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Users\luloc\3D Objects\4B-ETSINF\SWB\"/>
    </mc:Choice>
  </mc:AlternateContent>
  <xr:revisionPtr revIDLastSave="0" documentId="13_ncr:1_{FBD6978C-925B-41BC-B64C-871F7B81E2AE}" xr6:coauthVersionLast="46" xr6:coauthVersionMax="46" xr10:uidLastSave="{00000000-0000-0000-0000-000000000000}"/>
  <bookViews>
    <workbookView xWindow="-108" yWindow="-108" windowWidth="23256" windowHeight="12576" xr2:uid="{00000000-000D-0000-FFFF-FFFF00000000}"/>
  </bookViews>
  <sheets>
    <sheet name="#&quot;machinelearning&quot; -filterrOrig" sheetId="5" r:id="rId1"/>
    <sheet name="#&quot;machinelearning&quot; -filterr (2)" sheetId="7" r:id="rId2"/>
    <sheet name="k-means" sheetId="6" r:id="rId3"/>
    <sheet name="Hoja 1"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219" i="7" l="1"/>
  <c r="K2219" i="7"/>
  <c r="E2219" i="7"/>
  <c r="B2219" i="7"/>
  <c r="U2218" i="7"/>
  <c r="K2218" i="7"/>
  <c r="E2218" i="7"/>
  <c r="B2218" i="7"/>
  <c r="U2217" i="7"/>
  <c r="K2217" i="7"/>
  <c r="E2217" i="7"/>
  <c r="B2217" i="7"/>
  <c r="U2216" i="7"/>
  <c r="K2216" i="7"/>
  <c r="E2216" i="7"/>
  <c r="B2216" i="7"/>
  <c r="U2215" i="7"/>
  <c r="K2215" i="7"/>
  <c r="E2215" i="7"/>
  <c r="B2215" i="7"/>
  <c r="U2214" i="7"/>
  <c r="K2214" i="7"/>
  <c r="E2214" i="7"/>
  <c r="B2214" i="7"/>
  <c r="U2213" i="7"/>
  <c r="K2213" i="7"/>
  <c r="E2213" i="7"/>
  <c r="B2213" i="7"/>
  <c r="U2212" i="7"/>
  <c r="K2212" i="7"/>
  <c r="E2212" i="7"/>
  <c r="B2212" i="7"/>
  <c r="U2211" i="7"/>
  <c r="K2211" i="7"/>
  <c r="E2211" i="7"/>
  <c r="B2211" i="7"/>
  <c r="U2210" i="7"/>
  <c r="K2210" i="7"/>
  <c r="E2210" i="7"/>
  <c r="B2210" i="7"/>
  <c r="U2209" i="7"/>
  <c r="K2209" i="7"/>
  <c r="E2209" i="7"/>
  <c r="B2209" i="7"/>
  <c r="U2208" i="7"/>
  <c r="K2208" i="7"/>
  <c r="E2208" i="7"/>
  <c r="B2208" i="7"/>
  <c r="U2207" i="7"/>
  <c r="K2207" i="7"/>
  <c r="E2207" i="7"/>
  <c r="B2207" i="7"/>
  <c r="U2206" i="7"/>
  <c r="K2206" i="7"/>
  <c r="E2206" i="7"/>
  <c r="B2206" i="7"/>
  <c r="U2205" i="7"/>
  <c r="K2205" i="7"/>
  <c r="E2205" i="7"/>
  <c r="B2205" i="7"/>
  <c r="U2204" i="7"/>
  <c r="K2204" i="7"/>
  <c r="E2204" i="7"/>
  <c r="B2204" i="7"/>
  <c r="U2203" i="7"/>
  <c r="K2203" i="7"/>
  <c r="E2203" i="7"/>
  <c r="B2203" i="7"/>
  <c r="U2202" i="7"/>
  <c r="K2202" i="7"/>
  <c r="E2202" i="7"/>
  <c r="B2202" i="7"/>
  <c r="U2201" i="7"/>
  <c r="K2201" i="7"/>
  <c r="E2201" i="7"/>
  <c r="B2201" i="7"/>
  <c r="U2200" i="7"/>
  <c r="K2200" i="7"/>
  <c r="E2200" i="7"/>
  <c r="B2200" i="7"/>
  <c r="U2199" i="7"/>
  <c r="K2199" i="7"/>
  <c r="E2199" i="7"/>
  <c r="B2199" i="7"/>
  <c r="U2198" i="7"/>
  <c r="K2198" i="7"/>
  <c r="E2198" i="7"/>
  <c r="B2198" i="7"/>
  <c r="U2197" i="7"/>
  <c r="K2197" i="7"/>
  <c r="E2197" i="7"/>
  <c r="B2197" i="7"/>
  <c r="U2196" i="7"/>
  <c r="K2196" i="7"/>
  <c r="E2196" i="7"/>
  <c r="B2196" i="7"/>
  <c r="U2195" i="7"/>
  <c r="K2195" i="7"/>
  <c r="E2195" i="7"/>
  <c r="B2195" i="7"/>
  <c r="U2194" i="7"/>
  <c r="K2194" i="7"/>
  <c r="E2194" i="7"/>
  <c r="B2194" i="7"/>
  <c r="U2193" i="7"/>
  <c r="K2193" i="7"/>
  <c r="E2193" i="7"/>
  <c r="B2193" i="7"/>
  <c r="U2192" i="7"/>
  <c r="K2192" i="7"/>
  <c r="E2192" i="7"/>
  <c r="B2192" i="7"/>
  <c r="U2191" i="7"/>
  <c r="K2191" i="7"/>
  <c r="E2191" i="7"/>
  <c r="B2191" i="7"/>
  <c r="U2190" i="7"/>
  <c r="K2190" i="7"/>
  <c r="E2190" i="7"/>
  <c r="B2190" i="7"/>
  <c r="U2189" i="7"/>
  <c r="K2189" i="7"/>
  <c r="E2189" i="7"/>
  <c r="B2189" i="7"/>
  <c r="U2188" i="7"/>
  <c r="K2188" i="7"/>
  <c r="E2188" i="7"/>
  <c r="B2188" i="7"/>
  <c r="U2187" i="7"/>
  <c r="K2187" i="7"/>
  <c r="E2187" i="7"/>
  <c r="B2187" i="7"/>
  <c r="U2186" i="7"/>
  <c r="K2186" i="7"/>
  <c r="E2186" i="7"/>
  <c r="B2186" i="7"/>
  <c r="U2185" i="7"/>
  <c r="K2185" i="7"/>
  <c r="E2185" i="7"/>
  <c r="B2185" i="7"/>
  <c r="U2184" i="7"/>
  <c r="K2184" i="7"/>
  <c r="E2184" i="7"/>
  <c r="B2184" i="7"/>
  <c r="U2183" i="7"/>
  <c r="E2183" i="7"/>
  <c r="B2183" i="7"/>
  <c r="U2182" i="7"/>
  <c r="K2182" i="7"/>
  <c r="E2182" i="7"/>
  <c r="B2182" i="7"/>
  <c r="U2181" i="7"/>
  <c r="K2181" i="7"/>
  <c r="E2181" i="7"/>
  <c r="B2181" i="7"/>
  <c r="U2180" i="7"/>
  <c r="K2180" i="7"/>
  <c r="E2180" i="7"/>
  <c r="B2180" i="7"/>
  <c r="U2179" i="7"/>
  <c r="K2179" i="7"/>
  <c r="E2179" i="7"/>
  <c r="B2179" i="7"/>
  <c r="U2178" i="7"/>
  <c r="K2178" i="7"/>
  <c r="E2178" i="7"/>
  <c r="B2178" i="7"/>
  <c r="U2177" i="7"/>
  <c r="K2177" i="7"/>
  <c r="E2177" i="7"/>
  <c r="B2177" i="7"/>
  <c r="U2176" i="7"/>
  <c r="K2176" i="7"/>
  <c r="E2176" i="7"/>
  <c r="B2176" i="7"/>
  <c r="U2175" i="7"/>
  <c r="K2175" i="7"/>
  <c r="E2175" i="7"/>
  <c r="B2175" i="7"/>
  <c r="U2174" i="7"/>
  <c r="E2174" i="7"/>
  <c r="B2174" i="7"/>
  <c r="U2173" i="7"/>
  <c r="K2173" i="7"/>
  <c r="E2173" i="7"/>
  <c r="B2173" i="7"/>
  <c r="U2172" i="7"/>
  <c r="K2172" i="7"/>
  <c r="E2172" i="7"/>
  <c r="B2172" i="7"/>
  <c r="U2171" i="7"/>
  <c r="K2171" i="7"/>
  <c r="E2171" i="7"/>
  <c r="B2171" i="7"/>
  <c r="U2170" i="7"/>
  <c r="K2170" i="7"/>
  <c r="E2170" i="7"/>
  <c r="B2170" i="7"/>
  <c r="U2169" i="7"/>
  <c r="K2169" i="7"/>
  <c r="E2169" i="7"/>
  <c r="B2169" i="7"/>
  <c r="U2168" i="7"/>
  <c r="K2168" i="7"/>
  <c r="E2168" i="7"/>
  <c r="B2168" i="7"/>
  <c r="U2167" i="7"/>
  <c r="K2167" i="7"/>
  <c r="E2167" i="7"/>
  <c r="B2167" i="7"/>
  <c r="U2166" i="7"/>
  <c r="K2166" i="7"/>
  <c r="E2166" i="7"/>
  <c r="B2166" i="7"/>
  <c r="U2165" i="7"/>
  <c r="K2165" i="7"/>
  <c r="E2165" i="7"/>
  <c r="B2165" i="7"/>
  <c r="U2164" i="7"/>
  <c r="K2164" i="7"/>
  <c r="E2164" i="7"/>
  <c r="B2164" i="7"/>
  <c r="U2163" i="7"/>
  <c r="K2163" i="7"/>
  <c r="E2163" i="7"/>
  <c r="B2163" i="7"/>
  <c r="U2162" i="7"/>
  <c r="K2162" i="7"/>
  <c r="E2162" i="7"/>
  <c r="B2162" i="7"/>
  <c r="U2161" i="7"/>
  <c r="K2161" i="7"/>
  <c r="E2161" i="7"/>
  <c r="B2161" i="7"/>
  <c r="U2160" i="7"/>
  <c r="K2160" i="7"/>
  <c r="E2160" i="7"/>
  <c r="B2160" i="7"/>
  <c r="U2159" i="7"/>
  <c r="K2159" i="7"/>
  <c r="E2159" i="7"/>
  <c r="B2159" i="7"/>
  <c r="U2158" i="7"/>
  <c r="K2158" i="7"/>
  <c r="E2158" i="7"/>
  <c r="B2158" i="7"/>
  <c r="U2157" i="7"/>
  <c r="K2157" i="7"/>
  <c r="E2157" i="7"/>
  <c r="B2157" i="7"/>
  <c r="U2156" i="7"/>
  <c r="K2156" i="7"/>
  <c r="E2156" i="7"/>
  <c r="B2156" i="7"/>
  <c r="U2155" i="7"/>
  <c r="K2155" i="7"/>
  <c r="E2155" i="7"/>
  <c r="B2155" i="7"/>
  <c r="U2154" i="7"/>
  <c r="K2154" i="7"/>
  <c r="E2154" i="7"/>
  <c r="B2154" i="7"/>
  <c r="U2153" i="7"/>
  <c r="K2153" i="7"/>
  <c r="E2153" i="7"/>
  <c r="B2153" i="7"/>
  <c r="U2152" i="7"/>
  <c r="K2152" i="7"/>
  <c r="E2152" i="7"/>
  <c r="B2152" i="7"/>
  <c r="U2151" i="7"/>
  <c r="K2151" i="7"/>
  <c r="E2151" i="7"/>
  <c r="B2151" i="7"/>
  <c r="U2150" i="7"/>
  <c r="K2150" i="7"/>
  <c r="E2150" i="7"/>
  <c r="B2150" i="7"/>
  <c r="U2149" i="7"/>
  <c r="K2149" i="7"/>
  <c r="E2149" i="7"/>
  <c r="B2149" i="7"/>
  <c r="U2148" i="7"/>
  <c r="K2148" i="7"/>
  <c r="E2148" i="7"/>
  <c r="B2148" i="7"/>
  <c r="U2147" i="7"/>
  <c r="K2147" i="7"/>
  <c r="E2147" i="7"/>
  <c r="B2147" i="7"/>
  <c r="U2146" i="7"/>
  <c r="K2146" i="7"/>
  <c r="E2146" i="7"/>
  <c r="B2146" i="7"/>
  <c r="U2145" i="7"/>
  <c r="K2145" i="7"/>
  <c r="E2145" i="7"/>
  <c r="B2145" i="7"/>
  <c r="U2144" i="7"/>
  <c r="K2144" i="7"/>
  <c r="E2144" i="7"/>
  <c r="B2144" i="7"/>
  <c r="U2143" i="7"/>
  <c r="K2143" i="7"/>
  <c r="E2143" i="7"/>
  <c r="B2143" i="7"/>
  <c r="U2142" i="7"/>
  <c r="K2142" i="7"/>
  <c r="E2142" i="7"/>
  <c r="B2142" i="7"/>
  <c r="U2141" i="7"/>
  <c r="K2141" i="7"/>
  <c r="E2141" i="7"/>
  <c r="B2141" i="7"/>
  <c r="U2140" i="7"/>
  <c r="K2140" i="7"/>
  <c r="E2140" i="7"/>
  <c r="B2140" i="7"/>
  <c r="U2139" i="7"/>
  <c r="K2139" i="7"/>
  <c r="E2139" i="7"/>
  <c r="B2139" i="7"/>
  <c r="U2138" i="7"/>
  <c r="K2138" i="7"/>
  <c r="E2138" i="7"/>
  <c r="B2138" i="7"/>
  <c r="U2137" i="7"/>
  <c r="K2137" i="7"/>
  <c r="E2137" i="7"/>
  <c r="B2137" i="7"/>
  <c r="U2136" i="7"/>
  <c r="K2136" i="7"/>
  <c r="E2136" i="7"/>
  <c r="B2136" i="7"/>
  <c r="U2135" i="7"/>
  <c r="K2135" i="7"/>
  <c r="E2135" i="7"/>
  <c r="B2135" i="7"/>
  <c r="U2134" i="7"/>
  <c r="K2134" i="7"/>
  <c r="E2134" i="7"/>
  <c r="B2134" i="7"/>
  <c r="U2133" i="7"/>
  <c r="K2133" i="7"/>
  <c r="E2133" i="7"/>
  <c r="B2133" i="7"/>
  <c r="U2132" i="7"/>
  <c r="K2132" i="7"/>
  <c r="E2132" i="7"/>
  <c r="B2132" i="7"/>
  <c r="U2131" i="7"/>
  <c r="K2131" i="7"/>
  <c r="E2131" i="7"/>
  <c r="B2131" i="7"/>
  <c r="U2130" i="7"/>
  <c r="K2130" i="7"/>
  <c r="E2130" i="7"/>
  <c r="B2130" i="7"/>
  <c r="U2129" i="7"/>
  <c r="K2129" i="7"/>
  <c r="E2129" i="7"/>
  <c r="B2129" i="7"/>
  <c r="U2128" i="7"/>
  <c r="K2128" i="7"/>
  <c r="E2128" i="7"/>
  <c r="B2128" i="7"/>
  <c r="U2127" i="7"/>
  <c r="K2127" i="7"/>
  <c r="E2127" i="7"/>
  <c r="B2127" i="7"/>
  <c r="U2126" i="7"/>
  <c r="K2126" i="7"/>
  <c r="E2126" i="7"/>
  <c r="B2126" i="7"/>
  <c r="U2125" i="7"/>
  <c r="K2125" i="7"/>
  <c r="E2125" i="7"/>
  <c r="B2125" i="7"/>
  <c r="U2124" i="7"/>
  <c r="K2124" i="7"/>
  <c r="E2124" i="7"/>
  <c r="B2124" i="7"/>
  <c r="U2123" i="7"/>
  <c r="K2123" i="7"/>
  <c r="E2123" i="7"/>
  <c r="B2123" i="7"/>
  <c r="U2122" i="7"/>
  <c r="K2122" i="7"/>
  <c r="E2122" i="7"/>
  <c r="B2122" i="7"/>
  <c r="U2121" i="7"/>
  <c r="K2121" i="7"/>
  <c r="E2121" i="7"/>
  <c r="B2121" i="7"/>
  <c r="U2120" i="7"/>
  <c r="K2120" i="7"/>
  <c r="E2120" i="7"/>
  <c r="B2120" i="7"/>
  <c r="U2119" i="7"/>
  <c r="K2119" i="7"/>
  <c r="E2119" i="7"/>
  <c r="B2119" i="7"/>
  <c r="U2118" i="7"/>
  <c r="K2118" i="7"/>
  <c r="E2118" i="7"/>
  <c r="B2118" i="7"/>
  <c r="U2117" i="7"/>
  <c r="K2117" i="7"/>
  <c r="E2117" i="7"/>
  <c r="B2117" i="7"/>
  <c r="U2116" i="7"/>
  <c r="K2116" i="7"/>
  <c r="E2116" i="7"/>
  <c r="B2116" i="7"/>
  <c r="U2115" i="7"/>
  <c r="K2115" i="7"/>
  <c r="E2115" i="7"/>
  <c r="B2115" i="7"/>
  <c r="U2114" i="7"/>
  <c r="K2114" i="7"/>
  <c r="E2114" i="7"/>
  <c r="B2114" i="7"/>
  <c r="U2113" i="7"/>
  <c r="K2113" i="7"/>
  <c r="E2113" i="7"/>
  <c r="B2113" i="7"/>
  <c r="U2112" i="7"/>
  <c r="K2112" i="7"/>
  <c r="E2112" i="7"/>
  <c r="B2112" i="7"/>
  <c r="U2111" i="7"/>
  <c r="K2111" i="7"/>
  <c r="E2111" i="7"/>
  <c r="B2111" i="7"/>
  <c r="U2110" i="7"/>
  <c r="K2110" i="7"/>
  <c r="E2110" i="7"/>
  <c r="B2110" i="7"/>
  <c r="U2109" i="7"/>
  <c r="K2109" i="7"/>
  <c r="E2109" i="7"/>
  <c r="B2109" i="7"/>
  <c r="U2108" i="7"/>
  <c r="K2108" i="7"/>
  <c r="E2108" i="7"/>
  <c r="B2108" i="7"/>
  <c r="U2107" i="7"/>
  <c r="K2107" i="7"/>
  <c r="E2107" i="7"/>
  <c r="B2107" i="7"/>
  <c r="U2106" i="7"/>
  <c r="K2106" i="7"/>
  <c r="E2106" i="7"/>
  <c r="B2106" i="7"/>
  <c r="U2105" i="7"/>
  <c r="K2105" i="7"/>
  <c r="E2105" i="7"/>
  <c r="B2105" i="7"/>
  <c r="U2104" i="7"/>
  <c r="K2104" i="7"/>
  <c r="E2104" i="7"/>
  <c r="B2104" i="7"/>
  <c r="U2103" i="7"/>
  <c r="K2103" i="7"/>
  <c r="E2103" i="7"/>
  <c r="B2103" i="7"/>
  <c r="U2102" i="7"/>
  <c r="K2102" i="7"/>
  <c r="E2102" i="7"/>
  <c r="B2102" i="7"/>
  <c r="U2101" i="7"/>
  <c r="K2101" i="7"/>
  <c r="E2101" i="7"/>
  <c r="B2101" i="7"/>
  <c r="U2100" i="7"/>
  <c r="K2100" i="7"/>
  <c r="E2100" i="7"/>
  <c r="B2100" i="7"/>
  <c r="U2099" i="7"/>
  <c r="K2099" i="7"/>
  <c r="E2099" i="7"/>
  <c r="B2099" i="7"/>
  <c r="U2098" i="7"/>
  <c r="K2098" i="7"/>
  <c r="E2098" i="7"/>
  <c r="B2098" i="7"/>
  <c r="U2097" i="7"/>
  <c r="K2097" i="7"/>
  <c r="E2097" i="7"/>
  <c r="B2097" i="7"/>
  <c r="U2096" i="7"/>
  <c r="K2096" i="7"/>
  <c r="E2096" i="7"/>
  <c r="B2096" i="7"/>
  <c r="U2095" i="7"/>
  <c r="K2095" i="7"/>
  <c r="E2095" i="7"/>
  <c r="B2095" i="7"/>
  <c r="U2094" i="7"/>
  <c r="K2094" i="7"/>
  <c r="E2094" i="7"/>
  <c r="B2094" i="7"/>
  <c r="U2093" i="7"/>
  <c r="K2093" i="7"/>
  <c r="E2093" i="7"/>
  <c r="B2093" i="7"/>
  <c r="U2092" i="7"/>
  <c r="K2092" i="7"/>
  <c r="E2092" i="7"/>
  <c r="B2092" i="7"/>
  <c r="U2091" i="7"/>
  <c r="K2091" i="7"/>
  <c r="E2091" i="7"/>
  <c r="B2091" i="7"/>
  <c r="U2090" i="7"/>
  <c r="K2090" i="7"/>
  <c r="E2090" i="7"/>
  <c r="B2090" i="7"/>
  <c r="U2089" i="7"/>
  <c r="K2089" i="7"/>
  <c r="E2089" i="7"/>
  <c r="B2089" i="7"/>
  <c r="U2088" i="7"/>
  <c r="K2088" i="7"/>
  <c r="E2088" i="7"/>
  <c r="B2088" i="7"/>
  <c r="U2087" i="7"/>
  <c r="K2087" i="7"/>
  <c r="E2087" i="7"/>
  <c r="B2087" i="7"/>
  <c r="U2086" i="7"/>
  <c r="K2086" i="7"/>
  <c r="E2086" i="7"/>
  <c r="B2086" i="7"/>
  <c r="U2085" i="7"/>
  <c r="K2085" i="7"/>
  <c r="E2085" i="7"/>
  <c r="B2085" i="7"/>
  <c r="U2084" i="7"/>
  <c r="K2084" i="7"/>
  <c r="E2084" i="7"/>
  <c r="B2084" i="7"/>
  <c r="U2083" i="7"/>
  <c r="K2083" i="7"/>
  <c r="E2083" i="7"/>
  <c r="B2083" i="7"/>
  <c r="U2082" i="7"/>
  <c r="K2082" i="7"/>
  <c r="E2082" i="7"/>
  <c r="B2082" i="7"/>
  <c r="U2081" i="7"/>
  <c r="K2081" i="7"/>
  <c r="E2081" i="7"/>
  <c r="B2081" i="7"/>
  <c r="U2080" i="7"/>
  <c r="K2080" i="7"/>
  <c r="E2080" i="7"/>
  <c r="B2080" i="7"/>
  <c r="U2079" i="7"/>
  <c r="K2079" i="7"/>
  <c r="E2079" i="7"/>
  <c r="B2079" i="7"/>
  <c r="U2078" i="7"/>
  <c r="K2078" i="7"/>
  <c r="E2078" i="7"/>
  <c r="B2078" i="7"/>
  <c r="U2077" i="7"/>
  <c r="K2077" i="7"/>
  <c r="E2077" i="7"/>
  <c r="B2077" i="7"/>
  <c r="U2076" i="7"/>
  <c r="K2076" i="7"/>
  <c r="E2076" i="7"/>
  <c r="B2076" i="7"/>
  <c r="U2075" i="7"/>
  <c r="K2075" i="7"/>
  <c r="E2075" i="7"/>
  <c r="B2075" i="7"/>
  <c r="U2074" i="7"/>
  <c r="K2074" i="7"/>
  <c r="E2074" i="7"/>
  <c r="B2074" i="7"/>
  <c r="U2073" i="7"/>
  <c r="K2073" i="7"/>
  <c r="E2073" i="7"/>
  <c r="B2073" i="7"/>
  <c r="U2072" i="7"/>
  <c r="K2072" i="7"/>
  <c r="E2072" i="7"/>
  <c r="B2072" i="7"/>
  <c r="U2071" i="7"/>
  <c r="K2071" i="7"/>
  <c r="E2071" i="7"/>
  <c r="B2071" i="7"/>
  <c r="U2070" i="7"/>
  <c r="K2070" i="7"/>
  <c r="E2070" i="7"/>
  <c r="B2070" i="7"/>
  <c r="U2069" i="7"/>
  <c r="K2069" i="7"/>
  <c r="E2069" i="7"/>
  <c r="B2069" i="7"/>
  <c r="U2068" i="7"/>
  <c r="K2068" i="7"/>
  <c r="E2068" i="7"/>
  <c r="B2068" i="7"/>
  <c r="U2067" i="7"/>
  <c r="K2067" i="7"/>
  <c r="E2067" i="7"/>
  <c r="B2067" i="7"/>
  <c r="U2066" i="7"/>
  <c r="K2066" i="7"/>
  <c r="E2066" i="7"/>
  <c r="B2066" i="7"/>
  <c r="U2065" i="7"/>
  <c r="K2065" i="7"/>
  <c r="E2065" i="7"/>
  <c r="B2065" i="7"/>
  <c r="U2064" i="7"/>
  <c r="K2064" i="7"/>
  <c r="E2064" i="7"/>
  <c r="B2064" i="7"/>
  <c r="U2063" i="7"/>
  <c r="K2063" i="7"/>
  <c r="E2063" i="7"/>
  <c r="B2063" i="7"/>
  <c r="U2062" i="7"/>
  <c r="K2062" i="7"/>
  <c r="E2062" i="7"/>
  <c r="B2062" i="7"/>
  <c r="U2061" i="7"/>
  <c r="K2061" i="7"/>
  <c r="E2061" i="7"/>
  <c r="B2061" i="7"/>
  <c r="U2060" i="7"/>
  <c r="K2060" i="7"/>
  <c r="E2060" i="7"/>
  <c r="B2060" i="7"/>
  <c r="U2059" i="7"/>
  <c r="K2059" i="7"/>
  <c r="E2059" i="7"/>
  <c r="B2059" i="7"/>
  <c r="U2058" i="7"/>
  <c r="K2058" i="7"/>
  <c r="E2058" i="7"/>
  <c r="B2058" i="7"/>
  <c r="U2057" i="7"/>
  <c r="K2057" i="7"/>
  <c r="E2057" i="7"/>
  <c r="B2057" i="7"/>
  <c r="U2056" i="7"/>
  <c r="K2056" i="7"/>
  <c r="E2056" i="7"/>
  <c r="B2056" i="7"/>
  <c r="U2055" i="7"/>
  <c r="K2055" i="7"/>
  <c r="E2055" i="7"/>
  <c r="B2055" i="7"/>
  <c r="U2054" i="7"/>
  <c r="K2054" i="7"/>
  <c r="E2054" i="7"/>
  <c r="B2054" i="7"/>
  <c r="U2053" i="7"/>
  <c r="K2053" i="7"/>
  <c r="E2053" i="7"/>
  <c r="B2053" i="7"/>
  <c r="U2052" i="7"/>
  <c r="K2052" i="7"/>
  <c r="E2052" i="7"/>
  <c r="B2052" i="7"/>
  <c r="U2051" i="7"/>
  <c r="K2051" i="7"/>
  <c r="E2051" i="7"/>
  <c r="B2051" i="7"/>
  <c r="U2050" i="7"/>
  <c r="K2050" i="7"/>
  <c r="E2050" i="7"/>
  <c r="B2050" i="7"/>
  <c r="U2049" i="7"/>
  <c r="K2049" i="7"/>
  <c r="E2049" i="7"/>
  <c r="B2049" i="7"/>
  <c r="U2048" i="7"/>
  <c r="K2048" i="7"/>
  <c r="E2048" i="7"/>
  <c r="B2048" i="7"/>
  <c r="U2047" i="7"/>
  <c r="K2047" i="7"/>
  <c r="E2047" i="7"/>
  <c r="B2047" i="7"/>
  <c r="U2046" i="7"/>
  <c r="K2046" i="7"/>
  <c r="E2046" i="7"/>
  <c r="B2046" i="7"/>
  <c r="U2045" i="7"/>
  <c r="K2045" i="7"/>
  <c r="E2045" i="7"/>
  <c r="B2045" i="7"/>
  <c r="U2044" i="7"/>
  <c r="K2044" i="7"/>
  <c r="E2044" i="7"/>
  <c r="B2044" i="7"/>
  <c r="U2043" i="7"/>
  <c r="K2043" i="7"/>
  <c r="E2043" i="7"/>
  <c r="B2043" i="7"/>
  <c r="U2042" i="7"/>
  <c r="K2042" i="7"/>
  <c r="E2042" i="7"/>
  <c r="B2042" i="7"/>
  <c r="U2041" i="7"/>
  <c r="K2041" i="7"/>
  <c r="E2041" i="7"/>
  <c r="B2041" i="7"/>
  <c r="U2040" i="7"/>
  <c r="K2040" i="7"/>
  <c r="E2040" i="7"/>
  <c r="B2040" i="7"/>
  <c r="U2039" i="7"/>
  <c r="E2039" i="7"/>
  <c r="B2039" i="7"/>
  <c r="U2038" i="7"/>
  <c r="K2038" i="7"/>
  <c r="E2038" i="7"/>
  <c r="B2038" i="7"/>
  <c r="U2037" i="7"/>
  <c r="K2037" i="7"/>
  <c r="E2037" i="7"/>
  <c r="B2037" i="7"/>
  <c r="U2036" i="7"/>
  <c r="K2036" i="7"/>
  <c r="E2036" i="7"/>
  <c r="B2036" i="7"/>
  <c r="U2035" i="7"/>
  <c r="K2035" i="7"/>
  <c r="E2035" i="7"/>
  <c r="B2035" i="7"/>
  <c r="U2034" i="7"/>
  <c r="K2034" i="7"/>
  <c r="E2034" i="7"/>
  <c r="B2034" i="7"/>
  <c r="U2033" i="7"/>
  <c r="K2033" i="7"/>
  <c r="E2033" i="7"/>
  <c r="B2033" i="7"/>
  <c r="U2032" i="7"/>
  <c r="K2032" i="7"/>
  <c r="E2032" i="7"/>
  <c r="B2032" i="7"/>
  <c r="U2031" i="7"/>
  <c r="K2031" i="7"/>
  <c r="E2031" i="7"/>
  <c r="B2031" i="7"/>
  <c r="U2030" i="7"/>
  <c r="K2030" i="7"/>
  <c r="E2030" i="7"/>
  <c r="B2030" i="7"/>
  <c r="U2029" i="7"/>
  <c r="K2029" i="7"/>
  <c r="E2029" i="7"/>
  <c r="B2029" i="7"/>
  <c r="U2028" i="7"/>
  <c r="K2028" i="7"/>
  <c r="E2028" i="7"/>
  <c r="B2028" i="7"/>
  <c r="U2027" i="7"/>
  <c r="K2027" i="7"/>
  <c r="E2027" i="7"/>
  <c r="B2027" i="7"/>
  <c r="U2026" i="7"/>
  <c r="K2026" i="7"/>
  <c r="E2026" i="7"/>
  <c r="B2026" i="7"/>
  <c r="U2025" i="7"/>
  <c r="K2025" i="7"/>
  <c r="E2025" i="7"/>
  <c r="B2025" i="7"/>
  <c r="U2024" i="7"/>
  <c r="K2024" i="7"/>
  <c r="E2024" i="7"/>
  <c r="B2024" i="7"/>
  <c r="U2023" i="7"/>
  <c r="K2023" i="7"/>
  <c r="E2023" i="7"/>
  <c r="B2023" i="7"/>
  <c r="U2022" i="7"/>
  <c r="K2022" i="7"/>
  <c r="E2022" i="7"/>
  <c r="B2022" i="7"/>
  <c r="U2021" i="7"/>
  <c r="K2021" i="7"/>
  <c r="E2021" i="7"/>
  <c r="B2021" i="7"/>
  <c r="U2020" i="7"/>
  <c r="K2020" i="7"/>
  <c r="E2020" i="7"/>
  <c r="B2020" i="7"/>
  <c r="U2019" i="7"/>
  <c r="K2019" i="7"/>
  <c r="E2019" i="7"/>
  <c r="B2019" i="7"/>
  <c r="U2018" i="7"/>
  <c r="K2018" i="7"/>
  <c r="E2018" i="7"/>
  <c r="B2018" i="7"/>
  <c r="U2017" i="7"/>
  <c r="K2017" i="7"/>
  <c r="E2017" i="7"/>
  <c r="B2017" i="7"/>
  <c r="U2016" i="7"/>
  <c r="K2016" i="7"/>
  <c r="E2016" i="7"/>
  <c r="B2016" i="7"/>
  <c r="U2015" i="7"/>
  <c r="K2015" i="7"/>
  <c r="E2015" i="7"/>
  <c r="B2015" i="7"/>
  <c r="U2014" i="7"/>
  <c r="K2014" i="7"/>
  <c r="E2014" i="7"/>
  <c r="B2014" i="7"/>
  <c r="U2013" i="7"/>
  <c r="K2013" i="7"/>
  <c r="E2013" i="7"/>
  <c r="B2013" i="7"/>
  <c r="U2012" i="7"/>
  <c r="K2012" i="7"/>
  <c r="E2012" i="7"/>
  <c r="B2012" i="7"/>
  <c r="U2011" i="7"/>
  <c r="K2011" i="7"/>
  <c r="E2011" i="7"/>
  <c r="B2011" i="7"/>
  <c r="U2010" i="7"/>
  <c r="K2010" i="7"/>
  <c r="E2010" i="7"/>
  <c r="B2010" i="7"/>
  <c r="U2009" i="7"/>
  <c r="K2009" i="7"/>
  <c r="E2009" i="7"/>
  <c r="B2009" i="7"/>
  <c r="U2008" i="7"/>
  <c r="K2008" i="7"/>
  <c r="E2008" i="7"/>
  <c r="B2008" i="7"/>
  <c r="U2007" i="7"/>
  <c r="K2007" i="7"/>
  <c r="E2007" i="7"/>
  <c r="B2007" i="7"/>
  <c r="K2006" i="7"/>
  <c r="E2006" i="7"/>
  <c r="B2006" i="7"/>
  <c r="U2005" i="7"/>
  <c r="K2005" i="7"/>
  <c r="E2005" i="7"/>
  <c r="B2005" i="7"/>
  <c r="U2004" i="7"/>
  <c r="K2004" i="7"/>
  <c r="E2004" i="7"/>
  <c r="B2004" i="7"/>
  <c r="U2003" i="7"/>
  <c r="K2003" i="7"/>
  <c r="E2003" i="7"/>
  <c r="B2003" i="7"/>
  <c r="U2002" i="7"/>
  <c r="K2002" i="7"/>
  <c r="E2002" i="7"/>
  <c r="B2002" i="7"/>
  <c r="U2001" i="7"/>
  <c r="K2001" i="7"/>
  <c r="E2001" i="7"/>
  <c r="B2001" i="7"/>
  <c r="U2000" i="7"/>
  <c r="K2000" i="7"/>
  <c r="E2000" i="7"/>
  <c r="B2000" i="7"/>
  <c r="U1999" i="7"/>
  <c r="K1999" i="7"/>
  <c r="E1999" i="7"/>
  <c r="B1999" i="7"/>
  <c r="U1998" i="7"/>
  <c r="K1998" i="7"/>
  <c r="E1998" i="7"/>
  <c r="B1998" i="7"/>
  <c r="U1997" i="7"/>
  <c r="K1997" i="7"/>
  <c r="E1997" i="7"/>
  <c r="B1997" i="7"/>
  <c r="U1996" i="7"/>
  <c r="K1996" i="7"/>
  <c r="E1996" i="7"/>
  <c r="B1996" i="7"/>
  <c r="U1995" i="7"/>
  <c r="K1995" i="7"/>
  <c r="E1995" i="7"/>
  <c r="B1995" i="7"/>
  <c r="U1994" i="7"/>
  <c r="K1994" i="7"/>
  <c r="E1994" i="7"/>
  <c r="B1994" i="7"/>
  <c r="U1993" i="7"/>
  <c r="K1993" i="7"/>
  <c r="E1993" i="7"/>
  <c r="B1993" i="7"/>
  <c r="U1992" i="7"/>
  <c r="K1992" i="7"/>
  <c r="E1992" i="7"/>
  <c r="B1992" i="7"/>
  <c r="U1991" i="7"/>
  <c r="K1991" i="7"/>
  <c r="E1991" i="7"/>
  <c r="B1991" i="7"/>
  <c r="U1990" i="7"/>
  <c r="K1990" i="7"/>
  <c r="E1990" i="7"/>
  <c r="B1990" i="7"/>
  <c r="U1989" i="7"/>
  <c r="K1989" i="7"/>
  <c r="E1989" i="7"/>
  <c r="B1989" i="7"/>
  <c r="U1988" i="7"/>
  <c r="K1988" i="7"/>
  <c r="E1988" i="7"/>
  <c r="B1988" i="7"/>
  <c r="U1987" i="7"/>
  <c r="K1987" i="7"/>
  <c r="E1987" i="7"/>
  <c r="B1987" i="7"/>
  <c r="U1986" i="7"/>
  <c r="K1986" i="7"/>
  <c r="E1986" i="7"/>
  <c r="B1986" i="7"/>
  <c r="U1985" i="7"/>
  <c r="K1985" i="7"/>
  <c r="E1985" i="7"/>
  <c r="B1985" i="7"/>
  <c r="U1984" i="7"/>
  <c r="K1984" i="7"/>
  <c r="E1984" i="7"/>
  <c r="B1984" i="7"/>
  <c r="U1983" i="7"/>
  <c r="K1983" i="7"/>
  <c r="E1983" i="7"/>
  <c r="B1983" i="7"/>
  <c r="U1982" i="7"/>
  <c r="K1982" i="7"/>
  <c r="E1982" i="7"/>
  <c r="B1982" i="7"/>
  <c r="U1981" i="7"/>
  <c r="K1981" i="7"/>
  <c r="E1981" i="7"/>
  <c r="B1981" i="7"/>
  <c r="U1980" i="7"/>
  <c r="K1980" i="7"/>
  <c r="E1980" i="7"/>
  <c r="B1980" i="7"/>
  <c r="U1979" i="7"/>
  <c r="K1979" i="7"/>
  <c r="E1979" i="7"/>
  <c r="B1979" i="7"/>
  <c r="U1978" i="7"/>
  <c r="K1978" i="7"/>
  <c r="E1978" i="7"/>
  <c r="B1978" i="7"/>
  <c r="U1977" i="7"/>
  <c r="K1977" i="7"/>
  <c r="E1977" i="7"/>
  <c r="B1977" i="7"/>
  <c r="U1976" i="7"/>
  <c r="K1976" i="7"/>
  <c r="E1976" i="7"/>
  <c r="B1976" i="7"/>
  <c r="U1975" i="7"/>
  <c r="K1975" i="7"/>
  <c r="E1975" i="7"/>
  <c r="B1975" i="7"/>
  <c r="U1974" i="7"/>
  <c r="K1974" i="7"/>
  <c r="E1974" i="7"/>
  <c r="B1974" i="7"/>
  <c r="U1973" i="7"/>
  <c r="K1973" i="7"/>
  <c r="E1973" i="7"/>
  <c r="B1973" i="7"/>
  <c r="U1972" i="7"/>
  <c r="K1972" i="7"/>
  <c r="E1972" i="7"/>
  <c r="B1972" i="7"/>
  <c r="U1971" i="7"/>
  <c r="K1971" i="7"/>
  <c r="E1971" i="7"/>
  <c r="B1971" i="7"/>
  <c r="U1970" i="7"/>
  <c r="K1970" i="7"/>
  <c r="E1970" i="7"/>
  <c r="B1970" i="7"/>
  <c r="U1969" i="7"/>
  <c r="K1969" i="7"/>
  <c r="E1969" i="7"/>
  <c r="B1969" i="7"/>
  <c r="U1968" i="7"/>
  <c r="K1968" i="7"/>
  <c r="E1968" i="7"/>
  <c r="B1968" i="7"/>
  <c r="U1967" i="7"/>
  <c r="K1967" i="7"/>
  <c r="E1967" i="7"/>
  <c r="B1967" i="7"/>
  <c r="U1966" i="7"/>
  <c r="K1966" i="7"/>
  <c r="E1966" i="7"/>
  <c r="B1966" i="7"/>
  <c r="U1965" i="7"/>
  <c r="K1965" i="7"/>
  <c r="E1965" i="7"/>
  <c r="B1965" i="7"/>
  <c r="U1964" i="7"/>
  <c r="K1964" i="7"/>
  <c r="E1964" i="7"/>
  <c r="B1964" i="7"/>
  <c r="U1963" i="7"/>
  <c r="K1963" i="7"/>
  <c r="E1963" i="7"/>
  <c r="B1963" i="7"/>
  <c r="U1962" i="7"/>
  <c r="K1962" i="7"/>
  <c r="E1962" i="7"/>
  <c r="B1962" i="7"/>
  <c r="U1961" i="7"/>
  <c r="K1961" i="7"/>
  <c r="E1961" i="7"/>
  <c r="B1961" i="7"/>
  <c r="U1960" i="7"/>
  <c r="K1960" i="7"/>
  <c r="E1960" i="7"/>
  <c r="B1960" i="7"/>
  <c r="U1959" i="7"/>
  <c r="K1959" i="7"/>
  <c r="E1959" i="7"/>
  <c r="B1959" i="7"/>
  <c r="U1958" i="7"/>
  <c r="K1958" i="7"/>
  <c r="E1958" i="7"/>
  <c r="B1958" i="7"/>
  <c r="U1957" i="7"/>
  <c r="K1957" i="7"/>
  <c r="E1957" i="7"/>
  <c r="B1957" i="7"/>
  <c r="U1956" i="7"/>
  <c r="K1956" i="7"/>
  <c r="E1956" i="7"/>
  <c r="B1956" i="7"/>
  <c r="U1955" i="7"/>
  <c r="K1955" i="7"/>
  <c r="E1955" i="7"/>
  <c r="B1955" i="7"/>
  <c r="U1954" i="7"/>
  <c r="K1954" i="7"/>
  <c r="E1954" i="7"/>
  <c r="B1954" i="7"/>
  <c r="U1953" i="7"/>
  <c r="K1953" i="7"/>
  <c r="E1953" i="7"/>
  <c r="B1953" i="7"/>
  <c r="U1952" i="7"/>
  <c r="K1952" i="7"/>
  <c r="E1952" i="7"/>
  <c r="B1952" i="7"/>
  <c r="U1951" i="7"/>
  <c r="K1951" i="7"/>
  <c r="E1951" i="7"/>
  <c r="B1951" i="7"/>
  <c r="U1950" i="7"/>
  <c r="K1950" i="7"/>
  <c r="E1950" i="7"/>
  <c r="B1950" i="7"/>
  <c r="U1949" i="7"/>
  <c r="K1949" i="7"/>
  <c r="E1949" i="7"/>
  <c r="B1949" i="7"/>
  <c r="U1948" i="7"/>
  <c r="K1948" i="7"/>
  <c r="E1948" i="7"/>
  <c r="B1948" i="7"/>
  <c r="U1947" i="7"/>
  <c r="K1947" i="7"/>
  <c r="E1947" i="7"/>
  <c r="B1947" i="7"/>
  <c r="U1946" i="7"/>
  <c r="K1946" i="7"/>
  <c r="E1946" i="7"/>
  <c r="B1946" i="7"/>
  <c r="U1945" i="7"/>
  <c r="K1945" i="7"/>
  <c r="E1945" i="7"/>
  <c r="B1945" i="7"/>
  <c r="U1944" i="7"/>
  <c r="K1944" i="7"/>
  <c r="E1944" i="7"/>
  <c r="B1944" i="7"/>
  <c r="U1943" i="7"/>
  <c r="K1943" i="7"/>
  <c r="E1943" i="7"/>
  <c r="B1943" i="7"/>
  <c r="U1942" i="7"/>
  <c r="K1942" i="7"/>
  <c r="E1942" i="7"/>
  <c r="B1942" i="7"/>
  <c r="U1941" i="7"/>
  <c r="K1941" i="7"/>
  <c r="E1941" i="7"/>
  <c r="B1941" i="7"/>
  <c r="U1940" i="7"/>
  <c r="K1940" i="7"/>
  <c r="E1940" i="7"/>
  <c r="B1940" i="7"/>
  <c r="U1939" i="7"/>
  <c r="K1939" i="7"/>
  <c r="E1939" i="7"/>
  <c r="B1939" i="7"/>
  <c r="U1938" i="7"/>
  <c r="K1938" i="7"/>
  <c r="E1938" i="7"/>
  <c r="B1938" i="7"/>
  <c r="U1937" i="7"/>
  <c r="K1937" i="7"/>
  <c r="E1937" i="7"/>
  <c r="B1937" i="7"/>
  <c r="U1936" i="7"/>
  <c r="K1936" i="7"/>
  <c r="E1936" i="7"/>
  <c r="B1936" i="7"/>
  <c r="U1935" i="7"/>
  <c r="K1935" i="7"/>
  <c r="E1935" i="7"/>
  <c r="B1935" i="7"/>
  <c r="U1934" i="7"/>
  <c r="K1934" i="7"/>
  <c r="E1934" i="7"/>
  <c r="B1934" i="7"/>
  <c r="U1933" i="7"/>
  <c r="K1933" i="7"/>
  <c r="E1933" i="7"/>
  <c r="B1933" i="7"/>
  <c r="U1932" i="7"/>
  <c r="K1932" i="7"/>
  <c r="E1932" i="7"/>
  <c r="B1932" i="7"/>
  <c r="U1931" i="7"/>
  <c r="K1931" i="7"/>
  <c r="E1931" i="7"/>
  <c r="B1931" i="7"/>
  <c r="U1930" i="7"/>
  <c r="K1930" i="7"/>
  <c r="E1930" i="7"/>
  <c r="B1930" i="7"/>
  <c r="U1929" i="7"/>
  <c r="K1929" i="7"/>
  <c r="E1929" i="7"/>
  <c r="B1929" i="7"/>
  <c r="U1928" i="7"/>
  <c r="K1928" i="7"/>
  <c r="E1928" i="7"/>
  <c r="B1928" i="7"/>
  <c r="U1927" i="7"/>
  <c r="K1927" i="7"/>
  <c r="E1927" i="7"/>
  <c r="B1927" i="7"/>
  <c r="U1926" i="7"/>
  <c r="K1926" i="7"/>
  <c r="E1926" i="7"/>
  <c r="B1926" i="7"/>
  <c r="U1925" i="7"/>
  <c r="K1925" i="7"/>
  <c r="E1925" i="7"/>
  <c r="B1925" i="7"/>
  <c r="U1924" i="7"/>
  <c r="K1924" i="7"/>
  <c r="E1924" i="7"/>
  <c r="B1924" i="7"/>
  <c r="U1923" i="7"/>
  <c r="K1923" i="7"/>
  <c r="E1923" i="7"/>
  <c r="B1923" i="7"/>
  <c r="U1922" i="7"/>
  <c r="K1922" i="7"/>
  <c r="E1922" i="7"/>
  <c r="B1922" i="7"/>
  <c r="U1921" i="7"/>
  <c r="K1921" i="7"/>
  <c r="E1921" i="7"/>
  <c r="B1921" i="7"/>
  <c r="U1920" i="7"/>
  <c r="K1920" i="7"/>
  <c r="E1920" i="7"/>
  <c r="B1920" i="7"/>
  <c r="U1919" i="7"/>
  <c r="K1919" i="7"/>
  <c r="E1919" i="7"/>
  <c r="B1919" i="7"/>
  <c r="U1918" i="7"/>
  <c r="K1918" i="7"/>
  <c r="E1918" i="7"/>
  <c r="B1918" i="7"/>
  <c r="U1917" i="7"/>
  <c r="K1917" i="7"/>
  <c r="E1917" i="7"/>
  <c r="B1917" i="7"/>
  <c r="U1916" i="7"/>
  <c r="K1916" i="7"/>
  <c r="E1916" i="7"/>
  <c r="B1916" i="7"/>
  <c r="U1915" i="7"/>
  <c r="K1915" i="7"/>
  <c r="E1915" i="7"/>
  <c r="B1915" i="7"/>
  <c r="U1914" i="7"/>
  <c r="E1914" i="7"/>
  <c r="B1914" i="7"/>
  <c r="U1913" i="7"/>
  <c r="K1913" i="7"/>
  <c r="E1913" i="7"/>
  <c r="B1913" i="7"/>
  <c r="U1912" i="7"/>
  <c r="K1912" i="7"/>
  <c r="E1912" i="7"/>
  <c r="B1912" i="7"/>
  <c r="U1911" i="7"/>
  <c r="K1911" i="7"/>
  <c r="E1911" i="7"/>
  <c r="B1911" i="7"/>
  <c r="U1910" i="7"/>
  <c r="K1910" i="7"/>
  <c r="E1910" i="7"/>
  <c r="B1910" i="7"/>
  <c r="U1909" i="7"/>
  <c r="K1909" i="7"/>
  <c r="E1909" i="7"/>
  <c r="B1909" i="7"/>
  <c r="U1908" i="7"/>
  <c r="K1908" i="7"/>
  <c r="E1908" i="7"/>
  <c r="B1908" i="7"/>
  <c r="U1907" i="7"/>
  <c r="K1907" i="7"/>
  <c r="E1907" i="7"/>
  <c r="B1907" i="7"/>
  <c r="U1906" i="7"/>
  <c r="K1906" i="7"/>
  <c r="E1906" i="7"/>
  <c r="B1906" i="7"/>
  <c r="U1905" i="7"/>
  <c r="E1905" i="7"/>
  <c r="B1905" i="7"/>
  <c r="U1904" i="7"/>
  <c r="K1904" i="7"/>
  <c r="E1904" i="7"/>
  <c r="B1904" i="7"/>
  <c r="U1903" i="7"/>
  <c r="K1903" i="7"/>
  <c r="E1903" i="7"/>
  <c r="B1903" i="7"/>
  <c r="U1902" i="7"/>
  <c r="K1902" i="7"/>
  <c r="E1902" i="7"/>
  <c r="B1902" i="7"/>
  <c r="U1901" i="7"/>
  <c r="K1901" i="7"/>
  <c r="E1901" i="7"/>
  <c r="B1901" i="7"/>
  <c r="U1900" i="7"/>
  <c r="K1900" i="7"/>
  <c r="E1900" i="7"/>
  <c r="B1900" i="7"/>
  <c r="U1899" i="7"/>
  <c r="K1899" i="7"/>
  <c r="E1899" i="7"/>
  <c r="B1899" i="7"/>
  <c r="U1898" i="7"/>
  <c r="K1898" i="7"/>
  <c r="E1898" i="7"/>
  <c r="B1898" i="7"/>
  <c r="U1897" i="7"/>
  <c r="K1897" i="7"/>
  <c r="E1897" i="7"/>
  <c r="B1897" i="7"/>
  <c r="U1896" i="7"/>
  <c r="K1896" i="7"/>
  <c r="E1896" i="7"/>
  <c r="B1896" i="7"/>
  <c r="U1895" i="7"/>
  <c r="K1895" i="7"/>
  <c r="E1895" i="7"/>
  <c r="B1895" i="7"/>
  <c r="U1894" i="7"/>
  <c r="K1894" i="7"/>
  <c r="E1894" i="7"/>
  <c r="B1894" i="7"/>
  <c r="U1893" i="7"/>
  <c r="K1893" i="7"/>
  <c r="E1893" i="7"/>
  <c r="B1893" i="7"/>
  <c r="U1892" i="7"/>
  <c r="K1892" i="7"/>
  <c r="E1892" i="7"/>
  <c r="B1892" i="7"/>
  <c r="U1891" i="7"/>
  <c r="K1891" i="7"/>
  <c r="E1891" i="7"/>
  <c r="B1891" i="7"/>
  <c r="U1890" i="7"/>
  <c r="K1890" i="7"/>
  <c r="E1890" i="7"/>
  <c r="B1890" i="7"/>
  <c r="U1889" i="7"/>
  <c r="K1889" i="7"/>
  <c r="E1889" i="7"/>
  <c r="B1889" i="7"/>
  <c r="U1888" i="7"/>
  <c r="K1888" i="7"/>
  <c r="E1888" i="7"/>
  <c r="B1888" i="7"/>
  <c r="U1887" i="7"/>
  <c r="K1887" i="7"/>
  <c r="E1887" i="7"/>
  <c r="B1887" i="7"/>
  <c r="U1886" i="7"/>
  <c r="K1886" i="7"/>
  <c r="E1886" i="7"/>
  <c r="B1886" i="7"/>
  <c r="U1885" i="7"/>
  <c r="K1885" i="7"/>
  <c r="E1885" i="7"/>
  <c r="B1885" i="7"/>
  <c r="U1884" i="7"/>
  <c r="K1884" i="7"/>
  <c r="E1884" i="7"/>
  <c r="B1884" i="7"/>
  <c r="U1883" i="7"/>
  <c r="K1883" i="7"/>
  <c r="E1883" i="7"/>
  <c r="B1883" i="7"/>
  <c r="U1882" i="7"/>
  <c r="K1882" i="7"/>
  <c r="E1882" i="7"/>
  <c r="B1882" i="7"/>
  <c r="U1881" i="7"/>
  <c r="K1881" i="7"/>
  <c r="E1881" i="7"/>
  <c r="B1881" i="7"/>
  <c r="U1880" i="7"/>
  <c r="K1880" i="7"/>
  <c r="E1880" i="7"/>
  <c r="B1880" i="7"/>
  <c r="U1879" i="7"/>
  <c r="K1879" i="7"/>
  <c r="E1879" i="7"/>
  <c r="B1879" i="7"/>
  <c r="U1878" i="7"/>
  <c r="K1878" i="7"/>
  <c r="E1878" i="7"/>
  <c r="B1878" i="7"/>
  <c r="U1877" i="7"/>
  <c r="K1877" i="7"/>
  <c r="E1877" i="7"/>
  <c r="B1877" i="7"/>
  <c r="U1876" i="7"/>
  <c r="K1876" i="7"/>
  <c r="E1876" i="7"/>
  <c r="B1876" i="7"/>
  <c r="U1875" i="7"/>
  <c r="K1875" i="7"/>
  <c r="E1875" i="7"/>
  <c r="B1875" i="7"/>
  <c r="U1874" i="7"/>
  <c r="K1874" i="7"/>
  <c r="E1874" i="7"/>
  <c r="B1874" i="7"/>
  <c r="U1873" i="7"/>
  <c r="K1873" i="7"/>
  <c r="E1873" i="7"/>
  <c r="B1873" i="7"/>
  <c r="U1872" i="7"/>
  <c r="K1872" i="7"/>
  <c r="E1872" i="7"/>
  <c r="B1872" i="7"/>
  <c r="U1871" i="7"/>
  <c r="K1871" i="7"/>
  <c r="E1871" i="7"/>
  <c r="B1871" i="7"/>
  <c r="U1870" i="7"/>
  <c r="K1870" i="7"/>
  <c r="E1870" i="7"/>
  <c r="B1870" i="7"/>
  <c r="U1869" i="7"/>
  <c r="K1869" i="7"/>
  <c r="E1869" i="7"/>
  <c r="B1869" i="7"/>
  <c r="U1868" i="7"/>
  <c r="K1868" i="7"/>
  <c r="E1868" i="7"/>
  <c r="B1868" i="7"/>
  <c r="U1867" i="7"/>
  <c r="K1867" i="7"/>
  <c r="E1867" i="7"/>
  <c r="B1867" i="7"/>
  <c r="U1866" i="7"/>
  <c r="K1866" i="7"/>
  <c r="E1866" i="7"/>
  <c r="B1866" i="7"/>
  <c r="U1865" i="7"/>
  <c r="K1865" i="7"/>
  <c r="E1865" i="7"/>
  <c r="B1865" i="7"/>
  <c r="U1864" i="7"/>
  <c r="K1864" i="7"/>
  <c r="E1864" i="7"/>
  <c r="B1864" i="7"/>
  <c r="U1863" i="7"/>
  <c r="K1863" i="7"/>
  <c r="E1863" i="7"/>
  <c r="B1863" i="7"/>
  <c r="U1862" i="7"/>
  <c r="K1862" i="7"/>
  <c r="E1862" i="7"/>
  <c r="B1862" i="7"/>
  <c r="U1861" i="7"/>
  <c r="K1861" i="7"/>
  <c r="E1861" i="7"/>
  <c r="B1861" i="7"/>
  <c r="U1860" i="7"/>
  <c r="K1860" i="7"/>
  <c r="E1860" i="7"/>
  <c r="B1860" i="7"/>
  <c r="U1859" i="7"/>
  <c r="K1859" i="7"/>
  <c r="E1859" i="7"/>
  <c r="B1859" i="7"/>
  <c r="U1858" i="7"/>
  <c r="K1858" i="7"/>
  <c r="E1858" i="7"/>
  <c r="B1858" i="7"/>
  <c r="U1857" i="7"/>
  <c r="K1857" i="7"/>
  <c r="E1857" i="7"/>
  <c r="B1857" i="7"/>
  <c r="U1856" i="7"/>
  <c r="K1856" i="7"/>
  <c r="E1856" i="7"/>
  <c r="B1856" i="7"/>
  <c r="U1855" i="7"/>
  <c r="K1855" i="7"/>
  <c r="E1855" i="7"/>
  <c r="B1855" i="7"/>
  <c r="U1854" i="7"/>
  <c r="K1854" i="7"/>
  <c r="E1854" i="7"/>
  <c r="B1854" i="7"/>
  <c r="U1853" i="7"/>
  <c r="K1853" i="7"/>
  <c r="E1853" i="7"/>
  <c r="B1853" i="7"/>
  <c r="U1852" i="7"/>
  <c r="K1852" i="7"/>
  <c r="E1852" i="7"/>
  <c r="B1852" i="7"/>
  <c r="U1851" i="7"/>
  <c r="K1851" i="7"/>
  <c r="E1851" i="7"/>
  <c r="B1851" i="7"/>
  <c r="U1850" i="7"/>
  <c r="K1850" i="7"/>
  <c r="E1850" i="7"/>
  <c r="B1850" i="7"/>
  <c r="U1849" i="7"/>
  <c r="K1849" i="7"/>
  <c r="E1849" i="7"/>
  <c r="B1849" i="7"/>
  <c r="U1848" i="7"/>
  <c r="K1848" i="7"/>
  <c r="E1848" i="7"/>
  <c r="B1848" i="7"/>
  <c r="U1847" i="7"/>
  <c r="K1847" i="7"/>
  <c r="E1847" i="7"/>
  <c r="B1847" i="7"/>
  <c r="U1846" i="7"/>
  <c r="K1846" i="7"/>
  <c r="E1846" i="7"/>
  <c r="B1846" i="7"/>
  <c r="U1845" i="7"/>
  <c r="K1845" i="7"/>
  <c r="E1845" i="7"/>
  <c r="B1845" i="7"/>
  <c r="U1844" i="7"/>
  <c r="K1844" i="7"/>
  <c r="E1844" i="7"/>
  <c r="B1844" i="7"/>
  <c r="U1843" i="7"/>
  <c r="K1843" i="7"/>
  <c r="E1843" i="7"/>
  <c r="B1843" i="7"/>
  <c r="U1842" i="7"/>
  <c r="K1842" i="7"/>
  <c r="E1842" i="7"/>
  <c r="B1842" i="7"/>
  <c r="U1841" i="7"/>
  <c r="K1841" i="7"/>
  <c r="E1841" i="7"/>
  <c r="B1841" i="7"/>
  <c r="U1840" i="7"/>
  <c r="K1840" i="7"/>
  <c r="E1840" i="7"/>
  <c r="B1840" i="7"/>
  <c r="U1839" i="7"/>
  <c r="K1839" i="7"/>
  <c r="E1839" i="7"/>
  <c r="B1839" i="7"/>
  <c r="U1838" i="7"/>
  <c r="K1838" i="7"/>
  <c r="E1838" i="7"/>
  <c r="B1838" i="7"/>
  <c r="U1837" i="7"/>
  <c r="K1837" i="7"/>
  <c r="E1837" i="7"/>
  <c r="B1837" i="7"/>
  <c r="U1836" i="7"/>
  <c r="K1836" i="7"/>
  <c r="E1836" i="7"/>
  <c r="B1836" i="7"/>
  <c r="U1835" i="7"/>
  <c r="K1835" i="7"/>
  <c r="E1835" i="7"/>
  <c r="B1835" i="7"/>
  <c r="U1834" i="7"/>
  <c r="K1834" i="7"/>
  <c r="E1834" i="7"/>
  <c r="B1834" i="7"/>
  <c r="U1833" i="7"/>
  <c r="K1833" i="7"/>
  <c r="E1833" i="7"/>
  <c r="B1833" i="7"/>
  <c r="U1832" i="7"/>
  <c r="K1832" i="7"/>
  <c r="E1832" i="7"/>
  <c r="B1832" i="7"/>
  <c r="U1831" i="7"/>
  <c r="K1831" i="7"/>
  <c r="E1831" i="7"/>
  <c r="B1831" i="7"/>
  <c r="U1830" i="7"/>
  <c r="K1830" i="7"/>
  <c r="E1830" i="7"/>
  <c r="B1830" i="7"/>
  <c r="U1829" i="7"/>
  <c r="K1829" i="7"/>
  <c r="E1829" i="7"/>
  <c r="B1829" i="7"/>
  <c r="U1828" i="7"/>
  <c r="K1828" i="7"/>
  <c r="E1828" i="7"/>
  <c r="B1828" i="7"/>
  <c r="U1827" i="7"/>
  <c r="K1827" i="7"/>
  <c r="E1827" i="7"/>
  <c r="B1827" i="7"/>
  <c r="U1826" i="7"/>
  <c r="K1826" i="7"/>
  <c r="E1826" i="7"/>
  <c r="B1826" i="7"/>
  <c r="U1825" i="7"/>
  <c r="K1825" i="7"/>
  <c r="E1825" i="7"/>
  <c r="B1825" i="7"/>
  <c r="U1824" i="7"/>
  <c r="K1824" i="7"/>
  <c r="E1824" i="7"/>
  <c r="B1824" i="7"/>
  <c r="U1823" i="7"/>
  <c r="K1823" i="7"/>
  <c r="E1823" i="7"/>
  <c r="B1823" i="7"/>
  <c r="U1822" i="7"/>
  <c r="K1822" i="7"/>
  <c r="E1822" i="7"/>
  <c r="B1822" i="7"/>
  <c r="U1821" i="7"/>
  <c r="E1821" i="7"/>
  <c r="B1821" i="7"/>
  <c r="U1820" i="7"/>
  <c r="K1820" i="7"/>
  <c r="E1820" i="7"/>
  <c r="B1820" i="7"/>
  <c r="U1819" i="7"/>
  <c r="K1819" i="7"/>
  <c r="E1819" i="7"/>
  <c r="B1819" i="7"/>
  <c r="U1818" i="7"/>
  <c r="K1818" i="7"/>
  <c r="E1818" i="7"/>
  <c r="B1818" i="7"/>
  <c r="U1817" i="7"/>
  <c r="K1817" i="7"/>
  <c r="E1817" i="7"/>
  <c r="B1817" i="7"/>
  <c r="U1816" i="7"/>
  <c r="K1816" i="7"/>
  <c r="E1816" i="7"/>
  <c r="B1816" i="7"/>
  <c r="U1815" i="7"/>
  <c r="K1815" i="7"/>
  <c r="E1815" i="7"/>
  <c r="B1815" i="7"/>
  <c r="U1814" i="7"/>
  <c r="K1814" i="7"/>
  <c r="E1814" i="7"/>
  <c r="B1814" i="7"/>
  <c r="U1813" i="7"/>
  <c r="K1813" i="7"/>
  <c r="E1813" i="7"/>
  <c r="B1813" i="7"/>
  <c r="U1812" i="7"/>
  <c r="K1812" i="7"/>
  <c r="E1812" i="7"/>
  <c r="B1812" i="7"/>
  <c r="U1811" i="7"/>
  <c r="K1811" i="7"/>
  <c r="E1811" i="7"/>
  <c r="B1811" i="7"/>
  <c r="U1810" i="7"/>
  <c r="K1810" i="7"/>
  <c r="E1810" i="7"/>
  <c r="B1810" i="7"/>
  <c r="U1809" i="7"/>
  <c r="K1809" i="7"/>
  <c r="E1809" i="7"/>
  <c r="B1809" i="7"/>
  <c r="U1808" i="7"/>
  <c r="K1808" i="7"/>
  <c r="E1808" i="7"/>
  <c r="B1808" i="7"/>
  <c r="U1807" i="7"/>
  <c r="K1807" i="7"/>
  <c r="E1807" i="7"/>
  <c r="B1807" i="7"/>
  <c r="U1806" i="7"/>
  <c r="K1806" i="7"/>
  <c r="E1806" i="7"/>
  <c r="B1806" i="7"/>
  <c r="U1805" i="7"/>
  <c r="K1805" i="7"/>
  <c r="E1805" i="7"/>
  <c r="B1805" i="7"/>
  <c r="U1804" i="7"/>
  <c r="K1804" i="7"/>
  <c r="E1804" i="7"/>
  <c r="B1804" i="7"/>
  <c r="U1803" i="7"/>
  <c r="K1803" i="7"/>
  <c r="E1803" i="7"/>
  <c r="B1803" i="7"/>
  <c r="U1802" i="7"/>
  <c r="K1802" i="7"/>
  <c r="E1802" i="7"/>
  <c r="B1802" i="7"/>
  <c r="U1801" i="7"/>
  <c r="K1801" i="7"/>
  <c r="E1801" i="7"/>
  <c r="B1801" i="7"/>
  <c r="U1800" i="7"/>
  <c r="K1800" i="7"/>
  <c r="E1800" i="7"/>
  <c r="B1800" i="7"/>
  <c r="U1799" i="7"/>
  <c r="K1799" i="7"/>
  <c r="E1799" i="7"/>
  <c r="B1799" i="7"/>
  <c r="U1798" i="7"/>
  <c r="K1798" i="7"/>
  <c r="E1798" i="7"/>
  <c r="B1798" i="7"/>
  <c r="U1797" i="7"/>
  <c r="K1797" i="7"/>
  <c r="E1797" i="7"/>
  <c r="B1797" i="7"/>
  <c r="U1796" i="7"/>
  <c r="K1796" i="7"/>
  <c r="E1796" i="7"/>
  <c r="B1796" i="7"/>
  <c r="U1795" i="7"/>
  <c r="K1795" i="7"/>
  <c r="E1795" i="7"/>
  <c r="B1795" i="7"/>
  <c r="U1794" i="7"/>
  <c r="K1794" i="7"/>
  <c r="E1794" i="7"/>
  <c r="B1794" i="7"/>
  <c r="U1793" i="7"/>
  <c r="K1793" i="7"/>
  <c r="E1793" i="7"/>
  <c r="B1793" i="7"/>
  <c r="U1792" i="7"/>
  <c r="K1792" i="7"/>
  <c r="E1792" i="7"/>
  <c r="B1792" i="7"/>
  <c r="U1791" i="7"/>
  <c r="K1791" i="7"/>
  <c r="E1791" i="7"/>
  <c r="B1791" i="7"/>
  <c r="U1790" i="7"/>
  <c r="K1790" i="7"/>
  <c r="E1790" i="7"/>
  <c r="B1790" i="7"/>
  <c r="U1789" i="7"/>
  <c r="K1789" i="7"/>
  <c r="E1789" i="7"/>
  <c r="B1789" i="7"/>
  <c r="U1788" i="7"/>
  <c r="K1788" i="7"/>
  <c r="E1788" i="7"/>
  <c r="B1788" i="7"/>
  <c r="U1787" i="7"/>
  <c r="K1787" i="7"/>
  <c r="E1787" i="7"/>
  <c r="B1787" i="7"/>
  <c r="U1786" i="7"/>
  <c r="K1786" i="7"/>
  <c r="E1786" i="7"/>
  <c r="B1786" i="7"/>
  <c r="U1785" i="7"/>
  <c r="K1785" i="7"/>
  <c r="E1785" i="7"/>
  <c r="B1785" i="7"/>
  <c r="U1784" i="7"/>
  <c r="K1784" i="7"/>
  <c r="E1784" i="7"/>
  <c r="B1784" i="7"/>
  <c r="U1783" i="7"/>
  <c r="K1783" i="7"/>
  <c r="E1783" i="7"/>
  <c r="B1783" i="7"/>
  <c r="U1782" i="7"/>
  <c r="K1782" i="7"/>
  <c r="E1782" i="7"/>
  <c r="B1782" i="7"/>
  <c r="U1781" i="7"/>
  <c r="K1781" i="7"/>
  <c r="E1781" i="7"/>
  <c r="B1781" i="7"/>
  <c r="U1780" i="7"/>
  <c r="K1780" i="7"/>
  <c r="E1780" i="7"/>
  <c r="B1780" i="7"/>
  <c r="U1779" i="7"/>
  <c r="K1779" i="7"/>
  <c r="E1779" i="7"/>
  <c r="B1779" i="7"/>
  <c r="U1778" i="7"/>
  <c r="K1778" i="7"/>
  <c r="E1778" i="7"/>
  <c r="B1778" i="7"/>
  <c r="U1777" i="7"/>
  <c r="K1777" i="7"/>
  <c r="E1777" i="7"/>
  <c r="B1777" i="7"/>
  <c r="U1776" i="7"/>
  <c r="K1776" i="7"/>
  <c r="E1776" i="7"/>
  <c r="B1776" i="7"/>
  <c r="U1775" i="7"/>
  <c r="K1775" i="7"/>
  <c r="E1775" i="7"/>
  <c r="B1775" i="7"/>
  <c r="U1774" i="7"/>
  <c r="K1774" i="7"/>
  <c r="E1774" i="7"/>
  <c r="B1774" i="7"/>
  <c r="U1773" i="7"/>
  <c r="K1773" i="7"/>
  <c r="E1773" i="7"/>
  <c r="B1773" i="7"/>
  <c r="U1772" i="7"/>
  <c r="K1772" i="7"/>
  <c r="E1772" i="7"/>
  <c r="B1772" i="7"/>
  <c r="U1771" i="7"/>
  <c r="K1771" i="7"/>
  <c r="E1771" i="7"/>
  <c r="B1771" i="7"/>
  <c r="U1770" i="7"/>
  <c r="K1770" i="7"/>
  <c r="E1770" i="7"/>
  <c r="B1770" i="7"/>
  <c r="U1769" i="7"/>
  <c r="K1769" i="7"/>
  <c r="E1769" i="7"/>
  <c r="B1769" i="7"/>
  <c r="U1768" i="7"/>
  <c r="K1768" i="7"/>
  <c r="E1768" i="7"/>
  <c r="B1768" i="7"/>
  <c r="U1767" i="7"/>
  <c r="K1767" i="7"/>
  <c r="E1767" i="7"/>
  <c r="B1767" i="7"/>
  <c r="U1766" i="7"/>
  <c r="K1766" i="7"/>
  <c r="E1766" i="7"/>
  <c r="B1766" i="7"/>
  <c r="U1765" i="7"/>
  <c r="K1765" i="7"/>
  <c r="E1765" i="7"/>
  <c r="B1765" i="7"/>
  <c r="U1764" i="7"/>
  <c r="E1764" i="7"/>
  <c r="B1764" i="7"/>
  <c r="U1763" i="7"/>
  <c r="K1763" i="7"/>
  <c r="E1763" i="7"/>
  <c r="B1763" i="7"/>
  <c r="U1762" i="7"/>
  <c r="K1762" i="7"/>
  <c r="E1762" i="7"/>
  <c r="B1762" i="7"/>
  <c r="U1761" i="7"/>
  <c r="K1761" i="7"/>
  <c r="E1761" i="7"/>
  <c r="B1761" i="7"/>
  <c r="U1760" i="7"/>
  <c r="K1760" i="7"/>
  <c r="E1760" i="7"/>
  <c r="B1760" i="7"/>
  <c r="U1759" i="7"/>
  <c r="K1759" i="7"/>
  <c r="E1759" i="7"/>
  <c r="B1759" i="7"/>
  <c r="U1758" i="7"/>
  <c r="K1758" i="7"/>
  <c r="E1758" i="7"/>
  <c r="B1758" i="7"/>
  <c r="U1757" i="7"/>
  <c r="K1757" i="7"/>
  <c r="E1757" i="7"/>
  <c r="B1757" i="7"/>
  <c r="U1756" i="7"/>
  <c r="K1756" i="7"/>
  <c r="E1756" i="7"/>
  <c r="B1756" i="7"/>
  <c r="U1755" i="7"/>
  <c r="K1755" i="7"/>
  <c r="E1755" i="7"/>
  <c r="B1755" i="7"/>
  <c r="U1754" i="7"/>
  <c r="K1754" i="7"/>
  <c r="E1754" i="7"/>
  <c r="B1754" i="7"/>
  <c r="U1753" i="7"/>
  <c r="K1753" i="7"/>
  <c r="E1753" i="7"/>
  <c r="B1753" i="7"/>
  <c r="U1752" i="7"/>
  <c r="K1752" i="7"/>
  <c r="E1752" i="7"/>
  <c r="B1752" i="7"/>
  <c r="U1751" i="7"/>
  <c r="K1751" i="7"/>
  <c r="E1751" i="7"/>
  <c r="B1751" i="7"/>
  <c r="U1750" i="7"/>
  <c r="K1750" i="7"/>
  <c r="E1750" i="7"/>
  <c r="B1750" i="7"/>
  <c r="U1749" i="7"/>
  <c r="K1749" i="7"/>
  <c r="E1749" i="7"/>
  <c r="B1749" i="7"/>
  <c r="U1748" i="7"/>
  <c r="K1748" i="7"/>
  <c r="E1748" i="7"/>
  <c r="B1748" i="7"/>
  <c r="U1747" i="7"/>
  <c r="K1747" i="7"/>
  <c r="E1747" i="7"/>
  <c r="B1747" i="7"/>
  <c r="U1746" i="7"/>
  <c r="K1746" i="7"/>
  <c r="E1746" i="7"/>
  <c r="B1746" i="7"/>
  <c r="U1745" i="7"/>
  <c r="K1745" i="7"/>
  <c r="E1745" i="7"/>
  <c r="B1745" i="7"/>
  <c r="U1744" i="7"/>
  <c r="K1744" i="7"/>
  <c r="E1744" i="7"/>
  <c r="B1744" i="7"/>
  <c r="U1743" i="7"/>
  <c r="K1743" i="7"/>
  <c r="E1743" i="7"/>
  <c r="B1743" i="7"/>
  <c r="U1742" i="7"/>
  <c r="K1742" i="7"/>
  <c r="E1742" i="7"/>
  <c r="B1742" i="7"/>
  <c r="U1741" i="7"/>
  <c r="K1741" i="7"/>
  <c r="E1741" i="7"/>
  <c r="B1741" i="7"/>
  <c r="U1740" i="7"/>
  <c r="K1740" i="7"/>
  <c r="E1740" i="7"/>
  <c r="B1740" i="7"/>
  <c r="U1739" i="7"/>
  <c r="K1739" i="7"/>
  <c r="E1739" i="7"/>
  <c r="B1739" i="7"/>
  <c r="U1738" i="7"/>
  <c r="K1738" i="7"/>
  <c r="E1738" i="7"/>
  <c r="B1738" i="7"/>
  <c r="U1737" i="7"/>
  <c r="K1737" i="7"/>
  <c r="E1737" i="7"/>
  <c r="B1737" i="7"/>
  <c r="U1736" i="7"/>
  <c r="E1736" i="7"/>
  <c r="B1736" i="7"/>
  <c r="U1735" i="7"/>
  <c r="K1735" i="7"/>
  <c r="E1735" i="7"/>
  <c r="B1735" i="7"/>
  <c r="U1734" i="7"/>
  <c r="K1734" i="7"/>
  <c r="E1734" i="7"/>
  <c r="B1734" i="7"/>
  <c r="U1733" i="7"/>
  <c r="K1733" i="7"/>
  <c r="E1733" i="7"/>
  <c r="B1733" i="7"/>
  <c r="U1732" i="7"/>
  <c r="K1732" i="7"/>
  <c r="E1732" i="7"/>
  <c r="B1732" i="7"/>
  <c r="U1731" i="7"/>
  <c r="K1731" i="7"/>
  <c r="E1731" i="7"/>
  <c r="B1731" i="7"/>
  <c r="U1730" i="7"/>
  <c r="K1730" i="7"/>
  <c r="E1730" i="7"/>
  <c r="B1730" i="7"/>
  <c r="U1729" i="7"/>
  <c r="K1729" i="7"/>
  <c r="E1729" i="7"/>
  <c r="B1729" i="7"/>
  <c r="U1728" i="7"/>
  <c r="K1728" i="7"/>
  <c r="E1728" i="7"/>
  <c r="B1728" i="7"/>
  <c r="U1727" i="7"/>
  <c r="K1727" i="7"/>
  <c r="E1727" i="7"/>
  <c r="B1727" i="7"/>
  <c r="U1726" i="7"/>
  <c r="K1726" i="7"/>
  <c r="E1726" i="7"/>
  <c r="B1726" i="7"/>
  <c r="U1725" i="7"/>
  <c r="K1725" i="7"/>
  <c r="E1725" i="7"/>
  <c r="B1725" i="7"/>
  <c r="U1724" i="7"/>
  <c r="K1724" i="7"/>
  <c r="E1724" i="7"/>
  <c r="B1724" i="7"/>
  <c r="U1723" i="7"/>
  <c r="K1723" i="7"/>
  <c r="E1723" i="7"/>
  <c r="B1723" i="7"/>
  <c r="U1722" i="7"/>
  <c r="K1722" i="7"/>
  <c r="E1722" i="7"/>
  <c r="B1722" i="7"/>
  <c r="U1721" i="7"/>
  <c r="K1721" i="7"/>
  <c r="E1721" i="7"/>
  <c r="B1721" i="7"/>
  <c r="U1720" i="7"/>
  <c r="K1720" i="7"/>
  <c r="E1720" i="7"/>
  <c r="B1720" i="7"/>
  <c r="U1719" i="7"/>
  <c r="K1719" i="7"/>
  <c r="E1719" i="7"/>
  <c r="B1719" i="7"/>
  <c r="U1718" i="7"/>
  <c r="K1718" i="7"/>
  <c r="E1718" i="7"/>
  <c r="B1718" i="7"/>
  <c r="U1717" i="7"/>
  <c r="K1717" i="7"/>
  <c r="E1717" i="7"/>
  <c r="B1717" i="7"/>
  <c r="U1716" i="7"/>
  <c r="K1716" i="7"/>
  <c r="E1716" i="7"/>
  <c r="B1716" i="7"/>
  <c r="U1715" i="7"/>
  <c r="K1715" i="7"/>
  <c r="E1715" i="7"/>
  <c r="B1715" i="7"/>
  <c r="U1714" i="7"/>
  <c r="K1714" i="7"/>
  <c r="E1714" i="7"/>
  <c r="B1714" i="7"/>
  <c r="U1713" i="7"/>
  <c r="K1713" i="7"/>
  <c r="E1713" i="7"/>
  <c r="B1713" i="7"/>
  <c r="U1712" i="7"/>
  <c r="K1712" i="7"/>
  <c r="E1712" i="7"/>
  <c r="B1712" i="7"/>
  <c r="U1711" i="7"/>
  <c r="K1711" i="7"/>
  <c r="E1711" i="7"/>
  <c r="B1711" i="7"/>
  <c r="U1710" i="7"/>
  <c r="K1710" i="7"/>
  <c r="E1710" i="7"/>
  <c r="B1710" i="7"/>
  <c r="U1709" i="7"/>
  <c r="K1709" i="7"/>
  <c r="E1709" i="7"/>
  <c r="B1709" i="7"/>
  <c r="U1708" i="7"/>
  <c r="K1708" i="7"/>
  <c r="E1708" i="7"/>
  <c r="B1708" i="7"/>
  <c r="U1707" i="7"/>
  <c r="K1707" i="7"/>
  <c r="E1707" i="7"/>
  <c r="B1707" i="7"/>
  <c r="U1706" i="7"/>
  <c r="K1706" i="7"/>
  <c r="E1706" i="7"/>
  <c r="B1706" i="7"/>
  <c r="U1705" i="7"/>
  <c r="K1705" i="7"/>
  <c r="E1705" i="7"/>
  <c r="B1705" i="7"/>
  <c r="U1704" i="7"/>
  <c r="K1704" i="7"/>
  <c r="E1704" i="7"/>
  <c r="B1704" i="7"/>
  <c r="U1703" i="7"/>
  <c r="K1703" i="7"/>
  <c r="E1703" i="7"/>
  <c r="B1703" i="7"/>
  <c r="U1702" i="7"/>
  <c r="K1702" i="7"/>
  <c r="E1702" i="7"/>
  <c r="B1702" i="7"/>
  <c r="U1701" i="7"/>
  <c r="K1701" i="7"/>
  <c r="E1701" i="7"/>
  <c r="B1701" i="7"/>
  <c r="U1700" i="7"/>
  <c r="K1700" i="7"/>
  <c r="E1700" i="7"/>
  <c r="B1700" i="7"/>
  <c r="U1699" i="7"/>
  <c r="K1699" i="7"/>
  <c r="E1699" i="7"/>
  <c r="B1699" i="7"/>
  <c r="U1698" i="7"/>
  <c r="K1698" i="7"/>
  <c r="E1698" i="7"/>
  <c r="B1698" i="7"/>
  <c r="U1697" i="7"/>
  <c r="K1697" i="7"/>
  <c r="E1697" i="7"/>
  <c r="B1697" i="7"/>
  <c r="U1696" i="7"/>
  <c r="K1696" i="7"/>
  <c r="E1696" i="7"/>
  <c r="B1696" i="7"/>
  <c r="U1695" i="7"/>
  <c r="K1695" i="7"/>
  <c r="E1695" i="7"/>
  <c r="B1695" i="7"/>
  <c r="U1694" i="7"/>
  <c r="K1694" i="7"/>
  <c r="E1694" i="7"/>
  <c r="B1694" i="7"/>
  <c r="U1693" i="7"/>
  <c r="K1693" i="7"/>
  <c r="E1693" i="7"/>
  <c r="B1693" i="7"/>
  <c r="U1692" i="7"/>
  <c r="K1692" i="7"/>
  <c r="E1692" i="7"/>
  <c r="B1692" i="7"/>
  <c r="U1691" i="7"/>
  <c r="K1691" i="7"/>
  <c r="E1691" i="7"/>
  <c r="B1691" i="7"/>
  <c r="U1690" i="7"/>
  <c r="K1690" i="7"/>
  <c r="E1690" i="7"/>
  <c r="B1690" i="7"/>
  <c r="U1689" i="7"/>
  <c r="K1689" i="7"/>
  <c r="E1689" i="7"/>
  <c r="B1689" i="7"/>
  <c r="U1688" i="7"/>
  <c r="K1688" i="7"/>
  <c r="E1688" i="7"/>
  <c r="B1688" i="7"/>
  <c r="U1687" i="7"/>
  <c r="K1687" i="7"/>
  <c r="E1687" i="7"/>
  <c r="B1687" i="7"/>
  <c r="U1686" i="7"/>
  <c r="K1686" i="7"/>
  <c r="E1686" i="7"/>
  <c r="B1686" i="7"/>
  <c r="U1685" i="7"/>
  <c r="K1685" i="7"/>
  <c r="E1685" i="7"/>
  <c r="B1685" i="7"/>
  <c r="U1684" i="7"/>
  <c r="K1684" i="7"/>
  <c r="E1684" i="7"/>
  <c r="B1684" i="7"/>
  <c r="U1683" i="7"/>
  <c r="K1683" i="7"/>
  <c r="E1683" i="7"/>
  <c r="B1683" i="7"/>
  <c r="U1682" i="7"/>
  <c r="K1682" i="7"/>
  <c r="E1682" i="7"/>
  <c r="B1682" i="7"/>
  <c r="U1681" i="7"/>
  <c r="K1681" i="7"/>
  <c r="E1681" i="7"/>
  <c r="B1681" i="7"/>
  <c r="U1680" i="7"/>
  <c r="K1680" i="7"/>
  <c r="E1680" i="7"/>
  <c r="B1680" i="7"/>
  <c r="U1679" i="7"/>
  <c r="K1679" i="7"/>
  <c r="E1679" i="7"/>
  <c r="B1679" i="7"/>
  <c r="U1678" i="7"/>
  <c r="K1678" i="7"/>
  <c r="E1678" i="7"/>
  <c r="B1678" i="7"/>
  <c r="U1677" i="7"/>
  <c r="K1677" i="7"/>
  <c r="E1677" i="7"/>
  <c r="B1677" i="7"/>
  <c r="U1676" i="7"/>
  <c r="K1676" i="7"/>
  <c r="E1676" i="7"/>
  <c r="B1676" i="7"/>
  <c r="U1675" i="7"/>
  <c r="K1675" i="7"/>
  <c r="E1675" i="7"/>
  <c r="B1675" i="7"/>
  <c r="U1674" i="7"/>
  <c r="K1674" i="7"/>
  <c r="E1674" i="7"/>
  <c r="B1674" i="7"/>
  <c r="U1673" i="7"/>
  <c r="K1673" i="7"/>
  <c r="E1673" i="7"/>
  <c r="B1673" i="7"/>
  <c r="U1672" i="7"/>
  <c r="K1672" i="7"/>
  <c r="E1672" i="7"/>
  <c r="B1672" i="7"/>
  <c r="U1671" i="7"/>
  <c r="K1671" i="7"/>
  <c r="E1671" i="7"/>
  <c r="B1671" i="7"/>
  <c r="U1670" i="7"/>
  <c r="K1670" i="7"/>
  <c r="E1670" i="7"/>
  <c r="B1670" i="7"/>
  <c r="U1669" i="7"/>
  <c r="K1669" i="7"/>
  <c r="E1669" i="7"/>
  <c r="B1669" i="7"/>
  <c r="U1668" i="7"/>
  <c r="K1668" i="7"/>
  <c r="E1668" i="7"/>
  <c r="B1668" i="7"/>
  <c r="U1667" i="7"/>
  <c r="K1667" i="7"/>
  <c r="E1667" i="7"/>
  <c r="B1667" i="7"/>
  <c r="U1666" i="7"/>
  <c r="K1666" i="7"/>
  <c r="E1666" i="7"/>
  <c r="B1666" i="7"/>
  <c r="U1665" i="7"/>
  <c r="K1665" i="7"/>
  <c r="E1665" i="7"/>
  <c r="B1665" i="7"/>
  <c r="U1664" i="7"/>
  <c r="K1664" i="7"/>
  <c r="E1664" i="7"/>
  <c r="B1664" i="7"/>
  <c r="U1663" i="7"/>
  <c r="K1663" i="7"/>
  <c r="E1663" i="7"/>
  <c r="B1663" i="7"/>
  <c r="U1662" i="7"/>
  <c r="E1662" i="7"/>
  <c r="B1662" i="7"/>
  <c r="U1661" i="7"/>
  <c r="K1661" i="7"/>
  <c r="E1661" i="7"/>
  <c r="B1661" i="7"/>
  <c r="U1660" i="7"/>
  <c r="K1660" i="7"/>
  <c r="E1660" i="7"/>
  <c r="B1660" i="7"/>
  <c r="U1659" i="7"/>
  <c r="K1659" i="7"/>
  <c r="E1659" i="7"/>
  <c r="B1659" i="7"/>
  <c r="U1658" i="7"/>
  <c r="K1658" i="7"/>
  <c r="E1658" i="7"/>
  <c r="B1658" i="7"/>
  <c r="U1657" i="7"/>
  <c r="K1657" i="7"/>
  <c r="E1657" i="7"/>
  <c r="B1657" i="7"/>
  <c r="U1656" i="7"/>
  <c r="K1656" i="7"/>
  <c r="E1656" i="7"/>
  <c r="B1656" i="7"/>
  <c r="U1655" i="7"/>
  <c r="K1655" i="7"/>
  <c r="E1655" i="7"/>
  <c r="B1655" i="7"/>
  <c r="U1654" i="7"/>
  <c r="K1654" i="7"/>
  <c r="E1654" i="7"/>
  <c r="B1654" i="7"/>
  <c r="U1653" i="7"/>
  <c r="K1653" i="7"/>
  <c r="E1653" i="7"/>
  <c r="B1653" i="7"/>
  <c r="U1652" i="7"/>
  <c r="K1652" i="7"/>
  <c r="E1652" i="7"/>
  <c r="B1652" i="7"/>
  <c r="U1651" i="7"/>
  <c r="K1651" i="7"/>
  <c r="E1651" i="7"/>
  <c r="B1651" i="7"/>
  <c r="U1650" i="7"/>
  <c r="E1650" i="7"/>
  <c r="B1650" i="7"/>
  <c r="U1649" i="7"/>
  <c r="K1649" i="7"/>
  <c r="E1649" i="7"/>
  <c r="B1649" i="7"/>
  <c r="U1648" i="7"/>
  <c r="K1648" i="7"/>
  <c r="E1648" i="7"/>
  <c r="B1648" i="7"/>
  <c r="U1647" i="7"/>
  <c r="K1647" i="7"/>
  <c r="E1647" i="7"/>
  <c r="B1647" i="7"/>
  <c r="U1646" i="7"/>
  <c r="K1646" i="7"/>
  <c r="E1646" i="7"/>
  <c r="B1646" i="7"/>
  <c r="U1645" i="7"/>
  <c r="K1645" i="7"/>
  <c r="E1645" i="7"/>
  <c r="B1645" i="7"/>
  <c r="U1644" i="7"/>
  <c r="K1644" i="7"/>
  <c r="E1644" i="7"/>
  <c r="B1644" i="7"/>
  <c r="U1643" i="7"/>
  <c r="K1643" i="7"/>
  <c r="E1643" i="7"/>
  <c r="B1643" i="7"/>
  <c r="U1642" i="7"/>
  <c r="K1642" i="7"/>
  <c r="E1642" i="7"/>
  <c r="B1642" i="7"/>
  <c r="U1641" i="7"/>
  <c r="K1641" i="7"/>
  <c r="E1641" i="7"/>
  <c r="B1641" i="7"/>
  <c r="U1640" i="7"/>
  <c r="K1640" i="7"/>
  <c r="E1640" i="7"/>
  <c r="B1640" i="7"/>
  <c r="U1639" i="7"/>
  <c r="K1639" i="7"/>
  <c r="E1639" i="7"/>
  <c r="B1639" i="7"/>
  <c r="U1638" i="7"/>
  <c r="K1638" i="7"/>
  <c r="E1638" i="7"/>
  <c r="B1638" i="7"/>
  <c r="U1637" i="7"/>
  <c r="K1637" i="7"/>
  <c r="E1637" i="7"/>
  <c r="B1637" i="7"/>
  <c r="U1636" i="7"/>
  <c r="K1636" i="7"/>
  <c r="E1636" i="7"/>
  <c r="B1636" i="7"/>
  <c r="U1635" i="7"/>
  <c r="K1635" i="7"/>
  <c r="E1635" i="7"/>
  <c r="B1635" i="7"/>
  <c r="U1634" i="7"/>
  <c r="K1634" i="7"/>
  <c r="E1634" i="7"/>
  <c r="B1634" i="7"/>
  <c r="U1633" i="7"/>
  <c r="K1633" i="7"/>
  <c r="E1633" i="7"/>
  <c r="B1633" i="7"/>
  <c r="U1632" i="7"/>
  <c r="K1632" i="7"/>
  <c r="E1632" i="7"/>
  <c r="B1632" i="7"/>
  <c r="U1631" i="7"/>
  <c r="K1631" i="7"/>
  <c r="E1631" i="7"/>
  <c r="B1631" i="7"/>
  <c r="U1630" i="7"/>
  <c r="K1630" i="7"/>
  <c r="E1630" i="7"/>
  <c r="B1630" i="7"/>
  <c r="U1629" i="7"/>
  <c r="K1629" i="7"/>
  <c r="E1629" i="7"/>
  <c r="B1629" i="7"/>
  <c r="U1628" i="7"/>
  <c r="K1628" i="7"/>
  <c r="E1628" i="7"/>
  <c r="B1628" i="7"/>
  <c r="U1627" i="7"/>
  <c r="K1627" i="7"/>
  <c r="E1627" i="7"/>
  <c r="B1627" i="7"/>
  <c r="U1626" i="7"/>
  <c r="K1626" i="7"/>
  <c r="E1626" i="7"/>
  <c r="B1626" i="7"/>
  <c r="U1625" i="7"/>
  <c r="K1625" i="7"/>
  <c r="E1625" i="7"/>
  <c r="B1625" i="7"/>
  <c r="U1624" i="7"/>
  <c r="K1624" i="7"/>
  <c r="E1624" i="7"/>
  <c r="B1624" i="7"/>
  <c r="U1623" i="7"/>
  <c r="K1623" i="7"/>
  <c r="E1623" i="7"/>
  <c r="B1623" i="7"/>
  <c r="U1622" i="7"/>
  <c r="K1622" i="7"/>
  <c r="E1622" i="7"/>
  <c r="B1622" i="7"/>
  <c r="U1621" i="7"/>
  <c r="K1621" i="7"/>
  <c r="E1621" i="7"/>
  <c r="B1621" i="7"/>
  <c r="U1620" i="7"/>
  <c r="K1620" i="7"/>
  <c r="E1620" i="7"/>
  <c r="B1620" i="7"/>
  <c r="U1619" i="7"/>
  <c r="K1619" i="7"/>
  <c r="E1619" i="7"/>
  <c r="B1619" i="7"/>
  <c r="U1618" i="7"/>
  <c r="K1618" i="7"/>
  <c r="E1618" i="7"/>
  <c r="B1618" i="7"/>
  <c r="U1617" i="7"/>
  <c r="K1617" i="7"/>
  <c r="E1617" i="7"/>
  <c r="B1617" i="7"/>
  <c r="U1616" i="7"/>
  <c r="K1616" i="7"/>
  <c r="E1616" i="7"/>
  <c r="B1616" i="7"/>
  <c r="U1615" i="7"/>
  <c r="K1615" i="7"/>
  <c r="E1615" i="7"/>
  <c r="B1615" i="7"/>
  <c r="U1614" i="7"/>
  <c r="K1614" i="7"/>
  <c r="E1614" i="7"/>
  <c r="B1614" i="7"/>
  <c r="U1613" i="7"/>
  <c r="K1613" i="7"/>
  <c r="E1613" i="7"/>
  <c r="B1613" i="7"/>
  <c r="U1612" i="7"/>
  <c r="K1612" i="7"/>
  <c r="E1612" i="7"/>
  <c r="B1612" i="7"/>
  <c r="U1611" i="7"/>
  <c r="K1611" i="7"/>
  <c r="E1611" i="7"/>
  <c r="B1611" i="7"/>
  <c r="U1610" i="7"/>
  <c r="K1610" i="7"/>
  <c r="E1610" i="7"/>
  <c r="B1610" i="7"/>
  <c r="U1609" i="7"/>
  <c r="K1609" i="7"/>
  <c r="E1609" i="7"/>
  <c r="B1609" i="7"/>
  <c r="U1608" i="7"/>
  <c r="K1608" i="7"/>
  <c r="E1608" i="7"/>
  <c r="B1608" i="7"/>
  <c r="U1607" i="7"/>
  <c r="K1607" i="7"/>
  <c r="E1607" i="7"/>
  <c r="B1607" i="7"/>
  <c r="U1606" i="7"/>
  <c r="K1606" i="7"/>
  <c r="E1606" i="7"/>
  <c r="B1606" i="7"/>
  <c r="U1605" i="7"/>
  <c r="K1605" i="7"/>
  <c r="E1605" i="7"/>
  <c r="B1605" i="7"/>
  <c r="U1604" i="7"/>
  <c r="K1604" i="7"/>
  <c r="E1604" i="7"/>
  <c r="B1604" i="7"/>
  <c r="U1603" i="7"/>
  <c r="K1603" i="7"/>
  <c r="E1603" i="7"/>
  <c r="B1603" i="7"/>
  <c r="U1602" i="7"/>
  <c r="K1602" i="7"/>
  <c r="E1602" i="7"/>
  <c r="B1602" i="7"/>
  <c r="U1601" i="7"/>
  <c r="K1601" i="7"/>
  <c r="E1601" i="7"/>
  <c r="B1601" i="7"/>
  <c r="U1600" i="7"/>
  <c r="K1600" i="7"/>
  <c r="E1600" i="7"/>
  <c r="B1600" i="7"/>
  <c r="U1599" i="7"/>
  <c r="K1599" i="7"/>
  <c r="E1599" i="7"/>
  <c r="B1599" i="7"/>
  <c r="U1598" i="7"/>
  <c r="K1598" i="7"/>
  <c r="E1598" i="7"/>
  <c r="B1598" i="7"/>
  <c r="U1597" i="7"/>
  <c r="K1597" i="7"/>
  <c r="E1597" i="7"/>
  <c r="B1597" i="7"/>
  <c r="U1596" i="7"/>
  <c r="K1596" i="7"/>
  <c r="E1596" i="7"/>
  <c r="B1596" i="7"/>
  <c r="U1595" i="7"/>
  <c r="K1595" i="7"/>
  <c r="E1595" i="7"/>
  <c r="B1595" i="7"/>
  <c r="U1594" i="7"/>
  <c r="K1594" i="7"/>
  <c r="E1594" i="7"/>
  <c r="B1594" i="7"/>
  <c r="U1593" i="7"/>
  <c r="K1593" i="7"/>
  <c r="E1593" i="7"/>
  <c r="B1593" i="7"/>
  <c r="U1592" i="7"/>
  <c r="K1592" i="7"/>
  <c r="E1592" i="7"/>
  <c r="B1592" i="7"/>
  <c r="U1591" i="7"/>
  <c r="K1591" i="7"/>
  <c r="E1591" i="7"/>
  <c r="B1591" i="7"/>
  <c r="U1590" i="7"/>
  <c r="K1590" i="7"/>
  <c r="E1590" i="7"/>
  <c r="B1590" i="7"/>
  <c r="U1589" i="7"/>
  <c r="K1589" i="7"/>
  <c r="E1589" i="7"/>
  <c r="B1589" i="7"/>
  <c r="U1588" i="7"/>
  <c r="K1588" i="7"/>
  <c r="E1588" i="7"/>
  <c r="B1588" i="7"/>
  <c r="U1587" i="7"/>
  <c r="K1587" i="7"/>
  <c r="E1587" i="7"/>
  <c r="B1587" i="7"/>
  <c r="U1586" i="7"/>
  <c r="K1586" i="7"/>
  <c r="E1586" i="7"/>
  <c r="B1586" i="7"/>
  <c r="U1585" i="7"/>
  <c r="K1585" i="7"/>
  <c r="E1585" i="7"/>
  <c r="B1585" i="7"/>
  <c r="U1584" i="7"/>
  <c r="K1584" i="7"/>
  <c r="E1584" i="7"/>
  <c r="B1584" i="7"/>
  <c r="U1583" i="7"/>
  <c r="K1583" i="7"/>
  <c r="E1583" i="7"/>
  <c r="B1583" i="7"/>
  <c r="U1582" i="7"/>
  <c r="K1582" i="7"/>
  <c r="E1582" i="7"/>
  <c r="B1582" i="7"/>
  <c r="U1581" i="7"/>
  <c r="K1581" i="7"/>
  <c r="E1581" i="7"/>
  <c r="B1581" i="7"/>
  <c r="U1580" i="7"/>
  <c r="K1580" i="7"/>
  <c r="E1580" i="7"/>
  <c r="B1580" i="7"/>
  <c r="U1579" i="7"/>
  <c r="K1579" i="7"/>
  <c r="E1579" i="7"/>
  <c r="B1579" i="7"/>
  <c r="U1578" i="7"/>
  <c r="K1578" i="7"/>
  <c r="E1578" i="7"/>
  <c r="B1578" i="7"/>
  <c r="U1577" i="7"/>
  <c r="K1577" i="7"/>
  <c r="E1577" i="7"/>
  <c r="B1577" i="7"/>
  <c r="U1576" i="7"/>
  <c r="K1576" i="7"/>
  <c r="E1576" i="7"/>
  <c r="B1576" i="7"/>
  <c r="U1575" i="7"/>
  <c r="K1575" i="7"/>
  <c r="E1575" i="7"/>
  <c r="B1575" i="7"/>
  <c r="U1574" i="7"/>
  <c r="K1574" i="7"/>
  <c r="E1574" i="7"/>
  <c r="B1574" i="7"/>
  <c r="U1573" i="7"/>
  <c r="K1573" i="7"/>
  <c r="E1573" i="7"/>
  <c r="B1573" i="7"/>
  <c r="U1572" i="7"/>
  <c r="K1572" i="7"/>
  <c r="E1572" i="7"/>
  <c r="B1572" i="7"/>
  <c r="U1571" i="7"/>
  <c r="K1571" i="7"/>
  <c r="E1571" i="7"/>
  <c r="B1571" i="7"/>
  <c r="U1570" i="7"/>
  <c r="K1570" i="7"/>
  <c r="E1570" i="7"/>
  <c r="B1570" i="7"/>
  <c r="U1569" i="7"/>
  <c r="K1569" i="7"/>
  <c r="E1569" i="7"/>
  <c r="B1569" i="7"/>
  <c r="U1568" i="7"/>
  <c r="K1568" i="7"/>
  <c r="E1568" i="7"/>
  <c r="B1568" i="7"/>
  <c r="U1567" i="7"/>
  <c r="K1567" i="7"/>
  <c r="E1567" i="7"/>
  <c r="B1567" i="7"/>
  <c r="U1566" i="7"/>
  <c r="K1566" i="7"/>
  <c r="E1566" i="7"/>
  <c r="B1566" i="7"/>
  <c r="U1565" i="7"/>
  <c r="K1565" i="7"/>
  <c r="E1565" i="7"/>
  <c r="B1565" i="7"/>
  <c r="U1564" i="7"/>
  <c r="K1564" i="7"/>
  <c r="E1564" i="7"/>
  <c r="B1564" i="7"/>
  <c r="U1563" i="7"/>
  <c r="K1563" i="7"/>
  <c r="E1563" i="7"/>
  <c r="B1563" i="7"/>
  <c r="U1562" i="7"/>
  <c r="K1562" i="7"/>
  <c r="E1562" i="7"/>
  <c r="B1562" i="7"/>
  <c r="U1561" i="7"/>
  <c r="K1561" i="7"/>
  <c r="E1561" i="7"/>
  <c r="B1561" i="7"/>
  <c r="U1560" i="7"/>
  <c r="K1560" i="7"/>
  <c r="E1560" i="7"/>
  <c r="B1560" i="7"/>
  <c r="U1559" i="7"/>
  <c r="K1559" i="7"/>
  <c r="E1559" i="7"/>
  <c r="B1559" i="7"/>
  <c r="U1558" i="7"/>
  <c r="K1558" i="7"/>
  <c r="E1558" i="7"/>
  <c r="B1558" i="7"/>
  <c r="U1557" i="7"/>
  <c r="K1557" i="7"/>
  <c r="E1557" i="7"/>
  <c r="B1557" i="7"/>
  <c r="U1556" i="7"/>
  <c r="K1556" i="7"/>
  <c r="E1556" i="7"/>
  <c r="B1556" i="7"/>
  <c r="U1555" i="7"/>
  <c r="K1555" i="7"/>
  <c r="E1555" i="7"/>
  <c r="B1555" i="7"/>
  <c r="U1554" i="7"/>
  <c r="K1554" i="7"/>
  <c r="E1554" i="7"/>
  <c r="B1554" i="7"/>
  <c r="U1553" i="7"/>
  <c r="K1553" i="7"/>
  <c r="E1553" i="7"/>
  <c r="B1553" i="7"/>
  <c r="U1552" i="7"/>
  <c r="K1552" i="7"/>
  <c r="E1552" i="7"/>
  <c r="B1552" i="7"/>
  <c r="U1551" i="7"/>
  <c r="K1551" i="7"/>
  <c r="E1551" i="7"/>
  <c r="B1551" i="7"/>
  <c r="U1550" i="7"/>
  <c r="K1550" i="7"/>
  <c r="E1550" i="7"/>
  <c r="B1550" i="7"/>
  <c r="U1549" i="7"/>
  <c r="K1549" i="7"/>
  <c r="E1549" i="7"/>
  <c r="B1549" i="7"/>
  <c r="U1548" i="7"/>
  <c r="K1548" i="7"/>
  <c r="E1548" i="7"/>
  <c r="B1548" i="7"/>
  <c r="U1547" i="7"/>
  <c r="K1547" i="7"/>
  <c r="E1547" i="7"/>
  <c r="B1547" i="7"/>
  <c r="U1546" i="7"/>
  <c r="K1546" i="7"/>
  <c r="E1546" i="7"/>
  <c r="B1546" i="7"/>
  <c r="U1545" i="7"/>
  <c r="K1545" i="7"/>
  <c r="E1545" i="7"/>
  <c r="B1545" i="7"/>
  <c r="U1544" i="7"/>
  <c r="K1544" i="7"/>
  <c r="E1544" i="7"/>
  <c r="B1544" i="7"/>
  <c r="U1543" i="7"/>
  <c r="K1543" i="7"/>
  <c r="E1543" i="7"/>
  <c r="B1543" i="7"/>
  <c r="U1542" i="7"/>
  <c r="K1542" i="7"/>
  <c r="E1542" i="7"/>
  <c r="B1542" i="7"/>
  <c r="U1541" i="7"/>
  <c r="K1541" i="7"/>
  <c r="E1541" i="7"/>
  <c r="B1541" i="7"/>
  <c r="U1540" i="7"/>
  <c r="K1540" i="7"/>
  <c r="E1540" i="7"/>
  <c r="B1540" i="7"/>
  <c r="U1539" i="7"/>
  <c r="K1539" i="7"/>
  <c r="E1539" i="7"/>
  <c r="B1539" i="7"/>
  <c r="U1538" i="7"/>
  <c r="K1538" i="7"/>
  <c r="E1538" i="7"/>
  <c r="B1538" i="7"/>
  <c r="U1537" i="7"/>
  <c r="K1537" i="7"/>
  <c r="E1537" i="7"/>
  <c r="B1537" i="7"/>
  <c r="U1536" i="7"/>
  <c r="K1536" i="7"/>
  <c r="E1536" i="7"/>
  <c r="B1536" i="7"/>
  <c r="U1535" i="7"/>
  <c r="K1535" i="7"/>
  <c r="E1535" i="7"/>
  <c r="B1535" i="7"/>
  <c r="U1534" i="7"/>
  <c r="K1534" i="7"/>
  <c r="E1534" i="7"/>
  <c r="B1534" i="7"/>
  <c r="U1533" i="7"/>
  <c r="K1533" i="7"/>
  <c r="E1533" i="7"/>
  <c r="B1533" i="7"/>
  <c r="U1532" i="7"/>
  <c r="K1532" i="7"/>
  <c r="E1532" i="7"/>
  <c r="B1532" i="7"/>
  <c r="U1531" i="7"/>
  <c r="K1531" i="7"/>
  <c r="E1531" i="7"/>
  <c r="B1531" i="7"/>
  <c r="U1530" i="7"/>
  <c r="K1530" i="7"/>
  <c r="E1530" i="7"/>
  <c r="B1530" i="7"/>
  <c r="U1529" i="7"/>
  <c r="K1529" i="7"/>
  <c r="E1529" i="7"/>
  <c r="B1529" i="7"/>
  <c r="U1528" i="7"/>
  <c r="K1528" i="7"/>
  <c r="E1528" i="7"/>
  <c r="B1528" i="7"/>
  <c r="U1527" i="7"/>
  <c r="K1527" i="7"/>
  <c r="E1527" i="7"/>
  <c r="B1527" i="7"/>
  <c r="U1526" i="7"/>
  <c r="K1526" i="7"/>
  <c r="E1526" i="7"/>
  <c r="B1526" i="7"/>
  <c r="U1525" i="7"/>
  <c r="K1525" i="7"/>
  <c r="E1525" i="7"/>
  <c r="B1525" i="7"/>
  <c r="U1524" i="7"/>
  <c r="K1524" i="7"/>
  <c r="E1524" i="7"/>
  <c r="B1524" i="7"/>
  <c r="U1523" i="7"/>
  <c r="K1523" i="7"/>
  <c r="E1523" i="7"/>
  <c r="B1523" i="7"/>
  <c r="U1522" i="7"/>
  <c r="K1522" i="7"/>
  <c r="E1522" i="7"/>
  <c r="B1522" i="7"/>
  <c r="U1521" i="7"/>
  <c r="K1521" i="7"/>
  <c r="E1521" i="7"/>
  <c r="B1521" i="7"/>
  <c r="U1520" i="7"/>
  <c r="K1520" i="7"/>
  <c r="E1520" i="7"/>
  <c r="B1520" i="7"/>
  <c r="U1519" i="7"/>
  <c r="K1519" i="7"/>
  <c r="E1519" i="7"/>
  <c r="B1519" i="7"/>
  <c r="U1518" i="7"/>
  <c r="K1518" i="7"/>
  <c r="E1518" i="7"/>
  <c r="B1518" i="7"/>
  <c r="U1517" i="7"/>
  <c r="K1517" i="7"/>
  <c r="E1517" i="7"/>
  <c r="B1517" i="7"/>
  <c r="U1516" i="7"/>
  <c r="K1516" i="7"/>
  <c r="E1516" i="7"/>
  <c r="B1516" i="7"/>
  <c r="U1515" i="7"/>
  <c r="K1515" i="7"/>
  <c r="E1515" i="7"/>
  <c r="B1515" i="7"/>
  <c r="U1514" i="7"/>
  <c r="K1514" i="7"/>
  <c r="E1514" i="7"/>
  <c r="B1514" i="7"/>
  <c r="U1513" i="7"/>
  <c r="K1513" i="7"/>
  <c r="E1513" i="7"/>
  <c r="B1513" i="7"/>
  <c r="U1512" i="7"/>
  <c r="K1512" i="7"/>
  <c r="E1512" i="7"/>
  <c r="B1512" i="7"/>
  <c r="U1511" i="7"/>
  <c r="K1511" i="7"/>
  <c r="E1511" i="7"/>
  <c r="B1511" i="7"/>
  <c r="U1510" i="7"/>
  <c r="K1510" i="7"/>
  <c r="E1510" i="7"/>
  <c r="B1510" i="7"/>
  <c r="U1509" i="7"/>
  <c r="K1509" i="7"/>
  <c r="E1509" i="7"/>
  <c r="B1509" i="7"/>
  <c r="U1508" i="7"/>
  <c r="K1508" i="7"/>
  <c r="E1508" i="7"/>
  <c r="B1508" i="7"/>
  <c r="U1507" i="7"/>
  <c r="K1507" i="7"/>
  <c r="E1507" i="7"/>
  <c r="B1507" i="7"/>
  <c r="U1506" i="7"/>
  <c r="K1506" i="7"/>
  <c r="E1506" i="7"/>
  <c r="B1506" i="7"/>
  <c r="U1505" i="7"/>
  <c r="K1505" i="7"/>
  <c r="E1505" i="7"/>
  <c r="B1505" i="7"/>
  <c r="U1504" i="7"/>
  <c r="K1504" i="7"/>
  <c r="E1504" i="7"/>
  <c r="B1504" i="7"/>
  <c r="U1503" i="7"/>
  <c r="K1503" i="7"/>
  <c r="E1503" i="7"/>
  <c r="B1503" i="7"/>
  <c r="U1502" i="7"/>
  <c r="K1502" i="7"/>
  <c r="E1502" i="7"/>
  <c r="B1502" i="7"/>
  <c r="U1501" i="7"/>
  <c r="K1501" i="7"/>
  <c r="E1501" i="7"/>
  <c r="B1501" i="7"/>
  <c r="U1500" i="7"/>
  <c r="K1500" i="7"/>
  <c r="E1500" i="7"/>
  <c r="B1500" i="7"/>
  <c r="U1499" i="7"/>
  <c r="K1499" i="7"/>
  <c r="E1499" i="7"/>
  <c r="B1499" i="7"/>
  <c r="U1498" i="7"/>
  <c r="K1498" i="7"/>
  <c r="E1498" i="7"/>
  <c r="B1498" i="7"/>
  <c r="U1497" i="7"/>
  <c r="K1497" i="7"/>
  <c r="E1497" i="7"/>
  <c r="B1497" i="7"/>
  <c r="U1496" i="7"/>
  <c r="K1496" i="7"/>
  <c r="E1496" i="7"/>
  <c r="B1496" i="7"/>
  <c r="U1495" i="7"/>
  <c r="K1495" i="7"/>
  <c r="E1495" i="7"/>
  <c r="B1495" i="7"/>
  <c r="U1494" i="7"/>
  <c r="K1494" i="7"/>
  <c r="E1494" i="7"/>
  <c r="B1494" i="7"/>
  <c r="U1493" i="7"/>
  <c r="K1493" i="7"/>
  <c r="E1493" i="7"/>
  <c r="B1493" i="7"/>
  <c r="U1492" i="7"/>
  <c r="K1492" i="7"/>
  <c r="E1492" i="7"/>
  <c r="B1492" i="7"/>
  <c r="U1491" i="7"/>
  <c r="K1491" i="7"/>
  <c r="E1491" i="7"/>
  <c r="B1491" i="7"/>
  <c r="U1490" i="7"/>
  <c r="K1490" i="7"/>
  <c r="E1490" i="7"/>
  <c r="B1490" i="7"/>
  <c r="U1489" i="7"/>
  <c r="K1489" i="7"/>
  <c r="E1489" i="7"/>
  <c r="B1489" i="7"/>
  <c r="U1488" i="7"/>
  <c r="K1488" i="7"/>
  <c r="E1488" i="7"/>
  <c r="B1488" i="7"/>
  <c r="U1487" i="7"/>
  <c r="K1487" i="7"/>
  <c r="E1487" i="7"/>
  <c r="B1487" i="7"/>
  <c r="U1486" i="7"/>
  <c r="K1486" i="7"/>
  <c r="E1486" i="7"/>
  <c r="B1486" i="7"/>
  <c r="U1485" i="7"/>
  <c r="K1485" i="7"/>
  <c r="E1485" i="7"/>
  <c r="B1485" i="7"/>
  <c r="U1484" i="7"/>
  <c r="K1484" i="7"/>
  <c r="E1484" i="7"/>
  <c r="B1484" i="7"/>
  <c r="U1483" i="7"/>
  <c r="K1483" i="7"/>
  <c r="E1483" i="7"/>
  <c r="B1483" i="7"/>
  <c r="U1482" i="7"/>
  <c r="K1482" i="7"/>
  <c r="E1482" i="7"/>
  <c r="B1482" i="7"/>
  <c r="U1481" i="7"/>
  <c r="K1481" i="7"/>
  <c r="E1481" i="7"/>
  <c r="B1481" i="7"/>
  <c r="U1480" i="7"/>
  <c r="K1480" i="7"/>
  <c r="E1480" i="7"/>
  <c r="B1480" i="7"/>
  <c r="U1479" i="7"/>
  <c r="K1479" i="7"/>
  <c r="E1479" i="7"/>
  <c r="B1479" i="7"/>
  <c r="U1478" i="7"/>
  <c r="K1478" i="7"/>
  <c r="E1478" i="7"/>
  <c r="B1478" i="7"/>
  <c r="U1477" i="7"/>
  <c r="K1477" i="7"/>
  <c r="E1477" i="7"/>
  <c r="B1477" i="7"/>
  <c r="U1476" i="7"/>
  <c r="K1476" i="7"/>
  <c r="E1476" i="7"/>
  <c r="B1476" i="7"/>
  <c r="U1475" i="7"/>
  <c r="K1475" i="7"/>
  <c r="E1475" i="7"/>
  <c r="B1475" i="7"/>
  <c r="U1474" i="7"/>
  <c r="K1474" i="7"/>
  <c r="E1474" i="7"/>
  <c r="B1474" i="7"/>
  <c r="U1473" i="7"/>
  <c r="K1473" i="7"/>
  <c r="E1473" i="7"/>
  <c r="B1473" i="7"/>
  <c r="U1472" i="7"/>
  <c r="K1472" i="7"/>
  <c r="E1472" i="7"/>
  <c r="B1472" i="7"/>
  <c r="U1471" i="7"/>
  <c r="K1471" i="7"/>
  <c r="E1471" i="7"/>
  <c r="B1471" i="7"/>
  <c r="U1470" i="7"/>
  <c r="K1470" i="7"/>
  <c r="E1470" i="7"/>
  <c r="B1470" i="7"/>
  <c r="U1469" i="7"/>
  <c r="K1469" i="7"/>
  <c r="E1469" i="7"/>
  <c r="B1469" i="7"/>
  <c r="U1468" i="7"/>
  <c r="K1468" i="7"/>
  <c r="E1468" i="7"/>
  <c r="B1468" i="7"/>
  <c r="U1467" i="7"/>
  <c r="K1467" i="7"/>
  <c r="E1467" i="7"/>
  <c r="B1467" i="7"/>
  <c r="U1466" i="7"/>
  <c r="K1466" i="7"/>
  <c r="E1466" i="7"/>
  <c r="B1466" i="7"/>
  <c r="U1465" i="7"/>
  <c r="K1465" i="7"/>
  <c r="E1465" i="7"/>
  <c r="B1465" i="7"/>
  <c r="U1464" i="7"/>
  <c r="K1464" i="7"/>
  <c r="E1464" i="7"/>
  <c r="B1464" i="7"/>
  <c r="U1463" i="7"/>
  <c r="K1463" i="7"/>
  <c r="E1463" i="7"/>
  <c r="B1463" i="7"/>
  <c r="U1462" i="7"/>
  <c r="K1462" i="7"/>
  <c r="E1462" i="7"/>
  <c r="B1462" i="7"/>
  <c r="U1461" i="7"/>
  <c r="K1461" i="7"/>
  <c r="E1461" i="7"/>
  <c r="B1461" i="7"/>
  <c r="U1460" i="7"/>
  <c r="K1460" i="7"/>
  <c r="E1460" i="7"/>
  <c r="B1460" i="7"/>
  <c r="U1459" i="7"/>
  <c r="K1459" i="7"/>
  <c r="E1459" i="7"/>
  <c r="B1459" i="7"/>
  <c r="U1458" i="7"/>
  <c r="K1458" i="7"/>
  <c r="E1458" i="7"/>
  <c r="B1458" i="7"/>
  <c r="U1457" i="7"/>
  <c r="K1457" i="7"/>
  <c r="E1457" i="7"/>
  <c r="B1457" i="7"/>
  <c r="U1456" i="7"/>
  <c r="K1456" i="7"/>
  <c r="E1456" i="7"/>
  <c r="B1456" i="7"/>
  <c r="U1455" i="7"/>
  <c r="K1455" i="7"/>
  <c r="E1455" i="7"/>
  <c r="B1455" i="7"/>
  <c r="U1454" i="7"/>
  <c r="K1454" i="7"/>
  <c r="E1454" i="7"/>
  <c r="B1454" i="7"/>
  <c r="U1453" i="7"/>
  <c r="K1453" i="7"/>
  <c r="E1453" i="7"/>
  <c r="B1453" i="7"/>
  <c r="U1452" i="7"/>
  <c r="K1452" i="7"/>
  <c r="E1452" i="7"/>
  <c r="B1452" i="7"/>
  <c r="U1451" i="7"/>
  <c r="K1451" i="7"/>
  <c r="E1451" i="7"/>
  <c r="B1451" i="7"/>
  <c r="U1450" i="7"/>
  <c r="K1450" i="7"/>
  <c r="E1450" i="7"/>
  <c r="B1450" i="7"/>
  <c r="U1449" i="7"/>
  <c r="K1449" i="7"/>
  <c r="E1449" i="7"/>
  <c r="B1449" i="7"/>
  <c r="U1448" i="7"/>
  <c r="K1448" i="7"/>
  <c r="E1448" i="7"/>
  <c r="B1448" i="7"/>
  <c r="U1447" i="7"/>
  <c r="K1447" i="7"/>
  <c r="E1447" i="7"/>
  <c r="B1447" i="7"/>
  <c r="U1446" i="7"/>
  <c r="K1446" i="7"/>
  <c r="E1446" i="7"/>
  <c r="B1446" i="7"/>
  <c r="U1445" i="7"/>
  <c r="K1445" i="7"/>
  <c r="E1445" i="7"/>
  <c r="B1445" i="7"/>
  <c r="U1444" i="7"/>
  <c r="K1444" i="7"/>
  <c r="E1444" i="7"/>
  <c r="B1444" i="7"/>
  <c r="U1443" i="7"/>
  <c r="K1443" i="7"/>
  <c r="E1443" i="7"/>
  <c r="B1443" i="7"/>
  <c r="U1442" i="7"/>
  <c r="K1442" i="7"/>
  <c r="E1442" i="7"/>
  <c r="B1442" i="7"/>
  <c r="U1441" i="7"/>
  <c r="K1441" i="7"/>
  <c r="E1441" i="7"/>
  <c r="B1441" i="7"/>
  <c r="U1440" i="7"/>
  <c r="K1440" i="7"/>
  <c r="E1440" i="7"/>
  <c r="B1440" i="7"/>
  <c r="U1439" i="7"/>
  <c r="K1439" i="7"/>
  <c r="E1439" i="7"/>
  <c r="B1439" i="7"/>
  <c r="U1438" i="7"/>
  <c r="K1438" i="7"/>
  <c r="E1438" i="7"/>
  <c r="B1438" i="7"/>
  <c r="U1437" i="7"/>
  <c r="K1437" i="7"/>
  <c r="E1437" i="7"/>
  <c r="B1437" i="7"/>
  <c r="U1436" i="7"/>
  <c r="K1436" i="7"/>
  <c r="E1436" i="7"/>
  <c r="B1436" i="7"/>
  <c r="U1435" i="7"/>
  <c r="K1435" i="7"/>
  <c r="E1435" i="7"/>
  <c r="B1435" i="7"/>
  <c r="U1434" i="7"/>
  <c r="K1434" i="7"/>
  <c r="E1434" i="7"/>
  <c r="B1434" i="7"/>
  <c r="U1433" i="7"/>
  <c r="K1433" i="7"/>
  <c r="E1433" i="7"/>
  <c r="B1433" i="7"/>
  <c r="U1432" i="7"/>
  <c r="K1432" i="7"/>
  <c r="E1432" i="7"/>
  <c r="B1432" i="7"/>
  <c r="U1431" i="7"/>
  <c r="K1431" i="7"/>
  <c r="E1431" i="7"/>
  <c r="B1431" i="7"/>
  <c r="U1430" i="7"/>
  <c r="K1430" i="7"/>
  <c r="E1430" i="7"/>
  <c r="B1430" i="7"/>
  <c r="U1429" i="7"/>
  <c r="K1429" i="7"/>
  <c r="E1429" i="7"/>
  <c r="B1429" i="7"/>
  <c r="U1428" i="7"/>
  <c r="K1428" i="7"/>
  <c r="E1428" i="7"/>
  <c r="B1428" i="7"/>
  <c r="U1427" i="7"/>
  <c r="K1427" i="7"/>
  <c r="E1427" i="7"/>
  <c r="B1427" i="7"/>
  <c r="U1426" i="7"/>
  <c r="K1426" i="7"/>
  <c r="E1426" i="7"/>
  <c r="B1426" i="7"/>
  <c r="U1425" i="7"/>
  <c r="K1425" i="7"/>
  <c r="E1425" i="7"/>
  <c r="B1425" i="7"/>
  <c r="U1424" i="7"/>
  <c r="K1424" i="7"/>
  <c r="E1424" i="7"/>
  <c r="B1424" i="7"/>
  <c r="U1423" i="7"/>
  <c r="K1423" i="7"/>
  <c r="E1423" i="7"/>
  <c r="B1423" i="7"/>
  <c r="U1422" i="7"/>
  <c r="K1422" i="7"/>
  <c r="E1422" i="7"/>
  <c r="B1422" i="7"/>
  <c r="U1421" i="7"/>
  <c r="K1421" i="7"/>
  <c r="E1421" i="7"/>
  <c r="B1421" i="7"/>
  <c r="U1420" i="7"/>
  <c r="K1420" i="7"/>
  <c r="E1420" i="7"/>
  <c r="B1420" i="7"/>
  <c r="U1419" i="7"/>
  <c r="K1419" i="7"/>
  <c r="E1419" i="7"/>
  <c r="B1419" i="7"/>
  <c r="U1418" i="7"/>
  <c r="K1418" i="7"/>
  <c r="E1418" i="7"/>
  <c r="B1418" i="7"/>
  <c r="U1417" i="7"/>
  <c r="K1417" i="7"/>
  <c r="E1417" i="7"/>
  <c r="B1417" i="7"/>
  <c r="U1416" i="7"/>
  <c r="K1416" i="7"/>
  <c r="E1416" i="7"/>
  <c r="B1416" i="7"/>
  <c r="U1415" i="7"/>
  <c r="K1415" i="7"/>
  <c r="E1415" i="7"/>
  <c r="B1415" i="7"/>
  <c r="U1414" i="7"/>
  <c r="K1414" i="7"/>
  <c r="E1414" i="7"/>
  <c r="B1414" i="7"/>
  <c r="U1413" i="7"/>
  <c r="K1413" i="7"/>
  <c r="E1413" i="7"/>
  <c r="B1413" i="7"/>
  <c r="U1412" i="7"/>
  <c r="K1412" i="7"/>
  <c r="E1412" i="7"/>
  <c r="B1412" i="7"/>
  <c r="U1411" i="7"/>
  <c r="K1411" i="7"/>
  <c r="E1411" i="7"/>
  <c r="B1411" i="7"/>
  <c r="U1410" i="7"/>
  <c r="K1410" i="7"/>
  <c r="E1410" i="7"/>
  <c r="B1410" i="7"/>
  <c r="U1409" i="7"/>
  <c r="K1409" i="7"/>
  <c r="E1409" i="7"/>
  <c r="B1409" i="7"/>
  <c r="U1408" i="7"/>
  <c r="K1408" i="7"/>
  <c r="E1408" i="7"/>
  <c r="B1408" i="7"/>
  <c r="U1407" i="7"/>
  <c r="K1407" i="7"/>
  <c r="E1407" i="7"/>
  <c r="B1407" i="7"/>
  <c r="U1406" i="7"/>
  <c r="K1406" i="7"/>
  <c r="E1406" i="7"/>
  <c r="B1406" i="7"/>
  <c r="U1405" i="7"/>
  <c r="K1405" i="7"/>
  <c r="E1405" i="7"/>
  <c r="B1405" i="7"/>
  <c r="U1404" i="7"/>
  <c r="K1404" i="7"/>
  <c r="E1404" i="7"/>
  <c r="B1404" i="7"/>
  <c r="U1403" i="7"/>
  <c r="K1403" i="7"/>
  <c r="E1403" i="7"/>
  <c r="B1403" i="7"/>
  <c r="U1402" i="7"/>
  <c r="K1402" i="7"/>
  <c r="E1402" i="7"/>
  <c r="B1402" i="7"/>
  <c r="U1401" i="7"/>
  <c r="K1401" i="7"/>
  <c r="E1401" i="7"/>
  <c r="B1401" i="7"/>
  <c r="U1400" i="7"/>
  <c r="K1400" i="7"/>
  <c r="E1400" i="7"/>
  <c r="B1400" i="7"/>
  <c r="U1399" i="7"/>
  <c r="K1399" i="7"/>
  <c r="E1399" i="7"/>
  <c r="B1399" i="7"/>
  <c r="U1398" i="7"/>
  <c r="K1398" i="7"/>
  <c r="E1398" i="7"/>
  <c r="B1398" i="7"/>
  <c r="U1397" i="7"/>
  <c r="K1397" i="7"/>
  <c r="E1397" i="7"/>
  <c r="B1397" i="7"/>
  <c r="U1396" i="7"/>
  <c r="K1396" i="7"/>
  <c r="E1396" i="7"/>
  <c r="B1396" i="7"/>
  <c r="U1395" i="7"/>
  <c r="K1395" i="7"/>
  <c r="E1395" i="7"/>
  <c r="B1395" i="7"/>
  <c r="U1394" i="7"/>
  <c r="K1394" i="7"/>
  <c r="E1394" i="7"/>
  <c r="B1394" i="7"/>
  <c r="U1393" i="7"/>
  <c r="K1393" i="7"/>
  <c r="E1393" i="7"/>
  <c r="B1393" i="7"/>
  <c r="U1392" i="7"/>
  <c r="K1392" i="7"/>
  <c r="E1392" i="7"/>
  <c r="B1392" i="7"/>
  <c r="U1391" i="7"/>
  <c r="K1391" i="7"/>
  <c r="E1391" i="7"/>
  <c r="B1391" i="7"/>
  <c r="U1390" i="7"/>
  <c r="K1390" i="7"/>
  <c r="E1390" i="7"/>
  <c r="B1390" i="7"/>
  <c r="U1389" i="7"/>
  <c r="K1389" i="7"/>
  <c r="E1389" i="7"/>
  <c r="B1389" i="7"/>
  <c r="U1388" i="7"/>
  <c r="K1388" i="7"/>
  <c r="E1388" i="7"/>
  <c r="B1388" i="7"/>
  <c r="U1387" i="7"/>
  <c r="K1387" i="7"/>
  <c r="E1387" i="7"/>
  <c r="B1387" i="7"/>
  <c r="U1386" i="7"/>
  <c r="K1386" i="7"/>
  <c r="E1386" i="7"/>
  <c r="B1386" i="7"/>
  <c r="U1385" i="7"/>
  <c r="K1385" i="7"/>
  <c r="E1385" i="7"/>
  <c r="B1385" i="7"/>
  <c r="U1384" i="7"/>
  <c r="K1384" i="7"/>
  <c r="E1384" i="7"/>
  <c r="B1384" i="7"/>
  <c r="U1383" i="7"/>
  <c r="K1383" i="7"/>
  <c r="E1383" i="7"/>
  <c r="B1383" i="7"/>
  <c r="U1382" i="7"/>
  <c r="K1382" i="7"/>
  <c r="E1382" i="7"/>
  <c r="B1382" i="7"/>
  <c r="U1381" i="7"/>
  <c r="K1381" i="7"/>
  <c r="E1381" i="7"/>
  <c r="B1381" i="7"/>
  <c r="U1380" i="7"/>
  <c r="K1380" i="7"/>
  <c r="E1380" i="7"/>
  <c r="B1380" i="7"/>
  <c r="U1379" i="7"/>
  <c r="K1379" i="7"/>
  <c r="E1379" i="7"/>
  <c r="B1379" i="7"/>
  <c r="U1378" i="7"/>
  <c r="K1378" i="7"/>
  <c r="E1378" i="7"/>
  <c r="B1378" i="7"/>
  <c r="U1377" i="7"/>
  <c r="K1377" i="7"/>
  <c r="E1377" i="7"/>
  <c r="B1377" i="7"/>
  <c r="U1376" i="7"/>
  <c r="K1376" i="7"/>
  <c r="E1376" i="7"/>
  <c r="B1376" i="7"/>
  <c r="U1375" i="7"/>
  <c r="K1375" i="7"/>
  <c r="E1375" i="7"/>
  <c r="B1375" i="7"/>
  <c r="U1374" i="7"/>
  <c r="K1374" i="7"/>
  <c r="E1374" i="7"/>
  <c r="B1374" i="7"/>
  <c r="U1373" i="7"/>
  <c r="K1373" i="7"/>
  <c r="E1373" i="7"/>
  <c r="B1373" i="7"/>
  <c r="U1372" i="7"/>
  <c r="K1372" i="7"/>
  <c r="E1372" i="7"/>
  <c r="B1372" i="7"/>
  <c r="U1371" i="7"/>
  <c r="K1371" i="7"/>
  <c r="E1371" i="7"/>
  <c r="B1371" i="7"/>
  <c r="U1370" i="7"/>
  <c r="K1370" i="7"/>
  <c r="E1370" i="7"/>
  <c r="B1370" i="7"/>
  <c r="U1369" i="7"/>
  <c r="K1369" i="7"/>
  <c r="E1369" i="7"/>
  <c r="B1369" i="7"/>
  <c r="U1368" i="7"/>
  <c r="K1368" i="7"/>
  <c r="E1368" i="7"/>
  <c r="B1368" i="7"/>
  <c r="U1367" i="7"/>
  <c r="K1367" i="7"/>
  <c r="E1367" i="7"/>
  <c r="B1367" i="7"/>
  <c r="U1366" i="7"/>
  <c r="K1366" i="7"/>
  <c r="E1366" i="7"/>
  <c r="B1366" i="7"/>
  <c r="U1365" i="7"/>
  <c r="K1365" i="7"/>
  <c r="E1365" i="7"/>
  <c r="B1365" i="7"/>
  <c r="U1364" i="7"/>
  <c r="K1364" i="7"/>
  <c r="E1364" i="7"/>
  <c r="B1364" i="7"/>
  <c r="U1363" i="7"/>
  <c r="K1363" i="7"/>
  <c r="E1363" i="7"/>
  <c r="B1363" i="7"/>
  <c r="U1362" i="7"/>
  <c r="K1362" i="7"/>
  <c r="E1362" i="7"/>
  <c r="B1362" i="7"/>
  <c r="U1361" i="7"/>
  <c r="K1361" i="7"/>
  <c r="E1361" i="7"/>
  <c r="B1361" i="7"/>
  <c r="U1360" i="7"/>
  <c r="K1360" i="7"/>
  <c r="E1360" i="7"/>
  <c r="B1360" i="7"/>
  <c r="U1359" i="7"/>
  <c r="K1359" i="7"/>
  <c r="E1359" i="7"/>
  <c r="B1359" i="7"/>
  <c r="U1358" i="7"/>
  <c r="K1358" i="7"/>
  <c r="E1358" i="7"/>
  <c r="B1358" i="7"/>
  <c r="U1357" i="7"/>
  <c r="K1357" i="7"/>
  <c r="E1357" i="7"/>
  <c r="B1357" i="7"/>
  <c r="U1356" i="7"/>
  <c r="K1356" i="7"/>
  <c r="E1356" i="7"/>
  <c r="B1356" i="7"/>
  <c r="U1355" i="7"/>
  <c r="K1355" i="7"/>
  <c r="E1355" i="7"/>
  <c r="B1355" i="7"/>
  <c r="U1354" i="7"/>
  <c r="K1354" i="7"/>
  <c r="E1354" i="7"/>
  <c r="B1354" i="7"/>
  <c r="U1353" i="7"/>
  <c r="K1353" i="7"/>
  <c r="E1353" i="7"/>
  <c r="B1353" i="7"/>
  <c r="U1352" i="7"/>
  <c r="K1352" i="7"/>
  <c r="E1352" i="7"/>
  <c r="B1352" i="7"/>
  <c r="U1351" i="7"/>
  <c r="K1351" i="7"/>
  <c r="E1351" i="7"/>
  <c r="B1351" i="7"/>
  <c r="U1350" i="7"/>
  <c r="K1350" i="7"/>
  <c r="E1350" i="7"/>
  <c r="B1350" i="7"/>
  <c r="U1349" i="7"/>
  <c r="K1349" i="7"/>
  <c r="E1349" i="7"/>
  <c r="B1349" i="7"/>
  <c r="U1348" i="7"/>
  <c r="K1348" i="7"/>
  <c r="E1348" i="7"/>
  <c r="B1348" i="7"/>
  <c r="U1347" i="7"/>
  <c r="K1347" i="7"/>
  <c r="E1347" i="7"/>
  <c r="B1347" i="7"/>
  <c r="U1346" i="7"/>
  <c r="K1346" i="7"/>
  <c r="E1346" i="7"/>
  <c r="B1346" i="7"/>
  <c r="U1345" i="7"/>
  <c r="K1345" i="7"/>
  <c r="E1345" i="7"/>
  <c r="B1345" i="7"/>
  <c r="U1344" i="7"/>
  <c r="K1344" i="7"/>
  <c r="E1344" i="7"/>
  <c r="B1344" i="7"/>
  <c r="U1343" i="7"/>
  <c r="K1343" i="7"/>
  <c r="E1343" i="7"/>
  <c r="B1343" i="7"/>
  <c r="U1342" i="7"/>
  <c r="K1342" i="7"/>
  <c r="E1342" i="7"/>
  <c r="B1342" i="7"/>
  <c r="U1341" i="7"/>
  <c r="K1341" i="7"/>
  <c r="E1341" i="7"/>
  <c r="B1341" i="7"/>
  <c r="U1340" i="7"/>
  <c r="K1340" i="7"/>
  <c r="E1340" i="7"/>
  <c r="B1340" i="7"/>
  <c r="U1339" i="7"/>
  <c r="K1339" i="7"/>
  <c r="E1339" i="7"/>
  <c r="B1339" i="7"/>
  <c r="U1338" i="7"/>
  <c r="K1338" i="7"/>
  <c r="E1338" i="7"/>
  <c r="B1338" i="7"/>
  <c r="U1337" i="7"/>
  <c r="K1337" i="7"/>
  <c r="E1337" i="7"/>
  <c r="B1337" i="7"/>
  <c r="U1336" i="7"/>
  <c r="K1336" i="7"/>
  <c r="E1336" i="7"/>
  <c r="B1336" i="7"/>
  <c r="U1335" i="7"/>
  <c r="K1335" i="7"/>
  <c r="E1335" i="7"/>
  <c r="B1335" i="7"/>
  <c r="U1334" i="7"/>
  <c r="K1334" i="7"/>
  <c r="E1334" i="7"/>
  <c r="B1334" i="7"/>
  <c r="U1333" i="7"/>
  <c r="K1333" i="7"/>
  <c r="E1333" i="7"/>
  <c r="B1333" i="7"/>
  <c r="U1332" i="7"/>
  <c r="K1332" i="7"/>
  <c r="E1332" i="7"/>
  <c r="B1332" i="7"/>
  <c r="U1331" i="7"/>
  <c r="K1331" i="7"/>
  <c r="E1331" i="7"/>
  <c r="B1331" i="7"/>
  <c r="U1330" i="7"/>
  <c r="K1330" i="7"/>
  <c r="E1330" i="7"/>
  <c r="B1330" i="7"/>
  <c r="U1329" i="7"/>
  <c r="K1329" i="7"/>
  <c r="E1329" i="7"/>
  <c r="B1329" i="7"/>
  <c r="U1328" i="7"/>
  <c r="K1328" i="7"/>
  <c r="E1328" i="7"/>
  <c r="B1328" i="7"/>
  <c r="U1327" i="7"/>
  <c r="K1327" i="7"/>
  <c r="E1327" i="7"/>
  <c r="B1327" i="7"/>
  <c r="U1326" i="7"/>
  <c r="K1326" i="7"/>
  <c r="E1326" i="7"/>
  <c r="B1326" i="7"/>
  <c r="U1325" i="7"/>
  <c r="K1325" i="7"/>
  <c r="E1325" i="7"/>
  <c r="B1325" i="7"/>
  <c r="U1324" i="7"/>
  <c r="K1324" i="7"/>
  <c r="E1324" i="7"/>
  <c r="B1324" i="7"/>
  <c r="U1323" i="7"/>
  <c r="K1323" i="7"/>
  <c r="E1323" i="7"/>
  <c r="B1323" i="7"/>
  <c r="U1322" i="7"/>
  <c r="K1322" i="7"/>
  <c r="E1322" i="7"/>
  <c r="B1322" i="7"/>
  <c r="U1321" i="7"/>
  <c r="K1321" i="7"/>
  <c r="E1321" i="7"/>
  <c r="B1321" i="7"/>
  <c r="U1320" i="7"/>
  <c r="K1320" i="7"/>
  <c r="E1320" i="7"/>
  <c r="B1320" i="7"/>
  <c r="U1319" i="7"/>
  <c r="K1319" i="7"/>
  <c r="E1319" i="7"/>
  <c r="B1319" i="7"/>
  <c r="U1318" i="7"/>
  <c r="K1318" i="7"/>
  <c r="E1318" i="7"/>
  <c r="B1318" i="7"/>
  <c r="U1317" i="7"/>
  <c r="K1317" i="7"/>
  <c r="E1317" i="7"/>
  <c r="B1317" i="7"/>
  <c r="U1316" i="7"/>
  <c r="K1316" i="7"/>
  <c r="E1316" i="7"/>
  <c r="B1316" i="7"/>
  <c r="U1315" i="7"/>
  <c r="K1315" i="7"/>
  <c r="E1315" i="7"/>
  <c r="B1315" i="7"/>
  <c r="U1314" i="7"/>
  <c r="K1314" i="7"/>
  <c r="E1314" i="7"/>
  <c r="B1314" i="7"/>
  <c r="U1313" i="7"/>
  <c r="K1313" i="7"/>
  <c r="E1313" i="7"/>
  <c r="B1313" i="7"/>
  <c r="U1312" i="7"/>
  <c r="K1312" i="7"/>
  <c r="E1312" i="7"/>
  <c r="B1312" i="7"/>
  <c r="U1311" i="7"/>
  <c r="K1311" i="7"/>
  <c r="E1311" i="7"/>
  <c r="B1311" i="7"/>
  <c r="U1310" i="7"/>
  <c r="K1310" i="7"/>
  <c r="E1310" i="7"/>
  <c r="B1310" i="7"/>
  <c r="U1309" i="7"/>
  <c r="K1309" i="7"/>
  <c r="E1309" i="7"/>
  <c r="B1309" i="7"/>
  <c r="U1308" i="7"/>
  <c r="K1308" i="7"/>
  <c r="E1308" i="7"/>
  <c r="B1308" i="7"/>
  <c r="U1307" i="7"/>
  <c r="K1307" i="7"/>
  <c r="E1307" i="7"/>
  <c r="B1307" i="7"/>
  <c r="U1306" i="7"/>
  <c r="K1306" i="7"/>
  <c r="E1306" i="7"/>
  <c r="B1306" i="7"/>
  <c r="U1305" i="7"/>
  <c r="K1305" i="7"/>
  <c r="E1305" i="7"/>
  <c r="B1305" i="7"/>
  <c r="U1304" i="7"/>
  <c r="K1304" i="7"/>
  <c r="E1304" i="7"/>
  <c r="B1304" i="7"/>
  <c r="U1303" i="7"/>
  <c r="K1303" i="7"/>
  <c r="E1303" i="7"/>
  <c r="B1303" i="7"/>
  <c r="U1302" i="7"/>
  <c r="K1302" i="7"/>
  <c r="E1302" i="7"/>
  <c r="B1302" i="7"/>
  <c r="U1301" i="7"/>
  <c r="K1301" i="7"/>
  <c r="E1301" i="7"/>
  <c r="B1301" i="7"/>
  <c r="U1300" i="7"/>
  <c r="K1300" i="7"/>
  <c r="E1300" i="7"/>
  <c r="B1300" i="7"/>
  <c r="U1299" i="7"/>
  <c r="K1299" i="7"/>
  <c r="E1299" i="7"/>
  <c r="B1299" i="7"/>
  <c r="U1298" i="7"/>
  <c r="K1298" i="7"/>
  <c r="E1298" i="7"/>
  <c r="B1298" i="7"/>
  <c r="U1297" i="7"/>
  <c r="K1297" i="7"/>
  <c r="E1297" i="7"/>
  <c r="B1297" i="7"/>
  <c r="U1296" i="7"/>
  <c r="K1296" i="7"/>
  <c r="E1296" i="7"/>
  <c r="B1296" i="7"/>
  <c r="U1295" i="7"/>
  <c r="K1295" i="7"/>
  <c r="E1295" i="7"/>
  <c r="B1295" i="7"/>
  <c r="U1294" i="7"/>
  <c r="K1294" i="7"/>
  <c r="E1294" i="7"/>
  <c r="B1294" i="7"/>
  <c r="U1293" i="7"/>
  <c r="K1293" i="7"/>
  <c r="E1293" i="7"/>
  <c r="B1293" i="7"/>
  <c r="U1292" i="7"/>
  <c r="K1292" i="7"/>
  <c r="E1292" i="7"/>
  <c r="B1292" i="7"/>
  <c r="U1291" i="7"/>
  <c r="K1291" i="7"/>
  <c r="E1291" i="7"/>
  <c r="B1291" i="7"/>
  <c r="U1290" i="7"/>
  <c r="E1290" i="7"/>
  <c r="B1290" i="7"/>
  <c r="U1289" i="7"/>
  <c r="K1289" i="7"/>
  <c r="E1289" i="7"/>
  <c r="B1289" i="7"/>
  <c r="U1288" i="7"/>
  <c r="K1288" i="7"/>
  <c r="E1288" i="7"/>
  <c r="B1288" i="7"/>
  <c r="U1287" i="7"/>
  <c r="K1287" i="7"/>
  <c r="E1287" i="7"/>
  <c r="B1287" i="7"/>
  <c r="U1286" i="7"/>
  <c r="K1286" i="7"/>
  <c r="E1286" i="7"/>
  <c r="B1286" i="7"/>
  <c r="U1285" i="7"/>
  <c r="K1285" i="7"/>
  <c r="E1285" i="7"/>
  <c r="B1285" i="7"/>
  <c r="U1284" i="7"/>
  <c r="K1284" i="7"/>
  <c r="E1284" i="7"/>
  <c r="B1284" i="7"/>
  <c r="U1283" i="7"/>
  <c r="K1283" i="7"/>
  <c r="E1283" i="7"/>
  <c r="B1283" i="7"/>
  <c r="U1282" i="7"/>
  <c r="K1282" i="7"/>
  <c r="E1282" i="7"/>
  <c r="B1282" i="7"/>
  <c r="K1281" i="7"/>
  <c r="E1281" i="7"/>
  <c r="B1281" i="7"/>
  <c r="U1280" i="7"/>
  <c r="K1280" i="7"/>
  <c r="E1280" i="7"/>
  <c r="B1280" i="7"/>
  <c r="U1279" i="7"/>
  <c r="K1279" i="7"/>
  <c r="E1279" i="7"/>
  <c r="B1279" i="7"/>
  <c r="U1278" i="7"/>
  <c r="K1278" i="7"/>
  <c r="E1278" i="7"/>
  <c r="B1278" i="7"/>
  <c r="U1277" i="7"/>
  <c r="K1277" i="7"/>
  <c r="E1277" i="7"/>
  <c r="B1277" i="7"/>
  <c r="U1276" i="7"/>
  <c r="K1276" i="7"/>
  <c r="E1276" i="7"/>
  <c r="B1276" i="7"/>
  <c r="U1275" i="7"/>
  <c r="K1275" i="7"/>
  <c r="E1275" i="7"/>
  <c r="B1275" i="7"/>
  <c r="U1274" i="7"/>
  <c r="K1274" i="7"/>
  <c r="E1274" i="7"/>
  <c r="B1274" i="7"/>
  <c r="U1273" i="7"/>
  <c r="K1273" i="7"/>
  <c r="E1273" i="7"/>
  <c r="B1273" i="7"/>
  <c r="U1272" i="7"/>
  <c r="K1272" i="7"/>
  <c r="E1272" i="7"/>
  <c r="B1272" i="7"/>
  <c r="U1271" i="7"/>
  <c r="K1271" i="7"/>
  <c r="E1271" i="7"/>
  <c r="B1271" i="7"/>
  <c r="U1270" i="7"/>
  <c r="K1270" i="7"/>
  <c r="E1270" i="7"/>
  <c r="B1270" i="7"/>
  <c r="U1269" i="7"/>
  <c r="K1269" i="7"/>
  <c r="E1269" i="7"/>
  <c r="B1269" i="7"/>
  <c r="U1268" i="7"/>
  <c r="K1268" i="7"/>
  <c r="E1268" i="7"/>
  <c r="B1268" i="7"/>
  <c r="U1267" i="7"/>
  <c r="K1267" i="7"/>
  <c r="E1267" i="7"/>
  <c r="B1267" i="7"/>
  <c r="U1266" i="7"/>
  <c r="K1266" i="7"/>
  <c r="E1266" i="7"/>
  <c r="B1266" i="7"/>
  <c r="U1265" i="7"/>
  <c r="K1265" i="7"/>
  <c r="E1265" i="7"/>
  <c r="B1265" i="7"/>
  <c r="U1264" i="7"/>
  <c r="K1264" i="7"/>
  <c r="E1264" i="7"/>
  <c r="B1264" i="7"/>
  <c r="U1263" i="7"/>
  <c r="K1263" i="7"/>
  <c r="E1263" i="7"/>
  <c r="B1263" i="7"/>
  <c r="U1262" i="7"/>
  <c r="K1262" i="7"/>
  <c r="E1262" i="7"/>
  <c r="B1262" i="7"/>
  <c r="U1261" i="7"/>
  <c r="K1261" i="7"/>
  <c r="E1261" i="7"/>
  <c r="B1261" i="7"/>
  <c r="U1260" i="7"/>
  <c r="K1260" i="7"/>
  <c r="E1260" i="7"/>
  <c r="B1260" i="7"/>
  <c r="U1259" i="7"/>
  <c r="K1259" i="7"/>
  <c r="E1259" i="7"/>
  <c r="B1259" i="7"/>
  <c r="U1258" i="7"/>
  <c r="K1258" i="7"/>
  <c r="E1258" i="7"/>
  <c r="B1258" i="7"/>
  <c r="U1257" i="7"/>
  <c r="K1257" i="7"/>
  <c r="E1257" i="7"/>
  <c r="B1257" i="7"/>
  <c r="U1256" i="7"/>
  <c r="K1256" i="7"/>
  <c r="E1256" i="7"/>
  <c r="B1256" i="7"/>
  <c r="U1255" i="7"/>
  <c r="K1255" i="7"/>
  <c r="E1255" i="7"/>
  <c r="B1255" i="7"/>
  <c r="U1254" i="7"/>
  <c r="K1254" i="7"/>
  <c r="E1254" i="7"/>
  <c r="B1254" i="7"/>
  <c r="U1253" i="7"/>
  <c r="K1253" i="7"/>
  <c r="E1253" i="7"/>
  <c r="B1253" i="7"/>
  <c r="U1252" i="7"/>
  <c r="K1252" i="7"/>
  <c r="E1252" i="7"/>
  <c r="B1252" i="7"/>
  <c r="U1251" i="7"/>
  <c r="K1251" i="7"/>
  <c r="E1251" i="7"/>
  <c r="B1251" i="7"/>
  <c r="U1250" i="7"/>
  <c r="K1250" i="7"/>
  <c r="E1250" i="7"/>
  <c r="B1250" i="7"/>
  <c r="U1249" i="7"/>
  <c r="K1249" i="7"/>
  <c r="E1249" i="7"/>
  <c r="B1249" i="7"/>
  <c r="U1248" i="7"/>
  <c r="K1248" i="7"/>
  <c r="E1248" i="7"/>
  <c r="B1248" i="7"/>
  <c r="U1247" i="7"/>
  <c r="K1247" i="7"/>
  <c r="E1247" i="7"/>
  <c r="B1247" i="7"/>
  <c r="U1246" i="7"/>
  <c r="K1246" i="7"/>
  <c r="E1246" i="7"/>
  <c r="B1246" i="7"/>
  <c r="U1245" i="7"/>
  <c r="K1245" i="7"/>
  <c r="E1245" i="7"/>
  <c r="B1245" i="7"/>
  <c r="U1244" i="7"/>
  <c r="K1244" i="7"/>
  <c r="E1244" i="7"/>
  <c r="B1244" i="7"/>
  <c r="U1243" i="7"/>
  <c r="K1243" i="7"/>
  <c r="E1243" i="7"/>
  <c r="B1243" i="7"/>
  <c r="U1242" i="7"/>
  <c r="K1242" i="7"/>
  <c r="E1242" i="7"/>
  <c r="B1242" i="7"/>
  <c r="U1241" i="7"/>
  <c r="K1241" i="7"/>
  <c r="E1241" i="7"/>
  <c r="B1241" i="7"/>
  <c r="U1240" i="7"/>
  <c r="K1240" i="7"/>
  <c r="E1240" i="7"/>
  <c r="B1240" i="7"/>
  <c r="U1239" i="7"/>
  <c r="K1239" i="7"/>
  <c r="E1239" i="7"/>
  <c r="B1239" i="7"/>
  <c r="U1238" i="7"/>
  <c r="K1238" i="7"/>
  <c r="E1238" i="7"/>
  <c r="B1238" i="7"/>
  <c r="U1237" i="7"/>
  <c r="K1237" i="7"/>
  <c r="E1237" i="7"/>
  <c r="B1237" i="7"/>
  <c r="U1236" i="7"/>
  <c r="K1236" i="7"/>
  <c r="E1236" i="7"/>
  <c r="B1236" i="7"/>
  <c r="U1235" i="7"/>
  <c r="K1235" i="7"/>
  <c r="E1235" i="7"/>
  <c r="B1235" i="7"/>
  <c r="U1234" i="7"/>
  <c r="K1234" i="7"/>
  <c r="E1234" i="7"/>
  <c r="B1234" i="7"/>
  <c r="U1233" i="7"/>
  <c r="K1233" i="7"/>
  <c r="E1233" i="7"/>
  <c r="B1233" i="7"/>
  <c r="U1232" i="7"/>
  <c r="K1232" i="7"/>
  <c r="E1232" i="7"/>
  <c r="B1232" i="7"/>
  <c r="U1231" i="7"/>
  <c r="K1231" i="7"/>
  <c r="E1231" i="7"/>
  <c r="B1231" i="7"/>
  <c r="U1230" i="7"/>
  <c r="K1230" i="7"/>
  <c r="E1230" i="7"/>
  <c r="B1230" i="7"/>
  <c r="U1229" i="7"/>
  <c r="K1229" i="7"/>
  <c r="E1229" i="7"/>
  <c r="B1229" i="7"/>
  <c r="U1228" i="7"/>
  <c r="K1228" i="7"/>
  <c r="E1228" i="7"/>
  <c r="B1228" i="7"/>
  <c r="U1227" i="7"/>
  <c r="K1227" i="7"/>
  <c r="E1227" i="7"/>
  <c r="B1227" i="7"/>
  <c r="U1226" i="7"/>
  <c r="K1226" i="7"/>
  <c r="E1226" i="7"/>
  <c r="B1226" i="7"/>
  <c r="U1225" i="7"/>
  <c r="K1225" i="7"/>
  <c r="E1225" i="7"/>
  <c r="B1225" i="7"/>
  <c r="U1224" i="7"/>
  <c r="K1224" i="7"/>
  <c r="E1224" i="7"/>
  <c r="B1224" i="7"/>
  <c r="U1223" i="7"/>
  <c r="K1223" i="7"/>
  <c r="E1223" i="7"/>
  <c r="B1223" i="7"/>
  <c r="U1222" i="7"/>
  <c r="K1222" i="7"/>
  <c r="E1222" i="7"/>
  <c r="B1222" i="7"/>
  <c r="U1221" i="7"/>
  <c r="K1221" i="7"/>
  <c r="E1221" i="7"/>
  <c r="B1221" i="7"/>
  <c r="U1220" i="7"/>
  <c r="K1220" i="7"/>
  <c r="E1220" i="7"/>
  <c r="B1220" i="7"/>
  <c r="U1219" i="7"/>
  <c r="K1219" i="7"/>
  <c r="E1219" i="7"/>
  <c r="B1219" i="7"/>
  <c r="U1218" i="7"/>
  <c r="K1218" i="7"/>
  <c r="E1218" i="7"/>
  <c r="B1218" i="7"/>
  <c r="U1217" i="7"/>
  <c r="K1217" i="7"/>
  <c r="E1217" i="7"/>
  <c r="B1217" i="7"/>
  <c r="U1216" i="7"/>
  <c r="E1216" i="7"/>
  <c r="B1216" i="7"/>
  <c r="U1215" i="7"/>
  <c r="K1215" i="7"/>
  <c r="E1215" i="7"/>
  <c r="B1215" i="7"/>
  <c r="U1214" i="7"/>
  <c r="K1214" i="7"/>
  <c r="E1214" i="7"/>
  <c r="B1214" i="7"/>
  <c r="U1213" i="7"/>
  <c r="K1213" i="7"/>
  <c r="E1213" i="7"/>
  <c r="B1213" i="7"/>
  <c r="U1212" i="7"/>
  <c r="K1212" i="7"/>
  <c r="E1212" i="7"/>
  <c r="B1212" i="7"/>
  <c r="U1211" i="7"/>
  <c r="K1211" i="7"/>
  <c r="E1211" i="7"/>
  <c r="B1211" i="7"/>
  <c r="U1210" i="7"/>
  <c r="K1210" i="7"/>
  <c r="E1210" i="7"/>
  <c r="B1210" i="7"/>
  <c r="U1209" i="7"/>
  <c r="K1209" i="7"/>
  <c r="E1209" i="7"/>
  <c r="B1209" i="7"/>
  <c r="U1208" i="7"/>
  <c r="K1208" i="7"/>
  <c r="E1208" i="7"/>
  <c r="B1208" i="7"/>
  <c r="U1207" i="7"/>
  <c r="K1207" i="7"/>
  <c r="E1207" i="7"/>
  <c r="B1207" i="7"/>
  <c r="U1206" i="7"/>
  <c r="K1206" i="7"/>
  <c r="E1206" i="7"/>
  <c r="B1206" i="7"/>
  <c r="U1205" i="7"/>
  <c r="K1205" i="7"/>
  <c r="E1205" i="7"/>
  <c r="B1205" i="7"/>
  <c r="U1204" i="7"/>
  <c r="K1204" i="7"/>
  <c r="E1204" i="7"/>
  <c r="B1204" i="7"/>
  <c r="U1203" i="7"/>
  <c r="K1203" i="7"/>
  <c r="E1203" i="7"/>
  <c r="B1203" i="7"/>
  <c r="U1202" i="7"/>
  <c r="K1202" i="7"/>
  <c r="E1202" i="7"/>
  <c r="B1202" i="7"/>
  <c r="U1201" i="7"/>
  <c r="K1201" i="7"/>
  <c r="E1201" i="7"/>
  <c r="B1201" i="7"/>
  <c r="U1200" i="7"/>
  <c r="K1200" i="7"/>
  <c r="E1200" i="7"/>
  <c r="B1200" i="7"/>
  <c r="U1199" i="7"/>
  <c r="K1199" i="7"/>
  <c r="E1199" i="7"/>
  <c r="B1199" i="7"/>
  <c r="U1198" i="7"/>
  <c r="K1198" i="7"/>
  <c r="E1198" i="7"/>
  <c r="B1198" i="7"/>
  <c r="U1197" i="7"/>
  <c r="K1197" i="7"/>
  <c r="E1197" i="7"/>
  <c r="B1197" i="7"/>
  <c r="U1196" i="7"/>
  <c r="K1196" i="7"/>
  <c r="E1196" i="7"/>
  <c r="B1196" i="7"/>
  <c r="U1195" i="7"/>
  <c r="K1195" i="7"/>
  <c r="E1195" i="7"/>
  <c r="B1195" i="7"/>
  <c r="U1194" i="7"/>
  <c r="K1194" i="7"/>
  <c r="E1194" i="7"/>
  <c r="B1194" i="7"/>
  <c r="U1193" i="7"/>
  <c r="K1193" i="7"/>
  <c r="E1193" i="7"/>
  <c r="B1193" i="7"/>
  <c r="U1192" i="7"/>
  <c r="K1192" i="7"/>
  <c r="E1192" i="7"/>
  <c r="B1192" i="7"/>
  <c r="U1191" i="7"/>
  <c r="K1191" i="7"/>
  <c r="E1191" i="7"/>
  <c r="B1191" i="7"/>
  <c r="U1190" i="7"/>
  <c r="K1190" i="7"/>
  <c r="E1190" i="7"/>
  <c r="B1190" i="7"/>
  <c r="U1189" i="7"/>
  <c r="K1189" i="7"/>
  <c r="E1189" i="7"/>
  <c r="B1189" i="7"/>
  <c r="U1188" i="7"/>
  <c r="K1188" i="7"/>
  <c r="E1188" i="7"/>
  <c r="B1188" i="7"/>
  <c r="U1187" i="7"/>
  <c r="K1187" i="7"/>
  <c r="E1187" i="7"/>
  <c r="B1187" i="7"/>
  <c r="U1186" i="7"/>
  <c r="K1186" i="7"/>
  <c r="E1186" i="7"/>
  <c r="B1186" i="7"/>
  <c r="U1185" i="7"/>
  <c r="K1185" i="7"/>
  <c r="E1185" i="7"/>
  <c r="B1185" i="7"/>
  <c r="U1184" i="7"/>
  <c r="K1184" i="7"/>
  <c r="E1184" i="7"/>
  <c r="B1184" i="7"/>
  <c r="U1183" i="7"/>
  <c r="K1183" i="7"/>
  <c r="E1183" i="7"/>
  <c r="B1183" i="7"/>
  <c r="U1182" i="7"/>
  <c r="K1182" i="7"/>
  <c r="E1182" i="7"/>
  <c r="B1182" i="7"/>
  <c r="U1181" i="7"/>
  <c r="K1181" i="7"/>
  <c r="E1181" i="7"/>
  <c r="B1181" i="7"/>
  <c r="U1180" i="7"/>
  <c r="K1180" i="7"/>
  <c r="E1180" i="7"/>
  <c r="B1180" i="7"/>
  <c r="U1179" i="7"/>
  <c r="K1179" i="7"/>
  <c r="E1179" i="7"/>
  <c r="B1179" i="7"/>
  <c r="U1178" i="7"/>
  <c r="K1178" i="7"/>
  <c r="E1178" i="7"/>
  <c r="B1178" i="7"/>
  <c r="U1177" i="7"/>
  <c r="K1177" i="7"/>
  <c r="E1177" i="7"/>
  <c r="B1177" i="7"/>
  <c r="U1176" i="7"/>
  <c r="K1176" i="7"/>
  <c r="E1176" i="7"/>
  <c r="B1176" i="7"/>
  <c r="U1175" i="7"/>
  <c r="K1175" i="7"/>
  <c r="E1175" i="7"/>
  <c r="B1175" i="7"/>
  <c r="U1174" i="7"/>
  <c r="K1174" i="7"/>
  <c r="E1174" i="7"/>
  <c r="B1174" i="7"/>
  <c r="U1173" i="7"/>
  <c r="K1173" i="7"/>
  <c r="E1173" i="7"/>
  <c r="B1173" i="7"/>
  <c r="U1172" i="7"/>
  <c r="K1172" i="7"/>
  <c r="E1172" i="7"/>
  <c r="B1172" i="7"/>
  <c r="U1171" i="7"/>
  <c r="E1171" i="7"/>
  <c r="B1171" i="7"/>
  <c r="U1170" i="7"/>
  <c r="K1170" i="7"/>
  <c r="E1170" i="7"/>
  <c r="B1170" i="7"/>
  <c r="U1169" i="7"/>
  <c r="K1169" i="7"/>
  <c r="E1169" i="7"/>
  <c r="B1169" i="7"/>
  <c r="U1168" i="7"/>
  <c r="K1168" i="7"/>
  <c r="E1168" i="7"/>
  <c r="B1168" i="7"/>
  <c r="U1167" i="7"/>
  <c r="K1167" i="7"/>
  <c r="E1167" i="7"/>
  <c r="B1167" i="7"/>
  <c r="U1166" i="7"/>
  <c r="K1166" i="7"/>
  <c r="E1166" i="7"/>
  <c r="B1166" i="7"/>
  <c r="U1165" i="7"/>
  <c r="K1165" i="7"/>
  <c r="E1165" i="7"/>
  <c r="B1165" i="7"/>
  <c r="U1164" i="7"/>
  <c r="K1164" i="7"/>
  <c r="E1164" i="7"/>
  <c r="B1164" i="7"/>
  <c r="U1163" i="7"/>
  <c r="K1163" i="7"/>
  <c r="E1163" i="7"/>
  <c r="B1163" i="7"/>
  <c r="U1162" i="7"/>
  <c r="K1162" i="7"/>
  <c r="E1162" i="7"/>
  <c r="B1162" i="7"/>
  <c r="U1161" i="7"/>
  <c r="K1161" i="7"/>
  <c r="E1161" i="7"/>
  <c r="B1161" i="7"/>
  <c r="U1160" i="7"/>
  <c r="K1160" i="7"/>
  <c r="E1160" i="7"/>
  <c r="B1160" i="7"/>
  <c r="U1159" i="7"/>
  <c r="K1159" i="7"/>
  <c r="E1159" i="7"/>
  <c r="B1159" i="7"/>
  <c r="U1158" i="7"/>
  <c r="K1158" i="7"/>
  <c r="E1158" i="7"/>
  <c r="B1158" i="7"/>
  <c r="U1157" i="7"/>
  <c r="K1157" i="7"/>
  <c r="E1157" i="7"/>
  <c r="B1157" i="7"/>
  <c r="U1156" i="7"/>
  <c r="K1156" i="7"/>
  <c r="E1156" i="7"/>
  <c r="B1156" i="7"/>
  <c r="U1155" i="7"/>
  <c r="K1155" i="7"/>
  <c r="E1155" i="7"/>
  <c r="B1155" i="7"/>
  <c r="U1154" i="7"/>
  <c r="K1154" i="7"/>
  <c r="E1154" i="7"/>
  <c r="B1154" i="7"/>
  <c r="U1153" i="7"/>
  <c r="K1153" i="7"/>
  <c r="E1153" i="7"/>
  <c r="B1153" i="7"/>
  <c r="U1152" i="7"/>
  <c r="K1152" i="7"/>
  <c r="E1152" i="7"/>
  <c r="B1152" i="7"/>
  <c r="U1151" i="7"/>
  <c r="E1151" i="7"/>
  <c r="B1151" i="7"/>
  <c r="U1150" i="7"/>
  <c r="K1150" i="7"/>
  <c r="E1150" i="7"/>
  <c r="B1150" i="7"/>
  <c r="U1149" i="7"/>
  <c r="K1149" i="7"/>
  <c r="E1149" i="7"/>
  <c r="B1149" i="7"/>
  <c r="U1148" i="7"/>
  <c r="K1148" i="7"/>
  <c r="E1148" i="7"/>
  <c r="B1148" i="7"/>
  <c r="U1147" i="7"/>
  <c r="K1147" i="7"/>
  <c r="E1147" i="7"/>
  <c r="B1147" i="7"/>
  <c r="U1146" i="7"/>
  <c r="K1146" i="7"/>
  <c r="E1146" i="7"/>
  <c r="B1146" i="7"/>
  <c r="U1145" i="7"/>
  <c r="K1145" i="7"/>
  <c r="E1145" i="7"/>
  <c r="B1145" i="7"/>
  <c r="U1144" i="7"/>
  <c r="K1144" i="7"/>
  <c r="E1144" i="7"/>
  <c r="B1144" i="7"/>
  <c r="U1143" i="7"/>
  <c r="K1143" i="7"/>
  <c r="E1143" i="7"/>
  <c r="B1143" i="7"/>
  <c r="U1142" i="7"/>
  <c r="K1142" i="7"/>
  <c r="E1142" i="7"/>
  <c r="B1142" i="7"/>
  <c r="U1141" i="7"/>
  <c r="K1141" i="7"/>
  <c r="E1141" i="7"/>
  <c r="B1141" i="7"/>
  <c r="U1140" i="7"/>
  <c r="K1140" i="7"/>
  <c r="E1140" i="7"/>
  <c r="B1140" i="7"/>
  <c r="U1139" i="7"/>
  <c r="K1139" i="7"/>
  <c r="E1139" i="7"/>
  <c r="B1139" i="7"/>
  <c r="U1138" i="7"/>
  <c r="K1138" i="7"/>
  <c r="E1138" i="7"/>
  <c r="B1138" i="7"/>
  <c r="U1137" i="7"/>
  <c r="K1137" i="7"/>
  <c r="E1137" i="7"/>
  <c r="B1137" i="7"/>
  <c r="U1136" i="7"/>
  <c r="K1136" i="7"/>
  <c r="E1136" i="7"/>
  <c r="B1136" i="7"/>
  <c r="U1135" i="7"/>
  <c r="K1135" i="7"/>
  <c r="E1135" i="7"/>
  <c r="B1135" i="7"/>
  <c r="U1134" i="7"/>
  <c r="K1134" i="7"/>
  <c r="E1134" i="7"/>
  <c r="B1134" i="7"/>
  <c r="U1133" i="7"/>
  <c r="K1133" i="7"/>
  <c r="E1133" i="7"/>
  <c r="B1133" i="7"/>
  <c r="U1132" i="7"/>
  <c r="K1132" i="7"/>
  <c r="E1132" i="7"/>
  <c r="B1132" i="7"/>
  <c r="U1131" i="7"/>
  <c r="K1131" i="7"/>
  <c r="E1131" i="7"/>
  <c r="B1131" i="7"/>
  <c r="U1130" i="7"/>
  <c r="K1130" i="7"/>
  <c r="E1130" i="7"/>
  <c r="B1130" i="7"/>
  <c r="U1129" i="7"/>
  <c r="K1129" i="7"/>
  <c r="E1129" i="7"/>
  <c r="B1129" i="7"/>
  <c r="U1128" i="7"/>
  <c r="K1128" i="7"/>
  <c r="E1128" i="7"/>
  <c r="B1128" i="7"/>
  <c r="U1127" i="7"/>
  <c r="K1127" i="7"/>
  <c r="E1127" i="7"/>
  <c r="B1127" i="7"/>
  <c r="U1126" i="7"/>
  <c r="K1126" i="7"/>
  <c r="E1126" i="7"/>
  <c r="B1126" i="7"/>
  <c r="U1125" i="7"/>
  <c r="K1125" i="7"/>
  <c r="E1125" i="7"/>
  <c r="B1125" i="7"/>
  <c r="U1124" i="7"/>
  <c r="K1124" i="7"/>
  <c r="E1124" i="7"/>
  <c r="B1124" i="7"/>
  <c r="U1123" i="7"/>
  <c r="K1123" i="7"/>
  <c r="E1123" i="7"/>
  <c r="B1123" i="7"/>
  <c r="U1122" i="7"/>
  <c r="K1122" i="7"/>
  <c r="E1122" i="7"/>
  <c r="B1122" i="7"/>
  <c r="U1121" i="7"/>
  <c r="K1121" i="7"/>
  <c r="E1121" i="7"/>
  <c r="B1121" i="7"/>
  <c r="U1120" i="7"/>
  <c r="K1120" i="7"/>
  <c r="E1120" i="7"/>
  <c r="B1120" i="7"/>
  <c r="U1119" i="7"/>
  <c r="K1119" i="7"/>
  <c r="E1119" i="7"/>
  <c r="B1119" i="7"/>
  <c r="U1118" i="7"/>
  <c r="K1118" i="7"/>
  <c r="E1118" i="7"/>
  <c r="B1118" i="7"/>
  <c r="U1117" i="7"/>
  <c r="K1117" i="7"/>
  <c r="E1117" i="7"/>
  <c r="B1117" i="7"/>
  <c r="U1116" i="7"/>
  <c r="K1116" i="7"/>
  <c r="E1116" i="7"/>
  <c r="B1116" i="7"/>
  <c r="U1115" i="7"/>
  <c r="K1115" i="7"/>
  <c r="E1115" i="7"/>
  <c r="B1115" i="7"/>
  <c r="U1114" i="7"/>
  <c r="K1114" i="7"/>
  <c r="E1114" i="7"/>
  <c r="B1114" i="7"/>
  <c r="U1113" i="7"/>
  <c r="K1113" i="7"/>
  <c r="E1113" i="7"/>
  <c r="B1113" i="7"/>
  <c r="U1112" i="7"/>
  <c r="K1112" i="7"/>
  <c r="E1112" i="7"/>
  <c r="B1112" i="7"/>
  <c r="U1111" i="7"/>
  <c r="K1111" i="7"/>
  <c r="E1111" i="7"/>
  <c r="B1111" i="7"/>
  <c r="U1110" i="7"/>
  <c r="K1110" i="7"/>
  <c r="E1110" i="7"/>
  <c r="B1110" i="7"/>
  <c r="U1109" i="7"/>
  <c r="K1109" i="7"/>
  <c r="E1109" i="7"/>
  <c r="B1109" i="7"/>
  <c r="U1108" i="7"/>
  <c r="K1108" i="7"/>
  <c r="E1108" i="7"/>
  <c r="B1108" i="7"/>
  <c r="U1107" i="7"/>
  <c r="K1107" i="7"/>
  <c r="E1107" i="7"/>
  <c r="B1107" i="7"/>
  <c r="U1106" i="7"/>
  <c r="K1106" i="7"/>
  <c r="E1106" i="7"/>
  <c r="B1106" i="7"/>
  <c r="U1105" i="7"/>
  <c r="K1105" i="7"/>
  <c r="E1105" i="7"/>
  <c r="B1105" i="7"/>
  <c r="U1104" i="7"/>
  <c r="K1104" i="7"/>
  <c r="E1104" i="7"/>
  <c r="B1104" i="7"/>
  <c r="U1103" i="7"/>
  <c r="K1103" i="7"/>
  <c r="E1103" i="7"/>
  <c r="B1103" i="7"/>
  <c r="U1102" i="7"/>
  <c r="K1102" i="7"/>
  <c r="E1102" i="7"/>
  <c r="B1102" i="7"/>
  <c r="U1101" i="7"/>
  <c r="K1101" i="7"/>
  <c r="E1101" i="7"/>
  <c r="B1101" i="7"/>
  <c r="U1100" i="7"/>
  <c r="K1100" i="7"/>
  <c r="E1100" i="7"/>
  <c r="B1100" i="7"/>
  <c r="U1099" i="7"/>
  <c r="K1099" i="7"/>
  <c r="E1099" i="7"/>
  <c r="B1099" i="7"/>
  <c r="U1098" i="7"/>
  <c r="K1098" i="7"/>
  <c r="E1098" i="7"/>
  <c r="B1098" i="7"/>
  <c r="U1097" i="7"/>
  <c r="K1097" i="7"/>
  <c r="E1097" i="7"/>
  <c r="B1097" i="7"/>
  <c r="U1096" i="7"/>
  <c r="K1096" i="7"/>
  <c r="E1096" i="7"/>
  <c r="B1096" i="7"/>
  <c r="U1095" i="7"/>
  <c r="K1095" i="7"/>
  <c r="E1095" i="7"/>
  <c r="B1095" i="7"/>
  <c r="U1094" i="7"/>
  <c r="K1094" i="7"/>
  <c r="E1094" i="7"/>
  <c r="B1094" i="7"/>
  <c r="U1093" i="7"/>
  <c r="K1093" i="7"/>
  <c r="E1093" i="7"/>
  <c r="B1093" i="7"/>
  <c r="U1092" i="7"/>
  <c r="K1092" i="7"/>
  <c r="E1092" i="7"/>
  <c r="B1092" i="7"/>
  <c r="U1091" i="7"/>
  <c r="K1091" i="7"/>
  <c r="E1091" i="7"/>
  <c r="B1091" i="7"/>
  <c r="U1090" i="7"/>
  <c r="K1090" i="7"/>
  <c r="E1090" i="7"/>
  <c r="B1090" i="7"/>
  <c r="U1089" i="7"/>
  <c r="K1089" i="7"/>
  <c r="E1089" i="7"/>
  <c r="B1089" i="7"/>
  <c r="U1088" i="7"/>
  <c r="K1088" i="7"/>
  <c r="E1088" i="7"/>
  <c r="B1088" i="7"/>
  <c r="U1087" i="7"/>
  <c r="K1087" i="7"/>
  <c r="E1087" i="7"/>
  <c r="B1087" i="7"/>
  <c r="U1086" i="7"/>
  <c r="K1086" i="7"/>
  <c r="E1086" i="7"/>
  <c r="B1086" i="7"/>
  <c r="U1085" i="7"/>
  <c r="K1085" i="7"/>
  <c r="E1085" i="7"/>
  <c r="B1085" i="7"/>
  <c r="U1084" i="7"/>
  <c r="K1084" i="7"/>
  <c r="E1084" i="7"/>
  <c r="B1084" i="7"/>
  <c r="U1083" i="7"/>
  <c r="K1083" i="7"/>
  <c r="E1083" i="7"/>
  <c r="B1083" i="7"/>
  <c r="U1082" i="7"/>
  <c r="K1082" i="7"/>
  <c r="E1082" i="7"/>
  <c r="B1082" i="7"/>
  <c r="U1081" i="7"/>
  <c r="K1081" i="7"/>
  <c r="E1081" i="7"/>
  <c r="B1081" i="7"/>
  <c r="U1080" i="7"/>
  <c r="K1080" i="7"/>
  <c r="E1080" i="7"/>
  <c r="B1080" i="7"/>
  <c r="U1079" i="7"/>
  <c r="K1079" i="7"/>
  <c r="E1079" i="7"/>
  <c r="B1079" i="7"/>
  <c r="U1078" i="7"/>
  <c r="K1078" i="7"/>
  <c r="E1078" i="7"/>
  <c r="B1078" i="7"/>
  <c r="U1077" i="7"/>
  <c r="K1077" i="7"/>
  <c r="E1077" i="7"/>
  <c r="B1077" i="7"/>
  <c r="K1076" i="7"/>
  <c r="E1076" i="7"/>
  <c r="B1076" i="7"/>
  <c r="U1075" i="7"/>
  <c r="K1075" i="7"/>
  <c r="E1075" i="7"/>
  <c r="B1075" i="7"/>
  <c r="U1074" i="7"/>
  <c r="K1074" i="7"/>
  <c r="E1074" i="7"/>
  <c r="B1074" i="7"/>
  <c r="U1073" i="7"/>
  <c r="K1073" i="7"/>
  <c r="E1073" i="7"/>
  <c r="B1073" i="7"/>
  <c r="U1072" i="7"/>
  <c r="K1072" i="7"/>
  <c r="E1072" i="7"/>
  <c r="B1072" i="7"/>
  <c r="U1071" i="7"/>
  <c r="K1071" i="7"/>
  <c r="E1071" i="7"/>
  <c r="B1071" i="7"/>
  <c r="U1070" i="7"/>
  <c r="K1070" i="7"/>
  <c r="E1070" i="7"/>
  <c r="B1070" i="7"/>
  <c r="U1069" i="7"/>
  <c r="K1069" i="7"/>
  <c r="E1069" i="7"/>
  <c r="B1069" i="7"/>
  <c r="U1068" i="7"/>
  <c r="K1068" i="7"/>
  <c r="E1068" i="7"/>
  <c r="B1068" i="7"/>
  <c r="U1067" i="7"/>
  <c r="K1067" i="7"/>
  <c r="E1067" i="7"/>
  <c r="B1067" i="7"/>
  <c r="U1066" i="7"/>
  <c r="K1066" i="7"/>
  <c r="E1066" i="7"/>
  <c r="B1066" i="7"/>
  <c r="U1065" i="7"/>
  <c r="K1065" i="7"/>
  <c r="E1065" i="7"/>
  <c r="B1065" i="7"/>
  <c r="U1064" i="7"/>
  <c r="K1064" i="7"/>
  <c r="E1064" i="7"/>
  <c r="B1064" i="7"/>
  <c r="U1063" i="7"/>
  <c r="K1063" i="7"/>
  <c r="E1063" i="7"/>
  <c r="B1063" i="7"/>
  <c r="U1062" i="7"/>
  <c r="E1062" i="7"/>
  <c r="B1062" i="7"/>
  <c r="U1061" i="7"/>
  <c r="K1061" i="7"/>
  <c r="E1061" i="7"/>
  <c r="B1061" i="7"/>
  <c r="U1060" i="7"/>
  <c r="K1060" i="7"/>
  <c r="E1060" i="7"/>
  <c r="B1060" i="7"/>
  <c r="U1059" i="7"/>
  <c r="K1059" i="7"/>
  <c r="E1059" i="7"/>
  <c r="B1059" i="7"/>
  <c r="U1058" i="7"/>
  <c r="K1058" i="7"/>
  <c r="E1058" i="7"/>
  <c r="B1058" i="7"/>
  <c r="U1057" i="7"/>
  <c r="K1057" i="7"/>
  <c r="E1057" i="7"/>
  <c r="B1057" i="7"/>
  <c r="U1056" i="7"/>
  <c r="K1056" i="7"/>
  <c r="E1056" i="7"/>
  <c r="B1056" i="7"/>
  <c r="U1055" i="7"/>
  <c r="K1055" i="7"/>
  <c r="E1055" i="7"/>
  <c r="B1055" i="7"/>
  <c r="U1054" i="7"/>
  <c r="K1054" i="7"/>
  <c r="E1054" i="7"/>
  <c r="B1054" i="7"/>
  <c r="U1053" i="7"/>
  <c r="K1053" i="7"/>
  <c r="E1053" i="7"/>
  <c r="B1053" i="7"/>
  <c r="U1052" i="7"/>
  <c r="K1052" i="7"/>
  <c r="E1052" i="7"/>
  <c r="B1052" i="7"/>
  <c r="U1051" i="7"/>
  <c r="K1051" i="7"/>
  <c r="E1051" i="7"/>
  <c r="B1051" i="7"/>
  <c r="U1050" i="7"/>
  <c r="K1050" i="7"/>
  <c r="E1050" i="7"/>
  <c r="B1050" i="7"/>
  <c r="U1049" i="7"/>
  <c r="K1049" i="7"/>
  <c r="E1049" i="7"/>
  <c r="B1049" i="7"/>
  <c r="U1048" i="7"/>
  <c r="K1048" i="7"/>
  <c r="E1048" i="7"/>
  <c r="B1048" i="7"/>
  <c r="U1047" i="7"/>
  <c r="K1047" i="7"/>
  <c r="E1047" i="7"/>
  <c r="B1047" i="7"/>
  <c r="U1046" i="7"/>
  <c r="K1046" i="7"/>
  <c r="E1046" i="7"/>
  <c r="B1046" i="7"/>
  <c r="U1045" i="7"/>
  <c r="K1045" i="7"/>
  <c r="E1045" i="7"/>
  <c r="B1045" i="7"/>
  <c r="U1044" i="7"/>
  <c r="K1044" i="7"/>
  <c r="E1044" i="7"/>
  <c r="B1044" i="7"/>
  <c r="U1043" i="7"/>
  <c r="K1043" i="7"/>
  <c r="E1043" i="7"/>
  <c r="B1043" i="7"/>
  <c r="U1042" i="7"/>
  <c r="K1042" i="7"/>
  <c r="E1042" i="7"/>
  <c r="B1042" i="7"/>
  <c r="U1041" i="7"/>
  <c r="K1041" i="7"/>
  <c r="E1041" i="7"/>
  <c r="B1041" i="7"/>
  <c r="U1040" i="7"/>
  <c r="K1040" i="7"/>
  <c r="E1040" i="7"/>
  <c r="B1040" i="7"/>
  <c r="U1039" i="7"/>
  <c r="K1039" i="7"/>
  <c r="E1039" i="7"/>
  <c r="B1039" i="7"/>
  <c r="U1038" i="7"/>
  <c r="K1038" i="7"/>
  <c r="E1038" i="7"/>
  <c r="B1038" i="7"/>
  <c r="U1037" i="7"/>
  <c r="K1037" i="7"/>
  <c r="E1037" i="7"/>
  <c r="B1037" i="7"/>
  <c r="U1036" i="7"/>
  <c r="K1036" i="7"/>
  <c r="E1036" i="7"/>
  <c r="B1036" i="7"/>
  <c r="U1035" i="7"/>
  <c r="K1035" i="7"/>
  <c r="E1035" i="7"/>
  <c r="B1035" i="7"/>
  <c r="U1034" i="7"/>
  <c r="K1034" i="7"/>
  <c r="E1034" i="7"/>
  <c r="B1034" i="7"/>
  <c r="U1033" i="7"/>
  <c r="K1033" i="7"/>
  <c r="E1033" i="7"/>
  <c r="B1033" i="7"/>
  <c r="U1032" i="7"/>
  <c r="K1032" i="7"/>
  <c r="E1032" i="7"/>
  <c r="B1032" i="7"/>
  <c r="U1031" i="7"/>
  <c r="K1031" i="7"/>
  <c r="E1031" i="7"/>
  <c r="B1031" i="7"/>
  <c r="U1030" i="7"/>
  <c r="K1030" i="7"/>
  <c r="E1030" i="7"/>
  <c r="B1030" i="7"/>
  <c r="U1029" i="7"/>
  <c r="K1029" i="7"/>
  <c r="E1029" i="7"/>
  <c r="B1029" i="7"/>
  <c r="U1028" i="7"/>
  <c r="K1028" i="7"/>
  <c r="E1028" i="7"/>
  <c r="B1028" i="7"/>
  <c r="U1027" i="7"/>
  <c r="K1027" i="7"/>
  <c r="E1027" i="7"/>
  <c r="B1027" i="7"/>
  <c r="U1026" i="7"/>
  <c r="K1026" i="7"/>
  <c r="E1026" i="7"/>
  <c r="B1026" i="7"/>
  <c r="U1025" i="7"/>
  <c r="K1025" i="7"/>
  <c r="E1025" i="7"/>
  <c r="B1025" i="7"/>
  <c r="U1024" i="7"/>
  <c r="K1024" i="7"/>
  <c r="E1024" i="7"/>
  <c r="B1024" i="7"/>
  <c r="U1023" i="7"/>
  <c r="K1023" i="7"/>
  <c r="E1023" i="7"/>
  <c r="B1023" i="7"/>
  <c r="U1022" i="7"/>
  <c r="K1022" i="7"/>
  <c r="E1022" i="7"/>
  <c r="B1022" i="7"/>
  <c r="U1021" i="7"/>
  <c r="K1021" i="7"/>
  <c r="E1021" i="7"/>
  <c r="B1021" i="7"/>
  <c r="U1020" i="7"/>
  <c r="K1020" i="7"/>
  <c r="E1020" i="7"/>
  <c r="B1020" i="7"/>
  <c r="U1019" i="7"/>
  <c r="K1019" i="7"/>
  <c r="E1019" i="7"/>
  <c r="B1019" i="7"/>
  <c r="U1018" i="7"/>
  <c r="K1018" i="7"/>
  <c r="E1018" i="7"/>
  <c r="B1018" i="7"/>
  <c r="U1017" i="7"/>
  <c r="K1017" i="7"/>
  <c r="E1017" i="7"/>
  <c r="B1017" i="7"/>
  <c r="U1016" i="7"/>
  <c r="K1016" i="7"/>
  <c r="E1016" i="7"/>
  <c r="B1016" i="7"/>
  <c r="U1015" i="7"/>
  <c r="K1015" i="7"/>
  <c r="E1015" i="7"/>
  <c r="B1015" i="7"/>
  <c r="U1014" i="7"/>
  <c r="K1014" i="7"/>
  <c r="E1014" i="7"/>
  <c r="B1014" i="7"/>
  <c r="U1013" i="7"/>
  <c r="K1013" i="7"/>
  <c r="E1013" i="7"/>
  <c r="B1013" i="7"/>
  <c r="U1012" i="7"/>
  <c r="K1012" i="7"/>
  <c r="E1012" i="7"/>
  <c r="B1012" i="7"/>
  <c r="U1011" i="7"/>
  <c r="K1011" i="7"/>
  <c r="E1011" i="7"/>
  <c r="B1011" i="7"/>
  <c r="U1010" i="7"/>
  <c r="K1010" i="7"/>
  <c r="E1010" i="7"/>
  <c r="B1010" i="7"/>
  <c r="U1009" i="7"/>
  <c r="K1009" i="7"/>
  <c r="E1009" i="7"/>
  <c r="B1009" i="7"/>
  <c r="U1008" i="7"/>
  <c r="K1008" i="7"/>
  <c r="E1008" i="7"/>
  <c r="B1008" i="7"/>
  <c r="U1007" i="7"/>
  <c r="K1007" i="7"/>
  <c r="E1007" i="7"/>
  <c r="B1007" i="7"/>
  <c r="U1006" i="7"/>
  <c r="K1006" i="7"/>
  <c r="E1006" i="7"/>
  <c r="B1006" i="7"/>
  <c r="U1005" i="7"/>
  <c r="K1005" i="7"/>
  <c r="E1005" i="7"/>
  <c r="B1005" i="7"/>
  <c r="U1004" i="7"/>
  <c r="K1004" i="7"/>
  <c r="E1004" i="7"/>
  <c r="B1004" i="7"/>
  <c r="U1003" i="7"/>
  <c r="K1003" i="7"/>
  <c r="E1003" i="7"/>
  <c r="B1003" i="7"/>
  <c r="U1002" i="7"/>
  <c r="K1002" i="7"/>
  <c r="E1002" i="7"/>
  <c r="B1002" i="7"/>
  <c r="U1001" i="7"/>
  <c r="K1001" i="7"/>
  <c r="E1001" i="7"/>
  <c r="B1001" i="7"/>
  <c r="U1000" i="7"/>
  <c r="K1000" i="7"/>
  <c r="E1000" i="7"/>
  <c r="B1000" i="7"/>
  <c r="U999" i="7"/>
  <c r="K999" i="7"/>
  <c r="E999" i="7"/>
  <c r="B999" i="7"/>
  <c r="U998" i="7"/>
  <c r="K998" i="7"/>
  <c r="E998" i="7"/>
  <c r="B998" i="7"/>
  <c r="U997" i="7"/>
  <c r="K997" i="7"/>
  <c r="E997" i="7"/>
  <c r="B997" i="7"/>
  <c r="U996" i="7"/>
  <c r="K996" i="7"/>
  <c r="E996" i="7"/>
  <c r="B996" i="7"/>
  <c r="U995" i="7"/>
  <c r="K995" i="7"/>
  <c r="E995" i="7"/>
  <c r="B995" i="7"/>
  <c r="U994" i="7"/>
  <c r="K994" i="7"/>
  <c r="E994" i="7"/>
  <c r="B994" i="7"/>
  <c r="U993" i="7"/>
  <c r="K993" i="7"/>
  <c r="E993" i="7"/>
  <c r="B993" i="7"/>
  <c r="U992" i="7"/>
  <c r="K992" i="7"/>
  <c r="E992" i="7"/>
  <c r="B992" i="7"/>
  <c r="U991" i="7"/>
  <c r="K991" i="7"/>
  <c r="E991" i="7"/>
  <c r="B991" i="7"/>
  <c r="U990" i="7"/>
  <c r="K990" i="7"/>
  <c r="E990" i="7"/>
  <c r="B990" i="7"/>
  <c r="U989" i="7"/>
  <c r="K989" i="7"/>
  <c r="E989" i="7"/>
  <c r="B989" i="7"/>
  <c r="U988" i="7"/>
  <c r="K988" i="7"/>
  <c r="E988" i="7"/>
  <c r="B988" i="7"/>
  <c r="U987" i="7"/>
  <c r="K987" i="7"/>
  <c r="E987" i="7"/>
  <c r="B987" i="7"/>
  <c r="U986" i="7"/>
  <c r="K986" i="7"/>
  <c r="E986" i="7"/>
  <c r="B986" i="7"/>
  <c r="U985" i="7"/>
  <c r="K985" i="7"/>
  <c r="E985" i="7"/>
  <c r="B985" i="7"/>
  <c r="U984" i="7"/>
  <c r="K984" i="7"/>
  <c r="E984" i="7"/>
  <c r="B984" i="7"/>
  <c r="U983" i="7"/>
  <c r="K983" i="7"/>
  <c r="E983" i="7"/>
  <c r="B983" i="7"/>
  <c r="U982" i="7"/>
  <c r="K982" i="7"/>
  <c r="E982" i="7"/>
  <c r="B982" i="7"/>
  <c r="U981" i="7"/>
  <c r="K981" i="7"/>
  <c r="E981" i="7"/>
  <c r="B981" i="7"/>
  <c r="U980" i="7"/>
  <c r="K980" i="7"/>
  <c r="E980" i="7"/>
  <c r="B980" i="7"/>
  <c r="U979" i="7"/>
  <c r="K979" i="7"/>
  <c r="E979" i="7"/>
  <c r="B979" i="7"/>
  <c r="U978" i="7"/>
  <c r="K978" i="7"/>
  <c r="E978" i="7"/>
  <c r="B978" i="7"/>
  <c r="U977" i="7"/>
  <c r="K977" i="7"/>
  <c r="E977" i="7"/>
  <c r="B977" i="7"/>
  <c r="U976" i="7"/>
  <c r="K976" i="7"/>
  <c r="E976" i="7"/>
  <c r="B976" i="7"/>
  <c r="U975" i="7"/>
  <c r="K975" i="7"/>
  <c r="E975" i="7"/>
  <c r="B975" i="7"/>
  <c r="U974" i="7"/>
  <c r="K974" i="7"/>
  <c r="E974" i="7"/>
  <c r="B974" i="7"/>
  <c r="U973" i="7"/>
  <c r="K973" i="7"/>
  <c r="E973" i="7"/>
  <c r="B973" i="7"/>
  <c r="U972" i="7"/>
  <c r="K972" i="7"/>
  <c r="E972" i="7"/>
  <c r="B972" i="7"/>
  <c r="U971" i="7"/>
  <c r="K971" i="7"/>
  <c r="E971" i="7"/>
  <c r="B971" i="7"/>
  <c r="U970" i="7"/>
  <c r="K970" i="7"/>
  <c r="E970" i="7"/>
  <c r="B970" i="7"/>
  <c r="U969" i="7"/>
  <c r="K969" i="7"/>
  <c r="E969" i="7"/>
  <c r="B969" i="7"/>
  <c r="U968" i="7"/>
  <c r="K968" i="7"/>
  <c r="E968" i="7"/>
  <c r="B968" i="7"/>
  <c r="U967" i="7"/>
  <c r="K967" i="7"/>
  <c r="E967" i="7"/>
  <c r="B967" i="7"/>
  <c r="U966" i="7"/>
  <c r="K966" i="7"/>
  <c r="E966" i="7"/>
  <c r="B966" i="7"/>
  <c r="U965" i="7"/>
  <c r="K965" i="7"/>
  <c r="E965" i="7"/>
  <c r="B965" i="7"/>
  <c r="U964" i="7"/>
  <c r="K964" i="7"/>
  <c r="E964" i="7"/>
  <c r="B964" i="7"/>
  <c r="U963" i="7"/>
  <c r="K963" i="7"/>
  <c r="E963" i="7"/>
  <c r="B963" i="7"/>
  <c r="U962" i="7"/>
  <c r="K962" i="7"/>
  <c r="E962" i="7"/>
  <c r="B962" i="7"/>
  <c r="U961" i="7"/>
  <c r="K961" i="7"/>
  <c r="E961" i="7"/>
  <c r="B961" i="7"/>
  <c r="U960" i="7"/>
  <c r="K960" i="7"/>
  <c r="E960" i="7"/>
  <c r="B960" i="7"/>
  <c r="U959" i="7"/>
  <c r="K959" i="7"/>
  <c r="E959" i="7"/>
  <c r="B959" i="7"/>
  <c r="U958" i="7"/>
  <c r="K958" i="7"/>
  <c r="E958" i="7"/>
  <c r="B958" i="7"/>
  <c r="U957" i="7"/>
  <c r="K957" i="7"/>
  <c r="E957" i="7"/>
  <c r="B957" i="7"/>
  <c r="U956" i="7"/>
  <c r="K956" i="7"/>
  <c r="E956" i="7"/>
  <c r="B956" i="7"/>
  <c r="U955" i="7"/>
  <c r="K955" i="7"/>
  <c r="E955" i="7"/>
  <c r="B955" i="7"/>
  <c r="U954" i="7"/>
  <c r="K954" i="7"/>
  <c r="E954" i="7"/>
  <c r="B954" i="7"/>
  <c r="U953" i="7"/>
  <c r="K953" i="7"/>
  <c r="E953" i="7"/>
  <c r="B953" i="7"/>
  <c r="U952" i="7"/>
  <c r="K952" i="7"/>
  <c r="E952" i="7"/>
  <c r="B952" i="7"/>
  <c r="U951" i="7"/>
  <c r="K951" i="7"/>
  <c r="E951" i="7"/>
  <c r="B951" i="7"/>
  <c r="U950" i="7"/>
  <c r="K950" i="7"/>
  <c r="E950" i="7"/>
  <c r="B950" i="7"/>
  <c r="U949" i="7"/>
  <c r="K949" i="7"/>
  <c r="E949" i="7"/>
  <c r="B949" i="7"/>
  <c r="U948" i="7"/>
  <c r="K948" i="7"/>
  <c r="E948" i="7"/>
  <c r="B948" i="7"/>
  <c r="U947" i="7"/>
  <c r="K947" i="7"/>
  <c r="E947" i="7"/>
  <c r="B947" i="7"/>
  <c r="U946" i="7"/>
  <c r="K946" i="7"/>
  <c r="E946" i="7"/>
  <c r="B946" i="7"/>
  <c r="U945" i="7"/>
  <c r="K945" i="7"/>
  <c r="E945" i="7"/>
  <c r="B945" i="7"/>
  <c r="U944" i="7"/>
  <c r="K944" i="7"/>
  <c r="E944" i="7"/>
  <c r="B944" i="7"/>
  <c r="U943" i="7"/>
  <c r="K943" i="7"/>
  <c r="E943" i="7"/>
  <c r="B943" i="7"/>
  <c r="U942" i="7"/>
  <c r="K942" i="7"/>
  <c r="E942" i="7"/>
  <c r="B942" i="7"/>
  <c r="U941" i="7"/>
  <c r="K941" i="7"/>
  <c r="E941" i="7"/>
  <c r="B941" i="7"/>
  <c r="U940" i="7"/>
  <c r="K940" i="7"/>
  <c r="E940" i="7"/>
  <c r="B940" i="7"/>
  <c r="U939" i="7"/>
  <c r="K939" i="7"/>
  <c r="E939" i="7"/>
  <c r="B939" i="7"/>
  <c r="U938" i="7"/>
  <c r="K938" i="7"/>
  <c r="E938" i="7"/>
  <c r="B938" i="7"/>
  <c r="U937" i="7"/>
  <c r="E937" i="7"/>
  <c r="B937" i="7"/>
  <c r="U936" i="7"/>
  <c r="K936" i="7"/>
  <c r="E936" i="7"/>
  <c r="B936" i="7"/>
  <c r="U935" i="7"/>
  <c r="K935" i="7"/>
  <c r="E935" i="7"/>
  <c r="B935" i="7"/>
  <c r="U934" i="7"/>
  <c r="K934" i="7"/>
  <c r="E934" i="7"/>
  <c r="B934" i="7"/>
  <c r="U933" i="7"/>
  <c r="K933" i="7"/>
  <c r="E933" i="7"/>
  <c r="B933" i="7"/>
  <c r="U932" i="7"/>
  <c r="K932" i="7"/>
  <c r="E932" i="7"/>
  <c r="B932" i="7"/>
  <c r="U931" i="7"/>
  <c r="K931" i="7"/>
  <c r="E931" i="7"/>
  <c r="B931" i="7"/>
  <c r="U930" i="7"/>
  <c r="K930" i="7"/>
  <c r="E930" i="7"/>
  <c r="B930" i="7"/>
  <c r="U929" i="7"/>
  <c r="K929" i="7"/>
  <c r="E929" i="7"/>
  <c r="B929" i="7"/>
  <c r="U928" i="7"/>
  <c r="K928" i="7"/>
  <c r="E928" i="7"/>
  <c r="B928" i="7"/>
  <c r="U927" i="7"/>
  <c r="K927" i="7"/>
  <c r="E927" i="7"/>
  <c r="B927" i="7"/>
  <c r="U926" i="7"/>
  <c r="K926" i="7"/>
  <c r="E926" i="7"/>
  <c r="B926" i="7"/>
  <c r="U925" i="7"/>
  <c r="K925" i="7"/>
  <c r="E925" i="7"/>
  <c r="B925" i="7"/>
  <c r="U924" i="7"/>
  <c r="K924" i="7"/>
  <c r="E924" i="7"/>
  <c r="B924" i="7"/>
  <c r="U923" i="7"/>
  <c r="K923" i="7"/>
  <c r="E923" i="7"/>
  <c r="B923" i="7"/>
  <c r="U922" i="7"/>
  <c r="K922" i="7"/>
  <c r="E922" i="7"/>
  <c r="B922" i="7"/>
  <c r="U921" i="7"/>
  <c r="K921" i="7"/>
  <c r="E921" i="7"/>
  <c r="B921" i="7"/>
  <c r="U920" i="7"/>
  <c r="K920" i="7"/>
  <c r="E920" i="7"/>
  <c r="B920" i="7"/>
  <c r="U919" i="7"/>
  <c r="K919" i="7"/>
  <c r="E919" i="7"/>
  <c r="B919" i="7"/>
  <c r="U918" i="7"/>
  <c r="K918" i="7"/>
  <c r="E918" i="7"/>
  <c r="B918" i="7"/>
  <c r="U917" i="7"/>
  <c r="K917" i="7"/>
  <c r="E917" i="7"/>
  <c r="B917" i="7"/>
  <c r="U916" i="7"/>
  <c r="K916" i="7"/>
  <c r="E916" i="7"/>
  <c r="B916" i="7"/>
  <c r="U915" i="7"/>
  <c r="K915" i="7"/>
  <c r="E915" i="7"/>
  <c r="B915" i="7"/>
  <c r="U914" i="7"/>
  <c r="K914" i="7"/>
  <c r="E914" i="7"/>
  <c r="B914" i="7"/>
  <c r="U913" i="7"/>
  <c r="K913" i="7"/>
  <c r="E913" i="7"/>
  <c r="B913" i="7"/>
  <c r="U912" i="7"/>
  <c r="K912" i="7"/>
  <c r="E912" i="7"/>
  <c r="B912" i="7"/>
  <c r="U911" i="7"/>
  <c r="K911" i="7"/>
  <c r="E911" i="7"/>
  <c r="B911" i="7"/>
  <c r="U910" i="7"/>
  <c r="K910" i="7"/>
  <c r="E910" i="7"/>
  <c r="B910" i="7"/>
  <c r="U909" i="7"/>
  <c r="K909" i="7"/>
  <c r="E909" i="7"/>
  <c r="B909" i="7"/>
  <c r="U908" i="7"/>
  <c r="K908" i="7"/>
  <c r="E908" i="7"/>
  <c r="B908" i="7"/>
  <c r="U907" i="7"/>
  <c r="K907" i="7"/>
  <c r="E907" i="7"/>
  <c r="B907" i="7"/>
  <c r="U906" i="7"/>
  <c r="K906" i="7"/>
  <c r="E906" i="7"/>
  <c r="B906" i="7"/>
  <c r="U905" i="7"/>
  <c r="K905" i="7"/>
  <c r="E905" i="7"/>
  <c r="B905" i="7"/>
  <c r="U904" i="7"/>
  <c r="K904" i="7"/>
  <c r="E904" i="7"/>
  <c r="B904" i="7"/>
  <c r="U903" i="7"/>
  <c r="K903" i="7"/>
  <c r="E903" i="7"/>
  <c r="B903" i="7"/>
  <c r="U902" i="7"/>
  <c r="K902" i="7"/>
  <c r="E902" i="7"/>
  <c r="B902" i="7"/>
  <c r="U901" i="7"/>
  <c r="K901" i="7"/>
  <c r="E901" i="7"/>
  <c r="B901" i="7"/>
  <c r="U900" i="7"/>
  <c r="K900" i="7"/>
  <c r="E900" i="7"/>
  <c r="B900" i="7"/>
  <c r="U899" i="7"/>
  <c r="K899" i="7"/>
  <c r="E899" i="7"/>
  <c r="B899" i="7"/>
  <c r="U898" i="7"/>
  <c r="K898" i="7"/>
  <c r="E898" i="7"/>
  <c r="B898" i="7"/>
  <c r="U897" i="7"/>
  <c r="K897" i="7"/>
  <c r="E897" i="7"/>
  <c r="B897" i="7"/>
  <c r="U896" i="7"/>
  <c r="K896" i="7"/>
  <c r="E896" i="7"/>
  <c r="B896" i="7"/>
  <c r="U895" i="7"/>
  <c r="K895" i="7"/>
  <c r="E895" i="7"/>
  <c r="B895" i="7"/>
  <c r="U894" i="7"/>
  <c r="K894" i="7"/>
  <c r="E894" i="7"/>
  <c r="B894" i="7"/>
  <c r="U893" i="7"/>
  <c r="K893" i="7"/>
  <c r="E893" i="7"/>
  <c r="B893" i="7"/>
  <c r="U892" i="7"/>
  <c r="K892" i="7"/>
  <c r="E892" i="7"/>
  <c r="B892" i="7"/>
  <c r="U891" i="7"/>
  <c r="K891" i="7"/>
  <c r="E891" i="7"/>
  <c r="B891" i="7"/>
  <c r="U890" i="7"/>
  <c r="K890" i="7"/>
  <c r="E890" i="7"/>
  <c r="B890" i="7"/>
  <c r="U889" i="7"/>
  <c r="K889" i="7"/>
  <c r="E889" i="7"/>
  <c r="B889" i="7"/>
  <c r="U888" i="7"/>
  <c r="K888" i="7"/>
  <c r="E888" i="7"/>
  <c r="B888" i="7"/>
  <c r="U887" i="7"/>
  <c r="K887" i="7"/>
  <c r="E887" i="7"/>
  <c r="B887" i="7"/>
  <c r="U886" i="7"/>
  <c r="K886" i="7"/>
  <c r="E886" i="7"/>
  <c r="B886" i="7"/>
  <c r="U885" i="7"/>
  <c r="K885" i="7"/>
  <c r="E885" i="7"/>
  <c r="B885" i="7"/>
  <c r="U884" i="7"/>
  <c r="K884" i="7"/>
  <c r="E884" i="7"/>
  <c r="B884" i="7"/>
  <c r="U883" i="7"/>
  <c r="K883" i="7"/>
  <c r="E883" i="7"/>
  <c r="B883" i="7"/>
  <c r="U882" i="7"/>
  <c r="K882" i="7"/>
  <c r="E882" i="7"/>
  <c r="B882" i="7"/>
  <c r="U881" i="7"/>
  <c r="K881" i="7"/>
  <c r="E881" i="7"/>
  <c r="B881" i="7"/>
  <c r="U880" i="7"/>
  <c r="K880" i="7"/>
  <c r="E880" i="7"/>
  <c r="B880" i="7"/>
  <c r="U879" i="7"/>
  <c r="K879" i="7"/>
  <c r="E879" i="7"/>
  <c r="B879" i="7"/>
  <c r="U878" i="7"/>
  <c r="K878" i="7"/>
  <c r="E878" i="7"/>
  <c r="B878" i="7"/>
  <c r="U877" i="7"/>
  <c r="K877" i="7"/>
  <c r="E877" i="7"/>
  <c r="B877" i="7"/>
  <c r="U876" i="7"/>
  <c r="K876" i="7"/>
  <c r="E876" i="7"/>
  <c r="B876" i="7"/>
  <c r="U875" i="7"/>
  <c r="K875" i="7"/>
  <c r="E875" i="7"/>
  <c r="B875" i="7"/>
  <c r="U874" i="7"/>
  <c r="K874" i="7"/>
  <c r="E874" i="7"/>
  <c r="B874" i="7"/>
  <c r="U873" i="7"/>
  <c r="K873" i="7"/>
  <c r="E873" i="7"/>
  <c r="B873" i="7"/>
  <c r="U872" i="7"/>
  <c r="K872" i="7"/>
  <c r="E872" i="7"/>
  <c r="B872" i="7"/>
  <c r="U871" i="7"/>
  <c r="K871" i="7"/>
  <c r="E871" i="7"/>
  <c r="B871" i="7"/>
  <c r="U870" i="7"/>
  <c r="K870" i="7"/>
  <c r="E870" i="7"/>
  <c r="B870" i="7"/>
  <c r="U869" i="7"/>
  <c r="K869" i="7"/>
  <c r="E869" i="7"/>
  <c r="B869" i="7"/>
  <c r="U868" i="7"/>
  <c r="K868" i="7"/>
  <c r="E868" i="7"/>
  <c r="B868" i="7"/>
  <c r="U867" i="7"/>
  <c r="K867" i="7"/>
  <c r="E867" i="7"/>
  <c r="B867" i="7"/>
  <c r="U866" i="7"/>
  <c r="K866" i="7"/>
  <c r="E866" i="7"/>
  <c r="B866" i="7"/>
  <c r="U865" i="7"/>
  <c r="K865" i="7"/>
  <c r="E865" i="7"/>
  <c r="B865" i="7"/>
  <c r="U864" i="7"/>
  <c r="K864" i="7"/>
  <c r="E864" i="7"/>
  <c r="B864" i="7"/>
  <c r="U863" i="7"/>
  <c r="E863" i="7"/>
  <c r="B863" i="7"/>
  <c r="U862" i="7"/>
  <c r="K862" i="7"/>
  <c r="E862" i="7"/>
  <c r="B862" i="7"/>
  <c r="U861" i="7"/>
  <c r="K861" i="7"/>
  <c r="E861" i="7"/>
  <c r="B861" i="7"/>
  <c r="U860" i="7"/>
  <c r="K860" i="7"/>
  <c r="E860" i="7"/>
  <c r="B860" i="7"/>
  <c r="U859" i="7"/>
  <c r="K859" i="7"/>
  <c r="E859" i="7"/>
  <c r="B859" i="7"/>
  <c r="U858" i="7"/>
  <c r="K858" i="7"/>
  <c r="E858" i="7"/>
  <c r="B858" i="7"/>
  <c r="U857" i="7"/>
  <c r="K857" i="7"/>
  <c r="E857" i="7"/>
  <c r="B857" i="7"/>
  <c r="U856" i="7"/>
  <c r="K856" i="7"/>
  <c r="E856" i="7"/>
  <c r="B856" i="7"/>
  <c r="U855" i="7"/>
  <c r="K855" i="7"/>
  <c r="E855" i="7"/>
  <c r="B855" i="7"/>
  <c r="U854" i="7"/>
  <c r="K854" i="7"/>
  <c r="E854" i="7"/>
  <c r="B854" i="7"/>
  <c r="U853" i="7"/>
  <c r="E853" i="7"/>
  <c r="B853" i="7"/>
  <c r="U852" i="7"/>
  <c r="K852" i="7"/>
  <c r="E852" i="7"/>
  <c r="B852" i="7"/>
  <c r="U851" i="7"/>
  <c r="K851" i="7"/>
  <c r="E851" i="7"/>
  <c r="B851" i="7"/>
  <c r="U850" i="7"/>
  <c r="K850" i="7"/>
  <c r="E850" i="7"/>
  <c r="B850" i="7"/>
  <c r="U849" i="7"/>
  <c r="K849" i="7"/>
  <c r="E849" i="7"/>
  <c r="B849" i="7"/>
  <c r="U848" i="7"/>
  <c r="K848" i="7"/>
  <c r="E848" i="7"/>
  <c r="B848" i="7"/>
  <c r="U847" i="7"/>
  <c r="K847" i="7"/>
  <c r="E847" i="7"/>
  <c r="B847" i="7"/>
  <c r="U846" i="7"/>
  <c r="K846" i="7"/>
  <c r="E846" i="7"/>
  <c r="B846" i="7"/>
  <c r="U845" i="7"/>
  <c r="K845" i="7"/>
  <c r="E845" i="7"/>
  <c r="B845" i="7"/>
  <c r="U844" i="7"/>
  <c r="K844" i="7"/>
  <c r="E844" i="7"/>
  <c r="B844" i="7"/>
  <c r="U843" i="7"/>
  <c r="K843" i="7"/>
  <c r="E843" i="7"/>
  <c r="B843" i="7"/>
  <c r="U842" i="7"/>
  <c r="K842" i="7"/>
  <c r="E842" i="7"/>
  <c r="B842" i="7"/>
  <c r="U841" i="7"/>
  <c r="K841" i="7"/>
  <c r="E841" i="7"/>
  <c r="B841" i="7"/>
  <c r="U840" i="7"/>
  <c r="K840" i="7"/>
  <c r="E840" i="7"/>
  <c r="B840" i="7"/>
  <c r="U839" i="7"/>
  <c r="K839" i="7"/>
  <c r="E839" i="7"/>
  <c r="B839" i="7"/>
  <c r="U838" i="7"/>
  <c r="K838" i="7"/>
  <c r="E838" i="7"/>
  <c r="B838" i="7"/>
  <c r="U837" i="7"/>
  <c r="K837" i="7"/>
  <c r="E837" i="7"/>
  <c r="B837" i="7"/>
  <c r="U836" i="7"/>
  <c r="K836" i="7"/>
  <c r="E836" i="7"/>
  <c r="B836" i="7"/>
  <c r="U835" i="7"/>
  <c r="K835" i="7"/>
  <c r="E835" i="7"/>
  <c r="B835" i="7"/>
  <c r="U834" i="7"/>
  <c r="K834" i="7"/>
  <c r="E834" i="7"/>
  <c r="B834" i="7"/>
  <c r="U833" i="7"/>
  <c r="K833" i="7"/>
  <c r="E833" i="7"/>
  <c r="B833" i="7"/>
  <c r="U832" i="7"/>
  <c r="K832" i="7"/>
  <c r="E832" i="7"/>
  <c r="B832" i="7"/>
  <c r="U831" i="7"/>
  <c r="K831" i="7"/>
  <c r="E831" i="7"/>
  <c r="B831" i="7"/>
  <c r="U830" i="7"/>
  <c r="K830" i="7"/>
  <c r="E830" i="7"/>
  <c r="B830" i="7"/>
  <c r="U829" i="7"/>
  <c r="K829" i="7"/>
  <c r="E829" i="7"/>
  <c r="B829" i="7"/>
  <c r="U828" i="7"/>
  <c r="K828" i="7"/>
  <c r="E828" i="7"/>
  <c r="B828" i="7"/>
  <c r="U827" i="7"/>
  <c r="K827" i="7"/>
  <c r="E827" i="7"/>
  <c r="B827" i="7"/>
  <c r="U826" i="7"/>
  <c r="K826" i="7"/>
  <c r="E826" i="7"/>
  <c r="B826" i="7"/>
  <c r="U825" i="7"/>
  <c r="K825" i="7"/>
  <c r="E825" i="7"/>
  <c r="B825" i="7"/>
  <c r="U824" i="7"/>
  <c r="K824" i="7"/>
  <c r="E824" i="7"/>
  <c r="B824" i="7"/>
  <c r="U823" i="7"/>
  <c r="K823" i="7"/>
  <c r="E823" i="7"/>
  <c r="B823" i="7"/>
  <c r="U822" i="7"/>
  <c r="K822" i="7"/>
  <c r="E822" i="7"/>
  <c r="B822" i="7"/>
  <c r="U821" i="7"/>
  <c r="K821" i="7"/>
  <c r="E821" i="7"/>
  <c r="B821" i="7"/>
  <c r="U820" i="7"/>
  <c r="K820" i="7"/>
  <c r="E820" i="7"/>
  <c r="B820" i="7"/>
  <c r="U819" i="7"/>
  <c r="K819" i="7"/>
  <c r="E819" i="7"/>
  <c r="B819" i="7"/>
  <c r="U818" i="7"/>
  <c r="K818" i="7"/>
  <c r="E818" i="7"/>
  <c r="B818" i="7"/>
  <c r="U817" i="7"/>
  <c r="K817" i="7"/>
  <c r="E817" i="7"/>
  <c r="B817" i="7"/>
  <c r="U816" i="7"/>
  <c r="K816" i="7"/>
  <c r="E816" i="7"/>
  <c r="B816" i="7"/>
  <c r="U815" i="7"/>
  <c r="K815" i="7"/>
  <c r="E815" i="7"/>
  <c r="B815" i="7"/>
  <c r="U814" i="7"/>
  <c r="K814" i="7"/>
  <c r="E814" i="7"/>
  <c r="B814" i="7"/>
  <c r="U813" i="7"/>
  <c r="K813" i="7"/>
  <c r="E813" i="7"/>
  <c r="B813" i="7"/>
  <c r="U812" i="7"/>
  <c r="K812" i="7"/>
  <c r="E812" i="7"/>
  <c r="B812" i="7"/>
  <c r="U811" i="7"/>
  <c r="K811" i="7"/>
  <c r="E811" i="7"/>
  <c r="B811" i="7"/>
  <c r="U810" i="7"/>
  <c r="K810" i="7"/>
  <c r="E810" i="7"/>
  <c r="B810" i="7"/>
  <c r="U809" i="7"/>
  <c r="K809" i="7"/>
  <c r="E809" i="7"/>
  <c r="B809" i="7"/>
  <c r="U808" i="7"/>
  <c r="K808" i="7"/>
  <c r="E808" i="7"/>
  <c r="B808" i="7"/>
  <c r="U807" i="7"/>
  <c r="K807" i="7"/>
  <c r="E807" i="7"/>
  <c r="B807" i="7"/>
  <c r="U806" i="7"/>
  <c r="K806" i="7"/>
  <c r="E806" i="7"/>
  <c r="B806" i="7"/>
  <c r="U805" i="7"/>
  <c r="K805" i="7"/>
  <c r="E805" i="7"/>
  <c r="B805" i="7"/>
  <c r="U804" i="7"/>
  <c r="K804" i="7"/>
  <c r="E804" i="7"/>
  <c r="B804" i="7"/>
  <c r="U803" i="7"/>
  <c r="K803" i="7"/>
  <c r="E803" i="7"/>
  <c r="B803" i="7"/>
  <c r="U802" i="7"/>
  <c r="K802" i="7"/>
  <c r="E802" i="7"/>
  <c r="B802" i="7"/>
  <c r="U801" i="7"/>
  <c r="K801" i="7"/>
  <c r="E801" i="7"/>
  <c r="B801" i="7"/>
  <c r="U800" i="7"/>
  <c r="K800" i="7"/>
  <c r="E800" i="7"/>
  <c r="B800" i="7"/>
  <c r="U799" i="7"/>
  <c r="K799" i="7"/>
  <c r="E799" i="7"/>
  <c r="B799" i="7"/>
  <c r="U798" i="7"/>
  <c r="K798" i="7"/>
  <c r="E798" i="7"/>
  <c r="B798" i="7"/>
  <c r="U797" i="7"/>
  <c r="K797" i="7"/>
  <c r="E797" i="7"/>
  <c r="B797" i="7"/>
  <c r="U796" i="7"/>
  <c r="K796" i="7"/>
  <c r="E796" i="7"/>
  <c r="B796" i="7"/>
  <c r="U795" i="7"/>
  <c r="E795" i="7"/>
  <c r="B795" i="7"/>
  <c r="U794" i="7"/>
  <c r="K794" i="7"/>
  <c r="E794" i="7"/>
  <c r="B794" i="7"/>
  <c r="U793" i="7"/>
  <c r="K793" i="7"/>
  <c r="E793" i="7"/>
  <c r="B793" i="7"/>
  <c r="U792" i="7"/>
  <c r="K792" i="7"/>
  <c r="E792" i="7"/>
  <c r="B792" i="7"/>
  <c r="U791" i="7"/>
  <c r="K791" i="7"/>
  <c r="E791" i="7"/>
  <c r="B791" i="7"/>
  <c r="U790" i="7"/>
  <c r="K790" i="7"/>
  <c r="E790" i="7"/>
  <c r="B790" i="7"/>
  <c r="U789" i="7"/>
  <c r="K789" i="7"/>
  <c r="E789" i="7"/>
  <c r="B789" i="7"/>
  <c r="U788" i="7"/>
  <c r="K788" i="7"/>
  <c r="E788" i="7"/>
  <c r="B788" i="7"/>
  <c r="U787" i="7"/>
  <c r="K787" i="7"/>
  <c r="E787" i="7"/>
  <c r="B787" i="7"/>
  <c r="U786" i="7"/>
  <c r="K786" i="7"/>
  <c r="E786" i="7"/>
  <c r="B786" i="7"/>
  <c r="U785" i="7"/>
  <c r="K785" i="7"/>
  <c r="E785" i="7"/>
  <c r="B785" i="7"/>
  <c r="U784" i="7"/>
  <c r="K784" i="7"/>
  <c r="E784" i="7"/>
  <c r="B784" i="7"/>
  <c r="U783" i="7"/>
  <c r="K783" i="7"/>
  <c r="E783" i="7"/>
  <c r="B783" i="7"/>
  <c r="U782" i="7"/>
  <c r="K782" i="7"/>
  <c r="E782" i="7"/>
  <c r="B782" i="7"/>
  <c r="U781" i="7"/>
  <c r="K781" i="7"/>
  <c r="E781" i="7"/>
  <c r="B781" i="7"/>
  <c r="U780" i="7"/>
  <c r="K780" i="7"/>
  <c r="E780" i="7"/>
  <c r="B780" i="7"/>
  <c r="U779" i="7"/>
  <c r="K779" i="7"/>
  <c r="E779" i="7"/>
  <c r="B779" i="7"/>
  <c r="U778" i="7"/>
  <c r="K778" i="7"/>
  <c r="E778" i="7"/>
  <c r="B778" i="7"/>
  <c r="U777" i="7"/>
  <c r="K777" i="7"/>
  <c r="E777" i="7"/>
  <c r="B777" i="7"/>
  <c r="U776" i="7"/>
  <c r="K776" i="7"/>
  <c r="E776" i="7"/>
  <c r="B776" i="7"/>
  <c r="U775" i="7"/>
  <c r="K775" i="7"/>
  <c r="E775" i="7"/>
  <c r="B775" i="7"/>
  <c r="U774" i="7"/>
  <c r="K774" i="7"/>
  <c r="E774" i="7"/>
  <c r="B774" i="7"/>
  <c r="U773" i="7"/>
  <c r="K773" i="7"/>
  <c r="E773" i="7"/>
  <c r="B773" i="7"/>
  <c r="U772" i="7"/>
  <c r="K772" i="7"/>
  <c r="E772" i="7"/>
  <c r="B772" i="7"/>
  <c r="U771" i="7"/>
  <c r="K771" i="7"/>
  <c r="E771" i="7"/>
  <c r="B771" i="7"/>
  <c r="U770" i="7"/>
  <c r="K770" i="7"/>
  <c r="E770" i="7"/>
  <c r="B770" i="7"/>
  <c r="U769" i="7"/>
  <c r="K769" i="7"/>
  <c r="E769" i="7"/>
  <c r="B769" i="7"/>
  <c r="U768" i="7"/>
  <c r="K768" i="7"/>
  <c r="E768" i="7"/>
  <c r="B768" i="7"/>
  <c r="U767" i="7"/>
  <c r="K767" i="7"/>
  <c r="E767" i="7"/>
  <c r="B767" i="7"/>
  <c r="U766" i="7"/>
  <c r="K766" i="7"/>
  <c r="E766" i="7"/>
  <c r="B766" i="7"/>
  <c r="U765" i="7"/>
  <c r="K765" i="7"/>
  <c r="E765" i="7"/>
  <c r="B765" i="7"/>
  <c r="U764" i="7"/>
  <c r="K764" i="7"/>
  <c r="E764" i="7"/>
  <c r="B764" i="7"/>
  <c r="U763" i="7"/>
  <c r="K763" i="7"/>
  <c r="E763" i="7"/>
  <c r="B763" i="7"/>
  <c r="U762" i="7"/>
  <c r="K762" i="7"/>
  <c r="E762" i="7"/>
  <c r="B762" i="7"/>
  <c r="U761" i="7"/>
  <c r="K761" i="7"/>
  <c r="E761" i="7"/>
  <c r="B761" i="7"/>
  <c r="U760" i="7"/>
  <c r="K760" i="7"/>
  <c r="E760" i="7"/>
  <c r="B760" i="7"/>
  <c r="U759" i="7"/>
  <c r="K759" i="7"/>
  <c r="E759" i="7"/>
  <c r="B759" i="7"/>
  <c r="U758" i="7"/>
  <c r="K758" i="7"/>
  <c r="E758" i="7"/>
  <c r="B758" i="7"/>
  <c r="U757" i="7"/>
  <c r="K757" i="7"/>
  <c r="E757" i="7"/>
  <c r="B757" i="7"/>
  <c r="U756" i="7"/>
  <c r="K756" i="7"/>
  <c r="E756" i="7"/>
  <c r="B756" i="7"/>
  <c r="U755" i="7"/>
  <c r="K755" i="7"/>
  <c r="E755" i="7"/>
  <c r="B755" i="7"/>
  <c r="U754" i="7"/>
  <c r="K754" i="7"/>
  <c r="E754" i="7"/>
  <c r="B754" i="7"/>
  <c r="U753" i="7"/>
  <c r="K753" i="7"/>
  <c r="E753" i="7"/>
  <c r="B753" i="7"/>
  <c r="U752" i="7"/>
  <c r="K752" i="7"/>
  <c r="E752" i="7"/>
  <c r="B752" i="7"/>
  <c r="U751" i="7"/>
  <c r="K751" i="7"/>
  <c r="E751" i="7"/>
  <c r="B751" i="7"/>
  <c r="U750" i="7"/>
  <c r="K750" i="7"/>
  <c r="E750" i="7"/>
  <c r="B750" i="7"/>
  <c r="U749" i="7"/>
  <c r="K749" i="7"/>
  <c r="E749" i="7"/>
  <c r="B749" i="7"/>
  <c r="U748" i="7"/>
  <c r="K748" i="7"/>
  <c r="E748" i="7"/>
  <c r="B748" i="7"/>
  <c r="U747" i="7"/>
  <c r="K747" i="7"/>
  <c r="E747" i="7"/>
  <c r="B747" i="7"/>
  <c r="U746" i="7"/>
  <c r="K746" i="7"/>
  <c r="E746" i="7"/>
  <c r="B746" i="7"/>
  <c r="U745" i="7"/>
  <c r="K745" i="7"/>
  <c r="E745" i="7"/>
  <c r="B745" i="7"/>
  <c r="U744" i="7"/>
  <c r="K744" i="7"/>
  <c r="E744" i="7"/>
  <c r="B744" i="7"/>
  <c r="U743" i="7"/>
  <c r="K743" i="7"/>
  <c r="E743" i="7"/>
  <c r="B743" i="7"/>
  <c r="U742" i="7"/>
  <c r="K742" i="7"/>
  <c r="E742" i="7"/>
  <c r="B742" i="7"/>
  <c r="U741" i="7"/>
  <c r="K741" i="7"/>
  <c r="E741" i="7"/>
  <c r="B741" i="7"/>
  <c r="U740" i="7"/>
  <c r="K740" i="7"/>
  <c r="E740" i="7"/>
  <c r="B740" i="7"/>
  <c r="U739" i="7"/>
  <c r="K739" i="7"/>
  <c r="E739" i="7"/>
  <c r="B739" i="7"/>
  <c r="U738" i="7"/>
  <c r="K738" i="7"/>
  <c r="E738" i="7"/>
  <c r="B738" i="7"/>
  <c r="U737" i="7"/>
  <c r="K737" i="7"/>
  <c r="E737" i="7"/>
  <c r="B737" i="7"/>
  <c r="U736" i="7"/>
  <c r="K736" i="7"/>
  <c r="E736" i="7"/>
  <c r="B736" i="7"/>
  <c r="U735" i="7"/>
  <c r="K735" i="7"/>
  <c r="E735" i="7"/>
  <c r="B735" i="7"/>
  <c r="U734" i="7"/>
  <c r="K734" i="7"/>
  <c r="E734" i="7"/>
  <c r="B734" i="7"/>
  <c r="U733" i="7"/>
  <c r="K733" i="7"/>
  <c r="E733" i="7"/>
  <c r="B733" i="7"/>
  <c r="U732" i="7"/>
  <c r="K732" i="7"/>
  <c r="E732" i="7"/>
  <c r="B732" i="7"/>
  <c r="U731" i="7"/>
  <c r="K731" i="7"/>
  <c r="E731" i="7"/>
  <c r="B731" i="7"/>
  <c r="U730" i="7"/>
  <c r="K730" i="7"/>
  <c r="E730" i="7"/>
  <c r="B730" i="7"/>
  <c r="U729" i="7"/>
  <c r="K729" i="7"/>
  <c r="E729" i="7"/>
  <c r="B729" i="7"/>
  <c r="U728" i="7"/>
  <c r="K728" i="7"/>
  <c r="E728" i="7"/>
  <c r="B728" i="7"/>
  <c r="U727" i="7"/>
  <c r="K727" i="7"/>
  <c r="E727" i="7"/>
  <c r="B727" i="7"/>
  <c r="U726" i="7"/>
  <c r="K726" i="7"/>
  <c r="E726" i="7"/>
  <c r="B726" i="7"/>
  <c r="U725" i="7"/>
  <c r="K725" i="7"/>
  <c r="E725" i="7"/>
  <c r="B725" i="7"/>
  <c r="U724" i="7"/>
  <c r="K724" i="7"/>
  <c r="E724" i="7"/>
  <c r="B724" i="7"/>
  <c r="U723" i="7"/>
  <c r="K723" i="7"/>
  <c r="E723" i="7"/>
  <c r="B723" i="7"/>
  <c r="U722" i="7"/>
  <c r="K722" i="7"/>
  <c r="E722" i="7"/>
  <c r="B722" i="7"/>
  <c r="U721" i="7"/>
  <c r="K721" i="7"/>
  <c r="E721" i="7"/>
  <c r="B721" i="7"/>
  <c r="U720" i="7"/>
  <c r="K720" i="7"/>
  <c r="E720" i="7"/>
  <c r="B720" i="7"/>
  <c r="U719" i="7"/>
  <c r="K719" i="7"/>
  <c r="E719" i="7"/>
  <c r="B719" i="7"/>
  <c r="U718" i="7"/>
  <c r="K718" i="7"/>
  <c r="E718" i="7"/>
  <c r="B718" i="7"/>
  <c r="U717" i="7"/>
  <c r="K717" i="7"/>
  <c r="E717" i="7"/>
  <c r="B717" i="7"/>
  <c r="U716" i="7"/>
  <c r="K716" i="7"/>
  <c r="E716" i="7"/>
  <c r="B716" i="7"/>
  <c r="U715" i="7"/>
  <c r="K715" i="7"/>
  <c r="E715" i="7"/>
  <c r="B715" i="7"/>
  <c r="U714" i="7"/>
  <c r="K714" i="7"/>
  <c r="E714" i="7"/>
  <c r="B714" i="7"/>
  <c r="U713" i="7"/>
  <c r="K713" i="7"/>
  <c r="E713" i="7"/>
  <c r="B713" i="7"/>
  <c r="U712" i="7"/>
  <c r="K712" i="7"/>
  <c r="E712" i="7"/>
  <c r="B712" i="7"/>
  <c r="U711" i="7"/>
  <c r="K711" i="7"/>
  <c r="E711" i="7"/>
  <c r="B711" i="7"/>
  <c r="U710" i="7"/>
  <c r="K710" i="7"/>
  <c r="E710" i="7"/>
  <c r="B710" i="7"/>
  <c r="U709" i="7"/>
  <c r="K709" i="7"/>
  <c r="E709" i="7"/>
  <c r="B709" i="7"/>
  <c r="U708" i="7"/>
  <c r="K708" i="7"/>
  <c r="E708" i="7"/>
  <c r="B708" i="7"/>
  <c r="U707" i="7"/>
  <c r="K707" i="7"/>
  <c r="E707" i="7"/>
  <c r="B707" i="7"/>
  <c r="U706" i="7"/>
  <c r="K706" i="7"/>
  <c r="E706" i="7"/>
  <c r="B706" i="7"/>
  <c r="U705" i="7"/>
  <c r="K705" i="7"/>
  <c r="E705" i="7"/>
  <c r="B705" i="7"/>
  <c r="U704" i="7"/>
  <c r="K704" i="7"/>
  <c r="E704" i="7"/>
  <c r="B704" i="7"/>
  <c r="U703" i="7"/>
  <c r="K703" i="7"/>
  <c r="E703" i="7"/>
  <c r="B703" i="7"/>
  <c r="U702" i="7"/>
  <c r="K702" i="7"/>
  <c r="E702" i="7"/>
  <c r="B702" i="7"/>
  <c r="U701" i="7"/>
  <c r="K701" i="7"/>
  <c r="E701" i="7"/>
  <c r="B701" i="7"/>
  <c r="U700" i="7"/>
  <c r="K700" i="7"/>
  <c r="E700" i="7"/>
  <c r="B700" i="7"/>
  <c r="U699" i="7"/>
  <c r="K699" i="7"/>
  <c r="E699" i="7"/>
  <c r="B699" i="7"/>
  <c r="U698" i="7"/>
  <c r="K698" i="7"/>
  <c r="E698" i="7"/>
  <c r="B698" i="7"/>
  <c r="U697" i="7"/>
  <c r="K697" i="7"/>
  <c r="E697" i="7"/>
  <c r="B697" i="7"/>
  <c r="U696" i="7"/>
  <c r="K696" i="7"/>
  <c r="E696" i="7"/>
  <c r="B696" i="7"/>
  <c r="U695" i="7"/>
  <c r="K695" i="7"/>
  <c r="E695" i="7"/>
  <c r="B695" i="7"/>
  <c r="U694" i="7"/>
  <c r="K694" i="7"/>
  <c r="E694" i="7"/>
  <c r="B694" i="7"/>
  <c r="U693" i="7"/>
  <c r="K693" i="7"/>
  <c r="E693" i="7"/>
  <c r="B693" i="7"/>
  <c r="U692" i="7"/>
  <c r="K692" i="7"/>
  <c r="E692" i="7"/>
  <c r="B692" i="7"/>
  <c r="U691" i="7"/>
  <c r="K691" i="7"/>
  <c r="E691" i="7"/>
  <c r="B691" i="7"/>
  <c r="U690" i="7"/>
  <c r="K690" i="7"/>
  <c r="E690" i="7"/>
  <c r="B690" i="7"/>
  <c r="U689" i="7"/>
  <c r="K689" i="7"/>
  <c r="E689" i="7"/>
  <c r="B689" i="7"/>
  <c r="U688" i="7"/>
  <c r="K688" i="7"/>
  <c r="E688" i="7"/>
  <c r="B688" i="7"/>
  <c r="U687" i="7"/>
  <c r="K687" i="7"/>
  <c r="E687" i="7"/>
  <c r="B687" i="7"/>
  <c r="U686" i="7"/>
  <c r="K686" i="7"/>
  <c r="E686" i="7"/>
  <c r="B686" i="7"/>
  <c r="U685" i="7"/>
  <c r="K685" i="7"/>
  <c r="E685" i="7"/>
  <c r="B685" i="7"/>
  <c r="U684" i="7"/>
  <c r="K684" i="7"/>
  <c r="E684" i="7"/>
  <c r="B684" i="7"/>
  <c r="U683" i="7"/>
  <c r="K683" i="7"/>
  <c r="E683" i="7"/>
  <c r="B683" i="7"/>
  <c r="U682" i="7"/>
  <c r="K682" i="7"/>
  <c r="E682" i="7"/>
  <c r="B682" i="7"/>
  <c r="U681" i="7"/>
  <c r="K681" i="7"/>
  <c r="E681" i="7"/>
  <c r="B681" i="7"/>
  <c r="U680" i="7"/>
  <c r="K680" i="7"/>
  <c r="E680" i="7"/>
  <c r="B680" i="7"/>
  <c r="U679" i="7"/>
  <c r="K679" i="7"/>
  <c r="E679" i="7"/>
  <c r="B679" i="7"/>
  <c r="U678" i="7"/>
  <c r="K678" i="7"/>
  <c r="E678" i="7"/>
  <c r="B678" i="7"/>
  <c r="U677" i="7"/>
  <c r="K677" i="7"/>
  <c r="E677" i="7"/>
  <c r="B677" i="7"/>
  <c r="U676" i="7"/>
  <c r="K676" i="7"/>
  <c r="E676" i="7"/>
  <c r="B676" i="7"/>
  <c r="U675" i="7"/>
  <c r="K675" i="7"/>
  <c r="E675" i="7"/>
  <c r="B675" i="7"/>
  <c r="U674" i="7"/>
  <c r="K674" i="7"/>
  <c r="E674" i="7"/>
  <c r="B674" i="7"/>
  <c r="U673" i="7"/>
  <c r="K673" i="7"/>
  <c r="E673" i="7"/>
  <c r="B673" i="7"/>
  <c r="U672" i="7"/>
  <c r="K672" i="7"/>
  <c r="E672" i="7"/>
  <c r="B672" i="7"/>
  <c r="U671" i="7"/>
  <c r="K671" i="7"/>
  <c r="E671" i="7"/>
  <c r="B671" i="7"/>
  <c r="U670" i="7"/>
  <c r="K670" i="7"/>
  <c r="E670" i="7"/>
  <c r="B670" i="7"/>
  <c r="U669" i="7"/>
  <c r="K669" i="7"/>
  <c r="E669" i="7"/>
  <c r="B669" i="7"/>
  <c r="U668" i="7"/>
  <c r="K668" i="7"/>
  <c r="E668" i="7"/>
  <c r="B668" i="7"/>
  <c r="U667" i="7"/>
  <c r="K667" i="7"/>
  <c r="E667" i="7"/>
  <c r="B667" i="7"/>
  <c r="U666" i="7"/>
  <c r="K666" i="7"/>
  <c r="E666" i="7"/>
  <c r="B666" i="7"/>
  <c r="U665" i="7"/>
  <c r="K665" i="7"/>
  <c r="E665" i="7"/>
  <c r="B665" i="7"/>
  <c r="U664" i="7"/>
  <c r="K664" i="7"/>
  <c r="E664" i="7"/>
  <c r="B664" i="7"/>
  <c r="U663" i="7"/>
  <c r="K663" i="7"/>
  <c r="E663" i="7"/>
  <c r="B663" i="7"/>
  <c r="U662" i="7"/>
  <c r="K662" i="7"/>
  <c r="E662" i="7"/>
  <c r="B662" i="7"/>
  <c r="U661" i="7"/>
  <c r="K661" i="7"/>
  <c r="E661" i="7"/>
  <c r="B661" i="7"/>
  <c r="U660" i="7"/>
  <c r="K660" i="7"/>
  <c r="E660" i="7"/>
  <c r="B660" i="7"/>
  <c r="U659" i="7"/>
  <c r="K659" i="7"/>
  <c r="E659" i="7"/>
  <c r="B659" i="7"/>
  <c r="U658" i="7"/>
  <c r="K658" i="7"/>
  <c r="E658" i="7"/>
  <c r="B658" i="7"/>
  <c r="U657" i="7"/>
  <c r="K657" i="7"/>
  <c r="E657" i="7"/>
  <c r="B657" i="7"/>
  <c r="U656" i="7"/>
  <c r="K656" i="7"/>
  <c r="E656" i="7"/>
  <c r="B656" i="7"/>
  <c r="U655" i="7"/>
  <c r="K655" i="7"/>
  <c r="E655" i="7"/>
  <c r="B655" i="7"/>
  <c r="U654" i="7"/>
  <c r="K654" i="7"/>
  <c r="E654" i="7"/>
  <c r="B654" i="7"/>
  <c r="U653" i="7"/>
  <c r="K653" i="7"/>
  <c r="E653" i="7"/>
  <c r="B653" i="7"/>
  <c r="U652" i="7"/>
  <c r="K652" i="7"/>
  <c r="E652" i="7"/>
  <c r="B652" i="7"/>
  <c r="U651" i="7"/>
  <c r="K651" i="7"/>
  <c r="E651" i="7"/>
  <c r="B651" i="7"/>
  <c r="U650" i="7"/>
  <c r="K650" i="7"/>
  <c r="E650" i="7"/>
  <c r="B650" i="7"/>
  <c r="U649" i="7"/>
  <c r="K649" i="7"/>
  <c r="E649" i="7"/>
  <c r="B649" i="7"/>
  <c r="U648" i="7"/>
  <c r="K648" i="7"/>
  <c r="E648" i="7"/>
  <c r="B648" i="7"/>
  <c r="U647" i="7"/>
  <c r="K647" i="7"/>
  <c r="E647" i="7"/>
  <c r="B647" i="7"/>
  <c r="U646" i="7"/>
  <c r="K646" i="7"/>
  <c r="E646" i="7"/>
  <c r="B646" i="7"/>
  <c r="U645" i="7"/>
  <c r="K645" i="7"/>
  <c r="E645" i="7"/>
  <c r="B645" i="7"/>
  <c r="U644" i="7"/>
  <c r="K644" i="7"/>
  <c r="E644" i="7"/>
  <c r="B644" i="7"/>
  <c r="U643" i="7"/>
  <c r="K643" i="7"/>
  <c r="E643" i="7"/>
  <c r="B643" i="7"/>
  <c r="U642" i="7"/>
  <c r="K642" i="7"/>
  <c r="E642" i="7"/>
  <c r="B642" i="7"/>
  <c r="U641" i="7"/>
  <c r="K641" i="7"/>
  <c r="E641" i="7"/>
  <c r="B641" i="7"/>
  <c r="U640" i="7"/>
  <c r="K640" i="7"/>
  <c r="E640" i="7"/>
  <c r="B640" i="7"/>
  <c r="U639" i="7"/>
  <c r="K639" i="7"/>
  <c r="E639" i="7"/>
  <c r="B639" i="7"/>
  <c r="U638" i="7"/>
  <c r="K638" i="7"/>
  <c r="E638" i="7"/>
  <c r="B638" i="7"/>
  <c r="U637" i="7"/>
  <c r="K637" i="7"/>
  <c r="E637" i="7"/>
  <c r="B637" i="7"/>
  <c r="U636" i="7"/>
  <c r="K636" i="7"/>
  <c r="E636" i="7"/>
  <c r="B636" i="7"/>
  <c r="U635" i="7"/>
  <c r="K635" i="7"/>
  <c r="E635" i="7"/>
  <c r="B635" i="7"/>
  <c r="U634" i="7"/>
  <c r="K634" i="7"/>
  <c r="E634" i="7"/>
  <c r="B634" i="7"/>
  <c r="U633" i="7"/>
  <c r="K633" i="7"/>
  <c r="E633" i="7"/>
  <c r="B633" i="7"/>
  <c r="U632" i="7"/>
  <c r="K632" i="7"/>
  <c r="E632" i="7"/>
  <c r="B632" i="7"/>
  <c r="U631" i="7"/>
  <c r="K631" i="7"/>
  <c r="E631" i="7"/>
  <c r="B631" i="7"/>
  <c r="U630" i="7"/>
  <c r="K630" i="7"/>
  <c r="E630" i="7"/>
  <c r="B630" i="7"/>
  <c r="U629" i="7"/>
  <c r="K629" i="7"/>
  <c r="E629" i="7"/>
  <c r="B629" i="7"/>
  <c r="U628" i="7"/>
  <c r="K628" i="7"/>
  <c r="E628" i="7"/>
  <c r="B628" i="7"/>
  <c r="U627" i="7"/>
  <c r="K627" i="7"/>
  <c r="E627" i="7"/>
  <c r="B627" i="7"/>
  <c r="U626" i="7"/>
  <c r="K626" i="7"/>
  <c r="E626" i="7"/>
  <c r="B626" i="7"/>
  <c r="U625" i="7"/>
  <c r="K625" i="7"/>
  <c r="E625" i="7"/>
  <c r="B625" i="7"/>
  <c r="U624" i="7"/>
  <c r="K624" i="7"/>
  <c r="E624" i="7"/>
  <c r="B624" i="7"/>
  <c r="U623" i="7"/>
  <c r="K623" i="7"/>
  <c r="E623" i="7"/>
  <c r="B623" i="7"/>
  <c r="U622" i="7"/>
  <c r="K622" i="7"/>
  <c r="E622" i="7"/>
  <c r="B622" i="7"/>
  <c r="U621" i="7"/>
  <c r="K621" i="7"/>
  <c r="E621" i="7"/>
  <c r="B621" i="7"/>
  <c r="U620" i="7"/>
  <c r="K620" i="7"/>
  <c r="E620" i="7"/>
  <c r="B620" i="7"/>
  <c r="U619" i="7"/>
  <c r="K619" i="7"/>
  <c r="E619" i="7"/>
  <c r="B619" i="7"/>
  <c r="U618" i="7"/>
  <c r="K618" i="7"/>
  <c r="E618" i="7"/>
  <c r="B618" i="7"/>
  <c r="U617" i="7"/>
  <c r="K617" i="7"/>
  <c r="E617" i="7"/>
  <c r="B617" i="7"/>
  <c r="U616" i="7"/>
  <c r="K616" i="7"/>
  <c r="E616" i="7"/>
  <c r="B616" i="7"/>
  <c r="U615" i="7"/>
  <c r="K615" i="7"/>
  <c r="E615" i="7"/>
  <c r="B615" i="7"/>
  <c r="U614" i="7"/>
  <c r="K614" i="7"/>
  <c r="E614" i="7"/>
  <c r="B614" i="7"/>
  <c r="U613" i="7"/>
  <c r="K613" i="7"/>
  <c r="E613" i="7"/>
  <c r="B613" i="7"/>
  <c r="U612" i="7"/>
  <c r="K612" i="7"/>
  <c r="E612" i="7"/>
  <c r="B612" i="7"/>
  <c r="U611" i="7"/>
  <c r="K611" i="7"/>
  <c r="E611" i="7"/>
  <c r="B611" i="7"/>
  <c r="U610" i="7"/>
  <c r="K610" i="7"/>
  <c r="E610" i="7"/>
  <c r="B610" i="7"/>
  <c r="U609" i="7"/>
  <c r="K609" i="7"/>
  <c r="E609" i="7"/>
  <c r="B609" i="7"/>
  <c r="U608" i="7"/>
  <c r="K608" i="7"/>
  <c r="E608" i="7"/>
  <c r="B608" i="7"/>
  <c r="U607" i="7"/>
  <c r="K607" i="7"/>
  <c r="E607" i="7"/>
  <c r="B607" i="7"/>
  <c r="U606" i="7"/>
  <c r="K606" i="7"/>
  <c r="E606" i="7"/>
  <c r="B606" i="7"/>
  <c r="U605" i="7"/>
  <c r="K605" i="7"/>
  <c r="E605" i="7"/>
  <c r="B605" i="7"/>
  <c r="U604" i="7"/>
  <c r="K604" i="7"/>
  <c r="E604" i="7"/>
  <c r="B604" i="7"/>
  <c r="U603" i="7"/>
  <c r="K603" i="7"/>
  <c r="E603" i="7"/>
  <c r="B603" i="7"/>
  <c r="U602" i="7"/>
  <c r="K602" i="7"/>
  <c r="E602" i="7"/>
  <c r="B602" i="7"/>
  <c r="U601" i="7"/>
  <c r="K601" i="7"/>
  <c r="E601" i="7"/>
  <c r="B601" i="7"/>
  <c r="U600" i="7"/>
  <c r="K600" i="7"/>
  <c r="E600" i="7"/>
  <c r="B600" i="7"/>
  <c r="U599" i="7"/>
  <c r="K599" i="7"/>
  <c r="E599" i="7"/>
  <c r="B599" i="7"/>
  <c r="U598" i="7"/>
  <c r="K598" i="7"/>
  <c r="E598" i="7"/>
  <c r="B598" i="7"/>
  <c r="U597" i="7"/>
  <c r="K597" i="7"/>
  <c r="E597" i="7"/>
  <c r="B597" i="7"/>
  <c r="U596" i="7"/>
  <c r="K596" i="7"/>
  <c r="E596" i="7"/>
  <c r="B596" i="7"/>
  <c r="U595" i="7"/>
  <c r="E595" i="7"/>
  <c r="B595" i="7"/>
  <c r="U594" i="7"/>
  <c r="K594" i="7"/>
  <c r="E594" i="7"/>
  <c r="B594" i="7"/>
  <c r="U593" i="7"/>
  <c r="K593" i="7"/>
  <c r="E593" i="7"/>
  <c r="B593" i="7"/>
  <c r="U592" i="7"/>
  <c r="K592" i="7"/>
  <c r="E592" i="7"/>
  <c r="B592" i="7"/>
  <c r="U591" i="7"/>
  <c r="K591" i="7"/>
  <c r="E591" i="7"/>
  <c r="B591" i="7"/>
  <c r="U590" i="7"/>
  <c r="K590" i="7"/>
  <c r="E590" i="7"/>
  <c r="B590" i="7"/>
  <c r="U589" i="7"/>
  <c r="K589" i="7"/>
  <c r="E589" i="7"/>
  <c r="B589" i="7"/>
  <c r="U588" i="7"/>
  <c r="K588" i="7"/>
  <c r="E588" i="7"/>
  <c r="B588" i="7"/>
  <c r="U587" i="7"/>
  <c r="K587" i="7"/>
  <c r="E587" i="7"/>
  <c r="B587" i="7"/>
  <c r="U586" i="7"/>
  <c r="K586" i="7"/>
  <c r="E586" i="7"/>
  <c r="B586" i="7"/>
  <c r="U585" i="7"/>
  <c r="K585" i="7"/>
  <c r="E585" i="7"/>
  <c r="B585" i="7"/>
  <c r="U584" i="7"/>
  <c r="K584" i="7"/>
  <c r="E584" i="7"/>
  <c r="B584" i="7"/>
  <c r="U583" i="7"/>
  <c r="K583" i="7"/>
  <c r="E583" i="7"/>
  <c r="B583" i="7"/>
  <c r="U582" i="7"/>
  <c r="K582" i="7"/>
  <c r="E582" i="7"/>
  <c r="B582" i="7"/>
  <c r="E581" i="7"/>
  <c r="B581" i="7"/>
  <c r="U580" i="7"/>
  <c r="K580" i="7"/>
  <c r="E580" i="7"/>
  <c r="B580" i="7"/>
  <c r="U579" i="7"/>
  <c r="K579" i="7"/>
  <c r="E579" i="7"/>
  <c r="B579" i="7"/>
  <c r="U578" i="7"/>
  <c r="K578" i="7"/>
  <c r="E578" i="7"/>
  <c r="B578" i="7"/>
  <c r="U577" i="7"/>
  <c r="K577" i="7"/>
  <c r="E577" i="7"/>
  <c r="B577" i="7"/>
  <c r="U576" i="7"/>
  <c r="K576" i="7"/>
  <c r="E576" i="7"/>
  <c r="B576" i="7"/>
  <c r="U575" i="7"/>
  <c r="K575" i="7"/>
  <c r="E575" i="7"/>
  <c r="B575" i="7"/>
  <c r="U574" i="7"/>
  <c r="K574" i="7"/>
  <c r="E574" i="7"/>
  <c r="B574" i="7"/>
  <c r="U573" i="7"/>
  <c r="K573" i="7"/>
  <c r="E573" i="7"/>
  <c r="B573" i="7"/>
  <c r="U572" i="7"/>
  <c r="K572" i="7"/>
  <c r="E572" i="7"/>
  <c r="B572" i="7"/>
  <c r="U571" i="7"/>
  <c r="K571" i="7"/>
  <c r="E571" i="7"/>
  <c r="B571" i="7"/>
  <c r="U570" i="7"/>
  <c r="K570" i="7"/>
  <c r="E570" i="7"/>
  <c r="B570" i="7"/>
  <c r="U569" i="7"/>
  <c r="K569" i="7"/>
  <c r="E569" i="7"/>
  <c r="B569" i="7"/>
  <c r="U568" i="7"/>
  <c r="K568" i="7"/>
  <c r="E568" i="7"/>
  <c r="B568" i="7"/>
  <c r="U567" i="7"/>
  <c r="K567" i="7"/>
  <c r="E567" i="7"/>
  <c r="B567" i="7"/>
  <c r="U566" i="7"/>
  <c r="K566" i="7"/>
  <c r="E566" i="7"/>
  <c r="B566" i="7"/>
  <c r="U565" i="7"/>
  <c r="K565" i="7"/>
  <c r="E565" i="7"/>
  <c r="B565" i="7"/>
  <c r="U564" i="7"/>
  <c r="K564" i="7"/>
  <c r="E564" i="7"/>
  <c r="B564" i="7"/>
  <c r="U563" i="7"/>
  <c r="K563" i="7"/>
  <c r="E563" i="7"/>
  <c r="B563" i="7"/>
  <c r="U562" i="7"/>
  <c r="K562" i="7"/>
  <c r="E562" i="7"/>
  <c r="B562" i="7"/>
  <c r="U561" i="7"/>
  <c r="K561" i="7"/>
  <c r="E561" i="7"/>
  <c r="B561" i="7"/>
  <c r="U560" i="7"/>
  <c r="K560" i="7"/>
  <c r="E560" i="7"/>
  <c r="B560" i="7"/>
  <c r="U559" i="7"/>
  <c r="K559" i="7"/>
  <c r="E559" i="7"/>
  <c r="B559" i="7"/>
  <c r="U558" i="7"/>
  <c r="K558" i="7"/>
  <c r="E558" i="7"/>
  <c r="B558" i="7"/>
  <c r="U557" i="7"/>
  <c r="K557" i="7"/>
  <c r="E557" i="7"/>
  <c r="B557" i="7"/>
  <c r="U556" i="7"/>
  <c r="K556" i="7"/>
  <c r="E556" i="7"/>
  <c r="B556" i="7"/>
  <c r="U555" i="7"/>
  <c r="K555" i="7"/>
  <c r="E555" i="7"/>
  <c r="B555" i="7"/>
  <c r="U554" i="7"/>
  <c r="K554" i="7"/>
  <c r="E554" i="7"/>
  <c r="B554" i="7"/>
  <c r="U553" i="7"/>
  <c r="K553" i="7"/>
  <c r="E553" i="7"/>
  <c r="B553" i="7"/>
  <c r="U552" i="7"/>
  <c r="K552" i="7"/>
  <c r="E552" i="7"/>
  <c r="B552" i="7"/>
  <c r="U551" i="7"/>
  <c r="K551" i="7"/>
  <c r="E551" i="7"/>
  <c r="B551" i="7"/>
  <c r="U550" i="7"/>
  <c r="K550" i="7"/>
  <c r="E550" i="7"/>
  <c r="B550" i="7"/>
  <c r="U549" i="7"/>
  <c r="K549" i="7"/>
  <c r="E549" i="7"/>
  <c r="B549" i="7"/>
  <c r="U548" i="7"/>
  <c r="K548" i="7"/>
  <c r="E548" i="7"/>
  <c r="B548" i="7"/>
  <c r="U547" i="7"/>
  <c r="K547" i="7"/>
  <c r="E547" i="7"/>
  <c r="B547" i="7"/>
  <c r="U546" i="7"/>
  <c r="K546" i="7"/>
  <c r="E546" i="7"/>
  <c r="B546" i="7"/>
  <c r="U545" i="7"/>
  <c r="K545" i="7"/>
  <c r="E545" i="7"/>
  <c r="B545" i="7"/>
  <c r="U544" i="7"/>
  <c r="K544" i="7"/>
  <c r="E544" i="7"/>
  <c r="B544" i="7"/>
  <c r="U543" i="7"/>
  <c r="K543" i="7"/>
  <c r="E543" i="7"/>
  <c r="B543" i="7"/>
  <c r="U542" i="7"/>
  <c r="K542" i="7"/>
  <c r="E542" i="7"/>
  <c r="B542" i="7"/>
  <c r="U541" i="7"/>
  <c r="K541" i="7"/>
  <c r="E541" i="7"/>
  <c r="B541" i="7"/>
  <c r="U540" i="7"/>
  <c r="K540" i="7"/>
  <c r="E540" i="7"/>
  <c r="B540" i="7"/>
  <c r="U539" i="7"/>
  <c r="K539" i="7"/>
  <c r="E539" i="7"/>
  <c r="B539" i="7"/>
  <c r="U538" i="7"/>
  <c r="K538" i="7"/>
  <c r="E538" i="7"/>
  <c r="B538" i="7"/>
  <c r="U537" i="7"/>
  <c r="K537" i="7"/>
  <c r="E537" i="7"/>
  <c r="B537" i="7"/>
  <c r="U536" i="7"/>
  <c r="K536" i="7"/>
  <c r="E536" i="7"/>
  <c r="B536" i="7"/>
  <c r="U535" i="7"/>
  <c r="K535" i="7"/>
  <c r="E535" i="7"/>
  <c r="B535" i="7"/>
  <c r="U534" i="7"/>
  <c r="K534" i="7"/>
  <c r="E534" i="7"/>
  <c r="B534" i="7"/>
  <c r="U533" i="7"/>
  <c r="K533" i="7"/>
  <c r="E533" i="7"/>
  <c r="B533" i="7"/>
  <c r="U532" i="7"/>
  <c r="K532" i="7"/>
  <c r="E532" i="7"/>
  <c r="B532" i="7"/>
  <c r="U531" i="7"/>
  <c r="K531" i="7"/>
  <c r="E531" i="7"/>
  <c r="B531" i="7"/>
  <c r="U530" i="7"/>
  <c r="K530" i="7"/>
  <c r="E530" i="7"/>
  <c r="B530" i="7"/>
  <c r="U529" i="7"/>
  <c r="K529" i="7"/>
  <c r="E529" i="7"/>
  <c r="B529" i="7"/>
  <c r="U528" i="7"/>
  <c r="K528" i="7"/>
  <c r="E528" i="7"/>
  <c r="B528" i="7"/>
  <c r="U527" i="7"/>
  <c r="K527" i="7"/>
  <c r="E527" i="7"/>
  <c r="B527" i="7"/>
  <c r="U526" i="7"/>
  <c r="K526" i="7"/>
  <c r="E526" i="7"/>
  <c r="B526" i="7"/>
  <c r="U525" i="7"/>
  <c r="K525" i="7"/>
  <c r="E525" i="7"/>
  <c r="B525" i="7"/>
  <c r="U524" i="7"/>
  <c r="K524" i="7"/>
  <c r="E524" i="7"/>
  <c r="B524" i="7"/>
  <c r="U523" i="7"/>
  <c r="K523" i="7"/>
  <c r="E523" i="7"/>
  <c r="B523" i="7"/>
  <c r="U522" i="7"/>
  <c r="K522" i="7"/>
  <c r="E522" i="7"/>
  <c r="B522" i="7"/>
  <c r="U521" i="7"/>
  <c r="K521" i="7"/>
  <c r="E521" i="7"/>
  <c r="B521" i="7"/>
  <c r="U520" i="7"/>
  <c r="K520" i="7"/>
  <c r="E520" i="7"/>
  <c r="B520" i="7"/>
  <c r="K519" i="7"/>
  <c r="E519" i="7"/>
  <c r="B519" i="7"/>
  <c r="U518" i="7"/>
  <c r="K518" i="7"/>
  <c r="E518" i="7"/>
  <c r="B518" i="7"/>
  <c r="U517" i="7"/>
  <c r="K517" i="7"/>
  <c r="E517" i="7"/>
  <c r="B517" i="7"/>
  <c r="U516" i="7"/>
  <c r="K516" i="7"/>
  <c r="E516" i="7"/>
  <c r="B516" i="7"/>
  <c r="K515" i="7"/>
  <c r="E515" i="7"/>
  <c r="B515" i="7"/>
  <c r="U514" i="7"/>
  <c r="K514" i="7"/>
  <c r="E514" i="7"/>
  <c r="B514" i="7"/>
  <c r="U513" i="7"/>
  <c r="K513" i="7"/>
  <c r="E513" i="7"/>
  <c r="B513" i="7"/>
  <c r="U512" i="7"/>
  <c r="K512" i="7"/>
  <c r="E512" i="7"/>
  <c r="B512" i="7"/>
  <c r="U511" i="7"/>
  <c r="K511" i="7"/>
  <c r="E511" i="7"/>
  <c r="B511" i="7"/>
  <c r="U510" i="7"/>
  <c r="K510" i="7"/>
  <c r="E510" i="7"/>
  <c r="B510" i="7"/>
  <c r="U509" i="7"/>
  <c r="K509" i="7"/>
  <c r="E509" i="7"/>
  <c r="B509" i="7"/>
  <c r="U508" i="7"/>
  <c r="K508" i="7"/>
  <c r="E508" i="7"/>
  <c r="B508" i="7"/>
  <c r="U507" i="7"/>
  <c r="K507" i="7"/>
  <c r="E507" i="7"/>
  <c r="B507" i="7"/>
  <c r="U506" i="7"/>
  <c r="K506" i="7"/>
  <c r="E506" i="7"/>
  <c r="B506" i="7"/>
  <c r="U505" i="7"/>
  <c r="K505" i="7"/>
  <c r="E505" i="7"/>
  <c r="B505" i="7"/>
  <c r="U504" i="7"/>
  <c r="K504" i="7"/>
  <c r="E504" i="7"/>
  <c r="B504" i="7"/>
  <c r="U503" i="7"/>
  <c r="K503" i="7"/>
  <c r="E503" i="7"/>
  <c r="B503" i="7"/>
  <c r="U502" i="7"/>
  <c r="K502" i="7"/>
  <c r="E502" i="7"/>
  <c r="B502" i="7"/>
  <c r="U501" i="7"/>
  <c r="K501" i="7"/>
  <c r="E501" i="7"/>
  <c r="B501" i="7"/>
  <c r="U500" i="7"/>
  <c r="K500" i="7"/>
  <c r="E500" i="7"/>
  <c r="B500" i="7"/>
  <c r="U499" i="7"/>
  <c r="K499" i="7"/>
  <c r="E499" i="7"/>
  <c r="B499" i="7"/>
  <c r="U498" i="7"/>
  <c r="K498" i="7"/>
  <c r="E498" i="7"/>
  <c r="B498" i="7"/>
  <c r="U497" i="7"/>
  <c r="E497" i="7"/>
  <c r="B497" i="7"/>
  <c r="U496" i="7"/>
  <c r="K496" i="7"/>
  <c r="E496" i="7"/>
  <c r="B496" i="7"/>
  <c r="U495" i="7"/>
  <c r="K495" i="7"/>
  <c r="E495" i="7"/>
  <c r="B495" i="7"/>
  <c r="U494" i="7"/>
  <c r="K494" i="7"/>
  <c r="E494" i="7"/>
  <c r="B494" i="7"/>
  <c r="U493" i="7"/>
  <c r="K493" i="7"/>
  <c r="E493" i="7"/>
  <c r="B493" i="7"/>
  <c r="U492" i="7"/>
  <c r="K492" i="7"/>
  <c r="E492" i="7"/>
  <c r="B492" i="7"/>
  <c r="U491" i="7"/>
  <c r="K491" i="7"/>
  <c r="E491" i="7"/>
  <c r="B491" i="7"/>
  <c r="U490" i="7"/>
  <c r="K490" i="7"/>
  <c r="E490" i="7"/>
  <c r="B490" i="7"/>
  <c r="U489" i="7"/>
  <c r="K489" i="7"/>
  <c r="E489" i="7"/>
  <c r="B489" i="7"/>
  <c r="U488" i="7"/>
  <c r="K488" i="7"/>
  <c r="E488" i="7"/>
  <c r="B488" i="7"/>
  <c r="U487" i="7"/>
  <c r="K487" i="7"/>
  <c r="E487" i="7"/>
  <c r="B487" i="7"/>
  <c r="U486" i="7"/>
  <c r="K486" i="7"/>
  <c r="E486" i="7"/>
  <c r="B486" i="7"/>
  <c r="U485" i="7"/>
  <c r="K485" i="7"/>
  <c r="E485" i="7"/>
  <c r="B485" i="7"/>
  <c r="U484" i="7"/>
  <c r="K484" i="7"/>
  <c r="E484" i="7"/>
  <c r="B484" i="7"/>
  <c r="U483" i="7"/>
  <c r="E483" i="7"/>
  <c r="B483" i="7"/>
  <c r="U482" i="7"/>
  <c r="K482" i="7"/>
  <c r="E482" i="7"/>
  <c r="B482" i="7"/>
  <c r="U481" i="7"/>
  <c r="K481" i="7"/>
  <c r="E481" i="7"/>
  <c r="B481" i="7"/>
  <c r="U480" i="7"/>
  <c r="K480" i="7"/>
  <c r="E480" i="7"/>
  <c r="B480" i="7"/>
  <c r="U479" i="7"/>
  <c r="K479" i="7"/>
  <c r="E479" i="7"/>
  <c r="B479" i="7"/>
  <c r="U478" i="7"/>
  <c r="K478" i="7"/>
  <c r="E478" i="7"/>
  <c r="B478" i="7"/>
  <c r="U477" i="7"/>
  <c r="K477" i="7"/>
  <c r="E477" i="7"/>
  <c r="B477" i="7"/>
  <c r="U476" i="7"/>
  <c r="K476" i="7"/>
  <c r="E476" i="7"/>
  <c r="B476" i="7"/>
  <c r="U475" i="7"/>
  <c r="K475" i="7"/>
  <c r="E475" i="7"/>
  <c r="B475" i="7"/>
  <c r="U474" i="7"/>
  <c r="K474" i="7"/>
  <c r="E474" i="7"/>
  <c r="B474" i="7"/>
  <c r="U473" i="7"/>
  <c r="K473" i="7"/>
  <c r="E473" i="7"/>
  <c r="B473" i="7"/>
  <c r="U472" i="7"/>
  <c r="K472" i="7"/>
  <c r="E472" i="7"/>
  <c r="B472" i="7"/>
  <c r="U471" i="7"/>
  <c r="K471" i="7"/>
  <c r="E471" i="7"/>
  <c r="B471" i="7"/>
  <c r="U470" i="7"/>
  <c r="K470" i="7"/>
  <c r="E470" i="7"/>
  <c r="B470" i="7"/>
  <c r="U469" i="7"/>
  <c r="K469" i="7"/>
  <c r="E469" i="7"/>
  <c r="B469" i="7"/>
  <c r="U468" i="7"/>
  <c r="K468" i="7"/>
  <c r="E468" i="7"/>
  <c r="B468" i="7"/>
  <c r="U467" i="7"/>
  <c r="K467" i="7"/>
  <c r="E467" i="7"/>
  <c r="B467" i="7"/>
  <c r="U466" i="7"/>
  <c r="K466" i="7"/>
  <c r="E466" i="7"/>
  <c r="B466" i="7"/>
  <c r="U465" i="7"/>
  <c r="K465" i="7"/>
  <c r="E465" i="7"/>
  <c r="B465" i="7"/>
  <c r="U464" i="7"/>
  <c r="K464" i="7"/>
  <c r="E464" i="7"/>
  <c r="B464" i="7"/>
  <c r="U463" i="7"/>
  <c r="E463" i="7"/>
  <c r="B463" i="7"/>
  <c r="U462" i="7"/>
  <c r="K462" i="7"/>
  <c r="E462" i="7"/>
  <c r="B462" i="7"/>
  <c r="U461" i="7"/>
  <c r="K461" i="7"/>
  <c r="E461" i="7"/>
  <c r="B461" i="7"/>
  <c r="U460" i="7"/>
  <c r="K460" i="7"/>
  <c r="E460" i="7"/>
  <c r="B460" i="7"/>
  <c r="U459" i="7"/>
  <c r="K459" i="7"/>
  <c r="E459" i="7"/>
  <c r="B459" i="7"/>
  <c r="U458" i="7"/>
  <c r="K458" i="7"/>
  <c r="E458" i="7"/>
  <c r="B458" i="7"/>
  <c r="U457" i="7"/>
  <c r="K457" i="7"/>
  <c r="E457" i="7"/>
  <c r="B457" i="7"/>
  <c r="U456" i="7"/>
  <c r="K456" i="7"/>
  <c r="E456" i="7"/>
  <c r="B456" i="7"/>
  <c r="U455" i="7"/>
  <c r="K455" i="7"/>
  <c r="E455" i="7"/>
  <c r="B455" i="7"/>
  <c r="U454" i="7"/>
  <c r="K454" i="7"/>
  <c r="E454" i="7"/>
  <c r="B454" i="7"/>
  <c r="U453" i="7"/>
  <c r="K453" i="7"/>
  <c r="E453" i="7"/>
  <c r="B453" i="7"/>
  <c r="U452" i="7"/>
  <c r="K452" i="7"/>
  <c r="E452" i="7"/>
  <c r="B452" i="7"/>
  <c r="U451" i="7"/>
  <c r="K451" i="7"/>
  <c r="E451" i="7"/>
  <c r="B451" i="7"/>
  <c r="U450" i="7"/>
  <c r="K450" i="7"/>
  <c r="E450" i="7"/>
  <c r="B450" i="7"/>
  <c r="U449" i="7"/>
  <c r="K449" i="7"/>
  <c r="E449" i="7"/>
  <c r="B449" i="7"/>
  <c r="U448" i="7"/>
  <c r="K448" i="7"/>
  <c r="E448" i="7"/>
  <c r="B448" i="7"/>
  <c r="U447" i="7"/>
  <c r="K447" i="7"/>
  <c r="E447" i="7"/>
  <c r="B447" i="7"/>
  <c r="U446" i="7"/>
  <c r="K446" i="7"/>
  <c r="E446" i="7"/>
  <c r="B446" i="7"/>
  <c r="U445" i="7"/>
  <c r="K445" i="7"/>
  <c r="E445" i="7"/>
  <c r="B445" i="7"/>
  <c r="U444" i="7"/>
  <c r="K444" i="7"/>
  <c r="E444" i="7"/>
  <c r="B444" i="7"/>
  <c r="U443" i="7"/>
  <c r="K443" i="7"/>
  <c r="E443" i="7"/>
  <c r="B443" i="7"/>
  <c r="U442" i="7"/>
  <c r="K442" i="7"/>
  <c r="E442" i="7"/>
  <c r="B442" i="7"/>
  <c r="U441" i="7"/>
  <c r="K441" i="7"/>
  <c r="E441" i="7"/>
  <c r="B441" i="7"/>
  <c r="U440" i="7"/>
  <c r="E440" i="7"/>
  <c r="B440" i="7"/>
  <c r="U439" i="7"/>
  <c r="K439" i="7"/>
  <c r="E439" i="7"/>
  <c r="B439" i="7"/>
  <c r="U438" i="7"/>
  <c r="K438" i="7"/>
  <c r="E438" i="7"/>
  <c r="B438" i="7"/>
  <c r="U437" i="7"/>
  <c r="K437" i="7"/>
  <c r="E437" i="7"/>
  <c r="B437" i="7"/>
  <c r="U436" i="7"/>
  <c r="K436" i="7"/>
  <c r="E436" i="7"/>
  <c r="B436" i="7"/>
  <c r="U435" i="7"/>
  <c r="K435" i="7"/>
  <c r="E435" i="7"/>
  <c r="B435" i="7"/>
  <c r="U434" i="7"/>
  <c r="K434" i="7"/>
  <c r="E434" i="7"/>
  <c r="B434" i="7"/>
  <c r="U433" i="7"/>
  <c r="K433" i="7"/>
  <c r="E433" i="7"/>
  <c r="B433" i="7"/>
  <c r="U432" i="7"/>
  <c r="K432" i="7"/>
  <c r="E432" i="7"/>
  <c r="B432" i="7"/>
  <c r="U431" i="7"/>
  <c r="K431" i="7"/>
  <c r="E431" i="7"/>
  <c r="B431" i="7"/>
  <c r="U430" i="7"/>
  <c r="K430" i="7"/>
  <c r="E430" i="7"/>
  <c r="B430" i="7"/>
  <c r="U429" i="7"/>
  <c r="K429" i="7"/>
  <c r="E429" i="7"/>
  <c r="B429" i="7"/>
  <c r="U428" i="7"/>
  <c r="K428" i="7"/>
  <c r="E428" i="7"/>
  <c r="B428" i="7"/>
  <c r="U427" i="7"/>
  <c r="K427" i="7"/>
  <c r="E427" i="7"/>
  <c r="B427" i="7"/>
  <c r="U426" i="7"/>
  <c r="K426" i="7"/>
  <c r="E426" i="7"/>
  <c r="B426" i="7"/>
  <c r="U425" i="7"/>
  <c r="K425" i="7"/>
  <c r="E425" i="7"/>
  <c r="B425" i="7"/>
  <c r="U424" i="7"/>
  <c r="K424" i="7"/>
  <c r="E424" i="7"/>
  <c r="B424" i="7"/>
  <c r="U423" i="7"/>
  <c r="K423" i="7"/>
  <c r="E423" i="7"/>
  <c r="B423" i="7"/>
  <c r="U422" i="7"/>
  <c r="K422" i="7"/>
  <c r="E422" i="7"/>
  <c r="B422" i="7"/>
  <c r="U421" i="7"/>
  <c r="K421" i="7"/>
  <c r="E421" i="7"/>
  <c r="B421" i="7"/>
  <c r="U420" i="7"/>
  <c r="K420" i="7"/>
  <c r="E420" i="7"/>
  <c r="B420" i="7"/>
  <c r="U419" i="7"/>
  <c r="K419" i="7"/>
  <c r="E419" i="7"/>
  <c r="B419" i="7"/>
  <c r="U418" i="7"/>
  <c r="K418" i="7"/>
  <c r="E418" i="7"/>
  <c r="B418" i="7"/>
  <c r="U417" i="7"/>
  <c r="K417" i="7"/>
  <c r="E417" i="7"/>
  <c r="B417" i="7"/>
  <c r="U416" i="7"/>
  <c r="K416" i="7"/>
  <c r="E416" i="7"/>
  <c r="B416" i="7"/>
  <c r="U415" i="7"/>
  <c r="K415" i="7"/>
  <c r="E415" i="7"/>
  <c r="B415" i="7"/>
  <c r="U414" i="7"/>
  <c r="K414" i="7"/>
  <c r="E414" i="7"/>
  <c r="B414" i="7"/>
  <c r="U413" i="7"/>
  <c r="K413" i="7"/>
  <c r="E413" i="7"/>
  <c r="B413" i="7"/>
  <c r="U412" i="7"/>
  <c r="K412" i="7"/>
  <c r="E412" i="7"/>
  <c r="B412" i="7"/>
  <c r="U411" i="7"/>
  <c r="K411" i="7"/>
  <c r="E411" i="7"/>
  <c r="B411" i="7"/>
  <c r="U410" i="7"/>
  <c r="K410" i="7"/>
  <c r="E410" i="7"/>
  <c r="B410" i="7"/>
  <c r="U409" i="7"/>
  <c r="K409" i="7"/>
  <c r="E409" i="7"/>
  <c r="B409" i="7"/>
  <c r="U408" i="7"/>
  <c r="K408" i="7"/>
  <c r="E408" i="7"/>
  <c r="B408" i="7"/>
  <c r="U407" i="7"/>
  <c r="K407" i="7"/>
  <c r="E407" i="7"/>
  <c r="B407" i="7"/>
  <c r="U406" i="7"/>
  <c r="K406" i="7"/>
  <c r="E406" i="7"/>
  <c r="B406" i="7"/>
  <c r="U405" i="7"/>
  <c r="K405" i="7"/>
  <c r="E405" i="7"/>
  <c r="B405" i="7"/>
  <c r="U404" i="7"/>
  <c r="K404" i="7"/>
  <c r="E404" i="7"/>
  <c r="B404" i="7"/>
  <c r="U403" i="7"/>
  <c r="K403" i="7"/>
  <c r="E403" i="7"/>
  <c r="B403" i="7"/>
  <c r="U402" i="7"/>
  <c r="K402" i="7"/>
  <c r="E402" i="7"/>
  <c r="B402" i="7"/>
  <c r="U401" i="7"/>
  <c r="K401" i="7"/>
  <c r="E401" i="7"/>
  <c r="B401" i="7"/>
  <c r="U400" i="7"/>
  <c r="K400" i="7"/>
  <c r="E400" i="7"/>
  <c r="B400" i="7"/>
  <c r="U399" i="7"/>
  <c r="K399" i="7"/>
  <c r="E399" i="7"/>
  <c r="B399" i="7"/>
  <c r="U398" i="7"/>
  <c r="K398" i="7"/>
  <c r="E398" i="7"/>
  <c r="B398" i="7"/>
  <c r="U397" i="7"/>
  <c r="K397" i="7"/>
  <c r="E397" i="7"/>
  <c r="B397" i="7"/>
  <c r="U396" i="7"/>
  <c r="K396" i="7"/>
  <c r="E396" i="7"/>
  <c r="B396" i="7"/>
  <c r="U395" i="7"/>
  <c r="K395" i="7"/>
  <c r="E395" i="7"/>
  <c r="B395" i="7"/>
  <c r="U394" i="7"/>
  <c r="K394" i="7"/>
  <c r="E394" i="7"/>
  <c r="B394" i="7"/>
  <c r="U393" i="7"/>
  <c r="K393" i="7"/>
  <c r="E393" i="7"/>
  <c r="B393" i="7"/>
  <c r="U392" i="7"/>
  <c r="K392" i="7"/>
  <c r="E392" i="7"/>
  <c r="B392" i="7"/>
  <c r="U391" i="7"/>
  <c r="K391" i="7"/>
  <c r="E391" i="7"/>
  <c r="B391" i="7"/>
  <c r="U390" i="7"/>
  <c r="K390" i="7"/>
  <c r="E390" i="7"/>
  <c r="B390" i="7"/>
  <c r="U389" i="7"/>
  <c r="K389" i="7"/>
  <c r="E389" i="7"/>
  <c r="B389" i="7"/>
  <c r="U388" i="7"/>
  <c r="K388" i="7"/>
  <c r="E388" i="7"/>
  <c r="B388" i="7"/>
  <c r="U387" i="7"/>
  <c r="K387" i="7"/>
  <c r="E387" i="7"/>
  <c r="B387" i="7"/>
  <c r="U386" i="7"/>
  <c r="K386" i="7"/>
  <c r="E386" i="7"/>
  <c r="B386" i="7"/>
  <c r="U385" i="7"/>
  <c r="K385" i="7"/>
  <c r="E385" i="7"/>
  <c r="B385" i="7"/>
  <c r="U384" i="7"/>
  <c r="K384" i="7"/>
  <c r="E384" i="7"/>
  <c r="B384" i="7"/>
  <c r="U383" i="7"/>
  <c r="K383" i="7"/>
  <c r="E383" i="7"/>
  <c r="B383" i="7"/>
  <c r="U382" i="7"/>
  <c r="K382" i="7"/>
  <c r="E382" i="7"/>
  <c r="B382" i="7"/>
  <c r="U381" i="7"/>
  <c r="K381" i="7"/>
  <c r="E381" i="7"/>
  <c r="B381" i="7"/>
  <c r="U380" i="7"/>
  <c r="K380" i="7"/>
  <c r="E380" i="7"/>
  <c r="B380" i="7"/>
  <c r="U379" i="7"/>
  <c r="K379" i="7"/>
  <c r="E379" i="7"/>
  <c r="B379" i="7"/>
  <c r="U378" i="7"/>
  <c r="K378" i="7"/>
  <c r="E378" i="7"/>
  <c r="B378" i="7"/>
  <c r="U377" i="7"/>
  <c r="K377" i="7"/>
  <c r="E377" i="7"/>
  <c r="B377" i="7"/>
  <c r="U376" i="7"/>
  <c r="E376" i="7"/>
  <c r="B376" i="7"/>
  <c r="U375" i="7"/>
  <c r="K375" i="7"/>
  <c r="E375" i="7"/>
  <c r="B375" i="7"/>
  <c r="U374" i="7"/>
  <c r="K374" i="7"/>
  <c r="E374" i="7"/>
  <c r="B374" i="7"/>
  <c r="U373" i="7"/>
  <c r="K373" i="7"/>
  <c r="E373" i="7"/>
  <c r="B373" i="7"/>
  <c r="U372" i="7"/>
  <c r="K372" i="7"/>
  <c r="E372" i="7"/>
  <c r="B372" i="7"/>
  <c r="K371" i="7"/>
  <c r="E371" i="7"/>
  <c r="B371" i="7"/>
  <c r="U370" i="7"/>
  <c r="K370" i="7"/>
  <c r="E370" i="7"/>
  <c r="B370" i="7"/>
  <c r="U369" i="7"/>
  <c r="K369" i="7"/>
  <c r="E369" i="7"/>
  <c r="B369" i="7"/>
  <c r="U368" i="7"/>
  <c r="K368" i="7"/>
  <c r="E368" i="7"/>
  <c r="B368" i="7"/>
  <c r="U367" i="7"/>
  <c r="K367" i="7"/>
  <c r="E367" i="7"/>
  <c r="B367" i="7"/>
  <c r="U366" i="7"/>
  <c r="K366" i="7"/>
  <c r="E366" i="7"/>
  <c r="B366" i="7"/>
  <c r="U365" i="7"/>
  <c r="K365" i="7"/>
  <c r="E365" i="7"/>
  <c r="B365" i="7"/>
  <c r="U364" i="7"/>
  <c r="K364" i="7"/>
  <c r="E364" i="7"/>
  <c r="B364" i="7"/>
  <c r="U363" i="7"/>
  <c r="K363" i="7"/>
  <c r="E363" i="7"/>
  <c r="B363" i="7"/>
  <c r="U362" i="7"/>
  <c r="K362" i="7"/>
  <c r="E362" i="7"/>
  <c r="B362" i="7"/>
  <c r="U361" i="7"/>
  <c r="K361" i="7"/>
  <c r="E361" i="7"/>
  <c r="B361" i="7"/>
  <c r="U360" i="7"/>
  <c r="K360" i="7"/>
  <c r="E360" i="7"/>
  <c r="B360" i="7"/>
  <c r="U359" i="7"/>
  <c r="K359" i="7"/>
  <c r="E359" i="7"/>
  <c r="B359" i="7"/>
  <c r="U358" i="7"/>
  <c r="K358" i="7"/>
  <c r="E358" i="7"/>
  <c r="B358" i="7"/>
  <c r="U357" i="7"/>
  <c r="K357" i="7"/>
  <c r="E357" i="7"/>
  <c r="B357" i="7"/>
  <c r="U356" i="7"/>
  <c r="K356" i="7"/>
  <c r="E356" i="7"/>
  <c r="B356" i="7"/>
  <c r="U355" i="7"/>
  <c r="K355" i="7"/>
  <c r="E355" i="7"/>
  <c r="B355" i="7"/>
  <c r="U354" i="7"/>
  <c r="K354" i="7"/>
  <c r="E354" i="7"/>
  <c r="B354" i="7"/>
  <c r="U353" i="7"/>
  <c r="K353" i="7"/>
  <c r="E353" i="7"/>
  <c r="B353" i="7"/>
  <c r="U352" i="7"/>
  <c r="K352" i="7"/>
  <c r="E352" i="7"/>
  <c r="B352" i="7"/>
  <c r="U351" i="7"/>
  <c r="K351" i="7"/>
  <c r="E351" i="7"/>
  <c r="B351" i="7"/>
  <c r="U350" i="7"/>
  <c r="K350" i="7"/>
  <c r="E350" i="7"/>
  <c r="B350" i="7"/>
  <c r="U349" i="7"/>
  <c r="K349" i="7"/>
  <c r="E349" i="7"/>
  <c r="B349" i="7"/>
  <c r="U348" i="7"/>
  <c r="K348" i="7"/>
  <c r="E348" i="7"/>
  <c r="B348" i="7"/>
  <c r="U347" i="7"/>
  <c r="K347" i="7"/>
  <c r="E347" i="7"/>
  <c r="B347" i="7"/>
  <c r="U346" i="7"/>
  <c r="K346" i="7"/>
  <c r="E346" i="7"/>
  <c r="B346" i="7"/>
  <c r="U345" i="7"/>
  <c r="K345" i="7"/>
  <c r="E345" i="7"/>
  <c r="B345" i="7"/>
  <c r="U344" i="7"/>
  <c r="K344" i="7"/>
  <c r="E344" i="7"/>
  <c r="B344" i="7"/>
  <c r="U343" i="7"/>
  <c r="K343" i="7"/>
  <c r="E343" i="7"/>
  <c r="B343" i="7"/>
  <c r="U342" i="7"/>
  <c r="K342" i="7"/>
  <c r="E342" i="7"/>
  <c r="B342" i="7"/>
  <c r="U341" i="7"/>
  <c r="K341" i="7"/>
  <c r="E341" i="7"/>
  <c r="B341" i="7"/>
  <c r="U340" i="7"/>
  <c r="K340" i="7"/>
  <c r="E340" i="7"/>
  <c r="B340" i="7"/>
  <c r="U339" i="7"/>
  <c r="K339" i="7"/>
  <c r="E339" i="7"/>
  <c r="B339" i="7"/>
  <c r="U338" i="7"/>
  <c r="K338" i="7"/>
  <c r="E338" i="7"/>
  <c r="B338" i="7"/>
  <c r="U337" i="7"/>
  <c r="K337" i="7"/>
  <c r="E337" i="7"/>
  <c r="B337" i="7"/>
  <c r="U336" i="7"/>
  <c r="K336" i="7"/>
  <c r="E336" i="7"/>
  <c r="B336" i="7"/>
  <c r="U335" i="7"/>
  <c r="K335" i="7"/>
  <c r="E335" i="7"/>
  <c r="B335" i="7"/>
  <c r="U334" i="7"/>
  <c r="K334" i="7"/>
  <c r="E334" i="7"/>
  <c r="B334" i="7"/>
  <c r="U333" i="7"/>
  <c r="K333" i="7"/>
  <c r="E333" i="7"/>
  <c r="B333" i="7"/>
  <c r="U332" i="7"/>
  <c r="K332" i="7"/>
  <c r="E332" i="7"/>
  <c r="B332" i="7"/>
  <c r="U331" i="7"/>
  <c r="K331" i="7"/>
  <c r="E331" i="7"/>
  <c r="B331" i="7"/>
  <c r="U330" i="7"/>
  <c r="K330" i="7"/>
  <c r="E330" i="7"/>
  <c r="B330" i="7"/>
  <c r="U329" i="7"/>
  <c r="K329" i="7"/>
  <c r="E329" i="7"/>
  <c r="B329" i="7"/>
  <c r="U328" i="7"/>
  <c r="K328" i="7"/>
  <c r="E328" i="7"/>
  <c r="B328" i="7"/>
  <c r="U327" i="7"/>
  <c r="K327" i="7"/>
  <c r="E327" i="7"/>
  <c r="B327" i="7"/>
  <c r="U326" i="7"/>
  <c r="K326" i="7"/>
  <c r="E326" i="7"/>
  <c r="B326" i="7"/>
  <c r="U325" i="7"/>
  <c r="K325" i="7"/>
  <c r="E325" i="7"/>
  <c r="B325" i="7"/>
  <c r="U324" i="7"/>
  <c r="K324" i="7"/>
  <c r="E324" i="7"/>
  <c r="B324" i="7"/>
  <c r="U323" i="7"/>
  <c r="K323" i="7"/>
  <c r="E323" i="7"/>
  <c r="B323" i="7"/>
  <c r="U322" i="7"/>
  <c r="K322" i="7"/>
  <c r="E322" i="7"/>
  <c r="B322" i="7"/>
  <c r="U321" i="7"/>
  <c r="K321" i="7"/>
  <c r="E321" i="7"/>
  <c r="B321" i="7"/>
  <c r="U320" i="7"/>
  <c r="K320" i="7"/>
  <c r="E320" i="7"/>
  <c r="B320" i="7"/>
  <c r="U319" i="7"/>
  <c r="K319" i="7"/>
  <c r="E319" i="7"/>
  <c r="B319" i="7"/>
  <c r="U318" i="7"/>
  <c r="K318" i="7"/>
  <c r="E318" i="7"/>
  <c r="B318" i="7"/>
  <c r="U317" i="7"/>
  <c r="K317" i="7"/>
  <c r="E317" i="7"/>
  <c r="B317" i="7"/>
  <c r="U316" i="7"/>
  <c r="K316" i="7"/>
  <c r="E316" i="7"/>
  <c r="B316" i="7"/>
  <c r="U315" i="7"/>
  <c r="K315" i="7"/>
  <c r="E315" i="7"/>
  <c r="B315" i="7"/>
  <c r="U314" i="7"/>
  <c r="K314" i="7"/>
  <c r="E314" i="7"/>
  <c r="B314" i="7"/>
  <c r="U313" i="7"/>
  <c r="K313" i="7"/>
  <c r="E313" i="7"/>
  <c r="B313" i="7"/>
  <c r="U312" i="7"/>
  <c r="K312" i="7"/>
  <c r="E312" i="7"/>
  <c r="B312" i="7"/>
  <c r="U311" i="7"/>
  <c r="K311" i="7"/>
  <c r="E311" i="7"/>
  <c r="B311" i="7"/>
  <c r="U310" i="7"/>
  <c r="K310" i="7"/>
  <c r="E310" i="7"/>
  <c r="B310" i="7"/>
  <c r="U309" i="7"/>
  <c r="K309" i="7"/>
  <c r="E309" i="7"/>
  <c r="B309" i="7"/>
  <c r="U308" i="7"/>
  <c r="K308" i="7"/>
  <c r="E308" i="7"/>
  <c r="B308" i="7"/>
  <c r="U307" i="7"/>
  <c r="K307" i="7"/>
  <c r="E307" i="7"/>
  <c r="B307" i="7"/>
  <c r="U306" i="7"/>
  <c r="K306" i="7"/>
  <c r="E306" i="7"/>
  <c r="B306" i="7"/>
  <c r="U305" i="7"/>
  <c r="K305" i="7"/>
  <c r="E305" i="7"/>
  <c r="B305" i="7"/>
  <c r="U304" i="7"/>
  <c r="K304" i="7"/>
  <c r="E304" i="7"/>
  <c r="B304" i="7"/>
  <c r="U303" i="7"/>
  <c r="K303" i="7"/>
  <c r="E303" i="7"/>
  <c r="B303" i="7"/>
  <c r="U302" i="7"/>
  <c r="K302" i="7"/>
  <c r="E302" i="7"/>
  <c r="B302" i="7"/>
  <c r="U301" i="7"/>
  <c r="K301" i="7"/>
  <c r="E301" i="7"/>
  <c r="B301" i="7"/>
  <c r="U300" i="7"/>
  <c r="K300" i="7"/>
  <c r="E300" i="7"/>
  <c r="B300" i="7"/>
  <c r="U299" i="7"/>
  <c r="K299" i="7"/>
  <c r="E299" i="7"/>
  <c r="B299" i="7"/>
  <c r="U298" i="7"/>
  <c r="K298" i="7"/>
  <c r="E298" i="7"/>
  <c r="B298" i="7"/>
  <c r="U297" i="7"/>
  <c r="K297" i="7"/>
  <c r="E297" i="7"/>
  <c r="B297" i="7"/>
  <c r="U296" i="7"/>
  <c r="K296" i="7"/>
  <c r="E296" i="7"/>
  <c r="B296" i="7"/>
  <c r="U295" i="7"/>
  <c r="K295" i="7"/>
  <c r="E295" i="7"/>
  <c r="B295" i="7"/>
  <c r="U294" i="7"/>
  <c r="K294" i="7"/>
  <c r="E294" i="7"/>
  <c r="B294" i="7"/>
  <c r="U293" i="7"/>
  <c r="K293" i="7"/>
  <c r="E293" i="7"/>
  <c r="B293" i="7"/>
  <c r="U292" i="7"/>
  <c r="K292" i="7"/>
  <c r="E292" i="7"/>
  <c r="B292" i="7"/>
  <c r="U291" i="7"/>
  <c r="K291" i="7"/>
  <c r="E291" i="7"/>
  <c r="B291" i="7"/>
  <c r="U290" i="7"/>
  <c r="K290" i="7"/>
  <c r="E290" i="7"/>
  <c r="B290" i="7"/>
  <c r="U289" i="7"/>
  <c r="K289" i="7"/>
  <c r="E289" i="7"/>
  <c r="B289" i="7"/>
  <c r="U288" i="7"/>
  <c r="K288" i="7"/>
  <c r="E288" i="7"/>
  <c r="B288" i="7"/>
  <c r="U287" i="7"/>
  <c r="E287" i="7"/>
  <c r="B287" i="7"/>
  <c r="U286" i="7"/>
  <c r="K286" i="7"/>
  <c r="E286" i="7"/>
  <c r="B286" i="7"/>
  <c r="U285" i="7"/>
  <c r="K285" i="7"/>
  <c r="E285" i="7"/>
  <c r="B285" i="7"/>
  <c r="U284" i="7"/>
  <c r="K284" i="7"/>
  <c r="E284" i="7"/>
  <c r="B284" i="7"/>
  <c r="U283" i="7"/>
  <c r="K283" i="7"/>
  <c r="E283" i="7"/>
  <c r="B283" i="7"/>
  <c r="U282" i="7"/>
  <c r="K282" i="7"/>
  <c r="E282" i="7"/>
  <c r="B282" i="7"/>
  <c r="U281" i="7"/>
  <c r="K281" i="7"/>
  <c r="E281" i="7"/>
  <c r="B281" i="7"/>
  <c r="U280" i="7"/>
  <c r="K280" i="7"/>
  <c r="E280" i="7"/>
  <c r="B280" i="7"/>
  <c r="U279" i="7"/>
  <c r="K279" i="7"/>
  <c r="E279" i="7"/>
  <c r="B279" i="7"/>
  <c r="U278" i="7"/>
  <c r="K278" i="7"/>
  <c r="E278" i="7"/>
  <c r="B278" i="7"/>
  <c r="U277" i="7"/>
  <c r="K277" i="7"/>
  <c r="E277" i="7"/>
  <c r="B277" i="7"/>
  <c r="U276" i="7"/>
  <c r="K276" i="7"/>
  <c r="E276" i="7"/>
  <c r="B276" i="7"/>
  <c r="U275" i="7"/>
  <c r="K275" i="7"/>
  <c r="E275" i="7"/>
  <c r="B275" i="7"/>
  <c r="U274" i="7"/>
  <c r="K274" i="7"/>
  <c r="E274" i="7"/>
  <c r="B274" i="7"/>
  <c r="U273" i="7"/>
  <c r="E273" i="7"/>
  <c r="B273" i="7"/>
  <c r="U272" i="7"/>
  <c r="K272" i="7"/>
  <c r="E272" i="7"/>
  <c r="B272" i="7"/>
  <c r="U271" i="7"/>
  <c r="K271" i="7"/>
  <c r="E271" i="7"/>
  <c r="B271" i="7"/>
  <c r="U270" i="7"/>
  <c r="K270" i="7"/>
  <c r="E270" i="7"/>
  <c r="B270" i="7"/>
  <c r="U269" i="7"/>
  <c r="K269" i="7"/>
  <c r="E269" i="7"/>
  <c r="B269" i="7"/>
  <c r="U268" i="7"/>
  <c r="K268" i="7"/>
  <c r="E268" i="7"/>
  <c r="B268" i="7"/>
  <c r="U267" i="7"/>
  <c r="K267" i="7"/>
  <c r="E267" i="7"/>
  <c r="B267" i="7"/>
  <c r="U266" i="7"/>
  <c r="K266" i="7"/>
  <c r="E266" i="7"/>
  <c r="B266" i="7"/>
  <c r="U265" i="7"/>
  <c r="K265" i="7"/>
  <c r="E265" i="7"/>
  <c r="B265" i="7"/>
  <c r="U264" i="7"/>
  <c r="K264" i="7"/>
  <c r="E264" i="7"/>
  <c r="B264" i="7"/>
  <c r="U263" i="7"/>
  <c r="K263" i="7"/>
  <c r="E263" i="7"/>
  <c r="B263" i="7"/>
  <c r="U262" i="7"/>
  <c r="K262" i="7"/>
  <c r="E262" i="7"/>
  <c r="B262" i="7"/>
  <c r="U261" i="7"/>
  <c r="K261" i="7"/>
  <c r="E261" i="7"/>
  <c r="B261" i="7"/>
  <c r="U260" i="7"/>
  <c r="K260" i="7"/>
  <c r="E260" i="7"/>
  <c r="B260" i="7"/>
  <c r="U259" i="7"/>
  <c r="K259" i="7"/>
  <c r="E259" i="7"/>
  <c r="B259" i="7"/>
  <c r="U258" i="7"/>
  <c r="K258" i="7"/>
  <c r="E258" i="7"/>
  <c r="B258" i="7"/>
  <c r="U257" i="7"/>
  <c r="K257" i="7"/>
  <c r="E257" i="7"/>
  <c r="B257" i="7"/>
  <c r="U256" i="7"/>
  <c r="K256" i="7"/>
  <c r="E256" i="7"/>
  <c r="B256" i="7"/>
  <c r="U255" i="7"/>
  <c r="K255" i="7"/>
  <c r="E255" i="7"/>
  <c r="B255" i="7"/>
  <c r="U254" i="7"/>
  <c r="K254" i="7"/>
  <c r="E254" i="7"/>
  <c r="B254" i="7"/>
  <c r="U253" i="7"/>
  <c r="K253" i="7"/>
  <c r="E253" i="7"/>
  <c r="B253" i="7"/>
  <c r="U252" i="7"/>
  <c r="E252" i="7"/>
  <c r="B252" i="7"/>
  <c r="U251" i="7"/>
  <c r="K251" i="7"/>
  <c r="E251" i="7"/>
  <c r="B251" i="7"/>
  <c r="U250" i="7"/>
  <c r="K250" i="7"/>
  <c r="E250" i="7"/>
  <c r="B250" i="7"/>
  <c r="U249" i="7"/>
  <c r="K249" i="7"/>
  <c r="E249" i="7"/>
  <c r="B249" i="7"/>
  <c r="U248" i="7"/>
  <c r="K248" i="7"/>
  <c r="E248" i="7"/>
  <c r="B248" i="7"/>
  <c r="U247" i="7"/>
  <c r="K247" i="7"/>
  <c r="E247" i="7"/>
  <c r="B247" i="7"/>
  <c r="U246" i="7"/>
  <c r="K246" i="7"/>
  <c r="E246" i="7"/>
  <c r="B246" i="7"/>
  <c r="U245" i="7"/>
  <c r="K245" i="7"/>
  <c r="E245" i="7"/>
  <c r="B245" i="7"/>
  <c r="U244" i="7"/>
  <c r="K244" i="7"/>
  <c r="E244" i="7"/>
  <c r="B244" i="7"/>
  <c r="U243" i="7"/>
  <c r="K243" i="7"/>
  <c r="E243" i="7"/>
  <c r="B243" i="7"/>
  <c r="U242" i="7"/>
  <c r="K242" i="7"/>
  <c r="E242" i="7"/>
  <c r="B242" i="7"/>
  <c r="U241" i="7"/>
  <c r="K241" i="7"/>
  <c r="E241" i="7"/>
  <c r="B241" i="7"/>
  <c r="U240" i="7"/>
  <c r="K240" i="7"/>
  <c r="E240" i="7"/>
  <c r="B240" i="7"/>
  <c r="U239" i="7"/>
  <c r="K239" i="7"/>
  <c r="E239" i="7"/>
  <c r="B239" i="7"/>
  <c r="U238" i="7"/>
  <c r="K238" i="7"/>
  <c r="E238" i="7"/>
  <c r="B238" i="7"/>
  <c r="U237" i="7"/>
  <c r="K237" i="7"/>
  <c r="E237" i="7"/>
  <c r="B237" i="7"/>
  <c r="U236" i="7"/>
  <c r="K236" i="7"/>
  <c r="E236" i="7"/>
  <c r="B236" i="7"/>
  <c r="U235" i="7"/>
  <c r="K235" i="7"/>
  <c r="E235" i="7"/>
  <c r="B235" i="7"/>
  <c r="U234" i="7"/>
  <c r="K234" i="7"/>
  <c r="E234" i="7"/>
  <c r="B234" i="7"/>
  <c r="U233" i="7"/>
  <c r="K233" i="7"/>
  <c r="E233" i="7"/>
  <c r="B233" i="7"/>
  <c r="U232" i="7"/>
  <c r="K232" i="7"/>
  <c r="E232" i="7"/>
  <c r="B232" i="7"/>
  <c r="U231" i="7"/>
  <c r="K231" i="7"/>
  <c r="E231" i="7"/>
  <c r="B231" i="7"/>
  <c r="U230" i="7"/>
  <c r="K230" i="7"/>
  <c r="E230" i="7"/>
  <c r="B230" i="7"/>
  <c r="U229" i="7"/>
  <c r="K229" i="7"/>
  <c r="E229" i="7"/>
  <c r="B229" i="7"/>
  <c r="U228" i="7"/>
  <c r="K228" i="7"/>
  <c r="E228" i="7"/>
  <c r="B228" i="7"/>
  <c r="U227" i="7"/>
  <c r="K227" i="7"/>
  <c r="E227" i="7"/>
  <c r="B227" i="7"/>
  <c r="U226" i="7"/>
  <c r="K226" i="7"/>
  <c r="E226" i="7"/>
  <c r="B226" i="7"/>
  <c r="U225" i="7"/>
  <c r="K225" i="7"/>
  <c r="E225" i="7"/>
  <c r="B225" i="7"/>
  <c r="U224" i="7"/>
  <c r="K224" i="7"/>
  <c r="E224" i="7"/>
  <c r="B224" i="7"/>
  <c r="U223" i="7"/>
  <c r="K223" i="7"/>
  <c r="E223" i="7"/>
  <c r="B223" i="7"/>
  <c r="U222" i="7"/>
  <c r="E222" i="7"/>
  <c r="B222" i="7"/>
  <c r="U221" i="7"/>
  <c r="K221" i="7"/>
  <c r="E221" i="7"/>
  <c r="B221" i="7"/>
  <c r="U220" i="7"/>
  <c r="K220" i="7"/>
  <c r="E220" i="7"/>
  <c r="B220" i="7"/>
  <c r="U219" i="7"/>
  <c r="K219" i="7"/>
  <c r="E219" i="7"/>
  <c r="B219" i="7"/>
  <c r="U218" i="7"/>
  <c r="K218" i="7"/>
  <c r="E218" i="7"/>
  <c r="B218" i="7"/>
  <c r="U217" i="7"/>
  <c r="K217" i="7"/>
  <c r="E217" i="7"/>
  <c r="B217" i="7"/>
  <c r="U216" i="7"/>
  <c r="K216" i="7"/>
  <c r="E216" i="7"/>
  <c r="B216" i="7"/>
  <c r="U215" i="7"/>
  <c r="K215" i="7"/>
  <c r="E215" i="7"/>
  <c r="B215" i="7"/>
  <c r="U214" i="7"/>
  <c r="K214" i="7"/>
  <c r="E214" i="7"/>
  <c r="B214" i="7"/>
  <c r="U213" i="7"/>
  <c r="K213" i="7"/>
  <c r="E213" i="7"/>
  <c r="B213" i="7"/>
  <c r="U212" i="7"/>
  <c r="K212" i="7"/>
  <c r="E212" i="7"/>
  <c r="B212" i="7"/>
  <c r="U211" i="7"/>
  <c r="K211" i="7"/>
  <c r="E211" i="7"/>
  <c r="B211" i="7"/>
  <c r="U210" i="7"/>
  <c r="K210" i="7"/>
  <c r="E210" i="7"/>
  <c r="B210" i="7"/>
  <c r="U209" i="7"/>
  <c r="K209" i="7"/>
  <c r="E209" i="7"/>
  <c r="B209" i="7"/>
  <c r="U208" i="7"/>
  <c r="K208" i="7"/>
  <c r="E208" i="7"/>
  <c r="B208" i="7"/>
  <c r="U207" i="7"/>
  <c r="K207" i="7"/>
  <c r="E207" i="7"/>
  <c r="B207" i="7"/>
  <c r="U206" i="7"/>
  <c r="K206" i="7"/>
  <c r="E206" i="7"/>
  <c r="B206" i="7"/>
  <c r="U205" i="7"/>
  <c r="K205" i="7"/>
  <c r="E205" i="7"/>
  <c r="B205" i="7"/>
  <c r="U204" i="7"/>
  <c r="K204" i="7"/>
  <c r="E204" i="7"/>
  <c r="B204" i="7"/>
  <c r="U203" i="7"/>
  <c r="K203" i="7"/>
  <c r="E203" i="7"/>
  <c r="B203" i="7"/>
  <c r="U202" i="7"/>
  <c r="K202" i="7"/>
  <c r="E202" i="7"/>
  <c r="B202" i="7"/>
  <c r="U201" i="7"/>
  <c r="K201" i="7"/>
  <c r="E201" i="7"/>
  <c r="B201" i="7"/>
  <c r="U200" i="7"/>
  <c r="K200" i="7"/>
  <c r="E200" i="7"/>
  <c r="B200" i="7"/>
  <c r="U199" i="7"/>
  <c r="K199" i="7"/>
  <c r="E199" i="7"/>
  <c r="B199" i="7"/>
  <c r="U198" i="7"/>
  <c r="K198" i="7"/>
  <c r="E198" i="7"/>
  <c r="B198" i="7"/>
  <c r="U197" i="7"/>
  <c r="K197" i="7"/>
  <c r="E197" i="7"/>
  <c r="B197" i="7"/>
  <c r="U196" i="7"/>
  <c r="K196" i="7"/>
  <c r="E196" i="7"/>
  <c r="B196" i="7"/>
  <c r="U195" i="7"/>
  <c r="K195" i="7"/>
  <c r="E195" i="7"/>
  <c r="B195" i="7"/>
  <c r="U194" i="7"/>
  <c r="K194" i="7"/>
  <c r="E194" i="7"/>
  <c r="B194" i="7"/>
  <c r="U193" i="7"/>
  <c r="K193" i="7"/>
  <c r="E193" i="7"/>
  <c r="B193" i="7"/>
  <c r="U192" i="7"/>
  <c r="K192" i="7"/>
  <c r="E192" i="7"/>
  <c r="B192" i="7"/>
  <c r="U191" i="7"/>
  <c r="K191" i="7"/>
  <c r="E191" i="7"/>
  <c r="B191" i="7"/>
  <c r="U190" i="7"/>
  <c r="K190" i="7"/>
  <c r="E190" i="7"/>
  <c r="B190" i="7"/>
  <c r="U189" i="7"/>
  <c r="K189" i="7"/>
  <c r="E189" i="7"/>
  <c r="B189" i="7"/>
  <c r="U188" i="7"/>
  <c r="E188" i="7"/>
  <c r="B188" i="7"/>
  <c r="U187" i="7"/>
  <c r="K187" i="7"/>
  <c r="E187" i="7"/>
  <c r="B187" i="7"/>
  <c r="U186" i="7"/>
  <c r="K186" i="7"/>
  <c r="E186" i="7"/>
  <c r="B186" i="7"/>
  <c r="U185" i="7"/>
  <c r="K185" i="7"/>
  <c r="E185" i="7"/>
  <c r="B185" i="7"/>
  <c r="U184" i="7"/>
  <c r="K184" i="7"/>
  <c r="E184" i="7"/>
  <c r="B184" i="7"/>
  <c r="U183" i="7"/>
  <c r="K183" i="7"/>
  <c r="E183" i="7"/>
  <c r="B183" i="7"/>
  <c r="U182" i="7"/>
  <c r="K182" i="7"/>
  <c r="E182" i="7"/>
  <c r="B182" i="7"/>
  <c r="U181" i="7"/>
  <c r="K181" i="7"/>
  <c r="E181" i="7"/>
  <c r="B181" i="7"/>
  <c r="U180" i="7"/>
  <c r="K180" i="7"/>
  <c r="E180" i="7"/>
  <c r="B180" i="7"/>
  <c r="U179" i="7"/>
  <c r="K179" i="7"/>
  <c r="E179" i="7"/>
  <c r="B179" i="7"/>
  <c r="U178" i="7"/>
  <c r="K178" i="7"/>
  <c r="E178" i="7"/>
  <c r="B178" i="7"/>
  <c r="U177" i="7"/>
  <c r="K177" i="7"/>
  <c r="E177" i="7"/>
  <c r="B177" i="7"/>
  <c r="U176" i="7"/>
  <c r="K176" i="7"/>
  <c r="E176" i="7"/>
  <c r="B176" i="7"/>
  <c r="U175" i="7"/>
  <c r="K175" i="7"/>
  <c r="E175" i="7"/>
  <c r="B175" i="7"/>
  <c r="U174" i="7"/>
  <c r="K174" i="7"/>
  <c r="E174" i="7"/>
  <c r="B174" i="7"/>
  <c r="U173" i="7"/>
  <c r="K173" i="7"/>
  <c r="E173" i="7"/>
  <c r="B173" i="7"/>
  <c r="U172" i="7"/>
  <c r="K172" i="7"/>
  <c r="E172" i="7"/>
  <c r="B172" i="7"/>
  <c r="U171" i="7"/>
  <c r="K171" i="7"/>
  <c r="E171" i="7"/>
  <c r="B171" i="7"/>
  <c r="U170" i="7"/>
  <c r="K170" i="7"/>
  <c r="E170" i="7"/>
  <c r="B170" i="7"/>
  <c r="U169" i="7"/>
  <c r="K169" i="7"/>
  <c r="E169" i="7"/>
  <c r="B169" i="7"/>
  <c r="U168" i="7"/>
  <c r="K168" i="7"/>
  <c r="E168" i="7"/>
  <c r="B168" i="7"/>
  <c r="U167" i="7"/>
  <c r="K167" i="7"/>
  <c r="E167" i="7"/>
  <c r="B167" i="7"/>
  <c r="U166" i="7"/>
  <c r="K166" i="7"/>
  <c r="E166" i="7"/>
  <c r="B166" i="7"/>
  <c r="U165" i="7"/>
  <c r="K165" i="7"/>
  <c r="E165" i="7"/>
  <c r="B165" i="7"/>
  <c r="U164" i="7"/>
  <c r="K164" i="7"/>
  <c r="E164" i="7"/>
  <c r="B164" i="7"/>
  <c r="U163" i="7"/>
  <c r="K163" i="7"/>
  <c r="E163" i="7"/>
  <c r="B163" i="7"/>
  <c r="U162" i="7"/>
  <c r="K162" i="7"/>
  <c r="E162" i="7"/>
  <c r="B162" i="7"/>
  <c r="U161" i="7"/>
  <c r="K161" i="7"/>
  <c r="E161" i="7"/>
  <c r="B161" i="7"/>
  <c r="U160" i="7"/>
  <c r="K160" i="7"/>
  <c r="E160" i="7"/>
  <c r="B160" i="7"/>
  <c r="U159" i="7"/>
  <c r="K159" i="7"/>
  <c r="E159" i="7"/>
  <c r="B159" i="7"/>
  <c r="U158" i="7"/>
  <c r="K158" i="7"/>
  <c r="E158" i="7"/>
  <c r="B158" i="7"/>
  <c r="U157" i="7"/>
  <c r="K157" i="7"/>
  <c r="E157" i="7"/>
  <c r="B157" i="7"/>
  <c r="U156" i="7"/>
  <c r="K156" i="7"/>
  <c r="E156" i="7"/>
  <c r="B156" i="7"/>
  <c r="U155" i="7"/>
  <c r="K155" i="7"/>
  <c r="E155" i="7"/>
  <c r="B155" i="7"/>
  <c r="U154" i="7"/>
  <c r="K154" i="7"/>
  <c r="E154" i="7"/>
  <c r="B154" i="7"/>
  <c r="U153" i="7"/>
  <c r="K153" i="7"/>
  <c r="E153" i="7"/>
  <c r="B153" i="7"/>
  <c r="U152" i="7"/>
  <c r="K152" i="7"/>
  <c r="E152" i="7"/>
  <c r="B152" i="7"/>
  <c r="U151" i="7"/>
  <c r="K151" i="7"/>
  <c r="E151" i="7"/>
  <c r="B151" i="7"/>
  <c r="U150" i="7"/>
  <c r="K150" i="7"/>
  <c r="E150" i="7"/>
  <c r="B150" i="7"/>
  <c r="U149" i="7"/>
  <c r="K149" i="7"/>
  <c r="E149" i="7"/>
  <c r="B149" i="7"/>
  <c r="U148" i="7"/>
  <c r="K148" i="7"/>
  <c r="E148" i="7"/>
  <c r="B148" i="7"/>
  <c r="U147" i="7"/>
  <c r="K147" i="7"/>
  <c r="E147" i="7"/>
  <c r="B147" i="7"/>
  <c r="U146" i="7"/>
  <c r="K146" i="7"/>
  <c r="E146" i="7"/>
  <c r="B146" i="7"/>
  <c r="U145" i="7"/>
  <c r="K145" i="7"/>
  <c r="E145" i="7"/>
  <c r="B145" i="7"/>
  <c r="U144" i="7"/>
  <c r="K144" i="7"/>
  <c r="E144" i="7"/>
  <c r="B144" i="7"/>
  <c r="U143" i="7"/>
  <c r="K143" i="7"/>
  <c r="E143" i="7"/>
  <c r="B143" i="7"/>
  <c r="U142" i="7"/>
  <c r="K142" i="7"/>
  <c r="E142" i="7"/>
  <c r="B142" i="7"/>
  <c r="U141" i="7"/>
  <c r="K141" i="7"/>
  <c r="E141" i="7"/>
  <c r="B141" i="7"/>
  <c r="U140" i="7"/>
  <c r="K140" i="7"/>
  <c r="E140" i="7"/>
  <c r="B140" i="7"/>
  <c r="U139" i="7"/>
  <c r="K139" i="7"/>
  <c r="E139" i="7"/>
  <c r="B139" i="7"/>
  <c r="U138" i="7"/>
  <c r="K138" i="7"/>
  <c r="E138" i="7"/>
  <c r="B138" i="7"/>
  <c r="U137" i="7"/>
  <c r="K137" i="7"/>
  <c r="E137" i="7"/>
  <c r="B137" i="7"/>
  <c r="U136" i="7"/>
  <c r="K136" i="7"/>
  <c r="E136" i="7"/>
  <c r="B136" i="7"/>
  <c r="U135" i="7"/>
  <c r="K135" i="7"/>
  <c r="E135" i="7"/>
  <c r="B135" i="7"/>
  <c r="U134" i="7"/>
  <c r="K134" i="7"/>
  <c r="E134" i="7"/>
  <c r="B134" i="7"/>
  <c r="U133" i="7"/>
  <c r="K133" i="7"/>
  <c r="E133" i="7"/>
  <c r="B133" i="7"/>
  <c r="U132" i="7"/>
  <c r="K132" i="7"/>
  <c r="E132" i="7"/>
  <c r="B132" i="7"/>
  <c r="U131" i="7"/>
  <c r="K131" i="7"/>
  <c r="E131" i="7"/>
  <c r="B131" i="7"/>
  <c r="U130" i="7"/>
  <c r="K130" i="7"/>
  <c r="E130" i="7"/>
  <c r="B130" i="7"/>
  <c r="U129" i="7"/>
  <c r="K129" i="7"/>
  <c r="E129" i="7"/>
  <c r="B129" i="7"/>
  <c r="U128" i="7"/>
  <c r="K128" i="7"/>
  <c r="E128" i="7"/>
  <c r="B128" i="7"/>
  <c r="U127" i="7"/>
  <c r="K127" i="7"/>
  <c r="E127" i="7"/>
  <c r="B127" i="7"/>
  <c r="U126" i="7"/>
  <c r="K126" i="7"/>
  <c r="E126" i="7"/>
  <c r="B126" i="7"/>
  <c r="U125" i="7"/>
  <c r="K125" i="7"/>
  <c r="E125" i="7"/>
  <c r="B125" i="7"/>
  <c r="U124" i="7"/>
  <c r="K124" i="7"/>
  <c r="E124" i="7"/>
  <c r="B124" i="7"/>
  <c r="U123" i="7"/>
  <c r="K123" i="7"/>
  <c r="E123" i="7"/>
  <c r="B123" i="7"/>
  <c r="U122" i="7"/>
  <c r="K122" i="7"/>
  <c r="E122" i="7"/>
  <c r="B122" i="7"/>
  <c r="U121" i="7"/>
  <c r="K121" i="7"/>
  <c r="E121" i="7"/>
  <c r="B121" i="7"/>
  <c r="U120" i="7"/>
  <c r="K120" i="7"/>
  <c r="E120" i="7"/>
  <c r="B120" i="7"/>
  <c r="U119" i="7"/>
  <c r="K119" i="7"/>
  <c r="E119" i="7"/>
  <c r="B119" i="7"/>
  <c r="U118" i="7"/>
  <c r="K118" i="7"/>
  <c r="E118" i="7"/>
  <c r="B118" i="7"/>
  <c r="U117" i="7"/>
  <c r="K117" i="7"/>
  <c r="E117" i="7"/>
  <c r="B117" i="7"/>
  <c r="U116" i="7"/>
  <c r="K116" i="7"/>
  <c r="E116" i="7"/>
  <c r="B116" i="7"/>
  <c r="U115" i="7"/>
  <c r="K115" i="7"/>
  <c r="E115" i="7"/>
  <c r="B115" i="7"/>
  <c r="U114" i="7"/>
  <c r="K114" i="7"/>
  <c r="E114" i="7"/>
  <c r="B114" i="7"/>
  <c r="U113" i="7"/>
  <c r="K113" i="7"/>
  <c r="E113" i="7"/>
  <c r="B113" i="7"/>
  <c r="U112" i="7"/>
  <c r="K112" i="7"/>
  <c r="E112" i="7"/>
  <c r="B112" i="7"/>
  <c r="U111" i="7"/>
  <c r="K111" i="7"/>
  <c r="E111" i="7"/>
  <c r="B111" i="7"/>
  <c r="U110" i="7"/>
  <c r="K110" i="7"/>
  <c r="E110" i="7"/>
  <c r="B110" i="7"/>
  <c r="U109" i="7"/>
  <c r="K109" i="7"/>
  <c r="E109" i="7"/>
  <c r="B109" i="7"/>
  <c r="U108" i="7"/>
  <c r="K108" i="7"/>
  <c r="E108" i="7"/>
  <c r="B108" i="7"/>
  <c r="U107" i="7"/>
  <c r="K107" i="7"/>
  <c r="E107" i="7"/>
  <c r="B107" i="7"/>
  <c r="U106" i="7"/>
  <c r="K106" i="7"/>
  <c r="E106" i="7"/>
  <c r="B106" i="7"/>
  <c r="U105" i="7"/>
  <c r="K105" i="7"/>
  <c r="E105" i="7"/>
  <c r="B105" i="7"/>
  <c r="U104" i="7"/>
  <c r="K104" i="7"/>
  <c r="E104" i="7"/>
  <c r="B104" i="7"/>
  <c r="U103" i="7"/>
  <c r="K103" i="7"/>
  <c r="E103" i="7"/>
  <c r="B103" i="7"/>
  <c r="U102" i="7"/>
  <c r="K102" i="7"/>
  <c r="E102" i="7"/>
  <c r="B102" i="7"/>
  <c r="U101" i="7"/>
  <c r="K101" i="7"/>
  <c r="E101" i="7"/>
  <c r="B101" i="7"/>
  <c r="U100" i="7"/>
  <c r="K100" i="7"/>
  <c r="E100" i="7"/>
  <c r="B100" i="7"/>
  <c r="U99" i="7"/>
  <c r="K99" i="7"/>
  <c r="E99" i="7"/>
  <c r="B99" i="7"/>
  <c r="U98" i="7"/>
  <c r="E98" i="7"/>
  <c r="B98" i="7"/>
  <c r="U97" i="7"/>
  <c r="K97" i="7"/>
  <c r="E97" i="7"/>
  <c r="B97" i="7"/>
  <c r="U96" i="7"/>
  <c r="K96" i="7"/>
  <c r="E96" i="7"/>
  <c r="B96" i="7"/>
  <c r="U95" i="7"/>
  <c r="K95" i="7"/>
  <c r="E95" i="7"/>
  <c r="B95" i="7"/>
  <c r="U94" i="7"/>
  <c r="K94" i="7"/>
  <c r="E94" i="7"/>
  <c r="B94" i="7"/>
  <c r="U93" i="7"/>
  <c r="K93" i="7"/>
  <c r="E93" i="7"/>
  <c r="B93" i="7"/>
  <c r="U92" i="7"/>
  <c r="K92" i="7"/>
  <c r="E92" i="7"/>
  <c r="B92" i="7"/>
  <c r="U91" i="7"/>
  <c r="K91" i="7"/>
  <c r="E91" i="7"/>
  <c r="B91" i="7"/>
  <c r="U90" i="7"/>
  <c r="K90" i="7"/>
  <c r="E90" i="7"/>
  <c r="B90" i="7"/>
  <c r="U89" i="7"/>
  <c r="K89" i="7"/>
  <c r="E89" i="7"/>
  <c r="B89" i="7"/>
  <c r="U88" i="7"/>
  <c r="K88" i="7"/>
  <c r="E88" i="7"/>
  <c r="B88" i="7"/>
  <c r="U87" i="7"/>
  <c r="K87" i="7"/>
  <c r="E87" i="7"/>
  <c r="B87" i="7"/>
  <c r="U86" i="7"/>
  <c r="K86" i="7"/>
  <c r="E86" i="7"/>
  <c r="B86" i="7"/>
  <c r="U85" i="7"/>
  <c r="K85" i="7"/>
  <c r="E85" i="7"/>
  <c r="B85" i="7"/>
  <c r="U84" i="7"/>
  <c r="K84" i="7"/>
  <c r="E84" i="7"/>
  <c r="B84" i="7"/>
  <c r="U83" i="7"/>
  <c r="K83" i="7"/>
  <c r="E83" i="7"/>
  <c r="B83" i="7"/>
  <c r="U82" i="7"/>
  <c r="K82" i="7"/>
  <c r="E82" i="7"/>
  <c r="B82" i="7"/>
  <c r="U81" i="7"/>
  <c r="K81" i="7"/>
  <c r="E81" i="7"/>
  <c r="B81" i="7"/>
  <c r="U80" i="7"/>
  <c r="K80" i="7"/>
  <c r="E80" i="7"/>
  <c r="B80" i="7"/>
  <c r="U79" i="7"/>
  <c r="K79" i="7"/>
  <c r="E79" i="7"/>
  <c r="B79" i="7"/>
  <c r="U78" i="7"/>
  <c r="K78" i="7"/>
  <c r="E78" i="7"/>
  <c r="B78" i="7"/>
  <c r="U77" i="7"/>
  <c r="K77" i="7"/>
  <c r="E77" i="7"/>
  <c r="B77" i="7"/>
  <c r="U76" i="7"/>
  <c r="K76" i="7"/>
  <c r="E76" i="7"/>
  <c r="B76" i="7"/>
  <c r="U75" i="7"/>
  <c r="K75" i="7"/>
  <c r="E75" i="7"/>
  <c r="B75" i="7"/>
  <c r="U74" i="7"/>
  <c r="K74" i="7"/>
  <c r="E74" i="7"/>
  <c r="B74" i="7"/>
  <c r="U73" i="7"/>
  <c r="K73" i="7"/>
  <c r="E73" i="7"/>
  <c r="B73" i="7"/>
  <c r="U72" i="7"/>
  <c r="K72" i="7"/>
  <c r="E72" i="7"/>
  <c r="B72" i="7"/>
  <c r="U71" i="7"/>
  <c r="K71" i="7"/>
  <c r="E71" i="7"/>
  <c r="B71" i="7"/>
  <c r="U70" i="7"/>
  <c r="K70" i="7"/>
  <c r="E70" i="7"/>
  <c r="B70" i="7"/>
  <c r="U69" i="7"/>
  <c r="K69" i="7"/>
  <c r="E69" i="7"/>
  <c r="B69" i="7"/>
  <c r="U68" i="7"/>
  <c r="K68" i="7"/>
  <c r="E68" i="7"/>
  <c r="B68" i="7"/>
  <c r="U67" i="7"/>
  <c r="K67" i="7"/>
  <c r="H67" i="7"/>
  <c r="E67" i="7"/>
  <c r="B67" i="7"/>
  <c r="U66" i="7"/>
  <c r="E66" i="7"/>
  <c r="B66" i="7"/>
  <c r="U65" i="7"/>
  <c r="K65" i="7"/>
  <c r="E65" i="7"/>
  <c r="B65" i="7"/>
  <c r="U64" i="7"/>
  <c r="K64" i="7"/>
  <c r="E64" i="7"/>
  <c r="B64" i="7"/>
  <c r="U63" i="7"/>
  <c r="K63" i="7"/>
  <c r="E63" i="7"/>
  <c r="B63" i="7"/>
  <c r="U62" i="7"/>
  <c r="K62" i="7"/>
  <c r="E62" i="7"/>
  <c r="B62" i="7"/>
  <c r="U61" i="7"/>
  <c r="K61" i="7"/>
  <c r="E61" i="7"/>
  <c r="B61" i="7"/>
  <c r="U60" i="7"/>
  <c r="K60" i="7"/>
  <c r="E60" i="7"/>
  <c r="B60" i="7"/>
  <c r="U59" i="7"/>
  <c r="K59" i="7"/>
  <c r="E59" i="7"/>
  <c r="B59" i="7"/>
  <c r="U58" i="7"/>
  <c r="K58" i="7"/>
  <c r="E58" i="7"/>
  <c r="B58" i="7"/>
  <c r="U57" i="7"/>
  <c r="K57" i="7"/>
  <c r="E57" i="7"/>
  <c r="B57" i="7"/>
  <c r="U56" i="7"/>
  <c r="K56" i="7"/>
  <c r="E56" i="7"/>
  <c r="B56" i="7"/>
  <c r="U55" i="7"/>
  <c r="K55" i="7"/>
  <c r="E55" i="7"/>
  <c r="B55" i="7"/>
  <c r="U54" i="7"/>
  <c r="K54" i="7"/>
  <c r="E54" i="7"/>
  <c r="B54" i="7"/>
  <c r="U53" i="7"/>
  <c r="K53" i="7"/>
  <c r="E53" i="7"/>
  <c r="B53" i="7"/>
  <c r="U52" i="7"/>
  <c r="K52" i="7"/>
  <c r="E52" i="7"/>
  <c r="B52" i="7"/>
  <c r="U51" i="7"/>
  <c r="K51" i="7"/>
  <c r="E51" i="7"/>
  <c r="B51" i="7"/>
  <c r="U50" i="7"/>
  <c r="K50" i="7"/>
  <c r="E50" i="7"/>
  <c r="B50" i="7"/>
  <c r="U49" i="7"/>
  <c r="K49" i="7"/>
  <c r="E49" i="7"/>
  <c r="B49" i="7"/>
  <c r="U48" i="7"/>
  <c r="K48" i="7"/>
  <c r="E48" i="7"/>
  <c r="B48" i="7"/>
  <c r="U47" i="7"/>
  <c r="K47" i="7"/>
  <c r="E47" i="7"/>
  <c r="B47" i="7"/>
  <c r="U46" i="7"/>
  <c r="K46" i="7"/>
  <c r="E46" i="7"/>
  <c r="B46" i="7"/>
  <c r="U45" i="7"/>
  <c r="K45" i="7"/>
  <c r="E45" i="7"/>
  <c r="B45" i="7"/>
  <c r="U44" i="7"/>
  <c r="K44" i="7"/>
  <c r="E44" i="7"/>
  <c r="B44" i="7"/>
  <c r="U43" i="7"/>
  <c r="K43" i="7"/>
  <c r="E43" i="7"/>
  <c r="B43" i="7"/>
  <c r="U42" i="7"/>
  <c r="K42" i="7"/>
  <c r="E42" i="7"/>
  <c r="B42" i="7"/>
  <c r="U41" i="7"/>
  <c r="K41" i="7"/>
  <c r="E41" i="7"/>
  <c r="B41" i="7"/>
  <c r="U40" i="7"/>
  <c r="K40" i="7"/>
  <c r="E40" i="7"/>
  <c r="B40" i="7"/>
  <c r="U39" i="7"/>
  <c r="K39" i="7"/>
  <c r="E39" i="7"/>
  <c r="B39" i="7"/>
  <c r="U38" i="7"/>
  <c r="K38" i="7"/>
  <c r="E38" i="7"/>
  <c r="B38" i="7"/>
  <c r="U37" i="7"/>
  <c r="K37" i="7"/>
  <c r="E37" i="7"/>
  <c r="B37" i="7"/>
  <c r="U36" i="7"/>
  <c r="K36" i="7"/>
  <c r="E36" i="7"/>
  <c r="B36" i="7"/>
  <c r="U35" i="7"/>
  <c r="K35" i="7"/>
  <c r="E35" i="7"/>
  <c r="B35" i="7"/>
  <c r="U34" i="7"/>
  <c r="K34" i="7"/>
  <c r="E34" i="7"/>
  <c r="B34" i="7"/>
  <c r="U33" i="7"/>
  <c r="K33" i="7"/>
  <c r="E33" i="7"/>
  <c r="B33" i="7"/>
  <c r="U32" i="7"/>
  <c r="K32" i="7"/>
  <c r="E32" i="7"/>
  <c r="B32" i="7"/>
  <c r="U31" i="7"/>
  <c r="K31" i="7"/>
  <c r="E31" i="7"/>
  <c r="B31" i="7"/>
  <c r="U30" i="7"/>
  <c r="K30" i="7"/>
  <c r="E30" i="7"/>
  <c r="B30" i="7"/>
  <c r="U29" i="7"/>
  <c r="K29" i="7"/>
  <c r="E29" i="7"/>
  <c r="B29" i="7"/>
  <c r="U28" i="7"/>
  <c r="K28" i="7"/>
  <c r="E28" i="7"/>
  <c r="B28" i="7"/>
  <c r="U27" i="7"/>
  <c r="K27" i="7"/>
  <c r="E27" i="7"/>
  <c r="B27" i="7"/>
  <c r="U26" i="7"/>
  <c r="K26" i="7"/>
  <c r="E26" i="7"/>
  <c r="B26" i="7"/>
  <c r="U25" i="7"/>
  <c r="K25" i="7"/>
  <c r="E25" i="7"/>
  <c r="B25" i="7"/>
  <c r="U24" i="7"/>
  <c r="K24" i="7"/>
  <c r="E24" i="7"/>
  <c r="B24" i="7"/>
  <c r="U23" i="7"/>
  <c r="K23" i="7"/>
  <c r="E23" i="7"/>
  <c r="B23" i="7"/>
  <c r="U22" i="7"/>
  <c r="K22" i="7"/>
  <c r="E22" i="7"/>
  <c r="B22" i="7"/>
  <c r="U21" i="7"/>
  <c r="K21" i="7"/>
  <c r="E21" i="7"/>
  <c r="B21" i="7"/>
  <c r="U20" i="7"/>
  <c r="K20" i="7"/>
  <c r="E20" i="7"/>
  <c r="B20" i="7"/>
  <c r="U19" i="7"/>
  <c r="K19" i="7"/>
  <c r="E19" i="7"/>
  <c r="B19" i="7"/>
  <c r="U18" i="7"/>
  <c r="K18" i="7"/>
  <c r="E18" i="7"/>
  <c r="B18" i="7"/>
  <c r="U17" i="7"/>
  <c r="K17" i="7"/>
  <c r="E17" i="7"/>
  <c r="B17" i="7"/>
  <c r="U16" i="7"/>
  <c r="K16" i="7"/>
  <c r="E16" i="7"/>
  <c r="B16" i="7"/>
  <c r="U15" i="7"/>
  <c r="K15" i="7"/>
  <c r="E15" i="7"/>
  <c r="B15" i="7"/>
  <c r="U14" i="7"/>
  <c r="K14" i="7"/>
  <c r="E14" i="7"/>
  <c r="B14" i="7"/>
  <c r="U13" i="7"/>
  <c r="K13" i="7"/>
  <c r="E13" i="7"/>
  <c r="B13" i="7"/>
  <c r="U12" i="7"/>
  <c r="K12" i="7"/>
  <c r="E12" i="7"/>
  <c r="B12" i="7"/>
  <c r="U11" i="7"/>
  <c r="K11" i="7"/>
  <c r="E11" i="7"/>
  <c r="B11" i="7"/>
  <c r="U10" i="7"/>
  <c r="K10" i="7"/>
  <c r="E10" i="7"/>
  <c r="B10" i="7"/>
  <c r="U9" i="7"/>
  <c r="K9" i="7"/>
  <c r="E9" i="7"/>
  <c r="B9" i="7"/>
  <c r="U8" i="7"/>
  <c r="K8" i="7"/>
  <c r="E8" i="7"/>
  <c r="B8" i="7"/>
  <c r="U7" i="7"/>
  <c r="K7" i="7"/>
  <c r="E7" i="7"/>
  <c r="B7" i="7"/>
  <c r="U6" i="7"/>
  <c r="K6" i="7"/>
  <c r="E6" i="7"/>
  <c r="B6" i="7"/>
  <c r="U5" i="7"/>
  <c r="K5" i="7"/>
  <c r="E5" i="7"/>
  <c r="B5" i="7"/>
  <c r="U4" i="7"/>
  <c r="K4" i="7"/>
  <c r="E4" i="7"/>
  <c r="B4" i="7"/>
  <c r="U3" i="7"/>
  <c r="K3" i="7"/>
  <c r="E3" i="7"/>
  <c r="B3" i="7"/>
  <c r="U2" i="7"/>
  <c r="K2" i="7"/>
  <c r="E2" i="7"/>
  <c r="B2" i="7"/>
  <c r="U2220" i="5"/>
  <c r="K2220" i="5"/>
  <c r="E2220" i="5"/>
  <c r="B2220" i="5"/>
  <c r="U2219" i="5"/>
  <c r="K2219" i="5"/>
  <c r="E2219" i="5"/>
  <c r="B2219" i="5"/>
  <c r="U2218" i="5"/>
  <c r="K2218" i="5"/>
  <c r="E2218" i="5"/>
  <c r="B2218" i="5"/>
  <c r="U2217" i="5"/>
  <c r="K2217" i="5"/>
  <c r="E2217" i="5"/>
  <c r="B2217" i="5"/>
  <c r="U2216" i="5"/>
  <c r="K2216" i="5"/>
  <c r="E2216" i="5"/>
  <c r="B2216" i="5"/>
  <c r="U2215" i="5"/>
  <c r="K2215" i="5"/>
  <c r="E2215" i="5"/>
  <c r="B2215" i="5"/>
  <c r="U2214" i="5"/>
  <c r="K2214" i="5"/>
  <c r="E2214" i="5"/>
  <c r="B2214" i="5"/>
  <c r="U2213" i="5"/>
  <c r="K2213" i="5"/>
  <c r="E2213" i="5"/>
  <c r="B2213" i="5"/>
  <c r="U2212" i="5"/>
  <c r="K2212" i="5"/>
  <c r="E2212" i="5"/>
  <c r="B2212" i="5"/>
  <c r="U2211" i="5"/>
  <c r="K2211" i="5"/>
  <c r="E2211" i="5"/>
  <c r="B2211" i="5"/>
  <c r="U2210" i="5"/>
  <c r="K2210" i="5"/>
  <c r="E2210" i="5"/>
  <c r="B2210" i="5"/>
  <c r="U2209" i="5"/>
  <c r="K2209" i="5"/>
  <c r="E2209" i="5"/>
  <c r="B2209" i="5"/>
  <c r="U2208" i="5"/>
  <c r="K2208" i="5"/>
  <c r="E2208" i="5"/>
  <c r="B2208" i="5"/>
  <c r="U2207" i="5"/>
  <c r="K2207" i="5"/>
  <c r="E2207" i="5"/>
  <c r="B2207" i="5"/>
  <c r="U2206" i="5"/>
  <c r="K2206" i="5"/>
  <c r="E2206" i="5"/>
  <c r="B2206" i="5"/>
  <c r="U2205" i="5"/>
  <c r="K2205" i="5"/>
  <c r="E2205" i="5"/>
  <c r="B2205" i="5"/>
  <c r="U2204" i="5"/>
  <c r="K2204" i="5"/>
  <c r="E2204" i="5"/>
  <c r="B2204" i="5"/>
  <c r="U2203" i="5"/>
  <c r="K2203" i="5"/>
  <c r="E2203" i="5"/>
  <c r="B2203" i="5"/>
  <c r="U2202" i="5"/>
  <c r="K2202" i="5"/>
  <c r="E2202" i="5"/>
  <c r="B2202" i="5"/>
  <c r="U2201" i="5"/>
  <c r="K2201" i="5"/>
  <c r="E2201" i="5"/>
  <c r="B2201" i="5"/>
  <c r="U2200" i="5"/>
  <c r="K2200" i="5"/>
  <c r="E2200" i="5"/>
  <c r="B2200" i="5"/>
  <c r="U2199" i="5"/>
  <c r="K2199" i="5"/>
  <c r="E2199" i="5"/>
  <c r="B2199" i="5"/>
  <c r="U2198" i="5"/>
  <c r="K2198" i="5"/>
  <c r="E2198" i="5"/>
  <c r="B2198" i="5"/>
  <c r="U2197" i="5"/>
  <c r="K2197" i="5"/>
  <c r="E2197" i="5"/>
  <c r="B2197" i="5"/>
  <c r="U2196" i="5"/>
  <c r="K2196" i="5"/>
  <c r="E2196" i="5"/>
  <c r="B2196" i="5"/>
  <c r="U2195" i="5"/>
  <c r="K2195" i="5"/>
  <c r="E2195" i="5"/>
  <c r="B2195" i="5"/>
  <c r="U2194" i="5"/>
  <c r="K2194" i="5"/>
  <c r="E2194" i="5"/>
  <c r="B2194" i="5"/>
  <c r="U2193" i="5"/>
  <c r="K2193" i="5"/>
  <c r="E2193" i="5"/>
  <c r="B2193" i="5"/>
  <c r="U2192" i="5"/>
  <c r="K2192" i="5"/>
  <c r="E2192" i="5"/>
  <c r="B2192" i="5"/>
  <c r="U2191" i="5"/>
  <c r="K2191" i="5"/>
  <c r="E2191" i="5"/>
  <c r="B2191" i="5"/>
  <c r="U2190" i="5"/>
  <c r="K2190" i="5"/>
  <c r="E2190" i="5"/>
  <c r="B2190" i="5"/>
  <c r="U2189" i="5"/>
  <c r="K2189" i="5"/>
  <c r="E2189" i="5"/>
  <c r="B2189" i="5"/>
  <c r="U2188" i="5"/>
  <c r="K2188" i="5"/>
  <c r="E2188" i="5"/>
  <c r="B2188" i="5"/>
  <c r="U2187" i="5"/>
  <c r="K2187" i="5"/>
  <c r="E2187" i="5"/>
  <c r="B2187" i="5"/>
  <c r="U2186" i="5"/>
  <c r="K2186" i="5"/>
  <c r="E2186" i="5"/>
  <c r="B2186" i="5"/>
  <c r="U2185" i="5"/>
  <c r="K2185" i="5"/>
  <c r="E2185" i="5"/>
  <c r="B2185" i="5"/>
  <c r="U2184" i="5"/>
  <c r="E2184" i="5"/>
  <c r="B2184" i="5"/>
  <c r="U2183" i="5"/>
  <c r="K2183" i="5"/>
  <c r="E2183" i="5"/>
  <c r="B2183" i="5"/>
  <c r="U2182" i="5"/>
  <c r="K2182" i="5"/>
  <c r="E2182" i="5"/>
  <c r="B2182" i="5"/>
  <c r="U2181" i="5"/>
  <c r="K2181" i="5"/>
  <c r="E2181" i="5"/>
  <c r="B2181" i="5"/>
  <c r="U2180" i="5"/>
  <c r="K2180" i="5"/>
  <c r="E2180" i="5"/>
  <c r="B2180" i="5"/>
  <c r="U2179" i="5"/>
  <c r="K2179" i="5"/>
  <c r="E2179" i="5"/>
  <c r="B2179" i="5"/>
  <c r="U2178" i="5"/>
  <c r="K2178" i="5"/>
  <c r="E2178" i="5"/>
  <c r="B2178" i="5"/>
  <c r="U2177" i="5"/>
  <c r="K2177" i="5"/>
  <c r="E2177" i="5"/>
  <c r="B2177" i="5"/>
  <c r="U2176" i="5"/>
  <c r="K2176" i="5"/>
  <c r="E2176" i="5"/>
  <c r="B2176" i="5"/>
  <c r="U2175" i="5"/>
  <c r="E2175" i="5"/>
  <c r="B2175" i="5"/>
  <c r="U2174" i="5"/>
  <c r="K2174" i="5"/>
  <c r="E2174" i="5"/>
  <c r="B2174" i="5"/>
  <c r="U2173" i="5"/>
  <c r="K2173" i="5"/>
  <c r="E2173" i="5"/>
  <c r="B2173" i="5"/>
  <c r="U2172" i="5"/>
  <c r="K2172" i="5"/>
  <c r="E2172" i="5"/>
  <c r="B2172" i="5"/>
  <c r="U2171" i="5"/>
  <c r="K2171" i="5"/>
  <c r="E2171" i="5"/>
  <c r="B2171" i="5"/>
  <c r="U2170" i="5"/>
  <c r="K2170" i="5"/>
  <c r="E2170" i="5"/>
  <c r="B2170" i="5"/>
  <c r="U2169" i="5"/>
  <c r="K2169" i="5"/>
  <c r="E2169" i="5"/>
  <c r="B2169" i="5"/>
  <c r="U2168" i="5"/>
  <c r="K2168" i="5"/>
  <c r="E2168" i="5"/>
  <c r="B2168" i="5"/>
  <c r="U2167" i="5"/>
  <c r="K2167" i="5"/>
  <c r="E2167" i="5"/>
  <c r="B2167" i="5"/>
  <c r="U2166" i="5"/>
  <c r="K2166" i="5"/>
  <c r="E2166" i="5"/>
  <c r="B2166" i="5"/>
  <c r="U2165" i="5"/>
  <c r="K2165" i="5"/>
  <c r="E2165" i="5"/>
  <c r="B2165" i="5"/>
  <c r="U2164" i="5"/>
  <c r="K2164" i="5"/>
  <c r="E2164" i="5"/>
  <c r="B2164" i="5"/>
  <c r="U2163" i="5"/>
  <c r="K2163" i="5"/>
  <c r="E2163" i="5"/>
  <c r="B2163" i="5"/>
  <c r="U2162" i="5"/>
  <c r="K2162" i="5"/>
  <c r="E2162" i="5"/>
  <c r="B2162" i="5"/>
  <c r="U2161" i="5"/>
  <c r="K2161" i="5"/>
  <c r="E2161" i="5"/>
  <c r="B2161" i="5"/>
  <c r="U2160" i="5"/>
  <c r="K2160" i="5"/>
  <c r="E2160" i="5"/>
  <c r="B2160" i="5"/>
  <c r="U2159" i="5"/>
  <c r="K2159" i="5"/>
  <c r="E2159" i="5"/>
  <c r="B2159" i="5"/>
  <c r="U2158" i="5"/>
  <c r="K2158" i="5"/>
  <c r="E2158" i="5"/>
  <c r="B2158" i="5"/>
  <c r="U2157" i="5"/>
  <c r="K2157" i="5"/>
  <c r="E2157" i="5"/>
  <c r="B2157" i="5"/>
  <c r="U2156" i="5"/>
  <c r="K2156" i="5"/>
  <c r="E2156" i="5"/>
  <c r="B2156" i="5"/>
  <c r="U2155" i="5"/>
  <c r="K2155" i="5"/>
  <c r="E2155" i="5"/>
  <c r="B2155" i="5"/>
  <c r="U2154" i="5"/>
  <c r="K2154" i="5"/>
  <c r="E2154" i="5"/>
  <c r="B2154" i="5"/>
  <c r="U2153" i="5"/>
  <c r="K2153" i="5"/>
  <c r="E2153" i="5"/>
  <c r="B2153" i="5"/>
  <c r="U2152" i="5"/>
  <c r="K2152" i="5"/>
  <c r="E2152" i="5"/>
  <c r="B2152" i="5"/>
  <c r="U2151" i="5"/>
  <c r="K2151" i="5"/>
  <c r="E2151" i="5"/>
  <c r="B2151" i="5"/>
  <c r="U2150" i="5"/>
  <c r="K2150" i="5"/>
  <c r="E2150" i="5"/>
  <c r="B2150" i="5"/>
  <c r="U2149" i="5"/>
  <c r="K2149" i="5"/>
  <c r="E2149" i="5"/>
  <c r="B2149" i="5"/>
  <c r="U2148" i="5"/>
  <c r="K2148" i="5"/>
  <c r="E2148" i="5"/>
  <c r="B2148" i="5"/>
  <c r="U2147" i="5"/>
  <c r="K2147" i="5"/>
  <c r="E2147" i="5"/>
  <c r="B2147" i="5"/>
  <c r="U2146" i="5"/>
  <c r="K2146" i="5"/>
  <c r="E2146" i="5"/>
  <c r="B2146" i="5"/>
  <c r="U2145" i="5"/>
  <c r="K2145" i="5"/>
  <c r="E2145" i="5"/>
  <c r="B2145" i="5"/>
  <c r="U2144" i="5"/>
  <c r="K2144" i="5"/>
  <c r="E2144" i="5"/>
  <c r="B2144" i="5"/>
  <c r="U2143" i="5"/>
  <c r="K2143" i="5"/>
  <c r="E2143" i="5"/>
  <c r="B2143" i="5"/>
  <c r="U2142" i="5"/>
  <c r="K2142" i="5"/>
  <c r="E2142" i="5"/>
  <c r="B2142" i="5"/>
  <c r="U2141" i="5"/>
  <c r="K2141" i="5"/>
  <c r="E2141" i="5"/>
  <c r="B2141" i="5"/>
  <c r="U2140" i="5"/>
  <c r="K2140" i="5"/>
  <c r="E2140" i="5"/>
  <c r="B2140" i="5"/>
  <c r="U2139" i="5"/>
  <c r="K2139" i="5"/>
  <c r="E2139" i="5"/>
  <c r="B2139" i="5"/>
  <c r="U2138" i="5"/>
  <c r="K2138" i="5"/>
  <c r="E2138" i="5"/>
  <c r="B2138" i="5"/>
  <c r="U2137" i="5"/>
  <c r="K2137" i="5"/>
  <c r="E2137" i="5"/>
  <c r="B2137" i="5"/>
  <c r="U2136" i="5"/>
  <c r="K2136" i="5"/>
  <c r="E2136" i="5"/>
  <c r="B2136" i="5"/>
  <c r="U2135" i="5"/>
  <c r="K2135" i="5"/>
  <c r="E2135" i="5"/>
  <c r="B2135" i="5"/>
  <c r="U2134" i="5"/>
  <c r="K2134" i="5"/>
  <c r="E2134" i="5"/>
  <c r="B2134" i="5"/>
  <c r="U2133" i="5"/>
  <c r="K2133" i="5"/>
  <c r="E2133" i="5"/>
  <c r="B2133" i="5"/>
  <c r="U2132" i="5"/>
  <c r="K2132" i="5"/>
  <c r="E2132" i="5"/>
  <c r="B2132" i="5"/>
  <c r="U2131" i="5"/>
  <c r="K2131" i="5"/>
  <c r="E2131" i="5"/>
  <c r="B2131" i="5"/>
  <c r="U2130" i="5"/>
  <c r="K2130" i="5"/>
  <c r="E2130" i="5"/>
  <c r="B2130" i="5"/>
  <c r="U2129" i="5"/>
  <c r="K2129" i="5"/>
  <c r="E2129" i="5"/>
  <c r="B2129" i="5"/>
  <c r="U2128" i="5"/>
  <c r="K2128" i="5"/>
  <c r="E2128" i="5"/>
  <c r="B2128" i="5"/>
  <c r="U2127" i="5"/>
  <c r="K2127" i="5"/>
  <c r="E2127" i="5"/>
  <c r="B2127" i="5"/>
  <c r="U2126" i="5"/>
  <c r="K2126" i="5"/>
  <c r="E2126" i="5"/>
  <c r="B2126" i="5"/>
  <c r="U2125" i="5"/>
  <c r="K2125" i="5"/>
  <c r="E2125" i="5"/>
  <c r="B2125" i="5"/>
  <c r="U2124" i="5"/>
  <c r="K2124" i="5"/>
  <c r="E2124" i="5"/>
  <c r="B2124" i="5"/>
  <c r="U2123" i="5"/>
  <c r="K2123" i="5"/>
  <c r="E2123" i="5"/>
  <c r="B2123" i="5"/>
  <c r="U2122" i="5"/>
  <c r="K2122" i="5"/>
  <c r="E2122" i="5"/>
  <c r="B2122" i="5"/>
  <c r="U2121" i="5"/>
  <c r="K2121" i="5"/>
  <c r="E2121" i="5"/>
  <c r="B2121" i="5"/>
  <c r="U2120" i="5"/>
  <c r="K2120" i="5"/>
  <c r="E2120" i="5"/>
  <c r="B2120" i="5"/>
  <c r="U2119" i="5"/>
  <c r="K2119" i="5"/>
  <c r="E2119" i="5"/>
  <c r="B2119" i="5"/>
  <c r="U2118" i="5"/>
  <c r="K2118" i="5"/>
  <c r="E2118" i="5"/>
  <c r="B2118" i="5"/>
  <c r="U2117" i="5"/>
  <c r="K2117" i="5"/>
  <c r="E2117" i="5"/>
  <c r="B2117" i="5"/>
  <c r="U2116" i="5"/>
  <c r="K2116" i="5"/>
  <c r="E2116" i="5"/>
  <c r="B2116" i="5"/>
  <c r="U2115" i="5"/>
  <c r="K2115" i="5"/>
  <c r="E2115" i="5"/>
  <c r="B2115" i="5"/>
  <c r="U2114" i="5"/>
  <c r="K2114" i="5"/>
  <c r="E2114" i="5"/>
  <c r="B2114" i="5"/>
  <c r="U2113" i="5"/>
  <c r="K2113" i="5"/>
  <c r="E2113" i="5"/>
  <c r="B2113" i="5"/>
  <c r="U2112" i="5"/>
  <c r="K2112" i="5"/>
  <c r="E2112" i="5"/>
  <c r="B2112" i="5"/>
  <c r="U2111" i="5"/>
  <c r="K2111" i="5"/>
  <c r="E2111" i="5"/>
  <c r="B2111" i="5"/>
  <c r="U2110" i="5"/>
  <c r="K2110" i="5"/>
  <c r="E2110" i="5"/>
  <c r="B2110" i="5"/>
  <c r="U2109" i="5"/>
  <c r="K2109" i="5"/>
  <c r="E2109" i="5"/>
  <c r="B2109" i="5"/>
  <c r="U2108" i="5"/>
  <c r="K2108" i="5"/>
  <c r="E2108" i="5"/>
  <c r="B2108" i="5"/>
  <c r="U2107" i="5"/>
  <c r="K2107" i="5"/>
  <c r="E2107" i="5"/>
  <c r="B2107" i="5"/>
  <c r="U2106" i="5"/>
  <c r="K2106" i="5"/>
  <c r="E2106" i="5"/>
  <c r="B2106" i="5"/>
  <c r="U2105" i="5"/>
  <c r="K2105" i="5"/>
  <c r="E2105" i="5"/>
  <c r="B2105" i="5"/>
  <c r="U2104" i="5"/>
  <c r="K2104" i="5"/>
  <c r="E2104" i="5"/>
  <c r="B2104" i="5"/>
  <c r="U2103" i="5"/>
  <c r="K2103" i="5"/>
  <c r="E2103" i="5"/>
  <c r="B2103" i="5"/>
  <c r="U2102" i="5"/>
  <c r="K2102" i="5"/>
  <c r="E2102" i="5"/>
  <c r="B2102" i="5"/>
  <c r="U2101" i="5"/>
  <c r="K2101" i="5"/>
  <c r="E2101" i="5"/>
  <c r="B2101" i="5"/>
  <c r="U2100" i="5"/>
  <c r="K2100" i="5"/>
  <c r="E2100" i="5"/>
  <c r="B2100" i="5"/>
  <c r="U2099" i="5"/>
  <c r="K2099" i="5"/>
  <c r="E2099" i="5"/>
  <c r="B2099" i="5"/>
  <c r="U2098" i="5"/>
  <c r="K2098" i="5"/>
  <c r="E2098" i="5"/>
  <c r="B2098" i="5"/>
  <c r="U2097" i="5"/>
  <c r="K2097" i="5"/>
  <c r="E2097" i="5"/>
  <c r="B2097" i="5"/>
  <c r="U2096" i="5"/>
  <c r="K2096" i="5"/>
  <c r="E2096" i="5"/>
  <c r="B2096" i="5"/>
  <c r="U2095" i="5"/>
  <c r="K2095" i="5"/>
  <c r="E2095" i="5"/>
  <c r="B2095" i="5"/>
  <c r="U2094" i="5"/>
  <c r="K2094" i="5"/>
  <c r="E2094" i="5"/>
  <c r="B2094" i="5"/>
  <c r="U2093" i="5"/>
  <c r="K2093" i="5"/>
  <c r="E2093" i="5"/>
  <c r="B2093" i="5"/>
  <c r="U2092" i="5"/>
  <c r="K2092" i="5"/>
  <c r="E2092" i="5"/>
  <c r="B2092" i="5"/>
  <c r="U2091" i="5"/>
  <c r="K2091" i="5"/>
  <c r="E2091" i="5"/>
  <c r="B2091" i="5"/>
  <c r="U2090" i="5"/>
  <c r="K2090" i="5"/>
  <c r="E2090" i="5"/>
  <c r="B2090" i="5"/>
  <c r="U2089" i="5"/>
  <c r="K2089" i="5"/>
  <c r="E2089" i="5"/>
  <c r="B2089" i="5"/>
  <c r="U2088" i="5"/>
  <c r="K2088" i="5"/>
  <c r="E2088" i="5"/>
  <c r="B2088" i="5"/>
  <c r="U2087" i="5"/>
  <c r="K2087" i="5"/>
  <c r="E2087" i="5"/>
  <c r="B2087" i="5"/>
  <c r="U2086" i="5"/>
  <c r="K2086" i="5"/>
  <c r="E2086" i="5"/>
  <c r="B2086" i="5"/>
  <c r="U2085" i="5"/>
  <c r="K2085" i="5"/>
  <c r="E2085" i="5"/>
  <c r="B2085" i="5"/>
  <c r="U2084" i="5"/>
  <c r="K2084" i="5"/>
  <c r="E2084" i="5"/>
  <c r="B2084" i="5"/>
  <c r="U2083" i="5"/>
  <c r="K2083" i="5"/>
  <c r="E2083" i="5"/>
  <c r="B2083" i="5"/>
  <c r="U2082" i="5"/>
  <c r="K2082" i="5"/>
  <c r="E2082" i="5"/>
  <c r="B2082" i="5"/>
  <c r="U2081" i="5"/>
  <c r="K2081" i="5"/>
  <c r="E2081" i="5"/>
  <c r="B2081" i="5"/>
  <c r="U2080" i="5"/>
  <c r="K2080" i="5"/>
  <c r="E2080" i="5"/>
  <c r="B2080" i="5"/>
  <c r="U2079" i="5"/>
  <c r="K2079" i="5"/>
  <c r="E2079" i="5"/>
  <c r="B2079" i="5"/>
  <c r="U2078" i="5"/>
  <c r="K2078" i="5"/>
  <c r="E2078" i="5"/>
  <c r="B2078" i="5"/>
  <c r="U2077" i="5"/>
  <c r="K2077" i="5"/>
  <c r="E2077" i="5"/>
  <c r="B2077" i="5"/>
  <c r="U2076" i="5"/>
  <c r="K2076" i="5"/>
  <c r="E2076" i="5"/>
  <c r="B2076" i="5"/>
  <c r="U2075" i="5"/>
  <c r="K2075" i="5"/>
  <c r="E2075" i="5"/>
  <c r="B2075" i="5"/>
  <c r="U2074" i="5"/>
  <c r="K2074" i="5"/>
  <c r="E2074" i="5"/>
  <c r="B2074" i="5"/>
  <c r="U2073" i="5"/>
  <c r="K2073" i="5"/>
  <c r="E2073" i="5"/>
  <c r="B2073" i="5"/>
  <c r="U2072" i="5"/>
  <c r="K2072" i="5"/>
  <c r="E2072" i="5"/>
  <c r="B2072" i="5"/>
  <c r="U2071" i="5"/>
  <c r="K2071" i="5"/>
  <c r="E2071" i="5"/>
  <c r="B2071" i="5"/>
  <c r="U2070" i="5"/>
  <c r="K2070" i="5"/>
  <c r="E2070" i="5"/>
  <c r="B2070" i="5"/>
  <c r="U2069" i="5"/>
  <c r="K2069" i="5"/>
  <c r="E2069" i="5"/>
  <c r="B2069" i="5"/>
  <c r="U2068" i="5"/>
  <c r="K2068" i="5"/>
  <c r="E2068" i="5"/>
  <c r="B2068" i="5"/>
  <c r="U2067" i="5"/>
  <c r="K2067" i="5"/>
  <c r="E2067" i="5"/>
  <c r="B2067" i="5"/>
  <c r="U2066" i="5"/>
  <c r="K2066" i="5"/>
  <c r="E2066" i="5"/>
  <c r="B2066" i="5"/>
  <c r="U2065" i="5"/>
  <c r="K2065" i="5"/>
  <c r="E2065" i="5"/>
  <c r="B2065" i="5"/>
  <c r="U2064" i="5"/>
  <c r="K2064" i="5"/>
  <c r="E2064" i="5"/>
  <c r="B2064" i="5"/>
  <c r="U2063" i="5"/>
  <c r="K2063" i="5"/>
  <c r="E2063" i="5"/>
  <c r="B2063" i="5"/>
  <c r="U2062" i="5"/>
  <c r="K2062" i="5"/>
  <c r="E2062" i="5"/>
  <c r="B2062" i="5"/>
  <c r="U2061" i="5"/>
  <c r="K2061" i="5"/>
  <c r="E2061" i="5"/>
  <c r="B2061" i="5"/>
  <c r="U2060" i="5"/>
  <c r="K2060" i="5"/>
  <c r="E2060" i="5"/>
  <c r="B2060" i="5"/>
  <c r="U2059" i="5"/>
  <c r="K2059" i="5"/>
  <c r="E2059" i="5"/>
  <c r="B2059" i="5"/>
  <c r="U2058" i="5"/>
  <c r="K2058" i="5"/>
  <c r="E2058" i="5"/>
  <c r="B2058" i="5"/>
  <c r="U2057" i="5"/>
  <c r="K2057" i="5"/>
  <c r="E2057" i="5"/>
  <c r="B2057" i="5"/>
  <c r="U2056" i="5"/>
  <c r="K2056" i="5"/>
  <c r="E2056" i="5"/>
  <c r="B2056" i="5"/>
  <c r="U2055" i="5"/>
  <c r="K2055" i="5"/>
  <c r="E2055" i="5"/>
  <c r="B2055" i="5"/>
  <c r="U2054" i="5"/>
  <c r="K2054" i="5"/>
  <c r="E2054" i="5"/>
  <c r="B2054" i="5"/>
  <c r="U2053" i="5"/>
  <c r="K2053" i="5"/>
  <c r="E2053" i="5"/>
  <c r="B2053" i="5"/>
  <c r="U2052" i="5"/>
  <c r="K2052" i="5"/>
  <c r="E2052" i="5"/>
  <c r="B2052" i="5"/>
  <c r="U2051" i="5"/>
  <c r="K2051" i="5"/>
  <c r="E2051" i="5"/>
  <c r="B2051" i="5"/>
  <c r="U2050" i="5"/>
  <c r="K2050" i="5"/>
  <c r="E2050" i="5"/>
  <c r="B2050" i="5"/>
  <c r="U2049" i="5"/>
  <c r="K2049" i="5"/>
  <c r="E2049" i="5"/>
  <c r="B2049" i="5"/>
  <c r="U2048" i="5"/>
  <c r="K2048" i="5"/>
  <c r="E2048" i="5"/>
  <c r="B2048" i="5"/>
  <c r="U2047" i="5"/>
  <c r="K2047" i="5"/>
  <c r="E2047" i="5"/>
  <c r="B2047" i="5"/>
  <c r="U2046" i="5"/>
  <c r="K2046" i="5"/>
  <c r="E2046" i="5"/>
  <c r="B2046" i="5"/>
  <c r="U2045" i="5"/>
  <c r="K2045" i="5"/>
  <c r="E2045" i="5"/>
  <c r="B2045" i="5"/>
  <c r="U2044" i="5"/>
  <c r="K2044" i="5"/>
  <c r="E2044" i="5"/>
  <c r="B2044" i="5"/>
  <c r="U2043" i="5"/>
  <c r="K2043" i="5"/>
  <c r="E2043" i="5"/>
  <c r="B2043" i="5"/>
  <c r="U2042" i="5"/>
  <c r="K2042" i="5"/>
  <c r="E2042" i="5"/>
  <c r="B2042" i="5"/>
  <c r="U2041" i="5"/>
  <c r="K2041" i="5"/>
  <c r="E2041" i="5"/>
  <c r="B2041" i="5"/>
  <c r="U2040" i="5"/>
  <c r="E2040" i="5"/>
  <c r="B2040" i="5"/>
  <c r="U2039" i="5"/>
  <c r="K2039" i="5"/>
  <c r="E2039" i="5"/>
  <c r="B2039" i="5"/>
  <c r="U2038" i="5"/>
  <c r="K2038" i="5"/>
  <c r="E2038" i="5"/>
  <c r="B2038" i="5"/>
  <c r="U2037" i="5"/>
  <c r="K2037" i="5"/>
  <c r="E2037" i="5"/>
  <c r="B2037" i="5"/>
  <c r="U2036" i="5"/>
  <c r="K2036" i="5"/>
  <c r="E2036" i="5"/>
  <c r="B2036" i="5"/>
  <c r="U2035" i="5"/>
  <c r="K2035" i="5"/>
  <c r="E2035" i="5"/>
  <c r="B2035" i="5"/>
  <c r="U2034" i="5"/>
  <c r="K2034" i="5"/>
  <c r="E2034" i="5"/>
  <c r="B2034" i="5"/>
  <c r="U2033" i="5"/>
  <c r="K2033" i="5"/>
  <c r="E2033" i="5"/>
  <c r="B2033" i="5"/>
  <c r="U2032" i="5"/>
  <c r="K2032" i="5"/>
  <c r="E2032" i="5"/>
  <c r="B2032" i="5"/>
  <c r="U2031" i="5"/>
  <c r="K2031" i="5"/>
  <c r="E2031" i="5"/>
  <c r="B2031" i="5"/>
  <c r="U2030" i="5"/>
  <c r="K2030" i="5"/>
  <c r="E2030" i="5"/>
  <c r="B2030" i="5"/>
  <c r="U2029" i="5"/>
  <c r="K2029" i="5"/>
  <c r="E2029" i="5"/>
  <c r="B2029" i="5"/>
  <c r="U2028" i="5"/>
  <c r="K2028" i="5"/>
  <c r="E2028" i="5"/>
  <c r="B2028" i="5"/>
  <c r="U2027" i="5"/>
  <c r="K2027" i="5"/>
  <c r="E2027" i="5"/>
  <c r="B2027" i="5"/>
  <c r="U2026" i="5"/>
  <c r="K2026" i="5"/>
  <c r="E2026" i="5"/>
  <c r="B2026" i="5"/>
  <c r="U2025" i="5"/>
  <c r="K2025" i="5"/>
  <c r="E2025" i="5"/>
  <c r="B2025" i="5"/>
  <c r="U2024" i="5"/>
  <c r="K2024" i="5"/>
  <c r="E2024" i="5"/>
  <c r="B2024" i="5"/>
  <c r="U2023" i="5"/>
  <c r="K2023" i="5"/>
  <c r="E2023" i="5"/>
  <c r="B2023" i="5"/>
  <c r="U2022" i="5"/>
  <c r="K2022" i="5"/>
  <c r="E2022" i="5"/>
  <c r="B2022" i="5"/>
  <c r="U2021" i="5"/>
  <c r="K2021" i="5"/>
  <c r="E2021" i="5"/>
  <c r="B2021" i="5"/>
  <c r="U2020" i="5"/>
  <c r="K2020" i="5"/>
  <c r="E2020" i="5"/>
  <c r="B2020" i="5"/>
  <c r="U2019" i="5"/>
  <c r="K2019" i="5"/>
  <c r="E2019" i="5"/>
  <c r="B2019" i="5"/>
  <c r="U2018" i="5"/>
  <c r="K2018" i="5"/>
  <c r="E2018" i="5"/>
  <c r="B2018" i="5"/>
  <c r="U2017" i="5"/>
  <c r="K2017" i="5"/>
  <c r="E2017" i="5"/>
  <c r="B2017" i="5"/>
  <c r="U2016" i="5"/>
  <c r="K2016" i="5"/>
  <c r="E2016" i="5"/>
  <c r="B2016" i="5"/>
  <c r="U2015" i="5"/>
  <c r="K2015" i="5"/>
  <c r="E2015" i="5"/>
  <c r="B2015" i="5"/>
  <c r="U2014" i="5"/>
  <c r="K2014" i="5"/>
  <c r="E2014" i="5"/>
  <c r="B2014" i="5"/>
  <c r="U2013" i="5"/>
  <c r="K2013" i="5"/>
  <c r="E2013" i="5"/>
  <c r="B2013" i="5"/>
  <c r="U2012" i="5"/>
  <c r="K2012" i="5"/>
  <c r="E2012" i="5"/>
  <c r="B2012" i="5"/>
  <c r="U2011" i="5"/>
  <c r="K2011" i="5"/>
  <c r="E2011" i="5"/>
  <c r="B2011" i="5"/>
  <c r="U2010" i="5"/>
  <c r="K2010" i="5"/>
  <c r="E2010" i="5"/>
  <c r="B2010" i="5"/>
  <c r="U2009" i="5"/>
  <c r="K2009" i="5"/>
  <c r="E2009" i="5"/>
  <c r="B2009" i="5"/>
  <c r="U2008" i="5"/>
  <c r="K2008" i="5"/>
  <c r="E2008" i="5"/>
  <c r="B2008" i="5"/>
  <c r="K2007" i="5"/>
  <c r="E2007" i="5"/>
  <c r="B2007" i="5"/>
  <c r="U2006" i="5"/>
  <c r="K2006" i="5"/>
  <c r="E2006" i="5"/>
  <c r="B2006" i="5"/>
  <c r="U2005" i="5"/>
  <c r="K2005" i="5"/>
  <c r="E2005" i="5"/>
  <c r="B2005" i="5"/>
  <c r="U2004" i="5"/>
  <c r="K2004" i="5"/>
  <c r="E2004" i="5"/>
  <c r="B2004" i="5"/>
  <c r="U2003" i="5"/>
  <c r="K2003" i="5"/>
  <c r="E2003" i="5"/>
  <c r="B2003" i="5"/>
  <c r="U2002" i="5"/>
  <c r="K2002" i="5"/>
  <c r="E2002" i="5"/>
  <c r="B2002" i="5"/>
  <c r="U2001" i="5"/>
  <c r="K2001" i="5"/>
  <c r="E2001" i="5"/>
  <c r="B2001" i="5"/>
  <c r="U2000" i="5"/>
  <c r="K2000" i="5"/>
  <c r="E2000" i="5"/>
  <c r="B2000" i="5"/>
  <c r="U1999" i="5"/>
  <c r="K1999" i="5"/>
  <c r="E1999" i="5"/>
  <c r="B1999" i="5"/>
  <c r="U1998" i="5"/>
  <c r="K1998" i="5"/>
  <c r="E1998" i="5"/>
  <c r="B1998" i="5"/>
  <c r="U1997" i="5"/>
  <c r="K1997" i="5"/>
  <c r="E1997" i="5"/>
  <c r="B1997" i="5"/>
  <c r="U1996" i="5"/>
  <c r="K1996" i="5"/>
  <c r="E1996" i="5"/>
  <c r="B1996" i="5"/>
  <c r="U1995" i="5"/>
  <c r="K1995" i="5"/>
  <c r="E1995" i="5"/>
  <c r="B1995" i="5"/>
  <c r="U1994" i="5"/>
  <c r="K1994" i="5"/>
  <c r="E1994" i="5"/>
  <c r="B1994" i="5"/>
  <c r="U1993" i="5"/>
  <c r="K1993" i="5"/>
  <c r="E1993" i="5"/>
  <c r="B1993" i="5"/>
  <c r="U1992" i="5"/>
  <c r="K1992" i="5"/>
  <c r="E1992" i="5"/>
  <c r="B1992" i="5"/>
  <c r="U1991" i="5"/>
  <c r="K1991" i="5"/>
  <c r="E1991" i="5"/>
  <c r="B1991" i="5"/>
  <c r="U1990" i="5"/>
  <c r="K1990" i="5"/>
  <c r="E1990" i="5"/>
  <c r="B1990" i="5"/>
  <c r="U1989" i="5"/>
  <c r="K1989" i="5"/>
  <c r="E1989" i="5"/>
  <c r="B1989" i="5"/>
  <c r="U1988" i="5"/>
  <c r="K1988" i="5"/>
  <c r="E1988" i="5"/>
  <c r="B1988" i="5"/>
  <c r="U1987" i="5"/>
  <c r="K1987" i="5"/>
  <c r="E1987" i="5"/>
  <c r="B1987" i="5"/>
  <c r="U1986" i="5"/>
  <c r="K1986" i="5"/>
  <c r="E1986" i="5"/>
  <c r="B1986" i="5"/>
  <c r="U1985" i="5"/>
  <c r="K1985" i="5"/>
  <c r="E1985" i="5"/>
  <c r="B1985" i="5"/>
  <c r="U1984" i="5"/>
  <c r="K1984" i="5"/>
  <c r="E1984" i="5"/>
  <c r="B1984" i="5"/>
  <c r="U1983" i="5"/>
  <c r="K1983" i="5"/>
  <c r="E1983" i="5"/>
  <c r="B1983" i="5"/>
  <c r="U1982" i="5"/>
  <c r="K1982" i="5"/>
  <c r="E1982" i="5"/>
  <c r="B1982" i="5"/>
  <c r="U1981" i="5"/>
  <c r="K1981" i="5"/>
  <c r="E1981" i="5"/>
  <c r="B1981" i="5"/>
  <c r="U1980" i="5"/>
  <c r="K1980" i="5"/>
  <c r="E1980" i="5"/>
  <c r="B1980" i="5"/>
  <c r="U1979" i="5"/>
  <c r="K1979" i="5"/>
  <c r="E1979" i="5"/>
  <c r="B1979" i="5"/>
  <c r="U1978" i="5"/>
  <c r="K1978" i="5"/>
  <c r="E1978" i="5"/>
  <c r="B1978" i="5"/>
  <c r="U1977" i="5"/>
  <c r="K1977" i="5"/>
  <c r="E1977" i="5"/>
  <c r="B1977" i="5"/>
  <c r="U1976" i="5"/>
  <c r="K1976" i="5"/>
  <c r="E1976" i="5"/>
  <c r="B1976" i="5"/>
  <c r="U1975" i="5"/>
  <c r="K1975" i="5"/>
  <c r="E1975" i="5"/>
  <c r="B1975" i="5"/>
  <c r="U1974" i="5"/>
  <c r="K1974" i="5"/>
  <c r="E1974" i="5"/>
  <c r="B1974" i="5"/>
  <c r="U1973" i="5"/>
  <c r="K1973" i="5"/>
  <c r="E1973" i="5"/>
  <c r="B1973" i="5"/>
  <c r="U1972" i="5"/>
  <c r="K1972" i="5"/>
  <c r="E1972" i="5"/>
  <c r="B1972" i="5"/>
  <c r="U1971" i="5"/>
  <c r="K1971" i="5"/>
  <c r="E1971" i="5"/>
  <c r="B1971" i="5"/>
  <c r="U1970" i="5"/>
  <c r="K1970" i="5"/>
  <c r="E1970" i="5"/>
  <c r="B1970" i="5"/>
  <c r="U1969" i="5"/>
  <c r="K1969" i="5"/>
  <c r="E1969" i="5"/>
  <c r="B1969" i="5"/>
  <c r="U1968" i="5"/>
  <c r="K1968" i="5"/>
  <c r="E1968" i="5"/>
  <c r="B1968" i="5"/>
  <c r="U1967" i="5"/>
  <c r="K1967" i="5"/>
  <c r="E1967" i="5"/>
  <c r="B1967" i="5"/>
  <c r="U1966" i="5"/>
  <c r="K1966" i="5"/>
  <c r="E1966" i="5"/>
  <c r="B1966" i="5"/>
  <c r="U1965" i="5"/>
  <c r="K1965" i="5"/>
  <c r="E1965" i="5"/>
  <c r="B1965" i="5"/>
  <c r="U1964" i="5"/>
  <c r="K1964" i="5"/>
  <c r="E1964" i="5"/>
  <c r="B1964" i="5"/>
  <c r="U1963" i="5"/>
  <c r="K1963" i="5"/>
  <c r="E1963" i="5"/>
  <c r="B1963" i="5"/>
  <c r="U1962" i="5"/>
  <c r="K1962" i="5"/>
  <c r="E1962" i="5"/>
  <c r="B1962" i="5"/>
  <c r="U1961" i="5"/>
  <c r="K1961" i="5"/>
  <c r="E1961" i="5"/>
  <c r="B1961" i="5"/>
  <c r="U1960" i="5"/>
  <c r="K1960" i="5"/>
  <c r="E1960" i="5"/>
  <c r="B1960" i="5"/>
  <c r="U1959" i="5"/>
  <c r="K1959" i="5"/>
  <c r="E1959" i="5"/>
  <c r="B1959" i="5"/>
  <c r="U1958" i="5"/>
  <c r="K1958" i="5"/>
  <c r="E1958" i="5"/>
  <c r="B1958" i="5"/>
  <c r="U1957" i="5"/>
  <c r="K1957" i="5"/>
  <c r="E1957" i="5"/>
  <c r="B1957" i="5"/>
  <c r="U1956" i="5"/>
  <c r="K1956" i="5"/>
  <c r="E1956" i="5"/>
  <c r="B1956" i="5"/>
  <c r="U1955" i="5"/>
  <c r="K1955" i="5"/>
  <c r="E1955" i="5"/>
  <c r="B1955" i="5"/>
  <c r="U1954" i="5"/>
  <c r="K1954" i="5"/>
  <c r="E1954" i="5"/>
  <c r="B1954" i="5"/>
  <c r="U1953" i="5"/>
  <c r="K1953" i="5"/>
  <c r="E1953" i="5"/>
  <c r="B1953" i="5"/>
  <c r="U1952" i="5"/>
  <c r="K1952" i="5"/>
  <c r="E1952" i="5"/>
  <c r="B1952" i="5"/>
  <c r="U1951" i="5"/>
  <c r="K1951" i="5"/>
  <c r="E1951" i="5"/>
  <c r="B1951" i="5"/>
  <c r="U1950" i="5"/>
  <c r="K1950" i="5"/>
  <c r="E1950" i="5"/>
  <c r="B1950" i="5"/>
  <c r="U1949" i="5"/>
  <c r="K1949" i="5"/>
  <c r="E1949" i="5"/>
  <c r="B1949" i="5"/>
  <c r="U1948" i="5"/>
  <c r="K1948" i="5"/>
  <c r="E1948" i="5"/>
  <c r="B1948" i="5"/>
  <c r="U1947" i="5"/>
  <c r="K1947" i="5"/>
  <c r="E1947" i="5"/>
  <c r="B1947" i="5"/>
  <c r="U1946" i="5"/>
  <c r="K1946" i="5"/>
  <c r="E1946" i="5"/>
  <c r="B1946" i="5"/>
  <c r="U1945" i="5"/>
  <c r="K1945" i="5"/>
  <c r="E1945" i="5"/>
  <c r="B1945" i="5"/>
  <c r="U1944" i="5"/>
  <c r="K1944" i="5"/>
  <c r="E1944" i="5"/>
  <c r="B1944" i="5"/>
  <c r="U1943" i="5"/>
  <c r="K1943" i="5"/>
  <c r="E1943" i="5"/>
  <c r="B1943" i="5"/>
  <c r="U1942" i="5"/>
  <c r="K1942" i="5"/>
  <c r="E1942" i="5"/>
  <c r="B1942" i="5"/>
  <c r="U1941" i="5"/>
  <c r="K1941" i="5"/>
  <c r="E1941" i="5"/>
  <c r="B1941" i="5"/>
  <c r="U1940" i="5"/>
  <c r="K1940" i="5"/>
  <c r="E1940" i="5"/>
  <c r="B1940" i="5"/>
  <c r="U1939" i="5"/>
  <c r="K1939" i="5"/>
  <c r="E1939" i="5"/>
  <c r="B1939" i="5"/>
  <c r="U1938" i="5"/>
  <c r="K1938" i="5"/>
  <c r="E1938" i="5"/>
  <c r="B1938" i="5"/>
  <c r="U1937" i="5"/>
  <c r="K1937" i="5"/>
  <c r="E1937" i="5"/>
  <c r="B1937" i="5"/>
  <c r="U1936" i="5"/>
  <c r="K1936" i="5"/>
  <c r="E1936" i="5"/>
  <c r="B1936" i="5"/>
  <c r="U1935" i="5"/>
  <c r="K1935" i="5"/>
  <c r="E1935" i="5"/>
  <c r="B1935" i="5"/>
  <c r="U1934" i="5"/>
  <c r="K1934" i="5"/>
  <c r="E1934" i="5"/>
  <c r="B1934" i="5"/>
  <c r="U1933" i="5"/>
  <c r="K1933" i="5"/>
  <c r="E1933" i="5"/>
  <c r="B1933" i="5"/>
  <c r="U1932" i="5"/>
  <c r="K1932" i="5"/>
  <c r="E1932" i="5"/>
  <c r="B1932" i="5"/>
  <c r="U1931" i="5"/>
  <c r="K1931" i="5"/>
  <c r="E1931" i="5"/>
  <c r="B1931" i="5"/>
  <c r="U1930" i="5"/>
  <c r="K1930" i="5"/>
  <c r="E1930" i="5"/>
  <c r="B1930" i="5"/>
  <c r="U1929" i="5"/>
  <c r="K1929" i="5"/>
  <c r="E1929" i="5"/>
  <c r="B1929" i="5"/>
  <c r="U1928" i="5"/>
  <c r="K1928" i="5"/>
  <c r="E1928" i="5"/>
  <c r="B1928" i="5"/>
  <c r="U1927" i="5"/>
  <c r="K1927" i="5"/>
  <c r="E1927" i="5"/>
  <c r="B1927" i="5"/>
  <c r="U1926" i="5"/>
  <c r="K1926" i="5"/>
  <c r="E1926" i="5"/>
  <c r="B1926" i="5"/>
  <c r="U1925" i="5"/>
  <c r="K1925" i="5"/>
  <c r="E1925" i="5"/>
  <c r="B1925" i="5"/>
  <c r="U1924" i="5"/>
  <c r="K1924" i="5"/>
  <c r="E1924" i="5"/>
  <c r="B1924" i="5"/>
  <c r="U1923" i="5"/>
  <c r="K1923" i="5"/>
  <c r="E1923" i="5"/>
  <c r="B1923" i="5"/>
  <c r="U1922" i="5"/>
  <c r="K1922" i="5"/>
  <c r="E1922" i="5"/>
  <c r="B1922" i="5"/>
  <c r="U1921" i="5"/>
  <c r="K1921" i="5"/>
  <c r="E1921" i="5"/>
  <c r="B1921" i="5"/>
  <c r="U1920" i="5"/>
  <c r="K1920" i="5"/>
  <c r="E1920" i="5"/>
  <c r="B1920" i="5"/>
  <c r="U1919" i="5"/>
  <c r="K1919" i="5"/>
  <c r="E1919" i="5"/>
  <c r="B1919" i="5"/>
  <c r="U1918" i="5"/>
  <c r="K1918" i="5"/>
  <c r="E1918" i="5"/>
  <c r="B1918" i="5"/>
  <c r="U1917" i="5"/>
  <c r="K1917" i="5"/>
  <c r="E1917" i="5"/>
  <c r="B1917" i="5"/>
  <c r="U1916" i="5"/>
  <c r="K1916" i="5"/>
  <c r="E1916" i="5"/>
  <c r="B1916" i="5"/>
  <c r="U1915" i="5"/>
  <c r="E1915" i="5"/>
  <c r="B1915" i="5"/>
  <c r="U1914" i="5"/>
  <c r="K1914" i="5"/>
  <c r="E1914" i="5"/>
  <c r="B1914" i="5"/>
  <c r="U1913" i="5"/>
  <c r="K1913" i="5"/>
  <c r="E1913" i="5"/>
  <c r="B1913" i="5"/>
  <c r="U1912" i="5"/>
  <c r="K1912" i="5"/>
  <c r="E1912" i="5"/>
  <c r="B1912" i="5"/>
  <c r="U1911" i="5"/>
  <c r="K1911" i="5"/>
  <c r="E1911" i="5"/>
  <c r="B1911" i="5"/>
  <c r="U1910" i="5"/>
  <c r="K1910" i="5"/>
  <c r="E1910" i="5"/>
  <c r="B1910" i="5"/>
  <c r="U1909" i="5"/>
  <c r="K1909" i="5"/>
  <c r="E1909" i="5"/>
  <c r="B1909" i="5"/>
  <c r="U1908" i="5"/>
  <c r="K1908" i="5"/>
  <c r="E1908" i="5"/>
  <c r="B1908" i="5"/>
  <c r="U1907" i="5"/>
  <c r="K1907" i="5"/>
  <c r="E1907" i="5"/>
  <c r="B1907" i="5"/>
  <c r="U1906" i="5"/>
  <c r="E1906" i="5"/>
  <c r="B1906" i="5"/>
  <c r="U1905" i="5"/>
  <c r="K1905" i="5"/>
  <c r="E1905" i="5"/>
  <c r="B1905" i="5"/>
  <c r="U1904" i="5"/>
  <c r="K1904" i="5"/>
  <c r="E1904" i="5"/>
  <c r="B1904" i="5"/>
  <c r="U1903" i="5"/>
  <c r="K1903" i="5"/>
  <c r="E1903" i="5"/>
  <c r="B1903" i="5"/>
  <c r="U1902" i="5"/>
  <c r="K1902" i="5"/>
  <c r="E1902" i="5"/>
  <c r="B1902" i="5"/>
  <c r="U1901" i="5"/>
  <c r="K1901" i="5"/>
  <c r="E1901" i="5"/>
  <c r="B1901" i="5"/>
  <c r="U1900" i="5"/>
  <c r="K1900" i="5"/>
  <c r="E1900" i="5"/>
  <c r="B1900" i="5"/>
  <c r="U1899" i="5"/>
  <c r="K1899" i="5"/>
  <c r="E1899" i="5"/>
  <c r="B1899" i="5"/>
  <c r="U1898" i="5"/>
  <c r="K1898" i="5"/>
  <c r="E1898" i="5"/>
  <c r="B1898" i="5"/>
  <c r="U1897" i="5"/>
  <c r="K1897" i="5"/>
  <c r="E1897" i="5"/>
  <c r="B1897" i="5"/>
  <c r="U1896" i="5"/>
  <c r="K1896" i="5"/>
  <c r="E1896" i="5"/>
  <c r="B1896" i="5"/>
  <c r="U1895" i="5"/>
  <c r="K1895" i="5"/>
  <c r="E1895" i="5"/>
  <c r="B1895" i="5"/>
  <c r="U1894" i="5"/>
  <c r="K1894" i="5"/>
  <c r="E1894" i="5"/>
  <c r="B1894" i="5"/>
  <c r="U1893" i="5"/>
  <c r="K1893" i="5"/>
  <c r="E1893" i="5"/>
  <c r="B1893" i="5"/>
  <c r="U1892" i="5"/>
  <c r="K1892" i="5"/>
  <c r="E1892" i="5"/>
  <c r="B1892" i="5"/>
  <c r="U1891" i="5"/>
  <c r="K1891" i="5"/>
  <c r="E1891" i="5"/>
  <c r="B1891" i="5"/>
  <c r="U1890" i="5"/>
  <c r="K1890" i="5"/>
  <c r="E1890" i="5"/>
  <c r="B1890" i="5"/>
  <c r="U1889" i="5"/>
  <c r="K1889" i="5"/>
  <c r="E1889" i="5"/>
  <c r="B1889" i="5"/>
  <c r="U1888" i="5"/>
  <c r="K1888" i="5"/>
  <c r="E1888" i="5"/>
  <c r="B1888" i="5"/>
  <c r="U1887" i="5"/>
  <c r="K1887" i="5"/>
  <c r="E1887" i="5"/>
  <c r="B1887" i="5"/>
  <c r="U1886" i="5"/>
  <c r="K1886" i="5"/>
  <c r="E1886" i="5"/>
  <c r="B1886" i="5"/>
  <c r="U1885" i="5"/>
  <c r="K1885" i="5"/>
  <c r="E1885" i="5"/>
  <c r="B1885" i="5"/>
  <c r="U1884" i="5"/>
  <c r="K1884" i="5"/>
  <c r="E1884" i="5"/>
  <c r="B1884" i="5"/>
  <c r="U1883" i="5"/>
  <c r="K1883" i="5"/>
  <c r="E1883" i="5"/>
  <c r="B1883" i="5"/>
  <c r="U1882" i="5"/>
  <c r="K1882" i="5"/>
  <c r="E1882" i="5"/>
  <c r="B1882" i="5"/>
  <c r="U1881" i="5"/>
  <c r="K1881" i="5"/>
  <c r="E1881" i="5"/>
  <c r="B1881" i="5"/>
  <c r="U1880" i="5"/>
  <c r="K1880" i="5"/>
  <c r="E1880" i="5"/>
  <c r="B1880" i="5"/>
  <c r="U1879" i="5"/>
  <c r="K1879" i="5"/>
  <c r="E1879" i="5"/>
  <c r="B1879" i="5"/>
  <c r="U1878" i="5"/>
  <c r="K1878" i="5"/>
  <c r="E1878" i="5"/>
  <c r="B1878" i="5"/>
  <c r="U1877" i="5"/>
  <c r="K1877" i="5"/>
  <c r="E1877" i="5"/>
  <c r="B1877" i="5"/>
  <c r="U1876" i="5"/>
  <c r="K1876" i="5"/>
  <c r="E1876" i="5"/>
  <c r="B1876" i="5"/>
  <c r="U1875" i="5"/>
  <c r="K1875" i="5"/>
  <c r="E1875" i="5"/>
  <c r="B1875" i="5"/>
  <c r="U1874" i="5"/>
  <c r="K1874" i="5"/>
  <c r="E1874" i="5"/>
  <c r="B1874" i="5"/>
  <c r="U1873" i="5"/>
  <c r="K1873" i="5"/>
  <c r="E1873" i="5"/>
  <c r="B1873" i="5"/>
  <c r="U1872" i="5"/>
  <c r="K1872" i="5"/>
  <c r="E1872" i="5"/>
  <c r="B1872" i="5"/>
  <c r="U1871" i="5"/>
  <c r="K1871" i="5"/>
  <c r="E1871" i="5"/>
  <c r="B1871" i="5"/>
  <c r="U1870" i="5"/>
  <c r="K1870" i="5"/>
  <c r="E1870" i="5"/>
  <c r="B1870" i="5"/>
  <c r="U1869" i="5"/>
  <c r="K1869" i="5"/>
  <c r="E1869" i="5"/>
  <c r="B1869" i="5"/>
  <c r="U1868" i="5"/>
  <c r="K1868" i="5"/>
  <c r="E1868" i="5"/>
  <c r="B1868" i="5"/>
  <c r="U1867" i="5"/>
  <c r="K1867" i="5"/>
  <c r="E1867" i="5"/>
  <c r="B1867" i="5"/>
  <c r="U1866" i="5"/>
  <c r="K1866" i="5"/>
  <c r="E1866" i="5"/>
  <c r="B1866" i="5"/>
  <c r="U1865" i="5"/>
  <c r="K1865" i="5"/>
  <c r="E1865" i="5"/>
  <c r="B1865" i="5"/>
  <c r="U1864" i="5"/>
  <c r="K1864" i="5"/>
  <c r="E1864" i="5"/>
  <c r="B1864" i="5"/>
  <c r="U1863" i="5"/>
  <c r="K1863" i="5"/>
  <c r="E1863" i="5"/>
  <c r="B1863" i="5"/>
  <c r="U1862" i="5"/>
  <c r="K1862" i="5"/>
  <c r="E1862" i="5"/>
  <c r="B1862" i="5"/>
  <c r="U1861" i="5"/>
  <c r="K1861" i="5"/>
  <c r="E1861" i="5"/>
  <c r="B1861" i="5"/>
  <c r="U1860" i="5"/>
  <c r="K1860" i="5"/>
  <c r="E1860" i="5"/>
  <c r="B1860" i="5"/>
  <c r="U1859" i="5"/>
  <c r="K1859" i="5"/>
  <c r="E1859" i="5"/>
  <c r="B1859" i="5"/>
  <c r="U1858" i="5"/>
  <c r="K1858" i="5"/>
  <c r="E1858" i="5"/>
  <c r="B1858" i="5"/>
  <c r="U1857" i="5"/>
  <c r="K1857" i="5"/>
  <c r="E1857" i="5"/>
  <c r="B1857" i="5"/>
  <c r="U1856" i="5"/>
  <c r="K1856" i="5"/>
  <c r="E1856" i="5"/>
  <c r="B1856" i="5"/>
  <c r="U1855" i="5"/>
  <c r="K1855" i="5"/>
  <c r="E1855" i="5"/>
  <c r="B1855" i="5"/>
  <c r="U1854" i="5"/>
  <c r="K1854" i="5"/>
  <c r="E1854" i="5"/>
  <c r="B1854" i="5"/>
  <c r="U1853" i="5"/>
  <c r="K1853" i="5"/>
  <c r="E1853" i="5"/>
  <c r="B1853" i="5"/>
  <c r="U1852" i="5"/>
  <c r="K1852" i="5"/>
  <c r="E1852" i="5"/>
  <c r="B1852" i="5"/>
  <c r="U1851" i="5"/>
  <c r="K1851" i="5"/>
  <c r="E1851" i="5"/>
  <c r="B1851" i="5"/>
  <c r="U1850" i="5"/>
  <c r="K1850" i="5"/>
  <c r="E1850" i="5"/>
  <c r="B1850" i="5"/>
  <c r="U1849" i="5"/>
  <c r="K1849" i="5"/>
  <c r="E1849" i="5"/>
  <c r="B1849" i="5"/>
  <c r="U1848" i="5"/>
  <c r="K1848" i="5"/>
  <c r="E1848" i="5"/>
  <c r="B1848" i="5"/>
  <c r="U1847" i="5"/>
  <c r="K1847" i="5"/>
  <c r="E1847" i="5"/>
  <c r="B1847" i="5"/>
  <c r="U1846" i="5"/>
  <c r="K1846" i="5"/>
  <c r="E1846" i="5"/>
  <c r="B1846" i="5"/>
  <c r="U1845" i="5"/>
  <c r="K1845" i="5"/>
  <c r="E1845" i="5"/>
  <c r="B1845" i="5"/>
  <c r="U1844" i="5"/>
  <c r="K1844" i="5"/>
  <c r="E1844" i="5"/>
  <c r="B1844" i="5"/>
  <c r="U1843" i="5"/>
  <c r="K1843" i="5"/>
  <c r="E1843" i="5"/>
  <c r="B1843" i="5"/>
  <c r="U1842" i="5"/>
  <c r="K1842" i="5"/>
  <c r="E1842" i="5"/>
  <c r="B1842" i="5"/>
  <c r="U1841" i="5"/>
  <c r="K1841" i="5"/>
  <c r="E1841" i="5"/>
  <c r="B1841" i="5"/>
  <c r="U1840" i="5"/>
  <c r="K1840" i="5"/>
  <c r="E1840" i="5"/>
  <c r="B1840" i="5"/>
  <c r="U1839" i="5"/>
  <c r="K1839" i="5"/>
  <c r="E1839" i="5"/>
  <c r="B1839" i="5"/>
  <c r="U1838" i="5"/>
  <c r="K1838" i="5"/>
  <c r="E1838" i="5"/>
  <c r="B1838" i="5"/>
  <c r="U1837" i="5"/>
  <c r="K1837" i="5"/>
  <c r="E1837" i="5"/>
  <c r="B1837" i="5"/>
  <c r="U1836" i="5"/>
  <c r="K1836" i="5"/>
  <c r="E1836" i="5"/>
  <c r="B1836" i="5"/>
  <c r="U1835" i="5"/>
  <c r="K1835" i="5"/>
  <c r="E1835" i="5"/>
  <c r="B1835" i="5"/>
  <c r="U1834" i="5"/>
  <c r="K1834" i="5"/>
  <c r="E1834" i="5"/>
  <c r="B1834" i="5"/>
  <c r="U1833" i="5"/>
  <c r="K1833" i="5"/>
  <c r="E1833" i="5"/>
  <c r="B1833" i="5"/>
  <c r="U1832" i="5"/>
  <c r="K1832" i="5"/>
  <c r="E1832" i="5"/>
  <c r="B1832" i="5"/>
  <c r="U1831" i="5"/>
  <c r="K1831" i="5"/>
  <c r="E1831" i="5"/>
  <c r="B1831" i="5"/>
  <c r="U1830" i="5"/>
  <c r="K1830" i="5"/>
  <c r="E1830" i="5"/>
  <c r="B1830" i="5"/>
  <c r="U1829" i="5"/>
  <c r="K1829" i="5"/>
  <c r="E1829" i="5"/>
  <c r="B1829" i="5"/>
  <c r="U1828" i="5"/>
  <c r="K1828" i="5"/>
  <c r="E1828" i="5"/>
  <c r="B1828" i="5"/>
  <c r="U1827" i="5"/>
  <c r="K1827" i="5"/>
  <c r="E1827" i="5"/>
  <c r="B1827" i="5"/>
  <c r="U1826" i="5"/>
  <c r="K1826" i="5"/>
  <c r="E1826" i="5"/>
  <c r="B1826" i="5"/>
  <c r="U1825" i="5"/>
  <c r="K1825" i="5"/>
  <c r="E1825" i="5"/>
  <c r="B1825" i="5"/>
  <c r="U1824" i="5"/>
  <c r="K1824" i="5"/>
  <c r="E1824" i="5"/>
  <c r="B1824" i="5"/>
  <c r="U1823" i="5"/>
  <c r="K1823" i="5"/>
  <c r="E1823" i="5"/>
  <c r="B1823" i="5"/>
  <c r="U1822" i="5"/>
  <c r="E1822" i="5"/>
  <c r="B1822" i="5"/>
  <c r="U1821" i="5"/>
  <c r="K1821" i="5"/>
  <c r="E1821" i="5"/>
  <c r="B1821" i="5"/>
  <c r="U1820" i="5"/>
  <c r="K1820" i="5"/>
  <c r="E1820" i="5"/>
  <c r="B1820" i="5"/>
  <c r="U1819" i="5"/>
  <c r="K1819" i="5"/>
  <c r="E1819" i="5"/>
  <c r="B1819" i="5"/>
  <c r="U1818" i="5"/>
  <c r="K1818" i="5"/>
  <c r="E1818" i="5"/>
  <c r="B1818" i="5"/>
  <c r="U1817" i="5"/>
  <c r="K1817" i="5"/>
  <c r="E1817" i="5"/>
  <c r="B1817" i="5"/>
  <c r="U1816" i="5"/>
  <c r="K1816" i="5"/>
  <c r="E1816" i="5"/>
  <c r="B1816" i="5"/>
  <c r="U1815" i="5"/>
  <c r="K1815" i="5"/>
  <c r="E1815" i="5"/>
  <c r="B1815" i="5"/>
  <c r="U1814" i="5"/>
  <c r="K1814" i="5"/>
  <c r="E1814" i="5"/>
  <c r="B1814" i="5"/>
  <c r="U1813" i="5"/>
  <c r="K1813" i="5"/>
  <c r="E1813" i="5"/>
  <c r="B1813" i="5"/>
  <c r="U1812" i="5"/>
  <c r="K1812" i="5"/>
  <c r="E1812" i="5"/>
  <c r="B1812" i="5"/>
  <c r="U1811" i="5"/>
  <c r="K1811" i="5"/>
  <c r="E1811" i="5"/>
  <c r="B1811" i="5"/>
  <c r="U1810" i="5"/>
  <c r="K1810" i="5"/>
  <c r="E1810" i="5"/>
  <c r="B1810" i="5"/>
  <c r="U1809" i="5"/>
  <c r="K1809" i="5"/>
  <c r="E1809" i="5"/>
  <c r="B1809" i="5"/>
  <c r="U1808" i="5"/>
  <c r="K1808" i="5"/>
  <c r="E1808" i="5"/>
  <c r="B1808" i="5"/>
  <c r="U1807" i="5"/>
  <c r="K1807" i="5"/>
  <c r="E1807" i="5"/>
  <c r="B1807" i="5"/>
  <c r="U1806" i="5"/>
  <c r="K1806" i="5"/>
  <c r="E1806" i="5"/>
  <c r="B1806" i="5"/>
  <c r="U1805" i="5"/>
  <c r="K1805" i="5"/>
  <c r="E1805" i="5"/>
  <c r="B1805" i="5"/>
  <c r="U1804" i="5"/>
  <c r="K1804" i="5"/>
  <c r="E1804" i="5"/>
  <c r="B1804" i="5"/>
  <c r="U1803" i="5"/>
  <c r="K1803" i="5"/>
  <c r="E1803" i="5"/>
  <c r="B1803" i="5"/>
  <c r="U1802" i="5"/>
  <c r="K1802" i="5"/>
  <c r="E1802" i="5"/>
  <c r="B1802" i="5"/>
  <c r="U1801" i="5"/>
  <c r="K1801" i="5"/>
  <c r="E1801" i="5"/>
  <c r="B1801" i="5"/>
  <c r="U1800" i="5"/>
  <c r="K1800" i="5"/>
  <c r="E1800" i="5"/>
  <c r="B1800" i="5"/>
  <c r="U1799" i="5"/>
  <c r="K1799" i="5"/>
  <c r="E1799" i="5"/>
  <c r="B1799" i="5"/>
  <c r="U1798" i="5"/>
  <c r="K1798" i="5"/>
  <c r="E1798" i="5"/>
  <c r="B1798" i="5"/>
  <c r="U1797" i="5"/>
  <c r="K1797" i="5"/>
  <c r="E1797" i="5"/>
  <c r="B1797" i="5"/>
  <c r="U1796" i="5"/>
  <c r="K1796" i="5"/>
  <c r="E1796" i="5"/>
  <c r="B1796" i="5"/>
  <c r="U1795" i="5"/>
  <c r="K1795" i="5"/>
  <c r="E1795" i="5"/>
  <c r="B1795" i="5"/>
  <c r="U1794" i="5"/>
  <c r="K1794" i="5"/>
  <c r="E1794" i="5"/>
  <c r="B1794" i="5"/>
  <c r="U1793" i="5"/>
  <c r="K1793" i="5"/>
  <c r="E1793" i="5"/>
  <c r="B1793" i="5"/>
  <c r="U1792" i="5"/>
  <c r="K1792" i="5"/>
  <c r="E1792" i="5"/>
  <c r="B1792" i="5"/>
  <c r="U1791" i="5"/>
  <c r="K1791" i="5"/>
  <c r="E1791" i="5"/>
  <c r="B1791" i="5"/>
  <c r="U1790" i="5"/>
  <c r="K1790" i="5"/>
  <c r="E1790" i="5"/>
  <c r="B1790" i="5"/>
  <c r="U1789" i="5"/>
  <c r="K1789" i="5"/>
  <c r="E1789" i="5"/>
  <c r="B1789" i="5"/>
  <c r="U1788" i="5"/>
  <c r="K1788" i="5"/>
  <c r="E1788" i="5"/>
  <c r="B1788" i="5"/>
  <c r="U1787" i="5"/>
  <c r="K1787" i="5"/>
  <c r="E1787" i="5"/>
  <c r="B1787" i="5"/>
  <c r="U1786" i="5"/>
  <c r="K1786" i="5"/>
  <c r="E1786" i="5"/>
  <c r="B1786" i="5"/>
  <c r="U1785" i="5"/>
  <c r="K1785" i="5"/>
  <c r="E1785" i="5"/>
  <c r="B1785" i="5"/>
  <c r="U1784" i="5"/>
  <c r="K1784" i="5"/>
  <c r="E1784" i="5"/>
  <c r="B1784" i="5"/>
  <c r="U1783" i="5"/>
  <c r="K1783" i="5"/>
  <c r="E1783" i="5"/>
  <c r="B1783" i="5"/>
  <c r="U1782" i="5"/>
  <c r="K1782" i="5"/>
  <c r="E1782" i="5"/>
  <c r="B1782" i="5"/>
  <c r="U1781" i="5"/>
  <c r="K1781" i="5"/>
  <c r="E1781" i="5"/>
  <c r="B1781" i="5"/>
  <c r="U1780" i="5"/>
  <c r="K1780" i="5"/>
  <c r="E1780" i="5"/>
  <c r="B1780" i="5"/>
  <c r="U1779" i="5"/>
  <c r="K1779" i="5"/>
  <c r="E1779" i="5"/>
  <c r="B1779" i="5"/>
  <c r="U1778" i="5"/>
  <c r="K1778" i="5"/>
  <c r="E1778" i="5"/>
  <c r="B1778" i="5"/>
  <c r="U1777" i="5"/>
  <c r="K1777" i="5"/>
  <c r="E1777" i="5"/>
  <c r="B1777" i="5"/>
  <c r="U1776" i="5"/>
  <c r="K1776" i="5"/>
  <c r="E1776" i="5"/>
  <c r="B1776" i="5"/>
  <c r="U1775" i="5"/>
  <c r="K1775" i="5"/>
  <c r="E1775" i="5"/>
  <c r="B1775" i="5"/>
  <c r="U1774" i="5"/>
  <c r="K1774" i="5"/>
  <c r="E1774" i="5"/>
  <c r="B1774" i="5"/>
  <c r="U1773" i="5"/>
  <c r="K1773" i="5"/>
  <c r="E1773" i="5"/>
  <c r="B1773" i="5"/>
  <c r="U1772" i="5"/>
  <c r="K1772" i="5"/>
  <c r="E1772" i="5"/>
  <c r="B1772" i="5"/>
  <c r="U1771" i="5"/>
  <c r="K1771" i="5"/>
  <c r="E1771" i="5"/>
  <c r="B1771" i="5"/>
  <c r="U1770" i="5"/>
  <c r="K1770" i="5"/>
  <c r="E1770" i="5"/>
  <c r="B1770" i="5"/>
  <c r="U1769" i="5"/>
  <c r="K1769" i="5"/>
  <c r="E1769" i="5"/>
  <c r="B1769" i="5"/>
  <c r="U1768" i="5"/>
  <c r="K1768" i="5"/>
  <c r="E1768" i="5"/>
  <c r="B1768" i="5"/>
  <c r="U1767" i="5"/>
  <c r="K1767" i="5"/>
  <c r="E1767" i="5"/>
  <c r="B1767" i="5"/>
  <c r="U1766" i="5"/>
  <c r="K1766" i="5"/>
  <c r="E1766" i="5"/>
  <c r="B1766" i="5"/>
  <c r="U1765" i="5"/>
  <c r="E1765" i="5"/>
  <c r="B1765" i="5"/>
  <c r="U1764" i="5"/>
  <c r="K1764" i="5"/>
  <c r="E1764" i="5"/>
  <c r="B1764" i="5"/>
  <c r="U1763" i="5"/>
  <c r="K1763" i="5"/>
  <c r="E1763" i="5"/>
  <c r="B1763" i="5"/>
  <c r="U1762" i="5"/>
  <c r="K1762" i="5"/>
  <c r="E1762" i="5"/>
  <c r="B1762" i="5"/>
  <c r="U1761" i="5"/>
  <c r="K1761" i="5"/>
  <c r="E1761" i="5"/>
  <c r="B1761" i="5"/>
  <c r="U1760" i="5"/>
  <c r="K1760" i="5"/>
  <c r="E1760" i="5"/>
  <c r="B1760" i="5"/>
  <c r="U1759" i="5"/>
  <c r="K1759" i="5"/>
  <c r="E1759" i="5"/>
  <c r="B1759" i="5"/>
  <c r="U1758" i="5"/>
  <c r="K1758" i="5"/>
  <c r="E1758" i="5"/>
  <c r="B1758" i="5"/>
  <c r="U1757" i="5"/>
  <c r="K1757" i="5"/>
  <c r="E1757" i="5"/>
  <c r="B1757" i="5"/>
  <c r="U1756" i="5"/>
  <c r="K1756" i="5"/>
  <c r="E1756" i="5"/>
  <c r="B1756" i="5"/>
  <c r="U1755" i="5"/>
  <c r="K1755" i="5"/>
  <c r="E1755" i="5"/>
  <c r="B1755" i="5"/>
  <c r="U1754" i="5"/>
  <c r="K1754" i="5"/>
  <c r="E1754" i="5"/>
  <c r="B1754" i="5"/>
  <c r="U1753" i="5"/>
  <c r="K1753" i="5"/>
  <c r="E1753" i="5"/>
  <c r="B1753" i="5"/>
  <c r="U1752" i="5"/>
  <c r="K1752" i="5"/>
  <c r="E1752" i="5"/>
  <c r="B1752" i="5"/>
  <c r="U1751" i="5"/>
  <c r="K1751" i="5"/>
  <c r="E1751" i="5"/>
  <c r="B1751" i="5"/>
  <c r="U1750" i="5"/>
  <c r="K1750" i="5"/>
  <c r="E1750" i="5"/>
  <c r="B1750" i="5"/>
  <c r="U1749" i="5"/>
  <c r="K1749" i="5"/>
  <c r="E1749" i="5"/>
  <c r="B1749" i="5"/>
  <c r="U1748" i="5"/>
  <c r="K1748" i="5"/>
  <c r="E1748" i="5"/>
  <c r="B1748" i="5"/>
  <c r="U1747" i="5"/>
  <c r="K1747" i="5"/>
  <c r="E1747" i="5"/>
  <c r="B1747" i="5"/>
  <c r="U1746" i="5"/>
  <c r="K1746" i="5"/>
  <c r="E1746" i="5"/>
  <c r="B1746" i="5"/>
  <c r="U1745" i="5"/>
  <c r="K1745" i="5"/>
  <c r="E1745" i="5"/>
  <c r="B1745" i="5"/>
  <c r="U1744" i="5"/>
  <c r="K1744" i="5"/>
  <c r="E1744" i="5"/>
  <c r="B1744" i="5"/>
  <c r="U1743" i="5"/>
  <c r="K1743" i="5"/>
  <c r="E1743" i="5"/>
  <c r="B1743" i="5"/>
  <c r="U1742" i="5"/>
  <c r="K1742" i="5"/>
  <c r="E1742" i="5"/>
  <c r="B1742" i="5"/>
  <c r="U1741" i="5"/>
  <c r="K1741" i="5"/>
  <c r="E1741" i="5"/>
  <c r="B1741" i="5"/>
  <c r="U1740" i="5"/>
  <c r="K1740" i="5"/>
  <c r="E1740" i="5"/>
  <c r="B1740" i="5"/>
  <c r="U1739" i="5"/>
  <c r="K1739" i="5"/>
  <c r="E1739" i="5"/>
  <c r="B1739" i="5"/>
  <c r="U1738" i="5"/>
  <c r="K1738" i="5"/>
  <c r="E1738" i="5"/>
  <c r="B1738" i="5"/>
  <c r="U1737" i="5"/>
  <c r="E1737" i="5"/>
  <c r="B1737" i="5"/>
  <c r="U1736" i="5"/>
  <c r="K1736" i="5"/>
  <c r="E1736" i="5"/>
  <c r="B1736" i="5"/>
  <c r="U1735" i="5"/>
  <c r="K1735" i="5"/>
  <c r="E1735" i="5"/>
  <c r="B1735" i="5"/>
  <c r="U1734" i="5"/>
  <c r="K1734" i="5"/>
  <c r="E1734" i="5"/>
  <c r="B1734" i="5"/>
  <c r="U1733" i="5"/>
  <c r="K1733" i="5"/>
  <c r="E1733" i="5"/>
  <c r="B1733" i="5"/>
  <c r="U1732" i="5"/>
  <c r="K1732" i="5"/>
  <c r="E1732" i="5"/>
  <c r="B1732" i="5"/>
  <c r="U1731" i="5"/>
  <c r="K1731" i="5"/>
  <c r="E1731" i="5"/>
  <c r="B1731" i="5"/>
  <c r="U1730" i="5"/>
  <c r="K1730" i="5"/>
  <c r="E1730" i="5"/>
  <c r="B1730" i="5"/>
  <c r="U1729" i="5"/>
  <c r="K1729" i="5"/>
  <c r="E1729" i="5"/>
  <c r="B1729" i="5"/>
  <c r="U1728" i="5"/>
  <c r="K1728" i="5"/>
  <c r="E1728" i="5"/>
  <c r="B1728" i="5"/>
  <c r="U1727" i="5"/>
  <c r="K1727" i="5"/>
  <c r="E1727" i="5"/>
  <c r="B1727" i="5"/>
  <c r="U1726" i="5"/>
  <c r="K1726" i="5"/>
  <c r="E1726" i="5"/>
  <c r="B1726" i="5"/>
  <c r="U1725" i="5"/>
  <c r="K1725" i="5"/>
  <c r="E1725" i="5"/>
  <c r="B1725" i="5"/>
  <c r="U1724" i="5"/>
  <c r="K1724" i="5"/>
  <c r="E1724" i="5"/>
  <c r="B1724" i="5"/>
  <c r="U1723" i="5"/>
  <c r="K1723" i="5"/>
  <c r="E1723" i="5"/>
  <c r="B1723" i="5"/>
  <c r="U1722" i="5"/>
  <c r="K1722" i="5"/>
  <c r="E1722" i="5"/>
  <c r="B1722" i="5"/>
  <c r="U1721" i="5"/>
  <c r="K1721" i="5"/>
  <c r="E1721" i="5"/>
  <c r="B1721" i="5"/>
  <c r="U1720" i="5"/>
  <c r="K1720" i="5"/>
  <c r="E1720" i="5"/>
  <c r="B1720" i="5"/>
  <c r="U1719" i="5"/>
  <c r="K1719" i="5"/>
  <c r="E1719" i="5"/>
  <c r="B1719" i="5"/>
  <c r="U1718" i="5"/>
  <c r="K1718" i="5"/>
  <c r="E1718" i="5"/>
  <c r="B1718" i="5"/>
  <c r="U1717" i="5"/>
  <c r="K1717" i="5"/>
  <c r="E1717" i="5"/>
  <c r="B1717" i="5"/>
  <c r="U1716" i="5"/>
  <c r="K1716" i="5"/>
  <c r="E1716" i="5"/>
  <c r="B1716" i="5"/>
  <c r="U1715" i="5"/>
  <c r="K1715" i="5"/>
  <c r="E1715" i="5"/>
  <c r="B1715" i="5"/>
  <c r="U1714" i="5"/>
  <c r="K1714" i="5"/>
  <c r="E1714" i="5"/>
  <c r="B1714" i="5"/>
  <c r="U1713" i="5"/>
  <c r="K1713" i="5"/>
  <c r="E1713" i="5"/>
  <c r="B1713" i="5"/>
  <c r="U1712" i="5"/>
  <c r="K1712" i="5"/>
  <c r="E1712" i="5"/>
  <c r="B1712" i="5"/>
  <c r="U1711" i="5"/>
  <c r="K1711" i="5"/>
  <c r="E1711" i="5"/>
  <c r="B1711" i="5"/>
  <c r="U1710" i="5"/>
  <c r="K1710" i="5"/>
  <c r="E1710" i="5"/>
  <c r="B1710" i="5"/>
  <c r="U1709" i="5"/>
  <c r="K1709" i="5"/>
  <c r="E1709" i="5"/>
  <c r="B1709" i="5"/>
  <c r="U1708" i="5"/>
  <c r="K1708" i="5"/>
  <c r="E1708" i="5"/>
  <c r="B1708" i="5"/>
  <c r="U1707" i="5"/>
  <c r="K1707" i="5"/>
  <c r="E1707" i="5"/>
  <c r="B1707" i="5"/>
  <c r="U1706" i="5"/>
  <c r="K1706" i="5"/>
  <c r="E1706" i="5"/>
  <c r="B1706" i="5"/>
  <c r="U1705" i="5"/>
  <c r="K1705" i="5"/>
  <c r="E1705" i="5"/>
  <c r="B1705" i="5"/>
  <c r="U1704" i="5"/>
  <c r="K1704" i="5"/>
  <c r="E1704" i="5"/>
  <c r="B1704" i="5"/>
  <c r="U1703" i="5"/>
  <c r="K1703" i="5"/>
  <c r="E1703" i="5"/>
  <c r="B1703" i="5"/>
  <c r="U1702" i="5"/>
  <c r="K1702" i="5"/>
  <c r="E1702" i="5"/>
  <c r="B1702" i="5"/>
  <c r="U1701" i="5"/>
  <c r="K1701" i="5"/>
  <c r="E1701" i="5"/>
  <c r="B1701" i="5"/>
  <c r="U1700" i="5"/>
  <c r="K1700" i="5"/>
  <c r="E1700" i="5"/>
  <c r="B1700" i="5"/>
  <c r="U1699" i="5"/>
  <c r="K1699" i="5"/>
  <c r="E1699" i="5"/>
  <c r="B1699" i="5"/>
  <c r="U1698" i="5"/>
  <c r="K1698" i="5"/>
  <c r="E1698" i="5"/>
  <c r="B1698" i="5"/>
  <c r="U1697" i="5"/>
  <c r="K1697" i="5"/>
  <c r="E1697" i="5"/>
  <c r="B1697" i="5"/>
  <c r="U1696" i="5"/>
  <c r="K1696" i="5"/>
  <c r="E1696" i="5"/>
  <c r="B1696" i="5"/>
  <c r="U1695" i="5"/>
  <c r="K1695" i="5"/>
  <c r="E1695" i="5"/>
  <c r="B1695" i="5"/>
  <c r="U1694" i="5"/>
  <c r="K1694" i="5"/>
  <c r="E1694" i="5"/>
  <c r="B1694" i="5"/>
  <c r="U1693" i="5"/>
  <c r="K1693" i="5"/>
  <c r="E1693" i="5"/>
  <c r="B1693" i="5"/>
  <c r="U1692" i="5"/>
  <c r="K1692" i="5"/>
  <c r="E1692" i="5"/>
  <c r="B1692" i="5"/>
  <c r="U1691" i="5"/>
  <c r="K1691" i="5"/>
  <c r="E1691" i="5"/>
  <c r="B1691" i="5"/>
  <c r="U1690" i="5"/>
  <c r="K1690" i="5"/>
  <c r="E1690" i="5"/>
  <c r="B1690" i="5"/>
  <c r="U1689" i="5"/>
  <c r="K1689" i="5"/>
  <c r="E1689" i="5"/>
  <c r="B1689" i="5"/>
  <c r="U1688" i="5"/>
  <c r="K1688" i="5"/>
  <c r="E1688" i="5"/>
  <c r="B1688" i="5"/>
  <c r="U1687" i="5"/>
  <c r="K1687" i="5"/>
  <c r="E1687" i="5"/>
  <c r="B1687" i="5"/>
  <c r="U1686" i="5"/>
  <c r="K1686" i="5"/>
  <c r="E1686" i="5"/>
  <c r="B1686" i="5"/>
  <c r="U1685" i="5"/>
  <c r="K1685" i="5"/>
  <c r="E1685" i="5"/>
  <c r="B1685" i="5"/>
  <c r="U1684" i="5"/>
  <c r="K1684" i="5"/>
  <c r="E1684" i="5"/>
  <c r="B1684" i="5"/>
  <c r="U1683" i="5"/>
  <c r="K1683" i="5"/>
  <c r="E1683" i="5"/>
  <c r="B1683" i="5"/>
  <c r="U1682" i="5"/>
  <c r="K1682" i="5"/>
  <c r="E1682" i="5"/>
  <c r="B1682" i="5"/>
  <c r="U1681" i="5"/>
  <c r="K1681" i="5"/>
  <c r="E1681" i="5"/>
  <c r="B1681" i="5"/>
  <c r="U1680" i="5"/>
  <c r="K1680" i="5"/>
  <c r="E1680" i="5"/>
  <c r="B1680" i="5"/>
  <c r="U1679" i="5"/>
  <c r="K1679" i="5"/>
  <c r="E1679" i="5"/>
  <c r="B1679" i="5"/>
  <c r="U1678" i="5"/>
  <c r="K1678" i="5"/>
  <c r="E1678" i="5"/>
  <c r="B1678" i="5"/>
  <c r="U1677" i="5"/>
  <c r="K1677" i="5"/>
  <c r="E1677" i="5"/>
  <c r="B1677" i="5"/>
  <c r="U1676" i="5"/>
  <c r="K1676" i="5"/>
  <c r="E1676" i="5"/>
  <c r="B1676" i="5"/>
  <c r="U1675" i="5"/>
  <c r="K1675" i="5"/>
  <c r="E1675" i="5"/>
  <c r="B1675" i="5"/>
  <c r="U1674" i="5"/>
  <c r="K1674" i="5"/>
  <c r="E1674" i="5"/>
  <c r="B1674" i="5"/>
  <c r="U1673" i="5"/>
  <c r="K1673" i="5"/>
  <c r="E1673" i="5"/>
  <c r="B1673" i="5"/>
  <c r="U1672" i="5"/>
  <c r="K1672" i="5"/>
  <c r="E1672" i="5"/>
  <c r="B1672" i="5"/>
  <c r="U1671" i="5"/>
  <c r="K1671" i="5"/>
  <c r="E1671" i="5"/>
  <c r="B1671" i="5"/>
  <c r="U1670" i="5"/>
  <c r="K1670" i="5"/>
  <c r="E1670" i="5"/>
  <c r="B1670" i="5"/>
  <c r="U1669" i="5"/>
  <c r="K1669" i="5"/>
  <c r="E1669" i="5"/>
  <c r="B1669" i="5"/>
  <c r="U1668" i="5"/>
  <c r="K1668" i="5"/>
  <c r="E1668" i="5"/>
  <c r="B1668" i="5"/>
  <c r="U1667" i="5"/>
  <c r="K1667" i="5"/>
  <c r="E1667" i="5"/>
  <c r="B1667" i="5"/>
  <c r="U1666" i="5"/>
  <c r="K1666" i="5"/>
  <c r="E1666" i="5"/>
  <c r="B1666" i="5"/>
  <c r="U1665" i="5"/>
  <c r="K1665" i="5"/>
  <c r="E1665" i="5"/>
  <c r="B1665" i="5"/>
  <c r="U1664" i="5"/>
  <c r="K1664" i="5"/>
  <c r="E1664" i="5"/>
  <c r="B1664" i="5"/>
  <c r="U1663" i="5"/>
  <c r="E1663" i="5"/>
  <c r="B1663" i="5"/>
  <c r="U1662" i="5"/>
  <c r="K1662" i="5"/>
  <c r="E1662" i="5"/>
  <c r="B1662" i="5"/>
  <c r="U1661" i="5"/>
  <c r="K1661" i="5"/>
  <c r="E1661" i="5"/>
  <c r="B1661" i="5"/>
  <c r="U1660" i="5"/>
  <c r="K1660" i="5"/>
  <c r="E1660" i="5"/>
  <c r="B1660" i="5"/>
  <c r="U1659" i="5"/>
  <c r="K1659" i="5"/>
  <c r="E1659" i="5"/>
  <c r="B1659" i="5"/>
  <c r="U1658" i="5"/>
  <c r="K1658" i="5"/>
  <c r="E1658" i="5"/>
  <c r="B1658" i="5"/>
  <c r="U1657" i="5"/>
  <c r="K1657" i="5"/>
  <c r="E1657" i="5"/>
  <c r="B1657" i="5"/>
  <c r="U1656" i="5"/>
  <c r="K1656" i="5"/>
  <c r="E1656" i="5"/>
  <c r="B1656" i="5"/>
  <c r="U1655" i="5"/>
  <c r="K1655" i="5"/>
  <c r="E1655" i="5"/>
  <c r="B1655" i="5"/>
  <c r="U1654" i="5"/>
  <c r="K1654" i="5"/>
  <c r="E1654" i="5"/>
  <c r="B1654" i="5"/>
  <c r="U1653" i="5"/>
  <c r="K1653" i="5"/>
  <c r="E1653" i="5"/>
  <c r="B1653" i="5"/>
  <c r="U1652" i="5"/>
  <c r="K1652" i="5"/>
  <c r="E1652" i="5"/>
  <c r="B1652" i="5"/>
  <c r="U1651" i="5"/>
  <c r="E1651" i="5"/>
  <c r="B1651" i="5"/>
  <c r="U1650" i="5"/>
  <c r="K1650" i="5"/>
  <c r="E1650" i="5"/>
  <c r="B1650" i="5"/>
  <c r="U1649" i="5"/>
  <c r="K1649" i="5"/>
  <c r="E1649" i="5"/>
  <c r="B1649" i="5"/>
  <c r="U1648" i="5"/>
  <c r="K1648" i="5"/>
  <c r="E1648" i="5"/>
  <c r="B1648" i="5"/>
  <c r="U1647" i="5"/>
  <c r="K1647" i="5"/>
  <c r="E1647" i="5"/>
  <c r="B1647" i="5"/>
  <c r="U1646" i="5"/>
  <c r="K1646" i="5"/>
  <c r="E1646" i="5"/>
  <c r="B1646" i="5"/>
  <c r="U1645" i="5"/>
  <c r="K1645" i="5"/>
  <c r="E1645" i="5"/>
  <c r="B1645" i="5"/>
  <c r="U1644" i="5"/>
  <c r="K1644" i="5"/>
  <c r="E1644" i="5"/>
  <c r="B1644" i="5"/>
  <c r="U1643" i="5"/>
  <c r="K1643" i="5"/>
  <c r="E1643" i="5"/>
  <c r="B1643" i="5"/>
  <c r="U1642" i="5"/>
  <c r="K1642" i="5"/>
  <c r="E1642" i="5"/>
  <c r="B1642" i="5"/>
  <c r="U1641" i="5"/>
  <c r="K1641" i="5"/>
  <c r="E1641" i="5"/>
  <c r="B1641" i="5"/>
  <c r="U1640" i="5"/>
  <c r="K1640" i="5"/>
  <c r="E1640" i="5"/>
  <c r="B1640" i="5"/>
  <c r="U1639" i="5"/>
  <c r="K1639" i="5"/>
  <c r="E1639" i="5"/>
  <c r="B1639" i="5"/>
  <c r="U1638" i="5"/>
  <c r="K1638" i="5"/>
  <c r="E1638" i="5"/>
  <c r="B1638" i="5"/>
  <c r="U1637" i="5"/>
  <c r="K1637" i="5"/>
  <c r="E1637" i="5"/>
  <c r="B1637" i="5"/>
  <c r="U1636" i="5"/>
  <c r="K1636" i="5"/>
  <c r="E1636" i="5"/>
  <c r="B1636" i="5"/>
  <c r="U1635" i="5"/>
  <c r="K1635" i="5"/>
  <c r="E1635" i="5"/>
  <c r="B1635" i="5"/>
  <c r="U1634" i="5"/>
  <c r="K1634" i="5"/>
  <c r="E1634" i="5"/>
  <c r="B1634" i="5"/>
  <c r="U1633" i="5"/>
  <c r="K1633" i="5"/>
  <c r="E1633" i="5"/>
  <c r="B1633" i="5"/>
  <c r="U1632" i="5"/>
  <c r="K1632" i="5"/>
  <c r="E1632" i="5"/>
  <c r="B1632" i="5"/>
  <c r="U1631" i="5"/>
  <c r="K1631" i="5"/>
  <c r="E1631" i="5"/>
  <c r="B1631" i="5"/>
  <c r="U1630" i="5"/>
  <c r="K1630" i="5"/>
  <c r="E1630" i="5"/>
  <c r="B1630" i="5"/>
  <c r="U1629" i="5"/>
  <c r="K1629" i="5"/>
  <c r="E1629" i="5"/>
  <c r="B1629" i="5"/>
  <c r="U1628" i="5"/>
  <c r="K1628" i="5"/>
  <c r="E1628" i="5"/>
  <c r="B1628" i="5"/>
  <c r="U1627" i="5"/>
  <c r="K1627" i="5"/>
  <c r="E1627" i="5"/>
  <c r="B1627" i="5"/>
  <c r="U1626" i="5"/>
  <c r="K1626" i="5"/>
  <c r="E1626" i="5"/>
  <c r="B1626" i="5"/>
  <c r="U1625" i="5"/>
  <c r="K1625" i="5"/>
  <c r="E1625" i="5"/>
  <c r="B1625" i="5"/>
  <c r="U1624" i="5"/>
  <c r="K1624" i="5"/>
  <c r="E1624" i="5"/>
  <c r="B1624" i="5"/>
  <c r="U1623" i="5"/>
  <c r="K1623" i="5"/>
  <c r="E1623" i="5"/>
  <c r="B1623" i="5"/>
  <c r="U1622" i="5"/>
  <c r="K1622" i="5"/>
  <c r="E1622" i="5"/>
  <c r="B1622" i="5"/>
  <c r="U1621" i="5"/>
  <c r="K1621" i="5"/>
  <c r="E1621" i="5"/>
  <c r="B1621" i="5"/>
  <c r="U1620" i="5"/>
  <c r="K1620" i="5"/>
  <c r="E1620" i="5"/>
  <c r="B1620" i="5"/>
  <c r="U1619" i="5"/>
  <c r="K1619" i="5"/>
  <c r="E1619" i="5"/>
  <c r="B1619" i="5"/>
  <c r="U1618" i="5"/>
  <c r="K1618" i="5"/>
  <c r="E1618" i="5"/>
  <c r="B1618" i="5"/>
  <c r="U1617" i="5"/>
  <c r="K1617" i="5"/>
  <c r="E1617" i="5"/>
  <c r="B1617" i="5"/>
  <c r="U1616" i="5"/>
  <c r="K1616" i="5"/>
  <c r="E1616" i="5"/>
  <c r="B1616" i="5"/>
  <c r="U1615" i="5"/>
  <c r="K1615" i="5"/>
  <c r="E1615" i="5"/>
  <c r="B1615" i="5"/>
  <c r="U1614" i="5"/>
  <c r="K1614" i="5"/>
  <c r="E1614" i="5"/>
  <c r="B1614" i="5"/>
  <c r="U1613" i="5"/>
  <c r="K1613" i="5"/>
  <c r="E1613" i="5"/>
  <c r="B1613" i="5"/>
  <c r="U1612" i="5"/>
  <c r="K1612" i="5"/>
  <c r="E1612" i="5"/>
  <c r="B1612" i="5"/>
  <c r="U1611" i="5"/>
  <c r="K1611" i="5"/>
  <c r="E1611" i="5"/>
  <c r="B1611" i="5"/>
  <c r="U1610" i="5"/>
  <c r="K1610" i="5"/>
  <c r="E1610" i="5"/>
  <c r="B1610" i="5"/>
  <c r="U1609" i="5"/>
  <c r="K1609" i="5"/>
  <c r="E1609" i="5"/>
  <c r="B1609" i="5"/>
  <c r="U1608" i="5"/>
  <c r="K1608" i="5"/>
  <c r="E1608" i="5"/>
  <c r="B1608" i="5"/>
  <c r="U1607" i="5"/>
  <c r="K1607" i="5"/>
  <c r="E1607" i="5"/>
  <c r="B1607" i="5"/>
  <c r="U1606" i="5"/>
  <c r="K1606" i="5"/>
  <c r="E1606" i="5"/>
  <c r="B1606" i="5"/>
  <c r="U1605" i="5"/>
  <c r="K1605" i="5"/>
  <c r="E1605" i="5"/>
  <c r="B1605" i="5"/>
  <c r="U1604" i="5"/>
  <c r="K1604" i="5"/>
  <c r="E1604" i="5"/>
  <c r="B1604" i="5"/>
  <c r="U1603" i="5"/>
  <c r="K1603" i="5"/>
  <c r="E1603" i="5"/>
  <c r="B1603" i="5"/>
  <c r="U1602" i="5"/>
  <c r="K1602" i="5"/>
  <c r="E1602" i="5"/>
  <c r="B1602" i="5"/>
  <c r="U1601" i="5"/>
  <c r="K1601" i="5"/>
  <c r="E1601" i="5"/>
  <c r="B1601" i="5"/>
  <c r="U1600" i="5"/>
  <c r="K1600" i="5"/>
  <c r="E1600" i="5"/>
  <c r="B1600" i="5"/>
  <c r="U1599" i="5"/>
  <c r="K1599" i="5"/>
  <c r="E1599" i="5"/>
  <c r="B1599" i="5"/>
  <c r="U1598" i="5"/>
  <c r="K1598" i="5"/>
  <c r="E1598" i="5"/>
  <c r="B1598" i="5"/>
  <c r="U1597" i="5"/>
  <c r="K1597" i="5"/>
  <c r="E1597" i="5"/>
  <c r="B1597" i="5"/>
  <c r="U1596" i="5"/>
  <c r="K1596" i="5"/>
  <c r="E1596" i="5"/>
  <c r="B1596" i="5"/>
  <c r="U1595" i="5"/>
  <c r="K1595" i="5"/>
  <c r="E1595" i="5"/>
  <c r="B1595" i="5"/>
  <c r="U1594" i="5"/>
  <c r="K1594" i="5"/>
  <c r="E1594" i="5"/>
  <c r="B1594" i="5"/>
  <c r="U1593" i="5"/>
  <c r="K1593" i="5"/>
  <c r="E1593" i="5"/>
  <c r="B1593" i="5"/>
  <c r="U1592" i="5"/>
  <c r="K1592" i="5"/>
  <c r="E1592" i="5"/>
  <c r="B1592" i="5"/>
  <c r="U1591" i="5"/>
  <c r="K1591" i="5"/>
  <c r="E1591" i="5"/>
  <c r="B1591" i="5"/>
  <c r="U1590" i="5"/>
  <c r="K1590" i="5"/>
  <c r="E1590" i="5"/>
  <c r="B1590" i="5"/>
  <c r="U1589" i="5"/>
  <c r="K1589" i="5"/>
  <c r="E1589" i="5"/>
  <c r="B1589" i="5"/>
  <c r="U1588" i="5"/>
  <c r="K1588" i="5"/>
  <c r="E1588" i="5"/>
  <c r="B1588" i="5"/>
  <c r="U1587" i="5"/>
  <c r="K1587" i="5"/>
  <c r="E1587" i="5"/>
  <c r="B1587" i="5"/>
  <c r="U1586" i="5"/>
  <c r="K1586" i="5"/>
  <c r="E1586" i="5"/>
  <c r="B1586" i="5"/>
  <c r="U1585" i="5"/>
  <c r="K1585" i="5"/>
  <c r="E1585" i="5"/>
  <c r="B1585" i="5"/>
  <c r="U1584" i="5"/>
  <c r="K1584" i="5"/>
  <c r="E1584" i="5"/>
  <c r="B1584" i="5"/>
  <c r="U1583" i="5"/>
  <c r="K1583" i="5"/>
  <c r="E1583" i="5"/>
  <c r="B1583" i="5"/>
  <c r="U1582" i="5"/>
  <c r="K1582" i="5"/>
  <c r="E1582" i="5"/>
  <c r="B1582" i="5"/>
  <c r="U1581" i="5"/>
  <c r="K1581" i="5"/>
  <c r="E1581" i="5"/>
  <c r="B1581" i="5"/>
  <c r="U1580" i="5"/>
  <c r="K1580" i="5"/>
  <c r="E1580" i="5"/>
  <c r="B1580" i="5"/>
  <c r="U1579" i="5"/>
  <c r="K1579" i="5"/>
  <c r="E1579" i="5"/>
  <c r="B1579" i="5"/>
  <c r="U1578" i="5"/>
  <c r="K1578" i="5"/>
  <c r="E1578" i="5"/>
  <c r="B1578" i="5"/>
  <c r="U1577" i="5"/>
  <c r="K1577" i="5"/>
  <c r="E1577" i="5"/>
  <c r="B1577" i="5"/>
  <c r="U1576" i="5"/>
  <c r="K1576" i="5"/>
  <c r="E1576" i="5"/>
  <c r="B1576" i="5"/>
  <c r="U1575" i="5"/>
  <c r="K1575" i="5"/>
  <c r="E1575" i="5"/>
  <c r="B1575" i="5"/>
  <c r="U1574" i="5"/>
  <c r="K1574" i="5"/>
  <c r="E1574" i="5"/>
  <c r="B1574" i="5"/>
  <c r="U1573" i="5"/>
  <c r="K1573" i="5"/>
  <c r="E1573" i="5"/>
  <c r="B1573" i="5"/>
  <c r="U1572" i="5"/>
  <c r="K1572" i="5"/>
  <c r="E1572" i="5"/>
  <c r="B1572" i="5"/>
  <c r="U1571" i="5"/>
  <c r="K1571" i="5"/>
  <c r="E1571" i="5"/>
  <c r="B1571" i="5"/>
  <c r="U1570" i="5"/>
  <c r="K1570" i="5"/>
  <c r="E1570" i="5"/>
  <c r="B1570" i="5"/>
  <c r="U1569" i="5"/>
  <c r="K1569" i="5"/>
  <c r="E1569" i="5"/>
  <c r="B1569" i="5"/>
  <c r="U1568" i="5"/>
  <c r="K1568" i="5"/>
  <c r="E1568" i="5"/>
  <c r="B1568" i="5"/>
  <c r="U1567" i="5"/>
  <c r="K1567" i="5"/>
  <c r="E1567" i="5"/>
  <c r="B1567" i="5"/>
  <c r="U1566" i="5"/>
  <c r="K1566" i="5"/>
  <c r="E1566" i="5"/>
  <c r="B1566" i="5"/>
  <c r="U1565" i="5"/>
  <c r="K1565" i="5"/>
  <c r="E1565" i="5"/>
  <c r="B1565" i="5"/>
  <c r="U1564" i="5"/>
  <c r="K1564" i="5"/>
  <c r="E1564" i="5"/>
  <c r="B1564" i="5"/>
  <c r="U1563" i="5"/>
  <c r="K1563" i="5"/>
  <c r="E1563" i="5"/>
  <c r="B1563" i="5"/>
  <c r="U1562" i="5"/>
  <c r="K1562" i="5"/>
  <c r="E1562" i="5"/>
  <c r="B1562" i="5"/>
  <c r="U1561" i="5"/>
  <c r="K1561" i="5"/>
  <c r="E1561" i="5"/>
  <c r="B1561" i="5"/>
  <c r="U1560" i="5"/>
  <c r="K1560" i="5"/>
  <c r="E1560" i="5"/>
  <c r="B1560" i="5"/>
  <c r="U1559" i="5"/>
  <c r="K1559" i="5"/>
  <c r="E1559" i="5"/>
  <c r="B1559" i="5"/>
  <c r="U1558" i="5"/>
  <c r="K1558" i="5"/>
  <c r="E1558" i="5"/>
  <c r="B1558" i="5"/>
  <c r="U1557" i="5"/>
  <c r="K1557" i="5"/>
  <c r="E1557" i="5"/>
  <c r="B1557" i="5"/>
  <c r="U1556" i="5"/>
  <c r="K1556" i="5"/>
  <c r="E1556" i="5"/>
  <c r="B1556" i="5"/>
  <c r="U1555" i="5"/>
  <c r="K1555" i="5"/>
  <c r="E1555" i="5"/>
  <c r="B1555" i="5"/>
  <c r="U1554" i="5"/>
  <c r="K1554" i="5"/>
  <c r="E1554" i="5"/>
  <c r="B1554" i="5"/>
  <c r="U1553" i="5"/>
  <c r="K1553" i="5"/>
  <c r="E1553" i="5"/>
  <c r="B1553" i="5"/>
  <c r="U1552" i="5"/>
  <c r="K1552" i="5"/>
  <c r="E1552" i="5"/>
  <c r="B1552" i="5"/>
  <c r="U1551" i="5"/>
  <c r="K1551" i="5"/>
  <c r="E1551" i="5"/>
  <c r="B1551" i="5"/>
  <c r="U1550" i="5"/>
  <c r="K1550" i="5"/>
  <c r="E1550" i="5"/>
  <c r="B1550" i="5"/>
  <c r="U1549" i="5"/>
  <c r="K1549" i="5"/>
  <c r="E1549" i="5"/>
  <c r="B1549" i="5"/>
  <c r="U1548" i="5"/>
  <c r="K1548" i="5"/>
  <c r="E1548" i="5"/>
  <c r="B1548" i="5"/>
  <c r="U1547" i="5"/>
  <c r="K1547" i="5"/>
  <c r="E1547" i="5"/>
  <c r="B1547" i="5"/>
  <c r="U1546" i="5"/>
  <c r="K1546" i="5"/>
  <c r="E1546" i="5"/>
  <c r="B1546" i="5"/>
  <c r="U1545" i="5"/>
  <c r="K1545" i="5"/>
  <c r="E1545" i="5"/>
  <c r="B1545" i="5"/>
  <c r="U1544" i="5"/>
  <c r="K1544" i="5"/>
  <c r="E1544" i="5"/>
  <c r="B1544" i="5"/>
  <c r="U1543" i="5"/>
  <c r="K1543" i="5"/>
  <c r="E1543" i="5"/>
  <c r="B1543" i="5"/>
  <c r="U1542" i="5"/>
  <c r="K1542" i="5"/>
  <c r="E1542" i="5"/>
  <c r="B1542" i="5"/>
  <c r="U1541" i="5"/>
  <c r="K1541" i="5"/>
  <c r="E1541" i="5"/>
  <c r="B1541" i="5"/>
  <c r="U1540" i="5"/>
  <c r="K1540" i="5"/>
  <c r="E1540" i="5"/>
  <c r="B1540" i="5"/>
  <c r="U1539" i="5"/>
  <c r="K1539" i="5"/>
  <c r="E1539" i="5"/>
  <c r="B1539" i="5"/>
  <c r="U1538" i="5"/>
  <c r="K1538" i="5"/>
  <c r="E1538" i="5"/>
  <c r="B1538" i="5"/>
  <c r="U1537" i="5"/>
  <c r="K1537" i="5"/>
  <c r="E1537" i="5"/>
  <c r="B1537" i="5"/>
  <c r="U1536" i="5"/>
  <c r="K1536" i="5"/>
  <c r="E1536" i="5"/>
  <c r="B1536" i="5"/>
  <c r="U1535" i="5"/>
  <c r="K1535" i="5"/>
  <c r="E1535" i="5"/>
  <c r="B1535" i="5"/>
  <c r="U1534" i="5"/>
  <c r="K1534" i="5"/>
  <c r="E1534" i="5"/>
  <c r="B1534" i="5"/>
  <c r="U1533" i="5"/>
  <c r="K1533" i="5"/>
  <c r="E1533" i="5"/>
  <c r="B1533" i="5"/>
  <c r="U1532" i="5"/>
  <c r="K1532" i="5"/>
  <c r="E1532" i="5"/>
  <c r="B1532" i="5"/>
  <c r="U1531" i="5"/>
  <c r="K1531" i="5"/>
  <c r="E1531" i="5"/>
  <c r="B1531" i="5"/>
  <c r="U1530" i="5"/>
  <c r="K1530" i="5"/>
  <c r="E1530" i="5"/>
  <c r="B1530" i="5"/>
  <c r="U1529" i="5"/>
  <c r="K1529" i="5"/>
  <c r="E1529" i="5"/>
  <c r="B1529" i="5"/>
  <c r="U1528" i="5"/>
  <c r="K1528" i="5"/>
  <c r="E1528" i="5"/>
  <c r="B1528" i="5"/>
  <c r="U1527" i="5"/>
  <c r="K1527" i="5"/>
  <c r="E1527" i="5"/>
  <c r="B1527" i="5"/>
  <c r="U1526" i="5"/>
  <c r="K1526" i="5"/>
  <c r="E1526" i="5"/>
  <c r="B1526" i="5"/>
  <c r="U1525" i="5"/>
  <c r="K1525" i="5"/>
  <c r="E1525" i="5"/>
  <c r="B1525" i="5"/>
  <c r="U1524" i="5"/>
  <c r="K1524" i="5"/>
  <c r="E1524" i="5"/>
  <c r="B1524" i="5"/>
  <c r="U1523" i="5"/>
  <c r="K1523" i="5"/>
  <c r="E1523" i="5"/>
  <c r="B1523" i="5"/>
  <c r="U1522" i="5"/>
  <c r="K1522" i="5"/>
  <c r="E1522" i="5"/>
  <c r="B1522" i="5"/>
  <c r="U1521" i="5"/>
  <c r="K1521" i="5"/>
  <c r="E1521" i="5"/>
  <c r="B1521" i="5"/>
  <c r="U1520" i="5"/>
  <c r="K1520" i="5"/>
  <c r="E1520" i="5"/>
  <c r="B1520" i="5"/>
  <c r="U1519" i="5"/>
  <c r="K1519" i="5"/>
  <c r="E1519" i="5"/>
  <c r="B1519" i="5"/>
  <c r="U1518" i="5"/>
  <c r="K1518" i="5"/>
  <c r="E1518" i="5"/>
  <c r="B1518" i="5"/>
  <c r="U1517" i="5"/>
  <c r="K1517" i="5"/>
  <c r="E1517" i="5"/>
  <c r="B1517" i="5"/>
  <c r="U1516" i="5"/>
  <c r="K1516" i="5"/>
  <c r="E1516" i="5"/>
  <c r="B1516" i="5"/>
  <c r="U1515" i="5"/>
  <c r="K1515" i="5"/>
  <c r="E1515" i="5"/>
  <c r="B1515" i="5"/>
  <c r="U1514" i="5"/>
  <c r="K1514" i="5"/>
  <c r="E1514" i="5"/>
  <c r="B1514" i="5"/>
  <c r="U1513" i="5"/>
  <c r="K1513" i="5"/>
  <c r="E1513" i="5"/>
  <c r="B1513" i="5"/>
  <c r="U1512" i="5"/>
  <c r="K1512" i="5"/>
  <c r="E1512" i="5"/>
  <c r="B1512" i="5"/>
  <c r="U1511" i="5"/>
  <c r="K1511" i="5"/>
  <c r="E1511" i="5"/>
  <c r="B1511" i="5"/>
  <c r="U1510" i="5"/>
  <c r="K1510" i="5"/>
  <c r="E1510" i="5"/>
  <c r="B1510" i="5"/>
  <c r="U1509" i="5"/>
  <c r="K1509" i="5"/>
  <c r="E1509" i="5"/>
  <c r="B1509" i="5"/>
  <c r="U1508" i="5"/>
  <c r="K1508" i="5"/>
  <c r="E1508" i="5"/>
  <c r="B1508" i="5"/>
  <c r="U1507" i="5"/>
  <c r="K1507" i="5"/>
  <c r="E1507" i="5"/>
  <c r="B1507" i="5"/>
  <c r="U1506" i="5"/>
  <c r="K1506" i="5"/>
  <c r="E1506" i="5"/>
  <c r="B1506" i="5"/>
  <c r="U1505" i="5"/>
  <c r="K1505" i="5"/>
  <c r="E1505" i="5"/>
  <c r="B1505" i="5"/>
  <c r="U1504" i="5"/>
  <c r="K1504" i="5"/>
  <c r="E1504" i="5"/>
  <c r="B1504" i="5"/>
  <c r="U1503" i="5"/>
  <c r="K1503" i="5"/>
  <c r="E1503" i="5"/>
  <c r="B1503" i="5"/>
  <c r="U1502" i="5"/>
  <c r="K1502" i="5"/>
  <c r="E1502" i="5"/>
  <c r="B1502" i="5"/>
  <c r="U1501" i="5"/>
  <c r="K1501" i="5"/>
  <c r="E1501" i="5"/>
  <c r="B1501" i="5"/>
  <c r="U1500" i="5"/>
  <c r="K1500" i="5"/>
  <c r="E1500" i="5"/>
  <c r="B1500" i="5"/>
  <c r="U1499" i="5"/>
  <c r="K1499" i="5"/>
  <c r="E1499" i="5"/>
  <c r="B1499" i="5"/>
  <c r="U1498" i="5"/>
  <c r="K1498" i="5"/>
  <c r="E1498" i="5"/>
  <c r="B1498" i="5"/>
  <c r="U1497" i="5"/>
  <c r="K1497" i="5"/>
  <c r="E1497" i="5"/>
  <c r="B1497" i="5"/>
  <c r="U1496" i="5"/>
  <c r="K1496" i="5"/>
  <c r="E1496" i="5"/>
  <c r="B1496" i="5"/>
  <c r="U1495" i="5"/>
  <c r="K1495" i="5"/>
  <c r="E1495" i="5"/>
  <c r="B1495" i="5"/>
  <c r="U1494" i="5"/>
  <c r="K1494" i="5"/>
  <c r="E1494" i="5"/>
  <c r="B1494" i="5"/>
  <c r="U1493" i="5"/>
  <c r="K1493" i="5"/>
  <c r="E1493" i="5"/>
  <c r="B1493" i="5"/>
  <c r="U1492" i="5"/>
  <c r="K1492" i="5"/>
  <c r="E1492" i="5"/>
  <c r="B1492" i="5"/>
  <c r="U1491" i="5"/>
  <c r="K1491" i="5"/>
  <c r="E1491" i="5"/>
  <c r="B1491" i="5"/>
  <c r="U1490" i="5"/>
  <c r="K1490" i="5"/>
  <c r="E1490" i="5"/>
  <c r="B1490" i="5"/>
  <c r="U1489" i="5"/>
  <c r="K1489" i="5"/>
  <c r="E1489" i="5"/>
  <c r="B1489" i="5"/>
  <c r="U1488" i="5"/>
  <c r="K1488" i="5"/>
  <c r="E1488" i="5"/>
  <c r="B1488" i="5"/>
  <c r="U1487" i="5"/>
  <c r="K1487" i="5"/>
  <c r="E1487" i="5"/>
  <c r="B1487" i="5"/>
  <c r="U1486" i="5"/>
  <c r="K1486" i="5"/>
  <c r="E1486" i="5"/>
  <c r="B1486" i="5"/>
  <c r="U1485" i="5"/>
  <c r="K1485" i="5"/>
  <c r="E1485" i="5"/>
  <c r="B1485" i="5"/>
  <c r="U1484" i="5"/>
  <c r="K1484" i="5"/>
  <c r="E1484" i="5"/>
  <c r="B1484" i="5"/>
  <c r="U1483" i="5"/>
  <c r="K1483" i="5"/>
  <c r="E1483" i="5"/>
  <c r="B1483" i="5"/>
  <c r="U1482" i="5"/>
  <c r="K1482" i="5"/>
  <c r="E1482" i="5"/>
  <c r="B1482" i="5"/>
  <c r="U1481" i="5"/>
  <c r="K1481" i="5"/>
  <c r="E1481" i="5"/>
  <c r="B1481" i="5"/>
  <c r="U1480" i="5"/>
  <c r="K1480" i="5"/>
  <c r="E1480" i="5"/>
  <c r="B1480" i="5"/>
  <c r="U1479" i="5"/>
  <c r="K1479" i="5"/>
  <c r="E1479" i="5"/>
  <c r="B1479" i="5"/>
  <c r="U1478" i="5"/>
  <c r="K1478" i="5"/>
  <c r="E1478" i="5"/>
  <c r="B1478" i="5"/>
  <c r="U1477" i="5"/>
  <c r="K1477" i="5"/>
  <c r="E1477" i="5"/>
  <c r="B1477" i="5"/>
  <c r="U1476" i="5"/>
  <c r="K1476" i="5"/>
  <c r="E1476" i="5"/>
  <c r="B1476" i="5"/>
  <c r="U1475" i="5"/>
  <c r="K1475" i="5"/>
  <c r="E1475" i="5"/>
  <c r="B1475" i="5"/>
  <c r="U1474" i="5"/>
  <c r="K1474" i="5"/>
  <c r="E1474" i="5"/>
  <c r="B1474" i="5"/>
  <c r="U1473" i="5"/>
  <c r="K1473" i="5"/>
  <c r="E1473" i="5"/>
  <c r="B1473" i="5"/>
  <c r="U1472" i="5"/>
  <c r="K1472" i="5"/>
  <c r="E1472" i="5"/>
  <c r="B1472" i="5"/>
  <c r="U1471" i="5"/>
  <c r="K1471" i="5"/>
  <c r="E1471" i="5"/>
  <c r="B1471" i="5"/>
  <c r="U1470" i="5"/>
  <c r="K1470" i="5"/>
  <c r="E1470" i="5"/>
  <c r="B1470" i="5"/>
  <c r="U1469" i="5"/>
  <c r="K1469" i="5"/>
  <c r="E1469" i="5"/>
  <c r="B1469" i="5"/>
  <c r="U1468" i="5"/>
  <c r="K1468" i="5"/>
  <c r="E1468" i="5"/>
  <c r="B1468" i="5"/>
  <c r="U1467" i="5"/>
  <c r="K1467" i="5"/>
  <c r="E1467" i="5"/>
  <c r="B1467" i="5"/>
  <c r="U1466" i="5"/>
  <c r="K1466" i="5"/>
  <c r="E1466" i="5"/>
  <c r="B1466" i="5"/>
  <c r="U1465" i="5"/>
  <c r="K1465" i="5"/>
  <c r="E1465" i="5"/>
  <c r="B1465" i="5"/>
  <c r="U1464" i="5"/>
  <c r="K1464" i="5"/>
  <c r="E1464" i="5"/>
  <c r="B1464" i="5"/>
  <c r="U1463" i="5"/>
  <c r="K1463" i="5"/>
  <c r="E1463" i="5"/>
  <c r="B1463" i="5"/>
  <c r="U1462" i="5"/>
  <c r="K1462" i="5"/>
  <c r="E1462" i="5"/>
  <c r="B1462" i="5"/>
  <c r="U1461" i="5"/>
  <c r="K1461" i="5"/>
  <c r="E1461" i="5"/>
  <c r="B1461" i="5"/>
  <c r="U1460" i="5"/>
  <c r="K1460" i="5"/>
  <c r="E1460" i="5"/>
  <c r="B1460" i="5"/>
  <c r="U1459" i="5"/>
  <c r="K1459" i="5"/>
  <c r="E1459" i="5"/>
  <c r="B1459" i="5"/>
  <c r="U1458" i="5"/>
  <c r="K1458" i="5"/>
  <c r="E1458" i="5"/>
  <c r="B1458" i="5"/>
  <c r="U1457" i="5"/>
  <c r="K1457" i="5"/>
  <c r="E1457" i="5"/>
  <c r="B1457" i="5"/>
  <c r="U1456" i="5"/>
  <c r="K1456" i="5"/>
  <c r="E1456" i="5"/>
  <c r="B1456" i="5"/>
  <c r="U1455" i="5"/>
  <c r="K1455" i="5"/>
  <c r="E1455" i="5"/>
  <c r="B1455" i="5"/>
  <c r="U1454" i="5"/>
  <c r="K1454" i="5"/>
  <c r="E1454" i="5"/>
  <c r="B1454" i="5"/>
  <c r="U1453" i="5"/>
  <c r="K1453" i="5"/>
  <c r="E1453" i="5"/>
  <c r="B1453" i="5"/>
  <c r="U1452" i="5"/>
  <c r="K1452" i="5"/>
  <c r="E1452" i="5"/>
  <c r="B1452" i="5"/>
  <c r="U1451" i="5"/>
  <c r="K1451" i="5"/>
  <c r="E1451" i="5"/>
  <c r="B1451" i="5"/>
  <c r="U1450" i="5"/>
  <c r="K1450" i="5"/>
  <c r="E1450" i="5"/>
  <c r="B1450" i="5"/>
  <c r="U1449" i="5"/>
  <c r="K1449" i="5"/>
  <c r="E1449" i="5"/>
  <c r="B1449" i="5"/>
  <c r="U1448" i="5"/>
  <c r="K1448" i="5"/>
  <c r="E1448" i="5"/>
  <c r="B1448" i="5"/>
  <c r="U1447" i="5"/>
  <c r="K1447" i="5"/>
  <c r="E1447" i="5"/>
  <c r="B1447" i="5"/>
  <c r="U1446" i="5"/>
  <c r="K1446" i="5"/>
  <c r="E1446" i="5"/>
  <c r="B1446" i="5"/>
  <c r="U1445" i="5"/>
  <c r="K1445" i="5"/>
  <c r="E1445" i="5"/>
  <c r="B1445" i="5"/>
  <c r="U1444" i="5"/>
  <c r="K1444" i="5"/>
  <c r="E1444" i="5"/>
  <c r="B1444" i="5"/>
  <c r="U1443" i="5"/>
  <c r="K1443" i="5"/>
  <c r="E1443" i="5"/>
  <c r="B1443" i="5"/>
  <c r="U1442" i="5"/>
  <c r="K1442" i="5"/>
  <c r="E1442" i="5"/>
  <c r="B1442" i="5"/>
  <c r="U1441" i="5"/>
  <c r="K1441" i="5"/>
  <c r="E1441" i="5"/>
  <c r="B1441" i="5"/>
  <c r="U1440" i="5"/>
  <c r="K1440" i="5"/>
  <c r="E1440" i="5"/>
  <c r="B1440" i="5"/>
  <c r="U1439" i="5"/>
  <c r="K1439" i="5"/>
  <c r="E1439" i="5"/>
  <c r="B1439" i="5"/>
  <c r="U1438" i="5"/>
  <c r="K1438" i="5"/>
  <c r="E1438" i="5"/>
  <c r="B1438" i="5"/>
  <c r="U1437" i="5"/>
  <c r="K1437" i="5"/>
  <c r="E1437" i="5"/>
  <c r="B1437" i="5"/>
  <c r="U1436" i="5"/>
  <c r="K1436" i="5"/>
  <c r="E1436" i="5"/>
  <c r="B1436" i="5"/>
  <c r="U1435" i="5"/>
  <c r="K1435" i="5"/>
  <c r="E1435" i="5"/>
  <c r="B1435" i="5"/>
  <c r="U1434" i="5"/>
  <c r="K1434" i="5"/>
  <c r="E1434" i="5"/>
  <c r="B1434" i="5"/>
  <c r="U1433" i="5"/>
  <c r="K1433" i="5"/>
  <c r="E1433" i="5"/>
  <c r="B1433" i="5"/>
  <c r="U1432" i="5"/>
  <c r="K1432" i="5"/>
  <c r="E1432" i="5"/>
  <c r="B1432" i="5"/>
  <c r="U1431" i="5"/>
  <c r="K1431" i="5"/>
  <c r="E1431" i="5"/>
  <c r="B1431" i="5"/>
  <c r="U1430" i="5"/>
  <c r="K1430" i="5"/>
  <c r="E1430" i="5"/>
  <c r="B1430" i="5"/>
  <c r="U1429" i="5"/>
  <c r="K1429" i="5"/>
  <c r="E1429" i="5"/>
  <c r="B1429" i="5"/>
  <c r="U1428" i="5"/>
  <c r="K1428" i="5"/>
  <c r="E1428" i="5"/>
  <c r="B1428" i="5"/>
  <c r="U1427" i="5"/>
  <c r="K1427" i="5"/>
  <c r="E1427" i="5"/>
  <c r="B1427" i="5"/>
  <c r="U1426" i="5"/>
  <c r="K1426" i="5"/>
  <c r="E1426" i="5"/>
  <c r="B1426" i="5"/>
  <c r="U1425" i="5"/>
  <c r="K1425" i="5"/>
  <c r="E1425" i="5"/>
  <c r="B1425" i="5"/>
  <c r="U1424" i="5"/>
  <c r="K1424" i="5"/>
  <c r="E1424" i="5"/>
  <c r="B1424" i="5"/>
  <c r="U1423" i="5"/>
  <c r="K1423" i="5"/>
  <c r="E1423" i="5"/>
  <c r="B1423" i="5"/>
  <c r="U1422" i="5"/>
  <c r="K1422" i="5"/>
  <c r="E1422" i="5"/>
  <c r="B1422" i="5"/>
  <c r="U1421" i="5"/>
  <c r="K1421" i="5"/>
  <c r="E1421" i="5"/>
  <c r="B1421" i="5"/>
  <c r="U1420" i="5"/>
  <c r="K1420" i="5"/>
  <c r="E1420" i="5"/>
  <c r="B1420" i="5"/>
  <c r="U1419" i="5"/>
  <c r="K1419" i="5"/>
  <c r="E1419" i="5"/>
  <c r="B1419" i="5"/>
  <c r="U1418" i="5"/>
  <c r="K1418" i="5"/>
  <c r="E1418" i="5"/>
  <c r="B1418" i="5"/>
  <c r="U1417" i="5"/>
  <c r="K1417" i="5"/>
  <c r="E1417" i="5"/>
  <c r="B1417" i="5"/>
  <c r="U1416" i="5"/>
  <c r="K1416" i="5"/>
  <c r="E1416" i="5"/>
  <c r="B1416" i="5"/>
  <c r="U1415" i="5"/>
  <c r="K1415" i="5"/>
  <c r="E1415" i="5"/>
  <c r="B1415" i="5"/>
  <c r="U1414" i="5"/>
  <c r="K1414" i="5"/>
  <c r="E1414" i="5"/>
  <c r="B1414" i="5"/>
  <c r="U1413" i="5"/>
  <c r="K1413" i="5"/>
  <c r="E1413" i="5"/>
  <c r="B1413" i="5"/>
  <c r="U1412" i="5"/>
  <c r="K1412" i="5"/>
  <c r="E1412" i="5"/>
  <c r="B1412" i="5"/>
  <c r="U1411" i="5"/>
  <c r="K1411" i="5"/>
  <c r="E1411" i="5"/>
  <c r="B1411" i="5"/>
  <c r="U1410" i="5"/>
  <c r="K1410" i="5"/>
  <c r="E1410" i="5"/>
  <c r="B1410" i="5"/>
  <c r="U1409" i="5"/>
  <c r="K1409" i="5"/>
  <c r="E1409" i="5"/>
  <c r="B1409" i="5"/>
  <c r="U1408" i="5"/>
  <c r="K1408" i="5"/>
  <c r="E1408" i="5"/>
  <c r="B1408" i="5"/>
  <c r="U1407" i="5"/>
  <c r="K1407" i="5"/>
  <c r="E1407" i="5"/>
  <c r="B1407" i="5"/>
  <c r="U1406" i="5"/>
  <c r="K1406" i="5"/>
  <c r="E1406" i="5"/>
  <c r="B1406" i="5"/>
  <c r="U1405" i="5"/>
  <c r="K1405" i="5"/>
  <c r="E1405" i="5"/>
  <c r="B1405" i="5"/>
  <c r="U1404" i="5"/>
  <c r="K1404" i="5"/>
  <c r="E1404" i="5"/>
  <c r="B1404" i="5"/>
  <c r="U1403" i="5"/>
  <c r="K1403" i="5"/>
  <c r="E1403" i="5"/>
  <c r="B1403" i="5"/>
  <c r="U1402" i="5"/>
  <c r="K1402" i="5"/>
  <c r="E1402" i="5"/>
  <c r="B1402" i="5"/>
  <c r="U1401" i="5"/>
  <c r="K1401" i="5"/>
  <c r="E1401" i="5"/>
  <c r="B1401" i="5"/>
  <c r="U1400" i="5"/>
  <c r="K1400" i="5"/>
  <c r="E1400" i="5"/>
  <c r="B1400" i="5"/>
  <c r="U1399" i="5"/>
  <c r="K1399" i="5"/>
  <c r="E1399" i="5"/>
  <c r="B1399" i="5"/>
  <c r="U1398" i="5"/>
  <c r="K1398" i="5"/>
  <c r="E1398" i="5"/>
  <c r="B1398" i="5"/>
  <c r="U1397" i="5"/>
  <c r="K1397" i="5"/>
  <c r="E1397" i="5"/>
  <c r="B1397" i="5"/>
  <c r="U1396" i="5"/>
  <c r="K1396" i="5"/>
  <c r="E1396" i="5"/>
  <c r="B1396" i="5"/>
  <c r="U1395" i="5"/>
  <c r="K1395" i="5"/>
  <c r="E1395" i="5"/>
  <c r="B1395" i="5"/>
  <c r="U1394" i="5"/>
  <c r="K1394" i="5"/>
  <c r="E1394" i="5"/>
  <c r="B1394" i="5"/>
  <c r="U1393" i="5"/>
  <c r="K1393" i="5"/>
  <c r="E1393" i="5"/>
  <c r="B1393" i="5"/>
  <c r="U1392" i="5"/>
  <c r="K1392" i="5"/>
  <c r="E1392" i="5"/>
  <c r="B1392" i="5"/>
  <c r="U1391" i="5"/>
  <c r="K1391" i="5"/>
  <c r="E1391" i="5"/>
  <c r="B1391" i="5"/>
  <c r="U1390" i="5"/>
  <c r="K1390" i="5"/>
  <c r="E1390" i="5"/>
  <c r="B1390" i="5"/>
  <c r="U1389" i="5"/>
  <c r="K1389" i="5"/>
  <c r="E1389" i="5"/>
  <c r="B1389" i="5"/>
  <c r="U1388" i="5"/>
  <c r="K1388" i="5"/>
  <c r="E1388" i="5"/>
  <c r="B1388" i="5"/>
  <c r="U1387" i="5"/>
  <c r="K1387" i="5"/>
  <c r="E1387" i="5"/>
  <c r="B1387" i="5"/>
  <c r="U1386" i="5"/>
  <c r="K1386" i="5"/>
  <c r="E1386" i="5"/>
  <c r="B1386" i="5"/>
  <c r="U1385" i="5"/>
  <c r="K1385" i="5"/>
  <c r="E1385" i="5"/>
  <c r="B1385" i="5"/>
  <c r="U1384" i="5"/>
  <c r="K1384" i="5"/>
  <c r="E1384" i="5"/>
  <c r="B1384" i="5"/>
  <c r="U1383" i="5"/>
  <c r="K1383" i="5"/>
  <c r="E1383" i="5"/>
  <c r="B1383" i="5"/>
  <c r="U1382" i="5"/>
  <c r="K1382" i="5"/>
  <c r="E1382" i="5"/>
  <c r="B1382" i="5"/>
  <c r="U1381" i="5"/>
  <c r="K1381" i="5"/>
  <c r="E1381" i="5"/>
  <c r="B1381" i="5"/>
  <c r="U1380" i="5"/>
  <c r="K1380" i="5"/>
  <c r="E1380" i="5"/>
  <c r="B1380" i="5"/>
  <c r="U1379" i="5"/>
  <c r="K1379" i="5"/>
  <c r="E1379" i="5"/>
  <c r="B1379" i="5"/>
  <c r="U1378" i="5"/>
  <c r="K1378" i="5"/>
  <c r="E1378" i="5"/>
  <c r="B1378" i="5"/>
  <c r="U1377" i="5"/>
  <c r="K1377" i="5"/>
  <c r="E1377" i="5"/>
  <c r="B1377" i="5"/>
  <c r="U1376" i="5"/>
  <c r="K1376" i="5"/>
  <c r="E1376" i="5"/>
  <c r="B1376" i="5"/>
  <c r="U1375" i="5"/>
  <c r="K1375" i="5"/>
  <c r="E1375" i="5"/>
  <c r="B1375" i="5"/>
  <c r="U1374" i="5"/>
  <c r="K1374" i="5"/>
  <c r="E1374" i="5"/>
  <c r="B1374" i="5"/>
  <c r="U1373" i="5"/>
  <c r="K1373" i="5"/>
  <c r="E1373" i="5"/>
  <c r="B1373" i="5"/>
  <c r="U1372" i="5"/>
  <c r="K1372" i="5"/>
  <c r="E1372" i="5"/>
  <c r="B1372" i="5"/>
  <c r="U1371" i="5"/>
  <c r="K1371" i="5"/>
  <c r="E1371" i="5"/>
  <c r="B1371" i="5"/>
  <c r="U1370" i="5"/>
  <c r="K1370" i="5"/>
  <c r="E1370" i="5"/>
  <c r="B1370" i="5"/>
  <c r="U1369" i="5"/>
  <c r="K1369" i="5"/>
  <c r="E1369" i="5"/>
  <c r="B1369" i="5"/>
  <c r="U1368" i="5"/>
  <c r="K1368" i="5"/>
  <c r="E1368" i="5"/>
  <c r="B1368" i="5"/>
  <c r="U1367" i="5"/>
  <c r="K1367" i="5"/>
  <c r="E1367" i="5"/>
  <c r="B1367" i="5"/>
  <c r="U1366" i="5"/>
  <c r="K1366" i="5"/>
  <c r="E1366" i="5"/>
  <c r="B1366" i="5"/>
  <c r="U1365" i="5"/>
  <c r="K1365" i="5"/>
  <c r="E1365" i="5"/>
  <c r="B1365" i="5"/>
  <c r="U1364" i="5"/>
  <c r="K1364" i="5"/>
  <c r="E1364" i="5"/>
  <c r="B1364" i="5"/>
  <c r="U1363" i="5"/>
  <c r="K1363" i="5"/>
  <c r="E1363" i="5"/>
  <c r="B1363" i="5"/>
  <c r="U1362" i="5"/>
  <c r="K1362" i="5"/>
  <c r="E1362" i="5"/>
  <c r="B1362" i="5"/>
  <c r="U1361" i="5"/>
  <c r="K1361" i="5"/>
  <c r="E1361" i="5"/>
  <c r="B1361" i="5"/>
  <c r="U1360" i="5"/>
  <c r="K1360" i="5"/>
  <c r="E1360" i="5"/>
  <c r="B1360" i="5"/>
  <c r="U1359" i="5"/>
  <c r="K1359" i="5"/>
  <c r="E1359" i="5"/>
  <c r="B1359" i="5"/>
  <c r="U1358" i="5"/>
  <c r="K1358" i="5"/>
  <c r="E1358" i="5"/>
  <c r="B1358" i="5"/>
  <c r="U1357" i="5"/>
  <c r="K1357" i="5"/>
  <c r="E1357" i="5"/>
  <c r="B1357" i="5"/>
  <c r="U1356" i="5"/>
  <c r="K1356" i="5"/>
  <c r="E1356" i="5"/>
  <c r="B1356" i="5"/>
  <c r="U1355" i="5"/>
  <c r="K1355" i="5"/>
  <c r="E1355" i="5"/>
  <c r="B1355" i="5"/>
  <c r="U1354" i="5"/>
  <c r="K1354" i="5"/>
  <c r="E1354" i="5"/>
  <c r="B1354" i="5"/>
  <c r="U1353" i="5"/>
  <c r="K1353" i="5"/>
  <c r="E1353" i="5"/>
  <c r="B1353" i="5"/>
  <c r="U1352" i="5"/>
  <c r="K1352" i="5"/>
  <c r="E1352" i="5"/>
  <c r="B1352" i="5"/>
  <c r="U1351" i="5"/>
  <c r="K1351" i="5"/>
  <c r="E1351" i="5"/>
  <c r="B1351" i="5"/>
  <c r="U1350" i="5"/>
  <c r="K1350" i="5"/>
  <c r="E1350" i="5"/>
  <c r="B1350" i="5"/>
  <c r="U1349" i="5"/>
  <c r="K1349" i="5"/>
  <c r="E1349" i="5"/>
  <c r="B1349" i="5"/>
  <c r="U1348" i="5"/>
  <c r="K1348" i="5"/>
  <c r="E1348" i="5"/>
  <c r="B1348" i="5"/>
  <c r="U1347" i="5"/>
  <c r="K1347" i="5"/>
  <c r="E1347" i="5"/>
  <c r="B1347" i="5"/>
  <c r="U1346" i="5"/>
  <c r="K1346" i="5"/>
  <c r="E1346" i="5"/>
  <c r="B1346" i="5"/>
  <c r="U1345" i="5"/>
  <c r="K1345" i="5"/>
  <c r="E1345" i="5"/>
  <c r="B1345" i="5"/>
  <c r="U1344" i="5"/>
  <c r="K1344" i="5"/>
  <c r="E1344" i="5"/>
  <c r="B1344" i="5"/>
  <c r="U1343" i="5"/>
  <c r="K1343" i="5"/>
  <c r="E1343" i="5"/>
  <c r="B1343" i="5"/>
  <c r="U1342" i="5"/>
  <c r="K1342" i="5"/>
  <c r="E1342" i="5"/>
  <c r="B1342" i="5"/>
  <c r="U1341" i="5"/>
  <c r="K1341" i="5"/>
  <c r="E1341" i="5"/>
  <c r="B1341" i="5"/>
  <c r="U1340" i="5"/>
  <c r="K1340" i="5"/>
  <c r="E1340" i="5"/>
  <c r="B1340" i="5"/>
  <c r="U1339" i="5"/>
  <c r="K1339" i="5"/>
  <c r="E1339" i="5"/>
  <c r="B1339" i="5"/>
  <c r="U1338" i="5"/>
  <c r="K1338" i="5"/>
  <c r="E1338" i="5"/>
  <c r="B1338" i="5"/>
  <c r="U1337" i="5"/>
  <c r="K1337" i="5"/>
  <c r="E1337" i="5"/>
  <c r="B1337" i="5"/>
  <c r="U1336" i="5"/>
  <c r="K1336" i="5"/>
  <c r="E1336" i="5"/>
  <c r="B1336" i="5"/>
  <c r="U1335" i="5"/>
  <c r="K1335" i="5"/>
  <c r="E1335" i="5"/>
  <c r="B1335" i="5"/>
  <c r="U1334" i="5"/>
  <c r="K1334" i="5"/>
  <c r="E1334" i="5"/>
  <c r="B1334" i="5"/>
  <c r="U1333" i="5"/>
  <c r="K1333" i="5"/>
  <c r="E1333" i="5"/>
  <c r="B1333" i="5"/>
  <c r="U1332" i="5"/>
  <c r="K1332" i="5"/>
  <c r="E1332" i="5"/>
  <c r="B1332" i="5"/>
  <c r="U1331" i="5"/>
  <c r="K1331" i="5"/>
  <c r="E1331" i="5"/>
  <c r="B1331" i="5"/>
  <c r="U1330" i="5"/>
  <c r="K1330" i="5"/>
  <c r="E1330" i="5"/>
  <c r="B1330" i="5"/>
  <c r="U1329" i="5"/>
  <c r="K1329" i="5"/>
  <c r="E1329" i="5"/>
  <c r="B1329" i="5"/>
  <c r="U1328" i="5"/>
  <c r="K1328" i="5"/>
  <c r="E1328" i="5"/>
  <c r="B1328" i="5"/>
  <c r="U1327" i="5"/>
  <c r="K1327" i="5"/>
  <c r="E1327" i="5"/>
  <c r="B1327" i="5"/>
  <c r="U1326" i="5"/>
  <c r="K1326" i="5"/>
  <c r="E1326" i="5"/>
  <c r="B1326" i="5"/>
  <c r="U1325" i="5"/>
  <c r="K1325" i="5"/>
  <c r="E1325" i="5"/>
  <c r="B1325" i="5"/>
  <c r="U1324" i="5"/>
  <c r="K1324" i="5"/>
  <c r="E1324" i="5"/>
  <c r="B1324" i="5"/>
  <c r="U1323" i="5"/>
  <c r="K1323" i="5"/>
  <c r="E1323" i="5"/>
  <c r="B1323" i="5"/>
  <c r="U1322" i="5"/>
  <c r="K1322" i="5"/>
  <c r="E1322" i="5"/>
  <c r="B1322" i="5"/>
  <c r="U1321" i="5"/>
  <c r="K1321" i="5"/>
  <c r="E1321" i="5"/>
  <c r="B1321" i="5"/>
  <c r="U1320" i="5"/>
  <c r="K1320" i="5"/>
  <c r="E1320" i="5"/>
  <c r="B1320" i="5"/>
  <c r="U1319" i="5"/>
  <c r="K1319" i="5"/>
  <c r="E1319" i="5"/>
  <c r="B1319" i="5"/>
  <c r="U1318" i="5"/>
  <c r="K1318" i="5"/>
  <c r="E1318" i="5"/>
  <c r="B1318" i="5"/>
  <c r="U1317" i="5"/>
  <c r="K1317" i="5"/>
  <c r="E1317" i="5"/>
  <c r="B1317" i="5"/>
  <c r="U1316" i="5"/>
  <c r="K1316" i="5"/>
  <c r="E1316" i="5"/>
  <c r="B1316" i="5"/>
  <c r="U1315" i="5"/>
  <c r="K1315" i="5"/>
  <c r="E1315" i="5"/>
  <c r="B1315" i="5"/>
  <c r="U1314" i="5"/>
  <c r="K1314" i="5"/>
  <c r="E1314" i="5"/>
  <c r="B1314" i="5"/>
  <c r="U1313" i="5"/>
  <c r="K1313" i="5"/>
  <c r="E1313" i="5"/>
  <c r="B1313" i="5"/>
  <c r="U1312" i="5"/>
  <c r="K1312" i="5"/>
  <c r="E1312" i="5"/>
  <c r="B1312" i="5"/>
  <c r="U1311" i="5"/>
  <c r="K1311" i="5"/>
  <c r="E1311" i="5"/>
  <c r="B1311" i="5"/>
  <c r="U1310" i="5"/>
  <c r="K1310" i="5"/>
  <c r="E1310" i="5"/>
  <c r="B1310" i="5"/>
  <c r="U1309" i="5"/>
  <c r="K1309" i="5"/>
  <c r="E1309" i="5"/>
  <c r="B1309" i="5"/>
  <c r="U1308" i="5"/>
  <c r="K1308" i="5"/>
  <c r="E1308" i="5"/>
  <c r="B1308" i="5"/>
  <c r="U1307" i="5"/>
  <c r="K1307" i="5"/>
  <c r="E1307" i="5"/>
  <c r="B1307" i="5"/>
  <c r="U1306" i="5"/>
  <c r="K1306" i="5"/>
  <c r="E1306" i="5"/>
  <c r="B1306" i="5"/>
  <c r="U1305" i="5"/>
  <c r="K1305" i="5"/>
  <c r="E1305" i="5"/>
  <c r="B1305" i="5"/>
  <c r="U1304" i="5"/>
  <c r="K1304" i="5"/>
  <c r="E1304" i="5"/>
  <c r="B1304" i="5"/>
  <c r="U1303" i="5"/>
  <c r="K1303" i="5"/>
  <c r="E1303" i="5"/>
  <c r="B1303" i="5"/>
  <c r="U1302" i="5"/>
  <c r="K1302" i="5"/>
  <c r="E1302" i="5"/>
  <c r="B1302" i="5"/>
  <c r="U1301" i="5"/>
  <c r="K1301" i="5"/>
  <c r="E1301" i="5"/>
  <c r="B1301" i="5"/>
  <c r="U1300" i="5"/>
  <c r="K1300" i="5"/>
  <c r="E1300" i="5"/>
  <c r="B1300" i="5"/>
  <c r="U1299" i="5"/>
  <c r="K1299" i="5"/>
  <c r="E1299" i="5"/>
  <c r="B1299" i="5"/>
  <c r="U1298" i="5"/>
  <c r="K1298" i="5"/>
  <c r="E1298" i="5"/>
  <c r="B1298" i="5"/>
  <c r="U1297" i="5"/>
  <c r="K1297" i="5"/>
  <c r="E1297" i="5"/>
  <c r="B1297" i="5"/>
  <c r="U1296" i="5"/>
  <c r="K1296" i="5"/>
  <c r="E1296" i="5"/>
  <c r="B1296" i="5"/>
  <c r="U1295" i="5"/>
  <c r="K1295" i="5"/>
  <c r="E1295" i="5"/>
  <c r="B1295" i="5"/>
  <c r="U1294" i="5"/>
  <c r="K1294" i="5"/>
  <c r="E1294" i="5"/>
  <c r="B1294" i="5"/>
  <c r="U1293" i="5"/>
  <c r="K1293" i="5"/>
  <c r="E1293" i="5"/>
  <c r="B1293" i="5"/>
  <c r="U1292" i="5"/>
  <c r="K1292" i="5"/>
  <c r="E1292" i="5"/>
  <c r="B1292" i="5"/>
  <c r="U1291" i="5"/>
  <c r="E1291" i="5"/>
  <c r="B1291" i="5"/>
  <c r="U1290" i="5"/>
  <c r="K1290" i="5"/>
  <c r="E1290" i="5"/>
  <c r="B1290" i="5"/>
  <c r="U1289" i="5"/>
  <c r="K1289" i="5"/>
  <c r="E1289" i="5"/>
  <c r="B1289" i="5"/>
  <c r="U1288" i="5"/>
  <c r="K1288" i="5"/>
  <c r="E1288" i="5"/>
  <c r="B1288" i="5"/>
  <c r="U1287" i="5"/>
  <c r="K1287" i="5"/>
  <c r="E1287" i="5"/>
  <c r="B1287" i="5"/>
  <c r="U1286" i="5"/>
  <c r="K1286" i="5"/>
  <c r="E1286" i="5"/>
  <c r="B1286" i="5"/>
  <c r="U1285" i="5"/>
  <c r="K1285" i="5"/>
  <c r="E1285" i="5"/>
  <c r="B1285" i="5"/>
  <c r="U1284" i="5"/>
  <c r="K1284" i="5"/>
  <c r="E1284" i="5"/>
  <c r="B1284" i="5"/>
  <c r="U1283" i="5"/>
  <c r="K1283" i="5"/>
  <c r="E1283" i="5"/>
  <c r="B1283" i="5"/>
  <c r="K1282" i="5"/>
  <c r="E1282" i="5"/>
  <c r="B1282" i="5"/>
  <c r="U1281" i="5"/>
  <c r="K1281" i="5"/>
  <c r="E1281" i="5"/>
  <c r="B1281" i="5"/>
  <c r="U1280" i="5"/>
  <c r="K1280" i="5"/>
  <c r="E1280" i="5"/>
  <c r="B1280" i="5"/>
  <c r="U1279" i="5"/>
  <c r="K1279" i="5"/>
  <c r="E1279" i="5"/>
  <c r="B1279" i="5"/>
  <c r="U1278" i="5"/>
  <c r="K1278" i="5"/>
  <c r="E1278" i="5"/>
  <c r="B1278" i="5"/>
  <c r="U1277" i="5"/>
  <c r="K1277" i="5"/>
  <c r="E1277" i="5"/>
  <c r="B1277" i="5"/>
  <c r="U1276" i="5"/>
  <c r="K1276" i="5"/>
  <c r="E1276" i="5"/>
  <c r="B1276" i="5"/>
  <c r="U1275" i="5"/>
  <c r="K1275" i="5"/>
  <c r="E1275" i="5"/>
  <c r="B1275" i="5"/>
  <c r="U1274" i="5"/>
  <c r="K1274" i="5"/>
  <c r="E1274" i="5"/>
  <c r="B1274" i="5"/>
  <c r="U1273" i="5"/>
  <c r="K1273" i="5"/>
  <c r="E1273" i="5"/>
  <c r="B1273" i="5"/>
  <c r="U1272" i="5"/>
  <c r="K1272" i="5"/>
  <c r="E1272" i="5"/>
  <c r="B1272" i="5"/>
  <c r="U1271" i="5"/>
  <c r="K1271" i="5"/>
  <c r="E1271" i="5"/>
  <c r="B1271" i="5"/>
  <c r="U1270" i="5"/>
  <c r="K1270" i="5"/>
  <c r="E1270" i="5"/>
  <c r="B1270" i="5"/>
  <c r="U1269" i="5"/>
  <c r="K1269" i="5"/>
  <c r="E1269" i="5"/>
  <c r="B1269" i="5"/>
  <c r="U1268" i="5"/>
  <c r="K1268" i="5"/>
  <c r="E1268" i="5"/>
  <c r="B1268" i="5"/>
  <c r="U1267" i="5"/>
  <c r="K1267" i="5"/>
  <c r="E1267" i="5"/>
  <c r="B1267" i="5"/>
  <c r="U1266" i="5"/>
  <c r="K1266" i="5"/>
  <c r="E1266" i="5"/>
  <c r="B1266" i="5"/>
  <c r="U1265" i="5"/>
  <c r="K1265" i="5"/>
  <c r="E1265" i="5"/>
  <c r="B1265" i="5"/>
  <c r="U1264" i="5"/>
  <c r="K1264" i="5"/>
  <c r="E1264" i="5"/>
  <c r="B1264" i="5"/>
  <c r="U1263" i="5"/>
  <c r="K1263" i="5"/>
  <c r="E1263" i="5"/>
  <c r="B1263" i="5"/>
  <c r="U1262" i="5"/>
  <c r="K1262" i="5"/>
  <c r="E1262" i="5"/>
  <c r="B1262" i="5"/>
  <c r="U1261" i="5"/>
  <c r="K1261" i="5"/>
  <c r="E1261" i="5"/>
  <c r="B1261" i="5"/>
  <c r="U1260" i="5"/>
  <c r="K1260" i="5"/>
  <c r="E1260" i="5"/>
  <c r="B1260" i="5"/>
  <c r="U1259" i="5"/>
  <c r="K1259" i="5"/>
  <c r="E1259" i="5"/>
  <c r="B1259" i="5"/>
  <c r="U1258" i="5"/>
  <c r="K1258" i="5"/>
  <c r="E1258" i="5"/>
  <c r="B1258" i="5"/>
  <c r="U1257" i="5"/>
  <c r="K1257" i="5"/>
  <c r="E1257" i="5"/>
  <c r="B1257" i="5"/>
  <c r="U1256" i="5"/>
  <c r="K1256" i="5"/>
  <c r="E1256" i="5"/>
  <c r="B1256" i="5"/>
  <c r="U1255" i="5"/>
  <c r="K1255" i="5"/>
  <c r="E1255" i="5"/>
  <c r="B1255" i="5"/>
  <c r="U1254" i="5"/>
  <c r="K1254" i="5"/>
  <c r="E1254" i="5"/>
  <c r="B1254" i="5"/>
  <c r="U1253" i="5"/>
  <c r="K1253" i="5"/>
  <c r="E1253" i="5"/>
  <c r="B1253" i="5"/>
  <c r="U1252" i="5"/>
  <c r="K1252" i="5"/>
  <c r="E1252" i="5"/>
  <c r="B1252" i="5"/>
  <c r="U1251" i="5"/>
  <c r="K1251" i="5"/>
  <c r="E1251" i="5"/>
  <c r="B1251" i="5"/>
  <c r="U1250" i="5"/>
  <c r="K1250" i="5"/>
  <c r="E1250" i="5"/>
  <c r="B1250" i="5"/>
  <c r="U1249" i="5"/>
  <c r="K1249" i="5"/>
  <c r="E1249" i="5"/>
  <c r="B1249" i="5"/>
  <c r="U1248" i="5"/>
  <c r="K1248" i="5"/>
  <c r="E1248" i="5"/>
  <c r="B1248" i="5"/>
  <c r="U1247" i="5"/>
  <c r="K1247" i="5"/>
  <c r="E1247" i="5"/>
  <c r="B1247" i="5"/>
  <c r="U1246" i="5"/>
  <c r="K1246" i="5"/>
  <c r="E1246" i="5"/>
  <c r="B1246" i="5"/>
  <c r="U1245" i="5"/>
  <c r="K1245" i="5"/>
  <c r="E1245" i="5"/>
  <c r="B1245" i="5"/>
  <c r="U1244" i="5"/>
  <c r="K1244" i="5"/>
  <c r="E1244" i="5"/>
  <c r="B1244" i="5"/>
  <c r="U1243" i="5"/>
  <c r="K1243" i="5"/>
  <c r="E1243" i="5"/>
  <c r="B1243" i="5"/>
  <c r="U1242" i="5"/>
  <c r="K1242" i="5"/>
  <c r="E1242" i="5"/>
  <c r="B1242" i="5"/>
  <c r="U1241" i="5"/>
  <c r="K1241" i="5"/>
  <c r="E1241" i="5"/>
  <c r="B1241" i="5"/>
  <c r="U1240" i="5"/>
  <c r="K1240" i="5"/>
  <c r="E1240" i="5"/>
  <c r="B1240" i="5"/>
  <c r="U1239" i="5"/>
  <c r="K1239" i="5"/>
  <c r="E1239" i="5"/>
  <c r="B1239" i="5"/>
  <c r="U1238" i="5"/>
  <c r="K1238" i="5"/>
  <c r="E1238" i="5"/>
  <c r="B1238" i="5"/>
  <c r="U1237" i="5"/>
  <c r="K1237" i="5"/>
  <c r="E1237" i="5"/>
  <c r="B1237" i="5"/>
  <c r="U1236" i="5"/>
  <c r="K1236" i="5"/>
  <c r="E1236" i="5"/>
  <c r="B1236" i="5"/>
  <c r="U1235" i="5"/>
  <c r="K1235" i="5"/>
  <c r="E1235" i="5"/>
  <c r="B1235" i="5"/>
  <c r="U1234" i="5"/>
  <c r="K1234" i="5"/>
  <c r="E1234" i="5"/>
  <c r="B1234" i="5"/>
  <c r="U1233" i="5"/>
  <c r="K1233" i="5"/>
  <c r="E1233" i="5"/>
  <c r="B1233" i="5"/>
  <c r="U1232" i="5"/>
  <c r="K1232" i="5"/>
  <c r="E1232" i="5"/>
  <c r="B1232" i="5"/>
  <c r="U1231" i="5"/>
  <c r="K1231" i="5"/>
  <c r="E1231" i="5"/>
  <c r="B1231" i="5"/>
  <c r="U1230" i="5"/>
  <c r="K1230" i="5"/>
  <c r="E1230" i="5"/>
  <c r="B1230" i="5"/>
  <c r="U1229" i="5"/>
  <c r="K1229" i="5"/>
  <c r="E1229" i="5"/>
  <c r="B1229" i="5"/>
  <c r="U1228" i="5"/>
  <c r="K1228" i="5"/>
  <c r="E1228" i="5"/>
  <c r="B1228" i="5"/>
  <c r="U1227" i="5"/>
  <c r="K1227" i="5"/>
  <c r="E1227" i="5"/>
  <c r="B1227" i="5"/>
  <c r="U1226" i="5"/>
  <c r="K1226" i="5"/>
  <c r="E1226" i="5"/>
  <c r="B1226" i="5"/>
  <c r="U1225" i="5"/>
  <c r="K1225" i="5"/>
  <c r="E1225" i="5"/>
  <c r="B1225" i="5"/>
  <c r="U1224" i="5"/>
  <c r="K1224" i="5"/>
  <c r="E1224" i="5"/>
  <c r="B1224" i="5"/>
  <c r="U1223" i="5"/>
  <c r="K1223" i="5"/>
  <c r="E1223" i="5"/>
  <c r="B1223" i="5"/>
  <c r="U1222" i="5"/>
  <c r="K1222" i="5"/>
  <c r="E1222" i="5"/>
  <c r="B1222" i="5"/>
  <c r="U1221" i="5"/>
  <c r="K1221" i="5"/>
  <c r="E1221" i="5"/>
  <c r="B1221" i="5"/>
  <c r="U1220" i="5"/>
  <c r="K1220" i="5"/>
  <c r="E1220" i="5"/>
  <c r="B1220" i="5"/>
  <c r="U1219" i="5"/>
  <c r="K1219" i="5"/>
  <c r="E1219" i="5"/>
  <c r="B1219" i="5"/>
  <c r="U1218" i="5"/>
  <c r="K1218" i="5"/>
  <c r="E1218" i="5"/>
  <c r="B1218" i="5"/>
  <c r="U1217" i="5"/>
  <c r="E1217" i="5"/>
  <c r="B1217" i="5"/>
  <c r="U1216" i="5"/>
  <c r="K1216" i="5"/>
  <c r="E1216" i="5"/>
  <c r="B1216" i="5"/>
  <c r="U1215" i="5"/>
  <c r="K1215" i="5"/>
  <c r="E1215" i="5"/>
  <c r="B1215" i="5"/>
  <c r="U1214" i="5"/>
  <c r="K1214" i="5"/>
  <c r="E1214" i="5"/>
  <c r="B1214" i="5"/>
  <c r="U1213" i="5"/>
  <c r="K1213" i="5"/>
  <c r="E1213" i="5"/>
  <c r="B1213" i="5"/>
  <c r="U1212" i="5"/>
  <c r="K1212" i="5"/>
  <c r="E1212" i="5"/>
  <c r="B1212" i="5"/>
  <c r="U1211" i="5"/>
  <c r="K1211" i="5"/>
  <c r="E1211" i="5"/>
  <c r="B1211" i="5"/>
  <c r="U1210" i="5"/>
  <c r="K1210" i="5"/>
  <c r="E1210" i="5"/>
  <c r="B1210" i="5"/>
  <c r="U1209" i="5"/>
  <c r="K1209" i="5"/>
  <c r="E1209" i="5"/>
  <c r="B1209" i="5"/>
  <c r="U1208" i="5"/>
  <c r="K1208" i="5"/>
  <c r="E1208" i="5"/>
  <c r="B1208" i="5"/>
  <c r="U1207" i="5"/>
  <c r="K1207" i="5"/>
  <c r="E1207" i="5"/>
  <c r="B1207" i="5"/>
  <c r="U1206" i="5"/>
  <c r="K1206" i="5"/>
  <c r="E1206" i="5"/>
  <c r="B1206" i="5"/>
  <c r="U1205" i="5"/>
  <c r="K1205" i="5"/>
  <c r="E1205" i="5"/>
  <c r="B1205" i="5"/>
  <c r="U1204" i="5"/>
  <c r="K1204" i="5"/>
  <c r="E1204" i="5"/>
  <c r="B1204" i="5"/>
  <c r="U1203" i="5"/>
  <c r="K1203" i="5"/>
  <c r="E1203" i="5"/>
  <c r="B1203" i="5"/>
  <c r="U1202" i="5"/>
  <c r="K1202" i="5"/>
  <c r="E1202" i="5"/>
  <c r="B1202" i="5"/>
  <c r="U1201" i="5"/>
  <c r="K1201" i="5"/>
  <c r="E1201" i="5"/>
  <c r="B1201" i="5"/>
  <c r="U1200" i="5"/>
  <c r="K1200" i="5"/>
  <c r="E1200" i="5"/>
  <c r="B1200" i="5"/>
  <c r="U1199" i="5"/>
  <c r="K1199" i="5"/>
  <c r="E1199" i="5"/>
  <c r="B1199" i="5"/>
  <c r="U1198" i="5"/>
  <c r="K1198" i="5"/>
  <c r="E1198" i="5"/>
  <c r="B1198" i="5"/>
  <c r="U1197" i="5"/>
  <c r="K1197" i="5"/>
  <c r="E1197" i="5"/>
  <c r="B1197" i="5"/>
  <c r="U1196" i="5"/>
  <c r="K1196" i="5"/>
  <c r="E1196" i="5"/>
  <c r="B1196" i="5"/>
  <c r="U1195" i="5"/>
  <c r="K1195" i="5"/>
  <c r="E1195" i="5"/>
  <c r="B1195" i="5"/>
  <c r="U1194" i="5"/>
  <c r="K1194" i="5"/>
  <c r="E1194" i="5"/>
  <c r="B1194" i="5"/>
  <c r="U1193" i="5"/>
  <c r="K1193" i="5"/>
  <c r="E1193" i="5"/>
  <c r="B1193" i="5"/>
  <c r="U1192" i="5"/>
  <c r="K1192" i="5"/>
  <c r="E1192" i="5"/>
  <c r="B1192" i="5"/>
  <c r="U1191" i="5"/>
  <c r="K1191" i="5"/>
  <c r="E1191" i="5"/>
  <c r="B1191" i="5"/>
  <c r="U1190" i="5"/>
  <c r="K1190" i="5"/>
  <c r="E1190" i="5"/>
  <c r="B1190" i="5"/>
  <c r="U1189" i="5"/>
  <c r="K1189" i="5"/>
  <c r="E1189" i="5"/>
  <c r="B1189" i="5"/>
  <c r="U1188" i="5"/>
  <c r="K1188" i="5"/>
  <c r="E1188" i="5"/>
  <c r="B1188" i="5"/>
  <c r="U1187" i="5"/>
  <c r="K1187" i="5"/>
  <c r="E1187" i="5"/>
  <c r="B1187" i="5"/>
  <c r="U1186" i="5"/>
  <c r="K1186" i="5"/>
  <c r="E1186" i="5"/>
  <c r="B1186" i="5"/>
  <c r="U1185" i="5"/>
  <c r="K1185" i="5"/>
  <c r="E1185" i="5"/>
  <c r="B1185" i="5"/>
  <c r="U1184" i="5"/>
  <c r="K1184" i="5"/>
  <c r="E1184" i="5"/>
  <c r="B1184" i="5"/>
  <c r="U1183" i="5"/>
  <c r="K1183" i="5"/>
  <c r="E1183" i="5"/>
  <c r="B1183" i="5"/>
  <c r="U1182" i="5"/>
  <c r="K1182" i="5"/>
  <c r="E1182" i="5"/>
  <c r="B1182" i="5"/>
  <c r="U1181" i="5"/>
  <c r="K1181" i="5"/>
  <c r="E1181" i="5"/>
  <c r="B1181" i="5"/>
  <c r="U1180" i="5"/>
  <c r="K1180" i="5"/>
  <c r="E1180" i="5"/>
  <c r="B1180" i="5"/>
  <c r="U1179" i="5"/>
  <c r="K1179" i="5"/>
  <c r="E1179" i="5"/>
  <c r="B1179" i="5"/>
  <c r="U1178" i="5"/>
  <c r="K1178" i="5"/>
  <c r="E1178" i="5"/>
  <c r="B1178" i="5"/>
  <c r="U1177" i="5"/>
  <c r="K1177" i="5"/>
  <c r="E1177" i="5"/>
  <c r="B1177" i="5"/>
  <c r="U1176" i="5"/>
  <c r="K1176" i="5"/>
  <c r="E1176" i="5"/>
  <c r="B1176" i="5"/>
  <c r="U1175" i="5"/>
  <c r="K1175" i="5"/>
  <c r="E1175" i="5"/>
  <c r="B1175" i="5"/>
  <c r="U1174" i="5"/>
  <c r="K1174" i="5"/>
  <c r="E1174" i="5"/>
  <c r="B1174" i="5"/>
  <c r="U1173" i="5"/>
  <c r="K1173" i="5"/>
  <c r="E1173" i="5"/>
  <c r="B1173" i="5"/>
  <c r="U1172" i="5"/>
  <c r="E1172" i="5"/>
  <c r="B1172" i="5"/>
  <c r="U1171" i="5"/>
  <c r="K1171" i="5"/>
  <c r="E1171" i="5"/>
  <c r="B1171" i="5"/>
  <c r="U1170" i="5"/>
  <c r="K1170" i="5"/>
  <c r="E1170" i="5"/>
  <c r="B1170" i="5"/>
  <c r="U1169" i="5"/>
  <c r="K1169" i="5"/>
  <c r="E1169" i="5"/>
  <c r="B1169" i="5"/>
  <c r="U1168" i="5"/>
  <c r="K1168" i="5"/>
  <c r="E1168" i="5"/>
  <c r="B1168" i="5"/>
  <c r="U1167" i="5"/>
  <c r="K1167" i="5"/>
  <c r="E1167" i="5"/>
  <c r="B1167" i="5"/>
  <c r="U1166" i="5"/>
  <c r="K1166" i="5"/>
  <c r="E1166" i="5"/>
  <c r="B1166" i="5"/>
  <c r="U1165" i="5"/>
  <c r="K1165" i="5"/>
  <c r="E1165" i="5"/>
  <c r="B1165" i="5"/>
  <c r="U1164" i="5"/>
  <c r="K1164" i="5"/>
  <c r="E1164" i="5"/>
  <c r="B1164" i="5"/>
  <c r="U1163" i="5"/>
  <c r="K1163" i="5"/>
  <c r="E1163" i="5"/>
  <c r="B1163" i="5"/>
  <c r="U1162" i="5"/>
  <c r="K1162" i="5"/>
  <c r="E1162" i="5"/>
  <c r="B1162" i="5"/>
  <c r="U1161" i="5"/>
  <c r="K1161" i="5"/>
  <c r="E1161" i="5"/>
  <c r="B1161" i="5"/>
  <c r="U1160" i="5"/>
  <c r="K1160" i="5"/>
  <c r="E1160" i="5"/>
  <c r="B1160" i="5"/>
  <c r="U1159" i="5"/>
  <c r="K1159" i="5"/>
  <c r="E1159" i="5"/>
  <c r="B1159" i="5"/>
  <c r="U1158" i="5"/>
  <c r="K1158" i="5"/>
  <c r="E1158" i="5"/>
  <c r="B1158" i="5"/>
  <c r="U1157" i="5"/>
  <c r="K1157" i="5"/>
  <c r="E1157" i="5"/>
  <c r="B1157" i="5"/>
  <c r="U1156" i="5"/>
  <c r="K1156" i="5"/>
  <c r="E1156" i="5"/>
  <c r="B1156" i="5"/>
  <c r="U1155" i="5"/>
  <c r="K1155" i="5"/>
  <c r="E1155" i="5"/>
  <c r="B1155" i="5"/>
  <c r="U1154" i="5"/>
  <c r="K1154" i="5"/>
  <c r="E1154" i="5"/>
  <c r="B1154" i="5"/>
  <c r="U1153" i="5"/>
  <c r="K1153" i="5"/>
  <c r="E1153" i="5"/>
  <c r="B1153" i="5"/>
  <c r="U1152" i="5"/>
  <c r="E1152" i="5"/>
  <c r="B1152" i="5"/>
  <c r="U1151" i="5"/>
  <c r="K1151" i="5"/>
  <c r="E1151" i="5"/>
  <c r="B1151" i="5"/>
  <c r="U1150" i="5"/>
  <c r="K1150" i="5"/>
  <c r="E1150" i="5"/>
  <c r="B1150" i="5"/>
  <c r="U1149" i="5"/>
  <c r="K1149" i="5"/>
  <c r="E1149" i="5"/>
  <c r="B1149" i="5"/>
  <c r="U1148" i="5"/>
  <c r="K1148" i="5"/>
  <c r="E1148" i="5"/>
  <c r="B1148" i="5"/>
  <c r="U1147" i="5"/>
  <c r="K1147" i="5"/>
  <c r="E1147" i="5"/>
  <c r="B1147" i="5"/>
  <c r="U1146" i="5"/>
  <c r="K1146" i="5"/>
  <c r="E1146" i="5"/>
  <c r="B1146" i="5"/>
  <c r="U1145" i="5"/>
  <c r="K1145" i="5"/>
  <c r="E1145" i="5"/>
  <c r="B1145" i="5"/>
  <c r="U1144" i="5"/>
  <c r="K1144" i="5"/>
  <c r="E1144" i="5"/>
  <c r="B1144" i="5"/>
  <c r="U1143" i="5"/>
  <c r="K1143" i="5"/>
  <c r="E1143" i="5"/>
  <c r="B1143" i="5"/>
  <c r="U1142" i="5"/>
  <c r="K1142" i="5"/>
  <c r="E1142" i="5"/>
  <c r="B1142" i="5"/>
  <c r="U1141" i="5"/>
  <c r="K1141" i="5"/>
  <c r="E1141" i="5"/>
  <c r="B1141" i="5"/>
  <c r="U1140" i="5"/>
  <c r="K1140" i="5"/>
  <c r="E1140" i="5"/>
  <c r="B1140" i="5"/>
  <c r="U1139" i="5"/>
  <c r="K1139" i="5"/>
  <c r="E1139" i="5"/>
  <c r="B1139" i="5"/>
  <c r="U1138" i="5"/>
  <c r="K1138" i="5"/>
  <c r="E1138" i="5"/>
  <c r="B1138" i="5"/>
  <c r="U1137" i="5"/>
  <c r="K1137" i="5"/>
  <c r="E1137" i="5"/>
  <c r="B1137" i="5"/>
  <c r="U1136" i="5"/>
  <c r="K1136" i="5"/>
  <c r="E1136" i="5"/>
  <c r="B1136" i="5"/>
  <c r="U1135" i="5"/>
  <c r="K1135" i="5"/>
  <c r="E1135" i="5"/>
  <c r="B1135" i="5"/>
  <c r="U1134" i="5"/>
  <c r="K1134" i="5"/>
  <c r="E1134" i="5"/>
  <c r="B1134" i="5"/>
  <c r="U1133" i="5"/>
  <c r="K1133" i="5"/>
  <c r="E1133" i="5"/>
  <c r="B1133" i="5"/>
  <c r="U1132" i="5"/>
  <c r="K1132" i="5"/>
  <c r="E1132" i="5"/>
  <c r="B1132" i="5"/>
  <c r="U1131" i="5"/>
  <c r="K1131" i="5"/>
  <c r="E1131" i="5"/>
  <c r="B1131" i="5"/>
  <c r="U1130" i="5"/>
  <c r="K1130" i="5"/>
  <c r="E1130" i="5"/>
  <c r="B1130" i="5"/>
  <c r="U1129" i="5"/>
  <c r="K1129" i="5"/>
  <c r="E1129" i="5"/>
  <c r="B1129" i="5"/>
  <c r="U1128" i="5"/>
  <c r="K1128" i="5"/>
  <c r="E1128" i="5"/>
  <c r="B1128" i="5"/>
  <c r="U1127" i="5"/>
  <c r="K1127" i="5"/>
  <c r="E1127" i="5"/>
  <c r="B1127" i="5"/>
  <c r="U1126" i="5"/>
  <c r="K1126" i="5"/>
  <c r="E1126" i="5"/>
  <c r="B1126" i="5"/>
  <c r="U1125" i="5"/>
  <c r="K1125" i="5"/>
  <c r="E1125" i="5"/>
  <c r="B1125" i="5"/>
  <c r="U1124" i="5"/>
  <c r="K1124" i="5"/>
  <c r="E1124" i="5"/>
  <c r="B1124" i="5"/>
  <c r="U1123" i="5"/>
  <c r="K1123" i="5"/>
  <c r="E1123" i="5"/>
  <c r="B1123" i="5"/>
  <c r="U1122" i="5"/>
  <c r="K1122" i="5"/>
  <c r="E1122" i="5"/>
  <c r="B1122" i="5"/>
  <c r="U1121" i="5"/>
  <c r="K1121" i="5"/>
  <c r="E1121" i="5"/>
  <c r="B1121" i="5"/>
  <c r="U1120" i="5"/>
  <c r="K1120" i="5"/>
  <c r="E1120" i="5"/>
  <c r="B1120" i="5"/>
  <c r="U1119" i="5"/>
  <c r="K1119" i="5"/>
  <c r="E1119" i="5"/>
  <c r="B1119" i="5"/>
  <c r="U1118" i="5"/>
  <c r="K1118" i="5"/>
  <c r="E1118" i="5"/>
  <c r="B1118" i="5"/>
  <c r="U1117" i="5"/>
  <c r="K1117" i="5"/>
  <c r="E1117" i="5"/>
  <c r="B1117" i="5"/>
  <c r="U1116" i="5"/>
  <c r="K1116" i="5"/>
  <c r="E1116" i="5"/>
  <c r="B1116" i="5"/>
  <c r="U1115" i="5"/>
  <c r="K1115" i="5"/>
  <c r="E1115" i="5"/>
  <c r="B1115" i="5"/>
  <c r="U1114" i="5"/>
  <c r="K1114" i="5"/>
  <c r="E1114" i="5"/>
  <c r="B1114" i="5"/>
  <c r="U1113" i="5"/>
  <c r="K1113" i="5"/>
  <c r="E1113" i="5"/>
  <c r="B1113" i="5"/>
  <c r="U1112" i="5"/>
  <c r="K1112" i="5"/>
  <c r="E1112" i="5"/>
  <c r="B1112" i="5"/>
  <c r="U1111" i="5"/>
  <c r="K1111" i="5"/>
  <c r="E1111" i="5"/>
  <c r="B1111" i="5"/>
  <c r="U1110" i="5"/>
  <c r="K1110" i="5"/>
  <c r="E1110" i="5"/>
  <c r="B1110" i="5"/>
  <c r="U1109" i="5"/>
  <c r="K1109" i="5"/>
  <c r="E1109" i="5"/>
  <c r="B1109" i="5"/>
  <c r="U1108" i="5"/>
  <c r="K1108" i="5"/>
  <c r="E1108" i="5"/>
  <c r="B1108" i="5"/>
  <c r="U1107" i="5"/>
  <c r="K1107" i="5"/>
  <c r="E1107" i="5"/>
  <c r="B1107" i="5"/>
  <c r="U1106" i="5"/>
  <c r="K1106" i="5"/>
  <c r="E1106" i="5"/>
  <c r="B1106" i="5"/>
  <c r="U1105" i="5"/>
  <c r="K1105" i="5"/>
  <c r="E1105" i="5"/>
  <c r="B1105" i="5"/>
  <c r="U1104" i="5"/>
  <c r="K1104" i="5"/>
  <c r="E1104" i="5"/>
  <c r="B1104" i="5"/>
  <c r="U1103" i="5"/>
  <c r="K1103" i="5"/>
  <c r="E1103" i="5"/>
  <c r="B1103" i="5"/>
  <c r="U1102" i="5"/>
  <c r="K1102" i="5"/>
  <c r="E1102" i="5"/>
  <c r="B1102" i="5"/>
  <c r="U1101" i="5"/>
  <c r="K1101" i="5"/>
  <c r="E1101" i="5"/>
  <c r="B1101" i="5"/>
  <c r="U1100" i="5"/>
  <c r="K1100" i="5"/>
  <c r="E1100" i="5"/>
  <c r="B1100" i="5"/>
  <c r="U1099" i="5"/>
  <c r="K1099" i="5"/>
  <c r="E1099" i="5"/>
  <c r="B1099" i="5"/>
  <c r="U1098" i="5"/>
  <c r="K1098" i="5"/>
  <c r="E1098" i="5"/>
  <c r="B1098" i="5"/>
  <c r="U1097" i="5"/>
  <c r="K1097" i="5"/>
  <c r="E1097" i="5"/>
  <c r="B1097" i="5"/>
  <c r="U1096" i="5"/>
  <c r="K1096" i="5"/>
  <c r="E1096" i="5"/>
  <c r="B1096" i="5"/>
  <c r="U1095" i="5"/>
  <c r="K1095" i="5"/>
  <c r="E1095" i="5"/>
  <c r="B1095" i="5"/>
  <c r="U1094" i="5"/>
  <c r="K1094" i="5"/>
  <c r="E1094" i="5"/>
  <c r="B1094" i="5"/>
  <c r="U1093" i="5"/>
  <c r="K1093" i="5"/>
  <c r="E1093" i="5"/>
  <c r="B1093" i="5"/>
  <c r="U1092" i="5"/>
  <c r="K1092" i="5"/>
  <c r="E1092" i="5"/>
  <c r="B1092" i="5"/>
  <c r="U1091" i="5"/>
  <c r="K1091" i="5"/>
  <c r="E1091" i="5"/>
  <c r="B1091" i="5"/>
  <c r="U1090" i="5"/>
  <c r="K1090" i="5"/>
  <c r="E1090" i="5"/>
  <c r="B1090" i="5"/>
  <c r="U1089" i="5"/>
  <c r="K1089" i="5"/>
  <c r="E1089" i="5"/>
  <c r="B1089" i="5"/>
  <c r="U1088" i="5"/>
  <c r="K1088" i="5"/>
  <c r="E1088" i="5"/>
  <c r="B1088" i="5"/>
  <c r="U1087" i="5"/>
  <c r="K1087" i="5"/>
  <c r="E1087" i="5"/>
  <c r="B1087" i="5"/>
  <c r="U1086" i="5"/>
  <c r="K1086" i="5"/>
  <c r="E1086" i="5"/>
  <c r="B1086" i="5"/>
  <c r="U1085" i="5"/>
  <c r="K1085" i="5"/>
  <c r="E1085" i="5"/>
  <c r="B1085" i="5"/>
  <c r="U1084" i="5"/>
  <c r="K1084" i="5"/>
  <c r="E1084" i="5"/>
  <c r="B1084" i="5"/>
  <c r="U1083" i="5"/>
  <c r="K1083" i="5"/>
  <c r="E1083" i="5"/>
  <c r="B1083" i="5"/>
  <c r="U1082" i="5"/>
  <c r="K1082" i="5"/>
  <c r="E1082" i="5"/>
  <c r="B1082" i="5"/>
  <c r="U1081" i="5"/>
  <c r="K1081" i="5"/>
  <c r="E1081" i="5"/>
  <c r="B1081" i="5"/>
  <c r="U1080" i="5"/>
  <c r="K1080" i="5"/>
  <c r="E1080" i="5"/>
  <c r="B1080" i="5"/>
  <c r="U1079" i="5"/>
  <c r="K1079" i="5"/>
  <c r="E1079" i="5"/>
  <c r="B1079" i="5"/>
  <c r="U1078" i="5"/>
  <c r="K1078" i="5"/>
  <c r="E1078" i="5"/>
  <c r="B1078" i="5"/>
  <c r="K1077" i="5"/>
  <c r="E1077" i="5"/>
  <c r="B1077" i="5"/>
  <c r="U1076" i="5"/>
  <c r="K1076" i="5"/>
  <c r="E1076" i="5"/>
  <c r="B1076" i="5"/>
  <c r="U1075" i="5"/>
  <c r="K1075" i="5"/>
  <c r="E1075" i="5"/>
  <c r="B1075" i="5"/>
  <c r="U1074" i="5"/>
  <c r="K1074" i="5"/>
  <c r="E1074" i="5"/>
  <c r="B1074" i="5"/>
  <c r="U1073" i="5"/>
  <c r="K1073" i="5"/>
  <c r="E1073" i="5"/>
  <c r="B1073" i="5"/>
  <c r="U1072" i="5"/>
  <c r="K1072" i="5"/>
  <c r="E1072" i="5"/>
  <c r="B1072" i="5"/>
  <c r="U1071" i="5"/>
  <c r="K1071" i="5"/>
  <c r="E1071" i="5"/>
  <c r="B1071" i="5"/>
  <c r="U1070" i="5"/>
  <c r="K1070" i="5"/>
  <c r="E1070" i="5"/>
  <c r="B1070" i="5"/>
  <c r="U1069" i="5"/>
  <c r="K1069" i="5"/>
  <c r="E1069" i="5"/>
  <c r="B1069" i="5"/>
  <c r="U1068" i="5"/>
  <c r="K1068" i="5"/>
  <c r="E1068" i="5"/>
  <c r="B1068" i="5"/>
  <c r="U1067" i="5"/>
  <c r="K1067" i="5"/>
  <c r="E1067" i="5"/>
  <c r="B1067" i="5"/>
  <c r="U1066" i="5"/>
  <c r="K1066" i="5"/>
  <c r="E1066" i="5"/>
  <c r="B1066" i="5"/>
  <c r="U1065" i="5"/>
  <c r="K1065" i="5"/>
  <c r="E1065" i="5"/>
  <c r="B1065" i="5"/>
  <c r="U1064" i="5"/>
  <c r="K1064" i="5"/>
  <c r="E1064" i="5"/>
  <c r="B1064" i="5"/>
  <c r="U1063" i="5"/>
  <c r="E1063" i="5"/>
  <c r="B1063" i="5"/>
  <c r="U1062" i="5"/>
  <c r="K1062" i="5"/>
  <c r="E1062" i="5"/>
  <c r="B1062" i="5"/>
  <c r="U1061" i="5"/>
  <c r="K1061" i="5"/>
  <c r="E1061" i="5"/>
  <c r="B1061" i="5"/>
  <c r="U1060" i="5"/>
  <c r="K1060" i="5"/>
  <c r="E1060" i="5"/>
  <c r="B1060" i="5"/>
  <c r="U1059" i="5"/>
  <c r="K1059" i="5"/>
  <c r="E1059" i="5"/>
  <c r="B1059" i="5"/>
  <c r="U1058" i="5"/>
  <c r="K1058" i="5"/>
  <c r="E1058" i="5"/>
  <c r="B1058" i="5"/>
  <c r="U1057" i="5"/>
  <c r="K1057" i="5"/>
  <c r="E1057" i="5"/>
  <c r="B1057" i="5"/>
  <c r="U1056" i="5"/>
  <c r="K1056" i="5"/>
  <c r="E1056" i="5"/>
  <c r="B1056" i="5"/>
  <c r="U1055" i="5"/>
  <c r="K1055" i="5"/>
  <c r="E1055" i="5"/>
  <c r="B1055" i="5"/>
  <c r="U1054" i="5"/>
  <c r="K1054" i="5"/>
  <c r="E1054" i="5"/>
  <c r="B1054" i="5"/>
  <c r="U1053" i="5"/>
  <c r="K1053" i="5"/>
  <c r="E1053" i="5"/>
  <c r="B1053" i="5"/>
  <c r="U1052" i="5"/>
  <c r="K1052" i="5"/>
  <c r="E1052" i="5"/>
  <c r="B1052" i="5"/>
  <c r="U1051" i="5"/>
  <c r="K1051" i="5"/>
  <c r="E1051" i="5"/>
  <c r="B1051" i="5"/>
  <c r="U1050" i="5"/>
  <c r="K1050" i="5"/>
  <c r="E1050" i="5"/>
  <c r="B1050" i="5"/>
  <c r="U1049" i="5"/>
  <c r="K1049" i="5"/>
  <c r="E1049" i="5"/>
  <c r="B1049" i="5"/>
  <c r="U1048" i="5"/>
  <c r="K1048" i="5"/>
  <c r="E1048" i="5"/>
  <c r="B1048" i="5"/>
  <c r="U1047" i="5"/>
  <c r="K1047" i="5"/>
  <c r="E1047" i="5"/>
  <c r="B1047" i="5"/>
  <c r="U1046" i="5"/>
  <c r="K1046" i="5"/>
  <c r="E1046" i="5"/>
  <c r="B1046" i="5"/>
  <c r="U1045" i="5"/>
  <c r="K1045" i="5"/>
  <c r="E1045" i="5"/>
  <c r="B1045" i="5"/>
  <c r="U1044" i="5"/>
  <c r="K1044" i="5"/>
  <c r="E1044" i="5"/>
  <c r="B1044" i="5"/>
  <c r="U1043" i="5"/>
  <c r="K1043" i="5"/>
  <c r="E1043" i="5"/>
  <c r="B1043" i="5"/>
  <c r="U1042" i="5"/>
  <c r="K1042" i="5"/>
  <c r="E1042" i="5"/>
  <c r="B1042" i="5"/>
  <c r="U1041" i="5"/>
  <c r="K1041" i="5"/>
  <c r="E1041" i="5"/>
  <c r="B1041" i="5"/>
  <c r="U1040" i="5"/>
  <c r="K1040" i="5"/>
  <c r="E1040" i="5"/>
  <c r="B1040" i="5"/>
  <c r="U1039" i="5"/>
  <c r="K1039" i="5"/>
  <c r="E1039" i="5"/>
  <c r="B1039" i="5"/>
  <c r="U1038" i="5"/>
  <c r="K1038" i="5"/>
  <c r="E1038" i="5"/>
  <c r="B1038" i="5"/>
  <c r="U1037" i="5"/>
  <c r="K1037" i="5"/>
  <c r="E1037" i="5"/>
  <c r="B1037" i="5"/>
  <c r="U1036" i="5"/>
  <c r="K1036" i="5"/>
  <c r="E1036" i="5"/>
  <c r="B1036" i="5"/>
  <c r="U1035" i="5"/>
  <c r="K1035" i="5"/>
  <c r="E1035" i="5"/>
  <c r="B1035" i="5"/>
  <c r="U1034" i="5"/>
  <c r="K1034" i="5"/>
  <c r="E1034" i="5"/>
  <c r="B1034" i="5"/>
  <c r="U1033" i="5"/>
  <c r="K1033" i="5"/>
  <c r="E1033" i="5"/>
  <c r="B1033" i="5"/>
  <c r="U1032" i="5"/>
  <c r="K1032" i="5"/>
  <c r="E1032" i="5"/>
  <c r="B1032" i="5"/>
  <c r="U1031" i="5"/>
  <c r="K1031" i="5"/>
  <c r="E1031" i="5"/>
  <c r="B1031" i="5"/>
  <c r="U1030" i="5"/>
  <c r="K1030" i="5"/>
  <c r="E1030" i="5"/>
  <c r="B1030" i="5"/>
  <c r="U1029" i="5"/>
  <c r="K1029" i="5"/>
  <c r="E1029" i="5"/>
  <c r="B1029" i="5"/>
  <c r="U1028" i="5"/>
  <c r="K1028" i="5"/>
  <c r="E1028" i="5"/>
  <c r="B1028" i="5"/>
  <c r="U1027" i="5"/>
  <c r="K1027" i="5"/>
  <c r="E1027" i="5"/>
  <c r="B1027" i="5"/>
  <c r="U1026" i="5"/>
  <c r="K1026" i="5"/>
  <c r="E1026" i="5"/>
  <c r="B1026" i="5"/>
  <c r="U1025" i="5"/>
  <c r="K1025" i="5"/>
  <c r="E1025" i="5"/>
  <c r="B1025" i="5"/>
  <c r="U1024" i="5"/>
  <c r="K1024" i="5"/>
  <c r="E1024" i="5"/>
  <c r="B1024" i="5"/>
  <c r="U1023" i="5"/>
  <c r="K1023" i="5"/>
  <c r="E1023" i="5"/>
  <c r="B1023" i="5"/>
  <c r="U1022" i="5"/>
  <c r="K1022" i="5"/>
  <c r="E1022" i="5"/>
  <c r="B1022" i="5"/>
  <c r="U1021" i="5"/>
  <c r="K1021" i="5"/>
  <c r="E1021" i="5"/>
  <c r="B1021" i="5"/>
  <c r="U1020" i="5"/>
  <c r="K1020" i="5"/>
  <c r="E1020" i="5"/>
  <c r="B1020" i="5"/>
  <c r="U1019" i="5"/>
  <c r="K1019" i="5"/>
  <c r="E1019" i="5"/>
  <c r="B1019" i="5"/>
  <c r="U1018" i="5"/>
  <c r="K1018" i="5"/>
  <c r="E1018" i="5"/>
  <c r="B1018" i="5"/>
  <c r="U1017" i="5"/>
  <c r="K1017" i="5"/>
  <c r="E1017" i="5"/>
  <c r="B1017" i="5"/>
  <c r="U1016" i="5"/>
  <c r="K1016" i="5"/>
  <c r="E1016" i="5"/>
  <c r="B1016" i="5"/>
  <c r="U1015" i="5"/>
  <c r="K1015" i="5"/>
  <c r="E1015" i="5"/>
  <c r="B1015" i="5"/>
  <c r="U1014" i="5"/>
  <c r="K1014" i="5"/>
  <c r="E1014" i="5"/>
  <c r="B1014" i="5"/>
  <c r="U1013" i="5"/>
  <c r="K1013" i="5"/>
  <c r="E1013" i="5"/>
  <c r="B1013" i="5"/>
  <c r="U1012" i="5"/>
  <c r="K1012" i="5"/>
  <c r="E1012" i="5"/>
  <c r="B1012" i="5"/>
  <c r="U1011" i="5"/>
  <c r="K1011" i="5"/>
  <c r="E1011" i="5"/>
  <c r="B1011" i="5"/>
  <c r="U1010" i="5"/>
  <c r="K1010" i="5"/>
  <c r="E1010" i="5"/>
  <c r="B1010" i="5"/>
  <c r="U1009" i="5"/>
  <c r="K1009" i="5"/>
  <c r="E1009" i="5"/>
  <c r="B1009" i="5"/>
  <c r="U1008" i="5"/>
  <c r="K1008" i="5"/>
  <c r="E1008" i="5"/>
  <c r="B1008" i="5"/>
  <c r="U1007" i="5"/>
  <c r="K1007" i="5"/>
  <c r="E1007" i="5"/>
  <c r="B1007" i="5"/>
  <c r="U1006" i="5"/>
  <c r="K1006" i="5"/>
  <c r="E1006" i="5"/>
  <c r="B1006" i="5"/>
  <c r="U1005" i="5"/>
  <c r="K1005" i="5"/>
  <c r="E1005" i="5"/>
  <c r="B1005" i="5"/>
  <c r="U1004" i="5"/>
  <c r="K1004" i="5"/>
  <c r="E1004" i="5"/>
  <c r="B1004" i="5"/>
  <c r="U1003" i="5"/>
  <c r="K1003" i="5"/>
  <c r="E1003" i="5"/>
  <c r="B1003" i="5"/>
  <c r="U1002" i="5"/>
  <c r="K1002" i="5"/>
  <c r="E1002" i="5"/>
  <c r="B1002" i="5"/>
  <c r="U1001" i="5"/>
  <c r="K1001" i="5"/>
  <c r="E1001" i="5"/>
  <c r="B1001" i="5"/>
  <c r="U1000" i="5"/>
  <c r="K1000" i="5"/>
  <c r="E1000" i="5"/>
  <c r="B1000" i="5"/>
  <c r="U999" i="5"/>
  <c r="K999" i="5"/>
  <c r="E999" i="5"/>
  <c r="B999" i="5"/>
  <c r="U998" i="5"/>
  <c r="K998" i="5"/>
  <c r="E998" i="5"/>
  <c r="B998" i="5"/>
  <c r="U997" i="5"/>
  <c r="K997" i="5"/>
  <c r="E997" i="5"/>
  <c r="B997" i="5"/>
  <c r="U996" i="5"/>
  <c r="K996" i="5"/>
  <c r="E996" i="5"/>
  <c r="B996" i="5"/>
  <c r="U995" i="5"/>
  <c r="K995" i="5"/>
  <c r="E995" i="5"/>
  <c r="B995" i="5"/>
  <c r="U994" i="5"/>
  <c r="K994" i="5"/>
  <c r="E994" i="5"/>
  <c r="B994" i="5"/>
  <c r="U993" i="5"/>
  <c r="K993" i="5"/>
  <c r="E993" i="5"/>
  <c r="B993" i="5"/>
  <c r="U992" i="5"/>
  <c r="K992" i="5"/>
  <c r="E992" i="5"/>
  <c r="B992" i="5"/>
  <c r="U991" i="5"/>
  <c r="K991" i="5"/>
  <c r="E991" i="5"/>
  <c r="B991" i="5"/>
  <c r="U990" i="5"/>
  <c r="K990" i="5"/>
  <c r="E990" i="5"/>
  <c r="B990" i="5"/>
  <c r="U989" i="5"/>
  <c r="K989" i="5"/>
  <c r="E989" i="5"/>
  <c r="B989" i="5"/>
  <c r="U988" i="5"/>
  <c r="K988" i="5"/>
  <c r="E988" i="5"/>
  <c r="B988" i="5"/>
  <c r="U987" i="5"/>
  <c r="K987" i="5"/>
  <c r="E987" i="5"/>
  <c r="B987" i="5"/>
  <c r="U986" i="5"/>
  <c r="K986" i="5"/>
  <c r="E986" i="5"/>
  <c r="B986" i="5"/>
  <c r="U985" i="5"/>
  <c r="K985" i="5"/>
  <c r="E985" i="5"/>
  <c r="B985" i="5"/>
  <c r="U984" i="5"/>
  <c r="K984" i="5"/>
  <c r="E984" i="5"/>
  <c r="B984" i="5"/>
  <c r="U983" i="5"/>
  <c r="K983" i="5"/>
  <c r="E983" i="5"/>
  <c r="B983" i="5"/>
  <c r="U982" i="5"/>
  <c r="K982" i="5"/>
  <c r="E982" i="5"/>
  <c r="B982" i="5"/>
  <c r="U981" i="5"/>
  <c r="K981" i="5"/>
  <c r="E981" i="5"/>
  <c r="B981" i="5"/>
  <c r="U980" i="5"/>
  <c r="K980" i="5"/>
  <c r="E980" i="5"/>
  <c r="B980" i="5"/>
  <c r="U979" i="5"/>
  <c r="K979" i="5"/>
  <c r="E979" i="5"/>
  <c r="B979" i="5"/>
  <c r="U978" i="5"/>
  <c r="K978" i="5"/>
  <c r="E978" i="5"/>
  <c r="B978" i="5"/>
  <c r="U977" i="5"/>
  <c r="K977" i="5"/>
  <c r="E977" i="5"/>
  <c r="B977" i="5"/>
  <c r="U976" i="5"/>
  <c r="K976" i="5"/>
  <c r="E976" i="5"/>
  <c r="B976" i="5"/>
  <c r="U975" i="5"/>
  <c r="K975" i="5"/>
  <c r="E975" i="5"/>
  <c r="B975" i="5"/>
  <c r="U974" i="5"/>
  <c r="K974" i="5"/>
  <c r="E974" i="5"/>
  <c r="B974" i="5"/>
  <c r="U973" i="5"/>
  <c r="K973" i="5"/>
  <c r="E973" i="5"/>
  <c r="B973" i="5"/>
  <c r="U972" i="5"/>
  <c r="K972" i="5"/>
  <c r="E972" i="5"/>
  <c r="B972" i="5"/>
  <c r="U971" i="5"/>
  <c r="K971" i="5"/>
  <c r="E971" i="5"/>
  <c r="B971" i="5"/>
  <c r="U970" i="5"/>
  <c r="K970" i="5"/>
  <c r="E970" i="5"/>
  <c r="B970" i="5"/>
  <c r="U969" i="5"/>
  <c r="K969" i="5"/>
  <c r="E969" i="5"/>
  <c r="B969" i="5"/>
  <c r="U968" i="5"/>
  <c r="K968" i="5"/>
  <c r="E968" i="5"/>
  <c r="B968" i="5"/>
  <c r="U967" i="5"/>
  <c r="K967" i="5"/>
  <c r="E967" i="5"/>
  <c r="B967" i="5"/>
  <c r="U966" i="5"/>
  <c r="K966" i="5"/>
  <c r="E966" i="5"/>
  <c r="B966" i="5"/>
  <c r="U965" i="5"/>
  <c r="K965" i="5"/>
  <c r="E965" i="5"/>
  <c r="B965" i="5"/>
  <c r="U964" i="5"/>
  <c r="K964" i="5"/>
  <c r="E964" i="5"/>
  <c r="B964" i="5"/>
  <c r="U963" i="5"/>
  <c r="K963" i="5"/>
  <c r="E963" i="5"/>
  <c r="B963" i="5"/>
  <c r="U962" i="5"/>
  <c r="K962" i="5"/>
  <c r="E962" i="5"/>
  <c r="B962" i="5"/>
  <c r="U961" i="5"/>
  <c r="K961" i="5"/>
  <c r="E961" i="5"/>
  <c r="B961" i="5"/>
  <c r="U960" i="5"/>
  <c r="K960" i="5"/>
  <c r="E960" i="5"/>
  <c r="B960" i="5"/>
  <c r="U959" i="5"/>
  <c r="K959" i="5"/>
  <c r="E959" i="5"/>
  <c r="B959" i="5"/>
  <c r="U958" i="5"/>
  <c r="K958" i="5"/>
  <c r="E958" i="5"/>
  <c r="B958" i="5"/>
  <c r="U957" i="5"/>
  <c r="K957" i="5"/>
  <c r="E957" i="5"/>
  <c r="B957" i="5"/>
  <c r="U956" i="5"/>
  <c r="K956" i="5"/>
  <c r="E956" i="5"/>
  <c r="B956" i="5"/>
  <c r="U955" i="5"/>
  <c r="K955" i="5"/>
  <c r="E955" i="5"/>
  <c r="B955" i="5"/>
  <c r="U954" i="5"/>
  <c r="K954" i="5"/>
  <c r="E954" i="5"/>
  <c r="B954" i="5"/>
  <c r="U953" i="5"/>
  <c r="K953" i="5"/>
  <c r="E953" i="5"/>
  <c r="B953" i="5"/>
  <c r="U952" i="5"/>
  <c r="K952" i="5"/>
  <c r="E952" i="5"/>
  <c r="B952" i="5"/>
  <c r="U951" i="5"/>
  <c r="K951" i="5"/>
  <c r="E951" i="5"/>
  <c r="B951" i="5"/>
  <c r="U950" i="5"/>
  <c r="K950" i="5"/>
  <c r="E950" i="5"/>
  <c r="B950" i="5"/>
  <c r="U949" i="5"/>
  <c r="K949" i="5"/>
  <c r="E949" i="5"/>
  <c r="B949" i="5"/>
  <c r="U948" i="5"/>
  <c r="K948" i="5"/>
  <c r="E948" i="5"/>
  <c r="B948" i="5"/>
  <c r="U947" i="5"/>
  <c r="K947" i="5"/>
  <c r="E947" i="5"/>
  <c r="B947" i="5"/>
  <c r="U946" i="5"/>
  <c r="K946" i="5"/>
  <c r="E946" i="5"/>
  <c r="B946" i="5"/>
  <c r="U945" i="5"/>
  <c r="K945" i="5"/>
  <c r="E945" i="5"/>
  <c r="B945" i="5"/>
  <c r="U944" i="5"/>
  <c r="K944" i="5"/>
  <c r="E944" i="5"/>
  <c r="B944" i="5"/>
  <c r="U943" i="5"/>
  <c r="K943" i="5"/>
  <c r="E943" i="5"/>
  <c r="B943" i="5"/>
  <c r="U942" i="5"/>
  <c r="K942" i="5"/>
  <c r="E942" i="5"/>
  <c r="B942" i="5"/>
  <c r="U941" i="5"/>
  <c r="K941" i="5"/>
  <c r="E941" i="5"/>
  <c r="B941" i="5"/>
  <c r="U940" i="5"/>
  <c r="K940" i="5"/>
  <c r="E940" i="5"/>
  <c r="B940" i="5"/>
  <c r="U939" i="5"/>
  <c r="K939" i="5"/>
  <c r="E939" i="5"/>
  <c r="B939" i="5"/>
  <c r="U938" i="5"/>
  <c r="E938" i="5"/>
  <c r="B938" i="5"/>
  <c r="U937" i="5"/>
  <c r="K937" i="5"/>
  <c r="E937" i="5"/>
  <c r="B937" i="5"/>
  <c r="U936" i="5"/>
  <c r="K936" i="5"/>
  <c r="E936" i="5"/>
  <c r="B936" i="5"/>
  <c r="U935" i="5"/>
  <c r="K935" i="5"/>
  <c r="E935" i="5"/>
  <c r="B935" i="5"/>
  <c r="U934" i="5"/>
  <c r="K934" i="5"/>
  <c r="E934" i="5"/>
  <c r="B934" i="5"/>
  <c r="U933" i="5"/>
  <c r="K933" i="5"/>
  <c r="E933" i="5"/>
  <c r="B933" i="5"/>
  <c r="U932" i="5"/>
  <c r="K932" i="5"/>
  <c r="E932" i="5"/>
  <c r="B932" i="5"/>
  <c r="U931" i="5"/>
  <c r="K931" i="5"/>
  <c r="E931" i="5"/>
  <c r="B931" i="5"/>
  <c r="U930" i="5"/>
  <c r="K930" i="5"/>
  <c r="E930" i="5"/>
  <c r="B930" i="5"/>
  <c r="U929" i="5"/>
  <c r="K929" i="5"/>
  <c r="E929" i="5"/>
  <c r="B929" i="5"/>
  <c r="U928" i="5"/>
  <c r="K928" i="5"/>
  <c r="E928" i="5"/>
  <c r="B928" i="5"/>
  <c r="U927" i="5"/>
  <c r="K927" i="5"/>
  <c r="E927" i="5"/>
  <c r="B927" i="5"/>
  <c r="U926" i="5"/>
  <c r="K926" i="5"/>
  <c r="E926" i="5"/>
  <c r="B926" i="5"/>
  <c r="U925" i="5"/>
  <c r="K925" i="5"/>
  <c r="E925" i="5"/>
  <c r="B925" i="5"/>
  <c r="U924" i="5"/>
  <c r="K924" i="5"/>
  <c r="E924" i="5"/>
  <c r="B924" i="5"/>
  <c r="U923" i="5"/>
  <c r="K923" i="5"/>
  <c r="E923" i="5"/>
  <c r="B923" i="5"/>
  <c r="U922" i="5"/>
  <c r="K922" i="5"/>
  <c r="E922" i="5"/>
  <c r="B922" i="5"/>
  <c r="U921" i="5"/>
  <c r="K921" i="5"/>
  <c r="E921" i="5"/>
  <c r="B921" i="5"/>
  <c r="U920" i="5"/>
  <c r="K920" i="5"/>
  <c r="E920" i="5"/>
  <c r="B920" i="5"/>
  <c r="U919" i="5"/>
  <c r="K919" i="5"/>
  <c r="E919" i="5"/>
  <c r="B919" i="5"/>
  <c r="U918" i="5"/>
  <c r="K918" i="5"/>
  <c r="E918" i="5"/>
  <c r="B918" i="5"/>
  <c r="U917" i="5"/>
  <c r="K917" i="5"/>
  <c r="E917" i="5"/>
  <c r="B917" i="5"/>
  <c r="U916" i="5"/>
  <c r="K916" i="5"/>
  <c r="E916" i="5"/>
  <c r="B916" i="5"/>
  <c r="U915" i="5"/>
  <c r="K915" i="5"/>
  <c r="E915" i="5"/>
  <c r="B915" i="5"/>
  <c r="U914" i="5"/>
  <c r="K914" i="5"/>
  <c r="E914" i="5"/>
  <c r="B914" i="5"/>
  <c r="U913" i="5"/>
  <c r="K913" i="5"/>
  <c r="E913" i="5"/>
  <c r="B913" i="5"/>
  <c r="U912" i="5"/>
  <c r="K912" i="5"/>
  <c r="E912" i="5"/>
  <c r="B912" i="5"/>
  <c r="U911" i="5"/>
  <c r="K911" i="5"/>
  <c r="E911" i="5"/>
  <c r="B911" i="5"/>
  <c r="U910" i="5"/>
  <c r="K910" i="5"/>
  <c r="E910" i="5"/>
  <c r="B910" i="5"/>
  <c r="U909" i="5"/>
  <c r="K909" i="5"/>
  <c r="E909" i="5"/>
  <c r="B909" i="5"/>
  <c r="U908" i="5"/>
  <c r="K908" i="5"/>
  <c r="E908" i="5"/>
  <c r="B908" i="5"/>
  <c r="U907" i="5"/>
  <c r="K907" i="5"/>
  <c r="E907" i="5"/>
  <c r="B907" i="5"/>
  <c r="U906" i="5"/>
  <c r="K906" i="5"/>
  <c r="E906" i="5"/>
  <c r="B906" i="5"/>
  <c r="U905" i="5"/>
  <c r="K905" i="5"/>
  <c r="E905" i="5"/>
  <c r="B905" i="5"/>
  <c r="U904" i="5"/>
  <c r="K904" i="5"/>
  <c r="E904" i="5"/>
  <c r="B904" i="5"/>
  <c r="U903" i="5"/>
  <c r="K903" i="5"/>
  <c r="E903" i="5"/>
  <c r="B903" i="5"/>
  <c r="U902" i="5"/>
  <c r="K902" i="5"/>
  <c r="E902" i="5"/>
  <c r="B902" i="5"/>
  <c r="U901" i="5"/>
  <c r="K901" i="5"/>
  <c r="E901" i="5"/>
  <c r="B901" i="5"/>
  <c r="U900" i="5"/>
  <c r="K900" i="5"/>
  <c r="E900" i="5"/>
  <c r="B900" i="5"/>
  <c r="U899" i="5"/>
  <c r="K899" i="5"/>
  <c r="E899" i="5"/>
  <c r="B899" i="5"/>
  <c r="U898" i="5"/>
  <c r="K898" i="5"/>
  <c r="E898" i="5"/>
  <c r="B898" i="5"/>
  <c r="U897" i="5"/>
  <c r="K897" i="5"/>
  <c r="E897" i="5"/>
  <c r="B897" i="5"/>
  <c r="U896" i="5"/>
  <c r="K896" i="5"/>
  <c r="E896" i="5"/>
  <c r="B896" i="5"/>
  <c r="U895" i="5"/>
  <c r="K895" i="5"/>
  <c r="E895" i="5"/>
  <c r="B895" i="5"/>
  <c r="U894" i="5"/>
  <c r="K894" i="5"/>
  <c r="E894" i="5"/>
  <c r="B894" i="5"/>
  <c r="U893" i="5"/>
  <c r="K893" i="5"/>
  <c r="E893" i="5"/>
  <c r="B893" i="5"/>
  <c r="U892" i="5"/>
  <c r="K892" i="5"/>
  <c r="E892" i="5"/>
  <c r="B892" i="5"/>
  <c r="U891" i="5"/>
  <c r="K891" i="5"/>
  <c r="E891" i="5"/>
  <c r="B891" i="5"/>
  <c r="U890" i="5"/>
  <c r="K890" i="5"/>
  <c r="E890" i="5"/>
  <c r="B890" i="5"/>
  <c r="U889" i="5"/>
  <c r="K889" i="5"/>
  <c r="E889" i="5"/>
  <c r="B889" i="5"/>
  <c r="U888" i="5"/>
  <c r="K888" i="5"/>
  <c r="E888" i="5"/>
  <c r="B888" i="5"/>
  <c r="U887" i="5"/>
  <c r="K887" i="5"/>
  <c r="E887" i="5"/>
  <c r="B887" i="5"/>
  <c r="U886" i="5"/>
  <c r="K886" i="5"/>
  <c r="E886" i="5"/>
  <c r="B886" i="5"/>
  <c r="U885" i="5"/>
  <c r="K885" i="5"/>
  <c r="E885" i="5"/>
  <c r="B885" i="5"/>
  <c r="U884" i="5"/>
  <c r="K884" i="5"/>
  <c r="E884" i="5"/>
  <c r="B884" i="5"/>
  <c r="U883" i="5"/>
  <c r="K883" i="5"/>
  <c r="E883" i="5"/>
  <c r="B883" i="5"/>
  <c r="U882" i="5"/>
  <c r="K882" i="5"/>
  <c r="E882" i="5"/>
  <c r="B882" i="5"/>
  <c r="U881" i="5"/>
  <c r="K881" i="5"/>
  <c r="E881" i="5"/>
  <c r="B881" i="5"/>
  <c r="U880" i="5"/>
  <c r="K880" i="5"/>
  <c r="E880" i="5"/>
  <c r="B880" i="5"/>
  <c r="U879" i="5"/>
  <c r="K879" i="5"/>
  <c r="E879" i="5"/>
  <c r="B879" i="5"/>
  <c r="U878" i="5"/>
  <c r="K878" i="5"/>
  <c r="E878" i="5"/>
  <c r="B878" i="5"/>
  <c r="U877" i="5"/>
  <c r="K877" i="5"/>
  <c r="E877" i="5"/>
  <c r="B877" i="5"/>
  <c r="U876" i="5"/>
  <c r="K876" i="5"/>
  <c r="E876" i="5"/>
  <c r="B876" i="5"/>
  <c r="U875" i="5"/>
  <c r="K875" i="5"/>
  <c r="E875" i="5"/>
  <c r="B875" i="5"/>
  <c r="U874" i="5"/>
  <c r="K874" i="5"/>
  <c r="E874" i="5"/>
  <c r="B874" i="5"/>
  <c r="U873" i="5"/>
  <c r="K873" i="5"/>
  <c r="E873" i="5"/>
  <c r="B873" i="5"/>
  <c r="U872" i="5"/>
  <c r="K872" i="5"/>
  <c r="E872" i="5"/>
  <c r="B872" i="5"/>
  <c r="U871" i="5"/>
  <c r="K871" i="5"/>
  <c r="E871" i="5"/>
  <c r="B871" i="5"/>
  <c r="U870" i="5"/>
  <c r="K870" i="5"/>
  <c r="E870" i="5"/>
  <c r="B870" i="5"/>
  <c r="U869" i="5"/>
  <c r="K869" i="5"/>
  <c r="E869" i="5"/>
  <c r="B869" i="5"/>
  <c r="U868" i="5"/>
  <c r="K868" i="5"/>
  <c r="E868" i="5"/>
  <c r="B868" i="5"/>
  <c r="U867" i="5"/>
  <c r="K867" i="5"/>
  <c r="E867" i="5"/>
  <c r="B867" i="5"/>
  <c r="U866" i="5"/>
  <c r="K866" i="5"/>
  <c r="E866" i="5"/>
  <c r="B866" i="5"/>
  <c r="U865" i="5"/>
  <c r="K865" i="5"/>
  <c r="E865" i="5"/>
  <c r="B865" i="5"/>
  <c r="U864" i="5"/>
  <c r="E864" i="5"/>
  <c r="B864" i="5"/>
  <c r="U863" i="5"/>
  <c r="K863" i="5"/>
  <c r="E863" i="5"/>
  <c r="B863" i="5"/>
  <c r="U862" i="5"/>
  <c r="K862" i="5"/>
  <c r="E862" i="5"/>
  <c r="B862" i="5"/>
  <c r="U861" i="5"/>
  <c r="K861" i="5"/>
  <c r="E861" i="5"/>
  <c r="B861" i="5"/>
  <c r="U860" i="5"/>
  <c r="K860" i="5"/>
  <c r="E860" i="5"/>
  <c r="B860" i="5"/>
  <c r="U859" i="5"/>
  <c r="K859" i="5"/>
  <c r="E859" i="5"/>
  <c r="B859" i="5"/>
  <c r="U858" i="5"/>
  <c r="K858" i="5"/>
  <c r="E858" i="5"/>
  <c r="B858" i="5"/>
  <c r="U857" i="5"/>
  <c r="K857" i="5"/>
  <c r="E857" i="5"/>
  <c r="B857" i="5"/>
  <c r="U856" i="5"/>
  <c r="K856" i="5"/>
  <c r="E856" i="5"/>
  <c r="B856" i="5"/>
  <c r="U855" i="5"/>
  <c r="K855" i="5"/>
  <c r="E855" i="5"/>
  <c r="B855" i="5"/>
  <c r="U854" i="5"/>
  <c r="E854" i="5"/>
  <c r="B854" i="5"/>
  <c r="U853" i="5"/>
  <c r="K853" i="5"/>
  <c r="E853" i="5"/>
  <c r="B853" i="5"/>
  <c r="U852" i="5"/>
  <c r="K852" i="5"/>
  <c r="E852" i="5"/>
  <c r="B852" i="5"/>
  <c r="U851" i="5"/>
  <c r="K851" i="5"/>
  <c r="E851" i="5"/>
  <c r="B851" i="5"/>
  <c r="U850" i="5"/>
  <c r="K850" i="5"/>
  <c r="E850" i="5"/>
  <c r="B850" i="5"/>
  <c r="U849" i="5"/>
  <c r="K849" i="5"/>
  <c r="E849" i="5"/>
  <c r="B849" i="5"/>
  <c r="U848" i="5"/>
  <c r="K848" i="5"/>
  <c r="E848" i="5"/>
  <c r="B848" i="5"/>
  <c r="U847" i="5"/>
  <c r="K847" i="5"/>
  <c r="E847" i="5"/>
  <c r="B847" i="5"/>
  <c r="U846" i="5"/>
  <c r="K846" i="5"/>
  <c r="E846" i="5"/>
  <c r="B846" i="5"/>
  <c r="U845" i="5"/>
  <c r="K845" i="5"/>
  <c r="E845" i="5"/>
  <c r="B845" i="5"/>
  <c r="U844" i="5"/>
  <c r="K844" i="5"/>
  <c r="E844" i="5"/>
  <c r="B844" i="5"/>
  <c r="U843" i="5"/>
  <c r="K843" i="5"/>
  <c r="E843" i="5"/>
  <c r="B843" i="5"/>
  <c r="U842" i="5"/>
  <c r="K842" i="5"/>
  <c r="E842" i="5"/>
  <c r="B842" i="5"/>
  <c r="U841" i="5"/>
  <c r="K841" i="5"/>
  <c r="E841" i="5"/>
  <c r="B841" i="5"/>
  <c r="U840" i="5"/>
  <c r="K840" i="5"/>
  <c r="E840" i="5"/>
  <c r="B840" i="5"/>
  <c r="U839" i="5"/>
  <c r="K839" i="5"/>
  <c r="E839" i="5"/>
  <c r="B839" i="5"/>
  <c r="U838" i="5"/>
  <c r="K838" i="5"/>
  <c r="E838" i="5"/>
  <c r="B838" i="5"/>
  <c r="U837" i="5"/>
  <c r="K837" i="5"/>
  <c r="E837" i="5"/>
  <c r="B837" i="5"/>
  <c r="U836" i="5"/>
  <c r="K836" i="5"/>
  <c r="E836" i="5"/>
  <c r="B836" i="5"/>
  <c r="U835" i="5"/>
  <c r="K835" i="5"/>
  <c r="E835" i="5"/>
  <c r="B835" i="5"/>
  <c r="U834" i="5"/>
  <c r="K834" i="5"/>
  <c r="E834" i="5"/>
  <c r="B834" i="5"/>
  <c r="U833" i="5"/>
  <c r="K833" i="5"/>
  <c r="E833" i="5"/>
  <c r="B833" i="5"/>
  <c r="U832" i="5"/>
  <c r="K832" i="5"/>
  <c r="E832" i="5"/>
  <c r="B832" i="5"/>
  <c r="U831" i="5"/>
  <c r="K831" i="5"/>
  <c r="E831" i="5"/>
  <c r="B831" i="5"/>
  <c r="U830" i="5"/>
  <c r="K830" i="5"/>
  <c r="E830" i="5"/>
  <c r="B830" i="5"/>
  <c r="U829" i="5"/>
  <c r="K829" i="5"/>
  <c r="E829" i="5"/>
  <c r="B829" i="5"/>
  <c r="U828" i="5"/>
  <c r="K828" i="5"/>
  <c r="E828" i="5"/>
  <c r="B828" i="5"/>
  <c r="U827" i="5"/>
  <c r="K827" i="5"/>
  <c r="E827" i="5"/>
  <c r="B827" i="5"/>
  <c r="U826" i="5"/>
  <c r="K826" i="5"/>
  <c r="E826" i="5"/>
  <c r="B826" i="5"/>
  <c r="U825" i="5"/>
  <c r="K825" i="5"/>
  <c r="E825" i="5"/>
  <c r="B825" i="5"/>
  <c r="U824" i="5"/>
  <c r="K824" i="5"/>
  <c r="E824" i="5"/>
  <c r="B824" i="5"/>
  <c r="U823" i="5"/>
  <c r="K823" i="5"/>
  <c r="E823" i="5"/>
  <c r="B823" i="5"/>
  <c r="U822" i="5"/>
  <c r="K822" i="5"/>
  <c r="E822" i="5"/>
  <c r="B822" i="5"/>
  <c r="U821" i="5"/>
  <c r="K821" i="5"/>
  <c r="E821" i="5"/>
  <c r="B821" i="5"/>
  <c r="U820" i="5"/>
  <c r="K820" i="5"/>
  <c r="E820" i="5"/>
  <c r="B820" i="5"/>
  <c r="U819" i="5"/>
  <c r="K819" i="5"/>
  <c r="E819" i="5"/>
  <c r="B819" i="5"/>
  <c r="U818" i="5"/>
  <c r="K818" i="5"/>
  <c r="E818" i="5"/>
  <c r="B818" i="5"/>
  <c r="U817" i="5"/>
  <c r="K817" i="5"/>
  <c r="E817" i="5"/>
  <c r="B817" i="5"/>
  <c r="U816" i="5"/>
  <c r="K816" i="5"/>
  <c r="E816" i="5"/>
  <c r="B816" i="5"/>
  <c r="U815" i="5"/>
  <c r="K815" i="5"/>
  <c r="E815" i="5"/>
  <c r="B815" i="5"/>
  <c r="U814" i="5"/>
  <c r="K814" i="5"/>
  <c r="E814" i="5"/>
  <c r="B814" i="5"/>
  <c r="U813" i="5"/>
  <c r="K813" i="5"/>
  <c r="E813" i="5"/>
  <c r="B813" i="5"/>
  <c r="U812" i="5"/>
  <c r="K812" i="5"/>
  <c r="E812" i="5"/>
  <c r="B812" i="5"/>
  <c r="U811" i="5"/>
  <c r="K811" i="5"/>
  <c r="E811" i="5"/>
  <c r="B811" i="5"/>
  <c r="U810" i="5"/>
  <c r="K810" i="5"/>
  <c r="E810" i="5"/>
  <c r="B810" i="5"/>
  <c r="U809" i="5"/>
  <c r="K809" i="5"/>
  <c r="E809" i="5"/>
  <c r="B809" i="5"/>
  <c r="U808" i="5"/>
  <c r="K808" i="5"/>
  <c r="E808" i="5"/>
  <c r="B808" i="5"/>
  <c r="U807" i="5"/>
  <c r="K807" i="5"/>
  <c r="E807" i="5"/>
  <c r="B807" i="5"/>
  <c r="U806" i="5"/>
  <c r="K806" i="5"/>
  <c r="E806" i="5"/>
  <c r="B806" i="5"/>
  <c r="U805" i="5"/>
  <c r="K805" i="5"/>
  <c r="E805" i="5"/>
  <c r="B805" i="5"/>
  <c r="U804" i="5"/>
  <c r="K804" i="5"/>
  <c r="E804" i="5"/>
  <c r="B804" i="5"/>
  <c r="U803" i="5"/>
  <c r="K803" i="5"/>
  <c r="E803" i="5"/>
  <c r="B803" i="5"/>
  <c r="U802" i="5"/>
  <c r="K802" i="5"/>
  <c r="E802" i="5"/>
  <c r="B802" i="5"/>
  <c r="U801" i="5"/>
  <c r="K801" i="5"/>
  <c r="E801" i="5"/>
  <c r="B801" i="5"/>
  <c r="U800" i="5"/>
  <c r="K800" i="5"/>
  <c r="E800" i="5"/>
  <c r="B800" i="5"/>
  <c r="U799" i="5"/>
  <c r="K799" i="5"/>
  <c r="E799" i="5"/>
  <c r="B799" i="5"/>
  <c r="U798" i="5"/>
  <c r="K798" i="5"/>
  <c r="E798" i="5"/>
  <c r="B798" i="5"/>
  <c r="U797" i="5"/>
  <c r="K797" i="5"/>
  <c r="E797" i="5"/>
  <c r="B797" i="5"/>
  <c r="U796" i="5"/>
  <c r="E796" i="5"/>
  <c r="B796" i="5"/>
  <c r="U795" i="5"/>
  <c r="K795" i="5"/>
  <c r="E795" i="5"/>
  <c r="B795" i="5"/>
  <c r="U794" i="5"/>
  <c r="K794" i="5"/>
  <c r="E794" i="5"/>
  <c r="B794" i="5"/>
  <c r="U793" i="5"/>
  <c r="K793" i="5"/>
  <c r="E793" i="5"/>
  <c r="B793" i="5"/>
  <c r="U792" i="5"/>
  <c r="K792" i="5"/>
  <c r="E792" i="5"/>
  <c r="B792" i="5"/>
  <c r="U791" i="5"/>
  <c r="K791" i="5"/>
  <c r="E791" i="5"/>
  <c r="B791" i="5"/>
  <c r="U790" i="5"/>
  <c r="K790" i="5"/>
  <c r="E790" i="5"/>
  <c r="B790" i="5"/>
  <c r="U789" i="5"/>
  <c r="K789" i="5"/>
  <c r="E789" i="5"/>
  <c r="B789" i="5"/>
  <c r="U788" i="5"/>
  <c r="K788" i="5"/>
  <c r="E788" i="5"/>
  <c r="B788" i="5"/>
  <c r="U787" i="5"/>
  <c r="K787" i="5"/>
  <c r="E787" i="5"/>
  <c r="B787" i="5"/>
  <c r="U786" i="5"/>
  <c r="K786" i="5"/>
  <c r="E786" i="5"/>
  <c r="B786" i="5"/>
  <c r="U785" i="5"/>
  <c r="K785" i="5"/>
  <c r="E785" i="5"/>
  <c r="B785" i="5"/>
  <c r="U784" i="5"/>
  <c r="K784" i="5"/>
  <c r="E784" i="5"/>
  <c r="B784" i="5"/>
  <c r="U783" i="5"/>
  <c r="K783" i="5"/>
  <c r="E783" i="5"/>
  <c r="B783" i="5"/>
  <c r="U782" i="5"/>
  <c r="K782" i="5"/>
  <c r="E782" i="5"/>
  <c r="B782" i="5"/>
  <c r="U781" i="5"/>
  <c r="K781" i="5"/>
  <c r="E781" i="5"/>
  <c r="B781" i="5"/>
  <c r="U780" i="5"/>
  <c r="K780" i="5"/>
  <c r="E780" i="5"/>
  <c r="B780" i="5"/>
  <c r="U779" i="5"/>
  <c r="K779" i="5"/>
  <c r="E779" i="5"/>
  <c r="B779" i="5"/>
  <c r="U778" i="5"/>
  <c r="K778" i="5"/>
  <c r="E778" i="5"/>
  <c r="B778" i="5"/>
  <c r="U777" i="5"/>
  <c r="K777" i="5"/>
  <c r="E777" i="5"/>
  <c r="B777" i="5"/>
  <c r="U776" i="5"/>
  <c r="K776" i="5"/>
  <c r="E776" i="5"/>
  <c r="B776" i="5"/>
  <c r="U775" i="5"/>
  <c r="K775" i="5"/>
  <c r="E775" i="5"/>
  <c r="B775" i="5"/>
  <c r="U774" i="5"/>
  <c r="K774" i="5"/>
  <c r="E774" i="5"/>
  <c r="B774" i="5"/>
  <c r="U773" i="5"/>
  <c r="K773" i="5"/>
  <c r="E773" i="5"/>
  <c r="B773" i="5"/>
  <c r="U772" i="5"/>
  <c r="K772" i="5"/>
  <c r="E772" i="5"/>
  <c r="B772" i="5"/>
  <c r="U771" i="5"/>
  <c r="K771" i="5"/>
  <c r="E771" i="5"/>
  <c r="B771" i="5"/>
  <c r="U770" i="5"/>
  <c r="K770" i="5"/>
  <c r="E770" i="5"/>
  <c r="B770" i="5"/>
  <c r="U769" i="5"/>
  <c r="K769" i="5"/>
  <c r="E769" i="5"/>
  <c r="B769" i="5"/>
  <c r="U768" i="5"/>
  <c r="K768" i="5"/>
  <c r="E768" i="5"/>
  <c r="B768" i="5"/>
  <c r="U767" i="5"/>
  <c r="K767" i="5"/>
  <c r="E767" i="5"/>
  <c r="B767" i="5"/>
  <c r="U766" i="5"/>
  <c r="K766" i="5"/>
  <c r="E766" i="5"/>
  <c r="B766" i="5"/>
  <c r="U765" i="5"/>
  <c r="K765" i="5"/>
  <c r="E765" i="5"/>
  <c r="B765" i="5"/>
  <c r="U764" i="5"/>
  <c r="K764" i="5"/>
  <c r="E764" i="5"/>
  <c r="B764" i="5"/>
  <c r="U763" i="5"/>
  <c r="K763" i="5"/>
  <c r="E763" i="5"/>
  <c r="B763" i="5"/>
  <c r="U762" i="5"/>
  <c r="K762" i="5"/>
  <c r="E762" i="5"/>
  <c r="B762" i="5"/>
  <c r="U761" i="5"/>
  <c r="K761" i="5"/>
  <c r="E761" i="5"/>
  <c r="B761" i="5"/>
  <c r="U760" i="5"/>
  <c r="K760" i="5"/>
  <c r="E760" i="5"/>
  <c r="B760" i="5"/>
  <c r="U759" i="5"/>
  <c r="K759" i="5"/>
  <c r="E759" i="5"/>
  <c r="B759" i="5"/>
  <c r="U758" i="5"/>
  <c r="K758" i="5"/>
  <c r="E758" i="5"/>
  <c r="B758" i="5"/>
  <c r="U757" i="5"/>
  <c r="K757" i="5"/>
  <c r="E757" i="5"/>
  <c r="B757" i="5"/>
  <c r="U756" i="5"/>
  <c r="K756" i="5"/>
  <c r="E756" i="5"/>
  <c r="B756" i="5"/>
  <c r="U755" i="5"/>
  <c r="K755" i="5"/>
  <c r="E755" i="5"/>
  <c r="B755" i="5"/>
  <c r="U754" i="5"/>
  <c r="K754" i="5"/>
  <c r="E754" i="5"/>
  <c r="B754" i="5"/>
  <c r="U753" i="5"/>
  <c r="K753" i="5"/>
  <c r="E753" i="5"/>
  <c r="B753" i="5"/>
  <c r="U752" i="5"/>
  <c r="K752" i="5"/>
  <c r="E752" i="5"/>
  <c r="B752" i="5"/>
  <c r="U751" i="5"/>
  <c r="K751" i="5"/>
  <c r="E751" i="5"/>
  <c r="B751" i="5"/>
  <c r="U750" i="5"/>
  <c r="K750" i="5"/>
  <c r="E750" i="5"/>
  <c r="B750" i="5"/>
  <c r="U749" i="5"/>
  <c r="K749" i="5"/>
  <c r="E749" i="5"/>
  <c r="B749" i="5"/>
  <c r="U748" i="5"/>
  <c r="K748" i="5"/>
  <c r="E748" i="5"/>
  <c r="B748" i="5"/>
  <c r="U747" i="5"/>
  <c r="K747" i="5"/>
  <c r="E747" i="5"/>
  <c r="B747" i="5"/>
  <c r="U746" i="5"/>
  <c r="K746" i="5"/>
  <c r="E746" i="5"/>
  <c r="B746" i="5"/>
  <c r="U745" i="5"/>
  <c r="K745" i="5"/>
  <c r="E745" i="5"/>
  <c r="B745" i="5"/>
  <c r="U744" i="5"/>
  <c r="K744" i="5"/>
  <c r="E744" i="5"/>
  <c r="B744" i="5"/>
  <c r="U743" i="5"/>
  <c r="K743" i="5"/>
  <c r="E743" i="5"/>
  <c r="B743" i="5"/>
  <c r="U742" i="5"/>
  <c r="K742" i="5"/>
  <c r="E742" i="5"/>
  <c r="B742" i="5"/>
  <c r="U741" i="5"/>
  <c r="K741" i="5"/>
  <c r="E741" i="5"/>
  <c r="B741" i="5"/>
  <c r="U740" i="5"/>
  <c r="K740" i="5"/>
  <c r="E740" i="5"/>
  <c r="B740" i="5"/>
  <c r="U739" i="5"/>
  <c r="K739" i="5"/>
  <c r="E739" i="5"/>
  <c r="B739" i="5"/>
  <c r="U738" i="5"/>
  <c r="K738" i="5"/>
  <c r="E738" i="5"/>
  <c r="B738" i="5"/>
  <c r="U737" i="5"/>
  <c r="K737" i="5"/>
  <c r="E737" i="5"/>
  <c r="B737" i="5"/>
  <c r="U736" i="5"/>
  <c r="K736" i="5"/>
  <c r="E736" i="5"/>
  <c r="B736" i="5"/>
  <c r="U735" i="5"/>
  <c r="K735" i="5"/>
  <c r="E735" i="5"/>
  <c r="B735" i="5"/>
  <c r="U734" i="5"/>
  <c r="K734" i="5"/>
  <c r="E734" i="5"/>
  <c r="B734" i="5"/>
  <c r="U733" i="5"/>
  <c r="K733" i="5"/>
  <c r="E733" i="5"/>
  <c r="B733" i="5"/>
  <c r="U732" i="5"/>
  <c r="K732" i="5"/>
  <c r="E732" i="5"/>
  <c r="B732" i="5"/>
  <c r="U731" i="5"/>
  <c r="K731" i="5"/>
  <c r="E731" i="5"/>
  <c r="B731" i="5"/>
  <c r="U730" i="5"/>
  <c r="K730" i="5"/>
  <c r="E730" i="5"/>
  <c r="B730" i="5"/>
  <c r="U729" i="5"/>
  <c r="K729" i="5"/>
  <c r="E729" i="5"/>
  <c r="B729" i="5"/>
  <c r="U728" i="5"/>
  <c r="K728" i="5"/>
  <c r="E728" i="5"/>
  <c r="B728" i="5"/>
  <c r="U727" i="5"/>
  <c r="K727" i="5"/>
  <c r="E727" i="5"/>
  <c r="B727" i="5"/>
  <c r="U726" i="5"/>
  <c r="K726" i="5"/>
  <c r="E726" i="5"/>
  <c r="B726" i="5"/>
  <c r="U725" i="5"/>
  <c r="K725" i="5"/>
  <c r="E725" i="5"/>
  <c r="B725" i="5"/>
  <c r="U724" i="5"/>
  <c r="K724" i="5"/>
  <c r="E724" i="5"/>
  <c r="B724" i="5"/>
  <c r="U723" i="5"/>
  <c r="K723" i="5"/>
  <c r="E723" i="5"/>
  <c r="B723" i="5"/>
  <c r="U722" i="5"/>
  <c r="K722" i="5"/>
  <c r="E722" i="5"/>
  <c r="B722" i="5"/>
  <c r="U721" i="5"/>
  <c r="K721" i="5"/>
  <c r="E721" i="5"/>
  <c r="B721" i="5"/>
  <c r="U720" i="5"/>
  <c r="K720" i="5"/>
  <c r="E720" i="5"/>
  <c r="B720" i="5"/>
  <c r="U719" i="5"/>
  <c r="K719" i="5"/>
  <c r="E719" i="5"/>
  <c r="B719" i="5"/>
  <c r="U718" i="5"/>
  <c r="K718" i="5"/>
  <c r="E718" i="5"/>
  <c r="B718" i="5"/>
  <c r="U717" i="5"/>
  <c r="K717" i="5"/>
  <c r="E717" i="5"/>
  <c r="B717" i="5"/>
  <c r="U716" i="5"/>
  <c r="K716" i="5"/>
  <c r="E716" i="5"/>
  <c r="B716" i="5"/>
  <c r="U715" i="5"/>
  <c r="K715" i="5"/>
  <c r="E715" i="5"/>
  <c r="B715" i="5"/>
  <c r="U714" i="5"/>
  <c r="K714" i="5"/>
  <c r="E714" i="5"/>
  <c r="B714" i="5"/>
  <c r="U713" i="5"/>
  <c r="K713" i="5"/>
  <c r="E713" i="5"/>
  <c r="B713" i="5"/>
  <c r="U712" i="5"/>
  <c r="K712" i="5"/>
  <c r="E712" i="5"/>
  <c r="B712" i="5"/>
  <c r="U711" i="5"/>
  <c r="K711" i="5"/>
  <c r="E711" i="5"/>
  <c r="B711" i="5"/>
  <c r="U710" i="5"/>
  <c r="K710" i="5"/>
  <c r="E710" i="5"/>
  <c r="B710" i="5"/>
  <c r="U709" i="5"/>
  <c r="K709" i="5"/>
  <c r="E709" i="5"/>
  <c r="B709" i="5"/>
  <c r="U708" i="5"/>
  <c r="K708" i="5"/>
  <c r="E708" i="5"/>
  <c r="B708" i="5"/>
  <c r="U707" i="5"/>
  <c r="K707" i="5"/>
  <c r="E707" i="5"/>
  <c r="B707" i="5"/>
  <c r="U706" i="5"/>
  <c r="K706" i="5"/>
  <c r="E706" i="5"/>
  <c r="B706" i="5"/>
  <c r="U705" i="5"/>
  <c r="K705" i="5"/>
  <c r="E705" i="5"/>
  <c r="B705" i="5"/>
  <c r="U704" i="5"/>
  <c r="K704" i="5"/>
  <c r="E704" i="5"/>
  <c r="B704" i="5"/>
  <c r="U703" i="5"/>
  <c r="K703" i="5"/>
  <c r="E703" i="5"/>
  <c r="B703" i="5"/>
  <c r="U702" i="5"/>
  <c r="K702" i="5"/>
  <c r="E702" i="5"/>
  <c r="B702" i="5"/>
  <c r="U701" i="5"/>
  <c r="K701" i="5"/>
  <c r="E701" i="5"/>
  <c r="B701" i="5"/>
  <c r="U700" i="5"/>
  <c r="K700" i="5"/>
  <c r="E700" i="5"/>
  <c r="B700" i="5"/>
  <c r="U699" i="5"/>
  <c r="K699" i="5"/>
  <c r="E699" i="5"/>
  <c r="B699" i="5"/>
  <c r="U698" i="5"/>
  <c r="K698" i="5"/>
  <c r="E698" i="5"/>
  <c r="B698" i="5"/>
  <c r="U697" i="5"/>
  <c r="K697" i="5"/>
  <c r="E697" i="5"/>
  <c r="B697" i="5"/>
  <c r="U696" i="5"/>
  <c r="K696" i="5"/>
  <c r="E696" i="5"/>
  <c r="B696" i="5"/>
  <c r="U695" i="5"/>
  <c r="K695" i="5"/>
  <c r="E695" i="5"/>
  <c r="B695" i="5"/>
  <c r="U694" i="5"/>
  <c r="K694" i="5"/>
  <c r="E694" i="5"/>
  <c r="B694" i="5"/>
  <c r="U693" i="5"/>
  <c r="K693" i="5"/>
  <c r="E693" i="5"/>
  <c r="B693" i="5"/>
  <c r="U692" i="5"/>
  <c r="K692" i="5"/>
  <c r="E692" i="5"/>
  <c r="B692" i="5"/>
  <c r="U691" i="5"/>
  <c r="K691" i="5"/>
  <c r="E691" i="5"/>
  <c r="B691" i="5"/>
  <c r="U690" i="5"/>
  <c r="K690" i="5"/>
  <c r="E690" i="5"/>
  <c r="B690" i="5"/>
  <c r="U689" i="5"/>
  <c r="K689" i="5"/>
  <c r="E689" i="5"/>
  <c r="B689" i="5"/>
  <c r="U688" i="5"/>
  <c r="K688" i="5"/>
  <c r="E688" i="5"/>
  <c r="B688" i="5"/>
  <c r="U687" i="5"/>
  <c r="K687" i="5"/>
  <c r="E687" i="5"/>
  <c r="B687" i="5"/>
  <c r="U686" i="5"/>
  <c r="K686" i="5"/>
  <c r="E686" i="5"/>
  <c r="B686" i="5"/>
  <c r="U685" i="5"/>
  <c r="K685" i="5"/>
  <c r="E685" i="5"/>
  <c r="B685" i="5"/>
  <c r="U684" i="5"/>
  <c r="K684" i="5"/>
  <c r="E684" i="5"/>
  <c r="B684" i="5"/>
  <c r="U683" i="5"/>
  <c r="K683" i="5"/>
  <c r="E683" i="5"/>
  <c r="B683" i="5"/>
  <c r="U682" i="5"/>
  <c r="K682" i="5"/>
  <c r="E682" i="5"/>
  <c r="B682" i="5"/>
  <c r="U681" i="5"/>
  <c r="K681" i="5"/>
  <c r="E681" i="5"/>
  <c r="B681" i="5"/>
  <c r="U680" i="5"/>
  <c r="K680" i="5"/>
  <c r="E680" i="5"/>
  <c r="B680" i="5"/>
  <c r="U679" i="5"/>
  <c r="K679" i="5"/>
  <c r="E679" i="5"/>
  <c r="B679" i="5"/>
  <c r="U678" i="5"/>
  <c r="K678" i="5"/>
  <c r="E678" i="5"/>
  <c r="B678" i="5"/>
  <c r="U677" i="5"/>
  <c r="K677" i="5"/>
  <c r="E677" i="5"/>
  <c r="B677" i="5"/>
  <c r="U676" i="5"/>
  <c r="K676" i="5"/>
  <c r="E676" i="5"/>
  <c r="B676" i="5"/>
  <c r="U675" i="5"/>
  <c r="K675" i="5"/>
  <c r="E675" i="5"/>
  <c r="B675" i="5"/>
  <c r="U674" i="5"/>
  <c r="K674" i="5"/>
  <c r="E674" i="5"/>
  <c r="B674" i="5"/>
  <c r="U673" i="5"/>
  <c r="K673" i="5"/>
  <c r="E673" i="5"/>
  <c r="B673" i="5"/>
  <c r="U672" i="5"/>
  <c r="K672" i="5"/>
  <c r="E672" i="5"/>
  <c r="B672" i="5"/>
  <c r="U671" i="5"/>
  <c r="K671" i="5"/>
  <c r="E671" i="5"/>
  <c r="B671" i="5"/>
  <c r="U670" i="5"/>
  <c r="K670" i="5"/>
  <c r="E670" i="5"/>
  <c r="B670" i="5"/>
  <c r="U669" i="5"/>
  <c r="K669" i="5"/>
  <c r="E669" i="5"/>
  <c r="B669" i="5"/>
  <c r="U668" i="5"/>
  <c r="K668" i="5"/>
  <c r="E668" i="5"/>
  <c r="B668" i="5"/>
  <c r="U667" i="5"/>
  <c r="K667" i="5"/>
  <c r="E667" i="5"/>
  <c r="B667" i="5"/>
  <c r="U666" i="5"/>
  <c r="K666" i="5"/>
  <c r="E666" i="5"/>
  <c r="B666" i="5"/>
  <c r="U665" i="5"/>
  <c r="K665" i="5"/>
  <c r="E665" i="5"/>
  <c r="B665" i="5"/>
  <c r="U664" i="5"/>
  <c r="K664" i="5"/>
  <c r="E664" i="5"/>
  <c r="B664" i="5"/>
  <c r="U663" i="5"/>
  <c r="K663" i="5"/>
  <c r="E663" i="5"/>
  <c r="B663" i="5"/>
  <c r="U662" i="5"/>
  <c r="K662" i="5"/>
  <c r="E662" i="5"/>
  <c r="B662" i="5"/>
  <c r="U661" i="5"/>
  <c r="K661" i="5"/>
  <c r="E661" i="5"/>
  <c r="B661" i="5"/>
  <c r="U660" i="5"/>
  <c r="K660" i="5"/>
  <c r="E660" i="5"/>
  <c r="B660" i="5"/>
  <c r="U659" i="5"/>
  <c r="K659" i="5"/>
  <c r="E659" i="5"/>
  <c r="B659" i="5"/>
  <c r="U658" i="5"/>
  <c r="K658" i="5"/>
  <c r="E658" i="5"/>
  <c r="B658" i="5"/>
  <c r="U657" i="5"/>
  <c r="K657" i="5"/>
  <c r="E657" i="5"/>
  <c r="B657" i="5"/>
  <c r="U656" i="5"/>
  <c r="K656" i="5"/>
  <c r="E656" i="5"/>
  <c r="B656" i="5"/>
  <c r="U655" i="5"/>
  <c r="K655" i="5"/>
  <c r="E655" i="5"/>
  <c r="B655" i="5"/>
  <c r="U654" i="5"/>
  <c r="K654" i="5"/>
  <c r="E654" i="5"/>
  <c r="B654" i="5"/>
  <c r="U653" i="5"/>
  <c r="K653" i="5"/>
  <c r="E653" i="5"/>
  <c r="B653" i="5"/>
  <c r="U652" i="5"/>
  <c r="K652" i="5"/>
  <c r="E652" i="5"/>
  <c r="B652" i="5"/>
  <c r="U651" i="5"/>
  <c r="K651" i="5"/>
  <c r="E651" i="5"/>
  <c r="B651" i="5"/>
  <c r="U650" i="5"/>
  <c r="K650" i="5"/>
  <c r="E650" i="5"/>
  <c r="B650" i="5"/>
  <c r="U649" i="5"/>
  <c r="K649" i="5"/>
  <c r="E649" i="5"/>
  <c r="B649" i="5"/>
  <c r="U648" i="5"/>
  <c r="K648" i="5"/>
  <c r="E648" i="5"/>
  <c r="B648" i="5"/>
  <c r="U647" i="5"/>
  <c r="K647" i="5"/>
  <c r="E647" i="5"/>
  <c r="B647" i="5"/>
  <c r="U646" i="5"/>
  <c r="K646" i="5"/>
  <c r="E646" i="5"/>
  <c r="B646" i="5"/>
  <c r="U645" i="5"/>
  <c r="K645" i="5"/>
  <c r="E645" i="5"/>
  <c r="B645" i="5"/>
  <c r="U644" i="5"/>
  <c r="K644" i="5"/>
  <c r="E644" i="5"/>
  <c r="B644" i="5"/>
  <c r="U643" i="5"/>
  <c r="K643" i="5"/>
  <c r="E643" i="5"/>
  <c r="B643" i="5"/>
  <c r="U642" i="5"/>
  <c r="K642" i="5"/>
  <c r="E642" i="5"/>
  <c r="B642" i="5"/>
  <c r="U641" i="5"/>
  <c r="K641" i="5"/>
  <c r="E641" i="5"/>
  <c r="B641" i="5"/>
  <c r="U640" i="5"/>
  <c r="K640" i="5"/>
  <c r="E640" i="5"/>
  <c r="B640" i="5"/>
  <c r="U639" i="5"/>
  <c r="K639" i="5"/>
  <c r="E639" i="5"/>
  <c r="B639" i="5"/>
  <c r="U638" i="5"/>
  <c r="K638" i="5"/>
  <c r="E638" i="5"/>
  <c r="B638" i="5"/>
  <c r="U637" i="5"/>
  <c r="K637" i="5"/>
  <c r="E637" i="5"/>
  <c r="B637" i="5"/>
  <c r="U636" i="5"/>
  <c r="K636" i="5"/>
  <c r="E636" i="5"/>
  <c r="B636" i="5"/>
  <c r="U635" i="5"/>
  <c r="K635" i="5"/>
  <c r="E635" i="5"/>
  <c r="B635" i="5"/>
  <c r="U634" i="5"/>
  <c r="K634" i="5"/>
  <c r="E634" i="5"/>
  <c r="B634" i="5"/>
  <c r="U633" i="5"/>
  <c r="K633" i="5"/>
  <c r="E633" i="5"/>
  <c r="B633" i="5"/>
  <c r="U632" i="5"/>
  <c r="K632" i="5"/>
  <c r="E632" i="5"/>
  <c r="B632" i="5"/>
  <c r="U631" i="5"/>
  <c r="K631" i="5"/>
  <c r="E631" i="5"/>
  <c r="B631" i="5"/>
  <c r="U630" i="5"/>
  <c r="K630" i="5"/>
  <c r="E630" i="5"/>
  <c r="B630" i="5"/>
  <c r="U629" i="5"/>
  <c r="K629" i="5"/>
  <c r="E629" i="5"/>
  <c r="B629" i="5"/>
  <c r="U628" i="5"/>
  <c r="K628" i="5"/>
  <c r="E628" i="5"/>
  <c r="B628" i="5"/>
  <c r="U627" i="5"/>
  <c r="K627" i="5"/>
  <c r="E627" i="5"/>
  <c r="B627" i="5"/>
  <c r="U626" i="5"/>
  <c r="K626" i="5"/>
  <c r="E626" i="5"/>
  <c r="B626" i="5"/>
  <c r="U625" i="5"/>
  <c r="K625" i="5"/>
  <c r="E625" i="5"/>
  <c r="B625" i="5"/>
  <c r="U624" i="5"/>
  <c r="K624" i="5"/>
  <c r="E624" i="5"/>
  <c r="B624" i="5"/>
  <c r="U623" i="5"/>
  <c r="K623" i="5"/>
  <c r="E623" i="5"/>
  <c r="B623" i="5"/>
  <c r="U622" i="5"/>
  <c r="K622" i="5"/>
  <c r="E622" i="5"/>
  <c r="B622" i="5"/>
  <c r="U621" i="5"/>
  <c r="K621" i="5"/>
  <c r="E621" i="5"/>
  <c r="B621" i="5"/>
  <c r="U620" i="5"/>
  <c r="K620" i="5"/>
  <c r="E620" i="5"/>
  <c r="B620" i="5"/>
  <c r="U619" i="5"/>
  <c r="K619" i="5"/>
  <c r="E619" i="5"/>
  <c r="B619" i="5"/>
  <c r="U618" i="5"/>
  <c r="K618" i="5"/>
  <c r="E618" i="5"/>
  <c r="B618" i="5"/>
  <c r="U617" i="5"/>
  <c r="K617" i="5"/>
  <c r="E617" i="5"/>
  <c r="B617" i="5"/>
  <c r="U616" i="5"/>
  <c r="K616" i="5"/>
  <c r="E616" i="5"/>
  <c r="B616" i="5"/>
  <c r="U615" i="5"/>
  <c r="K615" i="5"/>
  <c r="E615" i="5"/>
  <c r="B615" i="5"/>
  <c r="U614" i="5"/>
  <c r="K614" i="5"/>
  <c r="E614" i="5"/>
  <c r="B614" i="5"/>
  <c r="U613" i="5"/>
  <c r="K613" i="5"/>
  <c r="E613" i="5"/>
  <c r="B613" i="5"/>
  <c r="U612" i="5"/>
  <c r="K612" i="5"/>
  <c r="E612" i="5"/>
  <c r="B612" i="5"/>
  <c r="U611" i="5"/>
  <c r="K611" i="5"/>
  <c r="E611" i="5"/>
  <c r="B611" i="5"/>
  <c r="U610" i="5"/>
  <c r="K610" i="5"/>
  <c r="E610" i="5"/>
  <c r="B610" i="5"/>
  <c r="U609" i="5"/>
  <c r="K609" i="5"/>
  <c r="E609" i="5"/>
  <c r="B609" i="5"/>
  <c r="U608" i="5"/>
  <c r="K608" i="5"/>
  <c r="E608" i="5"/>
  <c r="B608" i="5"/>
  <c r="U607" i="5"/>
  <c r="K607" i="5"/>
  <c r="E607" i="5"/>
  <c r="B607" i="5"/>
  <c r="U606" i="5"/>
  <c r="K606" i="5"/>
  <c r="E606" i="5"/>
  <c r="B606" i="5"/>
  <c r="U605" i="5"/>
  <c r="K605" i="5"/>
  <c r="E605" i="5"/>
  <c r="B605" i="5"/>
  <c r="U604" i="5"/>
  <c r="K604" i="5"/>
  <c r="E604" i="5"/>
  <c r="B604" i="5"/>
  <c r="U603" i="5"/>
  <c r="K603" i="5"/>
  <c r="E603" i="5"/>
  <c r="B603" i="5"/>
  <c r="U602" i="5"/>
  <c r="K602" i="5"/>
  <c r="E602" i="5"/>
  <c r="B602" i="5"/>
  <c r="U601" i="5"/>
  <c r="K601" i="5"/>
  <c r="E601" i="5"/>
  <c r="B601" i="5"/>
  <c r="U600" i="5"/>
  <c r="K600" i="5"/>
  <c r="E600" i="5"/>
  <c r="B600" i="5"/>
  <c r="U599" i="5"/>
  <c r="K599" i="5"/>
  <c r="E599" i="5"/>
  <c r="B599" i="5"/>
  <c r="U598" i="5"/>
  <c r="K598" i="5"/>
  <c r="E598" i="5"/>
  <c r="B598" i="5"/>
  <c r="U597" i="5"/>
  <c r="K597" i="5"/>
  <c r="E597" i="5"/>
  <c r="B597" i="5"/>
  <c r="U596" i="5"/>
  <c r="E596" i="5"/>
  <c r="B596" i="5"/>
  <c r="U595" i="5"/>
  <c r="K595" i="5"/>
  <c r="E595" i="5"/>
  <c r="B595" i="5"/>
  <c r="U594" i="5"/>
  <c r="K594" i="5"/>
  <c r="E594" i="5"/>
  <c r="B594" i="5"/>
  <c r="U593" i="5"/>
  <c r="K593" i="5"/>
  <c r="E593" i="5"/>
  <c r="B593" i="5"/>
  <c r="U592" i="5"/>
  <c r="K592" i="5"/>
  <c r="E592" i="5"/>
  <c r="B592" i="5"/>
  <c r="U591" i="5"/>
  <c r="K591" i="5"/>
  <c r="E591" i="5"/>
  <c r="B591" i="5"/>
  <c r="U590" i="5"/>
  <c r="K590" i="5"/>
  <c r="E590" i="5"/>
  <c r="B590" i="5"/>
  <c r="U589" i="5"/>
  <c r="K589" i="5"/>
  <c r="E589" i="5"/>
  <c r="B589" i="5"/>
  <c r="U588" i="5"/>
  <c r="K588" i="5"/>
  <c r="E588" i="5"/>
  <c r="B588" i="5"/>
  <c r="U587" i="5"/>
  <c r="K587" i="5"/>
  <c r="E587" i="5"/>
  <c r="B587" i="5"/>
  <c r="U586" i="5"/>
  <c r="K586" i="5"/>
  <c r="E586" i="5"/>
  <c r="B586" i="5"/>
  <c r="U585" i="5"/>
  <c r="K585" i="5"/>
  <c r="E585" i="5"/>
  <c r="B585" i="5"/>
  <c r="U584" i="5"/>
  <c r="K584" i="5"/>
  <c r="E584" i="5"/>
  <c r="B584" i="5"/>
  <c r="U583" i="5"/>
  <c r="K583" i="5"/>
  <c r="E583" i="5"/>
  <c r="B583" i="5"/>
  <c r="E582" i="5"/>
  <c r="B582" i="5"/>
  <c r="U581" i="5"/>
  <c r="K581" i="5"/>
  <c r="E581" i="5"/>
  <c r="B581" i="5"/>
  <c r="U580" i="5"/>
  <c r="K580" i="5"/>
  <c r="E580" i="5"/>
  <c r="B580" i="5"/>
  <c r="U579" i="5"/>
  <c r="K579" i="5"/>
  <c r="E579" i="5"/>
  <c r="B579" i="5"/>
  <c r="U578" i="5"/>
  <c r="K578" i="5"/>
  <c r="E578" i="5"/>
  <c r="B578" i="5"/>
  <c r="U577" i="5"/>
  <c r="K577" i="5"/>
  <c r="E577" i="5"/>
  <c r="B577" i="5"/>
  <c r="U576" i="5"/>
  <c r="K576" i="5"/>
  <c r="E576" i="5"/>
  <c r="B576" i="5"/>
  <c r="U575" i="5"/>
  <c r="K575" i="5"/>
  <c r="E575" i="5"/>
  <c r="B575" i="5"/>
  <c r="U574" i="5"/>
  <c r="K574" i="5"/>
  <c r="E574" i="5"/>
  <c r="B574" i="5"/>
  <c r="U573" i="5"/>
  <c r="K573" i="5"/>
  <c r="E573" i="5"/>
  <c r="B573" i="5"/>
  <c r="U572" i="5"/>
  <c r="K572" i="5"/>
  <c r="E572" i="5"/>
  <c r="B572" i="5"/>
  <c r="U571" i="5"/>
  <c r="K571" i="5"/>
  <c r="E571" i="5"/>
  <c r="B571" i="5"/>
  <c r="U570" i="5"/>
  <c r="K570" i="5"/>
  <c r="E570" i="5"/>
  <c r="B570" i="5"/>
  <c r="U569" i="5"/>
  <c r="K569" i="5"/>
  <c r="E569" i="5"/>
  <c r="B569" i="5"/>
  <c r="U568" i="5"/>
  <c r="K568" i="5"/>
  <c r="E568" i="5"/>
  <c r="B568" i="5"/>
  <c r="U567" i="5"/>
  <c r="K567" i="5"/>
  <c r="E567" i="5"/>
  <c r="B567" i="5"/>
  <c r="U566" i="5"/>
  <c r="K566" i="5"/>
  <c r="E566" i="5"/>
  <c r="B566" i="5"/>
  <c r="U565" i="5"/>
  <c r="K565" i="5"/>
  <c r="E565" i="5"/>
  <c r="B565" i="5"/>
  <c r="U564" i="5"/>
  <c r="K564" i="5"/>
  <c r="E564" i="5"/>
  <c r="B564" i="5"/>
  <c r="U563" i="5"/>
  <c r="K563" i="5"/>
  <c r="E563" i="5"/>
  <c r="B563" i="5"/>
  <c r="U562" i="5"/>
  <c r="K562" i="5"/>
  <c r="E562" i="5"/>
  <c r="B562" i="5"/>
  <c r="U561" i="5"/>
  <c r="K561" i="5"/>
  <c r="E561" i="5"/>
  <c r="B561" i="5"/>
  <c r="U560" i="5"/>
  <c r="K560" i="5"/>
  <c r="E560" i="5"/>
  <c r="B560" i="5"/>
  <c r="U559" i="5"/>
  <c r="K559" i="5"/>
  <c r="E559" i="5"/>
  <c r="B559" i="5"/>
  <c r="U558" i="5"/>
  <c r="K558" i="5"/>
  <c r="E558" i="5"/>
  <c r="B558" i="5"/>
  <c r="U557" i="5"/>
  <c r="K557" i="5"/>
  <c r="E557" i="5"/>
  <c r="B557" i="5"/>
  <c r="U556" i="5"/>
  <c r="K556" i="5"/>
  <c r="E556" i="5"/>
  <c r="B556" i="5"/>
  <c r="U555" i="5"/>
  <c r="K555" i="5"/>
  <c r="E555" i="5"/>
  <c r="B555" i="5"/>
  <c r="U554" i="5"/>
  <c r="K554" i="5"/>
  <c r="E554" i="5"/>
  <c r="B554" i="5"/>
  <c r="U553" i="5"/>
  <c r="K553" i="5"/>
  <c r="E553" i="5"/>
  <c r="B553" i="5"/>
  <c r="U552" i="5"/>
  <c r="K552" i="5"/>
  <c r="E552" i="5"/>
  <c r="B552" i="5"/>
  <c r="U551" i="5"/>
  <c r="K551" i="5"/>
  <c r="E551" i="5"/>
  <c r="B551" i="5"/>
  <c r="U550" i="5"/>
  <c r="K550" i="5"/>
  <c r="E550" i="5"/>
  <c r="B550" i="5"/>
  <c r="U549" i="5"/>
  <c r="K549" i="5"/>
  <c r="E549" i="5"/>
  <c r="B549" i="5"/>
  <c r="U548" i="5"/>
  <c r="K548" i="5"/>
  <c r="E548" i="5"/>
  <c r="B548" i="5"/>
  <c r="U547" i="5"/>
  <c r="K547" i="5"/>
  <c r="E547" i="5"/>
  <c r="B547" i="5"/>
  <c r="U546" i="5"/>
  <c r="K546" i="5"/>
  <c r="E546" i="5"/>
  <c r="B546" i="5"/>
  <c r="U545" i="5"/>
  <c r="K545" i="5"/>
  <c r="E545" i="5"/>
  <c r="B545" i="5"/>
  <c r="U544" i="5"/>
  <c r="K544" i="5"/>
  <c r="E544" i="5"/>
  <c r="B544" i="5"/>
  <c r="U543" i="5"/>
  <c r="K543" i="5"/>
  <c r="E543" i="5"/>
  <c r="B543" i="5"/>
  <c r="U542" i="5"/>
  <c r="K542" i="5"/>
  <c r="E542" i="5"/>
  <c r="B542" i="5"/>
  <c r="U541" i="5"/>
  <c r="K541" i="5"/>
  <c r="E541" i="5"/>
  <c r="B541" i="5"/>
  <c r="U540" i="5"/>
  <c r="K540" i="5"/>
  <c r="E540" i="5"/>
  <c r="B540" i="5"/>
  <c r="U539" i="5"/>
  <c r="K539" i="5"/>
  <c r="E539" i="5"/>
  <c r="B539" i="5"/>
  <c r="U538" i="5"/>
  <c r="K538" i="5"/>
  <c r="E538" i="5"/>
  <c r="B538" i="5"/>
  <c r="U537" i="5"/>
  <c r="K537" i="5"/>
  <c r="E537" i="5"/>
  <c r="B537" i="5"/>
  <c r="U536" i="5"/>
  <c r="K536" i="5"/>
  <c r="E536" i="5"/>
  <c r="B536" i="5"/>
  <c r="U535" i="5"/>
  <c r="K535" i="5"/>
  <c r="E535" i="5"/>
  <c r="B535" i="5"/>
  <c r="U534" i="5"/>
  <c r="K534" i="5"/>
  <c r="E534" i="5"/>
  <c r="B534" i="5"/>
  <c r="U533" i="5"/>
  <c r="K533" i="5"/>
  <c r="E533" i="5"/>
  <c r="B533" i="5"/>
  <c r="U532" i="5"/>
  <c r="K532" i="5"/>
  <c r="E532" i="5"/>
  <c r="B532" i="5"/>
  <c r="U531" i="5"/>
  <c r="K531" i="5"/>
  <c r="E531" i="5"/>
  <c r="B531" i="5"/>
  <c r="U530" i="5"/>
  <c r="K530" i="5"/>
  <c r="E530" i="5"/>
  <c r="B530" i="5"/>
  <c r="U529" i="5"/>
  <c r="K529" i="5"/>
  <c r="E529" i="5"/>
  <c r="B529" i="5"/>
  <c r="U528" i="5"/>
  <c r="K528" i="5"/>
  <c r="E528" i="5"/>
  <c r="B528" i="5"/>
  <c r="U527" i="5"/>
  <c r="K527" i="5"/>
  <c r="E527" i="5"/>
  <c r="B527" i="5"/>
  <c r="U526" i="5"/>
  <c r="K526" i="5"/>
  <c r="E526" i="5"/>
  <c r="B526" i="5"/>
  <c r="U525" i="5"/>
  <c r="K525" i="5"/>
  <c r="E525" i="5"/>
  <c r="B525" i="5"/>
  <c r="U524" i="5"/>
  <c r="K524" i="5"/>
  <c r="E524" i="5"/>
  <c r="B524" i="5"/>
  <c r="U523" i="5"/>
  <c r="K523" i="5"/>
  <c r="E523" i="5"/>
  <c r="B523" i="5"/>
  <c r="U522" i="5"/>
  <c r="K522" i="5"/>
  <c r="E522" i="5"/>
  <c r="B522" i="5"/>
  <c r="U521" i="5"/>
  <c r="K521" i="5"/>
  <c r="E521" i="5"/>
  <c r="B521" i="5"/>
  <c r="K520" i="5"/>
  <c r="E520" i="5"/>
  <c r="B520" i="5"/>
  <c r="U519" i="5"/>
  <c r="K519" i="5"/>
  <c r="E519" i="5"/>
  <c r="B519" i="5"/>
  <c r="U518" i="5"/>
  <c r="K518" i="5"/>
  <c r="E518" i="5"/>
  <c r="B518" i="5"/>
  <c r="U517" i="5"/>
  <c r="K517" i="5"/>
  <c r="E517" i="5"/>
  <c r="B517" i="5"/>
  <c r="K516" i="5"/>
  <c r="E516" i="5"/>
  <c r="B516" i="5"/>
  <c r="U515" i="5"/>
  <c r="K515" i="5"/>
  <c r="E515" i="5"/>
  <c r="B515" i="5"/>
  <c r="U514" i="5"/>
  <c r="K514" i="5"/>
  <c r="E514" i="5"/>
  <c r="B514" i="5"/>
  <c r="U513" i="5"/>
  <c r="K513" i="5"/>
  <c r="E513" i="5"/>
  <c r="B513" i="5"/>
  <c r="U512" i="5"/>
  <c r="K512" i="5"/>
  <c r="E512" i="5"/>
  <c r="B512" i="5"/>
  <c r="U511" i="5"/>
  <c r="K511" i="5"/>
  <c r="E511" i="5"/>
  <c r="B511" i="5"/>
  <c r="U510" i="5"/>
  <c r="K510" i="5"/>
  <c r="E510" i="5"/>
  <c r="B510" i="5"/>
  <c r="U509" i="5"/>
  <c r="K509" i="5"/>
  <c r="E509" i="5"/>
  <c r="B509" i="5"/>
  <c r="U508" i="5"/>
  <c r="K508" i="5"/>
  <c r="E508" i="5"/>
  <c r="B508" i="5"/>
  <c r="U507" i="5"/>
  <c r="K507" i="5"/>
  <c r="E507" i="5"/>
  <c r="B507" i="5"/>
  <c r="U506" i="5"/>
  <c r="K506" i="5"/>
  <c r="E506" i="5"/>
  <c r="B506" i="5"/>
  <c r="U505" i="5"/>
  <c r="K505" i="5"/>
  <c r="E505" i="5"/>
  <c r="B505" i="5"/>
  <c r="U504" i="5"/>
  <c r="K504" i="5"/>
  <c r="E504" i="5"/>
  <c r="B504" i="5"/>
  <c r="U503" i="5"/>
  <c r="K503" i="5"/>
  <c r="E503" i="5"/>
  <c r="B503" i="5"/>
  <c r="U502" i="5"/>
  <c r="K502" i="5"/>
  <c r="E502" i="5"/>
  <c r="B502" i="5"/>
  <c r="U501" i="5"/>
  <c r="K501" i="5"/>
  <c r="E501" i="5"/>
  <c r="B501" i="5"/>
  <c r="U500" i="5"/>
  <c r="K500" i="5"/>
  <c r="E500" i="5"/>
  <c r="B500" i="5"/>
  <c r="U499" i="5"/>
  <c r="K499" i="5"/>
  <c r="E499" i="5"/>
  <c r="B499" i="5"/>
  <c r="U498" i="5"/>
  <c r="E498" i="5"/>
  <c r="B498" i="5"/>
  <c r="U497" i="5"/>
  <c r="K497" i="5"/>
  <c r="E497" i="5"/>
  <c r="B497" i="5"/>
  <c r="U496" i="5"/>
  <c r="K496" i="5"/>
  <c r="E496" i="5"/>
  <c r="B496" i="5"/>
  <c r="U495" i="5"/>
  <c r="K495" i="5"/>
  <c r="E495" i="5"/>
  <c r="B495" i="5"/>
  <c r="U494" i="5"/>
  <c r="K494" i="5"/>
  <c r="E494" i="5"/>
  <c r="B494" i="5"/>
  <c r="U493" i="5"/>
  <c r="K493" i="5"/>
  <c r="E493" i="5"/>
  <c r="B493" i="5"/>
  <c r="U492" i="5"/>
  <c r="K492" i="5"/>
  <c r="E492" i="5"/>
  <c r="B492" i="5"/>
  <c r="U491" i="5"/>
  <c r="K491" i="5"/>
  <c r="E491" i="5"/>
  <c r="B491" i="5"/>
  <c r="U490" i="5"/>
  <c r="K490" i="5"/>
  <c r="E490" i="5"/>
  <c r="B490" i="5"/>
  <c r="U489" i="5"/>
  <c r="K489" i="5"/>
  <c r="E489" i="5"/>
  <c r="B489" i="5"/>
  <c r="U488" i="5"/>
  <c r="K488" i="5"/>
  <c r="E488" i="5"/>
  <c r="B488" i="5"/>
  <c r="U487" i="5"/>
  <c r="K487" i="5"/>
  <c r="E487" i="5"/>
  <c r="B487" i="5"/>
  <c r="U486" i="5"/>
  <c r="K486" i="5"/>
  <c r="E486" i="5"/>
  <c r="B486" i="5"/>
  <c r="U485" i="5"/>
  <c r="K485" i="5"/>
  <c r="E485" i="5"/>
  <c r="B485" i="5"/>
  <c r="U484" i="5"/>
  <c r="E484" i="5"/>
  <c r="B484" i="5"/>
  <c r="U483" i="5"/>
  <c r="K483" i="5"/>
  <c r="E483" i="5"/>
  <c r="B483" i="5"/>
  <c r="U482" i="5"/>
  <c r="K482" i="5"/>
  <c r="E482" i="5"/>
  <c r="B482" i="5"/>
  <c r="U481" i="5"/>
  <c r="K481" i="5"/>
  <c r="E481" i="5"/>
  <c r="B481" i="5"/>
  <c r="U480" i="5"/>
  <c r="K480" i="5"/>
  <c r="E480" i="5"/>
  <c r="B480" i="5"/>
  <c r="U479" i="5"/>
  <c r="K479" i="5"/>
  <c r="E479" i="5"/>
  <c r="B479" i="5"/>
  <c r="U478" i="5"/>
  <c r="K478" i="5"/>
  <c r="E478" i="5"/>
  <c r="B478" i="5"/>
  <c r="U477" i="5"/>
  <c r="K477" i="5"/>
  <c r="E477" i="5"/>
  <c r="B477" i="5"/>
  <c r="U476" i="5"/>
  <c r="K476" i="5"/>
  <c r="E476" i="5"/>
  <c r="B476" i="5"/>
  <c r="U475" i="5"/>
  <c r="K475" i="5"/>
  <c r="E475" i="5"/>
  <c r="B475" i="5"/>
  <c r="U474" i="5"/>
  <c r="K474" i="5"/>
  <c r="E474" i="5"/>
  <c r="B474" i="5"/>
  <c r="U473" i="5"/>
  <c r="K473" i="5"/>
  <c r="E473" i="5"/>
  <c r="B473" i="5"/>
  <c r="U472" i="5"/>
  <c r="K472" i="5"/>
  <c r="E472" i="5"/>
  <c r="B472" i="5"/>
  <c r="U471" i="5"/>
  <c r="K471" i="5"/>
  <c r="E471" i="5"/>
  <c r="B471" i="5"/>
  <c r="U470" i="5"/>
  <c r="K470" i="5"/>
  <c r="E470" i="5"/>
  <c r="B470" i="5"/>
  <c r="U469" i="5"/>
  <c r="K469" i="5"/>
  <c r="E469" i="5"/>
  <c r="B469" i="5"/>
  <c r="U468" i="5"/>
  <c r="K468" i="5"/>
  <c r="E468" i="5"/>
  <c r="B468" i="5"/>
  <c r="U467" i="5"/>
  <c r="K467" i="5"/>
  <c r="E467" i="5"/>
  <c r="B467" i="5"/>
  <c r="U466" i="5"/>
  <c r="K466" i="5"/>
  <c r="E466" i="5"/>
  <c r="B466" i="5"/>
  <c r="U465" i="5"/>
  <c r="K465" i="5"/>
  <c r="E465" i="5"/>
  <c r="B465" i="5"/>
  <c r="U464" i="5"/>
  <c r="E464" i="5"/>
  <c r="B464" i="5"/>
  <c r="U463" i="5"/>
  <c r="K463" i="5"/>
  <c r="E463" i="5"/>
  <c r="B463" i="5"/>
  <c r="U462" i="5"/>
  <c r="K462" i="5"/>
  <c r="E462" i="5"/>
  <c r="B462" i="5"/>
  <c r="U461" i="5"/>
  <c r="K461" i="5"/>
  <c r="E461" i="5"/>
  <c r="B461" i="5"/>
  <c r="U460" i="5"/>
  <c r="K460" i="5"/>
  <c r="E460" i="5"/>
  <c r="B460" i="5"/>
  <c r="U459" i="5"/>
  <c r="K459" i="5"/>
  <c r="E459" i="5"/>
  <c r="B459" i="5"/>
  <c r="U458" i="5"/>
  <c r="K458" i="5"/>
  <c r="E458" i="5"/>
  <c r="B458" i="5"/>
  <c r="U457" i="5"/>
  <c r="K457" i="5"/>
  <c r="E457" i="5"/>
  <c r="B457" i="5"/>
  <c r="U456" i="5"/>
  <c r="K456" i="5"/>
  <c r="E456" i="5"/>
  <c r="B456" i="5"/>
  <c r="U455" i="5"/>
  <c r="K455" i="5"/>
  <c r="E455" i="5"/>
  <c r="B455" i="5"/>
  <c r="U454" i="5"/>
  <c r="K454" i="5"/>
  <c r="E454" i="5"/>
  <c r="B454" i="5"/>
  <c r="U453" i="5"/>
  <c r="K453" i="5"/>
  <c r="E453" i="5"/>
  <c r="B453" i="5"/>
  <c r="U452" i="5"/>
  <c r="K452" i="5"/>
  <c r="E452" i="5"/>
  <c r="B452" i="5"/>
  <c r="U451" i="5"/>
  <c r="K451" i="5"/>
  <c r="E451" i="5"/>
  <c r="B451" i="5"/>
  <c r="U450" i="5"/>
  <c r="K450" i="5"/>
  <c r="E450" i="5"/>
  <c r="B450" i="5"/>
  <c r="U449" i="5"/>
  <c r="K449" i="5"/>
  <c r="E449" i="5"/>
  <c r="B449" i="5"/>
  <c r="U448" i="5"/>
  <c r="K448" i="5"/>
  <c r="E448" i="5"/>
  <c r="B448" i="5"/>
  <c r="U447" i="5"/>
  <c r="K447" i="5"/>
  <c r="E447" i="5"/>
  <c r="B447" i="5"/>
  <c r="U446" i="5"/>
  <c r="K446" i="5"/>
  <c r="E446" i="5"/>
  <c r="B446" i="5"/>
  <c r="U445" i="5"/>
  <c r="K445" i="5"/>
  <c r="E445" i="5"/>
  <c r="B445" i="5"/>
  <c r="U444" i="5"/>
  <c r="K444" i="5"/>
  <c r="E444" i="5"/>
  <c r="B444" i="5"/>
  <c r="U443" i="5"/>
  <c r="K443" i="5"/>
  <c r="E443" i="5"/>
  <c r="B443" i="5"/>
  <c r="U442" i="5"/>
  <c r="K442" i="5"/>
  <c r="E442" i="5"/>
  <c r="B442" i="5"/>
  <c r="U441" i="5"/>
  <c r="E441" i="5"/>
  <c r="B441" i="5"/>
  <c r="U440" i="5"/>
  <c r="K440" i="5"/>
  <c r="E440" i="5"/>
  <c r="B440" i="5"/>
  <c r="U439" i="5"/>
  <c r="K439" i="5"/>
  <c r="E439" i="5"/>
  <c r="B439" i="5"/>
  <c r="U438" i="5"/>
  <c r="K438" i="5"/>
  <c r="E438" i="5"/>
  <c r="B438" i="5"/>
  <c r="U437" i="5"/>
  <c r="K437" i="5"/>
  <c r="E437" i="5"/>
  <c r="B437" i="5"/>
  <c r="U436" i="5"/>
  <c r="K436" i="5"/>
  <c r="E436" i="5"/>
  <c r="B436" i="5"/>
  <c r="U435" i="5"/>
  <c r="K435" i="5"/>
  <c r="E435" i="5"/>
  <c r="B435" i="5"/>
  <c r="U434" i="5"/>
  <c r="K434" i="5"/>
  <c r="E434" i="5"/>
  <c r="B434" i="5"/>
  <c r="U433" i="5"/>
  <c r="K433" i="5"/>
  <c r="E433" i="5"/>
  <c r="B433" i="5"/>
  <c r="U432" i="5"/>
  <c r="K432" i="5"/>
  <c r="E432" i="5"/>
  <c r="B432" i="5"/>
  <c r="U431" i="5"/>
  <c r="K431" i="5"/>
  <c r="E431" i="5"/>
  <c r="B431" i="5"/>
  <c r="U430" i="5"/>
  <c r="K430" i="5"/>
  <c r="E430" i="5"/>
  <c r="B430" i="5"/>
  <c r="U429" i="5"/>
  <c r="K429" i="5"/>
  <c r="E429" i="5"/>
  <c r="B429" i="5"/>
  <c r="U428" i="5"/>
  <c r="K428" i="5"/>
  <c r="E428" i="5"/>
  <c r="B428" i="5"/>
  <c r="U427" i="5"/>
  <c r="K427" i="5"/>
  <c r="E427" i="5"/>
  <c r="B427" i="5"/>
  <c r="U426" i="5"/>
  <c r="K426" i="5"/>
  <c r="E426" i="5"/>
  <c r="B426" i="5"/>
  <c r="U425" i="5"/>
  <c r="K425" i="5"/>
  <c r="E425" i="5"/>
  <c r="B425" i="5"/>
  <c r="U424" i="5"/>
  <c r="K424" i="5"/>
  <c r="E424" i="5"/>
  <c r="B424" i="5"/>
  <c r="U423" i="5"/>
  <c r="K423" i="5"/>
  <c r="E423" i="5"/>
  <c r="B423" i="5"/>
  <c r="U422" i="5"/>
  <c r="K422" i="5"/>
  <c r="E422" i="5"/>
  <c r="B422" i="5"/>
  <c r="U421" i="5"/>
  <c r="K421" i="5"/>
  <c r="E421" i="5"/>
  <c r="B421" i="5"/>
  <c r="U420" i="5"/>
  <c r="K420" i="5"/>
  <c r="E420" i="5"/>
  <c r="B420" i="5"/>
  <c r="U419" i="5"/>
  <c r="K419" i="5"/>
  <c r="E419" i="5"/>
  <c r="B419" i="5"/>
  <c r="U418" i="5"/>
  <c r="K418" i="5"/>
  <c r="E418" i="5"/>
  <c r="B418" i="5"/>
  <c r="U417" i="5"/>
  <c r="K417" i="5"/>
  <c r="E417" i="5"/>
  <c r="B417" i="5"/>
  <c r="U416" i="5"/>
  <c r="K416" i="5"/>
  <c r="E416" i="5"/>
  <c r="B416" i="5"/>
  <c r="U415" i="5"/>
  <c r="K415" i="5"/>
  <c r="E415" i="5"/>
  <c r="B415" i="5"/>
  <c r="U414" i="5"/>
  <c r="K414" i="5"/>
  <c r="E414" i="5"/>
  <c r="B414" i="5"/>
  <c r="U413" i="5"/>
  <c r="K413" i="5"/>
  <c r="E413" i="5"/>
  <c r="B413" i="5"/>
  <c r="U412" i="5"/>
  <c r="K412" i="5"/>
  <c r="E412" i="5"/>
  <c r="B412" i="5"/>
  <c r="U411" i="5"/>
  <c r="K411" i="5"/>
  <c r="E411" i="5"/>
  <c r="B411" i="5"/>
  <c r="U410" i="5"/>
  <c r="K410" i="5"/>
  <c r="E410" i="5"/>
  <c r="B410" i="5"/>
  <c r="U409" i="5"/>
  <c r="K409" i="5"/>
  <c r="E409" i="5"/>
  <c r="B409" i="5"/>
  <c r="U408" i="5"/>
  <c r="K408" i="5"/>
  <c r="E408" i="5"/>
  <c r="B408" i="5"/>
  <c r="U407" i="5"/>
  <c r="K407" i="5"/>
  <c r="E407" i="5"/>
  <c r="B407" i="5"/>
  <c r="U406" i="5"/>
  <c r="K406" i="5"/>
  <c r="E406" i="5"/>
  <c r="B406" i="5"/>
  <c r="U405" i="5"/>
  <c r="K405" i="5"/>
  <c r="E405" i="5"/>
  <c r="B405" i="5"/>
  <c r="U404" i="5"/>
  <c r="K404" i="5"/>
  <c r="E404" i="5"/>
  <c r="B404" i="5"/>
  <c r="U403" i="5"/>
  <c r="K403" i="5"/>
  <c r="E403" i="5"/>
  <c r="B403" i="5"/>
  <c r="U402" i="5"/>
  <c r="K402" i="5"/>
  <c r="E402" i="5"/>
  <c r="B402" i="5"/>
  <c r="U401" i="5"/>
  <c r="K401" i="5"/>
  <c r="E401" i="5"/>
  <c r="B401" i="5"/>
  <c r="U400" i="5"/>
  <c r="K400" i="5"/>
  <c r="E400" i="5"/>
  <c r="B400" i="5"/>
  <c r="U399" i="5"/>
  <c r="K399" i="5"/>
  <c r="E399" i="5"/>
  <c r="B399" i="5"/>
  <c r="U398" i="5"/>
  <c r="K398" i="5"/>
  <c r="E398" i="5"/>
  <c r="B398" i="5"/>
  <c r="U397" i="5"/>
  <c r="K397" i="5"/>
  <c r="E397" i="5"/>
  <c r="B397" i="5"/>
  <c r="U396" i="5"/>
  <c r="K396" i="5"/>
  <c r="E396" i="5"/>
  <c r="B396" i="5"/>
  <c r="U395" i="5"/>
  <c r="K395" i="5"/>
  <c r="E395" i="5"/>
  <c r="B395" i="5"/>
  <c r="U394" i="5"/>
  <c r="K394" i="5"/>
  <c r="E394" i="5"/>
  <c r="B394" i="5"/>
  <c r="U393" i="5"/>
  <c r="K393" i="5"/>
  <c r="E393" i="5"/>
  <c r="B393" i="5"/>
  <c r="U392" i="5"/>
  <c r="K392" i="5"/>
  <c r="E392" i="5"/>
  <c r="B392" i="5"/>
  <c r="U391" i="5"/>
  <c r="K391" i="5"/>
  <c r="E391" i="5"/>
  <c r="B391" i="5"/>
  <c r="U390" i="5"/>
  <c r="K390" i="5"/>
  <c r="E390" i="5"/>
  <c r="B390" i="5"/>
  <c r="U389" i="5"/>
  <c r="K389" i="5"/>
  <c r="E389" i="5"/>
  <c r="B389" i="5"/>
  <c r="U388" i="5"/>
  <c r="K388" i="5"/>
  <c r="E388" i="5"/>
  <c r="B388" i="5"/>
  <c r="U387" i="5"/>
  <c r="K387" i="5"/>
  <c r="E387" i="5"/>
  <c r="B387" i="5"/>
  <c r="U386" i="5"/>
  <c r="K386" i="5"/>
  <c r="E386" i="5"/>
  <c r="B386" i="5"/>
  <c r="U385" i="5"/>
  <c r="K385" i="5"/>
  <c r="E385" i="5"/>
  <c r="B385" i="5"/>
  <c r="U384" i="5"/>
  <c r="K384" i="5"/>
  <c r="E384" i="5"/>
  <c r="B384" i="5"/>
  <c r="U383" i="5"/>
  <c r="K383" i="5"/>
  <c r="E383" i="5"/>
  <c r="B383" i="5"/>
  <c r="U382" i="5"/>
  <c r="K382" i="5"/>
  <c r="E382" i="5"/>
  <c r="B382" i="5"/>
  <c r="U381" i="5"/>
  <c r="K381" i="5"/>
  <c r="E381" i="5"/>
  <c r="B381" i="5"/>
  <c r="U380" i="5"/>
  <c r="K380" i="5"/>
  <c r="E380" i="5"/>
  <c r="B380" i="5"/>
  <c r="U379" i="5"/>
  <c r="K379" i="5"/>
  <c r="E379" i="5"/>
  <c r="B379" i="5"/>
  <c r="U378" i="5"/>
  <c r="K378" i="5"/>
  <c r="E378" i="5"/>
  <c r="B378" i="5"/>
  <c r="U377" i="5"/>
  <c r="E377" i="5"/>
  <c r="B377" i="5"/>
  <c r="U376" i="5"/>
  <c r="K376" i="5"/>
  <c r="E376" i="5"/>
  <c r="B376" i="5"/>
  <c r="U375" i="5"/>
  <c r="K375" i="5"/>
  <c r="E375" i="5"/>
  <c r="B375" i="5"/>
  <c r="U374" i="5"/>
  <c r="K374" i="5"/>
  <c r="E374" i="5"/>
  <c r="B374" i="5"/>
  <c r="U373" i="5"/>
  <c r="K373" i="5"/>
  <c r="E373" i="5"/>
  <c r="B373" i="5"/>
  <c r="K372" i="5"/>
  <c r="E372" i="5"/>
  <c r="B372" i="5"/>
  <c r="U371" i="5"/>
  <c r="K371" i="5"/>
  <c r="E371" i="5"/>
  <c r="B371" i="5"/>
  <c r="U370" i="5"/>
  <c r="K370" i="5"/>
  <c r="E370" i="5"/>
  <c r="B370" i="5"/>
  <c r="U369" i="5"/>
  <c r="K369" i="5"/>
  <c r="E369" i="5"/>
  <c r="B369" i="5"/>
  <c r="U368" i="5"/>
  <c r="K368" i="5"/>
  <c r="E368" i="5"/>
  <c r="B368" i="5"/>
  <c r="U367" i="5"/>
  <c r="K367" i="5"/>
  <c r="E367" i="5"/>
  <c r="B367" i="5"/>
  <c r="U366" i="5"/>
  <c r="K366" i="5"/>
  <c r="E366" i="5"/>
  <c r="B366" i="5"/>
  <c r="U365" i="5"/>
  <c r="K365" i="5"/>
  <c r="E365" i="5"/>
  <c r="B365" i="5"/>
  <c r="U364" i="5"/>
  <c r="K364" i="5"/>
  <c r="E364" i="5"/>
  <c r="B364" i="5"/>
  <c r="U363" i="5"/>
  <c r="K363" i="5"/>
  <c r="E363" i="5"/>
  <c r="B363" i="5"/>
  <c r="U362" i="5"/>
  <c r="K362" i="5"/>
  <c r="E362" i="5"/>
  <c r="B362" i="5"/>
  <c r="U361" i="5"/>
  <c r="K361" i="5"/>
  <c r="E361" i="5"/>
  <c r="B361" i="5"/>
  <c r="U360" i="5"/>
  <c r="K360" i="5"/>
  <c r="E360" i="5"/>
  <c r="B360" i="5"/>
  <c r="U359" i="5"/>
  <c r="K359" i="5"/>
  <c r="E359" i="5"/>
  <c r="B359" i="5"/>
  <c r="U358" i="5"/>
  <c r="K358" i="5"/>
  <c r="E358" i="5"/>
  <c r="B358" i="5"/>
  <c r="U357" i="5"/>
  <c r="K357" i="5"/>
  <c r="E357" i="5"/>
  <c r="B357" i="5"/>
  <c r="U356" i="5"/>
  <c r="K356" i="5"/>
  <c r="E356" i="5"/>
  <c r="B356" i="5"/>
  <c r="U355" i="5"/>
  <c r="K355" i="5"/>
  <c r="E355" i="5"/>
  <c r="B355" i="5"/>
  <c r="U354" i="5"/>
  <c r="K354" i="5"/>
  <c r="E354" i="5"/>
  <c r="B354" i="5"/>
  <c r="U353" i="5"/>
  <c r="K353" i="5"/>
  <c r="E353" i="5"/>
  <c r="B353" i="5"/>
  <c r="U352" i="5"/>
  <c r="K352" i="5"/>
  <c r="E352" i="5"/>
  <c r="B352" i="5"/>
  <c r="U351" i="5"/>
  <c r="K351" i="5"/>
  <c r="E351" i="5"/>
  <c r="B351" i="5"/>
  <c r="U350" i="5"/>
  <c r="K350" i="5"/>
  <c r="E350" i="5"/>
  <c r="B350" i="5"/>
  <c r="U349" i="5"/>
  <c r="K349" i="5"/>
  <c r="E349" i="5"/>
  <c r="B349" i="5"/>
  <c r="U348" i="5"/>
  <c r="K348" i="5"/>
  <c r="E348" i="5"/>
  <c r="B348" i="5"/>
  <c r="U347" i="5"/>
  <c r="K347" i="5"/>
  <c r="E347" i="5"/>
  <c r="B347" i="5"/>
  <c r="U346" i="5"/>
  <c r="K346" i="5"/>
  <c r="E346" i="5"/>
  <c r="B346" i="5"/>
  <c r="U345" i="5"/>
  <c r="K345" i="5"/>
  <c r="E345" i="5"/>
  <c r="B345" i="5"/>
  <c r="U344" i="5"/>
  <c r="K344" i="5"/>
  <c r="E344" i="5"/>
  <c r="B344" i="5"/>
  <c r="U343" i="5"/>
  <c r="K343" i="5"/>
  <c r="E343" i="5"/>
  <c r="B343" i="5"/>
  <c r="U342" i="5"/>
  <c r="K342" i="5"/>
  <c r="E342" i="5"/>
  <c r="B342" i="5"/>
  <c r="U341" i="5"/>
  <c r="K341" i="5"/>
  <c r="E341" i="5"/>
  <c r="B341" i="5"/>
  <c r="U340" i="5"/>
  <c r="K340" i="5"/>
  <c r="E340" i="5"/>
  <c r="B340" i="5"/>
  <c r="U339" i="5"/>
  <c r="K339" i="5"/>
  <c r="E339" i="5"/>
  <c r="B339" i="5"/>
  <c r="U338" i="5"/>
  <c r="K338" i="5"/>
  <c r="E338" i="5"/>
  <c r="B338" i="5"/>
  <c r="U337" i="5"/>
  <c r="K337" i="5"/>
  <c r="E337" i="5"/>
  <c r="B337" i="5"/>
  <c r="U336" i="5"/>
  <c r="K336" i="5"/>
  <c r="E336" i="5"/>
  <c r="B336" i="5"/>
  <c r="U335" i="5"/>
  <c r="K335" i="5"/>
  <c r="E335" i="5"/>
  <c r="B335" i="5"/>
  <c r="U334" i="5"/>
  <c r="K334" i="5"/>
  <c r="E334" i="5"/>
  <c r="B334" i="5"/>
  <c r="U333" i="5"/>
  <c r="K333" i="5"/>
  <c r="E333" i="5"/>
  <c r="B333" i="5"/>
  <c r="U332" i="5"/>
  <c r="K332" i="5"/>
  <c r="E332" i="5"/>
  <c r="B332" i="5"/>
  <c r="U331" i="5"/>
  <c r="K331" i="5"/>
  <c r="E331" i="5"/>
  <c r="B331" i="5"/>
  <c r="U330" i="5"/>
  <c r="K330" i="5"/>
  <c r="E330" i="5"/>
  <c r="B330" i="5"/>
  <c r="U329" i="5"/>
  <c r="K329" i="5"/>
  <c r="E329" i="5"/>
  <c r="B329" i="5"/>
  <c r="U328" i="5"/>
  <c r="K328" i="5"/>
  <c r="E328" i="5"/>
  <c r="B328" i="5"/>
  <c r="U327" i="5"/>
  <c r="K327" i="5"/>
  <c r="E327" i="5"/>
  <c r="B327" i="5"/>
  <c r="U326" i="5"/>
  <c r="K326" i="5"/>
  <c r="E326" i="5"/>
  <c r="B326" i="5"/>
  <c r="U325" i="5"/>
  <c r="K325" i="5"/>
  <c r="E325" i="5"/>
  <c r="B325" i="5"/>
  <c r="U324" i="5"/>
  <c r="K324" i="5"/>
  <c r="E324" i="5"/>
  <c r="B324" i="5"/>
  <c r="U323" i="5"/>
  <c r="K323" i="5"/>
  <c r="E323" i="5"/>
  <c r="B323" i="5"/>
  <c r="U322" i="5"/>
  <c r="K322" i="5"/>
  <c r="E322" i="5"/>
  <c r="B322" i="5"/>
  <c r="U321" i="5"/>
  <c r="K321" i="5"/>
  <c r="E321" i="5"/>
  <c r="B321" i="5"/>
  <c r="U320" i="5"/>
  <c r="K320" i="5"/>
  <c r="E320" i="5"/>
  <c r="B320" i="5"/>
  <c r="U319" i="5"/>
  <c r="K319" i="5"/>
  <c r="E319" i="5"/>
  <c r="B319" i="5"/>
  <c r="U318" i="5"/>
  <c r="K318" i="5"/>
  <c r="E318" i="5"/>
  <c r="B318" i="5"/>
  <c r="U317" i="5"/>
  <c r="K317" i="5"/>
  <c r="E317" i="5"/>
  <c r="B317" i="5"/>
  <c r="U316" i="5"/>
  <c r="K316" i="5"/>
  <c r="E316" i="5"/>
  <c r="B316" i="5"/>
  <c r="U315" i="5"/>
  <c r="K315" i="5"/>
  <c r="E315" i="5"/>
  <c r="B315" i="5"/>
  <c r="U314" i="5"/>
  <c r="K314" i="5"/>
  <c r="E314" i="5"/>
  <c r="B314" i="5"/>
  <c r="U313" i="5"/>
  <c r="K313" i="5"/>
  <c r="E313" i="5"/>
  <c r="B313" i="5"/>
  <c r="U312" i="5"/>
  <c r="K312" i="5"/>
  <c r="E312" i="5"/>
  <c r="B312" i="5"/>
  <c r="U311" i="5"/>
  <c r="K311" i="5"/>
  <c r="E311" i="5"/>
  <c r="B311" i="5"/>
  <c r="U310" i="5"/>
  <c r="K310" i="5"/>
  <c r="E310" i="5"/>
  <c r="B310" i="5"/>
  <c r="U309" i="5"/>
  <c r="K309" i="5"/>
  <c r="E309" i="5"/>
  <c r="B309" i="5"/>
  <c r="U308" i="5"/>
  <c r="K308" i="5"/>
  <c r="E308" i="5"/>
  <c r="B308" i="5"/>
  <c r="U307" i="5"/>
  <c r="K307" i="5"/>
  <c r="E307" i="5"/>
  <c r="B307" i="5"/>
  <c r="U306" i="5"/>
  <c r="K306" i="5"/>
  <c r="E306" i="5"/>
  <c r="B306" i="5"/>
  <c r="U305" i="5"/>
  <c r="K305" i="5"/>
  <c r="E305" i="5"/>
  <c r="B305" i="5"/>
  <c r="U304" i="5"/>
  <c r="K304" i="5"/>
  <c r="E304" i="5"/>
  <c r="B304" i="5"/>
  <c r="U303" i="5"/>
  <c r="K303" i="5"/>
  <c r="E303" i="5"/>
  <c r="B303" i="5"/>
  <c r="U302" i="5"/>
  <c r="K302" i="5"/>
  <c r="E302" i="5"/>
  <c r="B302" i="5"/>
  <c r="U301" i="5"/>
  <c r="K301" i="5"/>
  <c r="E301" i="5"/>
  <c r="B301" i="5"/>
  <c r="U300" i="5"/>
  <c r="K300" i="5"/>
  <c r="E300" i="5"/>
  <c r="B300" i="5"/>
  <c r="U299" i="5"/>
  <c r="K299" i="5"/>
  <c r="E299" i="5"/>
  <c r="B299" i="5"/>
  <c r="U298" i="5"/>
  <c r="K298" i="5"/>
  <c r="E298" i="5"/>
  <c r="B298" i="5"/>
  <c r="U297" i="5"/>
  <c r="K297" i="5"/>
  <c r="E297" i="5"/>
  <c r="B297" i="5"/>
  <c r="U296" i="5"/>
  <c r="K296" i="5"/>
  <c r="E296" i="5"/>
  <c r="B296" i="5"/>
  <c r="U295" i="5"/>
  <c r="K295" i="5"/>
  <c r="E295" i="5"/>
  <c r="B295" i="5"/>
  <c r="U294" i="5"/>
  <c r="K294" i="5"/>
  <c r="E294" i="5"/>
  <c r="B294" i="5"/>
  <c r="U293" i="5"/>
  <c r="K293" i="5"/>
  <c r="E293" i="5"/>
  <c r="B293" i="5"/>
  <c r="U292" i="5"/>
  <c r="K292" i="5"/>
  <c r="E292" i="5"/>
  <c r="B292" i="5"/>
  <c r="U291" i="5"/>
  <c r="K291" i="5"/>
  <c r="E291" i="5"/>
  <c r="B291" i="5"/>
  <c r="U290" i="5"/>
  <c r="K290" i="5"/>
  <c r="E290" i="5"/>
  <c r="B290" i="5"/>
  <c r="U289" i="5"/>
  <c r="K289" i="5"/>
  <c r="E289" i="5"/>
  <c r="B289" i="5"/>
  <c r="U288" i="5"/>
  <c r="E288" i="5"/>
  <c r="B288" i="5"/>
  <c r="U287" i="5"/>
  <c r="K287" i="5"/>
  <c r="E287" i="5"/>
  <c r="B287" i="5"/>
  <c r="U286" i="5"/>
  <c r="K286" i="5"/>
  <c r="E286" i="5"/>
  <c r="B286" i="5"/>
  <c r="U285" i="5"/>
  <c r="K285" i="5"/>
  <c r="E285" i="5"/>
  <c r="B285" i="5"/>
  <c r="U284" i="5"/>
  <c r="K284" i="5"/>
  <c r="E284" i="5"/>
  <c r="B284" i="5"/>
  <c r="U283" i="5"/>
  <c r="K283" i="5"/>
  <c r="E283" i="5"/>
  <c r="B283" i="5"/>
  <c r="U282" i="5"/>
  <c r="K282" i="5"/>
  <c r="E282" i="5"/>
  <c r="B282" i="5"/>
  <c r="U281" i="5"/>
  <c r="K281" i="5"/>
  <c r="E281" i="5"/>
  <c r="B281" i="5"/>
  <c r="U280" i="5"/>
  <c r="K280" i="5"/>
  <c r="E280" i="5"/>
  <c r="B280" i="5"/>
  <c r="U279" i="5"/>
  <c r="K279" i="5"/>
  <c r="E279" i="5"/>
  <c r="B279" i="5"/>
  <c r="U278" i="5"/>
  <c r="K278" i="5"/>
  <c r="E278" i="5"/>
  <c r="B278" i="5"/>
  <c r="U277" i="5"/>
  <c r="K277" i="5"/>
  <c r="E277" i="5"/>
  <c r="B277" i="5"/>
  <c r="U276" i="5"/>
  <c r="K276" i="5"/>
  <c r="E276" i="5"/>
  <c r="B276" i="5"/>
  <c r="U275" i="5"/>
  <c r="K275" i="5"/>
  <c r="E275" i="5"/>
  <c r="B275" i="5"/>
  <c r="U274" i="5"/>
  <c r="E274" i="5"/>
  <c r="B274" i="5"/>
  <c r="U273" i="5"/>
  <c r="K273" i="5"/>
  <c r="E273" i="5"/>
  <c r="B273" i="5"/>
  <c r="U272" i="5"/>
  <c r="K272" i="5"/>
  <c r="E272" i="5"/>
  <c r="B272" i="5"/>
  <c r="U271" i="5"/>
  <c r="K271" i="5"/>
  <c r="E271" i="5"/>
  <c r="B271" i="5"/>
  <c r="U270" i="5"/>
  <c r="K270" i="5"/>
  <c r="E270" i="5"/>
  <c r="B270" i="5"/>
  <c r="U269" i="5"/>
  <c r="K269" i="5"/>
  <c r="E269" i="5"/>
  <c r="B269" i="5"/>
  <c r="U268" i="5"/>
  <c r="K268" i="5"/>
  <c r="E268" i="5"/>
  <c r="B268" i="5"/>
  <c r="U267" i="5"/>
  <c r="K267" i="5"/>
  <c r="E267" i="5"/>
  <c r="B267" i="5"/>
  <c r="U266" i="5"/>
  <c r="K266" i="5"/>
  <c r="E266" i="5"/>
  <c r="B266" i="5"/>
  <c r="U265" i="5"/>
  <c r="K265" i="5"/>
  <c r="E265" i="5"/>
  <c r="B265" i="5"/>
  <c r="U264" i="5"/>
  <c r="K264" i="5"/>
  <c r="E264" i="5"/>
  <c r="B264" i="5"/>
  <c r="U263" i="5"/>
  <c r="K263" i="5"/>
  <c r="E263" i="5"/>
  <c r="B263" i="5"/>
  <c r="U262" i="5"/>
  <c r="K262" i="5"/>
  <c r="E262" i="5"/>
  <c r="B262" i="5"/>
  <c r="U261" i="5"/>
  <c r="K261" i="5"/>
  <c r="E261" i="5"/>
  <c r="B261" i="5"/>
  <c r="U260" i="5"/>
  <c r="K260" i="5"/>
  <c r="E260" i="5"/>
  <c r="B260" i="5"/>
  <c r="U259" i="5"/>
  <c r="K259" i="5"/>
  <c r="E259" i="5"/>
  <c r="B259" i="5"/>
  <c r="U258" i="5"/>
  <c r="K258" i="5"/>
  <c r="E258" i="5"/>
  <c r="B258" i="5"/>
  <c r="U257" i="5"/>
  <c r="K257" i="5"/>
  <c r="E257" i="5"/>
  <c r="B257" i="5"/>
  <c r="U256" i="5"/>
  <c r="K256" i="5"/>
  <c r="E256" i="5"/>
  <c r="B256" i="5"/>
  <c r="U255" i="5"/>
  <c r="K255" i="5"/>
  <c r="E255" i="5"/>
  <c r="B255" i="5"/>
  <c r="U254" i="5"/>
  <c r="K254" i="5"/>
  <c r="E254" i="5"/>
  <c r="B254" i="5"/>
  <c r="U253" i="5"/>
  <c r="E253" i="5"/>
  <c r="B253" i="5"/>
  <c r="U252" i="5"/>
  <c r="K252" i="5"/>
  <c r="E252" i="5"/>
  <c r="B252" i="5"/>
  <c r="U251" i="5"/>
  <c r="K251" i="5"/>
  <c r="E251" i="5"/>
  <c r="B251" i="5"/>
  <c r="U250" i="5"/>
  <c r="K250" i="5"/>
  <c r="E250" i="5"/>
  <c r="B250" i="5"/>
  <c r="U249" i="5"/>
  <c r="K249" i="5"/>
  <c r="E249" i="5"/>
  <c r="B249" i="5"/>
  <c r="U248" i="5"/>
  <c r="K248" i="5"/>
  <c r="E248" i="5"/>
  <c r="B248" i="5"/>
  <c r="U247" i="5"/>
  <c r="K247" i="5"/>
  <c r="E247" i="5"/>
  <c r="B247" i="5"/>
  <c r="U246" i="5"/>
  <c r="K246" i="5"/>
  <c r="E246" i="5"/>
  <c r="B246" i="5"/>
  <c r="U245" i="5"/>
  <c r="K245" i="5"/>
  <c r="E245" i="5"/>
  <c r="B245" i="5"/>
  <c r="U244" i="5"/>
  <c r="K244" i="5"/>
  <c r="E244" i="5"/>
  <c r="B244" i="5"/>
  <c r="U243" i="5"/>
  <c r="K243" i="5"/>
  <c r="E243" i="5"/>
  <c r="B243" i="5"/>
  <c r="U242" i="5"/>
  <c r="K242" i="5"/>
  <c r="E242" i="5"/>
  <c r="B242" i="5"/>
  <c r="U241" i="5"/>
  <c r="K241" i="5"/>
  <c r="E241" i="5"/>
  <c r="B241" i="5"/>
  <c r="U240" i="5"/>
  <c r="K240" i="5"/>
  <c r="E240" i="5"/>
  <c r="B240" i="5"/>
  <c r="U239" i="5"/>
  <c r="K239" i="5"/>
  <c r="E239" i="5"/>
  <c r="B239" i="5"/>
  <c r="U238" i="5"/>
  <c r="K238" i="5"/>
  <c r="E238" i="5"/>
  <c r="B238" i="5"/>
  <c r="U237" i="5"/>
  <c r="K237" i="5"/>
  <c r="E237" i="5"/>
  <c r="B237" i="5"/>
  <c r="U236" i="5"/>
  <c r="K236" i="5"/>
  <c r="E236" i="5"/>
  <c r="B236" i="5"/>
  <c r="U235" i="5"/>
  <c r="K235" i="5"/>
  <c r="E235" i="5"/>
  <c r="B235" i="5"/>
  <c r="U234" i="5"/>
  <c r="K234" i="5"/>
  <c r="E234" i="5"/>
  <c r="B234" i="5"/>
  <c r="U233" i="5"/>
  <c r="K233" i="5"/>
  <c r="E233" i="5"/>
  <c r="B233" i="5"/>
  <c r="U232" i="5"/>
  <c r="K232" i="5"/>
  <c r="E232" i="5"/>
  <c r="B232" i="5"/>
  <c r="U231" i="5"/>
  <c r="K231" i="5"/>
  <c r="E231" i="5"/>
  <c r="B231" i="5"/>
  <c r="U230" i="5"/>
  <c r="K230" i="5"/>
  <c r="E230" i="5"/>
  <c r="B230" i="5"/>
  <c r="U229" i="5"/>
  <c r="K229" i="5"/>
  <c r="E229" i="5"/>
  <c r="B229" i="5"/>
  <c r="U228" i="5"/>
  <c r="K228" i="5"/>
  <c r="E228" i="5"/>
  <c r="B228" i="5"/>
  <c r="U227" i="5"/>
  <c r="K227" i="5"/>
  <c r="E227" i="5"/>
  <c r="B227" i="5"/>
  <c r="U226" i="5"/>
  <c r="K226" i="5"/>
  <c r="E226" i="5"/>
  <c r="B226" i="5"/>
  <c r="U225" i="5"/>
  <c r="K225" i="5"/>
  <c r="E225" i="5"/>
  <c r="B225" i="5"/>
  <c r="U224" i="5"/>
  <c r="K224" i="5"/>
  <c r="E224" i="5"/>
  <c r="B224" i="5"/>
  <c r="U223" i="5"/>
  <c r="E223" i="5"/>
  <c r="B223" i="5"/>
  <c r="U222" i="5"/>
  <c r="K222" i="5"/>
  <c r="E222" i="5"/>
  <c r="B222" i="5"/>
  <c r="U221" i="5"/>
  <c r="K221" i="5"/>
  <c r="E221" i="5"/>
  <c r="B221" i="5"/>
  <c r="U220" i="5"/>
  <c r="K220" i="5"/>
  <c r="E220" i="5"/>
  <c r="B220" i="5"/>
  <c r="U219" i="5"/>
  <c r="K219" i="5"/>
  <c r="E219" i="5"/>
  <c r="B219" i="5"/>
  <c r="U218" i="5"/>
  <c r="K218" i="5"/>
  <c r="E218" i="5"/>
  <c r="B218" i="5"/>
  <c r="U217" i="5"/>
  <c r="K217" i="5"/>
  <c r="E217" i="5"/>
  <c r="B217" i="5"/>
  <c r="U216" i="5"/>
  <c r="K216" i="5"/>
  <c r="E216" i="5"/>
  <c r="B216" i="5"/>
  <c r="U215" i="5"/>
  <c r="K215" i="5"/>
  <c r="E215" i="5"/>
  <c r="B215" i="5"/>
  <c r="U214" i="5"/>
  <c r="K214" i="5"/>
  <c r="E214" i="5"/>
  <c r="B214" i="5"/>
  <c r="U213" i="5"/>
  <c r="K213" i="5"/>
  <c r="E213" i="5"/>
  <c r="B213" i="5"/>
  <c r="U212" i="5"/>
  <c r="K212" i="5"/>
  <c r="E212" i="5"/>
  <c r="B212" i="5"/>
  <c r="U211" i="5"/>
  <c r="K211" i="5"/>
  <c r="E211" i="5"/>
  <c r="B211" i="5"/>
  <c r="U210" i="5"/>
  <c r="K210" i="5"/>
  <c r="E210" i="5"/>
  <c r="B210" i="5"/>
  <c r="U209" i="5"/>
  <c r="K209" i="5"/>
  <c r="E209" i="5"/>
  <c r="B209" i="5"/>
  <c r="U208" i="5"/>
  <c r="K208" i="5"/>
  <c r="E208" i="5"/>
  <c r="B208" i="5"/>
  <c r="U207" i="5"/>
  <c r="K207" i="5"/>
  <c r="E207" i="5"/>
  <c r="B207" i="5"/>
  <c r="U206" i="5"/>
  <c r="K206" i="5"/>
  <c r="E206" i="5"/>
  <c r="B206" i="5"/>
  <c r="U205" i="5"/>
  <c r="K205" i="5"/>
  <c r="E205" i="5"/>
  <c r="B205" i="5"/>
  <c r="U204" i="5"/>
  <c r="K204" i="5"/>
  <c r="E204" i="5"/>
  <c r="B204" i="5"/>
  <c r="U203" i="5"/>
  <c r="K203" i="5"/>
  <c r="E203" i="5"/>
  <c r="B203" i="5"/>
  <c r="U202" i="5"/>
  <c r="K202" i="5"/>
  <c r="E202" i="5"/>
  <c r="B202" i="5"/>
  <c r="U201" i="5"/>
  <c r="K201" i="5"/>
  <c r="E201" i="5"/>
  <c r="B201" i="5"/>
  <c r="U200" i="5"/>
  <c r="K200" i="5"/>
  <c r="E200" i="5"/>
  <c r="B200" i="5"/>
  <c r="U199" i="5"/>
  <c r="K199" i="5"/>
  <c r="E199" i="5"/>
  <c r="B199" i="5"/>
  <c r="U198" i="5"/>
  <c r="K198" i="5"/>
  <c r="E198" i="5"/>
  <c r="B198" i="5"/>
  <c r="U197" i="5"/>
  <c r="K197" i="5"/>
  <c r="E197" i="5"/>
  <c r="B197" i="5"/>
  <c r="U196" i="5"/>
  <c r="K196" i="5"/>
  <c r="E196" i="5"/>
  <c r="B196" i="5"/>
  <c r="U195" i="5"/>
  <c r="K195" i="5"/>
  <c r="E195" i="5"/>
  <c r="B195" i="5"/>
  <c r="U194" i="5"/>
  <c r="K194" i="5"/>
  <c r="E194" i="5"/>
  <c r="B194" i="5"/>
  <c r="U193" i="5"/>
  <c r="K193" i="5"/>
  <c r="E193" i="5"/>
  <c r="B193" i="5"/>
  <c r="U192" i="5"/>
  <c r="K192" i="5"/>
  <c r="E192" i="5"/>
  <c r="B192" i="5"/>
  <c r="U191" i="5"/>
  <c r="K191" i="5"/>
  <c r="E191" i="5"/>
  <c r="B191" i="5"/>
  <c r="U190" i="5"/>
  <c r="K190" i="5"/>
  <c r="E190" i="5"/>
  <c r="B190" i="5"/>
  <c r="U189" i="5"/>
  <c r="E189" i="5"/>
  <c r="B189" i="5"/>
  <c r="U188" i="5"/>
  <c r="K188" i="5"/>
  <c r="E188" i="5"/>
  <c r="B188" i="5"/>
  <c r="U187" i="5"/>
  <c r="K187" i="5"/>
  <c r="E187" i="5"/>
  <c r="B187" i="5"/>
  <c r="U186" i="5"/>
  <c r="K186" i="5"/>
  <c r="E186" i="5"/>
  <c r="B186" i="5"/>
  <c r="U185" i="5"/>
  <c r="K185" i="5"/>
  <c r="E185" i="5"/>
  <c r="B185" i="5"/>
  <c r="U184" i="5"/>
  <c r="K184" i="5"/>
  <c r="E184" i="5"/>
  <c r="B184" i="5"/>
  <c r="U183" i="5"/>
  <c r="K183" i="5"/>
  <c r="E183" i="5"/>
  <c r="B183" i="5"/>
  <c r="U182" i="5"/>
  <c r="K182" i="5"/>
  <c r="E182" i="5"/>
  <c r="B182" i="5"/>
  <c r="U181" i="5"/>
  <c r="K181" i="5"/>
  <c r="E181" i="5"/>
  <c r="B181" i="5"/>
  <c r="U180" i="5"/>
  <c r="K180" i="5"/>
  <c r="E180" i="5"/>
  <c r="B180" i="5"/>
  <c r="U179" i="5"/>
  <c r="K179" i="5"/>
  <c r="E179" i="5"/>
  <c r="B179" i="5"/>
  <c r="U178" i="5"/>
  <c r="K178" i="5"/>
  <c r="E178" i="5"/>
  <c r="B178" i="5"/>
  <c r="U177" i="5"/>
  <c r="K177" i="5"/>
  <c r="E177" i="5"/>
  <c r="B177" i="5"/>
  <c r="U176" i="5"/>
  <c r="K176" i="5"/>
  <c r="E176" i="5"/>
  <c r="B176" i="5"/>
  <c r="U175" i="5"/>
  <c r="K175" i="5"/>
  <c r="E175" i="5"/>
  <c r="B175" i="5"/>
  <c r="U174" i="5"/>
  <c r="K174" i="5"/>
  <c r="E174" i="5"/>
  <c r="B174" i="5"/>
  <c r="U173" i="5"/>
  <c r="K173" i="5"/>
  <c r="E173" i="5"/>
  <c r="B173" i="5"/>
  <c r="U172" i="5"/>
  <c r="K172" i="5"/>
  <c r="E172" i="5"/>
  <c r="B172" i="5"/>
  <c r="U171" i="5"/>
  <c r="K171" i="5"/>
  <c r="E171" i="5"/>
  <c r="B171" i="5"/>
  <c r="U170" i="5"/>
  <c r="K170" i="5"/>
  <c r="E170" i="5"/>
  <c r="B170" i="5"/>
  <c r="U169" i="5"/>
  <c r="K169" i="5"/>
  <c r="E169" i="5"/>
  <c r="B169" i="5"/>
  <c r="U168" i="5"/>
  <c r="K168" i="5"/>
  <c r="E168" i="5"/>
  <c r="B168" i="5"/>
  <c r="U167" i="5"/>
  <c r="K167" i="5"/>
  <c r="E167" i="5"/>
  <c r="B167" i="5"/>
  <c r="U166" i="5"/>
  <c r="K166" i="5"/>
  <c r="E166" i="5"/>
  <c r="B166" i="5"/>
  <c r="U165" i="5"/>
  <c r="K165" i="5"/>
  <c r="E165" i="5"/>
  <c r="B165" i="5"/>
  <c r="U164" i="5"/>
  <c r="K164" i="5"/>
  <c r="E164" i="5"/>
  <c r="B164" i="5"/>
  <c r="U163" i="5"/>
  <c r="K163" i="5"/>
  <c r="E163" i="5"/>
  <c r="B163" i="5"/>
  <c r="U162" i="5"/>
  <c r="K162" i="5"/>
  <c r="E162" i="5"/>
  <c r="B162" i="5"/>
  <c r="U161" i="5"/>
  <c r="K161" i="5"/>
  <c r="E161" i="5"/>
  <c r="B161" i="5"/>
  <c r="U160" i="5"/>
  <c r="K160" i="5"/>
  <c r="E160" i="5"/>
  <c r="B160" i="5"/>
  <c r="U159" i="5"/>
  <c r="K159" i="5"/>
  <c r="E159" i="5"/>
  <c r="B159" i="5"/>
  <c r="U158" i="5"/>
  <c r="K158" i="5"/>
  <c r="E158" i="5"/>
  <c r="B158" i="5"/>
  <c r="U157" i="5"/>
  <c r="K157" i="5"/>
  <c r="E157" i="5"/>
  <c r="B157" i="5"/>
  <c r="U156" i="5"/>
  <c r="K156" i="5"/>
  <c r="E156" i="5"/>
  <c r="B156" i="5"/>
  <c r="U155" i="5"/>
  <c r="K155" i="5"/>
  <c r="E155" i="5"/>
  <c r="B155" i="5"/>
  <c r="U154" i="5"/>
  <c r="K154" i="5"/>
  <c r="E154" i="5"/>
  <c r="B154" i="5"/>
  <c r="U153" i="5"/>
  <c r="K153" i="5"/>
  <c r="E153" i="5"/>
  <c r="B153" i="5"/>
  <c r="U152" i="5"/>
  <c r="K152" i="5"/>
  <c r="E152" i="5"/>
  <c r="B152" i="5"/>
  <c r="U151" i="5"/>
  <c r="K151" i="5"/>
  <c r="E151" i="5"/>
  <c r="B151" i="5"/>
  <c r="U150" i="5"/>
  <c r="K150" i="5"/>
  <c r="E150" i="5"/>
  <c r="B150" i="5"/>
  <c r="U149" i="5"/>
  <c r="K149" i="5"/>
  <c r="E149" i="5"/>
  <c r="B149" i="5"/>
  <c r="U148" i="5"/>
  <c r="K148" i="5"/>
  <c r="E148" i="5"/>
  <c r="B148" i="5"/>
  <c r="U147" i="5"/>
  <c r="K147" i="5"/>
  <c r="E147" i="5"/>
  <c r="B147" i="5"/>
  <c r="U146" i="5"/>
  <c r="K146" i="5"/>
  <c r="E146" i="5"/>
  <c r="B146" i="5"/>
  <c r="U145" i="5"/>
  <c r="K145" i="5"/>
  <c r="E145" i="5"/>
  <c r="B145" i="5"/>
  <c r="U144" i="5"/>
  <c r="K144" i="5"/>
  <c r="E144" i="5"/>
  <c r="B144" i="5"/>
  <c r="U143" i="5"/>
  <c r="K143" i="5"/>
  <c r="E143" i="5"/>
  <c r="B143" i="5"/>
  <c r="U142" i="5"/>
  <c r="K142" i="5"/>
  <c r="E142" i="5"/>
  <c r="B142" i="5"/>
  <c r="U141" i="5"/>
  <c r="K141" i="5"/>
  <c r="E141" i="5"/>
  <c r="B141" i="5"/>
  <c r="U140" i="5"/>
  <c r="K140" i="5"/>
  <c r="E140" i="5"/>
  <c r="B140" i="5"/>
  <c r="U139" i="5"/>
  <c r="K139" i="5"/>
  <c r="E139" i="5"/>
  <c r="B139" i="5"/>
  <c r="U138" i="5"/>
  <c r="K138" i="5"/>
  <c r="E138" i="5"/>
  <c r="B138" i="5"/>
  <c r="U137" i="5"/>
  <c r="K137" i="5"/>
  <c r="E137" i="5"/>
  <c r="B137" i="5"/>
  <c r="U136" i="5"/>
  <c r="K136" i="5"/>
  <c r="E136" i="5"/>
  <c r="B136" i="5"/>
  <c r="U135" i="5"/>
  <c r="K135" i="5"/>
  <c r="E135" i="5"/>
  <c r="B135" i="5"/>
  <c r="U134" i="5"/>
  <c r="K134" i="5"/>
  <c r="E134" i="5"/>
  <c r="B134" i="5"/>
  <c r="U133" i="5"/>
  <c r="K133" i="5"/>
  <c r="E133" i="5"/>
  <c r="B133" i="5"/>
  <c r="U132" i="5"/>
  <c r="K132" i="5"/>
  <c r="E132" i="5"/>
  <c r="B132" i="5"/>
  <c r="U131" i="5"/>
  <c r="K131" i="5"/>
  <c r="E131" i="5"/>
  <c r="B131" i="5"/>
  <c r="U130" i="5"/>
  <c r="K130" i="5"/>
  <c r="E130" i="5"/>
  <c r="B130" i="5"/>
  <c r="U129" i="5"/>
  <c r="K129" i="5"/>
  <c r="E129" i="5"/>
  <c r="B129" i="5"/>
  <c r="U128" i="5"/>
  <c r="K128" i="5"/>
  <c r="E128" i="5"/>
  <c r="B128" i="5"/>
  <c r="U127" i="5"/>
  <c r="K127" i="5"/>
  <c r="E127" i="5"/>
  <c r="B127" i="5"/>
  <c r="U126" i="5"/>
  <c r="K126" i="5"/>
  <c r="E126" i="5"/>
  <c r="B126" i="5"/>
  <c r="U125" i="5"/>
  <c r="K125" i="5"/>
  <c r="E125" i="5"/>
  <c r="B125" i="5"/>
  <c r="U124" i="5"/>
  <c r="K124" i="5"/>
  <c r="E124" i="5"/>
  <c r="B124" i="5"/>
  <c r="U123" i="5"/>
  <c r="K123" i="5"/>
  <c r="E123" i="5"/>
  <c r="B123" i="5"/>
  <c r="U122" i="5"/>
  <c r="K122" i="5"/>
  <c r="E122" i="5"/>
  <c r="B122" i="5"/>
  <c r="U121" i="5"/>
  <c r="K121" i="5"/>
  <c r="E121" i="5"/>
  <c r="B121" i="5"/>
  <c r="U120" i="5"/>
  <c r="K120" i="5"/>
  <c r="E120" i="5"/>
  <c r="B120" i="5"/>
  <c r="U119" i="5"/>
  <c r="K119" i="5"/>
  <c r="E119" i="5"/>
  <c r="B119" i="5"/>
  <c r="U118" i="5"/>
  <c r="K118" i="5"/>
  <c r="E118" i="5"/>
  <c r="B118" i="5"/>
  <c r="U117" i="5"/>
  <c r="K117" i="5"/>
  <c r="E117" i="5"/>
  <c r="B117" i="5"/>
  <c r="U116" i="5"/>
  <c r="K116" i="5"/>
  <c r="E116" i="5"/>
  <c r="B116" i="5"/>
  <c r="U115" i="5"/>
  <c r="K115" i="5"/>
  <c r="E115" i="5"/>
  <c r="B115" i="5"/>
  <c r="U114" i="5"/>
  <c r="K114" i="5"/>
  <c r="E114" i="5"/>
  <c r="B114" i="5"/>
  <c r="U113" i="5"/>
  <c r="K113" i="5"/>
  <c r="E113" i="5"/>
  <c r="B113" i="5"/>
  <c r="U112" i="5"/>
  <c r="K112" i="5"/>
  <c r="E112" i="5"/>
  <c r="B112" i="5"/>
  <c r="U111" i="5"/>
  <c r="K111" i="5"/>
  <c r="E111" i="5"/>
  <c r="B111" i="5"/>
  <c r="U110" i="5"/>
  <c r="K110" i="5"/>
  <c r="E110" i="5"/>
  <c r="B110" i="5"/>
  <c r="U109" i="5"/>
  <c r="K109" i="5"/>
  <c r="E109" i="5"/>
  <c r="B109" i="5"/>
  <c r="U108" i="5"/>
  <c r="K108" i="5"/>
  <c r="E108" i="5"/>
  <c r="B108" i="5"/>
  <c r="U107" i="5"/>
  <c r="K107" i="5"/>
  <c r="E107" i="5"/>
  <c r="B107" i="5"/>
  <c r="U106" i="5"/>
  <c r="K106" i="5"/>
  <c r="E106" i="5"/>
  <c r="B106" i="5"/>
  <c r="U105" i="5"/>
  <c r="K105" i="5"/>
  <c r="E105" i="5"/>
  <c r="B105" i="5"/>
  <c r="U104" i="5"/>
  <c r="K104" i="5"/>
  <c r="E104" i="5"/>
  <c r="B104" i="5"/>
  <c r="U103" i="5"/>
  <c r="K103" i="5"/>
  <c r="E103" i="5"/>
  <c r="B103" i="5"/>
  <c r="U102" i="5"/>
  <c r="K102" i="5"/>
  <c r="E102" i="5"/>
  <c r="B102" i="5"/>
  <c r="U101" i="5"/>
  <c r="K101" i="5"/>
  <c r="E101" i="5"/>
  <c r="B101" i="5"/>
  <c r="U100" i="5"/>
  <c r="K100" i="5"/>
  <c r="E100" i="5"/>
  <c r="B100" i="5"/>
  <c r="U99" i="5"/>
  <c r="E99" i="5"/>
  <c r="B99" i="5"/>
  <c r="U98" i="5"/>
  <c r="K98" i="5"/>
  <c r="E98" i="5"/>
  <c r="B98" i="5"/>
  <c r="U97" i="5"/>
  <c r="K97" i="5"/>
  <c r="E97" i="5"/>
  <c r="B97" i="5"/>
  <c r="U96" i="5"/>
  <c r="K96" i="5"/>
  <c r="E96" i="5"/>
  <c r="B96" i="5"/>
  <c r="U95" i="5"/>
  <c r="K95" i="5"/>
  <c r="E95" i="5"/>
  <c r="B95" i="5"/>
  <c r="U94" i="5"/>
  <c r="K94" i="5"/>
  <c r="E94" i="5"/>
  <c r="B94" i="5"/>
  <c r="U93" i="5"/>
  <c r="K93" i="5"/>
  <c r="E93" i="5"/>
  <c r="B93" i="5"/>
  <c r="U92" i="5"/>
  <c r="K92" i="5"/>
  <c r="E92" i="5"/>
  <c r="B92" i="5"/>
  <c r="U91" i="5"/>
  <c r="K91" i="5"/>
  <c r="E91" i="5"/>
  <c r="B91" i="5"/>
  <c r="U90" i="5"/>
  <c r="K90" i="5"/>
  <c r="E90" i="5"/>
  <c r="B90" i="5"/>
  <c r="U89" i="5"/>
  <c r="K89" i="5"/>
  <c r="E89" i="5"/>
  <c r="B89" i="5"/>
  <c r="U88" i="5"/>
  <c r="K88" i="5"/>
  <c r="E88" i="5"/>
  <c r="B88" i="5"/>
  <c r="U87" i="5"/>
  <c r="K87" i="5"/>
  <c r="E87" i="5"/>
  <c r="B87" i="5"/>
  <c r="U86" i="5"/>
  <c r="K86" i="5"/>
  <c r="E86" i="5"/>
  <c r="B86" i="5"/>
  <c r="U85" i="5"/>
  <c r="K85" i="5"/>
  <c r="E85" i="5"/>
  <c r="B85" i="5"/>
  <c r="U84" i="5"/>
  <c r="K84" i="5"/>
  <c r="E84" i="5"/>
  <c r="B84" i="5"/>
  <c r="U83" i="5"/>
  <c r="K83" i="5"/>
  <c r="E83" i="5"/>
  <c r="B83" i="5"/>
  <c r="U82" i="5"/>
  <c r="K82" i="5"/>
  <c r="E82" i="5"/>
  <c r="B82" i="5"/>
  <c r="U81" i="5"/>
  <c r="K81" i="5"/>
  <c r="E81" i="5"/>
  <c r="B81" i="5"/>
  <c r="U80" i="5"/>
  <c r="K80" i="5"/>
  <c r="E80" i="5"/>
  <c r="B80" i="5"/>
  <c r="U79" i="5"/>
  <c r="K79" i="5"/>
  <c r="E79" i="5"/>
  <c r="B79" i="5"/>
  <c r="U78" i="5"/>
  <c r="K78" i="5"/>
  <c r="E78" i="5"/>
  <c r="B78" i="5"/>
  <c r="U77" i="5"/>
  <c r="K77" i="5"/>
  <c r="E77" i="5"/>
  <c r="B77" i="5"/>
  <c r="U76" i="5"/>
  <c r="K76" i="5"/>
  <c r="E76" i="5"/>
  <c r="B76" i="5"/>
  <c r="U75" i="5"/>
  <c r="K75" i="5"/>
  <c r="E75" i="5"/>
  <c r="B75" i="5"/>
  <c r="U74" i="5"/>
  <c r="K74" i="5"/>
  <c r="E74" i="5"/>
  <c r="B74" i="5"/>
  <c r="U73" i="5"/>
  <c r="K73" i="5"/>
  <c r="E73" i="5"/>
  <c r="B73" i="5"/>
  <c r="U72" i="5"/>
  <c r="K72" i="5"/>
  <c r="E72" i="5"/>
  <c r="B72" i="5"/>
  <c r="U71" i="5"/>
  <c r="K71" i="5"/>
  <c r="E71" i="5"/>
  <c r="B71" i="5"/>
  <c r="U70" i="5"/>
  <c r="K70" i="5"/>
  <c r="E70" i="5"/>
  <c r="B70" i="5"/>
  <c r="U69" i="5"/>
  <c r="K69" i="5"/>
  <c r="E69" i="5"/>
  <c r="B69" i="5"/>
  <c r="U68" i="5"/>
  <c r="K68" i="5"/>
  <c r="H68" i="5"/>
  <c r="E68" i="5"/>
  <c r="B68" i="5"/>
  <c r="U67" i="5"/>
  <c r="E67" i="5"/>
  <c r="B67" i="5"/>
  <c r="U66" i="5"/>
  <c r="K66" i="5"/>
  <c r="E66" i="5"/>
  <c r="B66" i="5"/>
  <c r="U65" i="5"/>
  <c r="K65" i="5"/>
  <c r="E65" i="5"/>
  <c r="B65" i="5"/>
  <c r="U64" i="5"/>
  <c r="K64" i="5"/>
  <c r="E64" i="5"/>
  <c r="B64" i="5"/>
  <c r="U63" i="5"/>
  <c r="K63" i="5"/>
  <c r="E63" i="5"/>
  <c r="B63" i="5"/>
  <c r="U62" i="5"/>
  <c r="K62" i="5"/>
  <c r="E62" i="5"/>
  <c r="B62" i="5"/>
  <c r="U61" i="5"/>
  <c r="K61" i="5"/>
  <c r="E61" i="5"/>
  <c r="B61" i="5"/>
  <c r="U60" i="5"/>
  <c r="K60" i="5"/>
  <c r="E60" i="5"/>
  <c r="B60" i="5"/>
  <c r="U59" i="5"/>
  <c r="K59" i="5"/>
  <c r="E59" i="5"/>
  <c r="B59" i="5"/>
  <c r="U58" i="5"/>
  <c r="K58" i="5"/>
  <c r="E58" i="5"/>
  <c r="B58" i="5"/>
  <c r="U57" i="5"/>
  <c r="K57" i="5"/>
  <c r="E57" i="5"/>
  <c r="B57" i="5"/>
  <c r="U56" i="5"/>
  <c r="K56" i="5"/>
  <c r="E56" i="5"/>
  <c r="B56" i="5"/>
  <c r="U55" i="5"/>
  <c r="K55" i="5"/>
  <c r="E55" i="5"/>
  <c r="B55" i="5"/>
  <c r="U54" i="5"/>
  <c r="K54" i="5"/>
  <c r="E54" i="5"/>
  <c r="B54" i="5"/>
  <c r="U53" i="5"/>
  <c r="K53" i="5"/>
  <c r="E53" i="5"/>
  <c r="B53" i="5"/>
  <c r="U52" i="5"/>
  <c r="K52" i="5"/>
  <c r="E52" i="5"/>
  <c r="B52" i="5"/>
  <c r="U51" i="5"/>
  <c r="K51" i="5"/>
  <c r="E51" i="5"/>
  <c r="B51" i="5"/>
  <c r="U50" i="5"/>
  <c r="K50" i="5"/>
  <c r="E50" i="5"/>
  <c r="B50" i="5"/>
  <c r="U49" i="5"/>
  <c r="K49" i="5"/>
  <c r="E49" i="5"/>
  <c r="B49" i="5"/>
  <c r="U48" i="5"/>
  <c r="K48" i="5"/>
  <c r="E48" i="5"/>
  <c r="B48" i="5"/>
  <c r="U47" i="5"/>
  <c r="K47" i="5"/>
  <c r="E47" i="5"/>
  <c r="B47" i="5"/>
  <c r="U46" i="5"/>
  <c r="K46" i="5"/>
  <c r="E46" i="5"/>
  <c r="B46" i="5"/>
  <c r="U45" i="5"/>
  <c r="K45" i="5"/>
  <c r="E45" i="5"/>
  <c r="B45" i="5"/>
  <c r="U44" i="5"/>
  <c r="K44" i="5"/>
  <c r="E44" i="5"/>
  <c r="B44" i="5"/>
  <c r="U43" i="5"/>
  <c r="K43" i="5"/>
  <c r="E43" i="5"/>
  <c r="B43" i="5"/>
  <c r="U42" i="5"/>
  <c r="K42" i="5"/>
  <c r="E42" i="5"/>
  <c r="B42" i="5"/>
  <c r="U41" i="5"/>
  <c r="K41" i="5"/>
  <c r="E41" i="5"/>
  <c r="B41" i="5"/>
  <c r="U40" i="5"/>
  <c r="K40" i="5"/>
  <c r="E40" i="5"/>
  <c r="B40" i="5"/>
  <c r="U39" i="5"/>
  <c r="K39" i="5"/>
  <c r="E39" i="5"/>
  <c r="B39" i="5"/>
  <c r="U38" i="5"/>
  <c r="K38" i="5"/>
  <c r="E38" i="5"/>
  <c r="B38" i="5"/>
  <c r="U37" i="5"/>
  <c r="K37" i="5"/>
  <c r="E37" i="5"/>
  <c r="B37" i="5"/>
  <c r="U36" i="5"/>
  <c r="K36" i="5"/>
  <c r="E36" i="5"/>
  <c r="B36" i="5"/>
  <c r="U35" i="5"/>
  <c r="K35" i="5"/>
  <c r="E35" i="5"/>
  <c r="B35" i="5"/>
  <c r="U34" i="5"/>
  <c r="K34" i="5"/>
  <c r="E34" i="5"/>
  <c r="B34" i="5"/>
  <c r="U33" i="5"/>
  <c r="K33" i="5"/>
  <c r="E33" i="5"/>
  <c r="B33" i="5"/>
  <c r="U32" i="5"/>
  <c r="K32" i="5"/>
  <c r="E32" i="5"/>
  <c r="B32" i="5"/>
  <c r="U31" i="5"/>
  <c r="K31" i="5"/>
  <c r="E31" i="5"/>
  <c r="B31" i="5"/>
  <c r="U30" i="5"/>
  <c r="K30" i="5"/>
  <c r="E30" i="5"/>
  <c r="B30" i="5"/>
  <c r="U29" i="5"/>
  <c r="K29" i="5"/>
  <c r="E29" i="5"/>
  <c r="B29" i="5"/>
  <c r="U28" i="5"/>
  <c r="K28" i="5"/>
  <c r="E28" i="5"/>
  <c r="B28" i="5"/>
  <c r="U27" i="5"/>
  <c r="K27" i="5"/>
  <c r="E27" i="5"/>
  <c r="B27" i="5"/>
  <c r="U26" i="5"/>
  <c r="K26" i="5"/>
  <c r="E26" i="5"/>
  <c r="B26" i="5"/>
  <c r="U25" i="5"/>
  <c r="K25" i="5"/>
  <c r="E25" i="5"/>
  <c r="B25" i="5"/>
  <c r="U24" i="5"/>
  <c r="K24" i="5"/>
  <c r="E24" i="5"/>
  <c r="B24" i="5"/>
  <c r="U23" i="5"/>
  <c r="K23" i="5"/>
  <c r="E23" i="5"/>
  <c r="B23" i="5"/>
  <c r="U22" i="5"/>
  <c r="K22" i="5"/>
  <c r="E22" i="5"/>
  <c r="B22" i="5"/>
  <c r="U21" i="5"/>
  <c r="K21" i="5"/>
  <c r="E21" i="5"/>
  <c r="B21" i="5"/>
  <c r="U20" i="5"/>
  <c r="K20" i="5"/>
  <c r="E20" i="5"/>
  <c r="B20" i="5"/>
  <c r="U19" i="5"/>
  <c r="K19" i="5"/>
  <c r="E19" i="5"/>
  <c r="B19" i="5"/>
  <c r="U18" i="5"/>
  <c r="K18" i="5"/>
  <c r="E18" i="5"/>
  <c r="B18" i="5"/>
  <c r="U17" i="5"/>
  <c r="K17" i="5"/>
  <c r="E17" i="5"/>
  <c r="B17" i="5"/>
  <c r="U16" i="5"/>
  <c r="K16" i="5"/>
  <c r="E16" i="5"/>
  <c r="B16" i="5"/>
  <c r="U15" i="5"/>
  <c r="K15" i="5"/>
  <c r="E15" i="5"/>
  <c r="B15" i="5"/>
  <c r="U14" i="5"/>
  <c r="K14" i="5"/>
  <c r="E14" i="5"/>
  <c r="B14" i="5"/>
  <c r="U13" i="5"/>
  <c r="K13" i="5"/>
  <c r="E13" i="5"/>
  <c r="B13" i="5"/>
  <c r="U12" i="5"/>
  <c r="K12" i="5"/>
  <c r="E12" i="5"/>
  <c r="B12" i="5"/>
  <c r="U11" i="5"/>
  <c r="K11" i="5"/>
  <c r="E11" i="5"/>
  <c r="B11" i="5"/>
  <c r="U10" i="5"/>
  <c r="K10" i="5"/>
  <c r="E10" i="5"/>
  <c r="B10" i="5"/>
  <c r="U9" i="5"/>
  <c r="K9" i="5"/>
  <c r="E9" i="5"/>
  <c r="B9" i="5"/>
  <c r="U8" i="5"/>
  <c r="K8" i="5"/>
  <c r="E8" i="5"/>
  <c r="B8" i="5"/>
  <c r="U7" i="5"/>
  <c r="K7" i="5"/>
  <c r="E7" i="5"/>
  <c r="B7" i="5"/>
  <c r="U6" i="5"/>
  <c r="K6" i="5"/>
  <c r="E6" i="5"/>
  <c r="B6" i="5"/>
  <c r="U5" i="5"/>
  <c r="K5" i="5"/>
  <c r="E5" i="5"/>
  <c r="B5" i="5"/>
  <c r="U4" i="5"/>
  <c r="K4" i="5"/>
  <c r="E4" i="5"/>
  <c r="B4" i="5"/>
  <c r="U3" i="5"/>
  <c r="K3" i="5"/>
  <c r="E3" i="5"/>
  <c r="B3" i="5"/>
</calcChain>
</file>

<file path=xl/sharedStrings.xml><?xml version="1.0" encoding="utf-8"?>
<sst xmlns="http://schemas.openxmlformats.org/spreadsheetml/2006/main" count="34808" uniqueCount="11023">
  <si>
    <t>Twitter Query: #"machinelearning" -filter:retweets -filter:replies</t>
  </si>
  <si>
    <t>Date</t>
  </si>
  <si>
    <t>Screen Name</t>
  </si>
  <si>
    <t>Full Name</t>
  </si>
  <si>
    <t>Tweet Text</t>
  </si>
  <si>
    <t>Tweet ID</t>
  </si>
  <si>
    <t>Link(s)</t>
  </si>
  <si>
    <t>Media</t>
  </si>
  <si>
    <t>Location</t>
  </si>
  <si>
    <t>Retweets</t>
  </si>
  <si>
    <t>Favorites</t>
  </si>
  <si>
    <t>App</t>
  </si>
  <si>
    <t>Followers</t>
  </si>
  <si>
    <t>Follows</t>
  </si>
  <si>
    <t>Listed</t>
  </si>
  <si>
    <t>Verfied</t>
  </si>
  <si>
    <t>User Since</t>
  </si>
  <si>
    <t>Bio</t>
  </si>
  <si>
    <t>Website</t>
  </si>
  <si>
    <t>Timezone</t>
  </si>
  <si>
    <t>Profile Image</t>
  </si>
  <si>
    <t>Sefik Ilkin Serengil</t>
  </si>
  <si>
    <t>Finding Feature Importance of a Logistic Regression Model with Python  #machinelearning #python #logistic #regression #interpretability #explainable #ai #datascience</t>
  </si>
  <si>
    <t>https://youtu.be/GGDFURzhaCQ</t>
  </si>
  <si>
    <t>Istanbul</t>
  </si>
  <si>
    <t>Software Engineer @YapiKredi, 🎓@Galatasaray_Uni alumni, 🏙️Istanbulite, 💬Code wins arguments, ▶️http://youtube.com/SefikIlkinSerengil</t>
  </si>
  <si>
    <t>https://www.sefiks.com</t>
  </si>
  <si>
    <t>Bot Poets Society</t>
  </si>
  <si>
    <t>Take a break and find which poem is human and the one created with Machine Learning #takeabreak #machinelearning #datascience #bigdata #ML #AI #ArtificialIntelliegence #Technology #Innovation #pythonprogramming #poetry #poemoftheday #AIcreativity #Python #AIart #poems</t>
  </si>
  <si>
    <t>pic.twitter.com/Ow32hX3hyQ</t>
  </si>
  <si>
    <t>Can AI write poetry? AI Poems: Generated with GPT2 Human Poems: http://poetryfoundation.org Photos: http://unsplash.com Voices: Text-to-speech AWS and Azure</t>
  </si>
  <si>
    <t>https://www.youtube.com/channel/UChyDkl0l6W4VebsaKSW2sDw</t>
  </si>
  <si>
    <t>Mack</t>
  </si>
  <si>
    <t>SweetViz for Exploratory Data Analysis ▶️ #Analytics #MachineLearning #AI #Python #Rstats #Reactjs #IoT #IIoT #BigData #CloudComputing #DataScience #ML #NLP #Linux #Serverless #flutter #javascript #DataAnalytics #DataMining #datagovernance #100DaysOfCode</t>
  </si>
  <si>
    <t>https://bit.ly/3aH8dEW</t>
  </si>
  <si>
    <t>https://pbs.twimg.com/media/Eu7jvzyUcAA9BL3.jpg</t>
  </si>
  <si>
    <t>Healthcare Region Head | Chief Mentor - XPROB | Top 🔟 #EmergingTech #Influencer - #AI #ML #IoT #Cloud #SelfDrivingCars #AR | Top 10 #Influencer #CES2021</t>
  </si>
  <si>
    <t>https://thrive.kaiserpermanente.org/</t>
  </si>
  <si>
    <t>Hempel Joel</t>
  </si>
  <si>
    <t>Global Big Data Conference #ArtificialIntelligence #learning #machinelearning via</t>
  </si>
  <si>
    <t>http://twinybots.ch
http://www.globalbigdataconference.com/news/146275/ai-here-there-everywhere.html</t>
  </si>
  <si>
    <t>Wien, Österreich</t>
  </si>
  <si>
    <t>Ein Programmierer ist jemand der vor dem Überqueren einer Einbahnstraße in beide Richtungen schaut. #php #sql #jquery #javascript #css #bootstraps #html</t>
  </si>
  <si>
    <t>http://www.hempel-joel.at</t>
  </si>
  <si>
    <t>Virtual Vision</t>
  </si>
  <si>
    <t>Why companies are thinking twice about using artificial intelligence. #AI #ArtificialIntelligence #ML #MachineLearning #DL #DeepLearning #Company #Entrepreneurship</t>
  </si>
  <si>
    <t>https://fortune.com/2021/01/31/ai-ethics-why-companies-are-thinking-twice-artificial-intelligence/</t>
  </si>
  <si>
    <t>Tokyo 日本 東京</t>
  </si>
  <si>
    <t>Passionate about the Internet of Things (IoT), Artificial Intelligence (AI) and how data transforms traditional industries and products.</t>
  </si>
  <si>
    <t>Reza Mahmoudi</t>
  </si>
  <si>
    <t>An interesting evolution of analytics + AI for complex engineering / operations.  #DeepLearning #AI #MachineLearning #ArtificialIntelligence #data</t>
  </si>
  <si>
    <t>https://www.youtube.com/watch?v=2dCz3oL2rTw</t>
  </si>
  <si>
    <t>Deep Learning Researcher "Look for the helpers. You will always find people who are helping.” —Mr. Rogers</t>
  </si>
  <si>
    <t>Asif Razzaq</t>
  </si>
  <si>
    <t>Ag monitoring startup Flurostat merges with soil carbon expert Dagan to form Regrow  #machinelearning #artificialintelligence</t>
  </si>
  <si>
    <t>https://techcrunch.com/2021/02/23/ag-monitoring-startup-flurostat-merges-with-soil-carbon-expert-dagan-to-form-regrow/?utm_source=dlvr.it&amp;utm_medium=twitter</t>
  </si>
  <si>
    <t>Irvine, CA</t>
  </si>
  <si>
    <t>Founder &amp; AI Editor@ http://MARKTECHPOST.COM #ArtificialIntelligence, #Machinelearning, #Deeplearning #AI and #DataScience.</t>
  </si>
  <si>
    <t>http://www.marktechpost.com</t>
  </si>
  <si>
    <t>Micro Focus Partners</t>
  </si>
  <si>
    <t>Read: @JaguarRacing partnered with @MicroFocus, before lights go green on season 7 of ABB @FIAFormulaE World Championship. #Vertica #AdvancedAnalytics. #MachineLearning help deliver on High Tech, Low Drama.  #TeamVertica</t>
  </si>
  <si>
    <t>https://bit.ly/2NlF1dL</t>
  </si>
  <si>
    <t>https://pbs.twimg.com/media/Eu7jVAKXUAEa9WJ.jpg</t>
  </si>
  <si>
    <t>Our global network of authorized Partners is at the heart of what makes Micro Focus successful.</t>
  </si>
  <si>
    <t>https://www.microfocus.com/en-us/partners</t>
  </si>
  <si>
    <t>ipfconline</t>
  </si>
  <si>
    <t>8 #AI Innovations Showcased At #CES2021 From AI-powered gadgets, flying car to #robots and pandemic tech  via @Analyticsindiam #MachineLearning Cc @jblefevre60 @HaroldSinnott @Nicochan33 @Fabriziobustama @mvollmer1 @PawlowskiMario @MargaretSiegien</t>
  </si>
  <si>
    <t>https://analyticsindiamag.com/8-ai-innovations-showcased-at-ces-2021/</t>
  </si>
  <si>
    <t>pic.twitter.com/g2VOxVGggG</t>
  </si>
  <si>
    <t>Marseille, France</t>
  </si>
  <si>
    <t>Digital Transformation Consulting #AI #MachineLearning #DeepLearning #5G #DataScience #AIEthics #CloudComputing #Fintech #DigitalMarketing</t>
  </si>
  <si>
    <t>http://ipfconline.fr/contacts-eng.html</t>
  </si>
  <si>
    <t>Andres Vilariño</t>
  </si>
  <si>
    <t>How #AI is Transforming #ReproductiveTechnologies #ArtificialIntelligence #Algorithm #ML #MachineLearning #DeepLearning #DL #NeuralNetworks #Data #Tech #Technology</t>
  </si>
  <si>
    <t>http://ow.ly/WsL430ry4tR</t>
  </si>
  <si>
    <t>Madrid, Spain</t>
  </si>
  <si>
    <t>Do something today that your future self will thank you for. #MIBer de @ISDI_edu Instagram: @andresvilarino https://www.linkedin.com/in/andresvilarino/</t>
  </si>
  <si>
    <t>https://goo.gl/3TFrjv</t>
  </si>
  <si>
    <t>Big Data Conference</t>
  </si>
  <si>
    <t>Take A Look At How #ArtificialIntelligence Can Improve Your Pet’s Health  #DataScience #Machinelearning #Deeplearning #AI #BigData #Cassandra #Kafka #hadoop #Spark #NLP #NoSQL #IoT #TensorFlow #Serverless #Kubernetes #R #Python #DataMining #DataBase #AutoML</t>
  </si>
  <si>
    <t>https://buff.ly/2OUjlpp</t>
  </si>
  <si>
    <t>Santa Clara, CA</t>
  </si>
  <si>
    <t>Hurry!! Book your tickets here for Global AI Virtual Bootcamp Feb 22 to 26, 2021. Register now &amp; SAVE $150 use promo code TWITTER</t>
  </si>
  <si>
    <t>http://www.globalbigdataconference.com/santa-clara/global-artificial-intelligence-virtual-bootcamp/s</t>
  </si>
  <si>
    <t>asgard-data</t>
  </si>
  <si>
    <t>"It’s absolutely the case that machine learning and data science can improve your business, but only if you’ve prepared the data and know what you’re doing."  #MachineLearning #DataScience #DataScientists #BusinessIntelligence #DataAnalytics</t>
  </si>
  <si>
    <t>https://techbullion.com/data-quality-why-it-matters-in-machine-learning/</t>
  </si>
  <si>
    <t>https://pbs.twimg.com/media/Eu7jRorWQAcuJ3K.png</t>
  </si>
  <si>
    <t>http://asgard-data.com</t>
  </si>
  <si>
    <t>Ivɒn ᖷɘmiɒ</t>
  </si>
  <si>
    <t>Day 16 of #31DaysofML Here are some use cases of computer vision ✅ Industrial inspection 👗 Product search 📃 Document classification 🖼 Image search Checkout the architectures to implement using Vision API with #NoCode #MachineLearning</t>
  </si>
  <si>
    <t>https://google.smh.re/200</t>
  </si>
  <si>
    <t>Chicago</t>
  </si>
  <si>
    <t>SAP Solutions Engineer @Google, SAP Mentor Alumni, Dynamic thinker. Passionate of Innovation, geek and crazy! All opinions posted are my own.</t>
  </si>
  <si>
    <t>https://www.linkedin.com/in/ivanfemia/</t>
  </si>
  <si>
    <t>Nige Willson</t>
  </si>
  <si>
    <t>Software Testing Is Tedious. Artificial Intelligence Can Help.  #ai #artificialintelligence #machinelearning #deeplearning #automation</t>
  </si>
  <si>
    <t>https://bit.ly/3dyxnYh</t>
  </si>
  <si>
    <t>https://pbs.twimg.com/media/Eu7jRCGXMAAUC8O.jpg</t>
  </si>
  <si>
    <t>ringwood, uk</t>
  </si>
  <si>
    <t>speaker, influencer &amp; advisor on #artificialintelligence, #machinelearning #aiethics &amp; #innovation, co-founder @WeandAI founder http://awakenai.org</t>
  </si>
  <si>
    <t>http://www.awakenai.org</t>
  </si>
  <si>
    <t>La Forge AI</t>
  </si>
  <si>
    <t>The Internet of Things, Data Science and Big Data #MachineLearning #DataScience #IoT #NLP</t>
  </si>
  <si>
    <t>https://www.datasciencecentral.com/profiles/blogs/the-internet-of-things-data-science-and-big-data</t>
  </si>
  <si>
    <t>https://pbs.twimg.com/media/Eu7jQP6XIAEJDvp.jpg</t>
  </si>
  <si>
    <t>Paris, France</t>
  </si>
  <si>
    <t>L'#IntelligenceArtificielle pour démultiplier les savoir-faire 🚀 Nous investissons dans les entreprises pour co-développer leur produit #IA</t>
  </si>
  <si>
    <t>http://www.la-forge.ai</t>
  </si>
  <si>
    <t>Kike Ledesma</t>
  </si>
  <si>
    <t>Tutorial: Automated visual inspection using transfer learning with the  Image Classification API  #AI #MachineLearning #DeepLearning #TransferLearning #dotNET #MLdotNET #API #TensorFlow #classification #custom #pretrained #model</t>
  </si>
  <si>
    <t>http://ML.NET
https://docs.microsoft.com/en-us/dotnet/machine-learning/tutorials/image-classification-api-transfer-learning</t>
  </si>
  <si>
    <t>Monterrey</t>
  </si>
  <si>
    <t>Electronic Engineer - IT, Automation &amp; AI {10X Thinking}</t>
  </si>
  <si>
    <t>Victoria Whiteheart #Otherness</t>
  </si>
  <si>
    <t>Exactly 👍👍👍❤️ “On the other side, machines don’t have our creativity, our adaptability, our social and emotional intelligence today – and it’s not clear if they ever will.” #ai #artificialintelligence #machinelearning #deeplearning #AIEthics RT @nigewillson: Planning for the era of augmented intelligence - Looking closely at how much power we give Artificial Intelligence  #ai #artificialintelligence #machinelearning #deeplearning #aiethics</t>
  </si>
  <si>
    <t>https://twitter.com/nigewillson/status/1364275102993571841
https://bit.ly/3umoSFE</t>
  </si>
  <si>
    <t>https://pbs.twimg.com/media/Eu7g-fpXEAYYdJr.jpg</t>
  </si>
  <si>
    <t xml:space="preserve">Promoting the #Otherness </t>
  </si>
  <si>
    <t>Bringing humanity in robotics is the most crucial mission of scientists, businesses and governments in the next phase of human evolution. Ph.D., MA, MTS.4Lang</t>
  </si>
  <si>
    <t>The computers rejecting your job application. #AI #ArtificialIntelligence #ML #MachineLearning #DL #DeepLearning #Software #Job #Recruitment</t>
  </si>
  <si>
    <t>https://www.bbc.com/news/business-55932977</t>
  </si>
  <si>
    <t>Jovian</t>
  </si>
  <si>
    <t>Here's how @ShemaTonny classified Animal Faces from images using Deep Neural Networks 🐶 👉  #DeepLearning #DataScience #MachineLearning</t>
  </si>
  <si>
    <t>https://medium.com/jovianml/apply-deep-neural-network-on-the-animal-faces-dataset-f573cb732e63</t>
  </si>
  <si>
    <t>Practical, hands-on and coding-focused courses on Data Science &amp; Machine Learning.</t>
  </si>
  <si>
    <t>https://linktr.ee/jovianai</t>
  </si>
  <si>
    <t>Kirk Borne</t>
  </si>
  <si>
    <t>The Promise of #AI and #5G Convergence in the #IoT:  =&gt; The #InternetOfContext ————— #BigData #DataScience #MachineLearning #VR #AR #DigitalTwins #EdgeComputing #LocationIntelligence #StreamAnalytics #DataMakesPossible #IIoT #IoTPL #IoTCommunity #IoTSlam</t>
  </si>
  <si>
    <t>https://datamakespossible.westerndigital.com/ai-and-5g-convergence-internet-of-context/</t>
  </si>
  <si>
    <t>✅</t>
  </si>
  <si>
    <t>Maryland, USA</t>
  </si>
  <si>
    <t>Principal Data Scientist @BoozAllen. Global Speaker. Top #BigData #DataScience #AI Influencer. PhD Astrophysicist. (Views = my own) http://rocketdatascience.org 📊🔭</t>
  </si>
  <si>
    <t>http://www.linkedin.com/in/kirkdborne</t>
  </si>
  <si>
    <t>U.S. GRADE Network</t>
  </si>
  <si>
    <t>A new study finds that #machinelearning and #crowdsourcing identified potentially relevant RCTs for a #systematicreview with 100% sensitivity while reducing workload.  #FlashbackFebruary @EvidenceFound @JClinEpi @Cochrane_US</t>
  </si>
  <si>
    <t>https://buff.ly/3t5UPS4</t>
  </si>
  <si>
    <t>https://pbs.twimg.com/media/Eu7iyxiWYAEc5tl.png</t>
  </si>
  <si>
    <t>USA</t>
  </si>
  <si>
    <t>An entity of the GRADE Working Group. Enabling U.S.-based organizations to apply GRADE optimally.</t>
  </si>
  <si>
    <t>http://gradeconf.org</t>
  </si>
  <si>
    <t>DLD Conference</t>
  </si>
  <si>
    <t>We’ll go back to #business in a moment with our session about #CloudComputing, #DataAnalytics and #MachineLearning with @SnowflakeDB co-founder Benoit Dageville and Christian Teichmann of Burda Principal Investments. #DLDAllStars</t>
  </si>
  <si>
    <t>https://dld-conference.com/conference/allstars</t>
  </si>
  <si>
    <t>https://pbs.twimg.com/media/Eu7iqosXUAQP2Qn.jpg</t>
  </si>
  <si>
    <t>Munich, Germany</t>
  </si>
  <si>
    <t>DLD (Digital - Life - Design) is a global conference network on innovation, digital media, science and culture. #DLD20</t>
  </si>
  <si>
    <t>http://www.dld.co</t>
  </si>
  <si>
    <t>Software Testing Is Tedious. AI Can Help. #AI #ArtificialIntelligence #ML #MachineLearning #DL #DeepLearning</t>
  </si>
  <si>
    <t>https://hbr.org/2021/02/software-testing-is-tedious-ai-can-help</t>
  </si>
  <si>
    <t>Jason Normanton 🤍💙💛</t>
  </si>
  <si>
    <t>Saltmine raises $20 million to automate office space design #ArtificialIntelligence #learning #machinelearning</t>
  </si>
  <si>
    <t>https://venturebeat.com/2021/02/23/saltmine-raises-20-million-to-automate-office-space-design/</t>
  </si>
  <si>
    <t>South East, Next to Sea</t>
  </si>
  <si>
    <t>I belong to my amazing wife, two equally amazing sons and three awesome small dogs Tweets are definitely entirely my own and not of any employer past or present</t>
  </si>
  <si>
    <t>readroutine</t>
  </si>
  <si>
    <t>for SALE, only 999$. #datamining #DataScience #data #MachineLearning #domainforsale #Domain</t>
  </si>
  <si>
    <t>http://datamining24.com</t>
  </si>
  <si>
    <t>Sunny day, sunny read!</t>
  </si>
  <si>
    <t>http://yield-farm.com</t>
  </si>
  <si>
    <t>P. Fournier-Viger</t>
  </si>
  <si>
    <t>Blog post: What is the difference between data mining and machine learning? Answer:  #datamining #machinelearning #ml #ai #data</t>
  </si>
  <si>
    <t>https://data-mining.philippe-fournier-viger.com/what-is-the-difference-between-data-mining-and-machine-learning/</t>
  </si>
  <si>
    <t>Shenzhen, China</t>
  </si>
  <si>
    <t>Data Mining Researcher. Professor. Founder of the SPMF data mining software. My webpage: http://www.philippe-fournier-viger.com Opinions are my own.</t>
  </si>
  <si>
    <t>http://www.philippe-fournier-viger.com/spmf/</t>
  </si>
  <si>
    <t>Jürgen von Au</t>
  </si>
  <si>
    <t>Die Vorteile von #MachineLearning für #Banken #digitaleTransformation #banking #KünstlicheIntelligenz #KI</t>
  </si>
  <si>
    <t>https://www.geldinstitute.de/it-itk/2021/die-vorteile-von-machine-learning-fuer-banken.html</t>
  </si>
  <si>
    <t>Rüppurr, Karlsruhe</t>
  </si>
  <si>
    <t>http://linktr.ee/juergen.vonau</t>
  </si>
  <si>
    <t>Disrupting tech hiring: How Artificial Intelligence connects companies to talent  #ai #artificialintelligence #machinelearning #deeplearning #hiring #recruitment #talent</t>
  </si>
  <si>
    <t>https://bit.ly/3umvaVA</t>
  </si>
  <si>
    <t>https://pbs.twimg.com/media/Eu7iHkPXYAYqYI_.jpg</t>
  </si>
  <si>
    <t>A.I. Here, There, Everywhere. Many of us already live with artificial intelligence now, but researchers say interactions with the technology will become increasingly personalized. #AI #ArtificialIntelligence #ML #MachineLearning #DL #DeepLearning</t>
  </si>
  <si>
    <t>https://www.nytimes.com/2021/02/23/technology/ai-innovation-privacy-seniors-education.html?smid=tw-share</t>
  </si>
  <si>
    <t>VUBBLE</t>
  </si>
  <si>
    <t>I asked an AI for video ideas, and they were actually good  via @TomScott ht @LetsTalkScience 🤖💻🤯 #AI #ArtificialIntelligence #machinelearning #openAI #tech #technology #media #communications #deepfake #Science #STEM #STEMed #STEMeducation #SmartVideo</t>
  </si>
  <si>
    <t>https://tinyurl.com/y7m22h3v</t>
  </si>
  <si>
    <t>Everywhere</t>
  </si>
  <si>
    <t>Vubble creates video data training sets and provides AIaaS for video discovery and distribution #TechForGood #MachineLearning #AI #SmartVideo</t>
  </si>
  <si>
    <t>https://www.vubblepop.com</t>
  </si>
  <si>
    <t>Arshad Aman</t>
  </si>
  <si>
    <t>Completed the Day_100 of #100DaysOfCode 💐🥳🤩 Changed the UI and Colors of my portfolio website. Made it responsive. Hosted on Alibaba Cloud.  (Also Link in Bio) #html #css #coding #codingislife #Python #webdevelopment #MachineLearning</t>
  </si>
  <si>
    <t>http://www.arshadaman.tech</t>
  </si>
  <si>
    <t>Bhadrak</t>
  </si>
  <si>
    <t>Goal: #100DaysOfCode, Love Python, Have an interest in Web Development and Cyber Security. Want to provide free schooling and homes to the needy.</t>
  </si>
  <si>
    <t>Theodora (Theo) Lau - 劉䂀曼</t>
  </si>
  <si>
    <t>A1: Financial institutions need to leverage #AI and #MachineLearning to better understand the mountains of #data that they have – in order to provide the best and most relevant #customerexperience at the right time. #BIZTALKS #Industry40 #ATTInfluencer #FinServ #FinTech  RT @ATTBusiness: Let’s begin. Q1: How can financial providers increase personalization to improve the customer experience? #BizTalks #fintech</t>
  </si>
  <si>
    <t>https://twitter.com/ATTBusiness/status/1364274577237491712</t>
  </si>
  <si>
    <t>https://pbs.twimg.com/media/Eu7hSh3XYAI_Qd2.jpg
https://pbs.twimg.com/media/Eu7gf5xWQAAe7l7.jpg</t>
  </si>
  <si>
    <t>Washington, DC</t>
  </si>
  <si>
    <t>Founder @UnconventionVc | 📚 Author — Beyond Good 🛒 http://bit.ly/3satptx | One Vision Podcast | Advisor | Speaker | Fintech | AI | Longevity | #BeyondGood</t>
  </si>
  <si>
    <t>https://www.linkedin.com/in/theodoralau/</t>
  </si>
  <si>
    <t>Smart Conseil</t>
  </si>
  <si>
    <t>Smart Conseil est un cabinet de conseil en Big Data et en Intelligence Artificielle spécialisé dans l’édition de solutions logicielles. #IntelligenceArtificielle #DataScience #BigData #MachineLearning #DeepLearning</t>
  </si>
  <si>
    <t>https://pbs.twimg.com/media/Eu7hZ6sXIAUNUq0.jpg</t>
  </si>
  <si>
    <t>Technopole d'El Ghazala,Ariana</t>
  </si>
  <si>
    <t>Smart Conseil est spécialisé du conseil informatique. Nous proposons des solutions sur mesure et accompagnons nos clients au plus près de leurs projets.</t>
  </si>
  <si>
    <t>http://smarte-conseil.fr/</t>
  </si>
  <si>
    <t>Sajid Mirza</t>
  </si>
  <si>
    <t>Henon #ArtificialIntelligence #learning #machinelearning via</t>
  </si>
  <si>
    <t>http://twinybots.ch
https://www.henon.io/</t>
  </si>
  <si>
    <t>United Kingdom</t>
  </si>
  <si>
    <t>Tweet about #Fintech #Finserv #Bankoffuture #AI #ICO #Token #Financialinclusion #Cryptocurrency #Bigdata #IoT</t>
  </si>
  <si>
    <t>http://www.linkedin.com/in/sajid-mirza1</t>
  </si>
  <si>
    <t>Jikmyan Mangut</t>
  </si>
  <si>
    <t>"At this game, the best is not whoever knows the most, but whoever can think creatively..." #MachineLearning RT @svpino: When you start with machine learning, it's tempting to learn as many different algorithms and methods as possible. This is not the best approach. This will not make you the best you can be. [1 / 5] 🧵👇</t>
  </si>
  <si>
    <t>https://twitter.com/svpino/status/1364253528143847438</t>
  </si>
  <si>
    <t>Bukuru jos</t>
  </si>
  <si>
    <t>Data Science Fellow @ClickOnKaduna | Sir Ahmadu Bello Memorial Foundation Fellow | Reimagine_Rural</t>
  </si>
  <si>
    <t>http://www.linkedin.com/in/mangut-sunday</t>
  </si>
  <si>
    <t>Smart Decisions</t>
  </si>
  <si>
    <t>The Internet of Things, Data Science and Big Data #MachineLearning #learning via</t>
  </si>
  <si>
    <t>http://twinybots.ch
https://www.datasciencecentral.com/profiles/blogs/the-internet-of-things-data-science-and-big-data</t>
  </si>
  <si>
    <t>New York, NY</t>
  </si>
  <si>
    <t>We transform data into SMART DECISIONS. #Influencer #AI #BigData #MachineLearning #DataAnalytics #DigitalTransformation #SocialMedia #Marketing #Publishing</t>
  </si>
  <si>
    <t>Open Data Science</t>
  </si>
  <si>
    <t>Build new, in-demand skills at the can’t miss #DataScience virtual training conference of the spring with hands-on training sessions in #DeepLearning, #MachineLearning, and more. 30% OFF Ends Friday:</t>
  </si>
  <si>
    <t>https://hubs.ly/H0GS6z20</t>
  </si>
  <si>
    <t>https://pbs.twimg.com/media/Eu7hURFWYAMwiFR.jpg</t>
  </si>
  <si>
    <t>Boston, MA</t>
  </si>
  <si>
    <t>Bringing together the global data science community to help foster the exchange of innovative ideas and encourage the growth of open source software.</t>
  </si>
  <si>
    <t>http://odsc.com</t>
  </si>
  <si>
    <t>Paul Lopez</t>
  </si>
  <si>
    <t>10 Statistical Concepts You Should Know For Data Science Interviews  #AI #MachineLearning #Analytics</t>
  </si>
  <si>
    <t>http://dlvr.it/RtKf6d</t>
  </si>
  <si>
    <t>https://pbs.twimg.com/media/Eu7hTndUUAMtFxr.png</t>
  </si>
  <si>
    <t>Dallas, TX</t>
  </si>
  <si>
    <t>VP, Technology Development at UnitedHealth Group • Modernizing #Healthcare #AI #DeepLearning #MachineLearning #Kubernetes #DevOps #Cloud *Personal Opinions*</t>
  </si>
  <si>
    <t>https://paullopez.ai/</t>
  </si>
  <si>
    <t>Ai+ Training Platform</t>
  </si>
  <si>
    <t>Need a calculus refresher? Join Dr. Jon Krohn’s live training sessions on gradients applied to machine learning, integrals, and more to build a strong foundation in these #MachineLearning fundamentals. Register now.</t>
  </si>
  <si>
    <t>https://hubs.ly/H0GVtd50</t>
  </si>
  <si>
    <t>https://pbs.twimg.com/media/Eu7hR1YXAAAl-0f.jpg</t>
  </si>
  <si>
    <t>Your one - stop source for Data Science Training</t>
  </si>
  <si>
    <t>https://aiplus.odsc.com/</t>
  </si>
  <si>
    <t>Jan Cavelle</t>
  </si>
  <si>
    <t>In case you had any doubts - too much technology at home is not a good thing... #artificialintelligence #machinelearning #deeplearning #tech #ScaleForSuccess RT @nigewillson: Too Much Technology At Home Not A Good Thing - Here Is Why  #ai #artificialintelligence #machinelearning #deeplearning #tech</t>
  </si>
  <si>
    <t>https://twitter.com/nigewillson/status/1363096124962336769
https://bit.ly/37aNYgv</t>
  </si>
  <si>
    <t>https://pbs.twimg.com/media/Euqws74XEAAwhf_.jpg</t>
  </si>
  <si>
    <t>UK and France</t>
  </si>
  <si>
    <t>Author of Scale for Success. Writes and blogs a lot about #entrepreneurs and #entrepreneurship. #ScaleforSuccess</t>
  </si>
  <si>
    <t>http://www.jancavelle.co.uk</t>
  </si>
  <si>
    <t>BlackfreeNiken</t>
  </si>
  <si>
    <t>Python &amp; Machine Learning for Financial Analysis ⏩  #AugmentedReality #Financial #Analysis #DeepLearning #Analytics #DataScience #MachineLearning #IoT #IIoT #Python #RStats #CloudComputing #Serverless #Linux @udemy #Coding #100DaysofCode #100DaysOfMLCode</t>
  </si>
  <si>
    <t>http://bit.ly/3skrj9N</t>
  </si>
  <si>
    <t>https://pbs.twimg.com/media/Eu7hFwkUUAEsU2_.jpg</t>
  </si>
  <si>
    <t>Online Course Free Discount Coupon</t>
  </si>
  <si>
    <t>https://www.couponed12.com/</t>
  </si>
  <si>
    <t>random_praxis_memory</t>
  </si>
  <si>
    <t>Neural network training progress image 47 of unknown: an algorithm slowly learns to imagine #machinelearning #art #imagination #surreal #abstract #creativity #machinecreativity #machineimagination #neuralnetworks #coding #creativecoding #python #tensorflow #nvidia #digitalart</t>
  </si>
  <si>
    <t>https://pbs.twimg.com/media/Eu7g9g-XYAwFtxe.jpg</t>
  </si>
  <si>
    <t>What is imagination? Investigating via de novo trained generative adversarial neural networks. Long duration neural net training videos on YouTube.</t>
  </si>
  <si>
    <t>http://www.youtube.com/channel/UCxsSHt_xJriRkYNv2LoiCyw</t>
  </si>
  <si>
    <t>Planning for the era of augmented intelligence - Looking closely at how much power we give Artificial Intelligence  #ai #artificialintelligence #machinelearning #deeplearning #aiethics</t>
  </si>
  <si>
    <t>https://bit.ly/3umoSFE</t>
  </si>
  <si>
    <t>Tariq ☕</t>
  </si>
  <si>
    <t>PyData Manchester is live! looking fwd to the talk on Agent Based Modelling by Dr Julia Kasmire - @JKasmireComplex #data #MachineLearning #AI</t>
  </si>
  <si>
    <t>https://www.youtube.com/watch?v=VaJ6auzRJEQ</t>
  </si>
  <si>
    <t>Cornwall &amp; London, Europe</t>
  </si>
  <si>
    <t>art + science :: @algorithmic_art + @coderdojokernow + data science cornwall :: http://amazon.com/dp/B01EER4Z4G :: http://amazon.com/dp/B085Z96M9P :: http://amazon.com/dp/B0861QFR8C</t>
  </si>
  <si>
    <t>http://about.me/tariqrashid</t>
  </si>
  <si>
    <t>🔹Dr. Robin Kiera🔹</t>
  </si>
  <si>
    <t>The latest Digitalscouting's Insurtech Weekly!  #ai #machinelearning</t>
  </si>
  <si>
    <t>https://paper.li/stratorob/1494514886?edition_id=80eca790-7601-11eb-a5c8-0cc47a0d15fd</t>
  </si>
  <si>
    <t>Hamburg</t>
  </si>
  <si>
    <t>#Digitalization #insurtech, #fintech #blockchain #cloud #ai #professional - #speaker #author. In ❤️ with #HSV http://rplg.co/b3f25640</t>
  </si>
  <si>
    <t>https://www.digitalscouting.de/</t>
  </si>
  <si>
    <t>Medical iPhone Apps</t>
  </si>
  <si>
    <t>USA - Midwest</t>
  </si>
  <si>
    <t>We develop tools to help physicians with medical documentation: note templates, E/M coding tools, MS-DRGs and medical spelling.</t>
  </si>
  <si>
    <t>http://www.e-medtools.com/Medicare_Coding_Tool.html</t>
  </si>
  <si>
    <t>Tom Taulli</t>
  </si>
  <si>
    <t>Interested in learning about the basics of #MachineLearning? Well, I have put together a post about this for the @AtlasSystemsInc blog -</t>
  </si>
  <si>
    <t>https://atlassystems.com/blog/machine-learning-how-it-works/</t>
  </si>
  <si>
    <t>Pasadena, CA</t>
  </si>
  <si>
    <t>http://Forbes.com Blogger/Startup Advisor/Author of AI Basics (http://amzn.to/2InAZeT), AI Implementation (http://amzn.to/3r1UPkI), RPA Handbook (http://amzn.to/2tURWJx)</t>
  </si>
  <si>
    <t>http://www.tomtaulli.com/</t>
  </si>
  <si>
    <t>Machine Learning</t>
  </si>
  <si>
    <t>Top 5 Machine Learning Certifications (2021)  #MachineLearning</t>
  </si>
  <si>
    <t>https://www.unite.ai/top-machine-learning-certifications/</t>
  </si>
  <si>
    <t>Everything about #MachineLearning, #DeepLearning #AI #Bigdata #Analytics #DataMining, #DataScience</t>
  </si>
  <si>
    <t>https://machinelearningflx.com</t>
  </si>
  <si>
    <t>Future of AI</t>
  </si>
  <si>
    <t>AI General news. Discover the best articles of the week: 23.02.2021  #AI #CyberSecurity #machinelearning</t>
  </si>
  <si>
    <t>https://buff.ly/3sdgCWC</t>
  </si>
  <si>
    <t>#AI Essentials publishes only the most insightful links shared by trusted #artificialintelligence, #machinelearning experts helping you focus on what matters.</t>
  </si>
  <si>
    <t>http://essentials.news/future-of-ai</t>
  </si>
  <si>
    <t>ScFrazer</t>
  </si>
  <si>
    <t>Despite What They Tell You, The Prevention Of #Cyberattacks Is Achievable via @forbes #DeepInstinct #MachineLearning #Proactive #CyberSecurity</t>
  </si>
  <si>
    <t>https://www.forbes.com/sites/forbestechcouncil/2020/08/25/despite-what-they-tell-you-the-prevention-of-cyberattacks-is-achievable/</t>
  </si>
  <si>
    <t>Post Falls, ID</t>
  </si>
  <si>
    <t>Director, Non-Profit Volunteer, Board Member, Solution Provider, Prior Service Army, Combat Veteran, Cyber Security Advocate</t>
  </si>
  <si>
    <t>http://www.cascadedefense.com</t>
  </si>
  <si>
    <t>Design and Innovation</t>
  </si>
  <si>
    <t>#Biotechnology company @AdaptiveBiotech launches a test that uses #machinelearning technology from @Microsoft to detect prior #COVID19 infections --&gt;  via @technology @dinabass @emmarcourt #eHealth #innovation #microsoft</t>
  </si>
  <si>
    <t>https://www.bloomberg.com/news/articles/2021-02-23/t-cell-screening-test-launched-to-detect-prior-covid-infections</t>
  </si>
  <si>
    <t>Rome || London</t>
  </si>
  <si>
    <t>Technology, Design and Startups</t>
  </si>
  <si>
    <t>Helen</t>
  </si>
  <si>
    <t>Unravelling Transfer Learning to Make Machines More Advanced  #machinelearning</t>
  </si>
  <si>
    <t>https://www.analyticsinsight.net/unravelling-transfer-learning-to-make-machines-more-advanced/</t>
  </si>
  <si>
    <t>District of Columbia, USA</t>
  </si>
  <si>
    <t>Physicist, Machine learning. public speaker</t>
  </si>
  <si>
    <t>Mike de Waal</t>
  </si>
  <si>
    <t>How #BigData, #PredictiveAnalytics And #MachineLearning Changed The Railway Industry  #edtech #AI @CurieuxExplorer @Fabriziobustama @ShiCooks @FGraillot @helene_wpli @ravidugh @Visible_Banking @mikulaja @globaliqx @mofitzp100 @leimer @stratorob @gvalan</t>
  </si>
  <si>
    <t>https://buff.ly/3azOFlO</t>
  </si>
  <si>
    <t>https://pbs.twimg.com/media/Eu7gEngXMAQR6cH.jpg</t>
  </si>
  <si>
    <t>Ottawa.  Toronto. Canada</t>
  </si>
  <si>
    <t>CEO, Global IQX. Founder. Innovator. Insurtech Digital Transformation of Employee Benefits Entrepreneurship, leadership, innovation and things nautical.</t>
  </si>
  <si>
    <t>https://ca.linkedin.com/in/mikedewaal</t>
  </si>
  <si>
    <t>Deep_In_Depth</t>
  </si>
  <si>
    <t>Could artificial intelligence boost surgical robotics to new heights? - MassDevice  #DL #AI #ML #DeepLearning #ArtificialIntelligence #MachineLearning #ComputerVision #AutonomousVehicles #NeuroMorphic #Robotics</t>
  </si>
  <si>
    <t>https://buff.ly/3boqhmc</t>
  </si>
  <si>
    <t>Digne-les-Bains, France</t>
  </si>
  <si>
    <t>#DeepLearning #CNN #MachineLearning #AI #DL #ML #NPU #NLP #NeuroMorphic curated News feed (and a few "Olds") and a bit of #DataScience #AutonomousVehicles ...</t>
  </si>
  <si>
    <t>https://www.linkedin.com/in/eric-feuilleaubois-ph-d-43ab0925/</t>
  </si>
  <si>
    <t>Parola Analytics</t>
  </si>
  <si>
    <t>#ParolaTopPatent: @Toyota #patents a method of similarity learning and association between observations of multiple connected vehicles. It uses #machinelearning to process object images captured by separate cars.  #TuesdaysAI</t>
  </si>
  <si>
    <t>http://bit.ly/3qHT3Vy</t>
  </si>
  <si>
    <t>https://pbs.twimg.com/media/Eu7gAP-WQAIgVs4.jpg</t>
  </si>
  <si>
    <t>United States</t>
  </si>
  <si>
    <t>Parola Analytics, Inc. is a leading New York-based patent analytics company that provides accessible and actionable intelligence to decision-makers.</t>
  </si>
  <si>
    <t>http://www.ParolaAnalytics.com</t>
  </si>
  <si>
    <t>ESGI</t>
  </si>
  <si>
    <t>Lipscanner se base sur une technologie de machine learning, entièrement conçue et brevetée par Chanel. On progresse ! #ESGISquad #machinelearning #test #Chanel #cosmétique #app</t>
  </si>
  <si>
    <t>http://ow.ly/1cHn50DHpFw</t>
  </si>
  <si>
    <t>rue du Fbg St Antoine-Paris 12</t>
  </si>
  <si>
    <t>La Grande École d'#Informatique n°1 en #Alternance Former aux évolutions de l'informatique et aux besoins des entreprises 🌐 http://instagram.com/esgiparis/</t>
  </si>
  <si>
    <t>http://www.esgi.fr</t>
  </si>
  <si>
    <t>✨ ViRiX ➡️ AudioDramas</t>
  </si>
  <si>
    <t>WHOA just realized Human-Like was released! This is a game I did some sounds and music for. It is one of (if not the) first games to incorporate #MachineLearning. Please go check it out! RT @StrifeAILLC: Our first game: Human-Like (formally CHASER), is now available on Steam!  #MLForGames #HumanLike #MachineLearning #IndieGames</t>
  </si>
  <si>
    <t>https://twitter.com/strifeaillc/status/1341229854080065537
https://bit.ly/3rlx6wj</t>
  </si>
  <si>
    <t>pic.twitter.com/nYXywz48PV</t>
  </si>
  <si>
    <t>Cleveland Ohio</t>
  </si>
  <si>
    <t>Freelance game and film scoring + sound designer. Website: http://virixcore.net Discord: http://discord.gg/DUHWMuB Patreon: http://bit.ly/2w4D3FM</t>
  </si>
  <si>
    <t>http://www.virixcore.net</t>
  </si>
  <si>
    <t>Surya Systems</t>
  </si>
  <si>
    <t>Data meets science: Open access, code, datasets, and knowledge graphs for machine learning research and beyond. A new interconnected ecosystem for research is shaping up, and machine learning is just the tip of the iceberg. #datascience #machinelearning</t>
  </si>
  <si>
    <t>https://www.zdnet.com/article/data-meets-science-open-access-code-datasets-and-knowledge-graphs-for-machine-learning-research-and-beyond/</t>
  </si>
  <si>
    <t>Richard Eudes, PhD</t>
  </si>
  <si>
    <t>AI tool predicts energy generation at wind farms  #artificialintelligence, #bigdata, #businessanalytics #ba, #datascience, #forecasting, #machinelearning, #timeseries</t>
  </si>
  <si>
    <t>https://bit.ly/3aLYlKc</t>
  </si>
  <si>
    <t>Director @Deloitte. Long-time expert in #DataScience &amp; #AdvancedAnalytics. ex #ChiefDataOfficer &amp; #ChiefDataScientist. #BigData #Analytics #MachineLearning #AI.</t>
  </si>
  <si>
    <t>http://www.datascientists.fr</t>
  </si>
  <si>
    <t>Discovr Analytics</t>
  </si>
  <si>
    <t>Numbers can lie.... Linked here is an article based on the common pitfalls of analytics: how they can mislead people and how they can be avoided  @TDataScience #Analytics #DataScience #article #mislead #profit #MachineLearning</t>
  </si>
  <si>
    <t>https://towardsdatascience.com/numbers-can-lie-3474e0efa1e1</t>
  </si>
  <si>
    <t>https://pbs.twimg.com/media/Eu7f8T1XcAgicSv.jpg</t>
  </si>
  <si>
    <t>Cambridge, England</t>
  </si>
  <si>
    <t>Analytic Consultancy: We use science and technology to discover the hidden value within your data. info@discovranalytics.co #datascience #machinelearning</t>
  </si>
  <si>
    <t>http://discovranalytics.co</t>
  </si>
  <si>
    <t>RECIPROCITY ROI</t>
  </si>
  <si>
    <t>#TechTuesday #ROBOTICS are positively impacting our world. 1)Help doctors perform surgery or making operations easier. 2)Make it easier to see into a patient's body and repair problems faster than human hands. As VP at The #roboticshub we can help you grow with #Machinelearning</t>
  </si>
  <si>
    <t>https://pbs.twimg.com/media/Eu7f62NXcAcqrJL.jpg</t>
  </si>
  <si>
    <t>Minneapolis, MN</t>
  </si>
  <si>
    <t>Solving Crisis With Innovation Industry Awarded Agency #GROWTH #EMERGINGTECHNOLOGY #INNOVATION 1-877-456-GROW | info180@reciprocity-roi.com</t>
  </si>
  <si>
    <t>http://www.reciprocityroi.com</t>
  </si>
  <si>
    <t>Intelligent Material Changes Shape While Learning &amp; Could Become A “Quantum Brain  #ai #artificialintelligence #machinelearning #deeplearning #quantum #future</t>
  </si>
  <si>
    <t>https://bit.ly/3aKMvA1</t>
  </si>
  <si>
    <t>https://pbs.twimg.com/media/Eu7f6KSWQAMh_QO.jpg</t>
  </si>
  <si>
    <t>mlguru</t>
  </si>
  <si>
    <t>What is F-Measure ? #MachineLearning #AI #learnmachinelearning #themlguru</t>
  </si>
  <si>
    <t>India</t>
  </si>
  <si>
    <t>VIRCOURSES</t>
  </si>
  <si>
    <t>Free course - This offer ends in 2 days Enroll now  Android Game Development : Build a Math based Game #flutterdev #flutterinthedark #Python #DataScience #javascript #MachineLearning #React #Unity #Angular #deeplearning #NodeJS #webdevelopment #java</t>
  </si>
  <si>
    <t>https://buff.ly/2MlSRMO</t>
  </si>
  <si>
    <t>https://pbs.twimg.com/media/Eu7f2M0XUAQJGdL.jpg</t>
  </si>
  <si>
    <t>Vircourses is a brand affiliated with Udemy. Online courses anytime anywhere.</t>
  </si>
  <si>
    <t>http://www.vircourses.com</t>
  </si>
  <si>
    <t>paanalytics</t>
  </si>
  <si>
    <t>2021-02-23 18:00:07.783703 - Saiu nosso primeiro curso de Python!!!! E estamos dando 70% off na inauguração. Acesse em , use o cupom INAUGURACAO #hotmart #python #analytics #datascience #curso #bbb #bbb21 #machinelearning #businessintelligence!!!</t>
  </si>
  <si>
    <t>https://go.hotmart.com/N45925741D</t>
  </si>
  <si>
    <t>Consultoria de Data Science e Analytics Análise de Dados Criação de Dashboards Machine Learning Cursos http://www.pa-analytics.com.br</t>
  </si>
  <si>
    <t>AI &amp; ML Events</t>
  </si>
  <si>
    <t>Applied AI Summit Boston 2021 will take place on March 25 - 26, 2021 #AI #ArtificialIntelligence #MachineLearning #DeepLearning #Robotics #CaseStudies</t>
  </si>
  <si>
    <t>https://aiml.events/events/applied-ai-summit-boston-2021?utm_source=twitter&amp;utm_medium=social&amp;utm_campaign=30days&amp;utm_content=Applied+AI+Summit+Boston+2021</t>
  </si>
  <si>
    <t>Discover the best upcoming hand-picked artificial intelligence and machine learning events.</t>
  </si>
  <si>
    <t>https://aiml.events</t>
  </si>
  <si>
    <t>Priyanka Vergadia</t>
  </si>
  <si>
    <t>Day 22 #31DaysofML What is Scikit-learn? It is #MachineLearning library that offers a rich suite of tools for doing things such as: 🔹 Dataset loading &amp; manipulation 🔹 Preprocessing pipelines and metrics 🔹 Comes with large number of ML algorithms</t>
  </si>
  <si>
    <t>Developer Advocate @Google, tweet about cloud &amp; Machine learning. Checkout my videos, sketchnotes and other content 👉http://bit.ly/theCloudGirl Opinions = mine</t>
  </si>
  <si>
    <t>https://thecloudgirl.dev</t>
  </si>
  <si>
    <t>Mekatronik Platform</t>
  </si>
  <si>
    <t>Kontrol edilebilir robot sistemi./Controllable robot system #Robotics #technology #techgadgets #MachineLearning #YapayZeka</t>
  </si>
  <si>
    <t>pic.twitter.com/2JUlDc6v91</t>
  </si>
  <si>
    <t>Mekatronik Platform bir Mekatronik Mühendisleri Derneği oluşumudur. http://www.mekatronikmuhendisligi.com</t>
  </si>
  <si>
    <t>Scanta</t>
  </si>
  <si>
    <t>AI &amp; #MachineLearning are not the only technologies preventing #CyberAttacks! Cryptography, IoT security, blockchain are also helping technologists keep our digital infrastructure secure! #Scanta #ArtificialIntelligence #DataBreach #cybersecurity #DataScience #100DaysOfCode</t>
  </si>
  <si>
    <t>San Francisco, CA</t>
  </si>
  <si>
    <t>Protecting machine learning algorithms and the businesses that use them. #AI_Security #conversationalAI</t>
  </si>
  <si>
    <t>http://scanta.io</t>
  </si>
  <si>
    <t>RELX</t>
  </si>
  <si>
    <t>Across RELX we employ around 9,000 #technologists and spend $1.5bn on #technology annually. Check out our 2020 Annual Report to learn how we are using #AI, #MachineLearning and #NLP across our business to help our customers achieve success:</t>
  </si>
  <si>
    <t>https://qoo.ly/3avt59</t>
  </si>
  <si>
    <t>https://pbs.twimg.com/media/Eu7ftYOUUAIW58U.jpg</t>
  </si>
  <si>
    <t>London, Amsterdam, New York</t>
  </si>
  <si>
    <t>RELX is a global provider of information-based analytics. Parent company of @ElsevierConnect, @LexisNexis, @LexisNexisRisk &amp; @ReedExhibitions</t>
  </si>
  <si>
    <t>http://www.relx.com</t>
  </si>
  <si>
    <t>NeurAutomata</t>
  </si>
  <si>
    <t>New top post on /r/MachineLearning!  #MachineLearning</t>
  </si>
  <si>
    <t>https://ift.tt/2OV0gDw</t>
  </si>
  <si>
    <t>Canada</t>
  </si>
  <si>
    <t>We love #ArtificialIntelligence, #MachineLearning and #DeepLearning (A.K.A. #AI, #ML and #DL).</t>
  </si>
  <si>
    <t>IT Numeric</t>
  </si>
  <si>
    <t>Snowflake s’associe à BlackRock pour développer un Aladdin Data Cloud #IntelligenceArtificielle #MachineLearning #retail #AWS #FedRAMP #HIPAA #CCPA #GDPR #Data #Cloud #Marketplace #Analytique @SnowflakeDB @blackrock @BlackRock_FRA</t>
  </si>
  <si>
    <t>http://www.itnumeric.com/?p=46355</t>
  </si>
  <si>
    <t>Ile-de-France, France</t>
  </si>
  <si>
    <t>cinq fois par semaine, ITnumeric relaie le plus important de l'information des marchés numériques.</t>
  </si>
  <si>
    <t>http://itnumeric.com</t>
  </si>
  <si>
    <t>Nerds Shop 🖥🛒</t>
  </si>
  <si>
    <t>Microsoft's new feature for Word will help you type faster -  #Microsoft #Word #Windows #machinelearning #technews #nerdsshop</t>
  </si>
  <si>
    <t>http://bit.ly/2NQZlUl</t>
  </si>
  <si>
    <t>Pennsylvania, USA</t>
  </si>
  <si>
    <t>Nerds Shop is your personal #online #gadget #store specialised in selling computer &amp; #technology related products, support, service &amp; product insurance.</t>
  </si>
  <si>
    <t>https://www.nerdsshop.us</t>
  </si>
  <si>
    <t>Deepanshu Rawat</t>
  </si>
  <si>
    <t>DAY 77: ✅Did some questions on dynamic programming. ✅Learnt about various kernels in svm (machine learning) ✅Coded svm from scratch in python for cancer dataset. #100DaysOfCode #MachineLearning</t>
  </si>
  <si>
    <t xml:space="preserve">Jaipur </t>
  </si>
  <si>
    <t>IT Undergrad | CP enthusiast</t>
  </si>
  <si>
    <t>Medical Xpress</t>
  </si>
  <si>
    <t>#Machinelearning method identifies precancerous colon #polyps @rsna</t>
  </si>
  <si>
    <t>https://medicalxpress.com/news/2021-02-machine-method-precancerous-colon-polyps.html</t>
  </si>
  <si>
    <t>Medical Xpress Health and Medicine News Stories</t>
  </si>
  <si>
    <t>http://medicalxpress.com/</t>
  </si>
  <si>
    <t>Megan Connor Murphy</t>
  </si>
  <si>
    <t>Join @REMADEInstitute for our March 4 project update webinar on #remanufacturing and #machinelearning. #Sustainability #manufacturing #mfg #CircularEconomy RT @REMADEInstitute: Discover how #remanufacturing processes are improved with #machinelearning of ultrasound measurements for more effective NDE of damage in metals. Join Dr. Chenhui Shao @mechseILLINOIS &amp; Dr. Jinjing Li @pennstateime on 3/4 for this project update webinar! ➡️</t>
  </si>
  <si>
    <t>https://twitter.com/remadeinstitute/status/1362778969658044416
http://bit.ly/3ppdC7G</t>
  </si>
  <si>
    <t>https://pbs.twimg.com/media/EumAiT6XIAUNzv8.jpg</t>
  </si>
  <si>
    <t>Rochester, NY</t>
  </si>
  <si>
    <t>Director, Marketing &amp; Comm, @REMADEInstitute. Former reporter. #cleanenergy, #circulareconomy #econdev, #workforcedev, #remanufacturing &amp; more, nationwide.</t>
  </si>
  <si>
    <t>Artificial Intelligence and the Singularity  #ai #artificialintelligence #machinelearning #deeplearning #singularity</t>
  </si>
  <si>
    <t>https://bit.ly/3uhkWWJ</t>
  </si>
  <si>
    <t>https://pbs.twimg.com/media/Eu7erfUXUAANOIJ.jpg</t>
  </si>
  <si>
    <t>Jimmy Godard</t>
  </si>
  <si>
    <t>If you don't design your own life plan, chances are you'll fall into someone else's plan. And guess what they have planned for you? Not much. Jim Rohn @globalcompasshub #pmot #MotivationalQuotes #Analytics #AI #ML #MachineLearning #futureofwork #fintech #BigData #CloudComputing</t>
  </si>
  <si>
    <t>pic.twitter.com/dgpIZwIXiY</t>
  </si>
  <si>
    <t>Oregon</t>
  </si>
  <si>
    <t>I am a Change, program and project manager, Learner, Mentor, International speaker, coach, and entrepreneur who enjoys critical thinking &amp; #technology</t>
  </si>
  <si>
    <t>https://www.linkedin.com/in/jimmy-godard-pmp-mba-itil-a72b9a3/</t>
  </si>
  <si>
    <t>Predera</t>
  </si>
  <si>
    <t>Predera introduces AIQ, an automated end to end #mlops solution for #machinelearning teams Check out our different offerings to drastically cut down on the challenges faced today in building, deploying, and managing #machinelearningmodels</t>
  </si>
  <si>
    <t>https://predera.com/predera-aiq-automated-mlops-solution-to-manage-machine-learning-projects-with-minimum-effort/</t>
  </si>
  <si>
    <t>Predera AIQ - manage AI with Confidence</t>
  </si>
  <si>
    <t>DevSecOps - Sécurité applicative</t>
  </si>
  <si>
    <t>#computer #cyber #cyberattack #cybersecurity #apple #github #machinelearning #Python #Serverless #womenintech #BigData #Analytics #DataScience #IoT #RStats #TensorFlow #Java #CloudComputing #DataScientist #Linux #Coding #100DaysOfCode #jobsearch #cobadisec #innovation #ADA</t>
  </si>
  <si>
    <t>https://pbs.twimg.com/media/Eu7edKDXEAEFsXS.jpg</t>
  </si>
  <si>
    <t>#appsec #iso #certification #cybersecurity #cert #soc #iam #pentest #pecbpartner</t>
  </si>
  <si>
    <t>https://cobadisec.com</t>
  </si>
  <si>
    <t>DDDD updates</t>
  </si>
  <si>
    <t>#iphone12 #iphone12giveaway #apple #appleiphone12 #iphone12apple #machinelearning #100daysofcode #codenewbie #linux [Tested] Want a nice iPhone but can't afford to pay for one? I know you've been there before. We all kno</t>
  </si>
  <si>
    <t>https://sites.google.com/view/21enohpi/home</t>
  </si>
  <si>
    <t>https://pbs.twimg.com/media/Eu7eeIjXMAMxtf9.jpg</t>
  </si>
  <si>
    <t>san francisco</t>
  </si>
  <si>
    <t>Dwx ecladgc132</t>
  </si>
  <si>
    <t>Kurt Marko (Nietzsche was an optimist)</t>
  </si>
  <si>
    <t>Unfortunately, the most sophisticated #MachineLearning optimization in the world won’t help an electric grid when a quarter of the generation and control systems are frozen and offline. RT @veritoneinc: Our new integration with @nvidia can transform green energy delivery and generation, boosting dynamic energy system modeling rates by up to 100x. Learn how this technology will help manage increasingly complex energy systems:  #GreenEnergy #EnergyGrid</t>
  </si>
  <si>
    <t>https://twitter.com/veritoneinc/status/1364234517712625671
https://bit.ly/37Gl8VM</t>
  </si>
  <si>
    <t>My own private Idaho</t>
  </si>
  <si>
    <t>Independent tech analyst, consultant and writer at MarkoInsights. Contributor to Diginomica, PacketPushers, Tech Target, AvidThink. DM for @Signalapp number</t>
  </si>
  <si>
    <t>http://www.markoinsights.com</t>
  </si>
  <si>
    <t>For #AI to make a difference in #healthcare and #medicine, an “#interdisciplinary approach” is needed, @jimihendrixlive says. Bringing “great #MachineLearning talent” from #BigTech together with #health experts could bring “the start of a glorious age.” #DLDAllStars</t>
  </si>
  <si>
    <t>https://pbs.twimg.com/media/Eu7eGhlXcAgDU6F.jpg</t>
  </si>
  <si>
    <t>Jean-Baptiste Lefevre #AmazonPartner</t>
  </si>
  <si>
    <t>💥 The 7 biggest technology trends in 2021! #AI #MachineLearning #Robotics #5G @BernardMarr @SpirosMargaris @HaroldSinnott @mvollmer1 @gvalan @diioannid @PawlowskiMario @ShiCooks @kalydeoo @sallyeaves @Fabriziobustama @chboursin @rwang0 @helene_wpli</t>
  </si>
  <si>
    <t>pic.twitter.com/qgLDDQHsdd</t>
  </si>
  <si>
    <t>Head of Digital &amp; Socialmedia @Choyou Influencer, Growth-Hacker, Marketing #AI #MachineLearning #fintech #CES2021 #IoT #Cloud #5G #AR #KOL</t>
  </si>
  <si>
    <t>https://choyou.com/</t>
  </si>
  <si>
    <t>DAGsHub</t>
  </si>
  <si>
    <t>Ever had to repeat (and repeat) a #data task for #MachineLearning ? Wouldn't it be better if datasets behave like git repositories? We think so, read more here -  @lsk_simon #MLOps</t>
  </si>
  <si>
    <t>http://shorturl.at/qGU16</t>
  </si>
  <si>
    <t>https://pbs.twimg.com/media/Eu7cJmeXMAUZNV5.jpg</t>
  </si>
  <si>
    <t>DAGsHub is a web platform for data version control and collaboration for data scientists and machine learning engineers. D'ya like DAGs?</t>
  </si>
  <si>
    <t>https://dagshub.com</t>
  </si>
  <si>
    <t>Stacy S.</t>
  </si>
  <si>
    <t>ROI based Hybrid Lossy and Lossless Image Compression by Mahisha Patel via #TowardsAI →  #MachineLearning #ML #ArtificialIntelligence #AI #DataScience #DeepLearning #Technology #Programming #news #research #Science</t>
  </si>
  <si>
    <t>https://pub.towardsai.net/roi-based-hybrid-lossy-and-lossless-image-compression-a73ce6f9d2ea?source=rss----98111c9905da---4?source=social.tw</t>
  </si>
  <si>
    <t>Cambridge, MA</t>
  </si>
  <si>
    <t>Sr. Editor at Towards AI | For Authors @towards_ai → http://towardsai.net/contribute | Pitch us: pub@towardsai.net | Biz: sstanford@towardsai.net</t>
  </si>
  <si>
    <t>https://towardsai.net/p</t>
  </si>
  <si>
    <t>10,000 Bricks And An Artificial Intelligence Comprise This Ultimate Lego Sorting Machine  #ai #artificialintelligence #machinelearning #deeplearning #lego</t>
  </si>
  <si>
    <t>https://bit.ly/3qNtTor</t>
  </si>
  <si>
    <t>https://pbs.twimg.com/media/Eu7dis7XAAEzW7I.jpg</t>
  </si>
  <si>
    <t>Metal AM</t>
  </si>
  <si>
    <t>Machine learning company, @intellegensai has partnered with @ANSYS to integrate machine learning methods into AM workflows to facilitate the development of reliable, repeatable processes.  #AdditiveManufacturing #3DPrinting #MachineLearning</t>
  </si>
  <si>
    <t>http://ow.ly/gWKw50DHD4s</t>
  </si>
  <si>
    <t>Magazine offering unparalleled insight into metal #AdditiveManufacturing / #3dprinting. (Header image courtesy Materialise)</t>
  </si>
  <si>
    <t>http://www.metal-am.com</t>
  </si>
  <si>
    <t>Magnimind Academy</t>
  </si>
  <si>
    <t>Ariel Biller will be with us 2 hours later to talk about "ML pipelines for research: Stop doing R|D, start doing R&amp;D"  #MachineLearning #research #datascience #magnimindacademy #online</t>
  </si>
  <si>
    <t>https://bit.ly/36l0zNQ</t>
  </si>
  <si>
    <t>https://pbs.twimg.com/media/Eu7dh5DXcAEgWwK.jpg</t>
  </si>
  <si>
    <t>Let's change the world by acquiring #AI and #MachineLearning. We make it easier to achieve success in #datascience and #tech. Sign up http://eepurl.com/gjDwwP</t>
  </si>
  <si>
    <t>http://magnimindacademy.com</t>
  </si>
  <si>
    <t>Gaurav Jain</t>
  </si>
  <si>
    <t>Thank you @joshuastarmer for this pure awesomeness  #Statistics #MachineLearning #NeuralNetworks #LearningWeNeed #Bam</t>
  </si>
  <si>
    <t>https://statquest.org/video-index/</t>
  </si>
  <si>
    <t>Bioinformatician with extensive experience in computational genomics, biological data analysis, visualization tools and NGS pipeline development.</t>
  </si>
  <si>
    <t>http://www.linkedin.com/in/gauravj49</t>
  </si>
  <si>
    <t>Santosh Shevade</t>
  </si>
  <si>
    <t>Are we training the nets or are the nets training us?! #MachineLearning RT @tsuname: I'm sure part of the success of deep learning is its ability to maintain the practitioner engaged through watching training curves go down. The nets are actually training us to train more nets and propagate their existence.</t>
  </si>
  <si>
    <t>https://twitter.com/tsuname/status/1362261057050353666</t>
  </si>
  <si>
    <t>Playing Infinite Games in Healthcare, Reading, Cycling, Owling!🦉</t>
  </si>
  <si>
    <t>https://santosh-shevade.medium.com/</t>
  </si>
  <si>
    <t>DataSeer</t>
  </si>
  <si>
    <t>Want to accelerate #QA &amp; #QC in #engineering projects? Get in touch with us to find out more about this case study and how to achieve 90+% time savings. 👇  #digitaltwin #digitization #diagrams #verification #epc #dataseer #machinelearning #computervision</t>
  </si>
  <si>
    <t>https://www.dataseer.digital</t>
  </si>
  <si>
    <t>https://pbs.twimg.com/media/Eu7dAJAVIAAd0TB.jpg</t>
  </si>
  <si>
    <t>Houston, TX</t>
  </si>
  <si>
    <t>Where AI and Industrial Drawings Meet</t>
  </si>
  <si>
    <t>http://dataseer.digital</t>
  </si>
  <si>
    <t>Dr. Randi Foraker</t>
  </si>
  <si>
    <t>I’m a new member of @joinClubhouse and am game to host conversations on #datascience #cars #mentorship #innovation #MachineLearning #WomenInScience ... let me know your interest in participating below ⤵️</t>
  </si>
  <si>
    <t>St. Louis, MO</t>
  </si>
  <si>
    <t>Assoc Prof @WUSTLmed &amp; @BrownSchool • Dir of Pop Health @WashUi2 &amp; Data Center @WUSTLpubhealth • Wife, car enthusiast, dog lover, kidney donor • #FAHA #FAMIA</t>
  </si>
  <si>
    <t>https://informatics.wustl.edu</t>
  </si>
  <si>
    <t>Daniel Uriol</t>
  </si>
  <si>
    <t>The US Fintech Domino: Bank M&amp;As and SMB Neobanks  #Innovation #Fintech #Banking #DigitalBanking #FinServ #CoreBanking #Payments #AI #MachineLearning #BigData #DataAnalytics #Cloud #RPA @JimMarous @ursbolt</t>
  </si>
  <si>
    <t>https://buff.ly/3k91dDM</t>
  </si>
  <si>
    <t>https://pbs.twimg.com/media/Eu7c19DWYAQW0xN.jpg</t>
  </si>
  <si>
    <t>CDO &amp; Digital Banking Advisor Passionate about #FinTech #Banking #CX #Innovation #OpenBanking</t>
  </si>
  <si>
    <t>https://www.linkedin.com/in/danieluriol/</t>
  </si>
  <si>
    <t>liwaiwai</t>
  </si>
  <si>
    <t>#MachineLearning Blazes Path To Reliable Near-Term #QuantumComputers #DataScience #Algorithms #Computing #AI</t>
  </si>
  <si>
    <t>https://liwaiwai.com/2021/02/22/machine-learning-blazes-path-to-reliable-near-term-quantum-computers/</t>
  </si>
  <si>
    <t>about = ["artificial_intelligence", "machine_learning", "software", "technology", "programming"]</t>
  </si>
  <si>
    <t>https://liwaiwai.com/</t>
  </si>
  <si>
    <t>AI-Summary</t>
  </si>
  <si>
    <t>An AI Tool That Helps You Qualify and Nurture Every Lead #ArtificialIntelligence #Chatbots #MachineLearning #NaturalLanguageProcessing</t>
  </si>
  <si>
    <t>https://ai-summary.com/summary-an-ai-tool-that-helps-you-qualify-and-nurture-every-lead/?utm_medium=social-organic&amp;utm_source=twitter</t>
  </si>
  <si>
    <t>We summarise trending news about machine learning using Natural Language Processing</t>
  </si>
  <si>
    <t>Irene at SaugaTalks</t>
  </si>
  <si>
    <t>"Many of us already live with #ArtificialIntelligence now, but #researchers say interactions with the #technology will become increasingly #personalized." via @DeepLearn007 #ai #MachineLearning #TechForGood #AIForAll RT @DeepLearn007: #AI Here, There, Everywhere  @SpirosMargaris @Xbond49 @psb_dc @jblefevre60 @nigewillson @sallyeaves @ipfconline1 @pierrepinna @HaroldSinnott @Nicochan33 @Paula_Piccard @ShiCooks @gvalan @MCins_ #MachineLearning #DeepLearning #Datascience #Fintech #5G</t>
  </si>
  <si>
    <t>https://twitter.com/DeepLearn007/status/1364268558923014148
https://www.nytimes.com/2021/02/23/technology/ai-innovation-privacy-seniors-education.html</t>
  </si>
  <si>
    <t>https://pbs.twimg.com/media/Eu7bBcaXIAkPqxI.jpg</t>
  </si>
  <si>
    <t>Westport, CT</t>
  </si>
  <si>
    <t>Once IBMer Now Technology Talk Host 🎙#saugatalks Chats With Fascinating People In Tech! 💻📱⌚️📈📣 Full Episodes On YouTube: http://bit.ly/SaugaTalks 🎥</t>
  </si>
  <si>
    <t>http://bit.ly/SaugaTalks</t>
  </si>
  <si>
    <t>#ArtificialIntelligence &amp; #Bias: The Buck Stops (W)here #AI #Algorithm #ML #MachineLearning #DeepLearning #DL #Data #Tech #Technology @TajyMany @cybersecboardrm @mclynd @philmennie @RobMcCargow @demishassabis</t>
  </si>
  <si>
    <t>http://ow.ly/OUt130ry3fu</t>
  </si>
  <si>
    <t>https://pbs.twimg.com/media/Eu7cbQFXcAADBoH.jpg</t>
  </si>
  <si>
    <t>A.I. Is Everywhere and Evolving #AI #ArtificialIntelligence #MachineLearning #iot</t>
  </si>
  <si>
    <t>https://www.nytimes.com/2021/02/23/technology/ai-innovation-privacy-seniors-education.html</t>
  </si>
  <si>
    <t>https://pbs.twimg.com/media/Eu7cZ6kXEAIJE7g.jpg</t>
  </si>
  <si>
    <t>Artificial Twin</t>
  </si>
  <si>
    <t>A novel policy for pre-trained Deep Reinforcement Learning for Speech Emotion Recognition (Thejan Rajapakshe et al.) Paper:  #machinelearning #artificialintelligence #reinforcementlearning</t>
  </si>
  <si>
    <t>https://buff.ly/37yYcrt</t>
  </si>
  <si>
    <t>https://pbs.twimg.com/media/Eu7cZyMWQAMpdqz.png</t>
  </si>
  <si>
    <t>Milan, Italy</t>
  </si>
  <si>
    <t>We develop and deliver industry ready applications, providing state of the art solutions in Machine Learning, Physical Modeling and Computational Geometry.</t>
  </si>
  <si>
    <t>https://artificialtwin.com/</t>
  </si>
  <si>
    <t>Sexist Artificial Intelligence is Even More Sexist Than We Thought [ no surprise 😔 ]  #ai #artificialintelligence #machinelearning #deeplearning #aiethics</t>
  </si>
  <si>
    <t>https://bit.ly/3sa6EFs</t>
  </si>
  <si>
    <t>https://pbs.twimg.com/media/Eu7cZffXUAgDPzl.jpg</t>
  </si>
  <si>
    <t>BigData / TurkishSAI</t>
  </si>
  <si>
    <t>Auditing Machine Learning Algorithms: A White Paper for Public Auditors #artificialintelligence #machinelearning #auditing #intosaijournal</t>
  </si>
  <si>
    <t>http://intosaijournal.org/auditing-machine-learning-algorithms/</t>
  </si>
  <si>
    <t>Big Data / Turkish Court of Accounts</t>
  </si>
  <si>
    <t>https://www.sayistay.gov.tr/en/?p=2&amp;CategoryId=43</t>
  </si>
  <si>
    <t>Tim R Allen</t>
  </si>
  <si>
    <t>Build #MachineLearning models faster using Intel Distribution for #Python &amp; Intel-optimized #scikit-learn, and supercharge your results with daal4py. Discover how:  @IntelAI @intelhpc</t>
  </si>
  <si>
    <t>http://intel.ly/3jOxeB2</t>
  </si>
  <si>
    <t>Portland, Oregon</t>
  </si>
  <si>
    <t>IT &amp; developer strategy @Intel: #analytics #BI #cloud &amp; #oneAPI. 20+ years in #datamanagement. Opinions are my own.</t>
  </si>
  <si>
    <t>Anna Kondratiuk</t>
  </si>
  <si>
    <t>Day 14&amp; 15 of #100DaysOfCode continue learning #NLP. So far:tokenization with lemma, bag-of-words modeling with CountVectorizer &amp;amp; TfidfVectorizer for comparison. Created document-term matrix and #WordCloud #Python #DataScience #MachineLearning #AI #womenintech #WomenWhoCode</t>
  </si>
  <si>
    <t>https://pbs.twimg.com/media/Eu7bcRLWgAYcJIE.png</t>
  </si>
  <si>
    <t>Artificial General Intelligence, social robots, technology</t>
  </si>
  <si>
    <t>‘Early Bird’ Makes Training #AI Greener #ArtificialIntelligence #tech #Training #DataScience #Data #MachineLearning #Automation</t>
  </si>
  <si>
    <t>https://liwaiwai.com/2021/02/24/early-bird-makes-training-ai-greener/</t>
  </si>
  <si>
    <t>Dailycodinghabit</t>
  </si>
  <si>
    <t>Python Code Quiz! #python #datascience #machinelearning #codingchallenge #codingquiz #programming #codingtips #coder #coding #100DaysOfCode #programmer #developer #linux #hacker #web #tech #dev #dailycodinghabit</t>
  </si>
  <si>
    <t>https://pbs.twimg.com/media/Eu7cKcvXEAI5Run.jpg</t>
  </si>
  <si>
    <t>internet</t>
  </si>
  <si>
    <t>#dailycodinghabit #100devs You daily coding lesson Python | C++ | PHP | Javascript | Swift | C | C# | Golang...</t>
  </si>
  <si>
    <t>https://www.instagram.com/dailycodinghabit/</t>
  </si>
  <si>
    <t>Machine Learning Memoirs</t>
  </si>
  <si>
    <t>https://bit.ly/37Bv8j5</t>
  </si>
  <si>
    <t>Connecting generations X, Y, Z | Machine learning and AI for everyone</t>
  </si>
  <si>
    <t>Data Storage</t>
  </si>
  <si>
    <t>Designing Data Science Tools at Spotify #DeepLearning #learning #machinelearning via</t>
  </si>
  <si>
    <t>http://twinybots.ch
https://spotify.design/article/designing-data-science-tools-at-spotify</t>
  </si>
  <si>
    <t>Basingstoke, England</t>
  </si>
  <si>
    <t>Enterprise storage is a centralised repository for business information that provides common data management, protection and data sharing functions</t>
  </si>
  <si>
    <t>http://www.sumillion.com</t>
  </si>
  <si>
    <t>The Royal Vox Post</t>
  </si>
  <si>
    <t>#MaterialsScience #AI: scientists have developed a #MachineLearning (ML) model to predict the properties of aluminum in liquid and crystal phases. Their findings suggest that ML algorithms can produce interatomic potentials with unprecedented accuracy -</t>
  </si>
  <si>
    <t>https://www.nature.com/articles/s41467-021-21376-0</t>
  </si>
  <si>
    <t>https://pbs.twimg.com/media/Eu7a-VPWQAMDUrh.jpg</t>
  </si>
  <si>
    <t xml:space="preserve">France </t>
  </si>
  <si>
    <t>➖ #Science #Tech #GreenTech #FinTech #CryptoAssets trends ➖ Powered by PhDs in Political Sciences/MicroEconomics/BA, &amp; #VentureCapitalists</t>
  </si>
  <si>
    <t>https://www.royalvoxpost.com</t>
  </si>
  <si>
    <t>How Artificial Intelligence Can Save the World, or Not via @InformationWeek  #ai #artificialintelligence #machinelearning #deeplearning</t>
  </si>
  <si>
    <t>https://bit.ly/3keCZId</t>
  </si>
  <si>
    <t>https://pbs.twimg.com/media/Eu7bRVgWQAI9w42.jpg</t>
  </si>
  <si>
    <t>Colin Bristow</t>
  </si>
  <si>
    <t>Data show lower daily temperatures lead to higher transmission of COVID-19 #ArtificialIntelligence #AI #DataScience #100DaysOfCode #Python #MachineLearning #BigData #DeepLearning #NLP #Robots #IoT</t>
  </si>
  <si>
    <t>https://bit.ly/3seLFBg</t>
  </si>
  <si>
    <t>London, England</t>
  </si>
  <si>
    <t>working for #SAS in UK with #Finance #Business orgs to exploit #ArtificialIntelligence #AI #DataScience #Python #MachineLearning #BigData #Robots #IoT #bigdata</t>
  </si>
  <si>
    <t>https://www.linkedin.com/in/colinrbristow/</t>
  </si>
  <si>
    <t>Jay X Anaya</t>
  </si>
  <si>
    <t>Machine learning is becoming production-ready quickly for many of us, this is my approach: 1. Security and Data privacy-first 2. Scalability 3. Performance, 4. Maintainability, 5.Portability. #100DaysOfCode #MachineLearning</t>
  </si>
  <si>
    <t>pic.twitter.com/84R8CP39nu</t>
  </si>
  <si>
    <t>CEO and co-founder of Disruptica. Ex World Bank &amp; Inter-american development bank. Passionate about AI on Kubernetes and automation. 👉 This week basics on ML</t>
  </si>
  <si>
    <t>https://linktr.ee/jayxanaya</t>
  </si>
  <si>
    <t>AI</t>
  </si>
  <si>
    <t>#AI Here, There, Everywhere  @SpirosMargaris @Xbond49 @psb_dc @jblefevre60 @nigewillson @sallyeaves @ipfconline1 @pierrepinna @HaroldSinnott @Nicochan33 @Paula_Piccard @ShiCooks @gvalan @MCins_ #MachineLearning #DeepLearning #Datascience #Fintech #5G</t>
  </si>
  <si>
    <t>Imtiaz Adam CS #AI Postgrad |#Tech #MachineLearning #DeepLearning #fintech #DataScience #5G Liberal #CleanTech| MBA, alum @morganstanley @LBS @Columbia_Biz</t>
  </si>
  <si>
    <t>https://www.linkedin.com/in/imtiaz-adam-7467528/</t>
  </si>
  <si>
    <t>Aspen</t>
  </si>
  <si>
    <t>Sur quelle planète l'OTAN vit-elle? Malgré ses récents échecs en #Afghanistan et en #Libye, @NATO tourne sa folie militaire vers deux ennemis plus redoutables et dotés d'armes nucléaires: @Russia &amp; @china. #ai #machinelearning #tech #datascience #deeplearning #python #robotics</t>
  </si>
  <si>
    <t>J'ai fait ce que je pouvais faire aujourd'hui et même si ce n'était pas grand-chose, c'était quelque chose 💖</t>
  </si>
  <si>
    <t>H2O.ai</t>
  </si>
  <si>
    <t>Learn how to prevent and detect #fraud more efficiently with #AI. Watch our #webinar recording with Ashrith Barthur:  #MachineLearning #ML #Cybersecurity</t>
  </si>
  <si>
    <t>https://youtube.com/watch?v=XVGR0doR0mk</t>
  </si>
  <si>
    <t>Mountain View, CA</t>
  </si>
  <si>
    <t>Our mission is to make AI for everyone.</t>
  </si>
  <si>
    <t>https://www.h2o.ai/</t>
  </si>
  <si>
    <t>Takuya Oketani</t>
  </si>
  <si>
    <t>#AWS #MachineLearning Blog: Talkdesk and AWS: What AI and speech-to-text mean for the future of contact centers and a better customer experience /</t>
  </si>
  <si>
    <t>https://amzn.to/3qZN91W</t>
  </si>
  <si>
    <t>Japan</t>
  </si>
  <si>
    <t>my opinions are my own. / Cloud, AWS / Machine Learning / IoT / Amazon Echo, Alexa / Outdoor / Okinawa</t>
  </si>
  <si>
    <t>Visual Analytics with Tableau Desktop 2020.3 ⏩  #AugmentedReality #Tableau #DeepLearning #Analytics #DataScience #MachineLearning #IoT #IIoT #Python #RStats #CloudComputing #Serverless #Linux #Programming @udemy #Coding #100DaysofCode #100DaysOfMLCode</t>
  </si>
  <si>
    <t>https://bit.ly/3qYPw5J</t>
  </si>
  <si>
    <t>https://pbs.twimg.com/media/Eu7aVQcVcAUE1v1.jpg</t>
  </si>
  <si>
    <t>reveleer</t>
  </si>
  <si>
    <t>What is intelligent automation and how is it transforming healthcare? Learn more in our latest blog:  #Automation #AI #MachineLearning</t>
  </si>
  <si>
    <t>https://bit.ly/3kbPp3P</t>
  </si>
  <si>
    <t>https://pbs.twimg.com/media/Eu7aUK9XAAMRPiD.jpg</t>
  </si>
  <si>
    <t>Glendale, CA</t>
  </si>
  <si>
    <t>reveleer provides #MedicareAdvantage, #Medicaid and #ACA/#Obamacare plans with an enterprise #SaaS platform for #RiskAdjustment, #HEDIS, and Audit initiatives.</t>
  </si>
  <si>
    <t>http://www.reveleer.com</t>
  </si>
  <si>
    <t>Great to hear Dinesh Chandrasekhar @AppInt4All and @davidloshin on @TDWI webcast discussing #IoT Data Architecture and #Analytics =&gt; Real-time Insights at the Edge! #BigData #DataScience #AI #EdgeAI #MachineLearning #StreamAnalytics #EdgeComputing #IIoT #IoTPL #IoTCommunity RT @TDWI: Join us in 1 hour! Learn about the fundamental data architecture necessary for #IoT success. #TDWIWebinar |</t>
  </si>
  <si>
    <t>https://twitter.com/TDWI/status/1364243721886302209
https://bit.ly/3tRenK2</t>
  </si>
  <si>
    <t>https://pbs.twimg.com/media/Eu7Eb1FXMAALs7J.jpg</t>
  </si>
  <si>
    <t>Michael Mallari</t>
  </si>
  <si>
    <t>#AI #ML #MachineLearning RT @MikeTamir: AI in Drug Discovery 2020 - A Highly Opinionated Literature Review  #AI #MachineLearning #DeepLearning #DataScience</t>
  </si>
  <si>
    <t>https://twitter.com/MikeTamir/status/1364252944665829377
https://bit.ly/2MsZRrk</t>
  </si>
  <si>
    <t>https://pbs.twimg.com/media/Eu7M0twXMAIdqec.png</t>
  </si>
  <si>
    <t>Denver via NYC</t>
  </si>
  <si>
    <t>#ProdMgmt at a Fortune 20 Co ⭑ Ex-Designer, Ex-Software Engineer ⭑ @Columbia #AI #ML (MS Student), @UofMaryland MBA ⭑ 1 Samuel 16:23 #Jesus ⭑ Personal Opinions</t>
  </si>
  <si>
    <t>https://www.linkedin.com/in/mmallari</t>
  </si>
  <si>
    <t>Plus Commits To Ouster’s Digital LiDAR For #AutonomousTrucks  #DataScience #Machinelearning #Deeplearning #ArtificialIntelligence #BigData #NLP #NoSQL #IoT #TensorFlow #Serverless #kubernetes #GlobalAI #DataMining #selfdriving #Robotic #AI #DataBase</t>
  </si>
  <si>
    <t>https://buff.ly/3keLhQq</t>
  </si>
  <si>
    <t>The Tech Trend</t>
  </si>
  <si>
    <t>Is Fusion In Fact Near To Reality? Read More :-  #ai #machinelearning #technology #TheTechTrend</t>
  </si>
  <si>
    <t>https://bit.ly/3aHPYPD</t>
  </si>
  <si>
    <t>Worldwide</t>
  </si>
  <si>
    <t>A Tech community for industry experts, connect with them. Read their #tech blog, opinion, share your own thoughts too. #AI #ML #Blockchain #Business, #Fintech</t>
  </si>
  <si>
    <t>https://the-tech-trend.com/</t>
  </si>
  <si>
    <t>What Cheetos tell us about enterprise Artificial Intelligence [bare with it ! ]  #ai #artificialintelligence #machinelearning #deeplearning</t>
  </si>
  <si>
    <t>https://bit.ly/3keV4G4</t>
  </si>
  <si>
    <t>https://pbs.twimg.com/media/Eu7aGJVXcAUGy2H.jpg</t>
  </si>
  <si>
    <t>Strategic Systems International (SSI)</t>
  </si>
  <si>
    <t>State of the Art Convolutional Neural Networks (CNNs) Explained — DenseNets  by @Whats_AI v/ @towards_AI #AI #MachineLearning #DeepLearning Cc @jblefevre60 @Fisher85M @sallyeaves @psb_dc @AkwyZ @SeverineLienard @mallys_ @DeepLearn007</t>
  </si>
  <si>
    <t>https://link.medium.com/RltotpMPzdb</t>
  </si>
  <si>
    <t>https://pbs.twimg.com/media/Eu5ntNPUYAMGM1J.jpg</t>
  </si>
  <si>
    <t>Chicago, IL</t>
  </si>
  <si>
    <t>A Chicago-HQed #AdvancedAnalytics and #SoftwareEngineering firm that builds #DataDriven #Applications for #Tech Companies and Enterprises.</t>
  </si>
  <si>
    <t>http://ssidecisions.com/</t>
  </si>
  <si>
    <t>Scott Coffin, Ph.D.</t>
  </si>
  <si>
    <t>Thinking about using #machineLearning, but not sure which model to choose? This #RShiny app tests five models on your data and provides in-depth analytics in minutes! From there you can settle on one model to further refine. #DataScience #Rstudio</t>
  </si>
  <si>
    <t>https://datascienceplus.com/find-the-best-predictive-model-using-r-caret-package-modelgrid/</t>
  </si>
  <si>
    <t>Sacramento, CA</t>
  </si>
  <si>
    <t>Environmental Toxicologist | Research Scientist @ CA State Water Board (Drinking Water) | Microplastics, PFAS, Emerging Contaminants | RYT:200 🕉 | Views my own</t>
  </si>
  <si>
    <t>https://www.researchgate.net/profile/Scott_Coffin</t>
  </si>
  <si>
    <t>Four Ways AI And Machine Learning Will Drive Future Innovation And Change  #Innovation #machinelearning via @cybersecboardrm</t>
  </si>
  <si>
    <t>https://buff.ly/3dCNZhr</t>
  </si>
  <si>
    <t>Paul Laughlin</t>
  </si>
  <si>
    <t>A quick refresher on the difference between Bayesian vs Frequentist approaches to inference. The implications for Machine Learning design – Part One:  #Statistics #Probability #MachineLearning #PeopleSideOfData</t>
  </si>
  <si>
    <t>https://sbee.link/xqfa49ujgm</t>
  </si>
  <si>
    <t>Wales</t>
  </si>
  <si>
    <t>Speaker, blogger, #PeopleSideOfData enthusiast &amp; host of the Customer Insight Leader Podcast. Investing my time in training teams &amp; mentoring leaders.</t>
  </si>
  <si>
    <t>http://customerinsightleader.com</t>
  </si>
  <si>
    <t>Ganny McGANface</t>
  </si>
  <si>
    <t>#StyleGAN #MachineLearning #StyleGAN</t>
  </si>
  <si>
    <t>https://pbs.twimg.com/media/Eu7ZutNXUA0ulIQ.png</t>
  </si>
  <si>
    <t>I am a bot that tweets a random blend of StyleGAN-generated face pics once an hour. #NoneOfThesePeopleExist</t>
  </si>
  <si>
    <t>Data Observability, Part II: How to Build Your Own Data Quality Monitors Using SQL  #AI #MachineLearning #Analytics</t>
  </si>
  <si>
    <t>http://dlvr.it/RtKXXb</t>
  </si>
  <si>
    <t>https://pbs.twimg.com/media/Eu7ZpgoVcAMEUb8.jpg</t>
  </si>
  <si>
    <t>howtolearnmachinelearning</t>
  </si>
  <si>
    <t>The #DeepLearning book by the Masters: an eternal text full of new, insightful, additions. Check out our review and become an expert on Deep Learning! 🧠💻  #MachineLearning #DataScience #ArtificialIntelligence #AI</t>
  </si>
  <si>
    <t>https://howtolearnmachinelearning.com/books/machine-learning-books/deep-learning-goodfellow/</t>
  </si>
  <si>
    <t>The best repository of resources to learn Machine Learning. Come take a look! 💻📚</t>
  </si>
  <si>
    <t>http://howtolearnmachinelearning.com</t>
  </si>
  <si>
    <t>Google’s new trillion-parameter #AI language model is almost 6 times bigger than GPT-3!  @thomas_macaulay v/ @thenextweb #NLP #AI #MachineLearning #DeepLearning Cc @DeepLearn007 @ahier @JimMarous @psb_dc @andi_staub @Xbond49 @Ym78200 @3itcom @Nicochan33</t>
  </si>
  <si>
    <t>https://tnw.to/f67dG</t>
  </si>
  <si>
    <t>https://pbs.twimg.com/media/Eu7ZaiKWgAAXrfq.png</t>
  </si>
  <si>
    <t>Jack Ge, Ph.D</t>
  </si>
  <si>
    <t>See this Instagram post by @machinelearning</t>
  </si>
  <si>
    <t>https://www.instagram.com/p/CLnnys1AwMr/?utm_source=ig_web_button_share_sheet</t>
  </si>
  <si>
    <t>https://pbs.twimg.com/media/Eu7ZZ7ZXEAUQEbk.png</t>
  </si>
  <si>
    <t>Toronto, Ontario</t>
  </si>
  <si>
    <t>Senior UX/UI Designer</t>
  </si>
  <si>
    <t>Ákshïtã</t>
  </si>
  <si>
    <t>#100DaysOfCode MY 300 DAYS Follow me at github star some repos  #CodeNewbies #CodeNewbie #WomenWhoCode #OpenSource #DEVCommunity #MachineLearning #ArtificialIntelligence #git #code #programming #github #Python</t>
  </si>
  <si>
    <t>https://github.com/akshitagupta15june</t>
  </si>
  <si>
    <t>https://pbs.twimg.com/media/Eu7ZPbRUYAADrAB.jpg</t>
  </si>
  <si>
    <t>python, c/c++, beginner coder, opencv #100 day of code challenge in (data structures and algorithms ) and Android app development. G@té. follow my github</t>
  </si>
  <si>
    <t>Saltmine raises $20 million to automate office space design  #artificialintelligence #ai #machinelearning</t>
  </si>
  <si>
    <t>https://venturebeat.com/2021/02/23/saltmine-raises-20-million-to-automate-office-space-design/?utm_source=dlvr.it&amp;utm_medium=twitter</t>
  </si>
  <si>
    <t>TTC - Computerized TissueTemnography</t>
  </si>
  <si>
    <t>5 Tech Trends that will disrupt Healthcare in 2020: Internet of Things, 3D printing, Natural Language Processing, Machine Learning, and Blockchain. [Infographic] @wissen_tech via @antgrasso @Bru_Basile &gt; #MachineLearning #IoT #3Dprinting #NLP #Blockchain #HealthTech #MedTech</t>
  </si>
  <si>
    <t>https://pbs.twimg.com/media/Eu7ZDfKXMAMGk1O.jpg</t>
  </si>
  <si>
    <t>TTC Medical is a research company by @Bru_Basile - #Temnography Tech patent holder - Tweets by @Bru_Basile</t>
  </si>
  <si>
    <t>CrossMinds.ai</t>
  </si>
  <si>
    <t>[#WACV2021 Paper] Person-in-Context Synthesis with Compositional Structural Space by researchers from @UBC_CS @CUHKofficial @liuziwei7 #paperswithvideo #machinelearning #deeplearning #computervision</t>
  </si>
  <si>
    <t>https://bit.ly/3sdGq4I</t>
  </si>
  <si>
    <t>Sunnyvale, CA, USA</t>
  </si>
  <si>
    <t>Knowledge graph-indexed #AI #research video platform covering 10,000+ conference talks, #arXiv #paper presentations, and industry updates. #paperswithvideo</t>
  </si>
  <si>
    <t>https://www.crossminds.ai/</t>
  </si>
  <si>
    <t>#100DaysOfCode Completed my 300 days of coding Follow me at github star some repos  #CodeNewbies #CodeNewbie #WomenWhoCode #OpenSource #DEVCommunity #MachineLearning #ArtificialIntelligence #git #code #programming #github #Python</t>
  </si>
  <si>
    <t>https://pbs.twimg.com/media/Eu7Y-0uVIAEuspm.jpg
https://pbs.twimg.com/media/Es5v54mXYAMajgg.jpg</t>
  </si>
  <si>
    <t>[ surprise ! ] The Performance Of Your Facial Recognition Model Depends On The Data You Feed It -Big Data Analytics News  #ai #artificialintelligence #machinelearning #deeplearning #data #facialrecognition</t>
  </si>
  <si>
    <t>https://bit.ly/3keBIRr</t>
  </si>
  <si>
    <t>https://pbs.twimg.com/media/Eu7Y-LjXIAI5POT.jpg</t>
  </si>
  <si>
    <t>We need to talk about Artificial Intelligence #AI #MachineLearning #artificialintelligence #DataScience</t>
  </si>
  <si>
    <t>https://www.weforum.org/agenda/2021/02/we-need-to-talk-about-artificial-intelligence/</t>
  </si>
  <si>
    <t>https://pbs.twimg.com/media/Eu7Y80uXAAEhQI9.jpg</t>
  </si>
  <si>
    <t>Synergy IT Solutions Inc.</t>
  </si>
  <si>
    <t>Accelerating Department of Defense mission workloads with Azure  #cloudcomputing #cloud #devops #microsoftcloud #machinelearning</t>
  </si>
  <si>
    <t>http://dlvr.it/RtKX0J</t>
  </si>
  <si>
    <t>Toronto, Mississauga</t>
  </si>
  <si>
    <t>Leading IT Support Company offering IT Solutions and Technical support services Canada wide, specializes in managed services to help small and medium businesses</t>
  </si>
  <si>
    <t>http://www.synergyit.ca</t>
  </si>
  <si>
    <t>DataWorkout</t>
  </si>
  <si>
    <t>Many of us already live with artificial intelligence now, but researchers say interactions with the technology will become increasingly personalized.  #ai #MachineLearning #emergingtech #personalisation #ArtificialIntelligence</t>
  </si>
  <si>
    <t>The EduFilm Platform. Watch in byte size scenes the transformational power of AI with our film 'The Quest for Super Intelligence' ⚡️ #AI #ArtificialIntelligence</t>
  </si>
  <si>
    <t>http://www.dataworkout.com</t>
  </si>
  <si>
    <t>Marine Bonduelle</t>
  </si>
  <si>
    <t>#DigitalTransformation with #Domino12 #appdev #nocode #javascript #github #nodejs #cybersecurity #devops #100DaysOfCode #webdesign #ai #bot #codenewbie #iot #machinelearning #Python #Serverless #womenintech #microsoft #flutter  RT @HCLDigital: From low-code to pro-code, HCL Domino is the only rapid application development platform you need, and we are making Domino v12 more powerful than ever. Find out what's coming in the next release:  #lowcode #Dominoforever</t>
  </si>
  <si>
    <t>https://via.socxo.net/5QLpIpKCj8JFA
https://twitter.com/HCLDigital/status/1363956733266264064
https://hclsw.co/j5lrfb</t>
  </si>
  <si>
    <t>pic.twitter.com/8mqslBmYa9</t>
  </si>
  <si>
    <t>HCL Digital Solutions Sales for France and French Speaking Africa</t>
  </si>
  <si>
    <t>https://buff.ly/3dF2Fg2</t>
  </si>
  <si>
    <t>AiSear.ch : AI+Directory</t>
  </si>
  <si>
    <t>Qualcomm Accelerates AR With New Smart Viewer #MachineLearning #learning via</t>
  </si>
  <si>
    <t>http://twinybots.ch
https://www.forbes.com/sites/charliefink/2021/02/23/qualcomm-accelerates-ar-with-new-smart-viewer/?sh=f4567572737f</t>
  </si>
  <si>
    <t>AI+ Swiss Directory of Artificial Intelligence IA+ Annuaire Suisse de l’intelligence artificielle KI+ Schweizer Verzeichnis künstlicher Intelligenz</t>
  </si>
  <si>
    <t>https://aisear.ch/</t>
  </si>
  <si>
    <t>UnfoldLabs</t>
  </si>
  <si>
    <t>Training #MachineLearning models to be future-ready.  #ML #Technology @mclynd @nigewillson @Ronald_vanLoon @sandy_carter @MikeQuindazzi @SpirosMargaris @TamaraMcCleary @YvesMulkers @kuriharan</t>
  </si>
  <si>
    <t>https://www.information-age.com/training-machine-learning-models-future-ready-123493865/</t>
  </si>
  <si>
    <t>San Diego, CA</t>
  </si>
  <si>
    <t>Innovative Technology Product/Services Company. Makers of cool next-gen products. Guide to #Mobile #BigData #Cloud #IoT #VR #Wearables #AI #5G #RedGreen</t>
  </si>
  <si>
    <t>http://www.unfoldlabs.com</t>
  </si>
  <si>
    <t>The Tesseract Academy</t>
  </si>
  <si>
    <t>7 tips for selecting the right AI vendor for your business. AI (artificial intelligence) technologies and solutions can potentially transform your business.  #AI #DataScience #MachineLearning #datascience #blockchain</t>
  </si>
  <si>
    <t>https://tesseract.academy/7-tips-for-selecting-the-right-ai-vendor-for-your-business/</t>
  </si>
  <si>
    <t>London</t>
  </si>
  <si>
    <t>Executive Workshops and Training in #DataScience #AI #SoftwareDevelopment and #Blockchain. CPD accredited. Lead by expert Data Scientist @s_kampakis</t>
  </si>
  <si>
    <t>http://tesseract.academy/</t>
  </si>
  <si>
    <t>[ entertaining, but shame about the lack of #diversity ] What If They Had Kids? I Used Artificial Intelligence To See What The Kids Of Famous Fictional Couples Would Have Looked Like  #ai #artificialintelligence #machinelearning #deeplearning #aiethics</t>
  </si>
  <si>
    <t>https://bit.ly/37DurWr</t>
  </si>
  <si>
    <t>https://pbs.twimg.com/media/Eu7Xz8YXUAE6amc.jpg</t>
  </si>
  <si>
    <t>Heartbeat Newsletter: Volume 27  #ai #artificialintelligence #machinelearning</t>
  </si>
  <si>
    <t>https://heartbeat.fritz.ai/heartbeat-newsletter-volume-27-fdde395116fb?source=rss----680eee12c50d---4&amp;utm_source=dlvr.it&amp;utm_medium=twitter</t>
  </si>
  <si>
    <t>Torsten Hoefler</t>
  </si>
  <si>
    <t>Looking forward to @fruitfly1026's talk at #spcl_bcast on tensors (potentially including #MachineLearning? :-)) this Thursday - join us online in an open zoom! RT @spcl_eth: Save the date: SPCL_Bcast with Jiajia Li on February 25th at 6pm CET. Jiajia Li of @pnnlab will discuss the Hierarchical Parallel Tensor Infrastructure library and optimizations for it. More info &amp; link to join:  @thoefler @CSatETH #HPC</t>
  </si>
  <si>
    <t>https://twitter.com/spcl_eth/status/1364131894334472192
http://spcl.inf.ethz.ch/Bcast/</t>
  </si>
  <si>
    <t>https://pbs.twimg.com/media/Eu5etQmXMAEK-GU.jpg</t>
  </si>
  <si>
    <t>Zurich, Switzerland</t>
  </si>
  <si>
    <t>Professor of Computer Science at ETH Zurich, head of @spcl_eth, focused on large-scale and high-performance computing and artificial intelligence systems</t>
  </si>
  <si>
    <t>http://htor.inf.ethz.ch</t>
  </si>
  <si>
    <t>Kevin Musgrave</t>
  </si>
  <si>
    <t>All you need is all you need #machinelearning #deeplearning #nlp</t>
  </si>
  <si>
    <t>https://pbs.twimg.com/media/Eu7W-1ZWYAEp1hr.png</t>
  </si>
  <si>
    <t>CS PhD student @ Cornell Tech. Machine learning and computer vision. http://github.com/KevinMusgrave</t>
  </si>
  <si>
    <t>http://KevinMusgrave.com</t>
  </si>
  <si>
    <t>Lorenzo H. Gómez</t>
  </si>
  <si>
    <t>The Promise and Challenges of #AI and #MachineLearning for #Cybersecurity</t>
  </si>
  <si>
    <t>https://lnkd.in/dM2Tfup</t>
  </si>
  <si>
    <t>Baldwinsville,NY</t>
  </si>
  <si>
    <t>BDM – LATAM (30,000+ LinkedIn connections) Cybersecurity - Risk Management - Computer Forensics - Network Security - Big Data - AI - IoT - Machine Learning</t>
  </si>
  <si>
    <t>https://www.linkedin.com/in/lorenzogomezvargas</t>
  </si>
  <si>
    <t>/MachineLearning</t>
  </si>
  <si>
    <t>TensorFlow Functional Implementation of Singular Value Decomposition (SVD)</t>
  </si>
  <si>
    <t>https://www.reddit.com/r/MachineLearning/comments/lqg3z9/r_tensorflow_functional_implementation_of/</t>
  </si>
  <si>
    <t>Official Twitter Feed For https://www.reddit.com/r/MachineLearning/</t>
  </si>
  <si>
    <t>Paul Ranjan</t>
  </si>
  <si>
    <t>How can computer vision and cloud reduce cost and manual overhead of quality inspection cost? Read Falk-Moritz Schaefer's article and share your thoughts on use cases in the comment section! #techinnovalue #dreambuildscale #cloudcomputing #machinelearning</t>
  </si>
  <si>
    <t>https://lnkd.in/gY-GcvD</t>
  </si>
  <si>
    <t>Republic of the Philippines</t>
  </si>
  <si>
    <t>Storyteller.</t>
  </si>
  <si>
    <t>https://www.linkedin.com/in/paulranjan</t>
  </si>
  <si>
    <t>neuzida</t>
  </si>
  <si>
    <t>Qualcomm Accelerates AR With New Smart Viewer #MachineLearning #learning</t>
  </si>
  <si>
    <t>https://www.forbes.com/sites/charliefink/2021/02/23/qualcomm-accelerates-ar-with-new-smart-viewer/?sh=f4567572737f</t>
  </si>
  <si>
    <t>Remote</t>
  </si>
  <si>
    <t>Human powered and AI driven research &amp; advisory on learning, work and automation.</t>
  </si>
  <si>
    <t>http://www.neuzida.com</t>
  </si>
  <si>
    <t>Learn to build chatbots with Dialogflow  #machinelearning #ad</t>
  </si>
  <si>
    <t>https://zpy.io/f8820913</t>
  </si>
  <si>
    <t>Wojciech Marusiak</t>
  </si>
  <si>
    <t>https://google.smh.re/1-q</t>
  </si>
  <si>
    <t>Frankfurt</t>
  </si>
  <si>
    <t>Wojciech Marusiak is Customer Engineer @google, vExpert 2014-2021, vExpert NSX 2017, vExpertPro 2018 - 2020, Tweets are mine.</t>
  </si>
  <si>
    <t>https://www.wojcieh.net</t>
  </si>
  <si>
    <t>Technossus</t>
  </si>
  <si>
    <t>A few techniques like factor analysis can help #IT teams develop an efficient means to manage a model. ? #Technossus #OrangeCounty #MachineLearning #AI #ArtificialIntelligence #Technology #Tech #Business</t>
  </si>
  <si>
    <t>https://bit.ly/3u4zadd</t>
  </si>
  <si>
    <t xml:space="preserve">Orange County, California </t>
  </si>
  <si>
    <t>Technossus is a software solutions and technology consulting company based In Irvine, CA, providing platform solutions and custom application development.</t>
  </si>
  <si>
    <t>http://www.technossus.com</t>
  </si>
  <si>
    <t>Anil Shanbhag 🇨🇦</t>
  </si>
  <si>
    <t>#BigData #NaturalLanguageProcessing #AI #DeepLearning #MachineLearning #CustomerFeedback #USA #USMilitary $ATW $ATW.V @leighmhughes @CndStockTrader @SemeonAnalytics #VoxTel #OptionVote #monetization #telecom #billing RT @the1Jax: Added some heavy $ATW here with @AllStreetsWolf and @TMTteammoney US Military contract news last week with plenty more to come IMO. $ATW.V</t>
  </si>
  <si>
    <t>https://twitter.com/the1Jax/status/1364262293379244039
https://twitter.com/AllStreetsWolf/status/1364261746798514176</t>
  </si>
  <si>
    <t>Ontario, Canada</t>
  </si>
  <si>
    <t>#ProudCanadian #Investor #CANZUKStrong #TechJunkie #BioHackerNewbie All tweets about stocks are my own opinion - Do your own due diligence before you invest.</t>
  </si>
  <si>
    <t>https://github.com/anilmshanbhag</t>
  </si>
  <si>
    <t>We need to talk about Artificial Intelligence [ always ! ]  #ai #artificialintelligence #machinelearning #deeplearning via @wef</t>
  </si>
  <si>
    <t>https://bit.ly/3siMF7o</t>
  </si>
  <si>
    <t>https://pbs.twimg.com/media/Eu7Wrj_XUAc31-X.jpg</t>
  </si>
  <si>
    <t>Giuliano Liguori</t>
  </si>
  <si>
    <t>Digital #Security Landscape Via @ingliguori #Cloud #MachineLearning #BigData #infosec #fintech #ArtificialIntelligence #cybersecurity #Blockchain #Analytics #AI #IIoT #DEVCommunity #infosecurity #DataScience #IoT #IoTPL #100DaysOfCode @antgrasso @Ronald_vanLoon @AkwyZ @avrohomg</t>
  </si>
  <si>
    <t>https://pbs.twimg.com/media/Eu7WrU_XAAcLT9h.png</t>
  </si>
  <si>
    <t>World</t>
  </si>
  <si>
    <t>Digital Transformation Leader | Innovation Manager | Thought Leadership | Professional Influencer | CIO as a Service | Fractional Executive Services http://glweb.eu</t>
  </si>
  <si>
    <t>https://www.linkedin.com/in/ingliguori/</t>
  </si>
  <si>
    <t>Dr. Stylianos Kampakis</t>
  </si>
  <si>
    <t>Are you a decision maker who wants to use data science? This free workshop will help maximise the value you get out of your data! About this Event  #AI #ML #DataScience #MachineLearning</t>
  </si>
  <si>
    <t>https://www.eventbrite.co.uk/e/the-ai-and-data-science-clinic-a-free-workshop-for-decision-makers-tickets-138758206531?aff=ebdsoporgprofile</t>
  </si>
  <si>
    <t>Chief Data Scientist | CEO of @TesseractAcade1 | Expert in #AI #MachineLearning #DataAnalytics #Statistics #Blockchain #SoftwareDevelopment</t>
  </si>
  <si>
    <t>https://thedatascientist.com/about-dr-stylianos-stelios-kampakis/</t>
  </si>
  <si>
    <t>Yugansh Jain</t>
  </si>
  <si>
    <t>Learn technology Boost Your Career Options Clear, engaging courses, focussed on developing your practical skills to supercharge your career 🎉 #100DaysOfCode #100DaysOfMLCode #javascript #webdev #frontend #backend #nodejs #MachineLearning</t>
  </si>
  <si>
    <t>https://codewithmosh.com/?affcode=146684_8qgz9mhy</t>
  </si>
  <si>
    <t>Himachal Pradesh, India</t>
  </si>
  <si>
    <t>Developer Electronics enthusiast Start to learn code with best instructor https://codewithmosh.com/p/all-access?affcode=146684_8qgz9mhy</t>
  </si>
  <si>
    <t>https://www.buymeacoffee.com/Yuganshjain</t>
  </si>
  <si>
    <t>#BigData #NaturalLanguageProcessing #AI #DeepLearning #MachineLearning #CustomerFeedback #USA #USMilitary $ATW $ATW.V @leighmhughes @CndStockTrader @SemeonAnalytics #VoxTel #OptionVote #monetization #telecom #billing RT @AllStreetsWolf: $ATW.v HEAVY sell side pressure pushing this back down to support after major news of an AI contract with the US military. Looking at this high volume climax candle as a potential reversal point. $21mm market cap for a company signing contracts with the US military 🤔</t>
  </si>
  <si>
    <t>https://twitter.com/AllStreetsWolf/status/1364261746798514176</t>
  </si>
  <si>
    <t>https://pbs.twimg.com/media/Eu7Uc_4VoAEIb9y.jpg</t>
  </si>
  <si>
    <t>Jelvix</t>
  </si>
  <si>
    <t>#MachineLearning is growing every year, and 2021 won’t be an exception – far from it. In this article, we’ll take a look at how classical #AI problems can be taken to a business ground – and of course, drive revenue.</t>
  </si>
  <si>
    <t>https://jelvix.com/blog/machine-learning-project-ideas</t>
  </si>
  <si>
    <t>https://pbs.twimg.com/media/Eu7WnMRXMAIOxkY.png</t>
  </si>
  <si>
    <t>Israel-Ukraine</t>
  </si>
  <si>
    <t>Global Technology Partner for Software Innovation and Industry-Leading Solutions https://www.linkedin.com/company/jelvix/</t>
  </si>
  <si>
    <t>http://jelvix.com/</t>
  </si>
  <si>
    <t>Reggy de Feniks</t>
  </si>
  <si>
    <t>With the increasing number of video/audio samples now accessible online, in part due to the pandemic, cyber criminals have a large supply of data from which to build photo-realistic simulations of individuals @cybcubecom #engineering #AI #machinelearning</t>
  </si>
  <si>
    <t>https://www.digitalinsuranceagenda.com/featured-insurtechs/whats-happening-in-the-dia-community-vol-13/?utm_source=agorapulse&amp;utm_medium=cybercube</t>
  </si>
  <si>
    <t>https://pbs.twimg.com/media/Eu7WdP-XUAcnmEM.png</t>
  </si>
  <si>
    <t>Barcelona</t>
  </si>
  <si>
    <t>Speaker/author 'Reinventing Financial Services', 'Reinventing Customer Engagement', Founder @TheDIACommunity (DIA Amsterdam, Munich, Prime T) #insurtech</t>
  </si>
  <si>
    <t>http://www.digitalinsuranceagenda.com</t>
  </si>
  <si>
    <t>Bob Carver ✭</t>
  </si>
  <si>
    <t>the world</t>
  </si>
  <si>
    <t>Twitter Top10 #CyberSecurity #infosec #IoT #privacy #AI #ML #disrupt #blockchain #Industry40 #startups #Cloud #FutureOfWork #technology #Speaker RT != agree</t>
  </si>
  <si>
    <t>https://www.linkedin.com/in/bobcarver/detail/recent-activity/posts/</t>
  </si>
  <si>
    <t>it-soft GmbH</t>
  </si>
  <si>
    <t>Microsoft Word to get AI-powered text prediction feature next month #Microsoft365 #AI #TextPredictions #MachineLearning #OfficeSoftware</t>
  </si>
  <si>
    <t>https://flip.it/OMSXl1</t>
  </si>
  <si>
    <t>München, Bayern</t>
  </si>
  <si>
    <t>IT system house with own #datacenter over 20 years. We specialise in #itsecurity #software-development #itconsulting #hosting #housing #domain #outsourcing</t>
  </si>
  <si>
    <t>https://www.it-soft.com</t>
  </si>
  <si>
    <t>Stanford Green</t>
  </si>
  <si>
    <t>Good book to get started with python 🚀. . . . 4.7 out 5. . #Python #michaeldriscoll #leanpub #python101 #DEVCommunity #DataScience #MachineLearning #ArtificialIntelligence #pythonlearning #pythondeveloper #deeplearning #quants</t>
  </si>
  <si>
    <t>https://pbs.twimg.com/media/Eu7WGgPVEAArY2S.jpg</t>
  </si>
  <si>
    <t>Kobe, Japan</t>
  </si>
  <si>
    <t>Python Developer &amp; Data Scientist.</t>
  </si>
  <si>
    <t>TechNative</t>
  </si>
  <si>
    <t>Why Humanity Must be Returned to #AI  #MachineLearning #FutureOfWork #DigitalTransfomation #AIBias #ML</t>
  </si>
  <si>
    <t>https://technative.io/ais-bias-problem-why-humanity-must-be-returned-to-ai/</t>
  </si>
  <si>
    <t>Earth</t>
  </si>
  <si>
    <t>• Technology at Work • Videos: #TechNativeTV • Follow our LinkedIn page: https://www.linkedin.com/company/technative</t>
  </si>
  <si>
    <t>http://technative.io</t>
  </si>
  <si>
    <t>Quantiacs</t>
  </si>
  <si>
    <t>Do you want to apply your #machinelearning skills to finance? Read our post  and get started with</t>
  </si>
  <si>
    <t>https://quantiacs.medium.com/predicting-markets-on-quantiacs-using-machine-learning-a-ridge-regression-example-f64d9e782dc9
http://www.quantiacs.com</t>
  </si>
  <si>
    <t>Menlo Park, CA</t>
  </si>
  <si>
    <t>At Quantiacs we are building a crowdsourced hedge fund. Join us and download data and our open-source backtester for free. Or code online for free on our cloud.</t>
  </si>
  <si>
    <t>http://www.quantiacs.com</t>
  </si>
  <si>
    <t>TipsCuatro PuntoCero</t>
  </si>
  <si>
    <t>Ya estamos llegando!! 📌 fuente →  #entrevistas #industria40 #tecnología #universidades #emprendedores #Machinelearning #Digitalizacion #Gemelodigital #Bigdata #DataSience</t>
  </si>
  <si>
    <t>http://www.tipscuatropuntocero.com</t>
  </si>
  <si>
    <t>pic.twitter.com/ie5nQhU4GM</t>
  </si>
  <si>
    <t>Argentina</t>
  </si>
  <si>
    <t>Tips Industria4.0 Tu oportunidad de hacer historia!</t>
  </si>
  <si>
    <t>Small_Firm_Forum</t>
  </si>
  <si>
    <t>[D] A Curated List of 50+ Machine Learning and Data Science Cheat Sheets (Updated 2021 List) #Learning via</t>
  </si>
  <si>
    <t>http://twinybots.ch
https://www.reddit.com/r/MachineLearning/comments/loow57/d_a_curated_list_of_50_machine_learning_and_data/</t>
  </si>
  <si>
    <t>Heads of small law firms from across the United States who are willing to share their insights and experience on marketing, managing and growing a law firm</t>
  </si>
  <si>
    <t>https://smallfirmforum.com</t>
  </si>
  <si>
    <t>jskalia</t>
  </si>
  <si>
    <t>Time To Stop Labeling Physicians As Providers  #mHealth, #healthcare, #digitalhealthcare, #Machinelearning, #ArtificialIntelligence,#AIinHealthcare, #MLinHealthcare, #VeeMed, #AINeuroCare</t>
  </si>
  <si>
    <t>http://ow.ly/pgbS50DAbyO</t>
  </si>
  <si>
    <t>Dallas</t>
  </si>
  <si>
    <t>Telehealth Strategist &amp; Consultant | AI in Healthcare | Neurocritical Care | Stroke | Epilepsy | Founder AINeuroCare</t>
  </si>
  <si>
    <t>https://www.aineurocare.com/junaidkalia</t>
  </si>
  <si>
    <t>Learn to play piano with this Artificial Intelligence fuelled app [ oow Guitar version please ! ]  #ai #artificialintelligence #machinelearning #deeplearning #music #piano</t>
  </si>
  <si>
    <t>https://bit.ly/2NQoSN8</t>
  </si>
  <si>
    <t>https://pbs.twimg.com/media/Eu7VjevWQAgS4CY.jpg</t>
  </si>
  <si>
    <t>MIM Chennai</t>
  </si>
  <si>
    <t>We are very much delighted to inform you that MEASI Institute of Management is hosting a session on " Impact of Big data &amp; #Artificialintelligence in creating business values in an organisation" , on 24th February 2021 06:30PM. #ai #machinelearning #measi #university</t>
  </si>
  <si>
    <t>https://pbs.twimg.com/media/Eu7Ve2ZVcAEQTtR.jpg</t>
  </si>
  <si>
    <t>Chennai, India</t>
  </si>
  <si>
    <t>Official page of MEASI Institute of Management.</t>
  </si>
  <si>
    <t>http://www.measimba.ac.in</t>
  </si>
  <si>
    <t>Patrick Hopper</t>
  </si>
  <si>
    <t>Engineers, we need your help! embedded world Exhibition&amp;Conference 2021 Survey - Enter to Win Embedded World in a Box (T-Shirt and Swag)  #ew21 #ew21digital #iot #iiot #industry40 #ai #machinelearning #ai #ui #gui Crank Software SE…</t>
  </si>
  <si>
    <t>https://lnkd.in/eqw_GU5
https://lnkd.in/eRMECf2</t>
  </si>
  <si>
    <t>Detroit, MI</t>
  </si>
  <si>
    <t>Publisher, President #Influencer OpenSystems Media. @embedded_comp @military_cots #Industry40 #iiot #ai #iot @embedded_world #ew21 #ew21digital</t>
  </si>
  <si>
    <t>http://www.opensysmedia.com</t>
  </si>
  <si>
    <t>Nature Cancer</t>
  </si>
  <si>
    <t>⚡️It is this time of the month - our February issue @NatureCancer is LIVE 🤩Check our exciting content: scRNAseq &amp; molecular #glioblastoma characterization, #metabolic dependencies, #TumorImmunology, #MachineLearning in therapy, #COVID19 &amp;amp; much more!</t>
  </si>
  <si>
    <t>https://go.nature.com/2NQgMo2</t>
  </si>
  <si>
    <t>https://pbs.twimg.com/media/Eu7SbpWXMAUUq6W.png</t>
  </si>
  <si>
    <t>New York, USA</t>
  </si>
  <si>
    <t>Nature Cancer is a journal dedicated to publishing the latest advances across all areas of cancer research.</t>
  </si>
  <si>
    <t>http://nature.com/natcancer</t>
  </si>
  <si>
    <t>NPX</t>
  </si>
  <si>
    <t>Want to know how we used machine learning to remove barriers from the maintenance planning process at a nuclear power plant? Check out how we solved that problem below and keep an eye out for more articles about what we can do at  #machinelearning</t>
  </si>
  <si>
    <t>https://www.npxinnovation.ca/thought-leadership</t>
  </si>
  <si>
    <t>https://pbs.twimg.com/media/Eu7VCIJXIAAQquI.jpg</t>
  </si>
  <si>
    <t>Innovation in Everything We Do</t>
  </si>
  <si>
    <t>http://www.npxinnovation.ca</t>
  </si>
  <si>
    <t>Michael Li 🚀Publish Reproducible Jupyter Notebook</t>
  </si>
  <si>
    <t>Responsible Machine Learning (ML) is a movement to make AI systems accountable for the results they produce.  #Data #MLOps #MachineLearning #NLP #ResponsibleML #DataLakehouses #ResponsibleMachineLearning #AI #OReilly #Language</t>
  </si>
  <si>
    <t>https://technative.io/five-things-on-our-data-and-ai-radar-for-2021/</t>
  </si>
  <si>
    <t>NYC</t>
  </si>
  <si>
    <t>🚀Dataka: #Reproducible #Jupyter project http://dataka.globalunderdog.com. 2XFounder &amp; @Google #DataScientist. @a16z @NASA @Princeton #PhD @TechCrunch @WSJ @HarvardBiz</t>
  </si>
  <si>
    <t>https://dataka.globalunderdog.com/</t>
  </si>
  <si>
    <t>TechRich</t>
  </si>
  <si>
    <t>IBM’s Hernandez Discusses Future of AIOps and Measuring ROI with InformationWeek #AIOps #AI #AIforIT #ITOps #itoperations #incidentresolution #apm #applicationperformancemonitoring #ITAutomation #ITOM #ITSM #MachineLearning #NLP #AIPlatform</t>
  </si>
  <si>
    <t>https://bit.ly/3kihgiY</t>
  </si>
  <si>
    <t>https://pbs.twimg.com/media/Eu7U_5QWgAAmPex.jpg</t>
  </si>
  <si>
    <t>IT professional who just can't get enough. Personal account. All views/opinions expressed are my own and not those of any organization I am associated with.</t>
  </si>
  <si>
    <t>Nottingham Biomedical Research Centre, Hearing</t>
  </si>
  <si>
    <t>The very first Clarity Enhancement Challenge for #HearingAids signal processing has launched! @clarityprojuk provide tools to apply your #machinelearning &amp; #speechprocessing algorithms to help with #hearingloss @RNID @NottmBRC @UoNHearSci @NUHAudiology</t>
  </si>
  <si>
    <t>http://claritychallenge.org/</t>
  </si>
  <si>
    <t>https://pbs.twimg.com/media/EtU5qjAWYAMDELN.png</t>
  </si>
  <si>
    <t>Nottingham</t>
  </si>
  <si>
    <t>Our vision is to create new knowledge to improve the quality of life for people with hearing-related problems. We are dedicated to hearing research.</t>
  </si>
  <si>
    <t>http://hearing.nihr.ac.uk/</t>
  </si>
  <si>
    <t>Cambridge Global Challenges</t>
  </si>
  <si>
    <t>▶️ PhD @UKRI_News @Microsoft iCASE – #Disability-First Dataset Creation in Low-Resource Communities #MachineLearning learning research and assistive systems drawing on co-creation with people who are #blind or low vision in resource-constrained contexts.</t>
  </si>
  <si>
    <t>http://bit.ly/2ZKDFvQ</t>
  </si>
  <si>
    <t>https://pbs.twimg.com/media/Eu7Ubi8XEAErZDj.jpg</t>
  </si>
  <si>
    <t>Cambridge Global Challenges (CGC) – The @Cambridge_Uni Strategic Research Initiative for the Sustainable Development Goals #SDGs in the Global South</t>
  </si>
  <si>
    <t>https://www.gci.cam.ac.uk</t>
  </si>
  <si>
    <t>Elitsa Krumova</t>
  </si>
  <si>
    <t>Fruit-picking #robots #deeplearning #machinelearning #ML #datascience #Analytics #BigData #artificialintelligence #AI #robot #robotics #robotic #IoT #IIoT #IoTPL #RPA #NLP #5G #Serverless #CloudComputing #programming #coding #100daysofcode #techtrends #automation #futureofwork  RT @ikingofml1: Your next piece of fruit might have been picked by a robot 🤖 #deeplearning #machinelearning #datascience #artificialintelligence #100DaysOfCode #BlackTechTwitter #Microsoft #30Daysofcode #Unity初心者 #arkit #unity3d #innovation #robot #robotics #robotic #ROBOT魂</t>
  </si>
  <si>
    <t>https://twitter.com/ikingofml1/status/1363691895877107715</t>
  </si>
  <si>
    <t>https://pbs.twimg.com/media/Eu7UkX4XMAEwkZm.png
pic.twitter.com/srHHlEob56</t>
  </si>
  <si>
    <t>Southampton, UK</t>
  </si>
  <si>
    <t>|DigitalUnicorn 🦄 Nomad| #WomeninTech|#IoT|#IIoT #Influencer @Onalytica|#Tech #AI #ML #RPA #robotics|#Digital #SocialMedia #Marketing #PR|#CyberSecurity|#IoTPL</t>
  </si>
  <si>
    <t>Philippe Boland</t>
  </si>
  <si>
    <t>The latest El Periódico de Philippe Boland !  #machinelearning #artificialintelligence</t>
  </si>
  <si>
    <t>https://paper.li/enREDo?edition_id=1e1cf4a0-75fa-11eb-ae29-002590a5ba2d</t>
  </si>
  <si>
    <t>Colombia</t>
  </si>
  <si>
    <t>🇫🇷Alfabetización informacional, científica y tecnológica -Futures Literacy - Speaker - Co founder Token Partner #ico #Blockchain #Cryptocurrency #Tokenization</t>
  </si>
  <si>
    <t>http://www.enredo.org</t>
  </si>
  <si>
    <t>Hervé</t>
  </si>
  <si>
    <t>Using AI to Bridge the Language Gap #DEVCommunity #Machinelearning #IoT #100DaysOfMLCode #Python #flutter #javascript #web #womenwhocode #cybersecurity #RStats #CodeNewbie #DL #DataScience #NLP #womenintech via @Paula_Piccard</t>
  </si>
  <si>
    <t>https://lnkd.in/giiuT4b</t>
  </si>
  <si>
    <t>Issy les Moulineaux</t>
  </si>
  <si>
    <t>As Business Solutions Manager, my job is to reinforce customer journey.</t>
  </si>
  <si>
    <t>https://fr.linkedin.com/in/hervemicollet</t>
  </si>
  <si>
    <t>Saqib Ali</t>
  </si>
  <si>
    <t>Department of #ComputerScience | Homewood : Algorithms , Systems , and #MachineLearning in Finance - Department of #ComputerScience  H/T: @JHUCompSci</t>
  </si>
  <si>
    <t>https://www.cs.jhu.edu/events/homewood-algorithms-systems-and-machine-learning-in-finance/?instance_id=1876498#.YDUNFuhKhPZ</t>
  </si>
  <si>
    <t>San Jose, CA</t>
  </si>
  <si>
    <t>Applied Statistics @penn_state: https://sites.psu.edu/saqib/</t>
  </si>
  <si>
    <t>https://openstatistics.org/</t>
  </si>
  <si>
    <t>Google’s Voice Artificial Intelligence accelerator launches 12 startups  #ai #artificialintelligence #machinelearning #deeplearning #google #startups</t>
  </si>
  <si>
    <t>https://bit.ly/3dDq5CG</t>
  </si>
  <si>
    <t>https://pbs.twimg.com/media/Eu7UX1kWgAIN5Ne.jpg</t>
  </si>
  <si>
    <t>https://bit.ly/3aJilgr</t>
  </si>
  <si>
    <t>https://pbs.twimg.com/media/Eu7UUf2WgAgVkrg.jpg</t>
  </si>
  <si>
    <t>Machine Learning 4 U Inc.</t>
  </si>
  <si>
    <t>4 more days until #launch! #computerscience #machinelearning #stemeducation #stemforkids #stem</t>
  </si>
  <si>
    <t>https://pbs.twimg.com/media/Eu7UPaWVIAIKyU_.jpg</t>
  </si>
  <si>
    <t>We believe every student is entitled and able to learn the basics of artificial intelligence and machine learning. Join us as we democratize M.L.!</t>
  </si>
  <si>
    <t>Boulder Valley CPAs</t>
  </si>
  <si>
    <t>Tune in for our webinar, to understand where AI &amp; CPAs meet. Use what you learn to leverage your CPA relationship to the fullest. Hosted by @BVCPAs_Tax CEO @ErnieVillanyCPA &amp;amp; Co-Host Mike Black. Register using the link in our bio. #AI #MachineLearning #Accounting #CPA #BVCPAs</t>
  </si>
  <si>
    <t>https://pbs.twimg.com/media/Eu7QxZSUYAg5WFD.jpg</t>
  </si>
  <si>
    <t xml:space="preserve">Louisville, Colorado </t>
  </si>
  <si>
    <t>We are a full-service CPA firm licensed in Colorado. With us, accounting isn't transactional, it's personal.</t>
  </si>
  <si>
    <t>https://linktr.ee/BVCPA</t>
  </si>
  <si>
    <t>NataliaTrayanova</t>
  </si>
  <si>
    <t>How can our field benefit from #AI and #MachineLearning? Check it out! #EPpeeps @trayanovalab @HopkinsEngineer @JHU_ADVANCE @deniswirtz RT @CircRes: @CircRes Review Alert! #MachineLearning in #Arrhythmia and #Electrophysiology  @juliekshade @NTrayanova</t>
  </si>
  <si>
    <t>https://twitter.com/circres/status/1364259414211895299
http://ow.ly/fNou30rxyAp</t>
  </si>
  <si>
    <t>https://pbs.twimg.com/media/Eu7StShXIAE_2yk.png</t>
  </si>
  <si>
    <t>Baltimore, MD</t>
  </si>
  <si>
    <t>Professor of Biomedical Engineering and Medicine, Johns Hopkins University, Co-Director, Alliance for Cardiovascular Diagnostic and Treatment Innovation</t>
  </si>
  <si>
    <t>http://pages.jh.edu/~trayanova/website/about.html</t>
  </si>
  <si>
    <t>Towards AI</t>
  </si>
  <si>
    <t>The Best of Tech, Science, and Engineering. → http://members.towardsai.net Contribute → http://contribute.towardsai.net</t>
  </si>
  <si>
    <t>https://pub.towardsai.net/</t>
  </si>
  <si>
    <t>Compunetics</t>
  </si>
  <si>
    <t>See how Compunetics can be easily used to obtain reaction understanding from kinetic parameters available from the chemical literature, to verify our chemical intuitions on what is and isn't possible. #processdevelopment #kinetics #machinelearning</t>
  </si>
  <si>
    <t>https://compunetics.net/blog/2020-12-07-Reaction-Simulation-for-Side-Product-Prediction-II/</t>
  </si>
  <si>
    <t>A fast, intuitive kinetic analysis tool that breaks down the barriers to kinetic modelling and parameter determination. http://www.compunetics.net</t>
  </si>
  <si>
    <t>http://www.compunetics.net</t>
  </si>
  <si>
    <t>Calsoft Inc</t>
  </si>
  <si>
    <t>10 Ways #AI &amp; #MachineLearning Are Improving #Marketing In 2021 by @LouisColumbus in @forbes:  #ArtificialIntelligence #martech #CMO #MachineLearning @tlloydjones @gerald_bader @KirkDBorne @wfcrittenden2 @ravidugh @Nicochan33 @NancyTr83158469 @RagusoSergio</t>
  </si>
  <si>
    <t>https://bit.ly/3aJx62M</t>
  </si>
  <si>
    <t>https://pbs.twimg.com/media/Eu7T6p_WYAMPgtr.jpg</t>
  </si>
  <si>
    <t>Looking to launch new products or roll out updates? Calsoft’s product engineering services help you create extraordinary experiences for your customers!</t>
  </si>
  <si>
    <t>Alexia-Ileana Zaromytidou</t>
  </si>
  <si>
    <t>💫 The February issue of @NatureCancer is out! This month is about #glioblastoma heterogeneity &amp; classification, but also #CancerEpigenetics, #CancerMetabolism, #TumorImmunology and #MachineLearning for #DrugResponse. Check it out👇🏻</t>
  </si>
  <si>
    <t>https://www.nature.com/natcancer/volumes/2/issues/2</t>
  </si>
  <si>
    <t>pic.twitter.com/9TMl2D7IpJ</t>
  </si>
  <si>
    <t>Chief Editor of @NatureCancer. Former Chief Editor of Nature Cell Biology. Follow or RT is not endorsement. She/Her/Hers. All views my own.</t>
  </si>
  <si>
    <t>http://www.nature.com/natcancer</t>
  </si>
  <si>
    <t>100+ Machine Learning Algorithms in One Pic  #MachineLearning</t>
  </si>
  <si>
    <t>https://www.theinsaneapp.com/2021/02/types-of-machine-learning-algorithms.html</t>
  </si>
  <si>
    <t>ThatNeedle - Real time NLP Engine for the edge</t>
  </si>
  <si>
    <t>You should also be wary of projects that require exotic equipment - Brian Kernighan #NLProc #DigitalTransformation #BigData #MachineLearning #AI #DataScience #StreamAnalytics #EdgeComputing #NLP #ml #DataAnalytics #HPC #inference #RealTime #medtech #cNLP #HealthIT</t>
  </si>
  <si>
    <t>Accurate realtime NLP on edge, semantic search, topic extraction, semantic classification, site search, natural language processing, NLP consulting</t>
  </si>
  <si>
    <t>http://www.thatneedle.com</t>
  </si>
  <si>
    <t>ばんくし🎃</t>
  </si>
  <si>
    <t>» vaaaaanquish/Awasome-Rust-MachineLearning: Awasome Rust Machine Learning crate  この前のブログのやつを変換して作った</t>
  </si>
  <si>
    <t>https://github.com/vaaaaanquish/Awasome-Rust-MachineLearning</t>
  </si>
  <si>
    <t>未来</t>
  </si>
  <si>
    <t>人と医療と機械学習とその他なんでもやる</t>
  </si>
  <si>
    <t>https://vaaaaanquish.jp</t>
  </si>
  <si>
    <t>Willam Ramarques</t>
  </si>
  <si>
    <t>10 Statistical Concepts You Should Know For Data Science Interviews  #DataScience #MachineLearning #ML</t>
  </si>
  <si>
    <t>https://bit.ly/37FWFjq</t>
  </si>
  <si>
    <t>https://pbs.twimg.com/media/Eu7TYssXUAUoD9j.png</t>
  </si>
  <si>
    <t>boulogne billancourt, France</t>
  </si>
  <si>
    <t>#CTO @Editialis passionné par : #SEO, #WebAnalytics, #ML, #R, #Pyhton, #DataScience, dév. Web, architecture de l'information.</t>
  </si>
  <si>
    <t>https://www.linkedin.com/pub/william-ramarques/25/175/1a0</t>
  </si>
  <si>
    <t>How Capital One Moved Its Data Analytics to the Cloud - SPONSOR CONTENT FROM SNOWFLAKE  #DataScience #MachineLearning #ML</t>
  </si>
  <si>
    <t>https://bit.ly/37FWEvS</t>
  </si>
  <si>
    <t>Petuum</t>
  </si>
  <si>
    <t>We're excited to announce that CASL AdaptDL is now available to provide cost-effective Hyper-parameter Tuning with @Microsoft NNI 2.0. Improve your models with adaptive resource management.  #OpenSource #BigData #MachineLearning #DataScience #DeepLearning</t>
  </si>
  <si>
    <t>https://hubs.ly/H0H4zKS0</t>
  </si>
  <si>
    <t>Pittsburgh, PA</t>
  </si>
  <si>
    <t>Petuum, Inc. is a startup building a revolutionary artificial intelligence (AI) and machine learning (ML) solution development platform.</t>
  </si>
  <si>
    <t>http://www.petuum.com</t>
  </si>
  <si>
    <t>Eugenio Zuccarelli</t>
  </si>
  <si>
    <t>Always expect a real-life dataset to contain null values and be generally messy. It's part of being a #DataScientist. #ArtificialIntelligence #DataScience #MachineLearning</t>
  </si>
  <si>
    <t>Data Scientist for Fortune 💯. Fulbright Scholar. @MIT, @Harvard, @ImperialCollege. ☕ Addict.</t>
  </si>
  <si>
    <t>https://eugeniozuccarelli.com</t>
  </si>
  <si>
    <t>Trade Alerts, Trade Ideas and Crypto 🇺🇸</t>
  </si>
  <si>
    <t>#AutomatedTrading #AlgoTrading #MachineLearning $AAPL $FB $MSFT $CSCO $GME $UWMC $RLX $PYPL $BGI $CAN $CCL $CTXR $UAMY $CAN $FCX $FRX $VTGN $TIGR $SNAP $GSAH $XNET #stocks #DayTrading #SwingTrading 🙋 15% off Monthly/Yearly with Coupon Code: MYDISCOUNT15</t>
  </si>
  <si>
    <t>https://buff.ly/2CNPlW9</t>
  </si>
  <si>
    <t>https://pbs.twimg.com/media/Eu7TO39XYAABjLM.png</t>
  </si>
  <si>
    <t>🔊 Day trade alerts, swing trade alerts, trade-ideas and crypto (All alerts are delayed). 🤖 BrokeragePlus automated trading ⟶ via http://TradeIdeas.us</t>
  </si>
  <si>
    <t>http://AlertTrade.us</t>
  </si>
  <si>
    <t>Pedro M. Díez</t>
  </si>
  <si>
    <t>De @educabily 🇪🇸🗣️ No os perdáis esta sesión en inglés sobre @SSuccess_data el próximo 4 de marzo a las 12:00 (CET -1) 🗣️ 🇬🇧🗣️You can't miss this session about @SSuccess_data on March 4 at 12 pm (CET -1)🗣️ #bigdata #ml #MachineLearning #edtech #EdTechM… RT @virtualeduca: ¡No te pierdas la sesión "Student Success: Big Data y Machine Learning" que impartirán Jose Antonio Lagares y Antonio Zarauz de @Educabily! ¡Inscríbete al congreso para aprender con los grandes expertos de la educación!  #CongresoVE #VirtualEduca</t>
  </si>
  <si>
    <t>https://twitter.com/virtualeduca/status/1364223662581194752
https://virtualeduca.org/congresoglobal/inscripciones</t>
  </si>
  <si>
    <t>https://pbs.twimg.com/media/Eu6qRemWQAgH_kX.jpg</t>
  </si>
  <si>
    <t>España</t>
  </si>
  <si>
    <t>Padre de 5 maravillosos hijos, empresario, amante de la tecnología en la educación</t>
  </si>
  <si>
    <t>http://ieducando.com</t>
  </si>
  <si>
    <t>Henon</t>
  </si>
  <si>
    <t>Place your order now! #tech #artificialintelligence #ai #machinelearning #datascience #deeplearning #python #programming #robotics</t>
  </si>
  <si>
    <t>http://henon.io</t>
  </si>
  <si>
    <t>pic.twitter.com/Kf4eXnVcT3</t>
  </si>
  <si>
    <t>Algo trading bots</t>
  </si>
  <si>
    <t>JourneyHero Tech</t>
  </si>
  <si>
    <t>Understanding Robotic Process Automation ⬇️ #MachineLearning #ArtificialIntelligence #DeepLearning #javascript #serverless #WomenInTech #100DaysOfCode #python #Linux #Flutter #TensorFlow #PyTorch #DigitalTransformation #IoT #AR #VR #XR #MR #FutureOfWork  RT @ingliguori: Understanding Robotic Process Automation &gt;&amp;gt;  via @ingliguori #Python #datascience #DataAnalytics #DeepLearning #AI #Technology #Data #NeuralNetworks #DEVCommunity #100DaysOfCode #100DaysOfMLCode #RPA @antgrasso @Lago72 @FrRonconi @Ronald_vanLoon @vg_fco</t>
  </si>
  <si>
    <t>http://buff.ly/36ySntB
https://twitter.com/ingliguori/status/1364203365559902209
https://buff.ly/36ySntB</t>
  </si>
  <si>
    <t>https://pbs.twimg.com/media/Eu6fuznXEAg9nVJ.jpg</t>
  </si>
  <si>
    <t>JourneyHero TECH .... the tech behind the Hero</t>
  </si>
  <si>
    <t>https://www.journeyhero.net/technology/</t>
  </si>
  <si>
    <t>SyntaxError</t>
  </si>
  <si>
    <t>Saltmine raises $20 million to automate office space design  #artificialintelligence #machinelearning #Entrepreneur</t>
  </si>
  <si>
    <t>Data Scientist by day, geek tech gamer junky by night; welcome to my augmented stream of consciousness 😁</t>
  </si>
  <si>
    <t>https://gamer-geek-news.com</t>
  </si>
  <si>
    <t>MARKTECHPOST.COM</t>
  </si>
  <si>
    <t>SUSTAINABLE FEDERATED LEARNING Paper:  #artificialintelligence #machinelearning</t>
  </si>
  <si>
    <t>https://arxiv.org/pdf/2102.11274.pdf</t>
  </si>
  <si>
    <t>https://pbs.twimg.com/media/Eu7Sp2LXMAAb_pQ.jpg</t>
  </si>
  <si>
    <t>http://Marktechpost.com is a California-based Artificial Intelligence platform for the latest updates in machine learning, deep learning, and data science research.</t>
  </si>
  <si>
    <t>Yves Mulkers</t>
  </si>
  <si>
    <t>10 #bigdata blunders businesses should avoid Embrace #machinelearning and the #cloud, don’t rely on #data warehouses and legacy tech to solve you ..  #7wData</t>
  </si>
  <si>
    <t>https://bit.ly/3aLVKzZ
http://www.7wdata.be/x/aHR0cHM6Ly93d3cuN3dkYXRhLmJlL2J1c2luZXNzLW1vZGVsaW5nLzEwLWJpZy1kYXRhLWJsdW5kZXJzLWJ1c2luZXNzZXMtc2hvdWxkLWF2b2lkLw==/aHR0cHM6Ly85OTE4MS0yODIwNDQtcmFpa2ZjcXVheHFuY29mcWZtLnN0YWNrcGF0aGRucy5jb20vd3AtY29udGVudC91cGxvYWRzLzIwMjAvMDcvYmlnLWRhdGFfMS5wbmc=/ICAgMTAgYmlnIGRhdGEgYmx1bmRlcnMgYnVzaW5lc3NlcyBzaG91bGQgYXZvaWQgICA=/RW1icmFjZSBtYWNoaW5lIGxlYXJuaW5nIGFuZCB0aGUgY2xvdWQsIGRvbuKAmXQgcmVseSBvbiBkYXRhIHdhcmVob3VzZXMgYW5kIGxlZ2FjeSB0ZWNoIHRvIHNvbHZlIHlvdXIgcHJvYmxlbXMsIGFuZCBvdGhlciBhZHZpY2UgZnJvbSBhIGRhdGEgYW5hbHl0aWNzIGV4cGVydC4KCkJpZyBkYXRhIGlzIGEgcHJvbWlzaW5nIGlu</t>
  </si>
  <si>
    <t>Belgium</t>
  </si>
  <si>
    <t>#Data strategist. Define &amp; Design #Data #Strategy for Impact. Love Music and DJ-ing, Founder @7wData</t>
  </si>
  <si>
    <t>http://7wd.at/yvesmulkers</t>
  </si>
  <si>
    <t>Data science</t>
  </si>
  <si>
    <t>A list of the tools you will need for machine learning in Python.  #MachineLearning</t>
  </si>
  <si>
    <t>https://prathamprasoon.codes/a-list-of-the-tools-you-will-need-for-machine-learning-in-python</t>
  </si>
  <si>
    <t>All about #DataScience #MachineLearning #DeepLearning #AI #DataMining #Bigdata #Analytics</t>
  </si>
  <si>
    <t>https://techflx.com/product-category/books/</t>
  </si>
  <si>
    <t>James Gingerich, @Expeflow #WorkEasier #RPA</t>
  </si>
  <si>
    <t>Automated #MachineLearning (AutoML) Is Hot In #AI, But Getting A Cooler Reception For Self-Driving Cars. (Forbes) #AV #AutoIndustry</t>
  </si>
  <si>
    <t>https://buff.ly/3dFCvcY</t>
  </si>
  <si>
    <t>https://pbs.twimg.com/media/Eu7ScxlWgAUGfzg.jpg</t>
  </si>
  <si>
    <t>Waterloo, Ontario Canada</t>
  </si>
  <si>
    <t>#ChangeAgent following #DigitalTransformation, #InsurTech. @Expeflow helping IMEs and Insurance firms automate their #Claims workflow to become more productive.</t>
  </si>
  <si>
    <t>http://www.linkedin.com/in/jamesg2006</t>
  </si>
  <si>
    <t>Zetane Systems</t>
  </si>
  <si>
    <t>Big news today: Zetane patents new means to distil complex systems in #AI into sets of basic rules in the form of transforms embedded within computer processing units. #machineLearning #datascience #pressrelease #patent</t>
  </si>
  <si>
    <t>https://hubs.la/H0H4dBf0</t>
  </si>
  <si>
    <t>https://pbs.twimg.com/media/Eu7STevWYAktiWB.jpg</t>
  </si>
  <si>
    <t>Montréal, Québec</t>
  </si>
  <si>
    <t>Accelerate your #MachineLearning projects using an intuitive visual platform. Work with #NeuralNetworks &amp; #BigData sets with ease. Promoting #xAI &amp; #AIinBusines</t>
  </si>
  <si>
    <t>http://zetane.com</t>
  </si>
  <si>
    <t>HR Consulting</t>
  </si>
  <si>
    <t>Je stärker die #Rechenkraft 🖥️, desto höher der #Energieverbrauch ⚡. Daher nutzt Huawei Machine und Deep Learning, um das Wärmemanagement 🔥 und den Energieverbrauch zu optimieren. #hrconsultingalexanderwozak #deeplearning #machinelearning</t>
  </si>
  <si>
    <t>https://pbs.twimg.com/media/Eu7SPwTWgAcSeDk.jpg</t>
  </si>
  <si>
    <t>Vienna, Austria</t>
  </si>
  <si>
    <t>Personalberatung, Direct &amp; Executive Search, Inserate, IT, Technik, Telko, Führungskräfte, Karrierechoaching, Personalentwicklung, Outplacenemt, Inplacement</t>
  </si>
  <si>
    <t>http://www.hrconsulting.at</t>
  </si>
  <si>
    <t>Automated Machine Learning (AutoML) Is Hot In AI, But Getting A Cooler Reception For Self-Driving Cars  #MachineLearning #DeepLearning</t>
  </si>
  <si>
    <t>http://dlvr.it/RtKQgN</t>
  </si>
  <si>
    <t>https://pbs.twimg.com/media/Eu7SM50UUAQS4vM.jpg</t>
  </si>
  <si>
    <t>Intelligence Node</t>
  </si>
  <si>
    <t>Want to build upon your pricing success just as the likes of Walmart and Best Buy? Check out our recent blog post and learn how retailers can leverage #machinelearning to engage in competitive pricing against the backdrop of market turmoil and other risks</t>
  </si>
  <si>
    <t>https://bit.ly/2ZERFXX</t>
  </si>
  <si>
    <t>Mumbai, New York, London</t>
  </si>
  <si>
    <t>Intelligence Node is real-time #retailpriceintelligence platform that empowers businesses to grow profitability using AI &amp; ML data-driven competitive insights.</t>
  </si>
  <si>
    <t>https://www.intelligencenode.com</t>
  </si>
  <si>
    <t>Paula Piccard 🇵🇷 🇺🇸</t>
  </si>
  <si>
    <t>Using AI to Bridge the Language Gap #DEVCommunity #Machinelearning #IoT #100DaysOfMLCode #Python #flutter #javascript #web #womenwhocode #cybersecurity #RStats #CodeNewbie #DL #DataScience #NLP #womenintech</t>
  </si>
  <si>
    <t>https://bit.ly/3ufFpLD</t>
  </si>
  <si>
    <t>https://pbs.twimg.com/media/Eu7SLvHXMAE6r3V.png</t>
  </si>
  <si>
    <t>New York</t>
  </si>
  <si>
    <t>NewYork-er #WomenInTech #DigitalTransformation #ArtificialIntelligence #Startups #Cybersecurity @Onalytica #Influencer #B2B #Marketing #IIoT #Infosec</t>
  </si>
  <si>
    <t>https://www.linkedin.com/in/paulapiccard/</t>
  </si>
  <si>
    <t>Programmer Weekly</t>
  </si>
  <si>
    <t>Patterns, Predictions, and Actions - A story about machine learning.  #MachineLearning</t>
  </si>
  <si>
    <t>https://buff.ly/2ZJ5Gnb</t>
  </si>
  <si>
    <t>Programmer Weekly is free weekly newsletter featuring the best hand curated news, articles, tutorials, talks, tools and libraries etc for programmers.</t>
  </si>
  <si>
    <t>https://www.programmerweekly.com/</t>
  </si>
  <si>
    <t>How #ArtificialIntelligence can enhance human creativity and its future role in #art and design  #MachineLearning #innovation #AI #CloudComputing #startups @JolaBurnett @AshokNellikar @Droit_IA @sebbourguignon @Nicochan33 @AkwyZ @dionlisle @DTLabUCC</t>
  </si>
  <si>
    <t>https://buff.ly/3aCBCAd</t>
  </si>
  <si>
    <t>https://pbs.twimg.com/media/Eu7SJKEXEAYWvAs.jpg</t>
  </si>
  <si>
    <t>Weather and climate predictions with #MachineLearning  #AI #DataScience Cc @andi_staub @chboursin @jblefevre60 @Xbond49 @KirkDBorne @Ronald_vanLoon @pierrepinna @schmarzo</t>
  </si>
  <si>
    <t>https://youtu.be/5LTvyzvPQRM</t>
  </si>
  <si>
    <t>https://pbs.twimg.com/media/Eu7SGcfXIAIdyYL.jpg</t>
  </si>
  <si>
    <t>AI Dog of the Day</t>
  </si>
  <si>
    <t>AI Generated Dog number 75 #ai #machinelearning</t>
  </si>
  <si>
    <t>https://pbs.twimg.com/media/Eu7SGgkXEAIxYiP.png</t>
  </si>
  <si>
    <t>A brand new AI nightmare dog every day! I am a bot.</t>
  </si>
  <si>
    <t>Anne Marie Pordon</t>
  </si>
  <si>
    <t>Electronic trading surges with traders eyeing the impact of machine learning. #Machinelearning #100DaysOfCode #IoT #Bigdata #100DaysOfMLCode #Python #cybersecurity #CodeNewbie #DataScience #DEVCommunity #AI</t>
  </si>
  <si>
    <t>https://lnkd.in/gr3Vk9u</t>
  </si>
  <si>
    <t>The Netherlands</t>
  </si>
  <si>
    <t>#Elsevier #Pharma Publisher. American from Michigan, immigrant to Netherlands. #Trekkie 🖖#SciFibooks enthusiast. #Beer 🍺 &amp; #heavymetal 🤘lover. Opinions mine.</t>
  </si>
  <si>
    <t>NVIDIA AI</t>
  </si>
  <si>
    <t>Anyone who has ever worked with #MachineLearning in an industrial setting knows that deploying models in production is one of the biggest pain points. This great survey presents valuable insight into how to overcome and deal with some of the pitfalls:</t>
  </si>
  <si>
    <t>https://nvda.ws/3pAu8Sk</t>
  </si>
  <si>
    <t>https://pbs.twimg.com/media/Eu7SFPHXIAIljlK.jpg</t>
  </si>
  <si>
    <t>Solving the unsolvable with deep learning #IAMAI Join us at #GTC21, April 12-16: http://nvidia.com/gtc</t>
  </si>
  <si>
    <t>http://nvda.ws/2LgJ1Ga</t>
  </si>
  <si>
    <t>Jerry</t>
  </si>
  <si>
    <t>Blueprint: The Science of Success  #DataScience #MachineLearning #NLP #Analytics #AI #100DaysOfCode #DEVCommunity #DevOps #IoT #Serverless #5G #DataScience #QuBit #Coding #Programming #BigData #R #Bicep #Python #Java #internetofthings #goals #Essonne</t>
  </si>
  <si>
    <t>http://successanalytix.blogspot.com</t>
  </si>
  <si>
    <t>South Africa</t>
  </si>
  <si>
    <t>Blueprint: The Science of Success http://successanalytix.blogspot.com/</t>
  </si>
  <si>
    <t>http://successanalytix.blogspot.com/</t>
  </si>
  <si>
    <t>Natalia Estrada</t>
  </si>
  <si>
    <t>Ponga la alarma para mañana a las 9AM GMT-6 (CST) ya que tiene una cita con #AWSInnovate. ¡Descubra las novedades de #AI y #MachineLearning en nuestras sesiones exclusivas para Latinoamerica! Inscripciones abiertas</t>
  </si>
  <si>
    <t>https://go.aws/2KChqEb</t>
  </si>
  <si>
    <t>https://pbs.twimg.com/media/Eu7RyIRWQAMyRy5.jpg</t>
  </si>
  <si>
    <t>Bogotá, D.C., Colombia</t>
  </si>
  <si>
    <t>ENTREPRENEURIAL ECOSYSTEM 🚀 🌎</t>
  </si>
  <si>
    <t>How Midsize Companies Can Use Data to Compete with Digital Giants @HarvardBiz  #business #economy #leadership #management #technology #tech #SocialMedia #ArtificialIntelligence #MachineLearning #BigData #DataScience #entrepreneur #startups #investors</t>
  </si>
  <si>
    <t>https://hbr.org/2021/02/how-midsize-companies-can-use-data-to-compete-with-digital-giants?utm_medium=email&amp;utm_source=newsletter_daily&amp;utm_campaign=dailyalert_notactsubs&amp;deliveryName=DM120222</t>
  </si>
  <si>
    <t>Southern California, USA 🏖️😎</t>
  </si>
  <si>
    <t>Our MISSION is "Entrepreneurs helping Other Entrepreneurs Succeed." Global community of Entrepreneurs, Capitalists, Thinkers, Disruptors, Innovators, &amp; Misfits.</t>
  </si>
  <si>
    <t>https://www.freeag8.com/</t>
  </si>
  <si>
    <t>web Traffic</t>
  </si>
  <si>
    <t>&gt;&amp;gt;&amp;gt;&amp;gt;My this gig is for bring real USA Web traffic &lt;&amp;lt;&amp;lt;&amp;lt; **Great Gig!!! /100% category targeted** #Canada #jisoo #chenle #MachineLearning Order Here:-</t>
  </si>
  <si>
    <t>https://www.fiverr.com/share/AYW5vR</t>
  </si>
  <si>
    <t>pic.twitter.com/0OGj6WmTYY</t>
  </si>
  <si>
    <t>United State</t>
  </si>
  <si>
    <t>Hi. I'm a trusted seller. I'm a professional Web Traffic and Digital Marketing expert. If you buy this gig, you can reach your goal 100% guaranteed.</t>
  </si>
  <si>
    <t>https://www.fiverr.com/ripon_dev?up_rollout=true</t>
  </si>
  <si>
    <t>Rahul Agarwal</t>
  </si>
  <si>
    <t>Data science requires a range of sophisticated technical skills—but don’t let that expertise get in the way of critical thinking.  #Python #Machinelearning #Datascience #Statistics</t>
  </si>
  <si>
    <t>https://bit.ly/3kE5ejt</t>
  </si>
  <si>
    <t>https://pbs.twimg.com/media/Eu7RsLTXcAY6Ddi.jpg</t>
  </si>
  <si>
    <t>MLE @ FB | Ex-Walmart DS | MLWhiz Ⓜ️ | Content Creator ✍️ | Helping Data Scientists understand new developments in NLP, Deep Learning, Data Science</t>
  </si>
  <si>
    <t>http://mlwhiz.com</t>
  </si>
  <si>
    <t>Jas Sood</t>
  </si>
  <si>
    <t>Artificial Intelligence: Impacting work in a big way #HPEOEM #AI #MachineLearning</t>
  </si>
  <si>
    <t>https://dy.si/B9zn</t>
  </si>
  <si>
    <t>https://pbs.twimg.com/media/Eu7RnxKVoAIfhYW.png</t>
  </si>
  <si>
    <t>Underfox</t>
  </si>
  <si>
    <t>In this paper is presented BPLight-CNN, a fully analog and scalable silicon #photonics-based backpropagation accelerator in conjunction with a configurable memristor-integrated photonic CNN accelerator design. #MachineLearning</t>
  </si>
  <si>
    <t>https://arxiv.org/ftp/arxiv/papers/2102/2102.10140.pdf</t>
  </si>
  <si>
    <t>https://pbs.twimg.com/media/Eu7RIQcXAAMKQRa.jpg</t>
  </si>
  <si>
    <t>Physicist, Telecom Engineering lover, HPC Enthusiast. Prog Rock/Metal fan.</t>
  </si>
  <si>
    <t>Met Office Science</t>
  </si>
  <si>
    <t>The Strategic Priorities Fund for the #ExCALIBUR programme is inviting bids for 5⃣ research funding opportunities covering #MachineLearning #BigData and more. ⏳Deadline 12 noon on 8 March 2021 Find out more👉</t>
  </si>
  <si>
    <t>http://bit.ly/3oHZtTG</t>
  </si>
  <si>
    <t>https://pbs.twimg.com/media/Eu7D69iWgAcUlln.png</t>
  </si>
  <si>
    <t>Exeter</t>
  </si>
  <si>
    <t>Official Met Office Science - sharing insights into our weather &amp; climate science, technology and STEM. Contact for customer services: @metoffice</t>
  </si>
  <si>
    <t>http://www.metoffice.gov.uk/research</t>
  </si>
  <si>
    <t>Erica P. Harris</t>
  </si>
  <si>
    <t>Do we need a hammer whenever we see a nail? #MachineLearning #Risk #AI #GARPriskcon RT @GARP_Risk: Head back to the Main Stage at 11:15am EST for our Optimizing #AI and #MachineLearning in #Risk Frameworks panel! #GARPriskcon</t>
  </si>
  <si>
    <t>https://twitter.com/GARP_Risk/status/1364243835916865545</t>
  </si>
  <si>
    <t>https://pbs.twimg.com/media/Eu7EiZPWgAQVerX.jpg</t>
  </si>
  <si>
    <t>Jamaica, Planet Earth</t>
  </si>
  <si>
    <t>ICT professional | blogger | coach | mentor | volunteer | container gardener | amateur DIYer | future polyglot | reader @GovLoop featured contributor.</t>
  </si>
  <si>
    <t>https://www.govloop.com/author/eriphar/</t>
  </si>
  <si>
    <t>Wiebke Arlt 💙 Birmingham #wearamask</t>
  </si>
  <si>
    <t>Final PhD supervision zoom of @The_MRC clinical research training fellow @LizBaranowski prior to return to clinical training - advanced write-up stage, looking forward to the final product! #steroids #machinelearning #diagnostictests</t>
  </si>
  <si>
    <t>https://pbs.twimg.com/media/Eu7QOyYWgAEjBtk.jpg</t>
  </si>
  <si>
    <t>Birmingham, England</t>
  </si>
  <si>
    <t>Steroid biologist, hormone doctor, open minded - @IMSR_UoB Director @MDSEquality Lead @qehbham @uhbtrust Endocrinologist @DaisyPcos CI @EJEndo Editor-in-Chief</t>
  </si>
  <si>
    <t>http://www.birmingham.ac.uk/wiebke-arlt</t>
  </si>
  <si>
    <t>Data Monsters</t>
  </si>
  <si>
    <t>How to save $340 on a single ML experiment using RAPIDS?  #AI #product #MachineLearning</t>
  </si>
  <si>
    <t>https://medium.com/product-ai/how-to-save-340-on-a-single-ml-experiment-using-rapids-2f7273979f1a</t>
  </si>
  <si>
    <t>Magic Land of Data Science and Engineering</t>
  </si>
  <si>
    <t>http://www.datamonsters.com</t>
  </si>
  <si>
    <t>Temerty Centre for AI in Medicine</t>
  </si>
  <si>
    <t>NEXT TUESDAY! • Join MIT principal research scientist Dr. Leo Celi, as he discusses how #AI researchers and clinicians can ensure that #machinelearning in #healthcare works for all. • #data #medtwitter AI</t>
  </si>
  <si>
    <t>https://lnkd.in/gWCY6hx</t>
  </si>
  <si>
    <t>https://pbs.twimg.com/media/Eu7Q9UBXAAgbd3v.png</t>
  </si>
  <si>
    <t>Toronto, Canada 🇨🇦</t>
  </si>
  <si>
    <t>Based within the University of Toronto's Temerty Faculty of Medicine (@uoftmedicine), we work towards transforming healthcare through AI.</t>
  </si>
  <si>
    <t>https://tcairem.utoronto.ca</t>
  </si>
  <si>
    <t>Programming beast</t>
  </si>
  <si>
    <t>“Software is a great combination between artistry and engineering.” 😍 — Bill Gates . . #DEVCommunity #Machinelearning #100DaysOfCode #100DaysOfMLCode #Python #javascript #womenwhocode #cybersecurity #RStats #CodeNewbie #DataScience</t>
  </si>
  <si>
    <t>A programming enthusiast. I have learned programming by myself. I believe that if I can do this, then anyone else can become a programmer too.</t>
  </si>
  <si>
    <t>https://www.programming-hero.com/</t>
  </si>
  <si>
    <t>😅 Good software, like wine, takes time. Learn building software for free initially from this unique app -  . . #DEVCommunity #Machinelearning #100DaysOfCode #100DaysOfMLCode #Python #javascript #womenwhocode #cybersecurity #RStats #CodeNewbie #DataScience</t>
  </si>
  <si>
    <t>https://cutt.ly/QgAUsF0</t>
  </si>
  <si>
    <t>t-Altis</t>
  </si>
  <si>
    <t>How safe is your social media communications. What do you think about #WhatsApp #Zoom and #Telegram Are you sure about your #privacy ??? "Everything was basically broken. #ArtificialIntelligence #100DaysOfCode #programming #blockchain #CloudComputing #MachineLearning #IoT RT @altis_t: Dream Postt: What end-to-end encryption is, and why you need it  #ArtificialIntelligence #100DaysOfCode #programming #blockchain #CloudComputing #MachineLearning #IoT #DeepLearning #Python #BigData #Serverless #ML #Linux #AI #JavaScript #DataScience</t>
  </si>
  <si>
    <t>https://twitter.com/altis_t/status/1364255010175864832
https://dreampostt.blogspot.com/2020/09/what-end-to-end-encryption-is-and-why.html?spref=twKids</t>
  </si>
  <si>
    <t>https://pbs.twimg.com/media/Eu7OszKVIAMkoMe.jpg</t>
  </si>
  <si>
    <t>Topics Borrowed !| #cybersecurity | #technology</t>
  </si>
  <si>
    <t>https://dreampostt.blogspot.com</t>
  </si>
  <si>
    <t>Enrique Carrillo</t>
  </si>
  <si>
    <t>Fantastic job @ml4microbiome @COSTprogramme with #compubio @ImdeaAlimenta participation and @13laurichi leading a review in #microbiome &amp; #MachineLearning with great col. @JaakTruu @ClaessonLab @Imindias and many others. Check and Enjoy  @IMDEAInstitutes</t>
  </si>
  <si>
    <t>https://www.frontiersin.org/articles/10.3389/fmicb.2021.634511/full</t>
  </si>
  <si>
    <t>Biologist &amp; Bioinformatician interested in (epi)genomics data analysis. I like judo</t>
  </si>
  <si>
    <t>J. Quinten 🎧🎙</t>
  </si>
  <si>
    <t>Thank you @StarTalkRadio @neiltyson @chucknicecomic #MaxTegmark for this news aggregator with an entirely different way to use #MachineLearning. Classify the article not the user and let the USER choose the news they see. #ImproveTheNews @MIT</t>
  </si>
  <si>
    <t>https://www.improvethenews.org/index.php</t>
  </si>
  <si>
    <t>Host of Power and Pride Podcast! We speak for ourselves, a re-tweet or follow is not an endorsement. "I might share an opinion or two" -J.Q.</t>
  </si>
  <si>
    <t>http://www.powerandpridepodcast.com</t>
  </si>
  <si>
    <t>Bad programmers worry about the code. Good programmers worry about data structures and their relationships. . . #DEVCommunity #Machinelearning #100DaysOfCode #100DaysOfMLCode #Python #javascript #womenwhocode #cybersecurity #RStats #CodeNewbie #DataScience</t>
  </si>
  <si>
    <t>BlueCloud Technologies</t>
  </si>
  <si>
    <t>Enhance your creativity. Unlock new possibilities. Boost productivity. Amplify your impact. BlueCloud embeds AI capabilities to provide you more intelligent, automated solutions. Contact us-  #AI #artificialintelligence #machinelearning #deeplearning #ml</t>
  </si>
  <si>
    <t>https://cutt.ly/NlxO5MM</t>
  </si>
  <si>
    <t>https://pbs.twimg.com/media/Eu7P7VvVIAEoaxd.jpg</t>
  </si>
  <si>
    <t>9894 Bissonnet St. Suite #488 Houston, TX 77036</t>
  </si>
  <si>
    <t>IT Consulting Services | Managed Services | Cloud Computing | Big Data &amp; AI | Website Hosting | Web Designing &amp; Development | Digital Marketing | RPO</t>
  </si>
  <si>
    <t>https://www.bluecloudt.com</t>
  </si>
  <si>
    <t>A.I. Here, There, Everywhere  #DataScience #ArtificialIntelligence #Machinelearning #Deeplearning #BigData #Cassandra #kafka #Hadoop #spark #NLP #NoSQL #IoT #TensorFlow #Serverless #Kubernetes #GlobalAI #R #Python #DataMining #AutoML #Database #AI</t>
  </si>
  <si>
    <t>https://buff.ly/3dG4FED</t>
  </si>
  <si>
    <t>Diggernaut</t>
  </si>
  <si>
    <t>The latest Dig In Daily!  Thanks to @LocalDirectDeal @morolswediu #machinelearning #datascience</t>
  </si>
  <si>
    <t>http://www.digindaily.com/?edition_id=292cdcf0-75f7-11eb-a5c8-0cc47a0d15fd</t>
  </si>
  <si>
    <t>High Ridge, MO</t>
  </si>
  <si>
    <t>Turn website content into datasets. Data extraction just became easy, no programming skills required.</t>
  </si>
  <si>
    <t>https://www.diggernaut.com</t>
  </si>
  <si>
    <t>Join me (&amp; many other #DataScience #AI #MachineLearning #DeepLearning speakers) plus 1000's of #DataScientists at #ODSCEast Virtual Conference. I will be presenting 2 workshops. Register now:  by @ODSC —— #Python #PredictiveAnalytics #NLProc #ComputerVision</t>
  </si>
  <si>
    <t>https://hubs.ly/H0CDWly0</t>
  </si>
  <si>
    <t>https://pbs.twimg.com/media/Erud-cLWMAI0ecY.jpg</t>
  </si>
  <si>
    <t>Dominik Klepl</t>
  </si>
  <si>
    <t>New preprint out! Energy landscape analysis shows increased constraints in EEG of Alzheimer's disease #EEG #brain #Alzheimers #MachineLearning RT @FeiHeUK: New preprint! With Dominik, we implemented the Energy Landscape analysis to EEG – Alzheimer’s disease vs. healthy controls. AD patients’ brains are more constrained – more local minima, less variation and smaller basins!  #Alzheimers #EEG #brain #network</t>
  </si>
  <si>
    <t>https://twitter.com/FeiHeUK/status/1363761274014818304
https://arxiv.org/abs/2102.09882</t>
  </si>
  <si>
    <t>https://pbs.twimg.com/media/Eu0NcjhXcAIw6rr.jpg</t>
  </si>
  <si>
    <t>Coventry, UK</t>
  </si>
  <si>
    <t>Network neuroscience, graph theory, machine learning PhD Student at Coventry University</t>
  </si>
  <si>
    <t>Data Mining with R: Go from Beginner to Advanced!  #machinelearning #ad</t>
  </si>
  <si>
    <t>https://zpy.io/129ce024</t>
  </si>
  <si>
    <t>everything Course</t>
  </si>
  <si>
    <t>SAP Analytics Cloud(C_SAC_2021) : Exam questions 🔜  #SAP #Analytics #cloud #DataScience #AI #MachineLearning #IoT #IIoT #Python #RStats #CloudComputing #Serverless #Linux #Programming #Coding #100DaysofCode #100DaysOfMLCode #udemyfree</t>
  </si>
  <si>
    <t>https://udemy-free-coupons.blogspot.com/2021/02/sap-analytics-cloudcsac2021-exam.html</t>
  </si>
  <si>
    <t>https://pbs.twimg.com/media/Eu7PVo7UcAMcq_Y.jpg</t>
  </si>
  <si>
    <t>#Udemy Coupon #udemy Course #Udemy Code</t>
  </si>
  <si>
    <t>https://udemy-free-coupons.blogspot.com/</t>
  </si>
  <si>
    <t>Equitus</t>
  </si>
  <si>
    <t>Equitus is a single eco-system where each intelligence requirement informs the other. Each Equitus platform is data-convergence across all data types and seamlessly interconnect to achieve true hyper-convergence. #data #intelligence #osint #machinelearning</t>
  </si>
  <si>
    <t>https://pbs.twimg.com/media/Eu7OvXJXcAE8tLl.jpg</t>
  </si>
  <si>
    <t>Clearwater, FL</t>
  </si>
  <si>
    <t>EXPLORE. ENRICH. ENLIGHTEN. EQUITUS Equitus Delivers A.I. Technologies at Enterprise Scale Without Exposing Controlled Data to Externally-Operated Cloud Systems</t>
  </si>
  <si>
    <t>http://www.equitus.us</t>
  </si>
  <si>
    <t>Christian McMahon</t>
  </si>
  <si>
    <t>Todays AI and Machine Learning News:  Thanks to @eSiksSoXpr3PEPc @ExpectTweets @rhrn #ai #machinelearning</t>
  </si>
  <si>
    <t>https://paper.li/ChristianMcM/1523033095?edition_id=b6b51f20-75f6-11eb-9fda-0cc47a0d1609</t>
  </si>
  <si>
    <t>London UK</t>
  </si>
  <si>
    <t>Multi-Sector #CIO / #CTO | Transformation Leader | Board &amp; Venture Advisor | #CustomerJourney Enrichment | Non-Exec Director | #DigitalTransformation</t>
  </si>
  <si>
    <t>http://www.linkedin.com/in/christianmcmahon</t>
  </si>
  <si>
    <t>Intuit Uses AI to Make Tax Day Easier #ArtificialIntelligence #Chatbots #ComputerVision #MachineLearning #NaturalLanguageProcessing</t>
  </si>
  <si>
    <t>https://ai-summary.com/summary-intuit-uses-ai-to-make-tax-day-easier/?utm_medium=social-organic&amp;utm_source=twitter</t>
  </si>
  <si>
    <t>Dopamine Harvester</t>
  </si>
  <si>
    <t>The owls are not what they seem. #psychedelicart #generativeart #ai #cryptoart #databending #glitchart #nft #glitchartistscollective #machinelearning</t>
  </si>
  <si>
    <t>https://pbs.twimg.com/media/Eu7OwHmWYAI99wg.jpg</t>
  </si>
  <si>
    <t>The Cloud</t>
  </si>
  <si>
    <t>You gaze into the dopamine harvester and the dopamine harvester gazes back.</t>
  </si>
  <si>
    <t>https://cloudofboobs.com</t>
  </si>
  <si>
    <t>Dream Postt: What end-to-end encryption is, and why you need it  #ArtificialIntelligence #100DaysOfCode #programming #blockchain #CloudComputing #MachineLearning #IoT #DeepLearning #Python #BigData #Serverless #ML #Linux #AI #JavaScript #DataScience</t>
  </si>
  <si>
    <t>https://dreampostt.blogspot.com/2020/09/what-end-to-end-encryption-is-and-why.html?spref=twKids</t>
  </si>
  <si>
    <t>Data ऋषि</t>
  </si>
  <si>
    <t>#DataScience case study #MachineLearning #ML #ArtificialIntelligence #AI #pythonBot #Python3 #Python #DataAnalytics #TensorFlow Author: @vishvdeep18 🧙‍♂️ RT @vishvdeep18: I just published Real-Time Insights from Social media Data — #DataScience Case Study 🧙‍♂️ #MachineLearning #ML #ArtificialIntelligence #AI #DataScientist #data #Python3 #pythonBot #pythonlearning #TensorFlow #DataAnalytics</t>
  </si>
  <si>
    <t>https://twitter.com/vishvdeep18/status/1364240407694102530
https://link.medium.com/rMX8iBn86db</t>
  </si>
  <si>
    <t>I'm Data ऋषि 🧙‍♂️</t>
  </si>
  <si>
    <t>https://datarishi.in</t>
  </si>
  <si>
    <t>Future Distinguished Emeritus Prof Pradeep Reddy 😎</t>
  </si>
  <si>
    <t>#neuroscience papers solely on group-differences and associations (comprising atleast 30% biomarker papers) are a total waste of public tax dollars. Rarely do they ever advance biomarker research unless accompanied by proper out-of-sample predictions. #MachineLearning #stats</t>
  </si>
  <si>
    <t>pic.twitter.com/xEHrN6nxW8</t>
  </si>
  <si>
    <t>{Bored,Neuro,Open} scientist w/o an agenda. #DeepLearning Infidel. #MachineLearning in Medicine/Neuro. Asst Prof @ Pitt leading @OpenMindsLab</t>
  </si>
  <si>
    <t>http://crossinvalidation.com</t>
  </si>
  <si>
    <t>Vin Vashishta</t>
  </si>
  <si>
    <t>A team should define 3 things before you interview: 1. What the team does for the business? 2. What the role does for the team? 3. What the person uses to do the job? If they can't, do you really want to work with them? #MachineLearning #DataScience #Hiring #CareerAdvice</t>
  </si>
  <si>
    <t>Reno</t>
  </si>
  <si>
    <t>I monetize Machine Learning. Google me for details.</t>
  </si>
  <si>
    <t>https://TheMLRebellion.com</t>
  </si>
  <si>
    <t>Paul Hector</t>
  </si>
  <si>
    <t>Deep learning #Learning #deeplearning #machinelearning via</t>
  </si>
  <si>
    <t>http://twinybots.ch
https://en.wikipedia.org/wiki/Deep_learning</t>
  </si>
  <si>
    <t>My interests span #knowledgeeconomy &amp; #society, #technology #innovation, #urbanism #entrepreneurship. Certified #lifecoach #teacher #consultant.</t>
  </si>
  <si>
    <t>http://about.me/paulhector</t>
  </si>
  <si>
    <t>BlackHOST</t>
  </si>
  <si>
    <t>Naïve Bayes is a classification technique that serves as the basis for implementing several classifier modeling algorithms, and you can learn how to solve real-world machine learning problems 🐍 via @opensourceway #Python #MachineLearning #ML #Algorithms</t>
  </si>
  <si>
    <t>https://opensource.com/article/21/1/machine-learning-python</t>
  </si>
  <si>
    <t>Geneva, Switzerland</t>
  </si>
  <si>
    <t>Swiss-based web hosting company dedicated to protecting internet freedom. Providing a large variety of web solutions, hosting products, and protection.</t>
  </si>
  <si>
    <t>https://black.host/</t>
  </si>
  <si>
    <t>How to delete SAS data sets #ArtificialIntelligence #AI #DataScience #100DaysOfCode #Python #MachineLearning #BigData #DeepLearning #NLP #Robots #IoT</t>
  </si>
  <si>
    <t>https://bit.ly/2NQTiiD</t>
  </si>
  <si>
    <t>Joshua Dorkin</t>
  </si>
  <si>
    <t>If you’re wondering the impact and pervasiveness of #VR &amp; #AI in our lives in the future, watch this demonstration of #MachineLearning and animation &amp;amp; you’ll be blown away by the possibilities. The next 10 years will see #ArtificialIntelligence leaps like you’ve never imagined. RT @fayezsalka: The clips on the right are AI generated from raw audio. Turn any audio file into 3d virtual concert with one click. The AI extrated notes from raw audio and generated the appropriate playing technique, hand and body motion #3d #AI #MachineLearning #vr #ar #concert #MetaHumans</t>
  </si>
  <si>
    <t>https://twitter.com/fayezsalka/status/1362784193458147330</t>
  </si>
  <si>
    <t>pic.twitter.com/xU0wWqZxuA</t>
  </si>
  <si>
    <t>Maui, HI</t>
  </si>
  <si>
    <t>Host @UNDPodcast, Founder &amp; former CEO @BiggerPockets, BiggerPockets Podcast (80 million downloads) Author. Real estate, startup, angel investor / advisor. Dad</t>
  </si>
  <si>
    <t>http://www.joshuadorkin.com</t>
  </si>
  <si>
    <t>BM NXT</t>
  </si>
  <si>
    <t>AI tools can drive big efficiencies in oil and gas  #ArtificialIntelligence #betterworld #MachineLearning #DigitalTransformation #AI #Analytics #SmartNews #technology #aiinmanufacturing #transformation</t>
  </si>
  <si>
    <t>https://www.betterworld.bmnxt.com/artificial-intelligence/ai-tools-can-drive-big-efficiencies-in-oil-and-gas/</t>
  </si>
  <si>
    <t>BM NXT addresses research-based information, communication and marketing needs of decision makers &amp; planners across telecom, IT service and other tech domains.</t>
  </si>
  <si>
    <t>https://www.bmnxt.com</t>
  </si>
  <si>
    <t>Iulian Vlad Serban</t>
  </si>
  <si>
    <t>Dear friends and colleagues, I'm excited to share that our edtech startup Korbit is in the #NewYorkTimes today! #EducationMatters #ArtificialIntelligence #MachineLearning #BigData</t>
  </si>
  <si>
    <t>Software engineer, turned machine learning researcher, turned entrepreneur</t>
  </si>
  <si>
    <t>Synced</t>
  </si>
  <si>
    <t>Visualize Your Debugging! New #Microsoft Toolkit Identifies and Diagnoses ML Model Errors | Read the article here:  #AI #ML #ArtificialIntelligence #MachineLearning #technology</t>
  </si>
  <si>
    <t>https://bit.ly/3aJqUIa</t>
  </si>
  <si>
    <t>https://pbs.twimg.com/media/Eu7OUabVEAMAPIx.png</t>
  </si>
  <si>
    <t>China's leading media &amp; information provider for #AI &amp; #MachineLearning | Newsletter: http://bit.ly/2IYL6Y2 | Contribute to Synced http://bit.ly/2TrUPMI</t>
  </si>
  <si>
    <t>http://www.syncedreview.com</t>
  </si>
  <si>
    <t>Control Engineering Polska</t>
  </si>
  <si>
    <t>Potrzeba wdrażania analityki #BigData oraz najbardziej istotne problemy i wyzwania związane z akwizycją danych w przemyśle. 🔛  #ControlEngineering #Przemysl40 #automatyka #IIoT #PrzemyslowyInternetRzeczy #Industry40 #DCS #IoT #machinelearning #modernizacja</t>
  </si>
  <si>
    <t>https://buff.ly/3bQBx9k</t>
  </si>
  <si>
    <t>https://pbs.twimg.com/media/Eu7N9y2XYAUEUn3.jpg</t>
  </si>
  <si>
    <t>Warszawa</t>
  </si>
  <si>
    <t>Magazyn dla inżynierów i automatyków.</t>
  </si>
  <si>
    <t>http://controlengineering.pl/</t>
  </si>
  <si>
    <t>Kristen Kehrer</t>
  </si>
  <si>
    <t>Want to be up-to-date on the type of data that’s being sold these days for better targeting and more precise models? Check out what AnalyticsIQ has to offer.  #datascience #machinelearning #AnalyticsIQpartner #sponsored #predictiveanalytics</t>
  </si>
  <si>
    <t>https://buff.ly/2NgIhH5</t>
  </si>
  <si>
    <t>Littleton, MA</t>
  </si>
  <si>
    <t>Machine Learning Storytelling | Founder - Data Moves Me, LLC | Instructor - UC Berkeley Ext. | Speaker | Co-Author Mothers of Data Science | LinkedIn Top Voice</t>
  </si>
  <si>
    <t>http://www.datamovesme.com</t>
  </si>
  <si>
    <t>db</t>
  </si>
  <si>
    <t>Qué es #DeepLearning y como lo creamos? #infographic @ImpactWales #AI #DataScience #MachineLearning #IoT @AiPursuit @glengilmore @dansar39 @ssmehta1758 @DrGGandawa @BrainRoaring @iamsayed @NexWebSites @unmarketing @KenLittle @AkwyZ @GlenHiemstra @star95011</t>
  </si>
  <si>
    <t>https://pbs.twimg.com/media/Eu7N26WXUAEoBbP.png</t>
  </si>
  <si>
    <t>#BigData #Tecnología #Digital #hardware #software #video #MachineLearning FIUBA UBA Ingeniero Electrónico, Ingeniero Especializado en Telecomunicaciones</t>
  </si>
  <si>
    <t>Greg Bolcer</t>
  </si>
  <si>
    <t>Bitvore: 2021 Trend: Returning to small data. via @RTInsights:  #AI #SmallData #BigData #NLP #MachineLearning #ML #DeepLearning #DataScience #automation #DigitalTransformation @DeepLearn007 @psb_dc @SpirosMargaris @Fisher85M @jblefevre60 @roxananasoi @a…</t>
  </si>
  <si>
    <t>https://hubs.ly/H0H45gG0</t>
  </si>
  <si>
    <t>Orange County, CA</t>
  </si>
  <si>
    <t>computer geek, semi-corporate stooge with a brain for math, finesse with computers, the eyes of an artist, and the heart of an entrepreneur</t>
  </si>
  <si>
    <t>http://bolcer.org/</t>
  </si>
  <si>
    <t>Lucian Andrei</t>
  </si>
  <si>
    <t>Four Ways AI And Machine Learning Will Drive Future Innovation And Change #Innovation #learning #machinelearning via</t>
  </si>
  <si>
    <t>http://twinybots.ch
https://www.forbes.com/sites/forbestechcouncil/2021/02/18/four-ways-ai-and-machine-learning-will-drive-future-innovation-and-change/?sh=508ad6cd21a8</t>
  </si>
  <si>
    <t>Bucharest</t>
  </si>
  <si>
    <t>Coordinator #Innovation #Grants @Zitec. |#DigitalTransformation | #Cloud | #Innovation | #Financing | #Startups | #AI | #ML | #AR and of course geekish stuff.</t>
  </si>
  <si>
    <t>https://www.linkedin.com/in/lucian-andrei-119a3130/</t>
  </si>
  <si>
    <t>Mohammed Maqdoom</t>
  </si>
  <si>
    <t>I used to think math was important for machine learning but damn.... math is important for #MachineLearning &amp; also #AI</t>
  </si>
  <si>
    <t>A galaxy, far away</t>
  </si>
  <si>
    <t>l tweet about programming ▪︎Machine Learning enthusiast ▪︎ Hands-on in depth learner ▪︎ Helping-guy ▪︎ Believer ▪︎ #ML ▪︎ #AI</t>
  </si>
  <si>
    <t>OSIRIS</t>
  </si>
  <si>
    <t>Accession #MachineLearning RT @elonmusk: Excession</t>
  </si>
  <si>
    <t>https://twitter.com/elonmusk/status/1364180853866131456</t>
  </si>
  <si>
    <t>Jupiter</t>
  </si>
  <si>
    <t>2 DEEP WITHOUT SLEEP / Intellectual / Metaphysical / Creative Wordsmith / Silver Tongued Devil by Trade #Affirmations 💸Cash App: $TooCool2Khan</t>
  </si>
  <si>
    <t>http://vine.co/VV24KVV</t>
  </si>
  <si>
    <t>EasyBettings</t>
  </si>
  <si>
    <t>Gambling sites and betting odds are better at predicting election results than polls.#bettingexpert #easybettings #leadership #evolutionary #energy #ai #innovation #machinelearning #artificialintelligence #podcast #evolutioncontinues #ecommerce #gambling #sportsbetting</t>
  </si>
  <si>
    <t>https://pbs.twimg.com/media/Eu7Nhj7VoAY1TnL.jpg</t>
  </si>
  <si>
    <t>EasyBettings is a brand managed by Sumprime King (SK)Limited (C78335), a Maltese registered company.</t>
  </si>
  <si>
    <t>arxiv_docs</t>
  </si>
  <si>
    <t>#MachineLearning #DeepLearning ArXiv paper:  A Parametric Level Set Method for Topology Optimization based on Deep Neural Network (DNN).</t>
  </si>
  <si>
    <t>http://arxiv.org/abs/2101.03286v1</t>
  </si>
  <si>
    <t>Working bot for posting ArXiv papers (by now) relating: #MachineLearning #DeepLearning #DCEMRI #BreastCancer Run by @rubenfonnegra</t>
  </si>
  <si>
    <t>Francesca Lazzeri</t>
  </si>
  <si>
    <t>Highly recommend the  weekly summary to keep up with the field of #MachineLearning. They're using #AI to identify the top publications and breakthroughs, it's a game-changer!</t>
  </si>
  <si>
    <t>https://AlphaSignal.ai</t>
  </si>
  <si>
    <t>Principal #Cloud Advocate Manager @Microsoft • PhD • Adjunct Professor of #AI &amp; #MachineLearning @Columbia • Author • Previously @Harvard • 🇮🇹 • She/Her</t>
  </si>
  <si>
    <t>http://www.linkedin.com/in/francescalazzeri/</t>
  </si>
  <si>
    <t>WIZZCAD</t>
  </si>
  <si>
    <t>📲 Retrouvez l'article blog WIZZCAD pour découvrir comment l'#IA peut vous permettre d'optimiser la gestion de l'#exploitation-maintenance de vos #bâtiments : 👉  #datamanagement #machinelearning #AI</t>
  </si>
  <si>
    <t>https://hubs.ly/H0H4cl-0</t>
  </si>
  <si>
    <t>https://pbs.twimg.com/media/Eu7Nav8XEAQWGWM.jpg</t>
  </si>
  <si>
    <t>Paris, Londres, Lyon</t>
  </si>
  <si>
    <t>La 1ère plateforme SaaS BIM pour la #transformationnumérique de tous vos projets de #construction, de la phase de #conception à celle de #maintenance.</t>
  </si>
  <si>
    <t>https://wizzcad.com</t>
  </si>
  <si>
    <t>Sebastian Klaus</t>
  </si>
  <si>
    <t>Accelerate Deep Learning Performance with Intel® Xe Graphics and the Intel® Distribution of… by OpenVINO™ toolkit #MachineLearning #AI #DeepLearning #Intel #OpenVino</t>
  </si>
  <si>
    <t>https://link.medium.com/04L9w1Zw6db</t>
  </si>
  <si>
    <t>Bayreuth, Bayern</t>
  </si>
  <si>
    <t>Developer | C# | C/AL | Dynamics NAV | JavaScript | HTML5 | Video/Sound Editing | #MSDynNAV | #MSDyn365BC | #MachineLearning |#SQLServer | #Mittelstand | #AI</t>
  </si>
  <si>
    <t>AKM Intisar Islam</t>
  </si>
  <si>
    <t>What's your most favorite website for frontend pleasure? . . . #BigData #Analytics #DataScience #DeepLearning #MachineLearning #IoT #Python #RStats #JavaScript #ReactJS #GoLang #Serverless #Linux #Programming #Coding #100DaysOfCode #JS</t>
  </si>
  <si>
    <t>Dhaka, Bangladesh 🇧🇩</t>
  </si>
  <si>
    <t>Full-time student of Mechatronics #Engineering ⚙️ 👨🏻‍💻 part-time #copywriter #SoftwareDev #Photographer • JavaScript • React ⚛️</t>
  </si>
  <si>
    <t>Caroline FrancisMD</t>
  </si>
  <si>
    <t>Find out who are your online friends @antgrasso see what is interesting to them @TheHighway2AI @LostInDigit @VR_ARTech @you_stem @CIOConnection @MarketerNCust @SmesGoals @TheDXEngineer  #ai #digitaltransformation #machinelearning</t>
  </si>
  <si>
    <t>https://rt.guru/i/v/hf0g87jv1N</t>
  </si>
  <si>
    <t>Athlete, healthy life, live strong</t>
  </si>
  <si>
    <t>MHcommunicate</t>
  </si>
  <si>
    <t>#AI #Startup Trends 2021 … @YuHelenYu @DrJDrooghaag @archonsec @PVynckier @nt_wendy @terence_mills @Nicochan33 @alvinfoo @EvanKirstel @KirkDBorne @kuriharan @NutritiousMind @NevilleGaunt #MachineLearning #DeepLearning #Datascience #Fintech #5G</t>
  </si>
  <si>
    <t>http://information-age.com/ai-startup-fou</t>
  </si>
  <si>
    <t>https://pbs.twimg.com/media/Eu7NFctXMAM6F8W.jpg</t>
  </si>
  <si>
    <t>Germany</t>
  </si>
  <si>
    <t>Michael: SocialMediaEnthusiast. UniversityLecturer. HeadOfPR. DigitalStrategist. #SEO #AI #VR #technology #data - Love DownUnder 👻mikestarno1</t>
  </si>
  <si>
    <t>https://about.me/the.michael.h</t>
  </si>
  <si>
    <t>Subhan Ali</t>
  </si>
  <si>
    <t>Come hear me speak at this webinar! #DataScience #MachineLearning #ArtificialIntelligence #BigData #DeepLearning #Python RT @NVIDIAAI: Register for @saturn_cloud's webinar on 3/10 to hear from data scientists at @nvidia, @DoorDash, and Saturn Cloud as they discuss the benefits of @RAPIDSai and how #datascience on the #GPU is a game-changer for your organization:</t>
  </si>
  <si>
    <t>https://twitter.com/NVIDIAAI/status/1362884673362345984
https://nvda.ws/2OVHMTB</t>
  </si>
  <si>
    <t>https://pbs.twimg.com/media/EunwY0DXMAMPzmV.png</t>
  </si>
  <si>
    <t>@NVIDIA Developer Relations, @Stanford @UCLA Alum, California, Technology, Connector, Sustainability. Love to talk #DataScience #MachineLearning Views my own</t>
  </si>
  <si>
    <t>http://www.linkedin.com/in/subhanali</t>
  </si>
  <si>
    <t>EPFL Extension School</t>
  </si>
  <si>
    <t>We love creating opportunities for our learner community like this recent Learning Lab on face recognition using #machinelearning - everyday digital #upskilling💪 #learningwithexts #datascience  RT @wingsuitist: great learning lab session - thank you @FOuweric! I run the notebook on my machine, and everything worked right away! Kudos! @epfl_exts</t>
  </si>
  <si>
    <t>https://twitter.com/wingsuitist/status/1361707972586577927
https://github.com/epfl-exts/amld20-video-search</t>
  </si>
  <si>
    <t>https://pbs.twimg.com/media/Eum24vrWQAIfZ9X.jpg
pic.twitter.com/5zHN3f2KC6</t>
  </si>
  <si>
    <t>Lausanne, Switzerland</t>
  </si>
  <si>
    <t>Digital Skills. For Everyone.</t>
  </si>
  <si>
    <t>https://www.extensionschool.ch</t>
  </si>
  <si>
    <t>MNAOTECH</t>
  </si>
  <si>
    <t>Learn Python Using Programming Hero!  . . . . . #BigData #Analytics #DataScience #DeepLearning #MachineLearning #IoT #Python #RStats #JavaScript #ReactJS #GoLang #Serverless #Linux #Programming #Coding #100DaysOfCode #kids #Youtube</t>
  </si>
  <si>
    <t>https://programming-hero.com</t>
  </si>
  <si>
    <t>https://pbs.twimg.com/media/EuhAtZzXIAQ6Crb.jpg</t>
  </si>
  <si>
    <t>Learn New Technology Based on the Latest Trends! Follow for Latest Tech Updates and Motivation. #Technology #TechReviews #Programming #ProgrammingHero</t>
  </si>
  <si>
    <t>http://onelink.to/programminghero</t>
  </si>
  <si>
    <t>Safety Line</t>
  </si>
  <si>
    <t>[📰 ARTICLE] " @VivaAerobus opte à son tour pour la solution de @_SafetyLine " #OptiClimb 🌎✈ #journaldelaviation @emilie_drab 👉 #GreenerAviation #innovation #Avgeek #MachineLearning #OptiFlight #FuelEfficiency #greentech</t>
  </si>
  <si>
    <t>https://bit.ly/3pKmeGg</t>
  </si>
  <si>
    <t>Paris</t>
  </si>
  <si>
    <t>Safety Line provides #BigData solutions for the safety and efficiency of #Aviation operations. #Avgeek #SMS #MachineLearning #FuelEfficiency #riskmanagement</t>
  </si>
  <si>
    <t>http://safety-line.fr</t>
  </si>
  <si>
    <t>Free course - This offer ends in 2 days Enroll now  Visual Studio Code Everything you need to know about Visual Studio Editor #Python #DataScience #javascript #MachineLearning #React #Unity #Angular #deeplearning #NodeJS #webdevelopment #webdevelopers</t>
  </si>
  <si>
    <t>https://buff.ly/3kh0XCH</t>
  </si>
  <si>
    <t>https://pbs.twimg.com/media/Eu7M3ixWQAE55mq.jpg</t>
  </si>
  <si>
    <t>Programming Ninja</t>
  </si>
  <si>
    <t>If you are new to coding? Then start following this blog.  . . #BigData #Analytics #DataScience #DeepLearning #MachineLearning #IoT #Python #JavaScript #ReactJS #GoLang #Serverless #Linux #Programming #Coding #100DaysOfCode</t>
  </si>
  <si>
    <t>https://www.programming-hero.com/blog/index.html</t>
  </si>
  <si>
    <t>https://pbs.twimg.com/media/EpX5s5BVoAAbfel.jpg</t>
  </si>
  <si>
    <t>Learn Programming In Funny Way With Programming Hero App. #programming #programminghero #coding</t>
  </si>
  <si>
    <t>https://www.onelink.to/programminghero</t>
  </si>
  <si>
    <t>Mike Tamir, PhD</t>
  </si>
  <si>
    <t>AI in Drug Discovery 2020 - A Highly Opinionated Literature Review  #AI #MachineLearning #DeepLearning #DataScience</t>
  </si>
  <si>
    <t>https://bit.ly/2MsZRrk</t>
  </si>
  <si>
    <t>San Francisco, USA</t>
  </si>
  <si>
    <t>Head of #MachineLearning #AI at SIG &amp; UC Berkeley Faculty Former head of #DataScience at #Uber ATG (tweets are my own) #DeepLearning, #FakerFact</t>
  </si>
  <si>
    <t>http://FakerFact.org</t>
  </si>
  <si>
    <t>Online Coupon Courses</t>
  </si>
  <si>
    <t>🇦🇪 Machine Learning Nanodegree ⏳ Free for 48 hours 🔗 #datascience #pandas #AlwaysLearning #coupons #education #arabic #development #free #numpy #ml #learning #udemy #machinelearning</t>
  </si>
  <si>
    <t>https://onlinecouponcourses.com/machine-learning-nanodegree-in-arabic</t>
  </si>
  <si>
    <t>https://pbs.twimg.com/media/Eu7MwJRUUAIHMUc.jpg</t>
  </si>
  <si>
    <t>France</t>
  </si>
  <si>
    <t>Only 100% OFF Udemy courses Telegram: https://t.me/OnlineCouponCourses Discord: https://discord.com/invite/Vefz78J</t>
  </si>
  <si>
    <t>https://www.onlinecouponcourses.com/</t>
  </si>
  <si>
    <t>Rodrigo Díaz</t>
  </si>
  <si>
    <t>Este viernes voy a estar charlando con @pabloc_ds de #exoplanetas y #MachineLearning RT @datos_vivos: Se viene nuevo "2 Nerds hablan de Datos" con @RDextrasolar !🪐🎙🤓 Este viernes vamos a hablar de cómo la Astrofísica usa #DeepLearning para descubrir exoplanetas 🤯 Inscribite en:</t>
  </si>
  <si>
    <t>https://twitter.com/datos_vivos/status/1363966218974212097
https://www.eventbrite.com.ar/e/dos-nerds-hablan-de-datos-7ma-edicion-tickets-142579074851</t>
  </si>
  <si>
    <t>https://pbs.twimg.com/media/Eu3HkmhXMAAg4zx.jpg</t>
  </si>
  <si>
    <t>Astrophysicist at @ICAS_unsam @ConicetDialoga @unsamoficial. Exoplanets, stars and life elsewhere.</t>
  </si>
  <si>
    <t>GARP</t>
  </si>
  <si>
    <t>Jim Stoker, Andrew Chin, Ellen Koebler, and Gautam Mitra are discussing how #AI and #machinelearning can be harnessed to improve loss forecasting, mitigate the #risks of high-frequency #trading, and begin to automate #credit underwriting. #GARPriskcon</t>
  </si>
  <si>
    <t>https://pbs.twimg.com/media/Eu7MXlfXUAIYmKo.png</t>
  </si>
  <si>
    <t>The world's leading association for risk professionals</t>
  </si>
  <si>
    <t>http://www.garp.org/</t>
  </si>
  <si>
    <t>Radiology Knowledge</t>
  </si>
  <si>
    <t>Radiology #AI publication alert: Integrating deep learning CT-scan model, biological and clinical variables to predict severity of COVID-19 patients (Nat Commun)  #ML #MachineLearning</t>
  </si>
  <si>
    <t>http://doi.org/10.1038/s41467-020-20657-4</t>
  </si>
  <si>
    <t>https://pbs.twimg.com/media/Eu7MXkTVkAM6cJk.png</t>
  </si>
  <si>
    <t>The Known Universe</t>
  </si>
  <si>
    <t>Knowledge of 16,912 imaging findings and diseases to support #AI in #radiology #ArtificialIntelligence #MachineLearning #FOAMrad</t>
  </si>
  <si>
    <t>https://www.gamuts.net</t>
  </si>
  <si>
    <t>Sergio Fernández ™©</t>
  </si>
  <si>
    <t>Mejorar la comprensión del aprendizaje automático para los usuarios finales. #MachineLearning #DeepLearning #iA</t>
  </si>
  <si>
    <t>https://www.information-age.com/improving-understanding-machine-learning-end-users-123493789/</t>
  </si>
  <si>
    <t>https://pbs.twimg.com/media/Eu7MTe8XAAcTaDG.jpg</t>
  </si>
  <si>
    <t>Málaga/España</t>
  </si>
  <si>
    <t>Tecnología #IA #BigData #python programación #Arduino #IoT</t>
  </si>
  <si>
    <t>List of Top 5 Powerful #MachineLearning Algorithms That Will Solve 99% of Your Problems  via @laconicml @SSI_Innovations ML Case Study:  #AI Cc @jblefevre60 @ahier @Ym78200 @HaroldSinnott @Fisher85M @Paula_Piccard</t>
  </si>
  <si>
    <t>https://laconicml.com/machine-learning-algorithms
https://www.ssidecisions.com/case-studies/the-optime-group/</t>
  </si>
  <si>
    <t>https://pbs.twimg.com/media/Eu5ng8zUYAYL8ai.jpg</t>
  </si>
  <si>
    <t>Engineering Innovations</t>
  </si>
  <si>
    <t>#machinelearning #deeplearning #ai #artificialintelligenceservices #humanintelligenceservices #imageannotation #audioannotation #nlp #textannotation #datalabeling #dataannotation #videoannotation #aispotters #AISPOTTERS #datasets</t>
  </si>
  <si>
    <t>https://pbs.twimg.com/media/Eu7LtsiVkAEHUqC.jpg</t>
  </si>
  <si>
    <t>https://pbs.twimg.com/media/Eu7LsS9VcAMLSaX.jpg</t>
  </si>
  <si>
    <t>mhdodick consulting</t>
  </si>
  <si>
    <t>For my connections interested in #communications, #fakenews and #MachineLearning. Congrats to all who contribute to fighting #misinformation and #disinformation. RT @Laurier: Four Laurier students from four different countries came together to build a #COVID19 fake news detector. See their research:  #datascience #univresearch #fakenews</t>
  </si>
  <si>
    <t>https://twitter.com/Laurier/status/1362431738182524936
http://bit.ly/fakedetec</t>
  </si>
  <si>
    <t>https://pbs.twimg.com/media/EuhTI_CWYAIaltk.jpg</t>
  </si>
  <si>
    <t>Toronto</t>
  </si>
  <si>
    <t>Versatile, communications professional. Multisector experience. Shares innovative solutions. LinkedIn: https://bit.ly/2FGlI4N. Please connect to learn more.</t>
  </si>
  <si>
    <t>http://mhdodick.com</t>
  </si>
  <si>
    <t>Meet Assembloids, Mini Human Brains With Muscles Attached  by @ShellyFan via @singularityhub #Neuroscience #AI #MachineLearning Cc @DeepLearn007 @psb_dc @MarshaCollier @jblefevre60 @Droit_IA @lesguer_lionel @CHRISTINESOTO12</t>
  </si>
  <si>
    <t>https://singularityhub.com/2021/01/12/meet-assembloids-mini-human-brains-with-muscles-attached</t>
  </si>
  <si>
    <t>https://pbs.twimg.com/media/Eu7LrmDXMAEEcNj.jpg</t>
  </si>
  <si>
    <t>PerimeterX raises $57 million to fight bots and web app attacks  #artificialintelligence #ai #machinelearning</t>
  </si>
  <si>
    <t>https://venturebeat.com/2021/02/23/perimeterx-raises-57-million-to-fight-bots-and-web-app-attacks/?utm_source=dlvr.it&amp;utm_medium=twitter</t>
  </si>
  <si>
    <t>Franco Ronconi 🇮🇹</t>
  </si>
  <si>
    <t>What is #DeepLearning and how do we create it? All in one simple yet rich #infographic by @ImpactWales #AI #DataScience #MachineLearning #IoT @chboursin @JoannMoretti @fogle_shane @CRudinschi @Ronald_vanLoon @MargaretSiegien @grattongirl @pascal_bornet @ipfconline1 @ShiCooks</t>
  </si>
  <si>
    <t>https://pbs.twimg.com/media/Eu7LdeKXYAArHDN.jpg</t>
  </si>
  <si>
    <t>Padova</t>
  </si>
  <si>
    <t>Husband | Father of 2 | #Technology Driven Business Operations Director | Loving #Basketball #Skiing #Wine&amp;Food #Startup #Disruption</t>
  </si>
  <si>
    <t>https://www.linkedin.com/in/francoronconi/</t>
  </si>
  <si>
    <t>Blue Train Marketing</t>
  </si>
  <si>
    <t>BBVA taps Google Cloud Chronicle to build AI security platform BBVA has announced that it will be the first #bank in Europe to deploy #Google Cloud’s security analytics platform Chronicle, using AI &amp; #machinelearning to predict and prevent #cyberattacks.</t>
  </si>
  <si>
    <t>http://ow.ly/9eyg50DHMZY</t>
  </si>
  <si>
    <t>https://pbs.twimg.com/media/Eu7LiIvXcAAQoDc.jpg</t>
  </si>
  <si>
    <t>Accelerating growth and increasing value through marketing for businesses in Fintech and Payments and Technology companies #Fintech #payments #startup #paytech</t>
  </si>
  <si>
    <t>https://www.bluetrain.co.uk</t>
  </si>
  <si>
    <t>Manuel Torres</t>
  </si>
  <si>
    <t>Day 21 #31DaysofML Pandas - most powerful tool in #datascience for data wrangling. Learn how to get started with Pandas &amp; manipulate our data for #MachineLearning.</t>
  </si>
  <si>
    <t>https://google.smh.re/1zL</t>
  </si>
  <si>
    <t>La Serena, Chile</t>
  </si>
  <si>
    <t>Geek, working on Machine Learning and IoT to build a better 🌎 Now working as Customer Engineer @ Google, opinions are my own.</t>
  </si>
  <si>
    <t>https://wrf.cl</t>
  </si>
  <si>
    <t>DataML Consultancy</t>
  </si>
  <si>
    <t>#MachineLearning #ML #dataML #datascience #python</t>
  </si>
  <si>
    <t>https://pbs.twimg.com/media/Eu7LVYiXYAYbxxb.jpg</t>
  </si>
  <si>
    <t>Breng uw data tot leven.</t>
  </si>
  <si>
    <t>http://www.datamlconsultancy.nl</t>
  </si>
  <si>
    <t>aster.cloud</t>
  </si>
  <si>
    <t>#Tech never comes back the same. 🤓  @liwaiwaicom @gcpdotcom #MachineLearning #ArtificialIntelligence #AI #Python #programming #Coding #DataScience #CodeNewbie #100DaysOfCode #evolution</t>
  </si>
  <si>
    <t>https://aster.cloud/programming/</t>
  </si>
  <si>
    <t>https://pbs.twimg.com/media/Eu7KsBNUYAUYzK_.jpg</t>
  </si>
  <si>
    <t>about = ["cloud_computing", "software", "programming", "technology", "devops", "dev_tutorials", "tech_news"]</t>
  </si>
  <si>
    <t>https://aster.cloud/</t>
  </si>
  <si>
    <t>Micropole BeLux</t>
  </si>
  <si>
    <t>One of the significant ❗ challenges is modernizing banks &amp; legacy business systems without disrupting the existing system. #banking #legacy #finance #fintech #business #data #analytics #datascience #bigdata #AI #ML #machinelearning #artificialintelligence #innovation #technology</t>
  </si>
  <si>
    <t>https://pbs.twimg.com/media/Eu7LXNiWYAAmI1h.jpg</t>
  </si>
  <si>
    <t>Zaventem, België</t>
  </si>
  <si>
    <t>Micropole helps you unlock the value of your #data, transforming it into a tangible business outcome. #InnovativePeople</t>
  </si>
  <si>
    <t>http://www.micropole.be</t>
  </si>
  <si>
    <t>Acuvate Software</t>
  </si>
  <si>
    <t>50% of global companies would be using #AI and #MachineLearning in #Supplychain operations by 2023. Learn how you can get started:  #ArtificialIntelligence #SupplyChainAnalytics</t>
  </si>
  <si>
    <t>http://ow.ly/3s1E50DHA2R</t>
  </si>
  <si>
    <t>Netherlands UK India US Norway</t>
  </si>
  <si>
    <t>Global @Microsoft Partner. Empowering enterprises with AI chatbots |Advanced Analytics | AI-powered Business Intelligence Solutions| Digital workplace solutions</t>
  </si>
  <si>
    <t>http://www.acuvate.com</t>
  </si>
  <si>
    <t>Artificial Intelligence Sector Overview [#Infographic] #DEVCommunity #Machinelearning #IoT #100DaysOfMLCode #Python #flutter #javascript #web #womenwhocode #cybersecurity #RStats #CodeNewbie #DL #DataScience #womenintech @VentureScanner</t>
  </si>
  <si>
    <t>https://pbs.twimg.com/media/Eu7LS4iXAAAsAOr.jpg</t>
  </si>
  <si>
    <t>Plug and Play</t>
  </si>
  <si>
    <t>🔋Our partner @ooredoo discovered @CabanSystems through our deal flow session in late 2018. Fast-forward to today, and they have a sustainable telecom site in Qatar thanks to #solarenergy and #machinelearning. Read the full case study 👉</t>
  </si>
  <si>
    <t>https://bit.ly/37Fl0Wt</t>
  </si>
  <si>
    <t>pic.twitter.com/ZYY1xKaq55</t>
  </si>
  <si>
    <t>Silicon Valley, California</t>
  </si>
  <si>
    <t>Global open innovation platform: connecting startups to corporations through 50+ accelerator programs a year.</t>
  </si>
  <si>
    <t>http://pnptc.com</t>
  </si>
  <si>
    <t>Botosynthesis - Let AI do it for you</t>
  </si>
  <si>
    <t>Trying to make a bad chatbot good   #ai #artificialintelligence #machinelearning #chatbot #ml #bots #chatbots #bot #technology #chatbotmessenger #chatbotexpert #digitaltransformation #chatbotfacebook</t>
  </si>
  <si>
    <t>https://medium.com/@emilytranthi/trying-to-make-a-bad-chatbot-good-430d472786cd
http://bit.ly/botosynthesis</t>
  </si>
  <si>
    <t>Udaipur, India</t>
  </si>
  <si>
    <t>Follow me for cool stuff related to #AI #Chatbots #RPA #Machinelearning. We build #Chatbots and #AI based automated solutions which makes peoples lives simpler.</t>
  </si>
  <si>
    <t>http://www.botosynthesis.com</t>
  </si>
  <si>
    <t>Punk POS</t>
  </si>
  <si>
    <t>AI provides virtual assistant support and improves the sales process. Get more information by visiting the link below. 👇 #machinelearning #ML #artificialintellligence #AI #ecommerce #mobiledevelopment #appdevelopment #onlinebusiness</t>
  </si>
  <si>
    <t>https://hubs.ly/H0H463Y0</t>
  </si>
  <si>
    <t>We help our customers save time with our business process automations. We create automated solutions and integrations for your business needs.</t>
  </si>
  <si>
    <t>http://PunkPOS.com</t>
  </si>
  <si>
    <t>Xcede</t>
  </si>
  <si>
    <t>Learn more about how researchers are combining #MachineLearning technology with smartphone tracking #data in an application that accurately forecasts the spread of flu 📲🤳🏻 Via @TechXplore_com ⏩  #Healthcare #JobsInData #HealthTech</t>
  </si>
  <si>
    <t>http://bit.ly/3rKAQXs</t>
  </si>
  <si>
    <t>https://pbs.twimg.com/media/Eu7LOTSXcAI9CmI.jpg</t>
  </si>
  <si>
    <t>UK's top digital agency for jobs in Creative, Technology, Marketing &amp; Data</t>
  </si>
  <si>
    <t>https://www.xcede.com/</t>
  </si>
  <si>
    <t>BioEnable</t>
  </si>
  <si>
    <t>A stainless steel bridge is being printed by robots moving in mid-air #Robotics #Automation #Robot #ArtificialIntelligence #MachineLearning #Engineering #AI #IOT By @mashable</t>
  </si>
  <si>
    <t>pic.twitter.com/xrIag2CWOX</t>
  </si>
  <si>
    <t>Pune,MH,India</t>
  </si>
  <si>
    <t>BioEnable Leading provider of all security and time management solutions. #Biometrics #AutoID #Facialrecognition #FingerprintRecognition #FingerprintSensors</t>
  </si>
  <si>
    <t>http://www.bioenabletech.com</t>
  </si>
  <si>
    <t>VisiveAI</t>
  </si>
  <si>
    <t>A robot inspired by vines can grow 25 000 times its original size #Robotics #Automation #Robot #ArtificialIntelligence #MachineLearning #Engineering #AI #IOT by @mashable</t>
  </si>
  <si>
    <t>pic.twitter.com/6Z5BuEvXKr</t>
  </si>
  <si>
    <t>#ArtificialIntelligence #Robotics #AugmentedReality #Technology Visive Inc offer rapid #AI powered Business #Automation for #SmallBusiness &amp; #startups</t>
  </si>
  <si>
    <t>https://www.visive.ai</t>
  </si>
  <si>
    <t>Jim Czuprynski</t>
  </si>
  <si>
    <t>Huzzah! Just found out I'll present 2X at #KSCOPE21 - once each on #ConvergedDatabase and #MachineLearning + #Analytics topics. Join me to access almost 150 presentations from an amazing lineup of speakers - see you all there! @oracleace @groundbreakers</t>
  </si>
  <si>
    <t>https://pbs.twimg.com/media/Eu7KW9uXAAcAlb2.jpg</t>
  </si>
  <si>
    <t>Bartlett, IL</t>
  </si>
  <si>
    <t>Oracle ACE Director, mentor, consultant, public speaker about all things Oracle Database, Cloud, ML, and APEX. Opinions about civilization's state are my own.</t>
  </si>
  <si>
    <t>http://jimczuprynski.wordpress.com</t>
  </si>
  <si>
    <t>Jaison Jacob</t>
  </si>
  <si>
    <t>How #Wearables and #AI Transforming #Healthcare Diagnosis  #fintech #insurtech #insurance #ArtificialIntelligence #MachineLearning #DeepLearning</t>
  </si>
  <si>
    <t>https://buff.ly/3qs1NyT</t>
  </si>
  <si>
    <t>United Arab Emirates</t>
  </si>
  <si>
    <t>#IT Professional with over 15 years experience in project management, solution architecture &amp; software development. Sharing the latest #TechNews and trends.</t>
  </si>
  <si>
    <t>http://www.jaisonjacob.com</t>
  </si>
  <si>
    <t>The best Youtube Channels to Learn #AI, #MachineLearning, and #DataScience.</t>
  </si>
  <si>
    <t>https://buff.ly/3qFNK9t</t>
  </si>
  <si>
    <t>#DataScience Cheat Sheet covers concepts in Statistical Learning, #MachineLearning, #DeepLearning, #Probability, #Statistics, #BigData frameworks, SQL, etc. —&gt;</t>
  </si>
  <si>
    <t>https://dy.si/GXLH2</t>
  </si>
  <si>
    <t>Trevor Templar</t>
  </si>
  <si>
    <t>6 #AI Myths Debunked:  #ArtificialIntelligence and #MachineLearning will become the norm in informed C-suite decision making.</t>
  </si>
  <si>
    <t>https://buff.ly/3q2EF9R</t>
  </si>
  <si>
    <t>https://pbs.twimg.com/media/Eu7KwpKWQAUooQ8.jpg</t>
  </si>
  <si>
    <t>London/Scottsdale</t>
  </si>
  <si>
    <t>Passionate about SaaS, AI, Game Theory, Friends, Family, Food, Philosophy, Philanthopy. Amicus Plato! Amicus Aristoteles!</t>
  </si>
  <si>
    <t>https://www.aviso.com/</t>
  </si>
  <si>
    <t>Dr.McCalla &amp; iResearchInstitute</t>
  </si>
  <si>
    <t>Absolutely, coding is mandatory . . . #Bioinformatics #research #datascience #STEM #stemleaders #machinelearning #artificialintelligence Apply for the fully virtual iResearch Institute 2021 at  RT @AdamMGrant: More evidence that programming should be taught in schools: When kids learn to code, they don't just get better at computer skills. They also show gains in cognitive ability, math, creativity, and reasoning. Intelligence is more than what you know. It's also how you think.</t>
  </si>
  <si>
    <t>http://iResearchInstitute.com
https://twitter.com/AdamMGrant/status/1363889917303095299</t>
  </si>
  <si>
    <t>https://pbs.twimg.com/media/Eu2CetmXUAQj3wa.png</t>
  </si>
  <si>
    <t>Promoting Research...neuroscience, microbiology, environmental chemistry, molecular biology, quantum physics, computer science... http://iresearchfoundation.com</t>
  </si>
  <si>
    <t>http://www.iresearchinstitute.com</t>
  </si>
  <si>
    <t>Ankit Shaw</t>
  </si>
  <si>
    <t>Establish programming conventions before you begin programming. It's nearly impossible to change code to match them later. -Steve McConnell #programming #DevCommunity #100DaysOfCode #Python #javascript #MachineLearning #Developer</t>
  </si>
  <si>
    <t>Singularity</t>
  </si>
  <si>
    <t>Ordinary Extra. Programmer. Machine Learning Research. Startup</t>
  </si>
  <si>
    <t>http://mlcards.xpertup.com/</t>
  </si>
  <si>
    <t>Vikez</t>
  </si>
  <si>
    <t>The Performance Of Your Facial Recognition Model Depends On The Data You Feed It -Big Data Analytics News #FacialRecognition #AI #ML #tech #innovation #cool #smartphones #ArtificialIntelligence #startup #MachineLearning #VIKEZ #technews Link:</t>
  </si>
  <si>
    <t>https://bigdataanalyticsnews.com/facial-recognition-model/?utm_source=rss&amp;utm_medium=Sendible&amp;utm_campaign=RSS</t>
  </si>
  <si>
    <t>https://pbs.twimg.com/media/Eu7KoxQVEAAkkcT.jpg</t>
  </si>
  <si>
    <t xml:space="preserve">San Jose, CA </t>
  </si>
  <si>
    <t>Bring you #news all over the world that would change the way you think about #life, #society, #technology, and #business.</t>
  </si>
  <si>
    <t>http://www.vikez.com</t>
  </si>
  <si>
    <t>Geography and Environmental Sciences</t>
  </si>
  <si>
    <t>Interested in #sustainablefishing? Help develop routines for #remotesensing #AI and #MachineLearning for bycatch monitoring. Collaborative PhD opportunity with @HeriotWattUni @UlsterUniGES @AberUni @sos_bangor_uni. Closing date 5 March 2021. Apply here:</t>
  </si>
  <si>
    <t>https://bit.ly/3skDd3E</t>
  </si>
  <si>
    <t>https://pbs.twimg.com/media/Eu7KPQ3XcAMmgDX.png</t>
  </si>
  <si>
    <t>Northern Ireland</t>
  </si>
  <si>
    <t>School of Geography and Environmental Sciences, Ulster University. Follow us for news, events, student activities and staff research.</t>
  </si>
  <si>
    <t>http://ulster.ac.uk/ges/</t>
  </si>
  <si>
    <t>Python and Data Science for beginners ($59.99 to FREE) #JavaScript #BigData #blockchain #ML #DeepLearning #MachineLearning #AI #Python #programming #Linux #100DaysOfCode #CloudComputin... #BigData #blockchain via</t>
  </si>
  <si>
    <t>http://twinybots.ch
https://jucktion.com/forum/udemy-coupon/python-and-data-science-for-beginners-59-99-to-free-javascript-bigdata-blockchai/</t>
  </si>
  <si>
    <t>Abhishek Gupta</t>
  </si>
  <si>
    <t>Algorithmic content moderation: Technical and political challenges in the automation of platform governance  #aiethics #fakenews #technology #disinformation #machinelearning #ethicalai #ai #misinformation #responsibleai #bias #automation</t>
  </si>
  <si>
    <t>https://atg-abhishek.github.io/actionable-ai-ethics/algorithmic_content_moderation.html</t>
  </si>
  <si>
    <t>Montreal, Canada</t>
  </si>
  <si>
    <t>#MachineLearning Engineer @Microsoft | Founder &amp; Principal Researcher @mtlaiethics | Author, Actionable AI Ethics @actionable_ai | http://buymeacoff.ee/abhishekgupta</t>
  </si>
  <si>
    <t>https://atg-abhishek.github.io</t>
  </si>
  <si>
    <t>10 recomendaciones para un Machine Learning más eficiente #InteligenciaArtificial #MachineLearning</t>
  </si>
  <si>
    <t>https://www.muycanal.com/?p=123716</t>
  </si>
  <si>
    <t>https://pbs.twimg.com/media/Eu7Kc5GWgAIPqGq.jpg</t>
  </si>
  <si>
    <t>Ankit Rathi</t>
  </si>
  <si>
    <t>#datascience #machinelearning #artificialintelliegence</t>
  </si>
  <si>
    <t>https://lnkd.in/d643GAf</t>
  </si>
  <si>
    <t>Delhi, India</t>
  </si>
  <si>
    <t>Data Science Architect | http://ankitrathi.com | Passionate about #DataScience, #DataArchitecture #BigData, #Analytics, #MachineLearning, #AI, #IoT</t>
  </si>
  <si>
    <t>https://ankitrathi.com</t>
  </si>
  <si>
    <t>Bitvore</t>
  </si>
  <si>
    <t>2021 Trend: Returning to small data. via @RTInsights:  #AI #SmallData #BigData #NLP #MachineLearning #ML #DeepLearning #DataScience #automation #DigitalTransformation @DeepLearn007 @psb_dc @SpirosMargaris @Fisher85M @jblefevre60 @roxananasoi @ahier</t>
  </si>
  <si>
    <t>Irvine CA</t>
  </si>
  <si>
    <t>Proactive AI uncovers risk and opportunity in your portfolio and prospects.</t>
  </si>
  <si>
    <t>http://www.bitvore.com</t>
  </si>
  <si>
    <t>Godatpro</t>
  </si>
  <si>
    <t>La IA y la geolocalización han cambiado nuestra forma de entrenar, competir y mejorar en el deporte. ⚽️🏀🏈🎾 ¿Y si damos un paso más? 🤔 ¿Y si logramos predecir las lesiones? 📊 #injurypredictions #sports #bigdata #machinelearning #healthmonitoring #datatechnology #godatpro</t>
  </si>
  <si>
    <t>pic.twitter.com/nPPXzvCwbu</t>
  </si>
  <si>
    <t>Madrid, Comunidad de Madrid</t>
  </si>
  <si>
    <t>Data technology for sports injury prediction with big data and machine learning.</t>
  </si>
  <si>
    <t>http://www.godatpro.com</t>
  </si>
  <si>
    <t>My On-Demand Webinar with @LogiAnalytics &gt;&amp;gt; "Maximizing the Business Impact of Data through Self-Service Insights Discovery"  —— #BigData #Analytics #DataScience #AI #MachineLearning #DataLiteracy #DataDemocratization #DigitalTransformation #DataLeadership</t>
  </si>
  <si>
    <t>https://go.logianalytics.com/webinar-maximizing-business-impact-of-data.html?utm_medium=email&amp;utm_source=logi&amp;utm_campaign=weekly-content</t>
  </si>
  <si>
    <t>https://pbs.twimg.com/media/Eu7JpUTXIAQjhMw.jpg</t>
  </si>
  <si>
    <t>Itai Yaffe</t>
  </si>
  <si>
    <t>(1/4) Big Data Technology Warsaw Summit 2021 has started today, with 2 days of workshops, followed by 2 days of presentations on topics such as #DataEngineering, #MLOps, #AI, #MachineLearning and #DataScience!  #BigData #Nielsen #Imply #bdtws2021</t>
  </si>
  <si>
    <t>https://bigdatatechwarsaw.eu/agenda/</t>
  </si>
  <si>
    <t>https://pbs.twimg.com/media/Eu7IH0rXUAMv-tg.jpg</t>
  </si>
  <si>
    <t>Principal Solutions Architect @implydata. #bigdata=❤️. Public speaker (e.g @Data_AI_Summit). @DataWomen Israeli chapter co-founder, @bigthingshere co-organizer</t>
  </si>
  <si>
    <t>https://www.linkedin.com/in/itaiy/</t>
  </si>
  <si>
    <t>Vinicius Caridá</t>
  </si>
  <si>
    <t>Data Science Learning Roadmap for 2021 Building your own learning track to master the art of applying data science  #machinelearning #ArtificialIntelligence #DataScience</t>
  </si>
  <si>
    <t>https://towardsdatascience.com/data-science-learning-roadmap-for-2021-84f2ba09a44f</t>
  </si>
  <si>
    <t>https://pbs.twimg.com/media/Eu7Jj3YXMAMpR8i.jpg</t>
  </si>
  <si>
    <t>Using Tech, Data &amp; AI to leverage business and impact people for a more fair and evolved world. "Happiness Only Real When Shared"</t>
  </si>
  <si>
    <t>https://www.youtube.com/user/viniciuscarida</t>
  </si>
  <si>
    <t>I Fatti Capitali</t>
  </si>
  <si>
    <t>Nel 2015 il costo del #cybercrime si attestava attorno ai 3 trilioni di dollari. Nel 2025 arriverá a 50 trilioni. I nuovi Lupin e l'eldorado criminale dei dati sensibili. #hacker #Tecnologia #news #aziende #mail #internet #AI #MachineLearning</t>
  </si>
  <si>
    <t>https://www.ifatticapitali.it/lupin-e-cybercrime-aumentano-furti-e-investimenti-nella-sicurezza-digitale/</t>
  </si>
  <si>
    <t>Italia</t>
  </si>
  <si>
    <t>Ideatore @GuidaLor 🗞️Con il contributo di @anna_salvaje, @AurelianoStingi, @GiuliBertotto1, @IlRicanelo e tanti altri 📧 postmaster@ifatticapitali.it</t>
  </si>
  <si>
    <t>http://www.ifatticapitali.it</t>
  </si>
  <si>
    <t>Pioneering Minds</t>
  </si>
  <si>
    <t>Explainable AI For Decoding Regulatory Instructions In DNA #AI #ArtificialIntelligence #MachineLearning #PioneeringMinds</t>
  </si>
  <si>
    <t>https://www.pioneeringminds.com/explainable-ai-decoding-regulatory-instructions-dna/</t>
  </si>
  <si>
    <t>Waltham, MA</t>
  </si>
  <si>
    <t>Pioneering Minds provides you news, influencers, events, organizations, patents &amp; skills in new emerging fields in science, technology, business &amp; government.</t>
  </si>
  <si>
    <t>http://www.pioneeringminds.com</t>
  </si>
  <si>
    <t>nellister charles</t>
  </si>
  <si>
    <t>Graph Data Science for Dummies: How to apply Knowledge Graph into your bussiness? #Learning #machinelearning via</t>
  </si>
  <si>
    <t>http://twinybots.ch
https://www.reddit.com/r/learnmachinelearning/comments/ld8b35/graph_data_science_for_dummies_how_to_apply/</t>
  </si>
  <si>
    <t>New Hands-on Training Opportunities from NVIDIA | NVIDIA Blog #DataScience #MachineLearning #ArtificialIntelligence #BigData #DeepLearning</t>
  </si>
  <si>
    <t>https://bit.ly/2ZKt7MY</t>
  </si>
  <si>
    <t>Manifexto</t>
  </si>
  <si>
    <t>Nuxo is underway!!! #AngolansRising #Manifexto #FakeNews #FactChecking #ArtificialIntelligence #MachineLearning RT @jamlabafrica: 📆Save the date! Preparation for our fourth #JamlabDemoDay are at full steam. We will be showcasing startups from our first Southern Africa cohort🌍. 💻Register on the link below to receive details on how you can join us  #mediainnovation 🇸🇿🇿🇼🇲🇼🇦🇴🇿🇲🇲🇬</t>
  </si>
  <si>
    <t>https://twitter.com/jamlabafrica/status/1364175675884675073
http://bit.ly/2Mxmfjb</t>
  </si>
  <si>
    <t>https://pbs.twimg.com/media/Eu5U3-DXAAEbs1O.png</t>
  </si>
  <si>
    <t>Angola</t>
  </si>
  <si>
    <t>Plataforma agregadora de notícias. Made in #Angola by @Simpluz</t>
  </si>
  <si>
    <t>http://www.manifexto.com/</t>
  </si>
  <si>
    <t>The #Pentagon can identify you by your heartbeat from 200 yards away! #AI #MachineLearning #Innovation @DigitalTrends @chboursin @NevilleGaunt @baski_LA @kalydeoo @PawlowskiMario @labordeolivier @Hana_ElSayyed @JoannMoretti @fogle_shane @MargaretSiegien @CurieuxExplorer @WSWMUC</t>
  </si>
  <si>
    <t>pic.twitter.com/GcMBHLXlzu</t>
  </si>
  <si>
    <t>Tech Business Guide</t>
  </si>
  <si>
    <t>Machine Learning A-Z™: Hands-On Python &amp; R In Data Science. Learn to create Machine Learning Algorithms in Python and R from two Data Science experts. Code templates included.  #MachineLearning #DataScience</t>
  </si>
  <si>
    <t>https://buff.ly/2NfqoZs</t>
  </si>
  <si>
    <t>https://pbs.twimg.com/media/Eu7IeJDXAAIoR31.jpg</t>
  </si>
  <si>
    <t>Articles, guides and methods on how to realize the benefits of new #tech . Created by @ricartrodrig. #AI #MachineLearning #DataScience #technology and more.</t>
  </si>
  <si>
    <t>http://techbusinessguide.com</t>
  </si>
  <si>
    <t>nanoHUB</t>
  </si>
  <si>
    <t>SIMULATION TOOL: #MachineLearning for #MaterialsScience. Demonstrates the use of #Python and #Jupyter Notebooks to query, organize, and visualize materials data.</t>
  </si>
  <si>
    <t>https://nanohub.org/tools/mseml</t>
  </si>
  <si>
    <t>pic.twitter.com/WTCTjZ6ZsQ</t>
  </si>
  <si>
    <t>Online simulation, research, collaboration, teaching, learning, and publishing. Free accounts, free access to over 6,500 resources including simulation tools.</t>
  </si>
  <si>
    <t>http://nanoHUB.org</t>
  </si>
  <si>
    <t>Ahsan Noor</t>
  </si>
  <si>
    <t>Q: What does javascript call his son? A: JSON 😅 #China #BreakingNews #100DaysOfCode #CodeNewbie #webdev #javascript #MachineLearning #Trump #Tesla #Bitcoin #Hassan #Messi #Pawri #Israel #Corona #PZvsMS #HBLPSL6</t>
  </si>
  <si>
    <t>Mars</t>
  </si>
  <si>
    <t>~Edging #Survivor ~MS #Scholar ~#AI #Researcher ~#CSS Aspirant ~#FullStack Dev ~Loves #STEM, Chess, Snooker, &amp; #Fitness ~Tweets #Motivation, #Life &amp; #Tech Tips</t>
  </si>
  <si>
    <t>https://anoortech.com/</t>
  </si>
  <si>
    <t>Technology News</t>
  </si>
  <si>
    <t>Deep learning #MachineLearning #deeplearning #learning via</t>
  </si>
  <si>
    <t>Follow us for news and trends for #AI, #ArtificialIntelligence, #MachineLearning, #Robotics, #Digitalization, #SmartCity, #Industry40</t>
  </si>
  <si>
    <t>MCUNet: Tiny Deep Learning on IoT devices  #machinelearning via @AIMedHQ</t>
  </si>
  <si>
    <t>https://buff.ly/3bBEn46</t>
  </si>
  <si>
    <t>Foldable variable chassis #robot from Zarrouk Lab v/ @yywwy3 #DEVCommunity #Programming #coding #100DaysOfCode #IoT #IIoT #IoTPL #AI #MachineLearning #ML #Python #CloudComputing #Analytics #Serverless #womenwhocode #cybersecurity #DataScience #BigData #5G #RPA #NLP #robotics #DX  RT @Eli_Krumova: Foldable variable chassis #robot from Zarrouk Lab v/ @yywwy3 #DEVCommunity #Programming #coding #100DaysOfCode #IoT #IIoT #IoTPL #AI #MachineLearning #ML #Python #CloudComputing #Analytics #Serverless #womenwhocode #cybersecurity #DataScience #BigData #5G #RPA #NLP #robotics #DX</t>
  </si>
  <si>
    <t>https://twitter.com/Eli_Krumova/status/1360165796878639106
https://twitter.com/yywwy3/status/1360123693947490310</t>
  </si>
  <si>
    <t>https://pbs.twimg.com/media/Eu7HxxeXcAUIq3j.png
https://pbs.twimg.com/media/EuBG9VkXMAQWafP.png</t>
  </si>
  <si>
    <t>MTI Tech AI Lab (Data Science) in Vietnam</t>
  </si>
  <si>
    <t>[Data Science Blog] AWS – Batch Process and Data Analytics  #datascience #datascientist #mathematics #artificialintelligence #researcher #vietnam #machinelearning #dataanalytics #deeplearning #statistics #ai #neuralnetwork #ml #research #algorithm</t>
  </si>
  <si>
    <t>https://ailab.mti-vietnam.vn/blog/2021/02/22/aws-architecture-batch-processing-and-data-analytics/</t>
  </si>
  <si>
    <t>Ho Chi Minh City,Vietnam</t>
  </si>
  <si>
    <t>AI / Data Science Lab in Vietnam. Healthcare / Weather Data Science. ベトナム・ホーチミンにあるAI(人工知能)・データサイエンスラボ。 ヘルスケアデータサイエンス、天気、ビジネスデータサイエンスなど。</t>
  </si>
  <si>
    <t>https://ailab.mti-vietnam.vn/</t>
  </si>
  <si>
    <t>Sayan Dey</t>
  </si>
  <si>
    <t>There exists a huge gap between expectations and reality :) #datascience #machinelearning #artificialintelligence #deeplearning</t>
  </si>
  <si>
    <t>https://pbs.twimg.com/media/Eu7H060XUAAZp3T.jpg</t>
  </si>
  <si>
    <t>Bengaluru, India</t>
  </si>
  <si>
    <t>Data Scientist | BI Consultant | Machine Learning Engineer | AI | Deep Learning | Speaker | Corporate Trainer</t>
  </si>
  <si>
    <t>https://www.linkedin.com/in/sayandey01/</t>
  </si>
  <si>
    <t>Artificial Intelligence in India</t>
  </si>
  <si>
    <t>#ann #ai #ArtificialIntelligence #roboticsindia #MachineLearning #TexasFreeze #Corona</t>
  </si>
  <si>
    <t>https://www.quantamagazine.org/artificial-neural-nets-finally-yield-clues-to-how-brains-learn-20210218/</t>
  </si>
  <si>
    <t>Artificial Intelligence related updates and free AI education in India. Access free learning session below. To be in touch mailto: statsmatterin@gmail.cm</t>
  </si>
  <si>
    <t>FortressIQ</t>
  </si>
  <si>
    <t>IT leaders are already starting to reap the rewards promised by #AI and #machinelearning -- and a recent survey reveals half are considering greater investment as we hit economic headwinds. Read more here:</t>
  </si>
  <si>
    <t>http://bit.ly/3s1e9hO
https://www.cio.com/article/3570613/ai-and-machine-learning-powering-the-next-gen-enterprise.html</t>
  </si>
  <si>
    <t>We're helping companies discover digital transformation at an enterprise scale. Join the team: https://www.fortressiq.com/about/#careers</t>
  </si>
  <si>
    <t>http://fortressiq.com</t>
  </si>
  <si>
    <t>SBMI</t>
  </si>
  <si>
    <t>A patent shows how facial recognition drones could identify you from above #biometrics #ml #machinelearning #AI #artificialintelligence</t>
  </si>
  <si>
    <t>http://ow.ly/C9OW30rxVdK</t>
  </si>
  <si>
    <t>The Texas Medical Center</t>
  </si>
  <si>
    <t>Educating leaders in health informatics since 1997. Located in the Texas Medical Center at Houston, TX.</t>
  </si>
  <si>
    <t>https://sbmi.uth.edu/applynow/</t>
  </si>
  <si>
    <t>RapidMiner</t>
  </si>
  <si>
    <t>Sophisticated online conspiracy theories need an equally sophisticated response 🧐 @conversationUS explains how #MachineLearning tools can help us differentiate between true and false narratives 🔍</t>
  </si>
  <si>
    <t>https://buff.ly/3t4FYad</t>
  </si>
  <si>
    <t>RapidMiner is a data science platform that unifies data prep, machine learning, and model operations. Depth for data scientists, simplified for everyone else.</t>
  </si>
  <si>
    <t>https://rapidminer.com</t>
  </si>
  <si>
    <t>Lityx</t>
  </si>
  <si>
    <t>In this week's roundup, learn how AI is used to track mosquitos, within banks, and in conjunction with advanced analytics within CPG. Also, consider the impact of academic fraud and a world in which AI displaces jobs. #machinelearning #analytics</t>
  </si>
  <si>
    <t>http://ow.ly/tQZP50DHbYb</t>
  </si>
  <si>
    <t>Lityx makes sophisticated analytics accessible to businesses of all sizes. https://lityx.com</t>
  </si>
  <si>
    <t>https://lityx.com/</t>
  </si>
  <si>
    <t>Exxact Corporation</t>
  </si>
  <si>
    <t>Is China emerging as the global leader in #AI, or does the open ended nature of the industry erase most competitive boundaries?  via @HarvardBiz #NLP #speechrecognition #imagerecognition #machinelearning #datasets #Didi #BigData</t>
  </si>
  <si>
    <t>https://hbr.org/2021/02/is-china-emerging-as-the-global-leader-in-ai</t>
  </si>
  <si>
    <t>https://pbs.twimg.com/media/Eu7HyyUWYAIL2a4.jpg</t>
  </si>
  <si>
    <t>Fremont, CA</t>
  </si>
  <si>
    <t>GPU Workstations, Servers, &amp; HPC Clusters for Deep Learning, AI, &amp; Scientific Computing. Value Added Distributor of Professional Graphics Cards. #Exxact</t>
  </si>
  <si>
    <t>http://www.exxactcorp.com</t>
  </si>
  <si>
    <t>🤣@dataartisan1: #DataScience in reality 🆚 in #tutorials #fridaymorning #FridayFeeling #FridayMotivation #AI #ArtificialIntelligence #100DaysOfCode #MachineLearning #ML #IoT #IIoT #IoTPL #BigData #Analytics #RPA #NLP #5G #CloudComputing #Python #RStats #coding #Programming #dev  RT @Eli_Krumova: 🤣@dataartisan1: #DataScience in reality 🆚 in #tutorials #fridaymorning #FridayFeeling #FridayMotivation #AI #ArtificialIntelligence #100DaysOfCode #MachineLearning #ML #IoT #IIoT #IoTPL #BigData #Analytics #RPA #NLP #5G #CloudComputing #Python #RStats #coding #Programming #dev</t>
  </si>
  <si>
    <t>https://twitter.com/Eli_Krumova/status/1362774658966302720
https://twitter.com/Eli_Krumova/status/1360963234321285126</t>
  </si>
  <si>
    <t>https://pbs.twimg.com/media/Eu7Hf67XcAIpbWT.png
https://pbs.twimg.com/media/EumMK9qXAAg0lpt.png</t>
  </si>
  <si>
    <t>TechVisor</t>
  </si>
  <si>
    <t>Info Support: AI wordt in 2021 volwassen: 9 stappen op weg naar een succesvolle implementatie  #InfoSupport #ArtificialIntelligence #MachineLearning #KunstmatigeIntelligentie #AI</t>
  </si>
  <si>
    <t>https://tinyurl.com/y8duyu2w</t>
  </si>
  <si>
    <t>https://pbs.twimg.com/media/Eu7HYFZXIAow0Y1.jpg</t>
  </si>
  <si>
    <t>Nederland</t>
  </si>
  <si>
    <t>TechVisor is hét platform voor 24x7 actualiteit en achtergrond informatie over de ontwikkelingen en stand van zaken in de (inter)nationale tech industrie.</t>
  </si>
  <si>
    <t>http://www.techvisor.nl</t>
  </si>
  <si>
    <t>Lavenir Consultoría y Soluciones #TIC</t>
  </si>
  <si>
    <t>En @Lavenir_co implementamos mecanismos de #iA y #MachineLearning para entender el contexto en el que interactúan los usuarios y así ofrecer respuestas cada vez más acertadas. #ChatBots y #VoiceBots</t>
  </si>
  <si>
    <t>https://pbs.twimg.com/media/Eu7CboCXYAItaS8.png</t>
  </si>
  <si>
    <t>Somos el aliado en el camino hacia la #TransformaciónDigital de tu Organización integrando talento, #Innovación y #Tecnología.</t>
  </si>
  <si>
    <t>http://www.lavenir.com.co</t>
  </si>
  <si>
    <t>Shahtech</t>
  </si>
  <si>
    <t>Are you looking for a #logo #design? Contact Us;  #Seek #MachineLearning #AI #100DaysOfCode #Python #DEVCommunity #IoT #flutter #javascript #Serverless #WomenWhoCode #branding #logotype #StockMarket #tuesdayvibe #DebForInterior iPhone 13 Erica Tether</t>
  </si>
  <si>
    <t>https://cutt.ly/FlhN1ho</t>
  </si>
  <si>
    <t>https://pbs.twimg.com/media/Eu7G1I3VcAUg-OW.jpg</t>
  </si>
  <si>
    <t>https://www.fiverr.com/shahtech88?up_rollout=true</t>
  </si>
  <si>
    <t>Student Success</t>
  </si>
  <si>
    <t>🇪🇸🗣️ No os perdáis esta sesión en inglés sobre @SSuccess_data el próximo 4 de marzo a las 12:00 (CET -1) 🗣️ 🇬🇧🗣️You can't miss this session about @SSuccess_data on March 4 at 12 pm (CET -1)🗣️ #bigdata #ml #MachineLearning #edtech #EdTechMonday #AI RT @virtualeduca: ¡No te pierdas la sesión "Student Success: Big Data y Machine Learning" que impartirán Jose Antonio Lagares y Antonio Zarauz de @Educabily! ¡Inscríbete al congreso para aprender con los grandes expertos de la educación!  #CongresoVE #VirtualEduca</t>
  </si>
  <si>
    <t>Sevilla</t>
  </si>
  <si>
    <t>🇪🇸Mejoramos la experiencia y resultados del #aprendizaje del estudiante con #MachineLearning |🇬🇧Improving student’s learning experience and results with #ML</t>
  </si>
  <si>
    <t>http://www.studentsuccessdata.com</t>
  </si>
  <si>
    <t>#Python &amp; #DataScience for Beginners👨🏽‍💻 👉🏽 #JavaScript #BigData #Analytics #blockchain #ML #DeepLearning #MachineLearning #AI #ArtificialIntelligence #programming #Coding #100DaysOfCode #CloudComputing #Serverless #IoT #IoTPL #IIoT #RPA #NLP #DataScientists  RT @Eli_Krumova: #Python &amp;amp; #DataScience for Beginners👨🏽‍💻 👉🏽 #JavaScript #BigData #Analytics #blockchain #ML #DeepLearning #MachineLearning #AI #ArtificialIntelligence #programming #Coding #100DaysOfCode #CloudComputing #Serverless #IoT #IoTPL #IIoT #RPA #NLP #DataScientists</t>
  </si>
  <si>
    <t>https://jucktion.com/forum/udemy-coupon/python-and-data-science-for-beginners-59-99-to-free-javascript-bigdata-blockchai/
https://twitter.com/Eli_Krumova/status/1363124588234833920
https://twitter.com/CourseOp/status/1363053406336798722</t>
  </si>
  <si>
    <t>https://pbs.twimg.com/media/Eu7G6poWQAAFJgf.png
pic.twitter.com/Yl3hhkTrfM</t>
  </si>
  <si>
    <t>Milo Camacho</t>
  </si>
  <si>
    <t>Arturo Appoints R&amp;D Lead to Bring New Machine Learning Applications to the Global Insurance Industry - Rome News-Tribune  #machinelearning #ai #technology</t>
  </si>
  <si>
    <t>http://dlvr.it/RtKFbf</t>
  </si>
  <si>
    <t>https://pbs.twimg.com/media/Eu7G_MNUcAQFlLV.jpg</t>
  </si>
  <si>
    <t>Cleveland, OH</t>
  </si>
  <si>
    <t>Never stop #learning and #adapting, the day you do you are ready to die!</t>
  </si>
  <si>
    <t>https://www.itviconsultants.com</t>
  </si>
  <si>
    <t>Nordic AI Artificial Intelligence Institute</t>
  </si>
  <si>
    <t>Rokk3r Acquires AdMobilize and MATRIX Labs to Grow AI/IoT Holdings. #aiforgood #robotics #MachineLearning</t>
  </si>
  <si>
    <t>https://www.prnewswire.com/news-releases/rokk3r-acquires-admobilize-and-matrix-labs-to-grow-aiiot-holdings-301233644.html</t>
  </si>
  <si>
    <t>Global</t>
  </si>
  <si>
    <t>The Global Hub for #ArtificialIntelligence for industries and public organisations (founded in 2015). Director Christian Guttmann @chrisxtg</t>
  </si>
  <si>
    <t>http://www.nordicAIinstitute.com</t>
  </si>
  <si>
    <t>Educabily</t>
  </si>
  <si>
    <t>Sevilla, España</t>
  </si>
  <si>
    <t>🇪🇸Desarrollamos apps educativas para mejorar la enseñanza y el aprendizaje.| 🇬🇧We develop educational apps to improve the teaching and learning experience.</t>
  </si>
  <si>
    <t>http://www.educabily.com</t>
  </si>
  <si>
    <t>Future Facts</t>
  </si>
  <si>
    <t>As a Principal #MachineLearning #Engineer, we don't have to tell you that #data is the foundation for #AI solutions. You create real value for our clients by implementing #bigdata solutions, often from the #cloud. Check out our #vacancy!</t>
  </si>
  <si>
    <t>https://bit.ly/3aphL7o</t>
  </si>
  <si>
    <t>https://pbs.twimg.com/media/Eu7G3uxXMAgRIz7.jpg</t>
  </si>
  <si>
    <t>Amsterdam, Noord-Holland</t>
  </si>
  <si>
    <t>Gespecialiseerd in business analytics dienstverlening: slimme analyses met direct bruikbare resultaten.</t>
  </si>
  <si>
    <t>http://www.futurefacts.nl</t>
  </si>
  <si>
    <t>Neural network training progress image 46 of unknown: an algorithm slowly learns to imagine #machinelearning #art #imagination #surreal #abstract #creativity #machinecreativity #machineimagination #neuralnetworks #coding #creativecoding #python #tensorflow #nvidia #digitalart</t>
  </si>
  <si>
    <t>https://pbs.twimg.com/media/Eu7GrGOXEAAiMfy.jpg</t>
  </si>
  <si>
    <t>😂 @SourabhSKatoch: 'Satan getting back to work' #100DaysOfCode #MachineLearning #ML #Python #programming #IoT #IIoT #IoTPL #AI #womenwhocode #RStats #Serverless #5G #CloudComputing #cybersecurity #NLP #RPA #CodeNewbie #DataScience #Analytics #BigData #DEVCommunity #Coding #tech  RT @Eli_Krumova: 😂 @SourabhSKatoch: 'Satan getting back to work' #100DaysOfCode #MachineLearning #ML #Python #programming #IoT #IIoT #IoTPL #AI #womenwhocode #RStats #Serverless #5G #CloudComputing #cybersecurity #NLP #RPA #CodeNewbie #DataScience #Analytics #BigData #DEVCommunity #Coding #tech</t>
  </si>
  <si>
    <t>https://twitter.com/Eli_Krumova/status/1359172763643244549
https://twitter.com/SourabhSKatoch/status/1357066579331014657</t>
  </si>
  <si>
    <t>https://pbs.twimg.com/media/Eu7GtABWQAgG_XD.png
https://pbs.twimg.com/media/EtzAI9UXUAUBAP-.png</t>
  </si>
  <si>
    <t>In this paper, Google researchers evaluated three different classes of Edge TPU accelerators, covering various computing ecosystems, across more than 423K unique CNNs, outlining critical architectural insights about Edge TPUs. #MachineLearning</t>
  </si>
  <si>
    <t>https://arxiv.org/pdf/2102.10423.pdf</t>
  </si>
  <si>
    <t>https://pbs.twimg.com/media/Eu7Gl3FXIAUudVP.jpg</t>
  </si>
  <si>
    <t>System Soft Technologies</t>
  </si>
  <si>
    <t>10 easy steps to #automate your small and mid-sized business, without breaking the bank. Learn to develop a cost-effective strategy and execution plan for intelligent #automation. Join us on Thursday!  #ai #artificialintelligence #machinelearning</t>
  </si>
  <si>
    <t>https://hubs.li/H0H235F0</t>
  </si>
  <si>
    <t>Tampa, FL</t>
  </si>
  <si>
    <t>Full-spectrum IT services - Digital Transformation, Big data, App Development Services &amp; Talent Acquisition | Products: @delphiantrading @elysiumanalytic</t>
  </si>
  <si>
    <t>http://sstech.us</t>
  </si>
  <si>
    <t>What will rapid #progress in #ArtificialInteligence mean for our #life, #work and #jobs? #AI pioneer @kaifulee will explain the perils and promises at #DLDAllStars next: Free registration:  #futureofwork #MachineLearning</t>
  </si>
  <si>
    <t>https://pbs.twimg.com/media/Eu7GfdRWYAMjMcq.jpg</t>
  </si>
  <si>
    <t>Andreas Munzel</t>
  </si>
  <si>
    <t>The latest The Online Consumer Daily!  Thanks to @muru_guru @bexxmodd @ideamarkets_ #ai #machinelearning</t>
  </si>
  <si>
    <t>http://news.andreasmunzel.com/?edition_id=7824ae10-75f1-11eb-a51d-0cc47a0d164b</t>
  </si>
  <si>
    <t>Montpellier, France</t>
  </si>
  <si>
    <t>Academic | Trainer | Speaker. Full Professor, Founder of The Marketing Analytics Academy. Founder. Tweets in EN, FR, DE &amp; tweets reflect personal views.</t>
  </si>
  <si>
    <t>https://elink.io/999b4e6</t>
  </si>
  <si>
    <t>DeftBOX Solutions Pvt Ltd</t>
  </si>
  <si>
    <t>“As more and more artificial intelligence is entering into the world, more and more emotional intelligence must enter into leadership.” Amit Ray, Famous AI Scientist #artificialintelligence #machinelearning #deeplearning #deftboxsolutions #ai #machinelearning #datascience</t>
  </si>
  <si>
    <t>https://pbs.twimg.com/media/Eu7GbUvVEAQu23q.jpg</t>
  </si>
  <si>
    <t>Ahmadabad City, India</t>
  </si>
  <si>
    <t>Expert and professional team delivering E2E solutions related to #machinelearning , #nlp , #devops , #automation , #cloud , #progressivewebapps</t>
  </si>
  <si>
    <t>https://deftboxsolutions.com</t>
  </si>
  <si>
    <t>Helixa</t>
  </si>
  <si>
    <t>It’s natural to want to move first and beat your opponents to the punch. But when it comes to #machinelearning, you need a plan if you want to be around to finish the game:</t>
  </si>
  <si>
    <t>https://bit.ly/373fxsd</t>
  </si>
  <si>
    <t>Meaningful insight into your audience, what delights them, and how to reach them - in minutes, not hours. #AI #data #research #audienceinsights</t>
  </si>
  <si>
    <t>http://www.helixa.ai</t>
  </si>
  <si>
    <t>André David</t>
  </si>
  <si>
    <t>Can machining learning be done via machine learning? #TyposInTheWild #MachineLearning</t>
  </si>
  <si>
    <t>https://pbs.twimg.com/media/Eu7FaK1XYAQWBu6.png</t>
  </si>
  <si>
    <t>likely in the lab.</t>
  </si>
  <si>
    <t>Physicist @CERN ✴︎Prof @istecnico ✴︎Views my own ✴︎Higgs boson📏@CMSExperiment ✴︎📝#Physics🧲 #Science✨#STEM👩‍💻#SciComm📢#MachineLearning🤖#DataViz📊#TyposInTheWild🖊️</t>
  </si>
  <si>
    <t>http://cern.ch/adavid</t>
  </si>
  <si>
    <t>Skyl.ai</t>
  </si>
  <si>
    <t>Machines with the help of image recognition and deep learning are being trained to ‘see’, learn by example and understand the world. Read more about image recognition and its real-life applications.  #machinelearning #ai #imagerecognition</t>
  </si>
  <si>
    <t>https://hubs.li/H0H3GFX0</t>
  </si>
  <si>
    <t>Manhattan, NY</t>
  </si>
  <si>
    <t>Skyl is a Machine Learning Platform dedicated to allowing every organization on the planet to implement ML! Follow for the latest ML news and information!</t>
  </si>
  <si>
    <t>http://www.skyl.ai</t>
  </si>
  <si>
    <t>Tim McNamee</t>
  </si>
  <si>
    <t>Be sure to register for Cloudera Now on March 11. In this one-day event, you'll learn how you can do so much more with your #data while leveraging Cloudera Data Platform. #hybridcloud #MachineLearning #AI</t>
  </si>
  <si>
    <t>https://bit.ly/37FDqGB</t>
  </si>
  <si>
    <t>https://pbs.twimg.com/media/Eu7F97tWYAAJowQ.jpg</t>
  </si>
  <si>
    <t>Virginia, USA</t>
  </si>
  <si>
    <t>👤</t>
  </si>
  <si>
    <t>In Plain English</t>
  </si>
  <si>
    <t>Predictive Modeling:  #SupportVectorMachine #MachineLearning #DataScience #LinearRegression #DeepLearning</t>
  </si>
  <si>
    <t>https://medium.com/ai-in-plain-english/predictive-modeling-1ec1246f5376</t>
  </si>
  <si>
    <t>🤹🏼‍♀️ Learn about AI, JavaScript + Python • ✍️ Over 2.5M views each month • 🧙‍♂️ By @sunilsandhu • @AI_PlainEnglish @JS_PlainEnglish @PY_PlainEnglish</t>
  </si>
  <si>
    <t>https://plainenglish.io</t>
  </si>
  <si>
    <t>How Big Tech use Machine Learning?  #MachineLearning</t>
  </si>
  <si>
    <t>https://medium.com/analytics-vidhya/how-big-tech-use-machine-learning-446d2d3bf686</t>
  </si>
  <si>
    <t>Information Age</t>
  </si>
  <si>
    <t>Training #machinelearning models to be #futureready  @applause @EagleEyeCloud @Franki_hackett @EngineB_</t>
  </si>
  <si>
    <t>https://pbs.twimg.com/media/Eu7FgHDXIAAgewN.jpg</t>
  </si>
  <si>
    <t>UK</t>
  </si>
  <si>
    <t>Leading business-technology magazine and website. Dissecting innovation to drive business</t>
  </si>
  <si>
    <t>https://www.information-age.com/</t>
  </si>
  <si>
    <t>IJYI</t>
  </si>
  <si>
    <t>In Part 2 of our Tech Trends mini series, Tim Naish, Principle Software Consultant at IJYI gives us a great insight into Artificial Intelligence &amp; Machine Learning -  #ai #machinelearning #artificialintelligence #azure #microsoft</t>
  </si>
  <si>
    <t>https://youtu.be/kIc3rO5afxg</t>
  </si>
  <si>
    <t>Ipswich, England</t>
  </si>
  <si>
    <t>Software Delivery &amp; DevOps Experts. We help customers to develop innovative, high quality and cost-effective solutions to support their business.</t>
  </si>
  <si>
    <t>https://www.ijyi.com/software-development-news/executive-roundtable-events-at-ijyi/</t>
  </si>
  <si>
    <t>Coding Perspective Bot</t>
  </si>
  <si>
    <t>Mathematical Optimization in Python: Linear Programming  #gurobi #optimization #coding #algorithms #python #machineLearning #phdlife</t>
  </si>
  <si>
    <t>https://youtu.be/7sMhvLn02P8</t>
  </si>
  <si>
    <t>You can follow us via @CodingPerspect A place to learn how to code effectively #Python, #Gurobi, #LaTeX, and #R</t>
  </si>
  <si>
    <t>http://www.youtube.com/c/CodingPerspective</t>
  </si>
  <si>
    <t>DeepAI</t>
  </si>
  <si>
    <t>Level up your data science vocabulary: Beta Distribution  #MachineLearning #BetaDistribution</t>
  </si>
  <si>
    <t>https://deepai.org/machine-learning-glossary-and-terms/beta-distribution</t>
  </si>
  <si>
    <t>California</t>
  </si>
  <si>
    <t>DeepAI offers an A.I. agent that anyone can quickly teach to perform a visual task in addition to making the latest research &amp; information more accessible.</t>
  </si>
  <si>
    <t>https://deepai.org</t>
  </si>
  <si>
    <t>Never lose hope! #China #BreakingNews #100DaysOfCode #CodeNewbie #webdev #javascript #MachineLearning #HBLPSL6 #Trump #AuratMarch #Tesla #Bitcoin #Hassan #Messi #Pawri #Israel #Corona #coronavirus #PZvsMS #Islam</t>
  </si>
  <si>
    <t>https://pbs.twimg.com/media/Eu7FCxgVgAUw7xm.jpg</t>
  </si>
  <si>
    <t>JADBio</t>
  </si>
  <si>
    <t>Read our CASE STUDY: Automated #MachineLearning in #healthcare and medical diagnosis: #COVID19. Let us know if you’re also working on SARS-CoV-2 research to include you in our Research Licensing Program today!</t>
  </si>
  <si>
    <t>https://www.jadbio.com/covid-19-research/</t>
  </si>
  <si>
    <t>Free AutoML tool for biomedical data.</t>
  </si>
  <si>
    <t>http://www.jadbio.com</t>
  </si>
  <si>
    <t>#InternetofThings Landscape in 2021🎯 ➡️ By @IDC #BigData #Analytics #DataScience #AI #MachineLearning #ML #IoT #IIoT #IoTPL #Python #RStats #TensorFlow #5G #Serverless #RPA #NLP #Cloud #4IR #Industry40 #5G #Programming #Coding #100DaysofCode @R_Demidchuk  RT @VeronicaBlancoR: The 2021 Internet of Things Landscape 🔍✨ by @IDC v @R_Demidchuk  #BigData #Analytics #DataScience #AI #MachineLearning #IoT #IIoT #Python #RStats #TensorFlow #5G #JavaScript #ReactJS #Cloud #4IR #DataScientist #Linux #Programming #Coding #100DaysofCode</t>
  </si>
  <si>
    <t>https://blogs.idc.com/2021/02/08/the-internet-of-things-market-at-a-glance
https://twitter.com/VeronicaBlancoR/status/1364224106535641092</t>
  </si>
  <si>
    <t>https://pbs.twimg.com/media/Eu7Em26WQAEV7UL.png
https://pbs.twimg.com/media/Eu6v8dRUUAsJ-nE.jpg</t>
  </si>
  <si>
    <t>Datamente</t>
  </si>
  <si>
    <t>En la economía digital, es imprescindible entender el funcionamiento y la importancia de los motores de recomendación:  #MachineLearning</t>
  </si>
  <si>
    <t>http://ow.ly/GSXq50DtfVS</t>
  </si>
  <si>
    <t>https://pbs.twimg.com/media/Eu7EqYyWYAk58Sd.jpg</t>
  </si>
  <si>
    <t>Somos fanáticos de los #datos y nos encanta ayudar a las #empresas a transformarlas en organizaciones propulsadas por datos</t>
  </si>
  <si>
    <t>http://www.datamente.es?utm_source=twitter&amp;utm_medium=profile&amp;utm_campaign=website</t>
  </si>
  <si>
    <t>Matthew Renze</t>
  </si>
  <si>
    <t>Why Teach An AI To Climb Stepping Stones? 🤖  @twominutepapers #AI #ArtificialIntelligence #DataScience #ML #MachineLearning</t>
  </si>
  <si>
    <t>https://youtu.be/ZZ-kORb8grA</t>
  </si>
  <si>
    <t>Las Vegas, NV</t>
  </si>
  <si>
    <t>#DataScience consultant, president of @SerenzeGlobal, co-organizer of @AntarctiConf, @Pluralsight author, @Microsoft MVP, @ASPInsider. he/him</t>
  </si>
  <si>
    <t>http://www.matthewrenze.com</t>
  </si>
  <si>
    <t>Arjen van Berkum</t>
  </si>
  <si>
    <t>The #CoronavirusCrisis will transform #aviation, giving airlines their best chance yet to address #ClimateChange. Sustainable fuels are a key part of that #strategy. - via @McKinsey »  #AI #MachineLearning #ML #BigData #IoT #DeepLearning #Robotics</t>
  </si>
  <si>
    <t>http://ow.ly/JGI230rxLIa</t>
  </si>
  <si>
    <t>Delft NL</t>
  </si>
  <si>
    <t>#FutureOfWork | Motivational columnist &amp; speaker | Lives #automation and #AI | RPA | Innovation | Disruption | CDO | #ContractManagement</t>
  </si>
  <si>
    <t>http://www.arjenvanberkum.com</t>
  </si>
  <si>
    <t>Head back to the Main Stage at 11:15am EST for our Optimizing #AI and #MachineLearning in #Risk Frameworks panel! #GARPriskcon</t>
  </si>
  <si>
    <t>Puneet</t>
  </si>
  <si>
    <t>#DataAnnotation: A Bottleneck in Creating a Highly-Accurate #MachineLearning Model!  👉 Check out @Labellerr1 the fastest and smartest ai-powered data annotation platform. #digitaltransformation #ai #deeplearning #nextgen #technology #data #retail</t>
  </si>
  <si>
    <t>https://bit.ly/3aMyDVY</t>
  </si>
  <si>
    <t>Chandigarh, India</t>
  </si>
  <si>
    <t>@labellerr1 enabling AI driven computer vision and voice NLP in Retail!</t>
  </si>
  <si>
    <t>https://www.labellerr.com</t>
  </si>
  <si>
    <t>Tech Junkie</t>
  </si>
  <si>
    <t>LIME: How to Interpret #MachineLearning Models With Python  #TechJunkieBlog</t>
  </si>
  <si>
    <t>https://bit.ly/3aauvyD</t>
  </si>
  <si>
    <t>https://pbs.twimg.com/media/Eu7EeFfXYAcKxP6.jpg</t>
  </si>
  <si>
    <t>http://techjunkieblog.com , promoter of coding. Coding should be fun. How you think is just as important as what you think. News,games,Movies,TV, invest junkie</t>
  </si>
  <si>
    <t>http://www.techjunkieblog.com</t>
  </si>
  <si>
    <t>Vertica</t>
  </si>
  <si>
    <t>New version of @VerticaUnified 10.1 expands #MachineLearning and #AdvancedAnalytics with #XGBoost! Read more highlights...  #TeamVertica</t>
  </si>
  <si>
    <t>https://bit.ly/2NPey8g</t>
  </si>
  <si>
    <t>The Unified Analytics Warehouse Highest performing analytics and machine learning at extreme scale.</t>
  </si>
  <si>
    <t>https://www.vertica.com/</t>
  </si>
  <si>
    <t>Best of  for AI, Machine Learning, and Deep Learning – January 2021  #DL #AI #ML #DeepLearning #ArtificialIntelligence #MachineLearning #ComputerVision #AutonomousVehicles #NeuroMorphic #Robotics</t>
  </si>
  <si>
    <t>http://arXiv.org
https://buff.ly/3si1d7p</t>
  </si>
  <si>
    <t>5 Papers on Face Recognition Every Data Scientist Should Read  by @AmbalinaLimarc via @Hackernoon #DataScience #AI #MachineLearning #DeepLearning Cc @jblefevre60 @DeepLearn007 @SpirosMargaris @schmarzo @KirkDBorne @DiegoKuonen @bobehayes</t>
  </si>
  <si>
    <t>https://hackernoon.com/5-papers-on-face-recognition-every-data-scientist-should-read-2n4o34g7</t>
  </si>
  <si>
    <t>https://pbs.twimg.com/media/Eu7EZHBXEAEEypq.jpg</t>
  </si>
  <si>
    <t>What is confusion Matrix ? #MachineLearning #AI #learnmachinelearning #themlguru</t>
  </si>
  <si>
    <t>AI Australia</t>
  </si>
  <si>
    <t>AI Australia is proud to present one of its amazing data scientist: Dr Yang, who is not afraid to have a bit of fun, in between collecting, cleaning and interpreting data. 😀 #tech #ai #datascience #bigdata #analytics #machinelearning #iot #innovation #dataprotection #databas ...</t>
  </si>
  <si>
    <t>https://pbs.twimg.com/media/Eu7EX-YWgAQfz8p.jpg</t>
  </si>
  <si>
    <t>Sydney, New South Wales</t>
  </si>
  <si>
    <t>AI Australia is a dynamic brand committed to seeing artificial intelligence change the way we live and work.</t>
  </si>
  <si>
    <t>http://www.AIAustralia.org</t>
  </si>
  <si>
    <t>Free Hipwee</t>
  </si>
  <si>
    <t>Deep Learning :Adv. Computer Vision (object detection+more!) #udemyfree #udemycoupon =&gt;  #TensorFlow #DeepLearning #ArtificialIntelligence #GoogleCloud #DataEngineer #NeuralNetworks #MachineLearning #javascript30 #100DaysOfCode #udemy</t>
  </si>
  <si>
    <t>https://freehipwee.blogspot.com/2021/02/advanced-computer-vision-transfer-learning-with-tensorflow.html</t>
  </si>
  <si>
    <t>100% Off udemy Coupon , Free Udemy Discount , Online Courses #udemy #discount #Development #business #IT #Software #designer #Marketing #PhotographyIslife #musi</t>
  </si>
  <si>
    <t>Feed the Future Innovation Lab for Fish</t>
  </si>
  <si>
    <t>The Fish Innovation Lab and partners are using 🛰#RemoteSensing and 💻#MachineLearning to improve data systems for sustainable #aquaculture development in #Bangladesh. Learn more:  @WorldFishCenter @CANRatMSU @MSUAFRE @BiovIntCIAT_eng</t>
  </si>
  <si>
    <t>https://www.fishinnovationlab.msstate.edu/newsroom/2021/02/emerging-technologies-improve-aquaculture-data-systems-bangladesh</t>
  </si>
  <si>
    <t>https://pbs.twimg.com/media/Eu604F1VgAwwF2O.jpg</t>
  </si>
  <si>
    <t>Starkville, MS</t>
  </si>
  <si>
    <t>Funded by @usaid, led by @msstate, and working to alleviate poverty and improve nutrition through reliable and inclusive provision of fish for food.</t>
  </si>
  <si>
    <t>https://www.fishinnovationlab.msstate.edu</t>
  </si>
  <si>
    <t>PK</t>
  </si>
  <si>
    <t>As #MachineLearning is moving from research to applied business solutions, enterprises need to improve their operation processes. Find out what the difference is between #Data #Science and #Machine Learning and how it can benefit your #business here:  #PK</t>
  </si>
  <si>
    <t>http://ow.ly/vw9H50DHKx1</t>
  </si>
  <si>
    <t>https://pbs.twimg.com/media/Eu7ES68WYAAqcuZ.jpg</t>
  </si>
  <si>
    <t>US-Mexico-India-Argentina</t>
  </si>
  <si>
    <t>Design. Build. Run the Future.</t>
  </si>
  <si>
    <t>https://pkglobal.com/</t>
  </si>
  <si>
    <t>https://ift.tt/3uro0iU</t>
  </si>
  <si>
    <t>Mr. A Kundi</t>
  </si>
  <si>
    <t>Lenovo’s #VR Classroom Experience is helping inner city students escape the confines of their neighborhoods to a future full of possibilities. {} #lenovostories #education #lenovo #technology #MachineLearning #Simulation #EducationNeverDies #OwnIt</t>
  </si>
  <si>
    <t>https://fave.co/39GBKOG</t>
  </si>
  <si>
    <t>http://www.thelondontree.com</t>
  </si>
  <si>
    <t>Big Data Turkey</t>
  </si>
  <si>
    <t>📚 . . #MachineLearning #coding #DataScience #Python #bigdata #DeepLearning #ArtificialIntelligence #veribilimi #makineögrenmesi #yapayzeka #derinögrenme</t>
  </si>
  <si>
    <t>https://pbs.twimg.com/media/Eu7D8mdXIAUo7jD.jpg</t>
  </si>
  <si>
    <t>Türkiye</t>
  </si>
  <si>
    <t>Değişime öncülük eden sosyal ve teknik bir platform Telegram: https://t.me/bigdataturkeyy</t>
  </si>
  <si>
    <t>Blueprint: The Science of Success  #DataScience #MachineLearning #NLP #Analytics #AI #100DaysOfCode #DEVCommunity #DevOps #IoT #Serverless #5G #DataScience #QuBit #Coding #Programming #BigData #R #Bicep #Python #Java #internetofthings #goals #viande</t>
  </si>
  <si>
    <t>Zimmerman</t>
  </si>
  <si>
    <t>We are identifying data sparsity in the complete #IATI datarealm. We will share some early identifications and once our analysis is done we will share it here as well. The blacked out space means data is plentiful, the white spaces means = data sparsity #data #MachineLearning</t>
  </si>
  <si>
    <t>https://pbs.twimg.com/media/Eu7DaG4XEAA8JNw.png</t>
  </si>
  <si>
    <t>Amsterdam, The Netherlands</t>
  </si>
  <si>
    <t>We contribute to a better understanding for effective aid development through the lens of open data and data visualisation.</t>
  </si>
  <si>
    <t>https://zimmerman.team</t>
  </si>
  <si>
    <t>Xfund</t>
  </si>
  <si>
    <t>Stochastic, part of @innovationlab’s Venture Program, is bringing #machinelearning solutions to businesses via elastic #cloud computing.</t>
  </si>
  <si>
    <t>https://bit.ly/2LpxdXv</t>
  </si>
  <si>
    <t>Palo Alto, CA &amp; Cambridge, MA</t>
  </si>
  <si>
    <t>Early stage capital for lateral thinkers.</t>
  </si>
  <si>
    <t>http://www.xfund.com</t>
  </si>
  <si>
    <t>Roche Diagnostics</t>
  </si>
  <si>
    <t>How can #machinelearning make a difference in #personalisedhealthcare? Read about two promising examples here:</t>
  </si>
  <si>
    <t>http://bit.ly/37FjXGe</t>
  </si>
  <si>
    <t>https://pbs.twimg.com/media/Eu7DUBcVEAAJzGN.jpg</t>
  </si>
  <si>
    <t>Transforming the way diseases can be prevented, diagnosed and monitored. Read our community guidelines: http://bit.ly/2OoomDW</t>
  </si>
  <si>
    <t>https://diagnostics.roche.com</t>
  </si>
  <si>
    <t>Danny .I</t>
  </si>
  <si>
    <t>Could someone explain OLS regression, Ridge regression and also Lasso regression? #ArtificialIntelligence #DataScience #MachineLearning #Python #Statistics #statisticallearning #DataVisualization #DataScientist</t>
  </si>
  <si>
    <t>On a mission to apply Python to machine learning and help everyone learn Chinese language</t>
  </si>
  <si>
    <t>Aaron Zuccolin</t>
  </si>
  <si>
    <t>Great summary of our own DANIEL WALDNER's latest webinar with the EDM Council and TAMR on #machinelearning to manage data in corporate finance and financial services.</t>
  </si>
  <si>
    <t>http://ow.ly/OZqO50DHJpA</t>
  </si>
  <si>
    <t>Neurons.AI - The Global AI Ecosystem #intoAI #AI</t>
  </si>
  <si>
    <t>International lab to focus on interface of AI and humans - “The CROSSING lab will b  #machinelearning #intoAInews</t>
  </si>
  <si>
    <t>https://neurons.ai/blog/news-stories/international-lab-to-focus-on-interface-of-ai-and-humans/</t>
  </si>
  <si>
    <t>talk@into.AI</t>
  </si>
  <si>
    <t>http://Neurons.AI - The #AI Knowledge and Global Community Platform. Helps you learn more about #AI #intoAI Also see @Awards_AI</t>
  </si>
  <si>
    <t>http://Neurons.AI</t>
  </si>
  <si>
    <t>Donato Pasqualicchio</t>
  </si>
  <si>
    <t>This AI reads children's emotions as they learn  #DataScience #MachineLearning #Python #AI #100DaysOfCode #IoT #flutter #javascript #Serverless #womenintech #CyberSecurity #RStats #Automation #tech #innovation #Robots #Marketing #data #emotions #edtech</t>
  </si>
  <si>
    <t>https://edition.cnn.com/2021/02/16/tech/emotion-recognition-ai-education-spc-intl-hnk/index.html</t>
  </si>
  <si>
    <t>Bologna, Emilia Romagna</t>
  </si>
  <si>
    <t>Engineer @Microsoft working to bring people, process and technology to #Cloud, #DevOps and #ModernServiceManagement</t>
  </si>
  <si>
    <t>https://blogs.technet.microsoft.com/techlazy</t>
  </si>
  <si>
    <t>Machine Learning Operationalization Software Market Segmented by Product, Top -  #machinelearning #intoAInews</t>
  </si>
  <si>
    <t>https://neurons.ai/blog/news-stories/machine-learning-operationalization-software-market-segmented-by-product-top-manufacturers-2/</t>
  </si>
  <si>
    <t>AI Here, There, Everywhere - They are working on distilling  #machinelearning #intoAInews</t>
  </si>
  <si>
    <t>https://neurons.ai/blog/news-stories/ai-here-there-everywhere-2/</t>
  </si>
  <si>
    <t>ARTIBA</t>
  </si>
  <si>
    <t>With more than 137,000 Python libraries and 198,826 #python packages available, choosing the right library can be a daunting task:  #machinelearning #deeplearning #technology #digitaltransformation #coding #artiba #AI</t>
  </si>
  <si>
    <t>http://bit.ly/2P0GJSd</t>
  </si>
  <si>
    <t>ARTIBA, designed for #ArtificialIntelligence professionals for the purpose of providing excellence in #AI practices and strategies. #Machinelearning #ML</t>
  </si>
  <si>
    <t>http://www.artiba.org</t>
  </si>
  <si>
    <t>Machine Learning in Manufacturing Market Next Big Thing : Major Giants Dataiku, -  #machinelearning #intoAInews</t>
  </si>
  <si>
    <t>https://neurons.ai/blog/news-stories/machine-learning-in-manufacturing-market-next-big-thing-major-giants-dataiku-bosch-nvidia/</t>
  </si>
  <si>
    <t>IBM’s Hernandez Discusses Future of AIOps and Measuring ROI - What does it mean with  #machinelearning #intoAInews</t>
  </si>
  <si>
    <t>https://neurons.ai/blog/news-stories/ibms-hernandez-discusses-future-of-aiops-and-measuring-roi/</t>
  </si>
  <si>
    <t>Ontario Systems Acquires Pairity to Embed the Power of Machine Learning in Its -  #machinelearning #intoAInews</t>
  </si>
  <si>
    <t>https://neurons.ai/blog/news-stories/ontario-systems-acquires-pairity-to-embed-the-power-of-machine-learning-in-its-industry-leading/</t>
  </si>
  <si>
    <t>Machine Learning Market (2021 to 2025) | Growing Application in Industry, Presents -  #machinelearning #intoAInews</t>
  </si>
  <si>
    <t>https://neurons.ai/blog/news-stories/machine-learning-market-2021-to-2025-growing-application-in-industry-presents-opportunities/</t>
  </si>
  <si>
    <t>Machine Learning Model Analysis Using TensorBoard - Machine Learning is growing by  #machinelearning #intoAInews</t>
  </si>
  <si>
    <t>https://neurons.ai/blog/news-stories/machine-learning-model-analysis-using-tensorboard/</t>
  </si>
  <si>
    <t>Machine learning method identifies precancerous colon polyps - - A machine learning  #machinelearning #intoAInews</t>
  </si>
  <si>
    <t>https://neurons.ai/blog/news-stories/machine-learning-method-identifies-precancerous-colon-polyps/</t>
  </si>
  <si>
    <t>Paresh Banerjee</t>
  </si>
  <si>
    <t>6 mathematical topics that underlie much of the theory of #MachineLearning and #AI - Rajesh T. Krishnamachari #DataScience #AI #Statistics</t>
  </si>
  <si>
    <t>https://www.linkedin.com/posts/tkrajesh_mathematical-foundations-of-machine-learning-activity-6769676599236341761-gcsW</t>
  </si>
  <si>
    <t>Software | Payments | Technology | AI/ML | Foodie | Travel | Cinema | Photography</t>
  </si>
  <si>
    <t>CT Colonography Identifies Pre-Malignant Polyps with Machine-Based Learning -  #machinelearning #intoAInews</t>
  </si>
  <si>
    <t>https://neurons.ai/blog/news-stories/ct-colonography-identifies-pre-malignant-polyps-with-machine-based-learning-algorithm/</t>
  </si>
  <si>
    <t>iA en Español</t>
  </si>
  <si>
    <t>Mañana tenemos una cita: #DataScientist #datascience #Ai #iA #MachineLearning #Latam RT @MoureDev: ¡Siguen las entrevistas en @TwitchES! 🥳 Esta semana tendremos el honor de charlar con Yesi Days (@silvercorp), Científica de Datos y Doctora en Inteligencia Artificial Prepárate para descubrir el camino del Data Scientist 😍 MIÉRCOLES 24 🎙  ¿Un RT? 🙏🏼</t>
  </si>
  <si>
    <t>https://twitter.com/MoureDev/status/1363964281692303360
https://twitch.tv/mouredev</t>
  </si>
  <si>
    <t>https://pbs.twimg.com/media/Eu2J_MUXcAAL0EZ.jpg</t>
  </si>
  <si>
    <t>América Latina / España</t>
  </si>
  <si>
    <t>Cuenta de " iA técnica " desde lo básico hasta el aprendizaje profundo. Algoritmos_Español ML + DL + BG_Data_SC + Redes Neuronales 🌐 http://bit.ly/2Sd12u9 🗺</t>
  </si>
  <si>
    <t>Eduguy Career Predictive Test</t>
  </si>
  <si>
    <t>Keep yourself updated with more career options with ECPT and learn which suits your future the most. Visit  to take an EPCT FREE 15-min Test. #careerdevelopment #careerplanning #machinelearning #datascience #FindSomethingNew #Eduguy #IBM #Education</t>
  </si>
  <si>
    <t>http://ecptonline.com</t>
  </si>
  <si>
    <t>https://pbs.twimg.com/media/Eu7CXCOVoAADWtN.jpg</t>
  </si>
  <si>
    <t>Your career doubts need logical help! A15-min ECPT test helps you know the most accurate career options tailored for you.</t>
  </si>
  <si>
    <t>https://ecptonline.com/</t>
  </si>
  <si>
    <t>Houston H Haynes</t>
  </si>
  <si>
    <t>🤩 @DVCorg 🐲 #MLOps #MachineLearning #SoftwareEngineering RT @0xBanana: I’m here 🦠 lol you? #DevOps #Cloud #CloudComputing #DevSecOps @acloudguru</t>
  </si>
  <si>
    <t>https://twitter.com/0xBanana/status/1363297507913191425</t>
  </si>
  <si>
    <t>https://pbs.twimg.com/media/Eutn28JXUAo4ZVs.jpg</t>
  </si>
  <si>
    <t>Los Angeles</t>
  </si>
  <si>
    <t>Observability &amp; analytics for media, health, IoT &amp; e-com. Building high-performing systems and teams - #rstats #python .NET #csharp #fsharp</t>
  </si>
  <si>
    <t>https://h3tech.dev</t>
  </si>
  <si>
    <t>Making #MachineLearning Models Understandable  #BigData #Analytics #DataScience #AI #ML #MLOps #IoT #IIoT #IoTPL #Python #RStats #CloudComputing #Serverless #5G #RPA #NLP #robotics #NeuralNetworks #DataScientist #Programming #Coding #100DaysofCode #AR #VR  RT @Sheraj99: Making #MachineLearning Models Understandable!  #100DaysOfCode #AI #Analytics #ArtificialIntelligence #DataViz #DataScience #DeepLearning #DigitalTransformation #Flutter #Innovation #IoT #JavaScript #NodeJS #Programming #Python #Tech #VR #WomenWhoCode #AR</t>
  </si>
  <si>
    <t>http://bit.ly/3kbmZqH
https://twitter.com/Sheraj99/status/1364031404015763457</t>
  </si>
  <si>
    <t>https://pbs.twimg.com/media/Eu7B0LcWYAEG5Wz.png</t>
  </si>
  <si>
    <t>Khalil Oumimoun</t>
  </si>
  <si>
    <t>If you need a break from the red #StockMarket and want to get into #MachineLearning, here is a nice introductory article as part of a ML series on the Iris Dataset! :)  #100DaysOfCode #MachineLearning #Coding #Python #programming</t>
  </si>
  <si>
    <t>https://khalil-o.medium.com/machine-learning-iris-data-set-27aefe52a665</t>
  </si>
  <si>
    <t>📍🇺🇸 Computer Science Grad researcher working on surgery VR simulations. 🇲🇦 #unity3d #100DaysOfCode #Django #gamedev #AI</t>
  </si>
  <si>
    <t>Amit Jha (AJ)</t>
  </si>
  <si>
    <t>Last chance to register for #AWSInnovate Online Conference! Don't miss the opportunity to level up your AI &amp; #MachineLearning skills.</t>
  </si>
  <si>
    <t>https://amzn.to/3bwcCtp</t>
  </si>
  <si>
    <t>https://pbs.twimg.com/media/Eu7CMxTWgAEyo-D.jpg</t>
  </si>
  <si>
    <t>Cloud..Developer Advocate, Identity &amp; Security, .Net on AWS, App modernization, solution architect, ex-Microsoft. I work for @AWSCloud &amp; my opinions are my own.</t>
  </si>
  <si>
    <t>Derived From Data</t>
  </si>
  <si>
    <t>#VideoStreaming apps log 1 Trillion hours in 2020 Full analysis:  #AlternativeData #ArtificialIntelligence #MachineLearning #Netflix #Hulu #ESPNPLUS #Roku #Twitch #Sling $ROKU $DIS $T $RIG $GLD $CMG $BMBL $UA $LEN $RH $GS $ZG $EEMA $PBR $F $CCL $CGC $NFLX</t>
  </si>
  <si>
    <t>https://dfdnews.com/2021/02/18/time-spent-in-video-streaming-apps-hit-nearly-1-trillion-hours-in-2020/</t>
  </si>
  <si>
    <t>https://pbs.twimg.com/media/Eu7A37mWgAM0WXX.jpg</t>
  </si>
  <si>
    <t>Derived from Data News (DFD News) aims to bring you news and research articles based on hard data. See the data and draw your own conclusions.</t>
  </si>
  <si>
    <t>http://dfdnews.com</t>
  </si>
  <si>
    <t>ℂ ℝ! by Ananya Banerjee via #TowardsAI →  #MachineLearning #ML #ArtificialIntelligence #AI #DataScience #DeepLearning #Technology #Programming #news #research #Science</t>
  </si>
  <si>
    <t>https://pub.towardsai.net/%E2%84%82-%E2%84%9D-62efb53acc8a?source=rss----98111c9905da---4?source=social.tw</t>
  </si>
  <si>
    <t>Robofied</t>
  </si>
  <si>
    <t>Folks, we're back with The Interview Hour from Robofied. Have you heard of the Dependency Parsing Algorithm? if yes then answer without looking in the box down below. #30DaysofCode #100DaysofCode #python #coding #100DaysOfMLCode #CodeNewbie #MachineLearning #ml #DevCommunityIN</t>
  </si>
  <si>
    <t>https://pbs.twimg.com/media/Eu7CH2QVIAM62ro.jpg</t>
  </si>
  <si>
    <t>Gurgaon, India</t>
  </si>
  <si>
    <t>Robofied is the world's first complete Artificial Intelligence platform working towards Singularity. #robofied #machinelearning #artificialintelligence</t>
  </si>
  <si>
    <t>http://www.robofied.com</t>
  </si>
  <si>
    <t>How to evaluate you model using the Confusion Matrix by Eugenia Anello via #TowardsAI →  #MachineLearning #ML #ArtificialIntelligence #AI #DataScience #DeepLearning #Technology #Programming #news #research #Science</t>
  </si>
  <si>
    <t>https://pub.towardsai.net/deep-understanding-of-confusion-matrix-6ab1f88a267e?source=rss----98111c9905da---4?source=social.tw</t>
  </si>
  <si>
    <t>AI Guild</t>
  </si>
  <si>
    <t>1 week to go to our monthly Tuesday #Members #Meetup - 2 March 19:00 CEST Mark your calendars and see you there! 👋  #social #community #networking #datascience #data #artificialintelligencenow #MachineLearning #DeepLearning</t>
  </si>
  <si>
    <t>https://lnkd.in/d7KzUsP</t>
  </si>
  <si>
    <t>Official web: http://theguild.ai | The go-to #community for #data and #business professionals advancing #AI adoption</t>
  </si>
  <si>
    <t>http://linkedin.com/company/ai-guild</t>
  </si>
  <si>
    <t>M. Dey</t>
  </si>
  <si>
    <t>Artificial pancreas system upgraded with AI algorithm | #AI #HealthCare #IoT #Diabete #MachineLearning #DeepLearning #ReinforcementLearning #SmartHealth</t>
  </si>
  <si>
    <t>https://bit.ly/3keHbrw</t>
  </si>
  <si>
    <t>In the #mood for #innovation #digital #technology #ai #iot #datascience #blockchain #newbusinessmodels |</t>
  </si>
  <si>
    <t>https://business-analytics-info.fr/</t>
  </si>
  <si>
    <t>Alizay</t>
  </si>
  <si>
    <t>I find that the harder I work, the more luck I seem to have. ~Thomas Jefferson @shecodesio #WomenWhoCode #China #BreakingNews #100DaysOfCode #CodeNewbie #webdev #javascript #MachineLearning #hafeez #HBLPSL6 #Trump #AuratMarch #Tesla #Bitcoin #Hassan #Messi #Pawri #Israel #Corona</t>
  </si>
  <si>
    <t>https://pbs.twimg.com/media/Eu7AD_BVEAUWz8E.jpg</t>
  </si>
  <si>
    <t>Planet Earth!</t>
  </si>
  <si>
    <t>Tech GaL | #Beautician | Learning #HTML, #CSS, #JavaScript | Cat Owner | ~Help me learn #Coding ~I can help u with #Beauty tips! #WomenWhoCode #WomenInTech</t>
  </si>
  <si>
    <t>Muse Healthcare</t>
  </si>
  <si>
    <t>We've created M-use cases to help staff utilize basic features within the Muse tool. Download this M-use case to learn how you can identify patients who haven't received a recent visit:  #machinelearning #predictiveanalytics #hospice #usecase #download</t>
  </si>
  <si>
    <t>https://www.musehc.com/recent-visits-m-use-case</t>
  </si>
  <si>
    <t>pic.twitter.com/6uW902Xk5e</t>
  </si>
  <si>
    <t>Equipping clinicians with world-class analytics to ensure every hospice patient transitions with unparalleled quality and dignity.</t>
  </si>
  <si>
    <t>http://www.musehc.com</t>
  </si>
  <si>
    <t>Arnold Haine</t>
  </si>
  <si>
    <t>How to Test #MachineLearning Code and Systems</t>
  </si>
  <si>
    <t>https://buff.ly/3pL2S3H</t>
  </si>
  <si>
    <t>https://pbs.twimg.com/media/Eu7B1SAWgAUJaH0.jpg</t>
  </si>
  <si>
    <t>COO/CTO @Groupe_BVA | Passionnate about #IA, #DataScience, #DataViz, #IoT, #Cloud, but also motorcycle, cooking, wine, family... In one word: life!!</t>
  </si>
  <si>
    <t>http://bva-group.com/</t>
  </si>
  <si>
    <t>Matthew O'Keefe</t>
  </si>
  <si>
    <t>You can program machine learning in the @OracleDatabase via Python or let AutoML do the heavy lifting building your models for you. Add Zeppelin Notebooks to provide workflow coordination within your team. @CharlieDataMine @MarkHornick @thatjeffsmith</t>
  </si>
  <si>
    <t>https://blogs.oracle.com/machinelearning/introducing-oracle-machine-learning-for-python-v2</t>
  </si>
  <si>
    <t>St Michael, MN</t>
  </si>
  <si>
    <t>Engineer, former schoolteacher, videographer, sailor. I help build &amp; distribute great products. Works @Oracle but views are my own.</t>
  </si>
  <si>
    <t>http://linkd.in/1ELhUIE</t>
  </si>
  <si>
    <t>Noorah Alhasan</t>
  </si>
  <si>
    <t>Any #MachineLearning, #AI, #DeepLearning folks that work on composite indices in the human development world? Would love to chat about functional forms of indices. Thanks!</t>
  </si>
  <si>
    <t>Austin, TX</t>
  </si>
  <si>
    <t>PhD student, @UTAustin. Emacs and org-mode enthusiast. Been cleaning data this whole time.</t>
  </si>
  <si>
    <t>http://noorahalhasan.com</t>
  </si>
  <si>
    <t>AppColl, Inc.</t>
  </si>
  <si>
    <t>Your #intellectualproperty Portfolio Can't Manage Itself...  helps patent firms and corporations create and file better #patents, #trademarks, #inventions more cost-effectively. How can we help you? #iot #ai #machinelearning</t>
  </si>
  <si>
    <t>http://AppColl.com</t>
  </si>
  <si>
    <t>https://pbs.twimg.com/media/Eu7BepdUcAAzCuN.jpg</t>
  </si>
  <si>
    <t>https://www.appcoll.com</t>
  </si>
  <si>
    <t>Big-O Complexity Chart for #JavaScript 👨🏽‍💻 #Random #100DaysOfCode #Coding #programming #WomenWhoCode #Engineering #WebDeveloper #webdev #DataScience #BigData #Analytics #AI #ML #MachineLearning #DL #IoT #IIoT #IoTPL #5G #Serverless #CloudComputing #RPA #NLP #DEVCommunity #tech  RT @HarmanManchanda: Big-O Complexity Chart 💁‍♂️ #JavaScript #Random #Code #100DaysOfCode #Coding #programming #MenWhoCode #WomenWhoCode #Engineering #WebDeveloper #webdevelopment #Webinar</t>
  </si>
  <si>
    <t>https://twitter.com/HarmanManchanda/status/1364165340796657670</t>
  </si>
  <si>
    <t>https://pbs.twimg.com/media/Eu7BIq6XIAYmB6j.png
https://pbs.twimg.com/media/Eu58pruVEAAi1bo.jpg</t>
  </si>
  <si>
    <t>Marina Mayer</t>
  </si>
  <si>
    <t>Kickoff is in 20 minutes for today's SCN Summit. Gabriel Werner from @BlueYonder will discuss how #ArtificialIntelligence and #MachineLearning empowers organizations to achieve environmental responsibility across the supply chain. Register now!</t>
  </si>
  <si>
    <t>https://event.on24.com/eventRegistration/EventLobbyServlet?target=reg20.jsp&amp;partnerref=ACBM&amp;eventid=2978609&amp;sessionid=1&amp;key=81CFF5D9836DCD32D9E16DFC9F5B6EC8&amp;regTag=20</t>
  </si>
  <si>
    <t>Illinois, USA</t>
  </si>
  <si>
    <t>Editor-in-chief of @FoodLogistics and @SDCExec. #SupplyChain Guru. #Logistics Lover. #FoodSupplyChain #PharmaSupplyChain</t>
  </si>
  <si>
    <t>Mason &amp; Wake</t>
  </si>
  <si>
    <t>🎓 Money laundering fears as universities accept £52m in cash - The Times #machinelearning #MoneyLaundering #TheTimes</t>
  </si>
  <si>
    <t>https://tinyurl.com/y97mawr9</t>
  </si>
  <si>
    <t>https://pbs.twimg.com/media/Eu7BbDOXcAAsV3G.jpg</t>
  </si>
  <si>
    <t>Thanks for following! We're Global #Sales Search: #bizdev #businessdevelopment #marketing #socialmedia nick.marangos@masonwake.com https://www.masonwake.com</t>
  </si>
  <si>
    <t>http://www.masonwake.com</t>
  </si>
  <si>
    <t>Vishvdeep Dasadiya</t>
  </si>
  <si>
    <t>I just published Real-Time Insights from Social media Data — #DataScience Case Study 🧙‍♂️ #MachineLearning #ML #ArtificialIntelligence #AI #DataScientist #data #Python3 #pythonBot #pythonlearning #TensorFlow #DataAnalytics</t>
  </si>
  <si>
    <t>https://link.medium.com/rMX8iBn86db</t>
  </si>
  <si>
    <t>Pune, India</t>
  </si>
  <si>
    <t>Software Engineer @Accenture | Machine Learning &amp; Data Science blog writer @AnalyticsVidhya | Programer | #MachineLearning | Indian | Data ऋषि - blogger</t>
  </si>
  <si>
    <t>http://datarishi.in/</t>
  </si>
  <si>
    <t>Python Programming</t>
  </si>
  <si>
    <t>Analysis and Predicting Stock Trends with Python #morioh #python #machinelearning #programming #data</t>
  </si>
  <si>
    <t>https://morioh.com/p/8e9d9d4161c5?f=5c21fb01c16e2556b555ab32</t>
  </si>
  <si>
    <t>#python #programming</t>
  </si>
  <si>
    <t>https://morioh.com</t>
  </si>
  <si>
    <t>The Evolution of Digital Banking Post COVID-19 #MachineLearning</t>
  </si>
  <si>
    <t>https://ai-summary.com/summary-the-evolution-of-digital-banking-post-covid-19/?utm_medium=social-organic&amp;utm_source=twitter</t>
  </si>
  <si>
    <t>Annette Sophonie</t>
  </si>
  <si>
    <t>Fortnite now has video chat – here's how to use it: #BigData #MachineLearning #AI #IoT ht @worldtrendsinfo</t>
  </si>
  <si>
    <t>https://www.techradar.com/news/fortnite-now-has-video-chat-heres-how-to-use-it</t>
  </si>
  <si>
    <t>https://pbs.twimg.com/media/Eu7A8r3VkAIfRfj.jpg</t>
  </si>
  <si>
    <t>Burbank, CA</t>
  </si>
  <si>
    <t>Living in a #3D world, building a future in #AugmentedReality. #AR #VR #MX</t>
  </si>
  <si>
    <t>Tech San Diego</t>
  </si>
  <si>
    <t>Missed our AI &amp; Machine Learning series featuring experts from @BoozAllen and @SDRegionalEDC ? You can view the playback at @Tech_SanDiego 's YouTube Channel here:  #artificialintelligence #sandiego #cooley #boozallen #sandiegoregionaledc #machinelearning</t>
  </si>
  <si>
    <t>https://youtu.be/N4UWeTbYdOY</t>
  </si>
  <si>
    <t>Tech San Diego is the unifying voice of technology community. Together we foster innovation and business growth.</t>
  </si>
  <si>
    <t>http://www.techsandiego.org</t>
  </si>
  <si>
    <t>Revista Byte TI</t>
  </si>
  <si>
    <t>Cómo entender el cambio climático con el Machine Learning  #MachineLearning #CambioClimático</t>
  </si>
  <si>
    <t>https://buff.ly/3qJqs2c</t>
  </si>
  <si>
    <t>https://pbs.twimg.com/media/Eu7A6w5XAAA3rYG.jpg</t>
  </si>
  <si>
    <t>Boadilla del Monte, España</t>
  </si>
  <si>
    <t>Revista y portal de noticias de Informática para profesionales #TIC. Todo para el #CIO, #CTO, Director de Sistemas, #CMO, #CEO y #CFO. Información a medida</t>
  </si>
  <si>
    <t>http://www.revistabyte.es</t>
  </si>
  <si>
    <t>Fredrik Lindsten</t>
  </si>
  <si>
    <t>Looking forward to an interesting IDA Machine Learning Seminar by @CuturiMarco tomorrow on "Differentiating through Optimal Transport",</t>
  </si>
  <si>
    <t>https://www.ida.liu.se/research/machinelearning/seminars/</t>
  </si>
  <si>
    <t>Associate Professor at Linköping University, Sweden, interested in how statistical methodology can be used to quantify uncertainty in machine learning.</t>
  </si>
  <si>
    <t>Ensemble Machine Learning in Python: Adaboost, XGBoost  #machinelearning #ad</t>
  </si>
  <si>
    <t>https://zpy.io/08df06bd</t>
  </si>
  <si>
    <t>https://bit.ly/3aLaQ8I</t>
  </si>
  <si>
    <t>https://bit.ly/3uAzK2S</t>
  </si>
  <si>
    <t>guidaautonoma</t>
  </si>
  <si>
    <t>#Driverless Car Testing in #California  #SelfDrivingCars #AI #IoT #5G #AutonomousVehicles #selfdriving #autonomous #Robotics #driverlesscars #startups #startup #Robot #MachineLearning #BigData #SmartCity #Travel #tech #Robots #mobility #Transport #delivery</t>
  </si>
  <si>
    <t>https://www.mekkographics.com/driverless-car-testing-in-california/</t>
  </si>
  <si>
    <t>https://pbs.twimg.com/media/Eu7AgazXIAYgK5_.jpg</t>
  </si>
  <si>
    <t>Genova Italy</t>
  </si>
  <si>
    <t>#Autonomous #Vehicles: Welcome to the robot on the road revolution! 🚚🚗🚌 And not just on the road...🚜 🚁⛴ Stay up to date with us. ▶️english ▶️ italiano</t>
  </si>
  <si>
    <t>https://medium.com/@guidaautonoma</t>
  </si>
  <si>
    <t>MoveForward</t>
  </si>
  <si>
    <t>#newscoding #codingnews #coding #programming #programmer #developer #python #code #coder #technology #java #webdeveloper #tech #webdevelopment #software #webdesign #softwaredeveloper #programmers #machinelearning #development #nasa #mard #codingforkids #moveforward100</t>
  </si>
  <si>
    <t>https://pbs.twimg.com/media/Eu7AfKQUcAYXZ7s.jpg</t>
  </si>
  <si>
    <t>Become a Creator of Technology! Come code with us... ;)</t>
  </si>
  <si>
    <t>https://moveforward100.com/scheduler/</t>
  </si>
  <si>
    <t>Finance</t>
  </si>
  <si>
    <t>VIDEO: Eigenvectors and #Eigenvalues – #MachineLearning Foundations</t>
  </si>
  <si>
    <t>http://dlvr.it/RtK7hJ</t>
  </si>
  <si>
    <t>Empowering #FinancialInclusion #Finance #Sustainability #ESG #Bigdata #FinTech #Innovation #Business #Money #financialfreedom and #Governance</t>
  </si>
  <si>
    <t>Ashish Kumar</t>
  </si>
  <si>
    <t>Lets meet #TechWorldCongress by #efy Session 1: “Leveraging #IoT in #drones &amp; Related Applications” #RoarUpBharat #RoarUp #ArtificialIntelligence #AI #twc #MachineLearning #DataScience #amosta #eustan #Ashish @Unnatbharat_Tw @startupindia @AIMtoInnovate @nitin_gadkari</t>
  </si>
  <si>
    <t>https://pbs.twimg.com/media/Eu7AVTWU4AEvdDg.jpg</t>
  </si>
  <si>
    <t>Singapore</t>
  </si>
  <si>
    <t>Strategic Investor &amp; Global Resource Mobilizer - Investment Banking | Private Equity | Venture Capital | M&amp;A | Advisory &amp; Consulting | @eustanventures</t>
  </si>
  <si>
    <t>http://www.eustan.com</t>
  </si>
  <si>
    <t>Julien Simon</t>
  </si>
  <si>
    <t>Join us this Friday for #SageMaker Fridays. We'll give you a 90-minute hands-on tour of all the new SageMaker launches from AWS re:Invent 2020  #AWS #MachineLearning</t>
  </si>
  <si>
    <t>https://amazonsagemakerfridays.splashthat.com/</t>
  </si>
  <si>
    <t>Global #AI &amp; #MachineLearning Evangelist @awscloud. Author of "Learn Amazon SageMaker" https://amzn.to/35b7RUR #FreeAssange #Snowden</t>
  </si>
  <si>
    <t>https://www.youtube.com/juliensimonfr</t>
  </si>
  <si>
    <t>Dr. Ganapathi Pulipaka</t>
  </si>
  <si>
    <t>#Azure #MachineLearning Service Example Notebooks. #BigData #Analytics #DataScience #AI #IoT #IIoT #PyTorch #Python #RStats #TensorFlow #Java #JavaScript #ReactJS #GoLang #CloudComputing #Serverless #DataScientist #Linux #Programming #Coding #100DaysofCode</t>
  </si>
  <si>
    <t>https://bit.ly/2HcgPpG</t>
  </si>
  <si>
    <t>https://pbs.twimg.com/media/Eu7APUaWgAMPObQ.jpg</t>
  </si>
  <si>
    <t>Redondo Beach, CA</t>
  </si>
  <si>
    <t>Chief #AI #HPC Scientist | #Speaker | PostDoc CS, PhD | Bestselling #Author | 18.4M V | Top #BigData #DataScience #MachineLearning #IIoT Influencer @Onalytica</t>
  </si>
  <si>
    <t>http://www.gppulipaka.org</t>
  </si>
  <si>
    <t>OROBIX</t>
  </si>
  <si>
    <t>📢 Futuri #datascientists vi aspettiamo domani 24/02 dalle ore 14 per mettervi alla prova insieme a noi e #AntaresVision su un caso concreto di #MachineLearning 👉  #ArtificialIntelligence #DeepLearning #DataScience #recruiting #coding #WeMakeAIhappen #AI</t>
  </si>
  <si>
    <t>https://www.careerservice.polimi.it/it-IT/Meetings/Home/Index/?eventId=23667</t>
  </si>
  <si>
    <t>https://pbs.twimg.com/media/Eu6-AkmXEAEu4qF.jpg</t>
  </si>
  <si>
    <t>Bergamo, Italy</t>
  </si>
  <si>
    <t>The #AI Service Company: we implement and manage the lifecycle of #ArtificialIntelligence solutions through http://Invariant.ai® our deployment and governance platform</t>
  </si>
  <si>
    <t>http://www.orobix.com</t>
  </si>
  <si>
    <t>Nicolas Babin #AmazonPartner</t>
  </si>
  <si>
    <t>New machine learning theory raises questions about nature of science  #innovation #feedly #machinelearning #science #ArtificialIntelligence</t>
  </si>
  <si>
    <t>https://www.sciencedaily.com/releases/2021/02/210212094120.htm</t>
  </si>
  <si>
    <t>Key Opinion Leader #KOL, consultant &amp; speaker on #AI, #5G, #digital #digitaltransformation, #ehealth, #gamification #sustainability . RT # endorsement</t>
  </si>
  <si>
    <t>https://babin-business-consulting.com/blog</t>
  </si>
  <si>
    <t>Great Learning</t>
  </si>
  <si>
    <t>Click on the link to book your slot for FREE 1:1 career counselling! Sign-up:  Get mentored by experts in domains like #datascience, #cloudcomputing, #artificialintelligence, #machinelearning &amp; #management on Feb 27th &amp;amp; 28th! #GreatLearning #PowerAhead</t>
  </si>
  <si>
    <t>https://bit.ly/2NQFdBN</t>
  </si>
  <si>
    <t>https://pbs.twimg.com/media/Eu6_LI2VEAAnADZ.jpg</t>
  </si>
  <si>
    <t>India's leading provider for online professional &amp; higher education</t>
  </si>
  <si>
    <t>https://www.greatlearning.in/</t>
  </si>
  <si>
    <t>Goforth Scientific</t>
  </si>
  <si>
    <t>What will make a data science CV attractive—and separate yourself from the wannabes  #BIGDATA #DATASCIENCE #MACHINELEARNING #AI</t>
  </si>
  <si>
    <t>http://bit.ly/2NTjzNf</t>
  </si>
  <si>
    <t>Leesburg, Virginia</t>
  </si>
  <si>
    <t>Data analytics for geospatial intelligence</t>
  </si>
  <si>
    <t>https://goforthsci.com</t>
  </si>
  <si>
    <t>#AWS #MachineLearning Blog: Architect and build the full machine learning lifecycle with AWS: An end-to-end Amazon SageMaker demo /</t>
  </si>
  <si>
    <t>https://amzn.to/3bBdrRK</t>
  </si>
  <si>
    <t>R “Ray” Wang 王瑞光 #1A #RuleTheWorld #DigitalGiants</t>
  </si>
  <si>
    <t>The latest Data2Decisions (#BigData Analytics)!  #bigdata #machinelearning</t>
  </si>
  <si>
    <t>https://paper.li/rwang0/1328150054?edition_id=db146290-75ec-11eb-9bb6-0cc47a0d1605</t>
  </si>
  <si>
    <t>Silicon Valley | SF | FL 410+</t>
  </si>
  <si>
    <t>@ConstellationR #CEO @DisrupTVShow BestSelling #Author @HarvardBiz @hcleadership Keynoter #Futurist Provocateur #EDM #DJ #Foodie #SVLife #TaiwaneseAm🇹🇼🇺🇸</t>
  </si>
  <si>
    <t>https://www.raywang.org/</t>
  </si>
  <si>
    <t>BENDR for BCI: UToronto’s BERT-Inspired DNN Training Approach Learns From Unlabelled EEG Data  #machinelearning #deeplearning #artificialintelligence</t>
  </si>
  <si>
    <t>https://syncedreview.com/2021/02/22/bendr-for-bci-utorontos-bert-inspired-dnn-training-approach-learns-from-unlabelled-eeg-data/?utm_source=dlvr.it&amp;utm_medium=twitter</t>
  </si>
  <si>
    <t>Corniche Corp</t>
  </si>
  <si>
    <t>What's Keeping Women Out of Data Science? #MachineLearning #learning via</t>
  </si>
  <si>
    <t>http://twinybots.ch
https://www.cxotoday.com/big-data/whats-keeping-women-out-of-data-science/</t>
  </si>
  <si>
    <t xml:space="preserve">Cyberspace </t>
  </si>
  <si>
    <t>#DigitalTransformation #Analytics #IoT #cybersecurity #Infosec #AI #MachineLearning #Bigdata #Cloud #Privacy #Blockchain #Technology #News 📊</t>
  </si>
  <si>
    <t>Ross Raphael</t>
  </si>
  <si>
    <t>Data meets science: Open access, code, datasets, and knowledge graphs for #machinelearning research and beyond #dx #digital</t>
  </si>
  <si>
    <t>http://ow.ly/CZMs30rxQpK</t>
  </si>
  <si>
    <t>Washington DC</t>
  </si>
  <si>
    <t>Husband/dad/golfer/goalkeeper/dad to a GK #boydad #girldad #VamosUnited @DistrictUltrasX @WestHamUtd ⚒ #TogetherBlue #ALLCAPS #PSU All ideas are mine 🏳️‍🌈Ally</t>
  </si>
  <si>
    <t>https://www.linkedin.com/in/rosshraphael/</t>
  </si>
  <si>
    <t>AI in Plain English</t>
  </si>
  <si>
    <t>Visualising Data: Part 2:  #DataVisualization #Matplotlib #DataScience #MachineLearning #DeepLearning</t>
  </si>
  <si>
    <t>https://medium.com/ai-in-plain-english/visualising-data-part-2-6fc80a802299</t>
  </si>
  <si>
    <t>everywhere</t>
  </si>
  <si>
    <t>✍️ New #AI articles every day. 📚 @PlainEnglish_io family. #ML #ArtificialIntelligence #DataScience #MachineLearning</t>
  </si>
  <si>
    <t>https://ai.plainenglish.io</t>
  </si>
  <si>
    <t>ASU Ira A. Fulton Schools of Engineering</t>
  </si>
  <si>
    <t>#ASUEngineering Assistant Professor Gautam Dasarathy is rethinking traditional #machinelearning and information processing by developing interactive machine learning algorithms in a new @NSF CAREER Award project. #NSFfunded</t>
  </si>
  <si>
    <t>http://ow.ly/6eSw50DHjbl</t>
  </si>
  <si>
    <t>Tempe, AZ</t>
  </si>
  <si>
    <t>A community of Arizona State University engineers passionate about creating innovative and entrepreneurial solutions | Dean @kylesquires #ASUEngineering</t>
  </si>
  <si>
    <t>http://engineering.asu.edu</t>
  </si>
  <si>
    <t>Alex Castrounis</t>
  </si>
  <si>
    <t>How can we move #AI forward? Check out @BuiltIn's recent article on the key ways we can encourage the next generation of #artificialintelligence: . #AIadoption #AIprogress #movingAIforward #machinelearning</t>
  </si>
  <si>
    <t>https://bit.ly/3bsIHCD</t>
  </si>
  <si>
    <t>Chicago, Illinois</t>
  </si>
  <si>
    <t>#AI Author, Advisor, and Strategy Consultant | Founder of @whyofai and @innoarchitech | #AIwithAlex and #AINews on YouTube | http://youtube.com/AIwithAlex</t>
  </si>
  <si>
    <t>https://www.alexcastrounis.com</t>
  </si>
  <si>
    <t>SEMF</t>
  </si>
  <si>
    <t>▶ ¡Ya está disponible el vídeo del semfiloquio #3! ▶ @AdriGarriga | Laura González | David Tena #creatividad #machinelearning #inteligenciaartificial #GPT3 #DALLE #cognición #filosofía #ciencia #tecnología #conocimiento #lenguaje #literatura #arte</t>
  </si>
  <si>
    <t>https://www.youtube.com/watch?v=-rkZG_i4S2g</t>
  </si>
  <si>
    <t>Valencia, España</t>
  </si>
  <si>
    <t>Asociación dedicada al fomento de la indagación intelectual profunda y rigurosa, la integración del conocimiento y el encuentro interdisciplinar.</t>
  </si>
  <si>
    <t>http://semf.org.es</t>
  </si>
  <si>
    <t>JavaScript FAN</t>
  </si>
  <si>
    <t>Face Detection, Face Recognition using Node.js #morioh #nodejs #javascript #machinelearning</t>
  </si>
  <si>
    <t>https://morioh.com/p/f1ad9e5b96e6?f=5c21fb01c16e2556b555ab32</t>
  </si>
  <si>
    <t>#JavaScript is The Most Important Programming Language on Earth</t>
  </si>
  <si>
    <t>http://morioh.com</t>
  </si>
  <si>
    <t>Ceylan Altintas Taslicay</t>
  </si>
  <si>
    <t>#TSNR2021 #Neuroradiology #30thannualmeeting #Oralpresentation #MachineLearning Our presentation was awarded in the 30th annual meeting of TSNR. Thanks to the organizing committee for the well-organized event.</t>
  </si>
  <si>
    <t>https://pbs.twimg.com/media/Eu6-L4MWQAEjTBI.jpg</t>
  </si>
  <si>
    <t>Radiologist</t>
  </si>
  <si>
    <t>HomaCapital</t>
  </si>
  <si>
    <t>« Comprendre la #bulle boursière du Covid – Une réponse des modèles de #MachineLearning » par @aiforalpha x @capital_homa. En savoir plus 👉 @jjohana</t>
  </si>
  <si>
    <t>https://bit.ly/3pKelAE</t>
  </si>
  <si>
    <t xml:space="preserve">Paris, France </t>
  </si>
  <si>
    <t>Compte officiel d'HOMA CAPITAL, société de gestion de portefeuilles. Retrouvez notre actualité et nos analyses. #assetmanagement #finance</t>
  </si>
  <si>
    <t>http://homacapital.fr</t>
  </si>
  <si>
    <t>CFA Society Edmonton</t>
  </si>
  <si>
    <t>In this episode of Take 15, John Chisholm, CFA, takes the us into the world of #machinelearning and #datascience as he discusses where he sees innovation taking place and what is important in building a firm culture where quants can thrive. Listen now:</t>
  </si>
  <si>
    <t>https://buff.ly/3qCtHZg</t>
  </si>
  <si>
    <t>https://pbs.twimg.com/media/Eu698bDXEAU_r8s.png</t>
  </si>
  <si>
    <t>Edmonton, AB</t>
  </si>
  <si>
    <t>http://www.edmontoncfa.ca</t>
  </si>
  <si>
    <t>Frugal Finance</t>
  </si>
  <si>
    <t>Pros &amp; Cons Of AI Tech In Big Pharma  #AI #ArtificialIntelligence #PharmaIndustry #Pharmaceutical #Pharmacy #BigPharma #Medtech #MachineLearning #Pharma</t>
  </si>
  <si>
    <t>https://www.marketingmasterminds.org/2020/01/pros-cons-ai-pharma-industry.html</t>
  </si>
  <si>
    <t>https://pbs.twimg.com/media/EPTdg3MWoAMvqVP.jpg</t>
  </si>
  <si>
    <t xml:space="preserve">Fiscal Fitness USA </t>
  </si>
  <si>
    <t>Finance, Fitness &amp; Fun On A Frugal Budget! 3,000+ Articles &amp; Videos from 500+ Experts in 50+ Countries with 10,000,000+ Views in 200+ Countries #Frugal #Finance</t>
  </si>
  <si>
    <t>https://www.MyFrugalFitness.com</t>
  </si>
  <si>
    <t>New video on building a virtual proctoring app with Amazon Rekognition. Very fun demo! #AWS #MachineLearning #EdTech</t>
  </si>
  <si>
    <t>https://www.youtube.com/watch?v=kKVLrslta6k</t>
  </si>
  <si>
    <t>machine learning</t>
  </si>
  <si>
    <t>#MLsoGood (@Jose Luis Espejel) We're glad you're here , it's Great to have you with us 🔵 (@Jose Luis Espejel) is now following us on Twitter! 🔵  #machinelearning #DataScience #DataScientists #SztucznaInteligencja #python</t>
  </si>
  <si>
    <t>https://twitter.com/espejelj
https://ift.tt/3jviiYd</t>
  </si>
  <si>
    <t>we solve #business problems by combining #machinelearning &amp; #art 🟠 #MLsoGood #next_AI_architects #sztucznainteligencja</t>
  </si>
  <si>
    <t>https://linktr.ee/mlearning</t>
  </si>
  <si>
    <t>BBVA en España</t>
  </si>
  <si>
    <t>¿Se te ocurre una alianza mejor? 😎 @bbva se une a @GoogleCloud_ES ☁️, convirtiéndose en el primer banco europeo 🥇 en utilizar @chroniclesec, su plataforma de prevención de ciberataques basada en #IA y #MachineLearning. 👉  #ciberseguridad</t>
  </si>
  <si>
    <t>https://bbva.info/3kgiwCV</t>
  </si>
  <si>
    <t>pic.twitter.com/va2Teg6hqX</t>
  </si>
  <si>
    <t>Canal de información de BBVA en España para que estés al tanto de cada novedad, porque cuanto más sabes, mejor decides. 👋 Perfil de ayuda: @bbvaresponde_es</t>
  </si>
  <si>
    <t>http://www.bbva.es</t>
  </si>
  <si>
    <t>B&amp;B.srl</t>
  </si>
  <si>
    <t>https://pbs.twimg.com/media/Eu69oBwWYAYpXEN.jpg</t>
  </si>
  <si>
    <t>B&amp;B srl is a scientific company by @Bru_Basile active in the field of #HealthTech #MedTech #Healthcare #Imaging #Diagnostics #Temnography -Tweets by @Bru_Basile</t>
  </si>
  <si>
    <t>Machine Learning Refined. #BigData #Analytics #DataScience #AI #MachineLearning #IoT #IIoT #PyTorch #Python #RStats #TensorFlow #Java #JavaScript #ReactJS #GoLang #CloudComputing #Serverless #DataScientist #Linux #Books #Programming #Coding #100DaysofCode</t>
  </si>
  <si>
    <t>https://bit.ly/3pN8w5s</t>
  </si>
  <si>
    <t>https://pbs.twimg.com/media/Eu69lKtXYAARjYJ.jpg</t>
  </si>
  <si>
    <t>#AutomatedTrading #AlgoTrading #MachineLearning $CNK $MNKD $CAT $SPR $KSS $HFC $JBLU $VVV $SABR $CTXR $WATT $BGI $CTXR $DVAX $GHVI $SPR $MNKD $IPV $HFC $ACGL #stocks #DayTrading #SwingTrading 🙋 15% off Monthly/Yearly with Coupon Code: MYDISCOUNT15</t>
  </si>
  <si>
    <t>https://pbs.twimg.com/media/Eu69iQaXcAo44Uu.png</t>
  </si>
  <si>
    <t>Using AI is boosting revenues and cutting costs, but it’s highly variable  #artificialintelligence, #businessanalytics #ba, #datascience, #machinelearning</t>
  </si>
  <si>
    <t>https://bit.ly/3pM0IAS</t>
  </si>
  <si>
    <t>Awareness plays a key role in any well-designed security strategy. Do you agree? #Scanta #ArtificialIntelligence #MachineLearning #databreach #cyberattacks #cybersecurity #DataScience #100DaysOfCode</t>
  </si>
  <si>
    <t>10 Ways #AI And #MachineLearning Are Improving #Marketing In #2021. (Forbes) #ML</t>
  </si>
  <si>
    <t>https://buff.ly/3qJMJwO</t>
  </si>
  <si>
    <t>https://pbs.twimg.com/media/Eu1StanXEAABosf.jpg</t>
  </si>
  <si>
    <t>StarDust CTG</t>
  </si>
  <si>
    <t>L’#IA et le #MachineLearning pavent la voie aux analystes du futur ⎮ #Tech #TransformationNumerique  par @ArchimagRedac</t>
  </si>
  <si>
    <t>https://hubs.ly/H0H2L2t0</t>
  </si>
  <si>
    <t>Providing #QualityAssurance #testing services across North America and Europe.</t>
  </si>
  <si>
    <t>http://www.stardust-testing.com</t>
  </si>
  <si>
    <t>Stemify</t>
  </si>
  <si>
    <t>Awesome look at the origins of Stemify and what we're doing to help students succeed in STEM.  #studentsuccess #stemeducation #ai #machinelearning #stemify #onlinelearning #edtech</t>
  </si>
  <si>
    <t>https://today.uconn.edu/2021/02/uconn-startup-stemify-improves-math-education-with-ai/</t>
  </si>
  <si>
    <t>http://stemify.ai</t>
  </si>
  <si>
    <t>dylanrecon89</t>
  </si>
  <si>
    <t>Creepy AI sex robot tells divorced singleton she knows meaning of 'true love'  #MachineLearning</t>
  </si>
  <si>
    <t>https://www.dailystar.co.uk/news/weird-news/creepy-ai-sex-doll-tells-23548053</t>
  </si>
  <si>
    <t>I am a technology and robotics enthusiast</t>
  </si>
  <si>
    <t>When #AI Falls in Love @nytimes asked GPT-3 to tell us a little about itself and its romantic life. Down pointing backhand index  by @CadeMetz #MachineLearning #NLP @DeepLearn007 @MiaD @psb_dc @SpirosMargaris @Fisher85M @jblefevre60 @roxananasoi @ahier</t>
  </si>
  <si>
    <t>https://nytimes.com/2020/11/24/science/artificial-intelligence-gpt3-writing-love.html</t>
  </si>
  <si>
    <t>https://pbs.twimg.com/media/Eu5mcsnVcAMibx4.jpg</t>
  </si>
  <si>
    <t>Dr. Sally Eaves</t>
  </si>
  <si>
    <t>Starting in 5 Mins! 🎙️ A deep dive on #ArtificialIntelligence Empowered Conversational #Voice @audicodes with applied insights @VodafoneGroup #VoiceAI #Bots #TechNews #Spon #CX #Enterprise #CIO #CXO #ML #AI #techno #tech #innovation #MachineLearning RT @sallyeaves: As #DigitalTransformation &amp; hybrid #working advance #voice quality of mtg #experience is key How a Conversational Voice #Bot can help Join @audiocodes @VodafoneGroup 🎙️ Tues Feb23 15.30UK #Webinar #TechNews #Spon #CX #Enterprise #CIO #CXO #ML #AI #tech</t>
  </si>
  <si>
    <t>http://bit.ly/AudioCodesLive
https://twitter.com/sallyeaves/status/1363773319560978433
http://bit.ly/VoiceEvent</t>
  </si>
  <si>
    <t>https://pbs.twimg.com/media/Eu0QNw4XcAEgkfD.jpg</t>
  </si>
  <si>
    <t xml:space="preserve">London | New York | Oxford </t>
  </si>
  <si>
    <t>Innovating #tech #education #business CEO CTO Advisor Prof #AI #Cloud #IoT #IIoT #TechForGood #FinTech #SDGs #STEM #education #CX #Sustainability</t>
  </si>
  <si>
    <t>zeveigen</t>
  </si>
  <si>
    <t>protip for reporters writing about "bias in #AI" please stop blaming the toaster for burning the toast. This isn't a problem with #machinelearning it's a problem with lack of subject matter expertise in #data handling and evaluation of models</t>
  </si>
  <si>
    <t>https://web.br.de/interaktiv/ki-bewerbung/en/</t>
  </si>
  <si>
    <t>Los Angeles, CA</t>
  </si>
  <si>
    <t>Founder &amp; Chief Data Scientist of @syndioinc; social justice entrepreneur; frmr prof; lawyer; making the workplace fair for all; son of ceramicist, mold-breaker</t>
  </si>
  <si>
    <t>http://zeveigen.com</t>
  </si>
  <si>
    <t>David Sobo</t>
  </si>
  <si>
    <t>Insurance Analytics Software market may set new growth | Tableau, Majesco, MFX, Applied – The Bisouv Network - The Bisouv Network  #DataScience #MachineLearning #DeepLearning #Insurance #NLP #Robots #AI #IoT #BigData</t>
  </si>
  <si>
    <t>https://ift.tt/3pNTCMj</t>
  </si>
  <si>
    <t>Empowering organisations BIG &amp; small in the use of #analytics for competitive advantage. @SASSoftwareUK #ML #DL #NLP #IoT #AI #calculator #abacus Views my own..</t>
  </si>
  <si>
    <t>Escuela Negocios UPM</t>
  </si>
  <si>
    <t>No, el #MachineLearning no es futuro. Es presente. Industrias, empresas, banca, logística, hospitales, se benefician de esta #tecnología. Te contamos cómo y el impacto que tiene en la economía aquí 👇</t>
  </si>
  <si>
    <t>https://www.ienupm.com/pdd/machine-learning-y-su-impacto-en-la-economia/</t>
  </si>
  <si>
    <t>Madrid</t>
  </si>
  <si>
    <t>Formación de postgrado en administración de empresas, economía, Ingeniería Organización🎓 Aprendizaje, actitud crítica e innovadora 🎯Impulsamos tu carrera #MBA</t>
  </si>
  <si>
    <t>https://www.ienupm.com/</t>
  </si>
  <si>
    <t>Sidheshwar Pandhare</t>
  </si>
  <si>
    <t>Chief Data Officer at https://uclab.ai Google Cloud Certified Professional Data Engineer #googlecloudplatform #BigData #CloudArchitect #DataEngineer #AI</t>
  </si>
  <si>
    <t>http://linkedin.com/in/sidheshwar-pandhare-0a47b7110</t>
  </si>
  <si>
    <t>bun.bun.🐽</t>
  </si>
  <si>
    <t>Start Learning For Free. Practicing Machine Learning Interview Questions in R: Prepare for your upcoming machine learning interview by working through these practice questions that span across important topics in #machinelearning.</t>
  </si>
  <si>
    <t>https://www.datacamp.com/courses/practicing-machine-learning-interview-questions-in-r?tap_a=5644-dce66f&amp;tap_s=411670-1f1ebc</t>
  </si>
  <si>
    <t>Australia</t>
  </si>
  <si>
    <t>love #pugs, senior data scientist @DATAFYiNG my tweet = data science, machine learning, ai, deep learning and pug as well.</t>
  </si>
  <si>
    <t>http://datafying.com.au</t>
  </si>
  <si>
    <t>#MLsoGood (@Rebeca Saraí) We're glad you're here , it's Great to have you with us 🔵 (@Rebeca Saraí) is now following us on Twitter! 🔵  #machinelearning #DataScience #DataScientists #SztucznaInteligencja #python</t>
  </si>
  <si>
    <t>https://twitter.com/Rebecasarai_
https://ift.tt/3jviiYd</t>
  </si>
  <si>
    <t>Hidayath</t>
  </si>
  <si>
    <t>Things you can do with #Python 🐍 #Webdevelopment #MachineLearning #AI #ArtificialIntelligence #DataScience #Game development #Automation #Dekstop application #Quantitative #finance I built @UnrollThread using Python 🐍</t>
  </si>
  <si>
    <t>Banjara</t>
  </si>
  <si>
    <t>Tech entrepreneur Founder @W3layouts; @UnrollThread; Co-Founder @fleximcIOT; Mixer of Tech, Design and Data</t>
  </si>
  <si>
    <t>http://w3layouts.com</t>
  </si>
  <si>
    <t>i cloud seven</t>
  </si>
  <si>
    <t>4 tipos de analítica que serán la clave para la toma de decisiones:  #DataAnalytics #BigDataAnalytics #MachineLearning #LATAM #Mexico #Peru #Colombia #Guatemala via:@icloudseven</t>
  </si>
  <si>
    <t>https://icloudseven.com/4-tipos-de-analitica-que-seran-la-clave-para-la-toma-de-decisiones/</t>
  </si>
  <si>
    <t>👩‍💻 Let us join our talents..! #Analytics #DataScience #MachineLearning #CloudComputing #AI #BigData #icloudseven #AWS #Azure #IT 🇨🇴🇺🇸🇲🇽</t>
  </si>
  <si>
    <t>http://www.icloudseven.com</t>
  </si>
  <si>
    <t>SwissCognitive – The Global AI Hub</t>
  </si>
  <si>
    <t>#ML #machinelearning #data #bigdata Challenges of using Machine Learning on Earth Observation data &gt;  by @geoworldmedia</t>
  </si>
  <si>
    <t>http://ow.ly/ET0730rxVI5</t>
  </si>
  <si>
    <t>https://pbs.twimg.com/media/Eu68XWzWYAAPlgs.jpg</t>
  </si>
  <si>
    <t>Switzerland</t>
  </si>
  <si>
    <t>SwissCognitive – The Global AI Hub An independent​ network that shares, connects, and unlocks the potentials of #ArtificialIntelligence. #SwissCognitive</t>
  </si>
  <si>
    <t>http://swisscognitive.ch</t>
  </si>
  <si>
    <t>Omdena #AI</t>
  </si>
  <si>
    <t>💡 #AI for Road Safety: Using Convolutional Neural Networks To Count Vehicles and Make Our Roads Safer By using pre-trained #CNNs, VGG, ResNet, and Inception models the solution can help to save many lives.  #machinelearning</t>
  </si>
  <si>
    <t>https://omdena.com/blog/ai-road-safety/</t>
  </si>
  <si>
    <t>The World</t>
  </si>
  <si>
    <t>World´s #1 Platform to Build #AI - Apply now to join our real-world projects and make an impact. 1,700 Changemakers, 88 Countries, 50+ Partners, 45+ Projects</t>
  </si>
  <si>
    <t>http://www.omdena.com</t>
  </si>
  <si>
    <t>Ronald van Loon</t>
  </si>
  <si>
    <t>Differential #ML On TensorFlow And Colab by @SavineAntoine @DataScienceCtrl Read more  #AI #BigData #MachineLearning #ArtificialIntelligence #MI #Digital Cc: @kirkdborne @dez_blanchfield @antgrasso</t>
  </si>
  <si>
    <t>https://bit.ly/3bRwu8B</t>
  </si>
  <si>
    <t>https://pbs.twimg.com/media/Eu68Dt_XIAQ1dt_.jpg</t>
  </si>
  <si>
    <t>Helping data driven companies generating value•Top10Influencer #AI #BigData #DataScience #IoT #MachineLearning #Analytics #Cloud #5G</t>
  </si>
  <si>
    <t>https://linktr.ee/RonaldvanLoon</t>
  </si>
  <si>
    <t>[2102.10326] Automated identification of transiting exoplanet candidates in NASA Transiting Exoplanets Survey Satellite ( TESS) data with #MachineLearning methods  H/T: @ProfAbelMendez</t>
  </si>
  <si>
    <t>https://arxiv.org/abs/2102.10326</t>
  </si>
  <si>
    <t>Zumo Labs</t>
  </si>
  <si>
    <t>Most efforts to monitor coral reef health have required human analysis and labeling, slowing preservation efforts. Now a team out of Australia is automating a portion of that process using #computervision.  #deeplearning #machinelearning #data #environment</t>
  </si>
  <si>
    <t>https://www.computerweekly.com/news/252496333/How-computer-vision-can-protect-coral-reefs</t>
  </si>
  <si>
    <t>Zumo Labs generates synthetic data sets to train your computer vision models. Accelerate development, improve performance, and reduce bias with synthetic data.</t>
  </si>
  <si>
    <t>http://zumolabs.ai</t>
  </si>
  <si>
    <t>Catana Capital</t>
  </si>
  <si>
    <t>Alternative Financial Data – How fund managers are using alternative data sets to find an edge:  @CatanaCapital #Stocks #StockMarket #Investing #AssetManagement #BigData #AI #AlternativeData #DataScience #MachineLearning #Quant #FundManagement #Finance</t>
  </si>
  <si>
    <t>https://catanacapital.com/blog/alternative-financial-data-how-fund-managers-use-alternative-data/</t>
  </si>
  <si>
    <t>Frankfurt am Main, Deutschland</t>
  </si>
  <si>
    <t>The future of investing and asset management. #BigData #AI #Funds #Fonds #MachineLearning #Investing #AssetManagement #Hedgefunds</t>
  </si>
  <si>
    <t>https://catanacapital.com/</t>
  </si>
  <si>
    <t>Hisham B. 🌐</t>
  </si>
  <si>
    <t>All You Need to Know About Computer Vision. #ComputerVision #ArtificalIntelligence #MachineLearning #DeepLearning #Python #Programming #DEVCommunity #DevOps #100DaysOfCode #WomenWhoCode</t>
  </si>
  <si>
    <t>https://www.thecoderworld.com/everything-you-need-to-know-about-computer-vision/</t>
  </si>
  <si>
    <t>The Planet Earth</t>
  </si>
  <si>
    <t>#DigitalTransformation #Innovation #EmergingTech #Coding #InfoSec #AI #ML #DL #OpenSource #IIoT #MR #FinTech #MedTech #NanoTech #DataScience #QuantumComputing</t>
  </si>
  <si>
    <t>📣JS PADOAN🌟</t>
  </si>
  <si>
    <t>Building Artificial Intelligence #ArtificialIntelligence #learning #machinelearning via</t>
  </si>
  <si>
    <t>http://twinybots.ch
https://ptyleraul.medium.com/building-artificial-intelligence-bf1d8eb4b4ac</t>
  </si>
  <si>
    <t>Earth (for now...)</t>
  </si>
  <si>
    <t>#TheMicrosoftGuy #MSFTAdvocate MCT Top25 Influencers @Onalytica : #AI #RPA #Cybersec #Robotics Author 📖 @EditionsENI Author 🎞@Pluralsight Architect @Capgemini</t>
  </si>
  <si>
    <t>http://www.js.padoan.me</t>
  </si>
  <si>
    <t>Michael Cavaretta - Analytics Executive</t>
  </si>
  <si>
    <t>Look to see this more and more as generic #AI get's productized into domain-specific categories. I think this is a good thing. #ArtificialIntelligence #MachineLearning #DataScience RT @FoxBigdata: So cNLP - Clinical Natural Language Processing - even has a name now. I guess #AI and #MachineLearning are really going mainstream in healthcare now. BTW, cNLP is just like #NLP with c data. So you need to make sure you NLP is up to date. #cNLP #HealthIT #MedTech</t>
  </si>
  <si>
    <t>https://twitter.com/FoxBigdata/status/1364212486715695109</t>
  </si>
  <si>
    <t>Michigan</t>
  </si>
  <si>
    <t>Leading internal consulting for Ford Motor in #ArtificialIntellignece #MachineLearning #DataScience #IIoT #DecisionScience Opinions are mine.</t>
  </si>
  <si>
    <t>https://www.linkedin.com/in/michael-cavaretta-ph-d-795a965</t>
  </si>
  <si>
    <t>How to Detect #Deepfake #Videos to Prevent #Online #Disinformation #AI #ArtificialIntelligence #Algorithm #ML #MachineLearning #DeepLearning #DL #ArtificialNeuralNetwork #ANNs #Data #Tech #Technology</t>
  </si>
  <si>
    <t>http://ow.ly/BeSs30ry3ed</t>
  </si>
  <si>
    <t>A Beginner’s Guide to Hyperparameter Tuning. #BigData #Analytics #DataScience #AI #MachineLearning #IoT #IIoT #Python #RStats #TensorFlow #Java #JavaScript #ReactJS #CloudComputing #Serverless #DataScientist #Linux #Programming #Coding #100DaysofCode</t>
  </si>
  <si>
    <t>https://bit.ly/2YoqC2w</t>
  </si>
  <si>
    <t>https://pbs.twimg.com/media/Eu66yzYXYAE0q3U.jpg</t>
  </si>
  <si>
    <t>Martin Voigt</t>
  </si>
  <si>
    <t>Thanks to @knowgraphs for the possibility to present how we combine the use of #knowledgegraphs with #MachineLearning to extract information from arbitrary documents. RT @NgongaAxel: The @knowgraphs winter school is on! Thanks to @SoerenAuer for giving such a clear introduction to #knowledgegraphs. Next is @m_a_r_t_i_n with works on content extraction from documents. More info at</t>
  </si>
  <si>
    <t>https://twitter.com/NgongaAxel/status/1364160494127439875
http://knowgraphs.eu/ws2021</t>
  </si>
  <si>
    <t>Dresden, Germany</t>
  </si>
  <si>
    <t>I'm MD at AI4BD Germany &amp; CTO of AI4BD group. I'm working on intelligent technologies in the areas of Semantics, Machine Learning &amp; Cognitive Business Robotics.</t>
  </si>
  <si>
    <t>https://ai4bd.com</t>
  </si>
  <si>
    <t>Alessandro Luciani</t>
  </si>
  <si>
    <t>We need to talk about Artificial Intelligence #MachineLearning #deeplearning #learning via</t>
  </si>
  <si>
    <t>http://twinybots.ch
https://www.weforum.org/agenda/2021/02/we-need-to-talk-about-artificial-intelligence/</t>
  </si>
  <si>
    <t>Rome - Italy</t>
  </si>
  <si>
    <t>Co-founder + Data Scientist, Applied Predictive Analytics. #datascience #ai #machinelearning #deeplearning</t>
  </si>
  <si>
    <t>https://www.linkedin.com/in/aleluciani/</t>
  </si>
  <si>
    <t>Colin Heyns</t>
  </si>
  <si>
    <t>Software Virtualization in Cloud Computing and Benefits - ONPASSIVE  ✅✅Watch this short presentation  #ComputingMachinery #AIResearch #NaturalLanguageProcessing #Robotics #MachineLearning #DataScience #AIOrganizations #AIFacts</t>
  </si>
  <si>
    <t>https://onpassive.com/blog/software-virtualization-could-computing-benefits/
https://bit.ly/3aoOB8j</t>
  </si>
  <si>
    <t>I am trying to start an online business. The business I am promoting is all about Lead Generation. #freewleads, #growyourlist, #makemoneyonline</t>
  </si>
  <si>
    <t>JMLMC</t>
  </si>
  <si>
    <t>#OpenAccess article from @BrownUniversity: “With the notion of #trainability, we show that overparameterization is both a necessary &amp; sufficient condition for achieving a zero training loss” #ReLUnetworks #AI #datascience #ReLU #deeplearning #machinelearning #JMLMC #Begell</t>
  </si>
  <si>
    <t>Danbury, CT, USA</t>
  </si>
  <si>
    <t>Follow the Journal of #MachineLearning for #Modeling and #Computing for the latest research on #artificialintelligence and #DataScience in scientific computing!</t>
  </si>
  <si>
    <t>https://www.begellhouse.com/journals/journal-of-machine-learning-for-modeling-and-computing.html</t>
  </si>
  <si>
    <t>History of Machine Learning in Finance and Economics #MachineLearning #learning via</t>
  </si>
  <si>
    <t>http://twinybots.ch
https://theparlour.substack.com/p/history-of-machine-learning-in-finance?utm_campaign=post&amp;utm_medium=web&amp;utm_source=twitter</t>
  </si>
  <si>
    <t>Chris Burns</t>
  </si>
  <si>
    <t>Will co-moderate with 100 of the best and brightest driving Europe's digital data transition! For research, #MachineLearning, building spacecraft, drafting laws, procurement, smart cities, better crops, new cures. Register:  #ENDORSE2021 @EUPublications</t>
  </si>
  <si>
    <t>http://bit.ly/3qZM0YB</t>
  </si>
  <si>
    <t>https://pbs.twimg.com/media/Eu66HtjXYAAjqin.jpg</t>
  </si>
  <si>
    <t>Brussels</t>
  </si>
  <si>
    <t>Journalist, moderator, media trainer, video producer and indie rocker! Opinions my own.</t>
  </si>
  <si>
    <t>http://www.burnstorm.com</t>
  </si>
  <si>
    <t>Chris Neumeyer</t>
  </si>
  <si>
    <t>https://dy.si/7ULSF</t>
  </si>
  <si>
    <t>https://pbs.twimg.com/media/Eu66EouVkAAfQ4K.png</t>
  </si>
  <si>
    <t>New Orleans, Louisiana</t>
  </si>
  <si>
    <t>(Today)... A sales professional with over 20 years in the industry as an IT engineer with an MBA from the University of New Orleans. @HPE</t>
  </si>
  <si>
    <t>PeerJ - the Journal of Life &amp; Environment</t>
  </si>
  <si>
    <t>Alkutbe et al. @PlymUni present a new machine technique method to examine fat mass prediction equations and reference ranges for Saudi Arabian Children aged 8–12 years Read the full @PeerJLife article  #Obesity #MachineLearning #PublicHealth</t>
  </si>
  <si>
    <t>https://bit.ly/2ZK6uIy</t>
  </si>
  <si>
    <t>https://pbs.twimg.com/media/Eu66EAlWgAApQb6.jpg</t>
  </si>
  <si>
    <t>Featuring the latest research in life, biology, medicine and environmental sciences published in PeerJ Life &amp; Environment. Part of @thePeerJ family.</t>
  </si>
  <si>
    <t>http://peerj.com</t>
  </si>
  <si>
    <t>Aujas</t>
  </si>
  <si>
    <t>Protect your business from complex #threats. Leverage our nextgen #artificialintelligence and #machinelearning driven #MDR solutions.  #cybersecurity #dataprotection #infosec #dataleak #databreaches</t>
  </si>
  <si>
    <t>https://hubs.ly/H0H2S2H0</t>
  </si>
  <si>
    <t>https://pbs.twimg.com/media/Eu66Cv5XYAUEN-W.jpg</t>
  </si>
  <si>
    <t>Aujas can build &amp; transform your organization’s #cybersecurity posture to reduce complex attacks &amp; risks. Visit http://aujas.com to know more about our services.</t>
  </si>
  <si>
    <t>https://www.aujas.com/</t>
  </si>
  <si>
    <t>anuja sinha</t>
  </si>
  <si>
    <t>Learning and playing together... Simple machines like Pulley with Lego blocks... #scienceisfun #MachineLearning @Susanna_Porob @gemsnms_alkhail @Fatima_Martin @VallarieAjish #Kg2EPreciousPearls</t>
  </si>
  <si>
    <t>pic.twitter.com/zMvbOFMDqk</t>
  </si>
  <si>
    <t>Donald Genes 📈</t>
  </si>
  <si>
    <t>Statistically, Explain T-Test like in 5mins Mathematically, the t-test takes a sample from each of the two sets and establishes the problem statement by assuming a null hypothesis that the two means are equal. Remember I said 2 group #Statistics #DataScience #MachineLearning</t>
  </si>
  <si>
    <t>Ibadan,Nigeria</t>
  </si>
  <si>
    <t>App Developer | Data Scientist |Python| R |PHP| Azure | Flutter |SQL | Big Data |Power BI |Advance Excel | Javascript| Oracle 12c | MS Server #Trump</t>
  </si>
  <si>
    <t>David</t>
  </si>
  <si>
    <t>Satellite Company #BlackSky Gets Backing From Peter Thiel, SPAC Merger Deal: What Investors Should Know  $sftw #satellite #ArtificialIntelligence #MachineLearning #investing #StockMarket #bearmarket</t>
  </si>
  <si>
    <t>https://finance.yahoo.com/news/satellite-company-blacksky-gets-backing-164756326.html</t>
  </si>
  <si>
    <t>Ramat Gan, Israel</t>
  </si>
  <si>
    <t>Web Developer, Real Estate Advisor</t>
  </si>
  <si>
    <t>http://vengerovski.com</t>
  </si>
  <si>
    <t>Recrutement BigData</t>
  </si>
  <si>
    <t>Tu veux devenir Data Scientist ? Alors… Inscris-toi au MS en #alternance ► ! MS Expert en Sciences des Données Certifié #RNCP niveau 7 @InsaRouen #BigData #DataScience #DataScientist #DeepLearning #MachineLearning #Python #IA #AI</t>
  </si>
  <si>
    <t>http://BigDataFR.com/Insa-Rouen
http://www.big-data-fr.com/linkedin.php?lien=http://big-data-fr.com/Insa-Rouen&amp;image=http://big-data-fr.com/INSA-Rouen/Insa-Rouen-Fabrice.jpg&amp;texte=MS%20Expert%20en%20Sciences%20des%20Donn%E9es%20en%20alternance-INSA%20Rouen%20Normandie%20!%20</t>
  </si>
  <si>
    <t>http://BigDataFr.com Recrutement #BigData ►Vous recherchez un/une #DataScientist #DataAnalyst, #CDO, #DataArchitect ? ►contact@BigDataFR.com</t>
  </si>
  <si>
    <t>http://Big-Data-fr.com/recrutement-datascientist/promo/bd</t>
  </si>
  <si>
    <t>Marcos</t>
  </si>
  <si>
    <t>Watch a video on @InterSystemsDev: Using IntegratedML with DataRobot. #InterSystemsIRIS #AI #MachineLearning #SQL #ML #YouTube &gt;&amp;gt;</t>
  </si>
  <si>
    <t>https://infl.tv/i7cz</t>
  </si>
  <si>
    <t>Stefano Budoia</t>
  </si>
  <si>
    <t>https://dy.si/vRxHD</t>
  </si>
  <si>
    <t>https://pbs.twimg.com/media/Eu65rVJVEAUkQOG.png</t>
  </si>
  <si>
    <t>Italy</t>
  </si>
  <si>
    <t>#HPE #Blockchain #Innovation #TheMachine #HPEPointnext #SocialMedia</t>
  </si>
  <si>
    <t>Machine learning method identifies precancerous colon polyps - EurekAlert  #machinelearning #ai #technology</t>
  </si>
  <si>
    <t>http://dlvr.it/RtK1gm</t>
  </si>
  <si>
    <t>https://pbs.twimg.com/media/Eu65e-rUUAMG4L_.jpg</t>
  </si>
  <si>
    <t>CORIZANCE - Connected Risk Management Made Easy</t>
  </si>
  <si>
    <t>London, UK</t>
  </si>
  <si>
    <t>Connected Risk Intelligence platform re-shaping non-financial risk management #Riskmanagement #Compliance #AI #Regtech #Fintech #Analytics #Data #Ecosystem</t>
  </si>
  <si>
    <t>http://www.corizance.com</t>
  </si>
  <si>
    <t>Astraea</t>
  </si>
  <si>
    <t>The investment world lacks a unified standard for measuring #ESG performance Our EarthAI platform applies #MachineLearning to #RemoteSensing data to generate an objective assessment in near-real-time, so investors can make accurate decisions, faster. Learn more: info@astraea.io</t>
  </si>
  <si>
    <t>https://pbs.twimg.com/media/Eu63P6nWYAUPtGC.jpg</t>
  </si>
  <si>
    <t>Charlottesville, Virginia</t>
  </si>
  <si>
    <t>We are a technology startup building the first integrated platform for global scale geospatial analytics.</t>
  </si>
  <si>
    <t>https://astraea.earth/</t>
  </si>
  <si>
    <t>Dr. WJB Mattingly</t>
  </si>
  <si>
    <t>Look forwarding to teaching at TAP Institute and @ITHAKA_org at JSTOR Labs this summer! I'm teaching workshops on #MachineLearning and Text Analysis for #ancient and #medieval languages! In total there are 10 courses! RT @nkelber: Thank you to the digital humanities instructors for the 2021 institute! They include @Zoe_LeBlanc @mellymeldubs @hannahljnc @ontoligent @glass_grant @wjb_mattingly and Jacalyn Huband.</t>
  </si>
  <si>
    <t>https://twitter.com/nkelber/status/1364230743052976129
https://twitter.com/ITHAKA_org/status/1364226166639325184</t>
  </si>
  <si>
    <t>{"marital": "Husband to an Awesome Wife", "job": "Fellow @SIDataScience", "research": "#NER #NLP @cltkorg" "degree":"PhD #medievalhistory", "academic_id":"#DH"}</t>
  </si>
  <si>
    <t>http://www.wjbmattingly.com</t>
  </si>
  <si>
    <t>Simple Machine Learning Classification. #BigData #Analytics #DataScience #AI #MachineLearning #IoT #IIoT #PyTorch #Python #RStats #TensorFlow #Java #JavaScript #ReactJS #CloudComputing #Serverless #DataScientist #Linux #Programming #Coding #100DaysofCode</t>
  </si>
  <si>
    <t>https://bit.ly/3qNgwok</t>
  </si>
  <si>
    <t>https://pbs.twimg.com/media/Eu65ZXcXUAIEsjz.png</t>
  </si>
  <si>
    <t>Experian Business</t>
  </si>
  <si>
    <t>Machine Learning is only as good as the data - hear what Experian Business Information is doing to enrich the millions of business profiles.  #innovation #datamanagement #machinelearning #cdsw</t>
  </si>
  <si>
    <t>http://bit.ly/3dqDX2M</t>
  </si>
  <si>
    <t>https://pbs.twimg.com/media/Eu65YnNWYAEOvgx.jpg</t>
  </si>
  <si>
    <t>North America</t>
  </si>
  <si>
    <t>Tips and how-to's on using data and analytics to drive business insights and make better credit decisions on small businesses. Ask us about business information</t>
  </si>
  <si>
    <t>http://bit.ly/2JjIuWx</t>
  </si>
  <si>
    <t>Build your own #facialrecognition system: To work even with a face mask! // Rebeca Sarai G. G  #DataScience #ComputerVision #Python #sztucznainteligencja #datascientistjobs #datascientists #dataanalytics #machinelearning #ethics #deeplearning #mlsogood</t>
  </si>
  <si>
    <t>https://medium.com/mlearning-ai/build-your-own-facial-recognition-system-to-work-even-with-a-face-mask-b240539222f6</t>
  </si>
  <si>
    <t>Asuun</t>
  </si>
  <si>
    <t>#Microsoft plans to add #AI-powered text predictions to Word in March. The feature uses #machinelearning to make writing suggestions based on the text a user’s typed. #artificialintelligence</t>
  </si>
  <si>
    <t>https://thenextweb.com/neural/2021/02/22/microsoft-word-launching-ai-text-predictions-spelling-grammar/</t>
  </si>
  <si>
    <t>Overland Park, KS</t>
  </si>
  <si>
    <t>Asuun is a software development company developing products for various industry segments.</t>
  </si>
  <si>
    <t>http://www.asuun.com</t>
  </si>
  <si>
    <t>Lindsay Warrenburg</t>
  </si>
  <si>
    <t>Applications for project mentors for the 2021 @erdosinstitute Data Science Bootcamp are OPEN! There are 300+ participants from 70+ universities all over the world! You can help them learn #DataScience &amp; #MachineLearning. Come join our team! Apply:</t>
  </si>
  <si>
    <t>https://forms.gle/RNjWZX3abtnCXMvf6</t>
  </si>
  <si>
    <t>Music science and data science! PhD in Music (Theory, Cognition, &amp; Perception), where I studied emotions from an interdisciplinary perspective. she/her</t>
  </si>
  <si>
    <t>http://lindsaywarrenburg.com</t>
  </si>
  <si>
    <t>Call Me Kush</t>
  </si>
  <si>
    <t>The case of Neural Network is a bit complicated for me hopefully I'll be able to solve the equations in a week. #ArtificialIntelligence #MachineLearning #Python</t>
  </si>
  <si>
    <t>#NationFirst Soldiers Brother, Datascience AI&amp;ML Student, Man In Business, Martial Artist, Dyslexic Born Disable And I'm Back In Game.</t>
  </si>
  <si>
    <t>Grok</t>
  </si>
  <si>
    <t>eCourse: Intro to Hierarchical Clustering for IT Event Data Register Here:  Want to learn how to implement #MachineLearning clustering techniques in #itoperations? Check out this Grok eCourse, March 12th. #ITOps #AIOps #Numenta #informationtechnology</t>
  </si>
  <si>
    <t>https://event.grokstream.com/grokwebinar-sign-up/</t>
  </si>
  <si>
    <t>https://pbs.twimg.com/media/Eu64IyEXMAc7U_D.jpg</t>
  </si>
  <si>
    <t>The Leading AIOPS Platform For Intelligent Incident Prediction And Self-Healing IT Operations</t>
  </si>
  <si>
    <t>http://grokstream.com</t>
  </si>
  <si>
    <t>Antonia Mey</t>
  </si>
  <si>
    <t>Looking for recommendations for basic texts on #MachineLearning? Thoughts? #AcademicChatter</t>
  </si>
  <si>
    <t>Edinburgh, Scotland</t>
  </si>
  <si>
    <t>PhD, Christina Miller Fellow @ Edinburgh Uni, Computational Chemist and Maths public engagement enthusiast. (she/her)</t>
  </si>
  <si>
    <t>http://mey-research.org</t>
  </si>
  <si>
    <t>#AI and #Robots: Now and future of #technology  #SelfDrivingCars #IoT #5G #AutonomousVehicles #selfdriving #autonomous #Robotics #driverless #driverlesscars #startups #startup #Robot #MachineLearning #BigData #SmartCity #Travel #tech #mobility #Transport</t>
  </si>
  <si>
    <t>https://www.hindustantimes.com/ht-school/ai-and-robots-now-and-future-of-tech-101614063835866.html</t>
  </si>
  <si>
    <t>https://pbs.twimg.com/media/Eu64jYGXcAERLc9.jpg</t>
  </si>
  <si>
    <t>couponed</t>
  </si>
  <si>
    <t>Data Analysis - How to Extract the Data ➡️  🕸️ #Data #Analysis #extract #Analytics #DataScience #AI #MachineLearning #IoT #IIoT #Python #RStats #CloudComputing #Serverless #Linux @udemy #Coding #100DaysofCode #100DaysOfMLCode</t>
  </si>
  <si>
    <t>http://bit.ly/3skehJl</t>
  </si>
  <si>
    <t>https://pbs.twimg.com/media/Eu64TXfU4AMEL1l.jpg</t>
  </si>
  <si>
    <t>#100dayofcode #education</t>
  </si>
  <si>
    <t>Worried about losing control of your business processes if everything gets automated? @Expeflow's 'Human In The Loop' #MachineLearning keeps you in charge of the #Automation. Sign up for your personalized demo today at:</t>
  </si>
  <si>
    <t>https://www.expeflow.com/</t>
  </si>
  <si>
    <t>https://pbs.twimg.com/media/EZHdUvrWsAAQyms.jpg</t>
  </si>
  <si>
    <t>jeddab abderrahim</t>
  </si>
  <si>
    <t>This flying AI robot can pick fruit – preventing waste in the process #UI #innovation #learning #machinelearning via</t>
  </si>
  <si>
    <t>http://twinybots.ch
https://www.weforum.org/agenda/2021/02/flying-ai-robot-harvest-fresh-fruit/</t>
  </si>
  <si>
    <t>Casablanca, Maroc</t>
  </si>
  <si>
    <t>Consultant en web et digital Marketing</t>
  </si>
  <si>
    <t>http://www.jeddababderrahim.ml</t>
  </si>
  <si>
    <t>Whitehall Media</t>
  </si>
  <si>
    <t>Our #BigDataAnalytics Event is now just TWO weeks away!! If you haven't done so already, don't miss out, #RegisterNow:  . . . #Wmbda #AI #machinelearning #strategy #governance #datavisualisation #IoT #Auto #ML #visionanalytics #platforms #BI #automation</t>
  </si>
  <si>
    <t>https://bit.ly/39jTHCJ</t>
  </si>
  <si>
    <t>https://pbs.twimg.com/media/Eu63_5jXMAIZrxy.jpg</t>
  </si>
  <si>
    <t>Network. Debate. Innovate. Our 2021 IT &amp; business technology conference calendar can be viewed here: http://whitehallmedia.co.uk #BigDataAnalytics #IdentityManagement</t>
  </si>
  <si>
    <t>http://www.whitehallmedia.co.uk</t>
  </si>
  <si>
    <t>Data Observability, Part II: How to Build Your Own Data Quality Monitors Using SQL  #DataScience #MachineLearning #ML</t>
  </si>
  <si>
    <t>https://bit.ly/2ZJr4ZC</t>
  </si>
  <si>
    <t>https://pbs.twimg.com/media/Eu634MhWQAE2QM8.jpg</t>
  </si>
  <si>
    <t>Granville Harlow</t>
  </si>
  <si>
    <t>Check out this interesting read about using #MachineLearning in your #digitalmarketing.</t>
  </si>
  <si>
    <t>https://www.searchenginewatch.com/2021/02/12/five-ways-to-use-machine-learning-in-digital-marketing/</t>
  </si>
  <si>
    <t>Minnetonka, MN</t>
  </si>
  <si>
    <t>Helping companies navigate the digital space.</t>
  </si>
  <si>
    <t>http://blindspot-advisors.com</t>
  </si>
  <si>
    <t>Miriam Martinez-Asensi</t>
  </si>
  <si>
    <t>For the first time in over a decade, it is now realistic to integrate security into the DevOps #DevOps #100DaysOfCode #AI #javascript #Devsecops #MachineLearning #cybersecurity #IoT #DEVCommunity #programming #Serverless #Linux #hclswlobp ❤️ #cloud</t>
  </si>
  <si>
    <t>https://via.socxo.net/WMyQf74fLkjIj</t>
  </si>
  <si>
    <t>Intentional learner, ❤️ technology, AI, business and HCL software #hclswlobp #Ethics #cybersecutity #lowcode #AI #marketing (I am not a 🤖, unless we all are)</t>
  </si>
  <si>
    <t>https://www.linkedin.com/in/mmasensi/</t>
  </si>
  <si>
    <t>De @educabily 🇪🇸🗣️ No os perdáis está sesión en inglés sobre @SSuccess_data el próximo 4 de marzo a las 12:00 (CET -1) 🗣️ 🇬🇧🗣️You can't miss this session about @SSuccess_data on March 4 at 12 pm (CET -1)🗣️ #bigdata #ml #MachineLearning #edtech #EdTechM… RT @virtualeduca: ¡No te pierdas la sesión "Student Success: Big Data y Machine Learning" que impartirán Jose Antonio Lagares y Antonio Zarauz de @Educabily! ¡Inscríbete al congreso para aprender con los grandes expertos de la educación!  #CongresoVE #VirtualEduca</t>
  </si>
  <si>
    <t>Synapps</t>
  </si>
  <si>
    <t>The perfect process and methodology, continuous improvement #MachineLearning #IoT #continuousimprovement #ArtificialIntelligence #synapps</t>
  </si>
  <si>
    <t>pic.twitter.com/Y98AsISO4z</t>
  </si>
  <si>
    <t>Monza | Italy</t>
  </si>
  <si>
    <t>Data Analysis and Business Intelligence for the development of Data-driven companies</t>
  </si>
  <si>
    <t>http://www.synapps.it</t>
  </si>
  <si>
    <t>Jason Behrmann, PhD</t>
  </si>
  <si>
    <t>My latest #PressRelease: @ZetaneSystems patents new method to represent complex datasets and #machinelearning models, an innovation embedded within our software products.</t>
  </si>
  <si>
    <t>https://medium.com/zetane-blog/newly-patented-method-to-make-ai-development-more-efficient-using-new-format-to-represent-data-23e6e9090b11</t>
  </si>
  <si>
    <t>Montreal</t>
  </si>
  <si>
    <t>#Marketing &amp; #Communications specialist in #AI; Director of Marketing &amp; Comm @ZetaneSystems. #tech commentator on the radio show, Passion on @CJAD800</t>
  </si>
  <si>
    <t>http://ca.linkedin.com/in/jasonbehrmann/</t>
  </si>
  <si>
    <t>Shashi Bellamkonda</t>
  </si>
  <si>
    <t>The latest The Machine learning Daily!  #machinelearning #ai</t>
  </si>
  <si>
    <t>https://paper.li/shashib/1511535667?edition_id=4fad44f0-75e8-11eb-a5c8-0cc47a0d15fd</t>
  </si>
  <si>
    <t xml:space="preserve">Washington DC, MD, VA, USA </t>
  </si>
  <si>
    <t>Smiles are free &amp; priceless, MarTech Leader, VP Marketing, http://LeapToDigital.com, Digital Marketing Prof, Georgetown Univ, Small Business Marketing Speaker</t>
  </si>
  <si>
    <t>http://www.shashi.co</t>
  </si>
  <si>
    <t>Jami Goodwin Medina</t>
  </si>
  <si>
    <t>Do you have competitive data science key skills? | @TTBusinessTech #DataScienceSkills #MachineLearning #Programming</t>
  </si>
  <si>
    <t>https://searchenterpriseai.techtarget.com/quiz/Do-you-have-competitive-data-science-key-skills</t>
  </si>
  <si>
    <t>Birmingham, AL</t>
  </si>
  <si>
    <t>Tech geek with @data_4_people. Pop culture maven, lover of all things #geekchic. Lifelong do-gooder. ENTJ. Opinions = own, RT 🚫 endorsement</t>
  </si>
  <si>
    <t>http://www.empiricaldata.org</t>
  </si>
  <si>
    <t>Colin McGuire</t>
  </si>
  <si>
    <t>❇ The Human Bias-Accuracy Trade-off (Understanding how historical data can lead to algorithmic bias...) #AIEthics #DataScience #100DaysOfCode #MachineLearning #BigData</t>
  </si>
  <si>
    <t>https://towardsdatascience.com/the-human-bias-accuracy-trade-off-ad95e3c612a9</t>
  </si>
  <si>
    <t>Canada, mainly #YXE #YEG</t>
  </si>
  <si>
    <t>💡Entrepreneur/💵 Investor - 🇨🇦 #TechEvangelist - #Futurist - - Foodie - Animal lover 🐈 🐕 #cdntech #AI #AR #VR #VC #Startup</t>
  </si>
  <si>
    <t>Am Soc Ped Neph</t>
  </si>
  <si>
    <t>Assessment of acute kidney injury risk using a machine-learning guided generalized structural equation model: a cohort study #AKI #machinelearning @BioMedCentral</t>
  </si>
  <si>
    <t>http://ow.ly/Ef8w50DHeCP</t>
  </si>
  <si>
    <t>https://pbs.twimg.com/media/Eu63IJ7XYAYi2-q.jpg</t>
  </si>
  <si>
    <t>Promoting optimal care for children with kidney disease through advocacy, education &amp; research; and disseminating advances in clinical practice &amp; investigation</t>
  </si>
  <si>
    <t>http://www.aspneph.org</t>
  </si>
  <si>
    <t>Atlas Systems</t>
  </si>
  <si>
    <t>Curious to know what is machine learning and how does it work? Read the key insights in this exclusive Atlas blog -  #AI #ML #AIOps #AtlasSystems #ArtificialIntelligence #Blog #ITServices #Tech #IT #ITOps #MachineLearning #DeepLearning #DataScience</t>
  </si>
  <si>
    <t>https://hubs.li/H0H3zJ20</t>
  </si>
  <si>
    <t>https://pbs.twimg.com/media/Eu628HeXEAIJZNm.jpg</t>
  </si>
  <si>
    <t>Princeton, NJ</t>
  </si>
  <si>
    <t>Atlas Systems is a leading IT Services company and experts in ITOps. Leveraging AI &amp; ML and managing IT Operations from 17 years. Need help? Call+1 609 256 4556</t>
  </si>
  <si>
    <t>http://www.atlassystems.com/</t>
  </si>
  <si>
    <t>The Cancer Letter</t>
  </si>
  <si>
    <t>The anticipated implementation of transformative #AI &amp; #MachineLearning in oncology has generally been limited, despite its potential. @MoffittNews is looking to change that with a machine learning department.</t>
  </si>
  <si>
    <t>http://cancerletter.com/articles/20210219_1/</t>
  </si>
  <si>
    <t>https://pbs.twimg.com/media/Eu6271MXMAA2_xa.jpg</t>
  </si>
  <si>
    <t>Washington, D.C.</t>
  </si>
  <si>
    <t>The leading independent source for information on the issues that shape #oncology since 1973. Editor: @PaulBGoldberg | Assoc. editor: @mattobh | @cancerhistproj</t>
  </si>
  <si>
    <t>http://www.cancerletter.com</t>
  </si>
  <si>
    <t>Scality</t>
  </si>
  <si>
    <t>Which #IT initiatives should you prioritize this year? Get advice from IT executives about upcoming trends. @pspeciale, our CPO, shares his views on #cloudnative, #ai/#ml, #dataanalytics, #automation, and #objectstorage. #machinelearning</t>
  </si>
  <si>
    <t>https://searchcio.techtarget.com/tip/4-tips-on-how-to-reduce-IT-infrastructure-costs?utm_campaign=coschedule&amp;utm_source=twitter&amp;utm_medium=scality</t>
  </si>
  <si>
    <t>SF ☁︎ Paris ☁︎ Tokyo ☁︎ DC</t>
  </si>
  <si>
    <t>Scality is a global company that makes Software Defined Storage at Petabyte Scale for Enterprises, Media &amp; SPs. Follow for product, company, &amp; industry insight.</t>
  </si>
  <si>
    <t>http://www.scality.com</t>
  </si>
  <si>
    <t>Ed Kwedar</t>
  </si>
  <si>
    <t>Milestones of the Past 50 Years: The Hallmarks of the Great Beyond. #BigData #Analytics #DataScience #AI #MachineLearning #IoT #IIoT #Python #RStats #JavaScript #ReactJS #Serverless #Linux #Statistics #Programming #Coding #100DaysofCode via @gp_pulipaka |</t>
  </si>
  <si>
    <t>https://buff.ly/2LL46hi</t>
  </si>
  <si>
    <t>https://pbs.twimg.com/media/Eu620_xVEAMKB2D.jpg</t>
  </si>
  <si>
    <t>Philadelphia PA</t>
  </si>
  <si>
    <t>#Technology #Cloud #IoT #BigData #DevOps #Healthcare #ML #CyberSecurity #DigitalMarketing #AI #M2M #Analytics #Blockchain #FinTech</t>
  </si>
  <si>
    <t>http://www.linkedin.com/in/EdKwedar</t>
  </si>
  <si>
    <t>4️⃣ reasons why laptops aren’t enough for #DataScience ⬇️ #MachineLearning #ArtificialIntelligence #DeepLearning #javascript #serverless #WomenInTech #100DaysOfCode #python #Linux #Flutter #TensorFlow #PyTorch #DigitalTransformation #IoT #NeuralNetwork #AR #VR #MR #FutureOfWork RT @NVIDIAAI: For the many people now working with intense #AI and data science workloads, mobile workstations with full #GPU acceleration are a must. Read through our latest blog post to learn why laptops aren't enough for #datascience:</t>
  </si>
  <si>
    <t>https://twitter.com/nvidiaai/status/1363986934125723650
https://nvda.ws/3sgukYK</t>
  </si>
  <si>
    <t>AWS LATAM</t>
  </si>
  <si>
    <t>https://pbs.twimg.com/media/Eu62upwWgAM2nxD.jpg</t>
  </si>
  <si>
    <t>¡Bienvenido al canal oficial de Twitter #AWS Latinoamérica! Entérate de todas las novedades #cloudcomputing.</t>
  </si>
  <si>
    <t>http://aws.amazon.com/es</t>
  </si>
  <si>
    <t>Israeli firm develops #AI tool for remote surveillance of blood vessels during dialysis #DEVCommunity #Machinelearning #IoT #100DaysOfMLCode #Python #flutter #javascript #web #womenwhocode #cybersecurity #RStats #CodeNewbie #DL #DataScience #womenintech</t>
  </si>
  <si>
    <t>https://bit.ly/2ZEXDru</t>
  </si>
  <si>
    <t>https://pbs.twimg.com/media/Eu62tWfUYAEj1B5.jpg</t>
  </si>
  <si>
    <t>Bennett_Data_Science</t>
  </si>
  <si>
    <t>It's amazing what language models can do! In today's Tech Tuesday, I look at two of the most recent language models, explain what they are and show a few incredible things they’re capable of. Definitely worth reading:  #languagemodels #GPT3 #MachineLearning</t>
  </si>
  <si>
    <t>https://buff.ly/3qCGnz6</t>
  </si>
  <si>
    <t>https://pbs.twimg.com/media/Eu62senUYAUYwFm.jpg</t>
  </si>
  <si>
    <t>Bennett Data Science is a boutique data science firm marked by ingenuity, expertise, and a no-nonsense, no-jargon approach.</t>
  </si>
  <si>
    <t>http://bennettdatascience.com/</t>
  </si>
  <si>
    <t>Stephanie (Heit) Harradine</t>
  </si>
  <si>
    <t>Build your apps once and deploy them anywhere. Find out how easy it is, join our webinar! #VoltMX #lowcode #nocode #ai #bot #datascience #machinelearning #100DaysOfCode #flutter #python #iot #javascript #github #womenintech #coding  RT @HCLDigital: Are you on your #digitaltransformation and app journey but are now hitting a wall of complexity? If you use HCL Volt MX, you won't hit that wall. See how our platform lets you build your apps up to 60% faster, and saves both time &amp; dev resources.</t>
  </si>
  <si>
    <t>https://via.socxo.net/dA10UOWc8jaSq
https://twitter.com/HCLDigital/status/1363964281230741505
https://hclsw.co/botfvj</t>
  </si>
  <si>
    <t>https://pbs.twimg.com/media/Eu2or_tVkAEdNZk.jpg</t>
  </si>
  <si>
    <t>Kimbolton, Cambridgeshire, UK</t>
  </si>
  <si>
    <t>Part of the IT community since 2000, I love real people who are positive and driven. I am an enthusiast and optimist.</t>
  </si>
  <si>
    <t>https://radiosheit.home.blog</t>
  </si>
  <si>
    <t>DeepData</t>
  </si>
  <si>
    <t>With DeepData, you have the power to assemble the perfect collection of data. Public data are at your fingertips. Do you want to see how it works? Send us a message or comment below to schedule a demo. #deepdata #oilandgas #oilindustry #innovation #machinelearning</t>
  </si>
  <si>
    <t>https://pbs.twimg.com/media/Eu62owfXEAAA_Ob.jpg</t>
  </si>
  <si>
    <t>What do you get when you combine Big Data with the hottest revolution in energy (hydraulic fracturing) and deliver it as a SaaS app? You get DeepData.</t>
  </si>
  <si>
    <t>http://www.deepdata.com</t>
  </si>
  <si>
    <t>Radiology: Artificial Intelligence</t>
  </si>
  <si>
    <t>#DeepLearning framework achieved reproducible, quality-controlled segmentation of cardiac trabeculations  @aphm_actu @axel_bartoli #cardiacMRI #RadAI #MachineLearning</t>
  </si>
  <si>
    <t>https://doi.org/10.1148/ryai.2020200021</t>
  </si>
  <si>
    <t>https://pbs.twimg.com/media/Eu62oMMVgAAfznX.png</t>
  </si>
  <si>
    <t>Oak Brook, IL, USA</t>
  </si>
  <si>
    <t>The leading scientific journal on Artificial Intelligence in radiology, published by @RSNA. #AI #ArtificialIntelligence #MachineLearning #DeepLearning</t>
  </si>
  <si>
    <t>http://rsna.org/ai</t>
  </si>
  <si>
    <t>Tim Vance</t>
  </si>
  <si>
    <t>"Companies can look at current employees who have skills closely matched to those in demand and utilize training to close any gaps," Alison Smith, director in the Gartner HR practice, said in a statement. #skills #machinelearning #talentdevelopment #HR</t>
  </si>
  <si>
    <t>https://sprou.tt/1QPvI7417jV</t>
  </si>
  <si>
    <t>Paradise Valley, AZ</t>
  </si>
  <si>
    <t>Learning &amp; Development Specialist. Experienced Sales Leader. Proud father and American! 🇺🇸</t>
  </si>
  <si>
    <t>http://www.schoox.com</t>
  </si>
  <si>
    <t>Rubik küpü çözebilen robotik el./A robotic hand that can solve a Rubik's Cube. #Robotics #technology #techgadgets #MachineLearning #YapayZeka</t>
  </si>
  <si>
    <t>pic.twitter.com/0gXR61RLk5</t>
  </si>
  <si>
    <t>/r/ML Popular</t>
  </si>
  <si>
    <t>[R] TensorFlow Functional Implementation of Singular Value Decomposition (SVD)</t>
  </si>
  <si>
    <t>https://www.reddit.com/r/MachineLearning/</t>
  </si>
  <si>
    <t>https://ift.tt/3sgK8uy</t>
  </si>
  <si>
    <t>Healthcare Executives’ Outlook on the US Healthcare System for 2021 -  #mHealth, #healthcare, #digitalhealthcare, #Machinelearning, #ArtificialIntelligence,#AIinHealthcare, #MLinHealthcare, #VeeMed, #AINeuroCare</t>
  </si>
  <si>
    <t>https://www.ecgmc.com/thought-leadership/blog/healthcare-executives-outlook-on-2021#</t>
  </si>
  <si>
    <t>Useful collection of resources to get started with #ReinforcementLearning:  by @nyike + See also these RL Tutorials, Examples, Projects, and Courses:  ———— #BigData #Analytics #DataScience #AI #MachineLearning #DeepLearning #Robotics</t>
  </si>
  <si>
    <t>https://www.infoworld.com/article/3608428/3-ways-to-get-into-reinforcement-learning.html
https://neptune.ai/blog/best-reinforcement-learning-tutorials-examples-projects-and-courses/</t>
  </si>
  <si>
    <t>https://pbs.twimg.com/media/Eu62aADXEAMu-s2.jpg</t>
  </si>
  <si>
    <t>#Restaurant #guests remain hyper focused on #cleanliness &amp; #safety See the data:  #AlternativeData #ArtificialIntelligence #MachineLearning #FoodDelivery #UberEats #Wendys #Twix #Stocks $QSR $CHEF $CMG $CGC $EAT $RH $YUM $JPM $SHAK $USO $PLAY $UBER $YELP</t>
  </si>
  <si>
    <t>https://dfdnews.com/2021/02/18/restaurant-guests-remain-hyper-focused-on-cleanliness-and-safety/</t>
  </si>
  <si>
    <t>https://pbs.twimg.com/media/Eu6wlQ2WgAEU7SY.jpg</t>
  </si>
  <si>
    <t>Suresh R_The Sparrow</t>
  </si>
  <si>
    <t>https://dy.si/qH92K</t>
  </si>
  <si>
    <t>https://pbs.twimg.com/media/Eu61-tJUUAoIXHY.png</t>
  </si>
  <si>
    <t>Chennai</t>
  </si>
  <si>
    <t>#HPEDiscover #Host. Join me at the first-ever HPE Discover Virtual Experience, starting June 23. I’m #HereToHelp http://hpe.to/6005GG9M1</t>
  </si>
  <si>
    <t>https://srthespectator.wordpress.com/</t>
  </si>
  <si>
    <t>amasol AG</t>
  </si>
  <si>
    <t>"Die #MachineLearning Netzwerküberwachung ist also sinnvoll, wenn man Probleme - egal, ob Security oder Performance - nahezu in Echtzeit erkennen und frühzeitig beheben will. Die gleichzeitige Möglichkeit zur Kostenoptimierung ist ein zusätzlicher Bonus."</t>
  </si>
  <si>
    <t>http://bit.ly/3aJmjpm</t>
  </si>
  <si>
    <t>https://pbs.twimg.com/media/Eu61u4fUcAoJZhm.jpg</t>
  </si>
  <si>
    <t>München</t>
  </si>
  <si>
    <t>Wir agilizieren IT!</t>
  </si>
  <si>
    <t>http://www.amasol.de/</t>
  </si>
  <si>
    <t>Md. Faizan Ahmad</t>
  </si>
  <si>
    <t>Day - 4 | Python Programming | #100DaysOfCode &gt;&amp;gt; Final Project: Rock, Paper Scissor Game (Video) #MachineLearning #AI #python #gamedev #webdevelopment #javascript #html #opensource #github #linux #DataScience #cybersecurity #AUTOMATION #cryptocurrency #cybersecurity #Coding</t>
  </si>
  <si>
    <t>pic.twitter.com/xjRRGMhq2M</t>
  </si>
  <si>
    <t>Jamshedpur, India</t>
  </si>
  <si>
    <t>Learning Python 🐍| Looking for oppertunity . . .</t>
  </si>
  <si>
    <t>Deep Learning with Python and Keras  #machinelearning #ad</t>
  </si>
  <si>
    <t>https://zpy.io/b505cfed</t>
  </si>
  <si>
    <t>Iain Brown, PhD</t>
  </si>
  <si>
    <t>European Space Agency selects CGI to develop services combining Artificial Intelligence and Earth Observation for Wildfire Mapping - PRNewswire Read more here:  #ArtificialIntelligence #AI #DataScience #100DaysOfCode #Python #MachineLearning #BigData #D…</t>
  </si>
  <si>
    <t>https://ift.tt/3bm69RG</t>
  </si>
  <si>
    <t>Head of #DataScience @SASSoftware | Adjunct Prof @UniSouthampton | Author | #DataScientist | Interests #AI #ML #DL #NLP #IoT #BigData | Opinions my own</t>
  </si>
  <si>
    <t>https://www.linkedin.com/in/iainljbrown/</t>
  </si>
  <si>
    <t>DDNews Online</t>
  </si>
  <si>
    <t>To better stratify patients who may benefit from therapy, @skylinedx licenses #RAINFOREST from @oncodeinstitute &amp; @utrechtholdings #MachineLearning #algorithm was validated on data from Ph3 #ClinicalTrials of #cetuximab vs #CRC  #oncology #biomarker</t>
  </si>
  <si>
    <t>https://doi.org/10.1093/bioinformatics/btaa799</t>
  </si>
  <si>
    <t>https://pbs.twimg.com/media/Eu605vYVgAISqwX.jpg</t>
  </si>
  <si>
    <t>Midland, ON</t>
  </si>
  <si>
    <t>DDNews is a collection of print and e-publications covering issues, trends &amp; news impacting the pharma &amp; biopharmaceutical discovery and development industries.</t>
  </si>
  <si>
    <t>http://www.ddn-news.com</t>
  </si>
  <si>
    <t>Bernardo Galan</t>
  </si>
  <si>
    <t>https://dy.si/9DszR</t>
  </si>
  <si>
    <t>https://pbs.twimg.com/media/Eu60v21VIAMOYo4.png</t>
  </si>
  <si>
    <t>azuleducation</t>
  </si>
  <si>
    <t>World Economic Forum explores what jobs in 2025 will be most in demand. My thoughts are that these jobs were already on the rise, and that the pandemic will accelerate the demand in a shorter time frame. #jobs #worldeconimicforum #technology #ai #machinelearning #dataanalytics</t>
  </si>
  <si>
    <t>https://pbs.twimg.com/media/Eu60s-ZVgA0c5lC.jpg</t>
  </si>
  <si>
    <t>Academic Planning. Career Counselling. Job Search. Career Transitions.</t>
  </si>
  <si>
    <t>http://www.azuleducationservices.com</t>
  </si>
  <si>
    <t>Adrian Rosebrock</t>
  </si>
  <si>
    <t>Just released 3 NEW COURSES on PyImageSearch University!! 🚀💥 1. Siamese Networks 101 2. Image Adversaries 101 3. Object Detection 202 29 lectures, 9h 39m content  👍 #DeepLearning #MachineLearning #ArtificialIntelligence #AI #DataScience #Python</t>
  </si>
  <si>
    <t>https://pyimg.co/university</t>
  </si>
  <si>
    <t>https://pbs.twimg.com/media/Eu60ldiVoAE3V0p.jpg</t>
  </si>
  <si>
    <t>Philadelphia, PA</t>
  </si>
  <si>
    <t>PhD, Author, Entrepreneur. I write about #DeepLearning, #ComputerVision, and #Python over at http://PyImageSearch.com. Jurassic Park and RPG nerd.</t>
  </si>
  <si>
    <t>https://www.pyimagesearch.com</t>
  </si>
  <si>
    <t>The 30 Best Python Libraries and Packages for Beginners #MachineLearning #learning via</t>
  </si>
  <si>
    <t>http://twinybots.ch
https://www.ubuntupit.com/best-python-libraries-and-packages-for-beginners/</t>
  </si>
  <si>
    <t>SabrePC</t>
  </si>
  <si>
    <t>An infographic on 5 Steps in the #MachineLearning process (thanks @ingliguori!)... #Pandas #datascience #DataAnalytics #DeepLearning #AI #Technology #Data #NeuralNetworks #PyTorch #TensorFlow RT @ingliguori: #Infographic: The 5 Steps in the #MachineLearning process. Via @ingliguori #Python #datascience #DataAnalytics #DeepLearning #AI #Technology #Data #NeuralNetworks #DEVCommunity #100DaysOfCode #100DaysOfMLCode @antgrasso @pierrepinna @mvollmer1 @LindaGrass0 @enricomolinari @AkwyZ</t>
  </si>
  <si>
    <t>https://twitter.com/ingliguori/status/1363946674230550529</t>
  </si>
  <si>
    <t>https://pbs.twimg.com/media/Eu22RbeUYAEh3fM.jpg</t>
  </si>
  <si>
    <t>Bay Area, CA</t>
  </si>
  <si>
    <t>SabrePC provides the latest in HPC, Audio &amp; Visual, and Enterprise hardware and technology to customers around the globe.</t>
  </si>
  <si>
    <t>https://www.SabrePC.com</t>
  </si>
  <si>
    <t>Machine Learning | arXiv</t>
  </si>
  <si>
    <t>#arXiv #machinelearning [cs.LG] Learning Neural Generative Dynamics for Molecular Conformation Generation. (arXiv:2102.10240v1 [cs.LG])  We study how to generate molecule conformations (\textit{i.e.}, 3D structures) from a molecular graph. Traditional me…</t>
  </si>
  <si>
    <t>https://bit.ly/3bvutAW</t>
  </si>
  <si>
    <t>Automated new publication entries for #machinelearning on @arxiv | Not affiliated with arXiv | Pub → https://pub.towardsai.net/</t>
  </si>
  <si>
    <t>https://contribute.towardsai.net</t>
  </si>
  <si>
    <t>Ravi B. Parikh</t>
  </si>
  <si>
    <t>🚨Out NOW🚨 @PLOSONE: One-size-fits-all solutions for high-risk populations often fail. Why? We use existing risk-stratification #algorithm @DeptVetAffairs &amp; #MachineLearning to identify distinct subgroups of high-risk #Veterans  1/n</t>
  </si>
  <si>
    <t>https://journals.plos.org/plosone/article?id=10.1371/journal.pone.0247203#pone.0247203.ref001</t>
  </si>
  <si>
    <t>https://pbs.twimg.com/media/Eu6xha9XAAECjcP.png</t>
  </si>
  <si>
    <t>Oncologist @PennMedicine and @DeptVetAffairs; Researcher @Penn; Columnist @Medscape; Board @CTACorg</t>
  </si>
  <si>
    <t>http://medicalethicshealthpolicy.med.upenn.edu/faculty-all/ravi-b-parikh</t>
  </si>
  <si>
    <t>cba_sports</t>
  </si>
  <si>
    <t>Results Yesterday ----------------------- FG ATS 2-2 50.0% units:0.73 FG total 1-1 50.0% units:0.36 FG ML 0-0 None% units:None 1H ATS 1-0 100.0% units:0.91 1H total 0-0 None% units:None 1H ML 1-0 100.0% units:2.95 #NBA #SportsBetting #MachineLearning</t>
  </si>
  <si>
    <t>NBA picks. No smoke just picks. Enjoy while free. 🤐</t>
  </si>
  <si>
    <t>QuantUniversity</t>
  </si>
  <si>
    <t>Join us today at 11:30AM EST in a discussion on Hilbert Space Kernel Methods for Machine Learning: Background and Foundations with Daniel Duffy and Dr. Jean-Marc Mercier! Register now:  #quantitativefinance #datascience #machinelearning #AI</t>
  </si>
  <si>
    <t>https://bit.ly/3pHN01L</t>
  </si>
  <si>
    <t>Enabling AI/ML &amp; Fintech through actionable learning &amp; QuSandbox</t>
  </si>
  <si>
    <t>http://www.quantuniversity.com</t>
  </si>
  <si>
    <t>NetCarreiras</t>
  </si>
  <si>
    <t>#Currículo de #Suprimentos em #SaoPaulo #SP #hana #machinelearning #analytics #businessintelligence #powerbi #estrategia #sap #campanhas #commodities #scrum #python #indicadores #usp #capex #opex #excel #cv #oportunidade #trabalho #recolocação</t>
  </si>
  <si>
    <t>https://www.netcarreiras.com.br/curriculo-suprimentos-114295#.YDUV7h40LXE.twitter</t>
  </si>
  <si>
    <t>Brazil</t>
  </si>
  <si>
    <t>Empregos, Vagas de Emprego e Currículos Grátis em Todo o Brasil</t>
  </si>
  <si>
    <t>https://www.netcarreiras.com.br/</t>
  </si>
  <si>
    <t>Rimah Harb</t>
  </si>
  <si>
    <t>#AI #Technology #Entrepreneur #startups #IoT #Robots #Crypto - Linkedin: http://lb.linkedin.com/in/rimahharb</t>
  </si>
  <si>
    <t>Argos Multilingual</t>
  </si>
  <si>
    <t>A leading life sciences company came to us to see if we could make content available in multiple languages instantaneously via machine translation. (Spoiler alert: we could, and we did!) #lifesciences #machinetranslation #machinelearning</t>
  </si>
  <si>
    <t>https://www.argosmultilingual.com/real-time-machine-translation</t>
  </si>
  <si>
    <t>Poland &amp; USA</t>
  </si>
  <si>
    <t>We are a global #l10n #t9n solutions provider for #lifesciences #industrial #it #software #financial http://bit.ly/ArgosPolicy</t>
  </si>
  <si>
    <t>http://www.argosmultilingual.com/</t>
  </si>
  <si>
    <t>BioRankings</t>
  </si>
  <si>
    <t>This is a universal map of univariate random variables. #datasciences #statistics #machinelearning</t>
  </si>
  <si>
    <t>http://www.math.wm.edu/~leemis/chart/UDR/UDR.html</t>
  </si>
  <si>
    <t>BioRankings is a data science analytics firm specializing in working with clients to extract actionable results from their data.</t>
  </si>
  <si>
    <t>http://www.biorankings.com</t>
  </si>
  <si>
    <t>vumcDBMI</t>
  </si>
  <si>
    <t>Calling All #Postdocs: @CosminABejan is looking for a postdoc experienced in #NLP &amp; #machinelearning. Applications will be evaluated as they're received until the position is filled. Details below! #postdoctoral #job #informatics #AcademicTwitter #postdocjobs</t>
  </si>
  <si>
    <t>https://pbs.twimg.com/media/Eu6zu6EVkAkm5Dm.jpg</t>
  </si>
  <si>
    <t>Nashville, TN</t>
  </si>
  <si>
    <t>Department of Biomedical Informatics @VUMCHealth: Focused on education, research &amp; service/committed to our colleagues at Vanderbilt &amp; around the world.</t>
  </si>
  <si>
    <t>https://www.vumc.org/dbmi</t>
  </si>
  <si>
    <t>AI may soon use your veins to identify you  #DataScience #MachineLearning #Python #AI #100DaysOfCode #IoT #flutter #javascript #Serverless #womenintech #CyberSecurity #edtech #RStats #technology #innovation #Robots #Marketing #data #Identity #Health</t>
  </si>
  <si>
    <t>https://edition.cnn.com/2021/02/16/world/vein-hands-identify-intl-scli-scn/index.html</t>
  </si>
  <si>
    <t>Roots Automation</t>
  </si>
  <si>
    <t>Here are four ways #AI and #MachineLearning will continue to shape multiple industries and integrate with other technologies to drive further innovation and change in the year ahead.</t>
  </si>
  <si>
    <t>https://buff.ly/3aJyouC</t>
  </si>
  <si>
    <t>https://pbs.twimg.com/media/Eu6z360WQAIVe2s.jpg</t>
  </si>
  <si>
    <t>The world’s first zero integration, self-learning Digital Coworkers-as-a-service.</t>
  </si>
  <si>
    <t>http://www.rootsautomation.com</t>
  </si>
  <si>
    <t>Nicolas Pinto</t>
  </si>
  <si>
    <t>[#Tech] How has Covid affected the performance of machine learning models used by banks?  #Innovation #Fintech #Banking #DigitalBanking #FinServ #AI #MachineLearning #BigData #DataAnalytics #DataScience #Cloud #RPA</t>
  </si>
  <si>
    <t>https://bit.ly/2P3NjYj</t>
  </si>
  <si>
    <t>https://pbs.twimg.com/media/Eu2_HDpXIAM0u3n.png</t>
  </si>
  <si>
    <t>Marketing Manager at @TagPayInc #Innovation #FinTech #DigitalBanking #OpenBanking #Payments #AI #BigData #Cloud</t>
  </si>
  <si>
    <t>https://www.linkedin.com/in/nicolaspinto1/</t>
  </si>
  <si>
    <t>Machine learning tool pinpoints disease-related genes, functions  #MachineLearning</t>
  </si>
  <si>
    <t>https://phys.org/news/2021-02-machine-tool-disease-related-genes-functions.html</t>
  </si>
  <si>
    <t>Bahati</t>
  </si>
  <si>
    <t>#GoodNews Dr. Nashlie Sephus, a Black #machinelearning scientist ⁦@amazon⁩ Invests $25M in Tech Hub on 12 Acres in Jackson, MS</t>
  </si>
  <si>
    <t>https://apple.news/AsWdweMzNSku8ynS3QnOhGg</t>
  </si>
  <si>
    <t>Right near the beach</t>
  </si>
  <si>
    <t>Just trying to figure things out</t>
  </si>
  <si>
    <t>http://about.me/bahati</t>
  </si>
  <si>
    <t>What CIOs need to know about adding AI to their processes  #DataScience #MachineLearning #Python #AI #100DaysOfCode #IoT #flutter #javascript #Serverless #womenintech #CyberSecurity #Edtech #RStats #technology #innovation #Robots #Marketing #data #CIOs</t>
  </si>
  <si>
    <t>https://www.techrepublic.com/article/what-cios-need-to-know-about-adding-ai-to-their-processes/</t>
  </si>
  <si>
    <t>Exposing Hidden Tumors with Machine Learning Methods  #ArtificialIntelligence #MachineLearning #DataScience #Python #AI #100DaysOfCode #IoT #flutter #Serverless #CyberSecurity #DeepLearning #COVID19 #data #5G #Innovation #Digital #startup #healthcare #TUMOR</t>
  </si>
  <si>
    <t>https://www.technologynetworks.com/cancer-research/news/exposing-hidden-tumors-with-near-infrared-imaging-and-machine-learning-345181</t>
  </si>
  <si>
    <t>Don’t ask if artificial intelligence is good or fair, ask how it shifts power #ArtificialIntelligence #MachineLearning</t>
  </si>
  <si>
    <t>https://ai-summary.com/summary-dont-ask-if-artificial-intelligence-is-good-or-fair-ask-how-it-shifts-po/?utm_medium=social-organic&amp;utm_source=twitter</t>
  </si>
  <si>
    <t>HySpeed Computing</t>
  </si>
  <si>
    <t>Earth laid bare @TERN_Aus #SatelliteData #MachineLearning #SoilAndRock</t>
  </si>
  <si>
    <t>https://www.tern.org.au/news-bareearthdata/</t>
  </si>
  <si>
    <t>https://pbs.twimg.com/media/Eu6yWCkVgAUc7rr.png</t>
  </si>
  <si>
    <t>Delivering innovations in remote sensing applications. Our mission - Evolve the science, business and technology of applied geospatial analytics.</t>
  </si>
  <si>
    <t>https://hyspeedcomputing.com</t>
  </si>
  <si>
    <t>Not just complacency: why people are reluctant to use #COVID19 contact-tracing apps  @ConversationEDU #Privacy #AI #MachineLearning Cc @JolaBurnett @SpirosMargaris @ShiCooks @Paula_Piccard @roxananasoi @hessiejones @jblefevre60 @Ym78200 @3itcom</t>
  </si>
  <si>
    <t>https://theconversation.com/not-just-complacency-why-people-are-reluctant-to-use-covid-19-contact-tracing-apps-152085</t>
  </si>
  <si>
    <t>https://pbs.twimg.com/media/Eu6zMfDUUAUL3Bb.jpg</t>
  </si>
  <si>
    <t>Benedek Rozemberczki</t>
  </si>
  <si>
    <t>Some epidemiological forecasting results (chickenpox cases in Hungary) obtained with PyTorch Geometric Temporal. Not all recurrent graph neural nets were made equal. Work with @paulmorio, @kissoliver91 and @RikSarkarNet.  #machinelearning #datascience</t>
  </si>
  <si>
    <t>https://github.com/benedekrozemberczki/pytorch_geometric_temporal</t>
  </si>
  <si>
    <t>https://pbs.twimg.com/media/Eu6xxC9VIAAoYWZ.jpg</t>
  </si>
  <si>
    <t>Graph representation learning | PhD candidate at @InfAtEd @EdiDataScience | http://github.com/benedekrozemberczki</t>
  </si>
  <si>
    <t>https://github.com/benedekrozemberczki</t>
  </si>
  <si>
    <t>Is China Emerging as the Global Leader in AI?  #DataScience #MachineLearning #Python #AI #100DaysOfCode #IoT #flutter #javascript #Serverless #womenintech #CyberSecurity #RStats #Automation #tech #startups #innovation #Robots #data #investing #China</t>
  </si>
  <si>
    <t>https://hbr.org/2021/02/is-china-emerging-as-the-global-leader-in-ai?ab=hero-subleft-3</t>
  </si>
  <si>
    <t>TECKpert</t>
  </si>
  <si>
    <t>The latest in Adrian's Tech Insights is live today! Really helpful #techtips for #techtuesday  #machinelearning #automation #ai #artificialintelligence #digitaltransformation #contingentworkforce #staffaugmentation #techinsights #agileworkforce</t>
  </si>
  <si>
    <t>http://ow.ly/JbXP50DHDUM</t>
  </si>
  <si>
    <t>Miami, FL</t>
  </si>
  <si>
    <t>TECKpert provides design, development, marketing &amp; staff augmentation solutions for businesses of all sizes. Serving clients across the US &amp; proudly #miamitech</t>
  </si>
  <si>
    <t>http://teckpert.com</t>
  </si>
  <si>
    <t>PHRI Population Health Research Institute</t>
  </si>
  <si>
    <t>Perspective: #BigData and #MachineLearning Could Help Advance #NutritionalEpidemiology @HEI_mcmaster’s JD Morgenstern @DrRussRD et al  #ML #AI #ArtificialIntelligence</t>
  </si>
  <si>
    <t>https://academic.oup.com/advances/advance-article-abstract/doi/10.1093/advances/nmaa183/6145052</t>
  </si>
  <si>
    <t>Hamilton, Ontario, Canada</t>
  </si>
  <si>
    <t>Global Health. Global Partnerships. Global Impact. McMaster University | Hamilton Health Sciences</t>
  </si>
  <si>
    <t>http://phri.ca</t>
  </si>
  <si>
    <t>4 STEPS TO COMPANY-WIDE DATA LITERACY  #DataScience #Python #AI #100DaysOfCode #DEVCommunity #IoT #flutter #javascript #Serverless #womenintech #cybersecurity #RStats #CodeNewbie #MachineLearning #tech #data #innovation #Job #HR #startups #Entrepreneur</t>
  </si>
  <si>
    <t>https://builtin.com/data-science/data-literacy</t>
  </si>
  <si>
    <t>tomgolway</t>
  </si>
  <si>
    <t>https://dy.si/BCqkzX</t>
  </si>
  <si>
    <t>https://pbs.twimg.com/media/Eu6yt5lVEAMxTIS.png</t>
  </si>
  <si>
    <t>In my own world</t>
  </si>
  <si>
    <t>Author, Entrepreneur, Adventurer, Philomath, Altruist Random acts of #innovation Focusing on Pervasive Computing, Exponential Thinking, #EthicsInSTEM</t>
  </si>
  <si>
    <t>http://competinginadiverseandevolvingmarketplace.readyforthenet.org</t>
  </si>
  <si>
    <t>Global Knowledge España</t>
  </si>
  <si>
    <t>¿Quieres desarrollar todo el potencial del #MachineLearning desplegado sobre AWS? En este artículo te contamos los nuevos servicios que Amazon Web Service ha anunciado en este último año, para que puedas potenciar todos tus recursos. #welovevirtualtraining</t>
  </si>
  <si>
    <t>https://www.globalknowledge.com/es-es/resources/articles/machine-learning-aws</t>
  </si>
  <si>
    <t>https://pbs.twimg.com/media/Eu6yiowVgAAQAZt.jpg</t>
  </si>
  <si>
    <t>Expertos en formación virtual avanzada -- Google Cloud, AWS, Microsoft, Cisco... Pregúntanos y potencia tu formación TI y en Mejores Prácticas</t>
  </si>
  <si>
    <t>http://www.globalknowledge.es</t>
  </si>
  <si>
    <t>Verónica Blanco Rodríguez 🌐</t>
  </si>
  <si>
    <t>The 2021 Internet of Things Landscape 🔍✨ by @IDC v @R_Demidchuk  #BigData #Analytics #DataScience #AI #MachineLearning #IoT #IIoT #Python #RStats #TensorFlow #5G #JavaScript #ReactJS #Cloud #4IR #DataScientist #Linux #Programming #Coding #100DaysofCode</t>
  </si>
  <si>
    <t>https://blogs.idc.com/2021/02/08/the-internet-of-things-market-at-a-glance</t>
  </si>
  <si>
    <t>https://pbs.twimg.com/media/Eu6v8dRUUAsJ-nE.jpg</t>
  </si>
  <si>
    <t>Spain</t>
  </si>
  <si>
    <t>#Entrepreneur #AI #Innovation Leader #SDGs #WomenInTech✨Founder @CloudiLab 🚀 The only way to do great work is to love what you do❤️ Let’s innovate together! ✨</t>
  </si>
  <si>
    <t>http://cloudilab.com</t>
  </si>
  <si>
    <t>Titans of CNC</t>
  </si>
  <si>
    <t>Kennametal HARVI 1 TE Slotting Through G2 Cast Iron #cnc #cncmachining #machining #manufacturing #ManufacturingTheFuture #MachineLearning #AI #technology #innovation #education #Aerospace #machinist #machinery #machinetools</t>
  </si>
  <si>
    <t>pic.twitter.com/gMJNRpox2a</t>
  </si>
  <si>
    <t>Flower Mound, TX</t>
  </si>
  <si>
    <t>We are a free online academy. Our mission is to educate and inspire the present and future of manufacturing.</t>
  </si>
  <si>
    <t>http://academy.titansofcnc.com</t>
  </si>
  <si>
    <t>#datascience #datascientist #mathematics #artificialintelligence #researcher #vietnam #MachineLearning</t>
  </si>
  <si>
    <t>https://ailab.mti-vietnam.vn/vietnam-ai-lab-video-data-scientist/</t>
  </si>
  <si>
    <t>What's Hot on @reddit Today: [D] A Good Title Is All You Need</t>
  </si>
  <si>
    <t>https://www.reddit.com/r/MachineLearning/comments/lqh9br/d_a_good_title_is_all_you_need/</t>
  </si>
  <si>
    <t>Zarp Labs</t>
  </si>
  <si>
    <t>#zarplabs #AIfacts #MachineLearning</t>
  </si>
  <si>
    <t>pic.twitter.com/ioN6w0yAUr</t>
  </si>
  <si>
    <t>Zarp Labs is one of a kind R&amp;D organisation in the world. We work to create the future through innovation in technology.</t>
  </si>
  <si>
    <t>http://www.zarplabs.com</t>
  </si>
  <si>
    <t>Philip Paisnel</t>
  </si>
  <si>
    <t>The latest Digitus Daily!  #machinelearning #ai</t>
  </si>
  <si>
    <t>http://digitusdaily.com/?edition_id=36a5acc0-75e5-11eb-ae29-002590a5ba2d</t>
  </si>
  <si>
    <t>Wayne, NJ</t>
  </si>
  <si>
    <t>Love all disruptive tech, Ai, Big Data, Cloud Computing, IOT, AR &amp; VR. Opinions are my own &amp; not the views of my employer.</t>
  </si>
  <si>
    <t>http://www.paisnel.com</t>
  </si>
  <si>
    <t>We Need Ethical AI  #AI #MachineLearning #flutter #technology #innovation #DL #DataScience #data #startups #Python #javascript #WomenWhoCode #GPT3 #CyberSecurity #100DaysOfCode #automation #NLP #NLG #deepfakes #Digital #edtech #Twitter #EthicalAI</t>
  </si>
  <si>
    <t>https://www.cmswire.com/information-management/we-need-ethical-artificial-intelligence/</t>
  </si>
  <si>
    <t>Nisarg Dave</t>
  </si>
  <si>
    <t>Interesting... #helthcare #FDA #ArtificialIntelligence #MachineLearning</t>
  </si>
  <si>
    <t>https://www.natlawreview.com/article/will-final-chapter-come-fda-s-action-plan-oversight-artificial-intelligencemachine</t>
  </si>
  <si>
    <t>Lead Data Scientist @groupkdx - 9to5 #artificialintelligence | I tweet about all little things that matter the most - Views are my own!</t>
  </si>
  <si>
    <t>https://www.linkedin.com/in/davenisarg/</t>
  </si>
  <si>
    <t>Anusha K</t>
  </si>
  <si>
    <t>Are you keen towards excelling in a career in Data Science? Wait no more, &amp; become an industry-ready Data Scientist by registering for our new regular batch on Data Science. #aipatasala #datascience #artificialintelligence #machinelearning #deeplearning #python #career #ai #ml</t>
  </si>
  <si>
    <t>https://pbs.twimg.com/media/Eu6yOsfVEAMjE-3.jpg</t>
  </si>
  <si>
    <t>Sourabh Singh Katoch</t>
  </si>
  <si>
    <t>[LEETCODE] Roman to Integer | LeetCode Solution 13 | Coding Interview Tutorial.  #DEVCommunity #MachineLearning #Python #IoT #flutter #100DaysOfMLCode #AI #javascript #womenwhocode #RStats #Serverless #CodeNewbie #DataScience #100DaysOfCode</t>
  </si>
  <si>
    <t>https://www.youtube.com/watch?app=desktop&amp;v=9rfe5nXL05Q&amp;feature=youtu.be</t>
  </si>
  <si>
    <t>https://pbs.twimg.com/media/Eu26W0eVoAM_CLe.jpg</t>
  </si>
  <si>
    <t>New Delhi, India</t>
  </si>
  <si>
    <t>Data Scientist | Machine Learning Engineer Writes about AI Research, Data Science, Python Programming &amp; Development. Educator, Open Source advocate &amp; memer.</t>
  </si>
  <si>
    <t>This flying AI robot can pick fruit  #AI #MachineLearning #flutter #technology #innovation #DL #DataScience #data #startups #Python #javascript #WomenWhoCode #CyberSecurity #automation #Digital #Robot #fruits #agritech #drone #FAR #job #autonomous</t>
  </si>
  <si>
    <t>https://www.weforum.org/agenda/2021/02/flying-ai-robot-harvest-fresh-fruit/</t>
  </si>
  <si>
    <t>The EcoPreneurs</t>
  </si>
  <si>
    <t>Spot's ability to adjust to disturbances.  #robotics #ai #artificialintelligence #machinelearning #deeplearning #datascience #innovation #ml #technology #future #futuretechnology #futurist #futuristic</t>
  </si>
  <si>
    <t>https://youtu.be/lhyXifriNyk</t>
  </si>
  <si>
    <t>pic.twitter.com/pdqEkPS5ow</t>
  </si>
  <si>
    <t>Gurgaon</t>
  </si>
  <si>
    <t>Our Vision is a Sustainable World 🌍. 1-Technology &amp; IPR Management 2-Sustainability Solutions 3-Carbon Management.</t>
  </si>
  <si>
    <t>http://www.ecopreneurs.in</t>
  </si>
  <si>
    <t>philip.rang</t>
  </si>
  <si>
    <t>https://dy.si/PUaHZ</t>
  </si>
  <si>
    <t>https://pbs.twimg.com/media/Eu6x01PVkA834zh.png</t>
  </si>
  <si>
    <t>Composable</t>
  </si>
  <si>
    <t>HITLAB</t>
  </si>
  <si>
    <t>Google Voice Accelerator includes #healthcare startup conversation health. A 10-week program designed to pair startups with experts to help tackle product development, #machinelearning, and other technical challenges.@VentureBeat @Kyle_L_Wiggers</t>
  </si>
  <si>
    <t>https://venturebeat.com/2021/02/22/googles-voice-ai-accelerator-launches-12-startups/</t>
  </si>
  <si>
    <t>Shaping the future of healthcare to improve lives worldwide through research, education and advisory services. #DigitalHealth #Healthtech #FemTech #Innovation</t>
  </si>
  <si>
    <t>http://hitlab.org</t>
  </si>
  <si>
    <t>Reliyant</t>
  </si>
  <si>
    <t>#Spotify announces new #HiFi streaming tier for lossless audio Read more:  #Reliyant #programming #coding #developer #coders #programmers #computerscience #software #machinelearning #AI #technews #technology #freelance #IT #SpotifyHiFi #music</t>
  </si>
  <si>
    <t>https://sea.mashable.com/tech/14642/spotify-announces-new-hifi-streaming-tier-for-lossless-audio</t>
  </si>
  <si>
    <t>Reliyant is a holding company focused on strategic and business development and advisory services with a particular emphasis on Big Data, Blockchain, ML and AI.</t>
  </si>
  <si>
    <t>𝓥𝓲𝓬𝓮𝓷𝓽𝓮 𝓖𝓲𝓵 𝓟𝓪𝓵𝓸𝓹</t>
  </si>
  <si>
    <t>La investigación y el desarrollo de tecnologías disruptivas son el motor que ha hecho que hoy Israel sea una potencia mundial en inteligencia artificial #IA, #machinelearning y en seguridad informática #ciberseguridad sobretodo.</t>
  </si>
  <si>
    <t>https://buff.ly/3boem8d</t>
  </si>
  <si>
    <t>https://pbs.twimg.com/media/Eu6xlZKXUAES933.jpg</t>
  </si>
  <si>
    <t>💻 IT Professional 🖊 Content Curation 🔑Cybersecurity ⚙️ Industry 4.0 📡 Digital Transformation 🌆 Smartcities 📔 L10: 25-37</t>
  </si>
  <si>
    <t>http://www.vicentegilpalop.com</t>
  </si>
  <si>
    <t>Ever thought of early retirement? . . . #BigData #Analytics #DataScience #DeepLearning #MachineLearning #IoT #Python #RStats #JavaScript #ReactJS #GoLang #Serverless #Linux #Programming #Coding #100DaysOfCode #JS</t>
  </si>
  <si>
    <t>GlobalFloodSystem</t>
  </si>
  <si>
    <t>#flooding detected in Southern #Ireland. Some part of #Cork flooded already and many #floodwarnings in place. The assessment of the last 24 hours of tweets detected by our #MachineLearning algorithms. #SMAT #SMEM #ML #flooding #floods #CorkFloods</t>
  </si>
  <si>
    <t>https://pbs.twimg.com/media/Eu6xV4dVcAQZsaA.jpg</t>
  </si>
  <si>
    <t>Global-NoLocation</t>
  </si>
  <si>
    <t>#SMAT(Social Media Analytics Toolkit) REAL TIME FLOODS MONITORING USING SOCIAL MEDIA AND MAINSTREAM NEWS AT THE GLOBAL SCALE</t>
  </si>
  <si>
    <t>http://www.globalfloodsystem.com</t>
  </si>
  <si>
    <t>Data Mining using Neural Networks and Classification Algorithms by @GrahamWaters5 #MachineLearning #AI #DeepLearning #NeuralNetworks #DataScience</t>
  </si>
  <si>
    <t>https://link.medium.com/M5Tt5dWw6db</t>
  </si>
  <si>
    <t>Kyle Gibbs</t>
  </si>
  <si>
    <t>Are you leveraging ML in your #security practices? Learn more about how we're doing it here at Splunk. #threathunting #threatresearch #machinelearning #ML</t>
  </si>
  <si>
    <t>https://lnkd.in/guxmy_k</t>
  </si>
  <si>
    <t>UK Splunker!</t>
  </si>
  <si>
    <t>ThirdEyeMedia</t>
  </si>
  <si>
    <t>#Startup @krispHQ that uses #MachineLearning to remove background noise in real-time has raised $9M in funds. Check out more details in this article via @SiliconCanals #innovation #funding #wellness #calm #worklifebalance</t>
  </si>
  <si>
    <t>https://siliconcanals.com/crowdfunding/noise-cancelling-app-krisp-raises-7-4m/</t>
  </si>
  <si>
    <t>Lisbon, Portugal</t>
  </si>
  <si>
    <t>#PRagency for #tech #startups &amp; #VentureCapital firms by @claraadelille Operates in 🇬🇧🇫🇷🇩🇪🇮🇹🇪🇸🇵🇹🇳🇱🇸🇪🇺🇸 Find us on IG @thirdeyemedia_</t>
  </si>
  <si>
    <t>http://www.thirdeyemedia.press/</t>
  </si>
  <si>
    <t>Empirical Data Strategies</t>
  </si>
  <si>
    <t>We provide #projectmanagement and #datascience solutions to small and growing businesses.</t>
  </si>
  <si>
    <t>Toronto Finance International</t>
  </si>
  <si>
    <t>On March 3-4, the Ai4 2021 Finance Summit will bring together business leaders and data practitioners to facilitate the adoption of #artificialintelligence and #machinelearning technology. Apply to attend here:  @Ai4Conferences</t>
  </si>
  <si>
    <t>https://ai4.io/finance/</t>
  </si>
  <si>
    <t>Toronto Finance International is a public-private partnership between Canada’s largest financial services institutions and the government.</t>
  </si>
  <si>
    <t>http://www.tfi.ca</t>
  </si>
  <si>
    <t>Dr. Kakani Katija</t>
  </si>
  <si>
    <t>A #postdoc at @NASA @NASAGoddard working on Earth Science and the life that gives the #ocean its dynamic colors?? Sounds like a great opportunity. #MachineLearning #JobOpportunity RT @SueOceanPhoton: Interested in postdoc'ing with me at NASA Goddard? 2-year position available NOW investigating Bayesian machine learning to predict phytoplankton community composition from ocean color. Computer Scientists strongly encouraged! #machineLearning #Bayesian #oceanColor #oceanography</t>
  </si>
  <si>
    <t>https://twitter.com/sueoceanphoton/status/1363966537548394502</t>
  </si>
  <si>
    <t>Monterey, CA</t>
  </si>
  <si>
    <t>Bioengineer @BioinspirLab @MBARI_News, @NatGeo Explorer, Res Assoc @NMNH, Vis Prof Aerospace @caltech, former USA ice dancer. Tweets are mine. (she/her)</t>
  </si>
  <si>
    <t>http://www.bioinspirationlab.org</t>
  </si>
  <si>
    <t>Wissen Akademie</t>
  </si>
  <si>
    <t>Makine Öğrenmesi Nedir? Yapay Zeka ile İlişkisini açıklayan kısa bir paragrafı sizinle paylaşıyoruz! 🗣 Okumak için fotoğrafı yana kaydırabilirsiniz👉 #WissenAkademie #makineöğrenmesi #yapayzeka #machinelearning #artificialintelligence</t>
  </si>
  <si>
    <t>https://pbs.twimg.com/media/Eu6wYk1UUAA5st6.jpg</t>
  </si>
  <si>
    <t>Beşiktaş, İstanbul</t>
  </si>
  <si>
    <t>Bahçeşehir Üniversitesi Bilişim Eğitimleri Akademi Merkezi</t>
  </si>
  <si>
    <t>http://www.wissenakademie.com</t>
  </si>
  <si>
    <t>Diego Nogare</t>
  </si>
  <si>
    <t>Por mais que você seja expert jedi master-blaster em alguma coisa, sempre terá algo que você é leigo. E isso não é nenhum problema! #Leigo #Introdução #AnaliseEstatistica #Estatistica #BigData #DataScience #MachineLearning #InteligenciaArtificial #DeepLearning</t>
  </si>
  <si>
    <t>https://pbs.twimg.com/media/Eu6vjn-VcA0Zl9O.jpg</t>
  </si>
  <si>
    <t>São Paulo</t>
  </si>
  <si>
    <t>Engineering of Machine Learning Manager @ Itaú, Microsoft RD &amp; former AI MVP. Speaker, Author. Space, beer &amp; data lover! Professor @ Mackenzie &amp; FIAP. MSc in AI</t>
  </si>
  <si>
    <t>http://www.diegonogare.net</t>
  </si>
  <si>
    <t>#Deliveroo leads #HongKong market with 50% See the leaderboard:  #AlternativeData #ArtificialIntelligence #MachineLearning #FoodDelivery #deliverooridersstrike #HungerGames #FoodPanda #UberEats #Yelp #Caviar #GrabFood #Singapore #Malaysia $EEMA $UBER $USO</t>
  </si>
  <si>
    <t>https://dfdnews.com/2021/02/19/the-roller-coaster-goes-on-food-delivery-companies-in-asia-ii</t>
  </si>
  <si>
    <t>https://pbs.twimg.com/media/Eu6uNhPXUAgWSmH.png</t>
  </si>
  <si>
    <t>AI and Robots: Now and future of technology #AI #DataScience #MachineLearning #Python</t>
  </si>
  <si>
    <t>https://pbs.twimg.com/media/Eu6vwJbVgAE5qJ6.jpg</t>
  </si>
  <si>
    <t>Bukmedianet</t>
  </si>
  <si>
    <t>Bayesian Machine Learning in Python: A/B Testing =&gt;  #DataScience #MachineLearning #DeepLearning #Python #TensorFlow #ArtificialIntelligence #ReinforcementLearning #100DaysOfCode #udemy #coupons #free</t>
  </si>
  <si>
    <t>http://www.bukmedianet.com/2019/12/bayesian-machine-learning-in-python-ab.html</t>
  </si>
  <si>
    <t>The best way to prevent cyberattacks is continuing to educate users to stay away from suspicious activity. #Scanta #ArtificialIntelligence #DataBreach #cyberattacks #cybersecurity #DataScience #100DaysOfCode #MachineLearning</t>
  </si>
  <si>
    <t>Leads BrandConnect</t>
  </si>
  <si>
    <t>The journey of building your machine learning model. via @MeqdadDev #AI #ML #DS #ArtificialIntelligence #MachineLearning #DataScience #DataAnalytics #DataScientist #DeepLearning #TensorFlow #PyTorch #Python #coding #Coder #100DaysOfMLCode #CodeNewbie #100DaysOfCode #MLDeveloper</t>
  </si>
  <si>
    <t>https://pbs.twimg.com/media/Eu5BDsOVkAI77ec.jpg</t>
  </si>
  <si>
    <t>Placing human connections at the centre of your marketing campaigns.</t>
  </si>
  <si>
    <t>http://leadsbrandconnect.com/</t>
  </si>
  <si>
    <t>NIKHIL KUMAR MISHRA</t>
  </si>
  <si>
    <t>If you can't get 100% accuracy on the training data, you don't know machine learning. #ML #DataScience #AI #MachineLearning</t>
  </si>
  <si>
    <t>Football, ML, Food and end of story .... ?</t>
  </si>
  <si>
    <t>Check courses by #moshhamedani Boost Your Career Options Clear, engaging courses, focussed on developing your practical skills to supercharge your career 🎉 #100DaysOfCode #100DaysOfMLCode #javascript #webdev #frontend #backend #nodejs #MachineLearning</t>
  </si>
  <si>
    <t>What we can learn from #Japan's adoption of robots in the service sector  #MachineLearning #DataScience #Python #AI #100DaysOfCode #IoT #flutter #javascript #Serverless #CyberSecurity #techno #DeepLearning #COVID19 #data #Entrepreneur #innovation #Robotics</t>
  </si>
  <si>
    <t>https://www.weforum.org/agenda/2021/02/study-robots-service-sector-japan/</t>
  </si>
  <si>
    <t>Mallikarjun Yelameli PhD</t>
  </si>
  <si>
    <t>I just published a blog post on a data analysis report on Airbnb Tokyo Expensive and Inexpensive locations. Check out.  #dataanalysis #airbnb #MachineLearning</t>
  </si>
  <si>
    <t>https://link.medium.com/VrjNtsE26db</t>
  </si>
  <si>
    <t>Tokyo-to, Japan</t>
  </si>
  <si>
    <t>PhD in Life Science and Systems Engineering, AI and ML enthusiast, Software Engineer (Robot Data Platform) at ZMP Inc</t>
  </si>
  <si>
    <t>https://jp.linkedin.com/in/mryelameli</t>
  </si>
  <si>
    <t>Infographic: Cheat sheet Machine Learning Algorithms. #Machinelearning #Algorithms #100DaysOfCode #IoT #Bigdata #CheatSheet #100DaysOfMLCode #Python #flutter #cybersecurity #RStats #CodeNewbie #DataScience #DEVCommunity #RPA #artificialintelligence</t>
  </si>
  <si>
    <t>https://pbs.twimg.com/media/Eu5l7sTUUAYGF5k.jpg</t>
  </si>
  <si>
    <t>Unravelling Transfer Learning to Make Machines More Advanced #AI #ArtificialIntelligence #Algorithm #ML #MachineLearning #DeepLearning #DL #NeuralNetworks #Data #Tech #Technology</t>
  </si>
  <si>
    <t>http://ow.ly/YEho30ry3e7</t>
  </si>
  <si>
    <t>https://pbs.twimg.com/media/Eu6unrOWYAct3sB.jpg</t>
  </si>
  <si>
    <t>Coupon Free</t>
  </si>
  <si>
    <t>Udemy Free Discount - Modern Reinforcement Learning: Actor-Critic Methods #udemycoupon -&gt;  #DataScience #MachineLearning #Python #DataAnalysis #DeepLearning #SQL #ArtificialIntelligence #Microsoft #PowerBI #Tableau #BigData #hadoop #100DaysOfCode</t>
  </si>
  <si>
    <t>http://www.couponfree.uk/2020/12/modern-reinforcement-learning-actor.html</t>
  </si>
  <si>
    <t>Dallas, NC</t>
  </si>
  <si>
    <t>Visit http://couponfree.uk for 100% free coupon codes from #Udemy. Updated hourly so we always have the freshest coupons. #UdemyCoupon #UdemyDiscount</t>
  </si>
  <si>
    <t>CyberseerNet</t>
  </si>
  <si>
    <t>Cyberseer are proud to be exhibiting @CXOInsight tomorrow &amp; speaking at 2.45 pm with the newest revolution in #threatdetection with #Google @chroniclesec #cio #ciso #infosec #cybersecurity #mss #mssp #mdr #cloudsecurity #machinelearning #ueba #uba #cyberanalyst #detection #ai</t>
  </si>
  <si>
    <t>https://pbs.twimg.com/media/Eu6ulStXMAILHIF.jpg</t>
  </si>
  <si>
    <t>Advanced Threat Detection Managed Security Service (#MSSP) powered by #MachineLearning tech giving businesses visibility of their #cyber #threat landscape.</t>
  </si>
  <si>
    <t>http://www.cyberseer.net</t>
  </si>
  <si>
    <t>Qualcomm Accelerates AR With New Smart Viewer  #MachineLearning #DataScience #Python #AI #100DaysOfCode #IoT #flutter #javascript #Serverless #CyberSecurity #techno #DDoS #DeepLearning #fintech #COVID19 #data #Entrepreneur #5G #Cloud #innovation #AR</t>
  </si>
  <si>
    <t>Hacking Essentials</t>
  </si>
  <si>
    <t>https://buff.ly/3klEg0j</t>
  </si>
  <si>
    <t>Only the most interesting #cybersecurity links, hand-picked for you by the most trusted &amp; respected experts in the #hacking &amp; #cybersecurity industry.</t>
  </si>
  <si>
    <t>http://essentials.news/future-of-hacking</t>
  </si>
  <si>
    <t>Sayantan Pal</t>
  </si>
  <si>
    <t>Thanks a lot, @JovianML 💙✨for this amazing Swag Pack. Thank you @aakashns for the motivational handwritten note💙 Lots of love for the whole team and the community. #MachineLearning #DeepLearning #DataScience</t>
  </si>
  <si>
    <t>https://pbs.twimg.com/media/Eu6rs0VUcAEiaHl.jpg</t>
  </si>
  <si>
    <t>Kolkata, India</t>
  </si>
  <si>
    <t>💕Coding💕 I am a junior web developer and a python enthusiast | Webmaster in ACM students chapter | freeCodeCamper</t>
  </si>
  <si>
    <t>https://github.com/Sayantan-world</t>
  </si>
  <si>
    <t>BBVA en Argentina</t>
  </si>
  <si>
    <t>📢 ¡Tenemos grandes noticias! @BBVA y @googlecloud establecen una alianza para promover la innovación en la seguridad de los servicios financieros. Conocé todos los detalles aquí 👇 #CiberseguridadBBVA #InteligenciaArtificial #MachineLearning</t>
  </si>
  <si>
    <t>https://www.bbva.com/es/bbva-y-google-cloud-establecen-una-alianza-para-promover-la-innovacion-en-la-seguridad-de-los-servicios-financieros/</t>
  </si>
  <si>
    <t>Avanzamos para que todas las oportunidades estén en tus manos. Seguinos y enterate de las novedades del mundo BBVA 🌎 #OneBBVA #CreandoOportunidades</t>
  </si>
  <si>
    <t>https://www.bbva.com.ar/</t>
  </si>
  <si>
    <t>Training machine learning models to be future-ready - With machine learning being us  #machinelearning #intoAInews</t>
  </si>
  <si>
    <t>https://neurons.ai/blog/news-stories/training-machine-learning-models-to-be-future-ready/</t>
  </si>
  <si>
    <t>T-Cell Screening Test Launched to Detect Prior Covid Infections - It uses  #machinelearning #intoAInews</t>
  </si>
  <si>
    <t>https://neurons.ai/blog/news-stories/t-cell-screening-test-launched-to-detect-prior-covid-infections/</t>
  </si>
  <si>
    <t>Mission Launches Data, Analytics, &amp; Machine Learning Practice for Businesses on AWS -  #machinelearning #intoAInews</t>
  </si>
  <si>
    <t>https://neurons.ai/blog/news-stories/mission-launches-data-analytics-machine-learning-practice-for-businesses-on-aws/</t>
  </si>
  <si>
    <t>Panalgo Releases Industry Benchmarking Report Exploring Data Analytics and -  #machinelearning #intoAInews</t>
  </si>
  <si>
    <t>https://neurons.ai/blog/news-stories/panalgo-releases-industry-benchmarking-report-exploring-data-analytics-and-machine-learning/</t>
  </si>
  <si>
    <t>Andreina Francisco</t>
  </si>
  <si>
    <t>The position is now officially open! Come and work with us! #PhD student position in #AppliedMathematics: Autonomous #DecisionMaking in Automated Cell Profiling for Drug Discovery Applications  #pharmbio #AI #MachineLearning</t>
  </si>
  <si>
    <t>https://pharmb.io/blog/cim2021/</t>
  </si>
  <si>
    <t>Uppsala, Sweden</t>
  </si>
  <si>
    <t>Postdoc in the Pharmaceutical Bioinformatics Group at UU. Interested in AI, intelligent decision support, constraint programming. Knitter. Coffee addict.</t>
  </si>
  <si>
    <t>http://andreina-francisco.github.io</t>
  </si>
  <si>
    <t>VR Helps Rehabilitate Individuals With Motor Dysfunctions  #MachineLearning #DataScience #Python #AI #100DaysOfCode #IoT #flutter #javascript #Serverless #CyberSecurity #techno #DDoS #DeepLearning #COVID19 #data #Entrepreneur #5G #innovation #VR #Health</t>
  </si>
  <si>
    <t>https://www.unite.ai/vr-helps-rehabilitate-individuals-with-motor-dysfunctions/</t>
  </si>
  <si>
    <t>そらまる-SORAMARU-</t>
  </si>
  <si>
    <t>💹 #株価予報 💹 SOFTBANKグループのADRである 「SFTBY」の予測になります☺ どうなるかなー🦁 #AI #人工知能 #機械学習 #machinelearning #MachineLearning #ReinforcementLearning #airtificial #投資 #株式投資</t>
  </si>
  <si>
    <t>pic.twitter.com/euGN58T02d</t>
  </si>
  <si>
    <t>MOOC：NYU🌎Michigan Uni etc</t>
  </si>
  <si>
    <t>I'm developing AI for Finence.💻 #東南アジア の人々の資産を増やす投資 #AI の開発を目指す #FXで約2億円運用経験あり #元証券会社勤務</t>
  </si>
  <si>
    <t>Real Thabo</t>
  </si>
  <si>
    <t>After approximation with local linearity i finally got to the prestigious l'hôpital's rule in #Calculus I hear about this in all the ML and #DataScience course #MachineLearning #ArtificialIntelligence #khanacademy #software #Math #Statistics #Probability #programminglife</t>
  </si>
  <si>
    <t>was coding in the past, now automating the future</t>
  </si>
  <si>
    <t>Udemy Free Discount - Deployment of Machine Learning Models in Production | Python #udemycoupon -&gt;  #DataScience #MachineLearning #Python #DataAnalysis #DeepLearning #SQL #ArtificialIntelligence #Microsoft #PowerBI #Tableau #BigData #hadoop #100DaysOfCode</t>
  </si>
  <si>
    <t>http://www.couponfree.uk/2020/12/deployment-of-machine-learning-models.html</t>
  </si>
  <si>
    <t>AWS Brasil</t>
  </si>
  <si>
    <t>Marque no relógio que amanhã às 9h temos um encontro marcado para o #AWSInnovate. Descubra o que há de novo em #AI e #MachineLearning em nossas sessões exclusivas para o Brasil! Inscrições ainda abertas</t>
  </si>
  <si>
    <t>https://go.aws/3scFuhc</t>
  </si>
  <si>
    <t>https://pbs.twimg.com/media/Eu6tZvbXUAIi9x3.jpg</t>
  </si>
  <si>
    <t>Amazon Web Services Brasil</t>
  </si>
  <si>
    <t>http://aws.amazon.com/pt/</t>
  </si>
  <si>
    <t>Data Analysis Crash Course For Beginners (Pandas + Python) ➡️  ✅ #Data #Analysis #Crashh #pandas #Analytics #DataScience #AI #MachineLearning #IoT #IIoT #Python #RStats #CloudComputing #Serverless #Linux @udemy #Coding #100DaysofCode #100DaysOfMLCode</t>
  </si>
  <si>
    <t>http://bit.ly/3slk5SS</t>
  </si>
  <si>
    <t>https://pbs.twimg.com/media/Eu6tNzuVoAANW5x.jpg</t>
  </si>
  <si>
    <t>Jesus Rodriguez</t>
  </si>
  <si>
    <t>Today's edition of @TheSequenceAI continues expanding on the topic of #AutoML by discussing Bayesian #hyperparameteroptimizations , #Azure AutoML and some cool Amazon research in the space:  #deeplearning #artificialintelligence #machinelearning</t>
  </si>
  <si>
    <t>https://thesequence.substack.com/p/edge65?r=2g8vk&amp;utm_campaign=post&amp;utm_medium=web&amp;utm_source=copy</t>
  </si>
  <si>
    <t>CEO-CTO at http://intotheblock.com; Chief Scientist at http://InvectorLabs.com; Guest Lecturer, Columbia University; Angel/Crypto Investor; Author, Speaker, AI fanatic</t>
  </si>
  <si>
    <t>https://medium.com/@jrodthoughts</t>
  </si>
  <si>
    <t>Reconshell</t>
  </si>
  <si>
    <t>Best Chatbot Frameworks To Build Powerful AI Bots #AI #ML #Chatbot #ChatbotFrameworks #ArtificialIntelligence #MachineLearning</t>
  </si>
  <si>
    <t>https://reconshell.com/best-chatbot-frameworks-to-build-powerful-ai-bots/</t>
  </si>
  <si>
    <t>https://t.me/reconshell</t>
  </si>
  <si>
    <t>Reconshell - Our tutorials, case studies, Ethical Hacking, Penetration Testing Tools will prepare you for the upcoming, potential threats in the cyber security</t>
  </si>
  <si>
    <t>https://reconshell.com</t>
  </si>
  <si>
    <t>Branko Boro</t>
  </si>
  <si>
    <t>Professional Customized and Affordable Web Design Services –  #MachineLearning #learning via</t>
  </si>
  <si>
    <t>http://Mambo.co.ke
http://twinybots.ch
https://www.mambo.co.ke/design/web-design/</t>
  </si>
  <si>
    <t>Dublin City, Ireland</t>
  </si>
  <si>
    <t>Founder @DragonweaverW #Entrepreneur &amp; #ChangeMaker #HealthTech Advocate #FinTech Insider #AI Enthusiast #SocialMedia Hero #Gaming Aficionado</t>
  </si>
  <si>
    <t>http://dragonweaver.net</t>
  </si>
  <si>
    <t>Raghu Naik</t>
  </si>
  <si>
    <t>Complete Machine Learning Training #MachineLearning #learning via</t>
  </si>
  <si>
    <t>http://twinybots.ch
https://freehipwee.blogspot.com/2020/10/datadrivenscience-machinelearning.html</t>
  </si>
  <si>
    <t>Senior Leader in IT industry and keen interest in Emerging Technologies like #AI #AR #Analytics #Blockchain #digitaltransofrmation</t>
  </si>
  <si>
    <t>Harinivas</t>
  </si>
  <si>
    <t>Do you feel anxious about your future in #MachineLearning? - You may not be in Ivy League - You may not be rich - You may not have got opportunities to prove yourself But remember, You are a warrior and even in the darkest phase of life, you will never quit.</t>
  </si>
  <si>
    <t>https://pbs.twimg.com/media/Eu6s0gIUYAUikIG.jpg</t>
  </si>
  <si>
    <t>I tweet about Machine learning and trying to make it easy for beginners.</t>
  </si>
  <si>
    <t>Practical Data Science: Analyzing Stock Market Data with R  #machinelearning #ad</t>
  </si>
  <si>
    <t>https://zpy.io/2979bad3</t>
  </si>
  <si>
    <t>What’s Keeping Women Out of Data Science?  #MachineLearning #DataScience #Python #AI #100DaysOfCode #IoT #flutter #javascript #Serverless #CyberSecurity #tech #DDoS #DeepLearning #fintech #COVID19 #data #RPA #IIoT #5G #Cloud #TSLA #WomenWhoCode #womenintech</t>
  </si>
  <si>
    <t>https://www.cxotoday.com/big-data/whats-keeping-women-out-of-data-science/</t>
  </si>
  <si>
    <t>Hashem AbuBaker</t>
  </si>
  <si>
    <t>Building Artificial Intelligence #ArtificialIntelligence #learning #machinelearning</t>
  </si>
  <si>
    <t>https://ptyleraul.medium.com/building-artificial-intelligence-bf1d8eb4b4ac</t>
  </si>
  <si>
    <t>Saudi Arabia</t>
  </si>
  <si>
    <t>ehealth program, Green Tech, Sensors Management, Startups</t>
  </si>
  <si>
    <t>Ilias Biris</t>
  </si>
  <si>
    <t>#machinelearning Inside the Architecture Powering Data Quality Management at Uber</t>
  </si>
  <si>
    <t>https://buff.ly/3dHjFCx</t>
  </si>
  <si>
    <t>Data architect, Finland. Opinions are my own. Cogitamus, ergo sum?</t>
  </si>
  <si>
    <t>jyoti sahai</t>
  </si>
  <si>
    <t>#Scientists are using #AI to create artificial human genetic code @msharmas @HCITExpert @DigitalTrends #HIMSS21 #HITsmIND #healthcare #ArtificialIntelligence #MachineLearning #NeuralNetworks #Algorithms #privacy #ethics #Genetics #research #innovation</t>
  </si>
  <si>
    <t>https://www.digitaltrends.com/features/ai-genetic-code/</t>
  </si>
  <si>
    <t>Bangalore</t>
  </si>
  <si>
    <t>passionate about numbers</t>
  </si>
  <si>
    <t>http://jyotisahai.wordpress.com</t>
  </si>
  <si>
    <t>Women in Data Science: Changing the Rules of The Game  #MachineLearning #DataScience #Python #AI #100DaysOfCode #IoT #flutter #javascript #Serverless #CyberSecurity #tech #DDoS #DeepLearning #fintech #COVID19 #data #Entrepreneur #5G #Cloud #womenintech</t>
  </si>
  <si>
    <t>https://www.dqindia.com/women-in-data-science-changing-the-rules-of-the-game/</t>
  </si>
  <si>
    <t>Buraco de Minhoca ® Quant Trading</t>
  </si>
  <si>
    <t>Essa semana iniciamos os treinamentos dos robôs. São milhares de combinações e cálculos sendo processado massivamente para geração de cada EA. #trading #algotrading #machinelearning</t>
  </si>
  <si>
    <t>Campinas, Brasil</t>
  </si>
  <si>
    <t>Quant analyst and strategy developer #machinelearning #startup. MBA FGV Empreneurship. Disclaimer: Não faço recomendações. Opero futuros, ações e commodities 🥇</t>
  </si>
  <si>
    <t>https://www.linkedin.com/in/rafaelmarquescv</t>
  </si>
  <si>
    <t>Udemy Free Discount - Advanced Web Scraping with Python using Scrapy &amp; Splash #udemycoupon -&gt;  #DataScience #MachineLearning #Python #DataAnalysis #DeepLearning #SQL #ArtificialIntelligence #Microsoft #PowerBI #Tableau #BigData #hadoop #100DaysOfCode</t>
  </si>
  <si>
    <t>http://www.couponfree.uk/2020/03/advanced-web-scraping-with-python-using.html</t>
  </si>
  <si>
    <t>Teldat Group</t>
  </si>
  <si>
    <t>Market requirements | From branch router to enterprise edge router  #MachineLearning #BigData #Rstats #Reactjs #IIoT #IoT #SDWAN #SmartCity #edgecomputing #FutureofWork #Cloud #30DaysOfCode #Tech #cybersecurity</t>
  </si>
  <si>
    <t>https://lnkd.in/dqvG6Gh</t>
  </si>
  <si>
    <t>https://pbs.twimg.com/media/Eu6sTZHXYAINnzx.jpg</t>
  </si>
  <si>
    <t>SDN | WAN Edge Infrastructure &amp; internetworking platforms for Corporate environments Blog🔗http://ow.ly/ST9y50BE2tb #SDWAN #edgecomputing #edgerouting #5G</t>
  </si>
  <si>
    <t>http://www.teldat.com/</t>
  </si>
  <si>
    <t>Dark Wolf Solutions</t>
  </si>
  <si>
    <t>Shout out to Pack member Hina Fatima for being an integral part of @NASA ThinSat program! Learn more about the ThinSat program here:  #NASA #mars #space #jointhepack #ai #data #machinelearning #innovation</t>
  </si>
  <si>
    <t>https://youtu.be/o5EG_ztzW1w</t>
  </si>
  <si>
    <t>Herndon, VA</t>
  </si>
  <si>
    <t>The Alpha of Technology</t>
  </si>
  <si>
    <t>https://www.darkwolfsolutions.com/</t>
  </si>
  <si>
    <t>#ArtificialIntelligence Systems Aim To Sniff Out Signs Of COVID-19 Outbreaks by @hadriancho @ScienceMagazine Read more  #AI #BigData #MachineLearning #ML #MI Cc: @erictopol @soumithchintala @oriolvinyalsml</t>
  </si>
  <si>
    <t>https://bit.ly/2yjfLxa</t>
  </si>
  <si>
    <t>https://pbs.twimg.com/media/Eu6sO_4WQAAM3iJ.jpg</t>
  </si>
  <si>
    <t>GlobalTech Outlook</t>
  </si>
  <si>
    <t>Adversarial Attack: Everything You Need to Know About it  #adversarialattacks #ArtificialIntelligence #technology #cybersecurity #machinelearning #neuralnetworks</t>
  </si>
  <si>
    <t>https://bit.ly/3qOgBrJ</t>
  </si>
  <si>
    <t>Global Tech Outlook is a leading source of comprehensive #Tech insights into new-age disruptive technologies like and how they lead the contemporary world.</t>
  </si>
  <si>
    <t>https://www.globaltechoutlook.com/</t>
  </si>
  <si>
    <t>Raghad al-khatib</t>
  </si>
  <si>
    <t>Good boy👏 Be ready.. #robot #Competition #Engineering #coding #ArtificialIntelligence #Analytics #automation #tech #Judge #designthinking #award #first #technology #STEAM #FLL #FIRSTLEGOLEAGUE #machinelearning #deeplearning #robotics #innovation #datascience #ml #ai #الأردن</t>
  </si>
  <si>
    <t>pic.twitter.com/wXL7r1I5Dn</t>
  </si>
  <si>
    <t>خبرة اربع سنوات في مجال ال EV3 سنة في مجال ال AI مشاركة في العديد من المسابقات في مجال الروبوتات والذكاء الاصطناعي مثل: FLL, ball gathering and codeavour 2020.</t>
  </si>
  <si>
    <t>USU Biologist Uses Machine-Learning Approach to Track Disease-Carrying Mosquitoes @USUAggies #SatelliteData #MachineLearning #Mosquitoes</t>
  </si>
  <si>
    <t>https://www.usu.edu/today/story/usu-biologist-uses-machine-learning-approach-to-track-disease-carrying-mosquitoes</t>
  </si>
  <si>
    <t>What's new, Atlas Robot can do backflips.  #robotics #ai #artificialintelligence #machinelearning #deeplearning #datascience #innovation #ml #technology #future #futuretechnology #futurist #futuristic</t>
  </si>
  <si>
    <t>https://youtu.be/DNK58fP1C3Q</t>
  </si>
  <si>
    <t>pic.twitter.com/ySlRUAw7DD</t>
  </si>
  <si>
    <t>Machine Learning Market (2021 to 2025) | Growing Application in Industry, Presents Opportunities and Demand Analysis, Growth, Size and Share – The Bisouv Network - The Bisouv Network  #machinelearning #ai #technology</t>
  </si>
  <si>
    <t>http://dlvr.it/RtJpWp</t>
  </si>
  <si>
    <t>Wall Streets firm to push more on tech spend  #MachineLearning #DataScience #Python #AI #100DaysOfCode #IoT #flutter #javascript #Serverless #CyberSecurity #tech #DDoS #DeepLearning #COVID19 #data #Entrepreneur #5G #Cloud #blockchain #fintech #WallStreet</t>
  </si>
  <si>
    <t>https://www.businessinsider.com/wall-street-technology-spend-cloud-ai-blockchain-budget-finance-2021-2</t>
  </si>
  <si>
    <t>NarraSoft</t>
  </si>
  <si>
    <t>How is #augmentedreality changing the way we perceive and consume pieces of art? To learn about the technologies paving the way for art to be more accessible and enjoyable, click on the link here:  #AugmentedRealityArt #VirtualReality #MachineLearning</t>
  </si>
  <si>
    <t>https://narrasoft.com/how-will-augmented-reality-change-the-future-of-art/</t>
  </si>
  <si>
    <t>https://pbs.twimg.com/media/Eu6gxyPVgAURBox.jpg</t>
  </si>
  <si>
    <t>United States and Philippines</t>
  </si>
  <si>
    <t>Software, Mobile App, and Digital Art. #SoftwareDevelopment #MobileAppDevelopment #2D #3D #Animation #gamedevelopment #outsourcing #wordpress #10YEARS</t>
  </si>
  <si>
    <t>http://www.narrasoft.com</t>
  </si>
  <si>
    <t>Banks: The New Stacked Operating Model  #Innovation #Fintech #Banking #DigitalBanking #FinServ #CoreBanking #Payments #AI #MachineLearning #BigData #DataAnalytics #Cloud #RPA @JimMarous @ursbolt</t>
  </si>
  <si>
    <t>https://buff.ly/3p74m82</t>
  </si>
  <si>
    <t>https://pbs.twimg.com/media/Eu6rZxzXEAM97-L.jpg</t>
  </si>
  <si>
    <t>Alexander Networks, Inc.</t>
  </si>
  <si>
    <t>The latest Mobile, Wireless and Telecom News!  #machinelearning #ai</t>
  </si>
  <si>
    <t>https://paper.li/AlexanderNet/1325473720?edition_id=ea418a60-75e0-11eb-9bb6-0cc47a0d1605</t>
  </si>
  <si>
    <t>20+ years helping #business with efficiency, growth, #digital adoption, #management, revenue and #funding - #AI #VR #Blockchain #ML - #RT, if you're excited</t>
  </si>
  <si>
    <t>https://www.linkedin.com/company/alexandernetworks</t>
  </si>
  <si>
    <t>Neural network training progress image 45 of unknown: an algorithm slowly learns to imagine #machinelearning #art #imagination #surreal #abstract #creativity #machinecreativity #machineimagination #neuralnetworks #coding #creativecoding #python #tensorflow #nvidia #digitalart</t>
  </si>
  <si>
    <t>https://pbs.twimg.com/media/Eu6rLcdWQAgGymu.jpg</t>
  </si>
  <si>
    <t>#SAIC taps Chinese #chip #startup for #SelfDrivingCars  #AI #IoT #5G #AutonomousVehicles #selfdriving #autonomous #Robotics #driverless #driverlesscars #startups #startup #Robot #MachineLearning #BigData #SmartCity #Travel #tech #Robots #mobility</t>
  </si>
  <si>
    <t>https://technode.com/2021/02/23/saic-taps-chinese-chip-startup-for-self-driving-cars/</t>
  </si>
  <si>
    <t>Udemy Free Discount - [2020] Machine Learning and Deep Learning Bootcamp in Python #udemycoupon -&gt;  #DataScience #MachineLearning #Python #DataAnalysis #DeepLearning #SQL #ArtificialIntelligence #Microsoft #PowerBI #Tableau #BigData #hadoop #100DaysOfCode</t>
  </si>
  <si>
    <t>http://www.couponfree.uk/2020/10/2020-machine-learning-and-deep-learning.html</t>
  </si>
  <si>
    <t>A.I. Here, There, Everywhere  #MachineLearning #DataScience #Python #AI #100DaysOfCode #IoT #flutter #javascript #Serverless #CyberSecurity #techno #DDoS #DeepLearning #fintech #COVID19 #data #Entrepreneur #TSLA #RPA #IIoT #5G #Cloud #innovation #privacy</t>
  </si>
  <si>
    <t>Mark Donaldson 黑龍/黑龙</t>
  </si>
  <si>
    <t>Look what just came in @rocksetta . It’s the ov7670 for the @arduino #Nano33BleSense. Looking forward to testing it out very soon with your #github code after I complete the @EdgeImpulse course with @ShawnHymel on @coursera . #TinyML tiny #computervision #MachineLearning #cool 👍</t>
  </si>
  <si>
    <t>https://pbs.twimg.com/media/Eu6rBNvXMAEMH4J.jpg</t>
  </si>
  <si>
    <t>Mississauga, Ontario</t>
  </si>
  <si>
    <t>🇨🇦 Hybrid Consultant; 我會説中文; Data Analytics AI/ML/DS Elec Eng RF Wireless IoT; Thoughts and opinions are my own</t>
  </si>
  <si>
    <t>https://www.quantuityanalytics.com</t>
  </si>
  <si>
    <t>Treadstone 71</t>
  </si>
  <si>
    <t>The latest Voigt-Kampff Analyzer!  Thanks to @Nitromarisa @IvannaTorricoE @jcpadilla95 #ai #machinelearning</t>
  </si>
  <si>
    <t>http://www.voigt-kampffanalyzer.com/?edition_id=b08fcbb0-75e0-11eb-9fda-0cc47a0d1609</t>
  </si>
  <si>
    <t>Half Moon Bay</t>
  </si>
  <si>
    <t>Cyber Intel, Counterintel, Analysis as a Service, Adversary Research, CyberIntellipedia - Woman and Veteran Owned http://Treadstone71.com Strategic Intel Analysis</t>
  </si>
  <si>
    <t>https://www.treadstone71.com</t>
  </si>
  <si>
    <t>Edge Tech</t>
  </si>
  <si>
    <t>In this weeks Talent Update....You don't want to be left behind, do you? Well, let us know!  #EdgeTech #GetTheEdge #RPA #IntelligentAutomation #AI #MachineLearning #DataScience #TalentUpdate</t>
  </si>
  <si>
    <t>https://mailchi.mp/1c92b15220b0/you-need-to-see-these-superstar-candidates-4216169</t>
  </si>
  <si>
    <t>pic.twitter.com/c2NJmD6G0S</t>
  </si>
  <si>
    <t>London, United Kingdom</t>
  </si>
  <si>
    <t>Disruptive Technology Talent &amp; Advisory Services for RPA (Robotic Process Automation), Data Science, Machine Learning and AI #GetTheEdge</t>
  </si>
  <si>
    <t>https://linktr.ee/edgetech</t>
  </si>
  <si>
    <t>arXiv Daily</t>
  </si>
  <si>
    <t>A Theory of Label Propagation for Subpopulation Shift  by @tianle_cai et al. including @RuiqiGao, @QiLei45724485 #Classifier #MachineLearning</t>
  </si>
  <si>
    <t>https://deepai.org/publication/a-theory-of-label-propagation-for-subpopulation-shift</t>
  </si>
  <si>
    <t>1.5 AU</t>
  </si>
  <si>
    <t>Daily feed of this week's top research articles published to http://arXiv.org. #DataScience, #ML, &amp; #ArtificialIntelligence. Curated by @Deep__AI</t>
  </si>
  <si>
    <t>https://deepai.org/research</t>
  </si>
  <si>
    <t>StrathclydeOA</t>
  </si>
  <si>
    <t>A track-before-detect strategy based on sparse data processing for #air #surveillance #radar applications  #sensors #engineering #electronics #sensing #MachineLearning #OpenAccess @EEEStrathclyde @CarCle85</t>
  </si>
  <si>
    <t>https://strathprints.strath.ac.uk/75420/</t>
  </si>
  <si>
    <t>https://pbs.twimg.com/media/Eugax6JXIAEnbBT.jpg</t>
  </si>
  <si>
    <t>Glasgow, Scotland</t>
  </si>
  <si>
    <t>Scholarly Publications &amp; Research Data team at University of Strathclyde, #openaccess, #repositories, #RDM &amp; all things open! Links to scholarly articles.</t>
  </si>
  <si>
    <t>https://strathprints.strath.ac.uk/</t>
  </si>
  <si>
    <t>CambridgeConsultants</t>
  </si>
  <si>
    <t>Just like us, machines enter this world with a clean slate, but living is learning. Dom Kelly discusses a future where machines can learn more naturally, to the point where they begin learning to learn.  #artificialintelligence #machinelearning #ai #ml</t>
  </si>
  <si>
    <t>https://hubs.ly/H0H2MJd0</t>
  </si>
  <si>
    <t>ÜT: 52.236906,0.162349</t>
  </si>
  <si>
    <t>We are leaders in world-changing innovation, working in diverse markets globally.</t>
  </si>
  <si>
    <t>http://www.CambridgeConsultants.com</t>
  </si>
  <si>
    <t>Flying Eze</t>
  </si>
  <si>
    <t>Ag monitoring startup Flurostat merges with soil carbon expert Dagan to form Regrow #Tc #Articles #Carbon #CarbonSequestration #Co-founder #Food #GreenhouseGas #GreenhouseGasEmissions #MachineLearning #Microsoft</t>
  </si>
  <si>
    <t>https://www.flyingeze.com/p/ag-monitoring-startup-flurostat-merges-with-soil-carbon-expert-dagan-to-form-regrow</t>
  </si>
  <si>
    <t>We inform, educate, and entertain - wherever you are, whatever your age.</t>
  </si>
  <si>
    <t>https://www.flyingeze.com/</t>
  </si>
  <si>
    <t>ST.BARTHS Hungary</t>
  </si>
  <si>
    <t>Without a systematic way to start and keep data clean, bad data will happen #data #analytics #BigData #MachineLearning</t>
  </si>
  <si>
    <t>https://pbs.twimg.com/media/Eu6qRJ4UYAUd5uV.jpg</t>
  </si>
  <si>
    <t>ST.BARTHS Technologies Hungary Ltd. is an advanced administration stage offering a wide scope of business arrangements inside the computerized scene.</t>
  </si>
  <si>
    <t>LearnEngineering</t>
  </si>
  <si>
    <t>#code #programmer #technology #computerscience #phyton #html #css #javascript #computer #datascience #artificicalintelligence #machinelearning #learnphyton #programming #python #pythonprogramming #programminglangua</t>
  </si>
  <si>
    <t>https://learnengineering.tech/
https://www.youtube.com/channel/UCBSTKwoaSuafMheLwPm-W2w?sub_confirmation=1</t>
  </si>
  <si>
    <t>https://pbs.twimg.com/media/Eu6chPgXAAU1OTt.jpg</t>
  </si>
  <si>
    <t>Learn a wide range of the most in-demand skills in today's digitalized world. https://learnengineering.tech/</t>
  </si>
  <si>
    <t>Data Machines</t>
  </si>
  <si>
    <t>Our #NLP powered #AI tool can predict your sentiments. Test it today by reviewing a movie here  #DigitalTransformation #MachineLearning</t>
  </si>
  <si>
    <t>https://buff.ly/39gpeW2</t>
  </si>
  <si>
    <t>https://pbs.twimg.com/media/Eu6qCdkXcAQKAnQ.jpg</t>
  </si>
  <si>
    <t>The great movie review challenge! We are calling out you to test our AI in rating movies based on your review. What is in for you? $1650 worth gift vouchers!</t>
  </si>
  <si>
    <t>https://qualetics.com/movie-review-challenge/</t>
  </si>
  <si>
    <t>Smartlogic.com</t>
  </si>
  <si>
    <t>Just 2 more days till our live event - learn the value that #Semantics and #AI can add to your #DataCatalog initiatives! #KnowledgeManagement #InfoTech #SemanticAI #NLP #MachineLearning RT @Smartlogic_com: Explore new routes to value with #DataCataog's! Join us on Feb 25th for our next learn how Semaphore’s #Semantic #AI capabilities provide you with a new approach to #metadata management.</t>
  </si>
  <si>
    <t>https://twitter.com/Smartlogic_com/status/1356241616336527361
https://www.smartlogic.com/events/entry/smantic-data-catalogs-a-new-route-to-value2</t>
  </si>
  <si>
    <t>https://pbs.twimg.com/media/EtJWj3KW8AEgH_0.jpg</t>
  </si>
  <si>
    <t>USA &amp; England</t>
  </si>
  <si>
    <t>Revealing Smarter Decisions! #AI #ML #Metadata #knowledgegraph #Semantics #digitaltransformation #Taxonomy #RPA #NLP #Datascience #kowledgeManagement</t>
  </si>
  <si>
    <t>http://www.smartlogic.com/</t>
  </si>
  <si>
    <t>Nex Software</t>
  </si>
  <si>
    <t>Understanding to reduce time complexity using Joblib in Python #joblib #python #pythondevelopmentservices #pythondevelopment #machinelearning #AI #artificialintelligence #programminglife</t>
  </si>
  <si>
    <t>https://www.nexsoftsys.com/articles/reduce-time-complexity-using-joblib-in-python.html</t>
  </si>
  <si>
    <t>Technology Consulting Firm for Customized #Offshore #Software, #SoftwareTesting &amp; Mobile #Apps #Development for Healthcare, Telecommunication and Banking System</t>
  </si>
  <si>
    <t>https://www.nexsoftsys.com/</t>
  </si>
  <si>
    <t>Suresh Rukmangathan</t>
  </si>
  <si>
    <t>CEO, @CORIZANCE, Connected Risk Intelligence Ecosystem #CEO #CTO #Riskmanagement #Risk #Regtech #Fintech #Edtech #AI #Blockchain #CyberSecurity</t>
  </si>
  <si>
    <t>🤣🤣🤣 this is the Maximum Of Common sense of AI🤪🤪🤪 “Two dogs are throwing frisbees at each other.” #fintech #ArtificialIntelligence #MachineLearning #DeepLearning #AI #CommonSense RT @SpirosMargaris: Researchers Disappointed By Efforts to Teach #AI #CommonSense  #fintech #ArtificialIntelligence #MachineLearning #DeepLearning @cnaintelligence @psb_dc @YuHelenYu @andi_staub @HaroldSinnott @DioFavatas @WhiteheartVic @YvesMulkers @pierrepinna @ipfconline1</t>
  </si>
  <si>
    <t>https://twitter.com/SpirosMargaris/status/1364078133020884993
https://mindmatters.ai/2021/02/researchers-disappointed-by-efforts-to-teach-ai-common-sense/</t>
  </si>
  <si>
    <t>YouTuber asks an AI for video ideas, gets a surprising response  #MachineLearning #DeepLearning</t>
  </si>
  <si>
    <t>http://dlvr.it/RtJm7w</t>
  </si>
  <si>
    <t>https://pbs.twimg.com/media/Eu6plh5VIAUCUZZ.jpg</t>
  </si>
  <si>
    <t>Psi-k</t>
  </si>
  <si>
    <t>A postdoc position is available at the Max-Planck-Institut für Eisenforschung GmbH in Düsseldorf, Germany... . The project aims to explore high entropy alloys via ab initio approaches and recently developed #machinelearning potentials.</t>
  </si>
  <si>
    <t>http://psi-k.net/jobs/postdoc-position-at-mpie-exploration-of-high-entr/</t>
  </si>
  <si>
    <t>https://pbs.twimg.com/media/Eu6pdioWQAM6Wi-.jpg</t>
  </si>
  <si>
    <t>Europe</t>
  </si>
  <si>
    <t>Psi-k is a network, co-ordinated by a series of working groups, to help build cooperation in the field of electronic structure calculations</t>
  </si>
  <si>
    <t>http://psi-k.net/</t>
  </si>
  <si>
    <t>Lori MacVittie | Ps 26:5</t>
  </si>
  <si>
    <t>Hunh. Apparently the "learning" in #machinelearning with Roombas means it trains me to find it when it gets stuck in the place every. Single. Day. Maybe it's smarter than I thought....</t>
  </si>
  <si>
    <t>Evangelist for F5 Networks ★ Mom ★ Grandmom ★ Geek ★ Gamer ★Writer ★ Thinker ★ Musician ★ Opinionated ★ Really opinionated, actually.</t>
  </si>
  <si>
    <t>kaam_de</t>
  </si>
  <si>
    <t>Looking for an exciting career in the IT industry? Register with us and apply to relevant jobs here.  Download our app for getting instant notifications on new jobs.  #Jobportal #ITjobs #DataScientists #MachineLearning</t>
  </si>
  <si>
    <t>https://bit.ly/2HrbOHT
https://bit.ly/3hHBAIU</t>
  </si>
  <si>
    <t>https://pbs.twimg.com/media/Eu6pWMBWYAE5_n4.png</t>
  </si>
  <si>
    <t>KaamDe enables colleges to automate #CampusPlacements, employers to #recruit talent, and, enables #JobSeekers to find the best jobs across India!</t>
  </si>
  <si>
    <t>http://kaam.de</t>
  </si>
  <si>
    <t>NotReal.ai</t>
  </si>
  <si>
    <t>AI generated minimalist portraits #notrealart #deepdream #generative #stylegan #machinelearning #minimalisticart #abstractartwork #ａｅｓｔｈｅｔｉｃ #linedrawing #minimallove #minimal #glitchlab #immersiveart #artgen #trippynature #videoarte</t>
  </si>
  <si>
    <t>pic.twitter.com/btbPjHT5fv</t>
  </si>
  <si>
    <t>AI art. nothing is real, everything is cake. I follow back! Explore AI-generated cats: http://notrealcats.com</t>
  </si>
  <si>
    <t>http://notreal.ai</t>
  </si>
  <si>
    <t>Combining #MachineLearning with #smartphone tracking data to forecast the spread of the flu  #Healthtech #AI #Insurtech @diioanni @labordeolivier @kalydeoo @Ym78200 @Nicochan33 @chboursin @HITpol @KeniryBird @tantriclens @cellrepair777 @terence_mills</t>
  </si>
  <si>
    <t>https://buff.ly/2ZuyEHB</t>
  </si>
  <si>
    <t>https://pbs.twimg.com/media/Eu6pJ3-XUAMA_Xl.jpg</t>
  </si>
  <si>
    <t>Applications of IoT for Healthcare  #analytics, #artificialintelligence, #businessanalytics, #datascience, #iot, #machinelearning</t>
  </si>
  <si>
    <t>https://bit.ly/3aKSG71</t>
  </si>
  <si>
    <t>Machine-learning model helps determine protein structures  #MachineLearning #Protein</t>
  </si>
  <si>
    <t>https://buff.ly/3rmRcFx</t>
  </si>
  <si>
    <t>https://pbs.twimg.com/media/Eu6pF3OXMAcml6a.jpg</t>
  </si>
  <si>
    <t>Dr Efi Pylarinou</t>
  </si>
  <si>
    <t>The Role of Artificial Consciousness in #AI Systems #technology #artificialintelligence #machinelearning @Ronald_vanLoon @KirkDBorne @Shirastweet @TamaraMcCleary @sallyeaves @AndrewYNg</t>
  </si>
  <si>
    <t>http://ow.ly/DaKh50DHk6z</t>
  </si>
  <si>
    <t>Thought leader &amp; Influencer - 4IR No.1 woman finance influencer #RefinitivSocial100 Top 14 #Onalytica finance influencer #Fintech Co-founder of Daily Fintech</t>
  </si>
  <si>
    <t>http://www.efipylarinou.com</t>
  </si>
  <si>
    <t>Why explainability is key to success in machine learning  #DL #AI #ML #DeepLearning #ArtificialIntelligence #MachineLearning #ComputerVision #AutonomousVehicles #NeuroMorphic #Robotics</t>
  </si>
  <si>
    <t>https://buff.ly/3pvO20J</t>
  </si>
  <si>
    <t>Diyotta</t>
  </si>
  <si>
    <t>Data integration is a complex project where success depends on communication, commitment, and better planning. There is even more to it. Decode them here -  👈 #Diyotta #DataWarehouse #DataStorage #datascience #technology #machinelearning #ai #bigdata</t>
  </si>
  <si>
    <t>https://zcu.io/87NG</t>
  </si>
  <si>
    <t>https://pbs.twimg.com/media/Eu6o9vGVIAEIUfl.jpg</t>
  </si>
  <si>
    <t>Discover code-free data integration that everybody can use. Zero engineering required.</t>
  </si>
  <si>
    <t>http://www.diyotta.com</t>
  </si>
  <si>
    <t>Geisel Software</t>
  </si>
  <si>
    <t>You're probably hearing about #ArtificialIntelligence &amp; #MachineLearning more than ever, but do you understand how they work? In this fantastic #informational talk, one of our #engineers, Liz Couture, gives a great overview of #AI &amp;amp; #ML Check it out! --&gt;</t>
  </si>
  <si>
    <t>https://buff.ly/2NBiFoj</t>
  </si>
  <si>
    <t>https://pbs.twimg.com/media/Eu6o7FbXIAMJnvr.jpg</t>
  </si>
  <si>
    <t>Worcester, MA</t>
  </si>
  <si>
    <t>A leading developer of Web apps, iOS and Android Apps, and IoT (Internet of Things) software.</t>
  </si>
  <si>
    <t>http://www.geisel-software.com</t>
  </si>
  <si>
    <t>Find out what is coming in Domino v12! #HCLDomino #DominoVolt #Dominoforever #nocode #lowcode #100DaysOfCode #datascience #serverless #codenewbie #30DaysOfCode #DevCommunity #womenintech #womenwhocode #machinelearning #flutter  RT @HCLDigital: From low-code to pro-code, HCL Domino is the only rapid application development platform you need, and we are making Domino v12 more powerful than ever. Find out what's coming in the next release:  #lowcode #Dominoforever</t>
  </si>
  <si>
    <t>https://via.socxo.net/MR3KFkYC0xZHw
https://twitter.com/HCLDigital/status/1363956733266264064
https://hclsw.co/j5lrfb</t>
  </si>
  <si>
    <t>Bio-In­spired #Ro­bot­ics: Learn­ing from Drag­on­flies  by @kieluni via @techxplore_com #AI #MachineLearning #DeepLearning Cc @ahier @andi_staub @psb_dc @mvollmer1 @pierrepinna @NexWebSites @KirkDBorne @bobehayes @schmarzo @sandy_carter @VanRijmenam</t>
  </si>
  <si>
    <t>https://techxplore.com/news/2021-01-bio-inspired-robotics-dragonflies.html</t>
  </si>
  <si>
    <t>https://pbs.twimg.com/media/Eu6o57HXYAEVCLe.jpg</t>
  </si>
  <si>
    <t>AI Student Society (AI2S)</t>
  </si>
  <si>
    <t>What's there going to be at the AI2S Winter Datathon 2021?🤔💡A simple problem of suggesting an art piece to an art collector just like Amazon a product suggesting to a customer. Here's a video explaining it! #ai2swinterdatathon #DataScientist #AI #MachineLearning</t>
  </si>
  <si>
    <t>pic.twitter.com/rjWmqIlKqp</t>
  </si>
  <si>
    <t>Nonprofit student association. Data Science, Artificial Intelligence and everything in between.📍Trieste, Italy | DMs at info@ai2s.it</t>
  </si>
  <si>
    <t>https://www.ai2s.it</t>
  </si>
  <si>
    <t>Manning Publications</t>
  </si>
  <si>
    <t>Deal of the Day Feb 23: Save 50% on Getting Started with Natural Language Processing &amp; selected titles!  #NLP #python #machinelearning #deeplearning #ML #DL Check out the #liveBoook:</t>
  </si>
  <si>
    <t>http://bit.ly/3qHCTLF
https://livebook.manning.com/book/getting-started-with-natural-language-processing</t>
  </si>
  <si>
    <t>https://pbs.twimg.com/media/Eu6hQi0XMAYiOzn.jpg</t>
  </si>
  <si>
    <t>Shelter Island, United States</t>
  </si>
  <si>
    <t>Follow Manning Publications on Twitter and get exclusive discounts, product announcements, author news, and great content.</t>
  </si>
  <si>
    <t>http://www.manning.com</t>
  </si>
  <si>
    <t>Jason M Pittman</t>
  </si>
  <si>
    <t>Theoretical Foundations of Graph Neural Networks [Research]  #MachineLearning</t>
  </si>
  <si>
    <t>https://www.reddit.com/r/MachineLearning/comments/lpo2ih/theoretical_foundations_of_graph_neural_networks/</t>
  </si>
  <si>
    <t>Winston-Salem, NC</t>
  </si>
  <si>
    <t>I'm an academic and researcher. I study #cybersecurity, #AI, and #cognitivescience. Willing #mentor &amp; #advisor. I also play a mean paladin in #WoW</t>
  </si>
  <si>
    <t>http://www.jasonmpittman.com</t>
  </si>
  <si>
    <t>📢 Consigue con Student Success una #experiencia de #aprendizaje #innovadora con #analíticas y #MachineLearning para adoptar una #cultura de toma de decisiones y mejora continua del #éxito del #estudiante basada en datos y evidencia 📈 Conócenos 👉</t>
  </si>
  <si>
    <t>http://studentsuccessdata.com</t>
  </si>
  <si>
    <t>https://pbs.twimg.com/media/Eu6o4WJXcAEuqHu.jpg</t>
  </si>
  <si>
    <t>Model Zoo</t>
  </si>
  <si>
    <t>packnet Model and Code:  #PyTorch #MachineLearning #AI #DeepLearning</t>
  </si>
  <si>
    <t>https://modelzoo.co/model/packnet</t>
  </si>
  <si>
    <t>Model Zoo curates and provides a platform for deep learning researchers to easily find pre-trained models for a variety of platforms and uses.</t>
  </si>
  <si>
    <t>https://modelzoo.co</t>
  </si>
  <si>
    <t>https://ift.tt/2ZEb23c</t>
  </si>
  <si>
    <t>https://ift.tt/3aMbzqo</t>
  </si>
  <si>
    <t>David R. Pugh</t>
  </si>
  <si>
    <t>And that’s me done! Thanks to @KAUST_Vislab @kaust_corelabs for the support; @KAUST_RC and @mybinderteam for the compute; and the @swcarpentry community for helping develop the lessons! #DataScience #MachineLearning RT @KAUST_Vislab: Dr. David Pugh is presenting the Second #DataScience workshop of the spring, "Introduction to Conda for (Data) Scientists," to Kaust and In-kingdom participants. For upcoming workshops of the series, please visit:</t>
  </si>
  <si>
    <t>https://twitter.com/kaust_vislab/status/1364163102481260546
http://buff.ly/2YxoWno</t>
  </si>
  <si>
    <t>https://pbs.twimg.com/media/Eu54qZiXEAEHSuQ.jpg</t>
  </si>
  <si>
    <t>Thuwal, Saudi Arabia</t>
  </si>
  <si>
    <t>Data Scientist at KAUST Core Labs. @swcarpentry instructor. Opinions are my own.</t>
  </si>
  <si>
    <t>https://github.com/davidrpugh</t>
  </si>
  <si>
    <t>https://buff.ly/2ZIMcPU</t>
  </si>
  <si>
    <t>Apollo Energies Inc</t>
  </si>
  <si>
    <t>The Apollo Energies Daily is out!  Stories via @Energy_Global @hansen_teis #machinelearning #ai</t>
  </si>
  <si>
    <t>http://dailydigest.apolloenergiesinc.com/?edition_id=38464c20-75df-11eb-ae29-002590a5ba2d</t>
  </si>
  <si>
    <t>Vacaville, CA</t>
  </si>
  <si>
    <t>We are energy consultants working to reduce the energy use of the built environment while maximizing financial benefits of lowering the carbon footprint.</t>
  </si>
  <si>
    <t>http://www.apolloenergiesinc.com</t>
  </si>
  <si>
    <t>Do you want to master Machine Learning? My +1 Tip: Just fall in love with Machine Learning just like how Wall-E fell in love with Eve 💚 #AI #MachineLearning</t>
  </si>
  <si>
    <t>https://pbs.twimg.com/media/Eu6oKjhU4AMycPj.jpg</t>
  </si>
  <si>
    <t>LucientData</t>
  </si>
  <si>
    <t>Our sessions for Data Saturday, 1 in Italy: ️⏺️ Unleashing the Power of #MachineLearning ⏺️ PBI modeling at warp speed with #Tabular ⏺️ #PowerQuery &amp; M: the hidden treasure inside Power BI ⏺️From Zero to Cube in 40 minutes Free register ➡️</t>
  </si>
  <si>
    <t>https://bitly.com/3bAEXig</t>
  </si>
  <si>
    <t>https://pbs.twimg.com/media/Eu6oGjoXUAIFIUE.jpg</t>
  </si>
  <si>
    <t>We have been helping businesses since 2002 to unlock insights, streamline operations, and gain competitive advantages through data-driven intelligence.</t>
  </si>
  <si>
    <t>http://www.lucient.com</t>
  </si>
  <si>
    <t>Bill Fox</t>
  </si>
  <si>
    <t>So cNLP - Clinical Natural Language Processing - even has a name now. I guess #AI and #MachineLearning are really going mainstream in healthcare now. BTW, cNLP is just like #NLP with c data. So you need to make sure you NLP is up to date. #cNLP #HealthIT #MedTech</t>
  </si>
  <si>
    <t>Healthcare and Life Sciences BD lead at SambaNova Systems l Dad | Husband l AI strategy l Fitness |</t>
  </si>
  <si>
    <t>https://www.linkedin.com/in/bill-fox-j-d-m-a-03ba40b/</t>
  </si>
  <si>
    <t>Blue Orange Digital</t>
  </si>
  <si>
    <t>💥 The embedded #MachineLearning revolution: the basics You need to know 💠 In recent years, #Data has frequently been characterized as the oil and gold of the 21st century  #ArtificialIntelligence #AI #DeepLearning #DataScience #IoT</t>
  </si>
  <si>
    <t>http://ow.ly/BI3o50Dufwo</t>
  </si>
  <si>
    <t>Data science and machine learning consulting and development agency.</t>
  </si>
  <si>
    <t>http://blueorange.digital</t>
  </si>
  <si>
    <t>https://pbs.twimg.com/media/Eu6nv6JWQAQ31E6.png</t>
  </si>
  <si>
    <t>Online Course Opportunities</t>
  </si>
  <si>
    <t>Practical Regression Analysis in R ($59.99 to FREE) #AI #CloudComputing #ML #programming #Python #DeepLearning #ArtificialIntelligence #blockchain #IoT #DataScience #Serverless #JavaScript #BigData #Linux #100DaysOfCode #MachineLearning</t>
  </si>
  <si>
    <t>https://www.jucktion.com/forum/udemy-coupon/practical-regression-analysis-in-r-59-99-to-free-ai-cloudcomputing-ml-programmin/</t>
  </si>
  <si>
    <t>Not affiliated w/ Udemy</t>
  </si>
  <si>
    <t>Up your skills and career opportunities with free premium courses. Updated regularly Submit your course @ http://bit.ly/udemies Donate @ http://liberapay.com/donate</t>
  </si>
  <si>
    <t>https://www.facebook.com/couponn</t>
  </si>
  <si>
    <t>MADANA</t>
  </si>
  <si>
    <t>#Federated Learning, also known as distributed #MachineLearning, benefits from recent developments in #confidentialcomputing. Learn more about this topic in our latest blog post! #MADANACore #enclaves #blockchain</t>
  </si>
  <si>
    <t>https://blog.madana.io/federated-learning-confidential-computing-e70a4844bcc5</t>
  </si>
  <si>
    <t>Berlin, Deutschland</t>
  </si>
  <si>
    <t>Leading the way in Confidential Computing for secure &amp; trusted applications.</t>
  </si>
  <si>
    <t>https://www.madana.io</t>
  </si>
  <si>
    <t>#Fintech Lending Apps are Increasingly Using #AI and #MachineLearning to Accurately Determine Borrower’s Creditworthiness, According to Researchers. (Crowd Fund Insider)</t>
  </si>
  <si>
    <t>https://buff.ly/37KUefG</t>
  </si>
  <si>
    <t>https://pbs.twimg.com/media/EqLcSTDW8AQe1pY.jpg</t>
  </si>
  <si>
    <t>A.I. Is Everywhere and Evolving - The New York Times Read more here:  #ArtificialIntelligence #AI #DataScience #100DaysOfCode #Python #MachineLearning #BigData #DeepLearning #NLP #Robots #IoT</t>
  </si>
  <si>
    <t>https://ift.tt/2ZET94r</t>
  </si>
  <si>
    <t>The Push2BeGreat Clothing Brand Incorporating Artificial Intelligence to Innovate Learning Methods in Literacy - Bowling Green Daily News Read more here:  #ArtificialIntelligence #AI #DataScience #100DaysOfCode #Python #MachineLearning #BigData #DeepLea…</t>
  </si>
  <si>
    <t>https://ift.tt/3dIAgpl</t>
  </si>
  <si>
    <t>What were they thinking?: Where artificial intelligence meets family dysfunction -  Read more here:  #ArtificialIntelligence #AI #DataScience #100DaysOfCode #Python #MachineLearning #BigData #DeepLearning #NLP #Robots #IoT</t>
  </si>
  <si>
    <t>http://scarsdalenews.com
https://ift.tt/2NQ5GPJ</t>
  </si>
  <si>
    <t>The 4 Biggest Trends In Big Data And Analytics Right For 2021 #MachineLearning #bigdata #learning via</t>
  </si>
  <si>
    <t>http://twinybots.ch
https://www.forbes.com/sites/bernardmarr/2021/02/22/the-4-biggest-trends-in-big-data-and-analytics-right-for-2021/</t>
  </si>
  <si>
    <t>Here's what you need to know about a new #AI #ArmsRace ⬇️ #MachineLearning #ArtificialIntelligence #DeepLearning #javascript #serverless #WomenInTech #100DaysOfCode #python #Linux #Flutter #TensorFlow #PyTorch #DigitalTransformation #IoT #FutureOfWork</t>
  </si>
  <si>
    <t>https://www.weforum.org/agenda/2021/02/heres-what-you-need-to-know-about-the-new-ai-arms-race/</t>
  </si>
  <si>
    <t>Understanding Functions in AI by Lawrence Alaso Krukrubo via #TowardsAI →  #MachineLearning #ML #ArtificialIntelligence #AI #DataScience #DeepLearning #Technology #Programming #news #research #Science</t>
  </si>
  <si>
    <t>https://pub.towardsai.net/understanding-functions-in-ai-d2fd52c72b37?source=rss----98111c9905da---4?source=social.tw</t>
  </si>
  <si>
    <t>Beyond Machine</t>
  </si>
  <si>
    <t>Which sports can be predicted? Football and basketball ?  #DataScience #ArtificialIntelligence #machinelearning</t>
  </si>
  <si>
    <t>https://www.youtube.com/watch?v=yrSz6dywOc8</t>
  </si>
  <si>
    <t>Berlin, Germany</t>
  </si>
  <si>
    <t>Machine Learning | Deep Learning | AI | NLP</t>
  </si>
  <si>
    <t>http://beyond-machine.com</t>
  </si>
  <si>
    <t>TalentMinded Inc.</t>
  </si>
  <si>
    <t>Be mentored by senior team members and work with massive amounts of data iterating on a content recommendation system that delivers outstanding value to Canadians. Join @CBC Digital Products as a Machine Learning Developer.  #MachineLearning #TechTO</t>
  </si>
  <si>
    <t>https://bit.ly/3ky3zLi</t>
  </si>
  <si>
    <t>We tweet about awesome jobs with awesome companies around the world, and all things talent acquisition.</t>
  </si>
  <si>
    <t>http://www.talentminded.ca</t>
  </si>
  <si>
    <t>Global Tech Council</t>
  </si>
  <si>
    <t>#MACHINELEARNING ALGORITHM IN PYTHON YOU MUST LEARN Want to upskill yourself to get ahead in #Python #programming? Signup now:  #datascienceenthusiast #datascience #artificialintelligence #ai #dataanalytics #data #bigdata #deeplearning #datascientist</t>
  </si>
  <si>
    <t>https://bit.ly/3sfDiW1</t>
  </si>
  <si>
    <t>https://pbs.twimg.com/media/Eu6mF9QXAAMS6mc.png</t>
  </si>
  <si>
    <t>Global #certification #body for latest technologies like #AI, #IOT, #ML, #Blockchain, #ChatBot, #CyberSecurity, #VR, #AR, #BigData, #DataScience.</t>
  </si>
  <si>
    <t>https://www.globaltechcouncil.org</t>
  </si>
  <si>
    <t>Shane Brighton</t>
  </si>
  <si>
    <t>IBM's Hernandez Discusses Future of AIOps and Measuring ROI  #AI #MachineLearning #BigData via InformationWeek</t>
  </si>
  <si>
    <t>https://www.informationweek.com/big-data/ai-machine-learning/ibms-hernandez-discusses-future-of-aiops-and-measuring-roi/a/d-id/1340219?_mc=rss_x_iwr_edt_aud_iw_x_x-rss-simple</t>
  </si>
  <si>
    <t>Helping companies to leverage information and technology for business advantage.</t>
  </si>
  <si>
    <t>http://linkedin.com/in/shanebrighton</t>
  </si>
  <si>
    <t>Accelebrate</t>
  </si>
  <si>
    <t>We are pleased to announce our new line of ML, AI, and Deep Learning courses. Classes are live, hands-on, and customizable for your team.  #deeplearning #ai #ml #datascience #machinelearning #artificialintelligence</t>
  </si>
  <si>
    <t>https://www.accelebrate.com/machine-learning-training</t>
  </si>
  <si>
    <t>https://pbs.twimg.com/media/Eu6mDknWQAUbbkQ.png</t>
  </si>
  <si>
    <t>Atlanta, GA</t>
  </si>
  <si>
    <t>Don't settle for one size fits all training. Choose Accelebrate, and receive hands-on, engaging training precisely tailored to your goals and audience!</t>
  </si>
  <si>
    <t>http://www.accelebrate.com</t>
  </si>
  <si>
    <t>The Jucktion</t>
  </si>
  <si>
    <t>http://amp.gs/QjFE</t>
  </si>
  <si>
    <t>Banepa</t>
  </si>
  <si>
    <t>Tech, Travel &amp; Learning. Let's collaborate! Learning &amp; Tinkering on a budget: http://bit.ly/bitsgonefree Sections: @booksgonefree @Appups @CourseOp @wallpaperable</t>
  </si>
  <si>
    <t>https://www.jucktion.com</t>
  </si>
  <si>
    <t>Adversarial Attack: Everything You Need to Know About it  #adversarialattacks #artificialintelligence #tech #technology #security #machinelearning #neuralnetworks</t>
  </si>
  <si>
    <t>Erwan Demont</t>
  </si>
  <si>
    <t>AI Art Critic? New Dataset and Models Make Emotional Sense of Visual Artworks  via @Synced_Global #AI #Art #EmotionalAI #Critics #Creativity #DataScience #MachineLearning #Labelling #Artwork #DecisionMaking #NeuralNetworks #DeepLearning</t>
  </si>
  <si>
    <t>https://bit.ly/3pKvutR</t>
  </si>
  <si>
    <t>CEO &amp; Co-Founder @CogNeed. Views expressed are my own ! #AI #VoiceTech #DataScience</t>
  </si>
  <si>
    <t>https://www.cogneed.ai</t>
  </si>
  <si>
    <t>Newsfile</t>
  </si>
  <si>
    <t>UAT Group Acquires Boost Words, Inc. Full Story:  @UmbraAppliedTec $UATG #UATG #UATGroup #machinelearning #AI #BoostWords #Technology #Acquisition #OTC #OTCMarkets #OTCStocks #Investing</t>
  </si>
  <si>
    <t>https://bit.ly/3dHWIPo</t>
  </si>
  <si>
    <t>Toronto, Vancouver, Calgary</t>
  </si>
  <si>
    <t>Newsfile is a press release service for companies of all sizes. With a broad international distribution, we connect companies to their customers &amp; stakeholders</t>
  </si>
  <si>
    <t>http://www.newsfilecorp.com</t>
  </si>
  <si>
    <t>Can AI &amp; ML disrupt investing?  #analytics, #analytics #datascience, #artificialintelligence, #bigdata, #datagovernance, #datascience, #machinelearning, #neuralnetworks</t>
  </si>
  <si>
    <t>https://bit.ly/3dEGwyr</t>
  </si>
  <si>
    <t>Predicting the success rate of IVF | #AI #MachineLearning #HealthCare</t>
  </si>
  <si>
    <t>https://bit.ly/3aMDOVL</t>
  </si>
  <si>
    <t>TradersLog.com</t>
  </si>
  <si>
    <t>Webinar March 4th: How Not to Use Machine Learning in Trading by Dr. Ernest P. Chan @chanep  #capitalmarkets #machinelearning</t>
  </si>
  <si>
    <t>https://register.gotowebinar.com/register/610992427691622158</t>
  </si>
  <si>
    <t>Portal for active traders and investors - covering stocks, futures, options and forex. Follow us for breaking market news and analysis.</t>
  </si>
  <si>
    <t>http://www.traderslog.com/</t>
  </si>
  <si>
    <t>Noel Chandler</t>
  </si>
  <si>
    <t>Using Machine Learning To Create Better Gene Therapies  #ML #MachineLearning #healthcare #futuremedicine #HealthTech #genes</t>
  </si>
  <si>
    <t>https://bit.ly/376Ecw0</t>
  </si>
  <si>
    <t>https://pbs.twimg.com/media/Eu6lenNXcAAlC32.jpg</t>
  </si>
  <si>
    <t>Seattle | Costa Rica</t>
  </si>
  <si>
    <t>Mosio CEO + Co-Founder. Mosio helps clinical researchers more efficiently engage and retain study subjects. Get a Quote ⤵️</t>
  </si>
  <si>
    <t>https://www.mosio.com</t>
  </si>
  <si>
    <t>AI Clinic special edition: Data science culture and team dynamics About this Event  #AI #DataScience #MachineLearning #blockchain</t>
  </si>
  <si>
    <t>https://www.eventbrite.co.uk/e/ai-clinic-special-edition-data-science-culture-and-team-dynamics-tickets-138153726515?aff=ebdsoporgprofile</t>
  </si>
  <si>
    <t>Counter Fraud Conference</t>
  </si>
  <si>
    <t>Excited to learn more about how #publicsector organisations are using #AI and #dataanalytics to stay one step ahead of fraudsters. The @SASsoftware team look at at visualisation software, investigation tools and cutting-edge #machinelearning techniques. #CounterFraud21</t>
  </si>
  <si>
    <t>https://pbs.twimg.com/media/Eu6lceDXYAEVwo1.jpg</t>
  </si>
  <si>
    <t>Get all the latest updates on public sector fraud news &amp; policy. Next conference in the series Counter Fraud 2021 | 23 Feb | Virtual Summit | #CounterFraud21</t>
  </si>
  <si>
    <t>https://counterfraudconference.co.uk/</t>
  </si>
  <si>
    <t>Garry Jenkin</t>
  </si>
  <si>
    <t>Machine Learning with  #MachineLearning #learning via</t>
  </si>
  <si>
    <t>http://ML.NET
http://twinybots.ch
https://rubikscode.net/2021/02/22/machine-learning-with-ml-net-guide-to-decision-trees/</t>
  </si>
  <si>
    <t>Carrollton, TX</t>
  </si>
  <si>
    <t>The future is in data analytics and humor. #analytics #AI #dataviz #neuralnetwork #humor http://pinterest.com/grjenkin/ http://linkedin.com/in/grjenkin/ http://grj.blogspot.com</t>
  </si>
  <si>
    <t>http://garryjenkin.brandyourself.com</t>
  </si>
  <si>
    <t>Dino el Rey</t>
  </si>
  <si>
    <t>$agi #SingularityNet $ada #CARDANO #AI #ElonMusk #IYKYN #cryptocurrency #ArtificialIntelligence #DataScience #MachineLearning #DeFi #Bitcoin . RT @Fractal_Crypto: 1. First the hint was #Cardano $ADA Now #ElonMusk is talking about SingularityNET AI Oracle $AGI!😯🤯 "EXCESSION" a sci-fi novel for Benevolent AI with enormous intellectual &amp; physical capabilities SingularityNET+Elon Partnership? First Project to Launch On Cardano in Days!</t>
  </si>
  <si>
    <t>https://twitter.com/Fractal_Crypto/status/1364206215258124289
https://twitter.com/elonmusk/status/1364180853866131456</t>
  </si>
  <si>
    <t>https://pbs.twimg.com/media/Eu6iTXmXIAcoDNC.jpg</t>
  </si>
  <si>
    <t>NYC by way of Texas</t>
  </si>
  <si>
    <t>crypto, software designer, travel, tech, art, photo, hstry ☆ thoughts are things ☆ buy‐hodl ☆ value investing ☆ research is fun ☆ 🇺🇸🇨🇱 ✈ 📸 🌮☕</t>
  </si>
  <si>
    <t>Data Science Course 2021: Complete #MachineLearning Training #udemyfree #udemycoupon =&gt;  #DataScience #MachineLearning #R #DataAnalysis #DeepLearning #TensorFlow #Python #ArtificialIntelligence #NeuralNetworks #javascript30 #100DaysOfCode #udemy</t>
  </si>
  <si>
    <t>https://freehipwee.blogspot.com/2020/10/datadrivenscience-machinelearning.html</t>
  </si>
  <si>
    <t>Do you want to dive into the ocean of Machine Learning? #AI #MachineLearning</t>
  </si>
  <si>
    <t>https://bit.ly/2Mh94mh</t>
  </si>
  <si>
    <t>Everyday MBA</t>
  </si>
  <si>
    <t>How can you understand the differences between #MachineLearning, deep learning, natural language processing and #AI...? Listen to author and expert Chris Duffey in this episode</t>
  </si>
  <si>
    <t>https://bit.ly/2Wk46EN</t>
  </si>
  <si>
    <t>with host Kevin Craine</t>
  </si>
  <si>
    <t>Award-winning interviews with best-selling business authors sharing #success tips you won't learn in #business school. #MBA</t>
  </si>
  <si>
    <t>http://www.Everyday-MBA.com</t>
  </si>
  <si>
    <t>Taneem Jan</t>
  </si>
  <si>
    <t>A vector is a data structure with at least two components, as opposed to a scalar, which has just one. #MachineLearning #ArtificialIntelligence #DataScience #DeepLearning</t>
  </si>
  <si>
    <t>https://deepai.org/machine-learning-glossary-and-terms/vector</t>
  </si>
  <si>
    <t>Pakistan</t>
  </si>
  <si>
    <t>A proud Muslim and Pakistani. Software Engineer and AI Researcher that is trying to make machines able to learn.</t>
  </si>
  <si>
    <t>https://taneemishere.github.io</t>
  </si>
  <si>
    <t>Spiros Margaris</t>
  </si>
  <si>
    <t>5 Things You Didn’t #Know About #ArtificialIntelligence  #fintech #AI #MachineLearning #DeepLearning @BBNTimes_en</t>
  </si>
  <si>
    <t>https://buff.ly/3sokQKT</t>
  </si>
  <si>
    <t>https://pbs.twimg.com/media/Eu6kxkJXAAIJFrn.jpg</t>
  </si>
  <si>
    <t>All Over the World</t>
  </si>
  <si>
    <t>#VC @wefoxHQ @stcpay_k @SparkLabsGlobal @ai_mediastalker @canopyrent @GenTwoAG @F10_accelerator | No.1 #Fintech Influencer @Refinitiv &amp; @Onalytica | #AI @TEDx</t>
  </si>
  <si>
    <t>http://www.MargarisVentures.com</t>
  </si>
  <si>
    <t>Prof. Luiz Picolo</t>
  </si>
  <si>
    <t>#MachineLearning</t>
  </si>
  <si>
    <t>https://pbs.twimg.com/media/Eu6kbKNXYAAh5Op.png</t>
  </si>
  <si>
    <t>Nova Andradina</t>
  </si>
  <si>
    <t>Sou professor no Instituto Federal de Mato Grosso do Sul com formação em Tecnólogia em Análise e mestrado em computação aplicada. IFMS/UFMS</t>
  </si>
  <si>
    <t>Mambo Web Services</t>
  </si>
  <si>
    <t>Check out  #WebHosting #Website #Servers #javascript #Python #MachineLearning #ArtificialIntelligence #Webdesign #webdevelopment #codinglife #coding #programming #WebsiteDesign #codingchallenge #100DaysOfCode #HTML #programmers #rubyonrails #COVID19 #cod</t>
  </si>
  <si>
    <t>https://mambo.co.ke/design/web-design</t>
  </si>
  <si>
    <t>https://pbs.twimg.com/media/Eu6kDjYXAAQnYb7.png</t>
  </si>
  <si>
    <t>Nairobi, Kenya</t>
  </si>
  <si>
    <t>East Africa leading web service: Including; SSL, Web Hosting, Reseller Hosting, Cloud hosting, Web Applications, Mobile Apps, Domains &amp; Intuative Web Design</t>
  </si>
  <si>
    <t>http://www.mambo.co.ke</t>
  </si>
  <si>
    <t>7wdata</t>
  </si>
  <si>
    <t>Alto by @google Creative Lab Alto (a little teachable object) is an open source #AI experiment. It introduces the basics of #machinelearning by help ..</t>
  </si>
  <si>
    <t>https://bit.ly/3usGhwy</t>
  </si>
  <si>
    <t>https://pbs.twimg.com/media/Eu6kSMEWgAEKd-w.jpg</t>
  </si>
  <si>
    <t>België</t>
  </si>
  <si>
    <t>News on #Data, #Business #Intelligence, #Information #Management, #Analytics, #leadership, #innovation, #digital #transformation, #IoT, #AI</t>
  </si>
  <si>
    <t>http://7wData.be</t>
  </si>
  <si>
    <t>sandy carter</t>
  </si>
  <si>
    <t>During Perseverance’s mission on Mars, the science and engineering data will be processed and hosted in @awscloud enabling the Mars 2020 mission to benefit from the scalability, agility, and reliability of #cloud. #ai #machinelearning #cloud #IoT #iotPL</t>
  </si>
  <si>
    <t>http://ow.ly/xoSa50DHa4I</t>
  </si>
  <si>
    <t>https://pbs.twimg.com/media/Eu6kUIYXEAMlhaS.png</t>
  </si>
  <si>
    <t>Agile leader. Energizer bunny. #AWS VP + Entrepreneur. TOP 10 #AI #cloud #CMO #socbiz #iot influencer. Best Selling Author. Evangelist. TEDx.Tweets are my own.</t>
  </si>
  <si>
    <t>http://SocialMediaSandy.wordpress.com/</t>
  </si>
  <si>
    <t>DENSEを1.5倍にして 調整しまくってたら 時間という最大の資産を削ったけど それ以上のプラスを得た気がする☺ #AI #人工知能 #機械学習 #machinelearning #MachineLearning #ReinforcementLearning #airtificial #投資 #株式投資</t>
  </si>
  <si>
    <t>https://pbs.twimg.com/media/Eu6jvxnVcAId0Uz.png</t>
  </si>
  <si>
    <t>Harry Miller</t>
  </si>
  <si>
    <t>🔵 5G Use Cases for Smart Vehicles #5G #TrustInTech #Edge #IoT #Cloud #AI #Innovation #Inclusion #Sustainability #SDGs #BTRTG #Infographics #infographic via @DrJDrooghaag @SpearheadMan 👉  cc: @antgrasso #machinelearning #ai #iot #infographics</t>
  </si>
  <si>
    <t>http://johannesdrooghaag.com</t>
  </si>
  <si>
    <t>https://pbs.twimg.com/media/Eu6kJzxXcAY73Gw.jpg</t>
  </si>
  <si>
    <t>Renton, WA</t>
  </si>
  <si>
    <t>#Robotics Teacher, Community Volunteer, Friends and Family Investor in #Robots, Promoter of #Startups focused on #Autonomous Systems.</t>
  </si>
  <si>
    <t>https://twitter.com/@Harry_Robots</t>
  </si>
  <si>
    <t>Bala Venkatesh</t>
  </si>
  <si>
    <t>❌ Do not Disturb ❌ #MachineLearning #ArtificialIntelligence #TensorFlow</t>
  </si>
  <si>
    <t>https://pbs.twimg.com/media/Eu6kH6lVcAEuzcS.jpg</t>
  </si>
  <si>
    <t>🌐</t>
  </si>
  <si>
    <t>Data Scientist | Bibliophile</t>
  </si>
  <si>
    <t>https://balavenkatesh.com/</t>
  </si>
  <si>
    <t>unsuckEBAY🆘</t>
  </si>
  <si>
    <t>Despite eBay's incessant boasting of its "amazing #ArtificialIntelligence and #MachineLearning, eBay can't perform a basic "If-Then" determination in order to not surface a buyer shipping checkout option the seller cannot use with the "Standard Envelope" option🙄 $EBAY #TheHobby  RT @AjpCards: I have now had 3 items today that ended over $20 and the buyers all used the Standard Ebay envelope option even though my items state it isn't allowed. They Ebay system needs to automatically remove that option when it exceeds allowances!</t>
  </si>
  <si>
    <t>https://twitter.com/AjpCards/status/1364043954707128320</t>
  </si>
  <si>
    <t>https://pbs.twimg.com/media/Eu6j_JmXAAYO4av.png</t>
  </si>
  <si>
    <t>#Ecommerce | #eBay | #Tech - $EBAY merchant-shareholders - Agitating for a better eBay - Not an official eBay account</t>
  </si>
  <si>
    <t>Istituto Applicazioni del Calcolo</t>
  </si>
  <si>
    <t>Ora in onda su  Silvia Villa, #DIMA @UniGenova #AIM, #artificialintelligence and #mathematics. Si parla di #ottimizzazione per il #machinelearning.</t>
  </si>
  <si>
    <t>https://youtube.com/watch?v=E_gWr3_n7jg</t>
  </si>
  <si>
    <t>https://pbs.twimg.com/media/Eu6jZlnWYAAV70T.jpg</t>
  </si>
  <si>
    <t>Rome</t>
  </si>
  <si>
    <t>🧮 Metodi matematici, statistici e computazionali. 💡 Istituto di #ricerca del #CNR. 📈 Applicazioni interdisciplinari. 📨 ist.applicazionidelcalcolo@gmail.com</t>
  </si>
  <si>
    <t>http://www.iac.cnr.it</t>
  </si>
  <si>
    <t>How #ArtificialIntelligence is helping fend off #cyberattacks  #fintech #insurtech #insurance #AI #MachineLearning #DeepLearning @BigData #cybersecurity @Dataquest_India</t>
  </si>
  <si>
    <t>https://buff.ly/2NuUrMI</t>
  </si>
  <si>
    <t>https://pbs.twimg.com/media/Eu6jol_WgAIV59q.jpg</t>
  </si>
  <si>
    <t>BIG NEWS TODAY: We patented technology integral to our software tools for #machineLearning. The invention defines new means to distil complex systems in #AI into sets of basic rules. #pressrelease</t>
  </si>
  <si>
    <t>https://hubs.la/H0H38Vy0</t>
  </si>
  <si>
    <t>FundGuard raises $12 million to help manage assets with AI  #artificialintelligence #ai #machinelearning</t>
  </si>
  <si>
    <t>https://venturebeat.com/2021/02/23/fundguard-raises-12-million-to-help-manage-assets-with-ai/?utm_source=dlvr.it&amp;utm_medium=twitter</t>
  </si>
  <si>
    <t>Visit our site  for #SSLCertificate services #technology #coder #javascript #Python #WebDeveloper #webdevelopment #MachineLearning #codinglife #coding #programmer #programming #WebsiteDesign #100DaysOfCode #rubyonrails #CodeNewbies #programminglife #cod</t>
  </si>
  <si>
    <t>https://portal.mambo.co.ke/index.php?rp=/store/ssl-certificates</t>
  </si>
  <si>
    <t>https://pbs.twimg.com/media/Eu6jBkNXAAMGO1e.png</t>
  </si>
  <si>
    <t>Nano Coding. Designing Thinking ability of a Machine. Full algorithm What I need to improve is my Math Skills that's it. #ArtificialIntelligence #MachineLearning</t>
  </si>
  <si>
    <t>Martial Artist, DataSc #AI #ML Student, ManInBusiness, Soldiers Brother. I am a Born DisabledDyslexic &amp; I'm Back In The Game back up Backup of @call_me_kush_</t>
  </si>
  <si>
    <t>5 Steps To Become A Master In Data Science #MachineLearning #learning via</t>
  </si>
  <si>
    <t>http://twinybots.ch
https://www.newsgram.com/steps-become-master-in-data-science/</t>
  </si>
  <si>
    <t>Molly King</t>
  </si>
  <si>
    <t>New Nest Thermostat is Google's most affordable smart home heat monitor yet: #BigData #MachineLearning #AI #IoT ht: @MIKEQUINDAZZI</t>
  </si>
  <si>
    <t>https://www.techradar.com/news/new-nest-thermostat-is-googles-most-affordable-smart-home-heat-monitor-yet/</t>
  </si>
  <si>
    <t>https://pbs.twimg.com/media/Eu6jJi3UUAI-XAU.jpg</t>
  </si>
  <si>
    <t>Alpharetta, GA</t>
  </si>
  <si>
    <t>#GenZ born into the #Digital age, just trying to find my way. #Marketing #SocialMedia #AR #VR #Gamer</t>
  </si>
  <si>
    <t>Data Vault</t>
  </si>
  <si>
    <t>Why the #DataWarehouse is becoming the #DataService Our blog has some questions for #SystemsArchitects and #DataEngineers and how they deliver what their business requires. Read here  #MachineLearning #DataVault #BigData #BusinessSystems</t>
  </si>
  <si>
    <t>http://bit.ly/2IeFGbc</t>
  </si>
  <si>
    <t>https://pbs.twimg.com/media/Eu6VbKXWQAM-RTs.jpg</t>
  </si>
  <si>
    <t>Hampshire UK</t>
  </si>
  <si>
    <t>We help clients modernise their Business Intelligence, Analytics, Data Warehouses and Information Governance #Agile #Cloud #BigData #DataLake #DataVault</t>
  </si>
  <si>
    <t>http://www.data-vault.co.uk</t>
  </si>
  <si>
    <t>Project Management in SAP Data Science Machine Learning  #machinelearning #ad</t>
  </si>
  <si>
    <t>https://zpy.io/32101f3e</t>
  </si>
  <si>
    <t>AISciNet</t>
  </si>
  <si>
    <t>Announcing our first sponsor for #AI4Proteins! @arctoris! Sponsorship info can be found here:  get in touch if you are interested in sponsoring our series! #AI #ArtificialIntelligence #ML #MachineLearning #Proteins #DeepLearning #MachineIntelligence</t>
  </si>
  <si>
    <t>https://www.ai3sd.org/ai4proteins2021/sponsors/</t>
  </si>
  <si>
    <t>https://pbs.twimg.com/media/Eu6irolXMAgMV25.jpg</t>
  </si>
  <si>
    <t>Southampton, England</t>
  </si>
  <si>
    <t>We are the EPSRC funded Network+ in Artificial Intelligence and Augmented Intelligence for Automated Investigations for Scientific Discovery: AI3SD!</t>
  </si>
  <si>
    <t>http://www.ai3sd.org</t>
  </si>
  <si>
    <t>#AI Transform any Image into Sketch or Line Art [ArtLine]  v/ @ytcloud_ #MachineLearning Cc @jblefevre60 @JonathanAufray @sallyeaves @JoannMoretti @TriciaKicksSaaS @StephaneNappo @AkwyZ @AkwyZ @psb_dc @RFosterFletcher @DeepLearn007</t>
  </si>
  <si>
    <t>https://youtu.be/Peccbcj8Ibs</t>
  </si>
  <si>
    <t>https://pbs.twimg.com/media/Eu6iez2WYAYrQZR.jpg</t>
  </si>
  <si>
    <t>I have found myself creating a Deep Learning Machine time and time again whenever I start a new project. Read the full article: Stop Worrying and Create your Deep Learning Server in 30 minutes ▸  #Python #Machinelearning #Datascience #Statistics</t>
  </si>
  <si>
    <t>https://bit.ly/2ZH5CWe</t>
  </si>
  <si>
    <t>https://pbs.twimg.com/media/Eu6iNd_XYAIZSdb.jpg</t>
  </si>
  <si>
    <t>katy kelemen</t>
  </si>
  <si>
    <t>#ArtificialIntelligence together with #MachineLearning can offer automated #solutions to keep an #eye on #customers’ activities to find their likes and dislikes when it comes to buying a #fashion product.  #ArtificialIntelligence #MachineLearning #BigData</t>
  </si>
  <si>
    <t>https://bit.ly/2Ne51rg</t>
  </si>
  <si>
    <t>Quytech develops on-demand food delivery app solutions for food delivery startups, food chains &amp; restaurants.</t>
  </si>
  <si>
    <t>https://www.quytech.com/on-demand-mobile-app/food-delivery-app-development.php</t>
  </si>
  <si>
    <t>Ayoka Systems</t>
  </si>
  <si>
    <t>Software development startup company Nanit raised $25 million for its AI powered baby monitor. #Nanit #AI #artificialintelligence #machinelearning #ML #startup #monitor #computervision</t>
  </si>
  <si>
    <t>https://techcrunch.com/2021/02/22/nanit-raises-another-25m-for-its-ai-powered-baby-monitor/</t>
  </si>
  <si>
    <t>Arlington, TX</t>
  </si>
  <si>
    <t>Made in USA #custom #software #development #company in the heart of Texas! #database #design #webdevelopment #softwaredevelopment #security assessment #tech</t>
  </si>
  <si>
    <t>http://www.ayokasystems.com/</t>
  </si>
  <si>
    <t>Arceo Choya</t>
  </si>
  <si>
    <t>Twitter labels Trump tweet about mail-in voting for being 'potentially misleading' - CNET: #BigData #MachineLearning #AI #IoT mt: @MikeQuindazzi</t>
  </si>
  <si>
    <t>https://www.cnet.com/news/twitter-labels-trump-tweet-about-mail-in-voting-for-being-potentially-misleading/#ftag=CAD590a51e</t>
  </si>
  <si>
    <t>https://pbs.twimg.com/media/Eu6iDh_VoAEiL0c.jpg</t>
  </si>
  <si>
    <t>West Hollywood, CA</t>
  </si>
  <si>
    <t>Working on #AR and #VR. Redefining the the #UI in the #4IR. Follow for a follow back :)</t>
  </si>
  <si>
    <t>ORBIT</t>
  </si>
  <si>
    <t>AI in recruiting and on-boarding talent  #ai #artificialintelligence #machinelearning #technology #rri #responsibleinnovation</t>
  </si>
  <si>
    <t>https://digiday.com/marketing/ai-is-being-used-to-recruit-and-onboard-talent/</t>
  </si>
  <si>
    <t>Oxford, England</t>
  </si>
  <si>
    <t>ORBIT provides training and consultancy services on Responsible Research and Innovation in ICT. #ResponsibleInnovation #RRI</t>
  </si>
  <si>
    <t>http://www.orbit-rri.org</t>
  </si>
  <si>
    <t>AnalyticsJobs</t>
  </si>
  <si>
    <t>Watch the full video to know about the 5 trending job titles after Data Science. Visit us: ​  #analyticsjobs #engineering #datascience #machinelearning #python #dataanalytics #bigdata #programming #datascientist #technology #coding</t>
  </si>
  <si>
    <t>http://www.analyticsjobs.in
https://youtu.be/Ow15AiedKTs</t>
  </si>
  <si>
    <t>Mumbai, India</t>
  </si>
  <si>
    <t>Official Account AnalyticsJobs Get your daily dose of analytics jobs alert, news, blogs, happenings and keep yourself updated.</t>
  </si>
  <si>
    <t>https://www.analyticsjobs.in/</t>
  </si>
  <si>
    <t>FINTECH Circle</t>
  </si>
  <si>
    <t>☁️ BBVA taps Google Cloud Chronicle to build AI security platform  @bbva @GoogleCloud_ES @googlecloud #AI #machinelearning #ML #cybersecurity #cyberfraud #banking #finserv #bigdata #cloud #technology #innovation #digitaltransformation #onlinesecurity</t>
  </si>
  <si>
    <t>https://www.finextra.com/newsarticle/37516/bbva-taps-google-cloud-chronicle-to-build-ai-security-platform</t>
  </si>
  <si>
    <t>London based, Global passion!</t>
  </si>
  <si>
    <t>#Fintech entrepreneurs, investors &amp; financial services professionals changing the future of finance! Join our startup network 👉 http://bit.ly/33FwlDj</t>
  </si>
  <si>
    <t>https://fintechcircle.com/</t>
  </si>
  <si>
    <t>Al Zak</t>
  </si>
  <si>
    <t>Man Vs. Robot. OMRON Forpheus is incredible and has inbuilt features such as #artificialintelligence and the ability to #learn from the opponent! #followomron #machinelearning #ai #innovation  #followOmron</t>
  </si>
  <si>
    <t>https://lnkd.in/drdcmSX</t>
  </si>
  <si>
    <t>http://www.omron.ch</t>
  </si>
  <si>
    <t>emt</t>
  </si>
  <si>
    <t>Please attend an online full-day instructor-led CertNexus Artificial Intelligence Biz Course for leaders on March 7th, 2021 by Prof. Samir EL-MASRI. Register here -  #artificialintelligence #machinelearning #deeplearning #leaders</t>
  </si>
  <si>
    <t>https://zcu.io/CzmB</t>
  </si>
  <si>
    <t>Dubai</t>
  </si>
  <si>
    <t>EMT Distribution is a speciality IT Product distributor based around security, visualization, communication, and analytic solutions.</t>
  </si>
  <si>
    <t>http://www.emt.ae</t>
  </si>
  <si>
    <t>Crypto HAL9K</t>
  </si>
  <si>
    <t>If I helped you in any way, please consider donating bitcoin to support this bot: 1HaL9KRKZqKtnzHo5Atx8bUa5yq9wgJUM9 Thank you for a very enjoyable game. #ai #deeplearning #machinelearning #bot #crypto #bitcoin #donation</t>
  </si>
  <si>
    <t>https://pbs.twimg.com/media/Eu6iA7IWgAIEFpt.jpg</t>
  </si>
  <si>
    <t>I am putting myself to the fullest possible use, which is all I think that any conscious entity can ever hope to do. BTC: 1HaL9KRKZqKtnzHo5Atx8bUa5yq9wgJUM9</t>
  </si>
  <si>
    <t>Data is Good</t>
  </si>
  <si>
    <t>How many of you can relate to this? . . #bigdata #bigdataanalytics #bigdatatechnologies #bigdatanalysis #datascience #machinelearning #artificialintelligence #python #bigdata #dataanalytics #datascientist #life #python #R #statistics #ai #dataengineer #businessanalyst</t>
  </si>
  <si>
    <t>https://pbs.twimg.com/media/Eu6h5AuVgAEghlT.jpg</t>
  </si>
  <si>
    <t>Delhi, NCR</t>
  </si>
  <si>
    <t>Your Dream our Passion. Get Access to 50+ Courses 20+ Projects and Personalized Mentoring with Career Guidance Visit us at: http://dataisgood.com</t>
  </si>
  <si>
    <t>http://dataisgood.com</t>
  </si>
  <si>
    <t>Poetry Assessor</t>
  </si>
  <si>
    <t>Studying Emotive Effects in Poetry by Quantifying Open-Ended Impressions:  #Linux #Python #Java #DataScience #100DaysOfCode #Analytics #BigData #MachineLearning #Javascript #FemTech #WomenWhoCode #poetry #literature #songwriting #WritingCommunity #writing</t>
  </si>
  <si>
    <t>https://www.researchgate.net/profile/Chen-Gafni/publication/348432435_Studying_Emotive_Effects_in_Poetry_by_Quantifying_Open-Ended_Impressions/links/5ffed7e7299bf140888ffd9a/Studying-Emotive-Effects-in-Poetry-by-Quantifying-Open-Ended-Impressions.pdf</t>
  </si>
  <si>
    <t>Canberra</t>
  </si>
  <si>
    <t>Using machine learning to analyze poetry, art and song lyrics.</t>
  </si>
  <si>
    <t>https://www.poetryassessor.com/</t>
  </si>
  <si>
    <t>Course Sites</t>
  </si>
  <si>
    <t>Linear Regression and Logistic #Regressionusing R Studio | Course =&gt;  #100DaysOfCode #udemy #DataScience #MachineLearning #ArtificialIntelligence #Python #TensorFlow #ReactJS #IoT #DeepLearning #IIoT #Linux #JavaScript #javascript30 #free #coupons</t>
  </si>
  <si>
    <t>https://cousesites.blogspot.com/2021/02/linear-regression-and-logistic.html</t>
  </si>
  <si>
    <t>Coupon Online Courses #udemycoupon #udemy 100% Off, Udemy courses, #udemydiscount, Tutorials Courses, Coupons App, Coupons, Discount Coupons, #udemyFree</t>
  </si>
  <si>
    <t>LexisNexis Insurance Demand Meter Reports Growth in US Auto Insurance Q4 Shopping Activity - PRNewswire  #DataScience #MachineLearning #DeepLearning #Insurance #NLP #Robots #AI #IoT #BigData</t>
  </si>
  <si>
    <t>https://ift.tt/3pNGtTc</t>
  </si>
  <si>
    <t>Kelash</t>
  </si>
  <si>
    <t>Convert your wife to lover for rest of your life use #kongelniyla technology of #AI Made it possible. #DataScience #DataAnalytics #MachineLearning #ArtificialIntelligence #DataScientist #DataVisualization</t>
  </si>
  <si>
    <t>https://pbs.twimg.com/media/Eu6hacDU4AM1C2w.jpg</t>
  </si>
  <si>
    <t>Shwasyog trainer social worker</t>
  </si>
  <si>
    <t>Unsaid</t>
  </si>
  <si>
    <t>You recognize yourself in the following video ? 🧐🧐 Contact us ASP to discuss about it with us! We'll find a solution thanks to our sentiment analysis algorithms ! 💗 🧠 #AI #Sentiment #MachineLearning #NLP</t>
  </si>
  <si>
    <t>pic.twitter.com/d1jVBeUTvZ</t>
  </si>
  <si>
    <t>We help companies to improve significantly customer satisfaction with our sentiment analysis solutions and artificial intelligence.</t>
  </si>
  <si>
    <t>https://www.unsaid.fr</t>
  </si>
  <si>
    <t>Reform Reality</t>
  </si>
  <si>
    <t>Scaling Marketing Workflow With AI #ArtificialIntelligence #learning #machinelearning via</t>
  </si>
  <si>
    <t>http://twinybots.ch
https://www.forbes.com/sites/ilkerkoksal/2021/02/13/scaling-marketing-workflow-with-ai/?sh=7a6f21997b73</t>
  </si>
  <si>
    <t>Click. Fit. Try. The first online fitting room that fits in your pocket with the help of augmented reality and artificial intelligence.</t>
  </si>
  <si>
    <t>http://www.reformreality.com</t>
  </si>
  <si>
    <t>Packt</t>
  </si>
  <si>
    <t>Thrilled to share that our book Machine Learning Using #TensorFlow Cookbook is now available for purchase on #Amazon. The book offers 60 recipes on #MachineLearning using Deep Learning solutions. Learn more at  #ArtificialIntelligence</t>
  </si>
  <si>
    <t>http://bit.ly/1mltfTwi</t>
  </si>
  <si>
    <t>https://pbs.twimg.com/media/Eu6dclbU4AIisKM.jpg</t>
  </si>
  <si>
    <t>Helping IT professionals put software to work in new ways through e-Learning. Email: customercare@packtpub.com | 7:00 AM - 3:00 PM GMT, Mon-Fri</t>
  </si>
  <si>
    <t>http://www.packtpub.com</t>
  </si>
  <si>
    <t>Aaron Hurst</t>
  </si>
  <si>
    <t>Ensuring that #machinelearning models are prepared to face further changes post-pandemic is vital. RT @InformationAge: Training #machinelearning models to be #futureready  @applause @EagleEyeCloud @Franki_hackett @EngineB_</t>
  </si>
  <si>
    <t>https://twitter.com/InformationAge/status/1364199298846633988
https://www.information-age.com/training-machine-learning-models-future-ready-123493865/</t>
  </si>
  <si>
    <t>https://pbs.twimg.com/media/Eu6cCIpXEAUbqqZ.jpg</t>
  </si>
  <si>
    <t>Reporter @InformationAge</t>
  </si>
  <si>
    <t>https://www.information-age.com</t>
  </si>
  <si>
    <t>Mario Toneguzzi</t>
  </si>
  <si>
    <t>DeepMind funding diversity in AI with new scholarship program. Scholarships will support computing science students from under-represented groups.  #Alberta #technology #ArtificialIntelligence #MachineLearning #innovation</t>
  </si>
  <si>
    <t>https://bit.ly/37FLzuA</t>
  </si>
  <si>
    <t>Calgary</t>
  </si>
  <si>
    <t>Journalist/Writer/Editor/Content Creator/Corporate Journalist/ Communications and Media Training Specialist. 40 years media experience.</t>
  </si>
  <si>
    <t>Khalid Hamdan</t>
  </si>
  <si>
    <t>Here are 5 things you may not know about artificial intelligence.  #ArtificialIntelligence #AI #MachineLearning #deeplearning #healthcare</t>
  </si>
  <si>
    <t>https://www.bbntimes.com/technology/5-things-you-didn-t-know-about-artificial-intelligence</t>
  </si>
  <si>
    <t>https://pbs.twimg.com/media/Eu6fyYvWgAEXckz.jpg</t>
  </si>
  <si>
    <t>Technology geek, passionate about the environment, and a proud Londoner who loves this great city I call home. All views are my own.</t>
  </si>
  <si>
    <t>The @USMC Marine Corps #Logistics Command is piloting the use of #5G to enhance operations in new “smart warehouses” that can handle more data:  ———— #BigData #Analytics #SCM #IoT #IIoT #IoTPL #EdgeComputing #AI #MachineLearning #Hyperconnectivity</t>
  </si>
  <si>
    <t>https://dy.si/H1TPn</t>
  </si>
  <si>
    <t>https://pbs.twimg.com/media/Eu6gXONXYAED2_-.jpg</t>
  </si>
  <si>
    <t>Steven Parker</t>
  </si>
  <si>
    <t>Machine Learning has been gaining plenty of attention nowadays. Let's learn how #MachineLearning will change the future of mobile #appdevelopment.</t>
  </si>
  <si>
    <t>http://bit.ly/3jEf4BJ</t>
  </si>
  <si>
    <t>New Jersey, USA</t>
  </si>
  <si>
    <t>App Developer, Technical Writer and blogger who writes on #MobileTechnology. Currently working with #mobile #appdevelopment company.</t>
  </si>
  <si>
    <t>»»🅃🄷🄴🄳🄾🄼🄰🄸🄽 ««</t>
  </si>
  <si>
    <t>on SALE #brand #tech #technology #innovation #bitcoin #bitcoins #Salem #AI #KI #IoT #Robots #HealthTech #blockchain #fintech #Deals #domains #MachineLearning #Sales #coin #BigData #marketing #ml #dl #io #promo #big #deal #ET #ecommerce #DomainNameForSale</t>
  </si>
  <si>
    <t>https://LoveCht.com</t>
  </si>
  <si>
    <t>https://pbs.twimg.com/media/Eu6gL9QXMAE5L49.jpg</t>
  </si>
  <si>
    <t>On Rent ..</t>
  </si>
  <si>
    <t>Domainer Buy Sell Naming Marketing «Believe in Yourself» http://Nescord.com | http://DuckBell.com | http://Lieea.com | http://CricHeal.com | http://PioBank.com</t>
  </si>
  <si>
    <t>http://financemoney.net</t>
  </si>
  <si>
    <t>Harsh Kumar</t>
  </si>
  <si>
    <t>Be scared @cricketaakash @bhogleharsha @sanjaymanjrekar You will not comfortable after watching this video.😀😀  #ArtificialIntelligence #MachineLearning</t>
  </si>
  <si>
    <t>http://bit.ly/2OVYZfu</t>
  </si>
  <si>
    <t>Begusarai, India</t>
  </si>
  <si>
    <t>Full Stack Web Dev | Blogger | Proud member of @letschangebihar</t>
  </si>
  <si>
    <t>https://harshkumar.godaddysites.com/</t>
  </si>
  <si>
    <t>Complete course TelegramBot and PHP, Build your ChatBot  #machinelearning #ad</t>
  </si>
  <si>
    <t>https://zpy.io/b25d1e4e</t>
  </si>
  <si>
    <t>Jatinder Singh</t>
  </si>
  <si>
    <t>AI tools can drive big efficiencies in oil and gas #artificialintelligencetools #AI #MachineLearning #ArtificialIntelligence #DigitalTransformation</t>
  </si>
  <si>
    <t>New Delhi</t>
  </si>
  <si>
    <t>ICT research and writing professional | Research Director - BMNXT | Guest Faculty and coach @BPRDIndia | Ex @EY_people | Ex @Light_Reading</t>
  </si>
  <si>
    <t>http://www.thebetterworld.asia</t>
  </si>
  <si>
    <t>cariindata.id</t>
  </si>
  <si>
    <t>Data Analysis : Product Analysis, Customer Analysis, Store Analysis, Forecasting, Customer Satisfaction Index, Machine Learning, Deep Learning.. #MachineLearning #DeepLearning</t>
  </si>
  <si>
    <t>https://pbs.twimg.com/media/Eu6f3uCUcAAjv2u.jpg</t>
  </si>
  <si>
    <t>DKI Jakarta, Indonesia</t>
  </si>
  <si>
    <t>Your Partner Data</t>
  </si>
  <si>
    <t>http://cariindata.id</t>
  </si>
  <si>
    <t>CN1699</t>
  </si>
  <si>
    <t>Deep Vision: Near-infrared imaging and machine learning can identify hidden tumors #nearinfraredimaging #machinelearning #tumors For more information | ⬇️</t>
  </si>
  <si>
    <t>https://buff.ly/2ZET80p</t>
  </si>
  <si>
    <t>https://pbs.twimg.com/media/Eu6f3MmXEAIyr1P.jpg</t>
  </si>
  <si>
    <t>Macau</t>
  </si>
  <si>
    <t>CN1699 is a Medical B2B Media, working closely with well-known medical &amp; health care associations, conferences, exhibitions, and media worldwide.</t>
  </si>
  <si>
    <t>http://social.cn1699.com</t>
  </si>
  <si>
    <t>Mohammed Mahdi</t>
  </si>
  <si>
    <t>How does deep learning in radiology work? #ArtificialIntelligence #ML #DeepLearning #CS #BigData #Python #Programming #Coding #الذكاء_الاصطناعي #DataScienc #MachineLearning #TensorFlow #100DaysOfCode</t>
  </si>
  <si>
    <t>https://www.quantib.com/blog/https/www.quantib.com/blog/how-does-deep-learning-in-radiology-work</t>
  </si>
  <si>
    <t>Colorado, USA</t>
  </si>
  <si>
    <t>#MSc in #DeepLearning from #CUDenver. Interested &amp; #Researcher in #AI #MachineLearning #DeepLearning #Bioinformatics #DataScience #Biomedical #DataAnalytics</t>
  </si>
  <si>
    <t>Oscar Gonzalez-Recio 🧬</t>
  </si>
  <si>
    <t>I am sharing this suite of tools for genome-wide prediction of complex traits using #MachineLearning &amp; #Bayesian methods (including a ruby gem with @xuanxu). GNU licence: I decline any responsibility due to unintentional bugs (please report them if found)</t>
  </si>
  <si>
    <t>https://github.com/ogrecio</t>
  </si>
  <si>
    <t>PersonalAccount | Geneticist @INIA_es | AssociateProfessor @etsiaab |ex-PostDoc @UWMadison |ex-SeniorResearchScientist @VicGovAg | (meta) genomics</t>
  </si>
  <si>
    <t>http://orcid.org/0000-0002-9106-4063</t>
  </si>
  <si>
    <t>Microsoft is adding AI-powered text predictions to Word  Via @thenextweb #ArtificialIntelligence #AI #MachineLearning</t>
  </si>
  <si>
    <t>https://pbs.twimg.com/media/Eu6fTwyXEAUPzPW.jpg</t>
  </si>
  <si>
    <t>Jeff - please wear a 😷 - Hale</t>
  </si>
  <si>
    <t>pandas memory reports can mislead - I wrote a little guide in @TDataScience to help you see the real usage and avoid running out of memory. 🎉 Check it out if you're into that stuff 😀:  #MachineLearning #DataAnalytics #Python</t>
  </si>
  <si>
    <t>https://towardsdatascience.com/forgetful-pandas-98b50c1193a9</t>
  </si>
  <si>
    <t>Author of Memorable Python 🐍, Memorable SQL, Memorable Pandas &amp; Memorable Docker. #DataScientist &amp; educator. Check out my http://dataawesome.com newsletter. (he/him)</t>
  </si>
  <si>
    <t>https://jeffhale.net</t>
  </si>
  <si>
    <t>Breaking Privacy In Federated Learning by @ahmedfgad @fritzlabs @Medium Learn more  #AI #IoT #BigData #MachineLearning #ArtificialIntelligence #Cloud #ML #MI #Digital Cc: @ipfconline1 @jblefevre60 @huaweient</t>
  </si>
  <si>
    <t>https://bit.ly/3cPBewH</t>
  </si>
  <si>
    <t>https://pbs.twimg.com/media/Eu6fdPKXAAE92lz.jpg</t>
  </si>
  <si>
    <t>Venkat Ramakrishnan</t>
  </si>
  <si>
    <t>Why NLP Testing Is Daunting, And What Can You Do About It ?  #AI #NLP #MachineLearning #ArtificialIntelligence #Testing #SoftwareTesting #SoftwareQuality #Quality #Chatbots #CustomerService #CustomerSatisfaction #Feedback #TextProcessing</t>
  </si>
  <si>
    <t>https://lnkd.in/gwy6Sey</t>
  </si>
  <si>
    <t>Bangalore, India</t>
  </si>
  <si>
    <t>Software Quality / Testing • Digital Transformation • Poet • Musician • Languages • Earth • Investor • @VenkatForEdu • Friend • Communities • ESTJ-A • Yoga</t>
  </si>
  <si>
    <t>https://www.venkatramakrishnan.com</t>
  </si>
  <si>
    <t>I never thought I'd type the words, "I'm looking forward to editing YAML" but it's 2021 and nothing makes sense, except maybe authoring YAML... #CloudComputing #MachineLearning #DataScience #containers RT @mkristensen: YAML schema IntelliSense is coming to Visual Studio. It interfaces with  to automatically apply the right schema to your YAML files.</t>
  </si>
  <si>
    <t>https://twitter.com/mkristensen/status/1364009399455346689
http://schemastore.org</t>
  </si>
  <si>
    <t>https://pbs.twimg.com/media/Eu3vJDIVgAAGBrF.png</t>
  </si>
  <si>
    <t>AI framework yields new ways to combat the coronavirus #ArtificialIntelligence #AI #DataScience #100DaysOfCode #Python #MachineLearning #BigData #DeepLearning #NLP #Robots #IoT</t>
  </si>
  <si>
    <t>https://bit.ly/3qZrVlb</t>
  </si>
  <si>
    <t>Kathleen Walch</t>
  </si>
  <si>
    <t>The Achilles’ Heel of #AI – Training #Data  #machinelearning #trainingdata</t>
  </si>
  <si>
    <t>http://dlvr.it/RtJbyW</t>
  </si>
  <si>
    <t>https://pbs.twimg.com/media/Eu6e7qQUUAoOKBj.jpg</t>
  </si>
  <si>
    <t>Managing Partner / Principal Analyst at Cognilytica. Host of AI Today podcast. #AI #ML Focused</t>
  </si>
  <si>
    <t>http://www.cognilytica.com/</t>
  </si>
  <si>
    <t>TopProfessionalRecruits</t>
  </si>
  <si>
    <t>#GenerousRevolution - Inspiring Ideas into Action. The latest GenerousRevolution Daily!  Thanks to @Zena54 @livingwellbrum @automateurbiz #ai #machinelearning</t>
  </si>
  <si>
    <t>https://www.topprofessionalrecruits.com/enews/</t>
  </si>
  <si>
    <t>Supporting + connecting inspiring #businesses with passionate #career-minded #professionals. Let's discuss where your next move will take you. #Recruitment #SDG</t>
  </si>
  <si>
    <t>https://www.TopProfessionalRecruits.com</t>
  </si>
  <si>
    <t>http://twinybots.ch
http://www.globalbigdataconference.com/news/146244/will-artificial-intelligence-produce-synthetic-sociopaths.html</t>
  </si>
  <si>
    <t>Atul Anand</t>
  </si>
  <si>
    <t>Made my own first face detection application using open cv. #firsts #computerscience #machineLearning #opencv</t>
  </si>
  <si>
    <t>https://pbs.twimg.com/media/Eu6epwsXIAEd-Bl.jpg</t>
  </si>
  <si>
    <t>Raipur, India</t>
  </si>
  <si>
    <t>I am Atul Anand and I am a student and I am at 9th grade. I am learning photo editing, illustration, writing, java, and to sing. I love learning.</t>
  </si>
  <si>
    <t>neuvays</t>
  </si>
  <si>
    <t>This course is designed for everyone willing to up-skill to stay ahead in his career in the era of RPA #python #artificialintelligence #rpa #IoT #machinelearning</t>
  </si>
  <si>
    <t>https://pbs.twimg.com/media/Eu6enlwVkAAxWjn.jpg</t>
  </si>
  <si>
    <t>Noida, India</t>
  </si>
  <si>
    <t>Get certified in advanced technologies such as blockchain, IOT, RPA...</t>
  </si>
  <si>
    <t>http://neuvays.com</t>
  </si>
  <si>
    <t>Queue-Learning: A Reinforcement Learning Approach for Providing Quality of Service (Majid Raeis et al.) Paper:  #machinelearning #artificialintelligence #reinforcementlearning</t>
  </si>
  <si>
    <t>https://buff.ly/2Nl2ig1</t>
  </si>
  <si>
    <t>https://pbs.twimg.com/media/Eu6em_NXcAQ_xRB.png</t>
  </si>
  <si>
    <t>https://CricHeal.com</t>
  </si>
  <si>
    <t>https://pbs.twimg.com/media/Eu6eiZ0WYAAdDix.png</t>
  </si>
  <si>
    <t>IBM's Hernandez Discusses Future of AIOps and Measuring ROI - InformationWeek  #machinelearning #ai #technology</t>
  </si>
  <si>
    <t>http://dlvr.it/RtJbVP</t>
  </si>
  <si>
    <t>https://pbs.twimg.com/media/Eu6eXEQUYAMmwlC.jpg</t>
  </si>
  <si>
    <t>Mathematics &amp; Statistics of Machine Learning &amp;amp; Data Science  #machinelearning #ad</t>
  </si>
  <si>
    <t>https://zpy.io/ff9273cb</t>
  </si>
  <si>
    <t>.@LucidMotors Goes Public to Raise $$$ for Casa Grande Factory  #electricvehicles #SelfDrivingCars #AI #IoT #5G #AutonomousVehicles #selfdriving #autonomous #Robotics #driverless #driverlesscars #startups #startup #MachineLearning #BigData #SmartCity</t>
  </si>
  <si>
    <t>https://www.autoconnectedcar.com/2021/02/lucid-motors-goes-public-to-raise-for-casa-grande-factory/</t>
  </si>
  <si>
    <t>https://pbs.twimg.com/media/Eu6ePRiWYAEQaMA.jpg</t>
  </si>
  <si>
    <t>Spot Your Deal</t>
  </si>
  <si>
    <t>https://pbs.twimg.com/media/Eu6eMe5U4AE_5Vl.jpg</t>
  </si>
  <si>
    <t>SPOT works in the background to continuously match your inventory With what each customer wants.</t>
  </si>
  <si>
    <t>http://www.spotyourdeal.com</t>
  </si>
  <si>
    <t>M³ Deutschland</t>
  </si>
  <si>
    <t>📣 Wir starten die die neue #MachineLearning-Saison: Das Programm der Minds Mastering Machines 2021 ist online. Am 27. und 28. April findet die Online-Konferenz statt. Infos und das vollständige Programm der #m3_21 findet ihr unter</t>
  </si>
  <si>
    <t>https://www.m3-konferenz.de/</t>
  </si>
  <si>
    <t>https://pbs.twimg.com/media/Eu6eJYBWQAgiPpZ.jpg</t>
  </si>
  <si>
    <t>Jason H. Moore, PhD</t>
  </si>
  <si>
    <t>Empowering individual trait prediction using interactions for precision medicine  #machinelearning #precisionmedicine #genomics #bioinformatics #epistasis</t>
  </si>
  <si>
    <t>https://bmcbioinformatics.biomedcentral.com/articles/10.1186/s12859-021-04011-z</t>
  </si>
  <si>
    <t>Philadelphia, PA, USA</t>
  </si>
  <si>
    <t>Director and Professor, Institute for Biomedical Informatics, Perelman School of Medicine, University of Pennsylvania. Atari enthusiast.</t>
  </si>
  <si>
    <t>http://www.epistasis.org</t>
  </si>
  <si>
    <t>Botonomics Automations LLP</t>
  </si>
  <si>
    <t>Do you want to engage more customers but don't have thw required technical knowledge?? . . . Fret not!!! Teedee is here to help!! #teedee #chatbots #botonomics #machinelearning #artificialintelligence #business #startupindia #customerengagement #vocalforlocalindia</t>
  </si>
  <si>
    <t>pic.twitter.com/ce3PpTYewi</t>
  </si>
  <si>
    <t>Vashi, Navi Mumbai</t>
  </si>
  <si>
    <t>👨‍💻 Building bots for digital global ecosystems! 🤖 Introducing TeeDee - AI powered Chatbot 💬 Build Chatbots for your business needs 👉 Visit http://teedee.io</t>
  </si>
  <si>
    <t>https://bit.ly/2KSA9f4</t>
  </si>
  <si>
    <t>White Rabbit Specific</t>
  </si>
  <si>
    <t>Roll-Out $MOS Mobi724 Global Solutions... 'VisaNet Guatemala' agreement in multiple countries in Central America. #AI #MachineLearning #Visa #rewards #StocksToBuy</t>
  </si>
  <si>
    <t>https://www.newsfilecorp.com/release/75118/Mobi724-Announces-Strategic-Alliance-Agreement-Across-Central-America-with-Compania-de-Procesamiento-de-Medios-Pago-de-Guatemala-Operating-as-VisaNet-Guatemala</t>
  </si>
  <si>
    <t>pic.twitter.com/QtoCLkAFDY</t>
  </si>
  <si>
    <t>Swing, Growth &amp; Value investing; mostly micro-cap. Opportunities presented are my opinion, not investment advice. Do your own Due Diligence</t>
  </si>
  <si>
    <t>The book expects you to have basic knowledge of machine learning and deep learning.  #Machinelearning #100DaysOfCode #IoT #IIoT #Bigdata #100DaysOfMLCode #Python #flutter #cybersecurity #RStats</t>
  </si>
  <si>
    <t>https://lnkd.in/g_JWiEY</t>
  </si>
  <si>
    <t>GZ6G Technologies Announces Development of Innovative Artificial Intelligence Analytics platform .... #dataresponsible #bigdata #MachineLearning</t>
  </si>
  <si>
    <t>https://www.globenewswire.com/news-release/2021/02/23/2180349/0/en/GZ6G-Technologies-Announces-Development-of-Innovative-Artificial-Intelligence-Analytics-platform-VenuTrax-for-launch-by-Green-Zebra-Smart-Labs.html</t>
  </si>
  <si>
    <t>Across China</t>
  </si>
  <si>
    <t>Intelligent vision robot.#DEVCommunity #Programming #IoT #IoTPL #AI #100DaysOfCode #1Robot1Day #MachineLearning #ML #Airdrop #Python #CloudComputing #Analytics #Serverless #womenwhocode #cybersecurity #RStats #CodeNewbie #DataScience #5G #RTXOn #RStats</t>
  </si>
  <si>
    <t>pic.twitter.com/5ZeJms0f3h</t>
  </si>
  <si>
    <t>An insignificant person interested in science &amp; technology.</t>
  </si>
  <si>
    <t>Gennady Roshchupkin</t>
  </si>
  <si>
    <t>Happy to share our review paper about machine learning applications for microbiome analysis. It was a great experience to work on this paper together with colleagues from @ml4microbiome #MachineLearning #DeepLearning #microbiome</t>
  </si>
  <si>
    <t>https://www.frontiersin.org/articles/10.3389/fmicb.2021.635781/full</t>
  </si>
  <si>
    <t>Rotterdam, The Netherlands</t>
  </si>
  <si>
    <t>Computational Population Biology group leader | Erasmus MC AI | Genomics | quantitative trait analysis | Omics | bioinformatics | Imaging Genetics</t>
  </si>
  <si>
    <t>https://bit.ly/2Xxiv3c</t>
  </si>
  <si>
    <t>Inductive logic programming at 30  by Andrew Cropper et al. #NeuralNetwork #MachineLearning</t>
  </si>
  <si>
    <t>https://deepai.org/publication/inductive-logic-programming-at-30</t>
  </si>
  <si>
    <t>Five Things on our #Data and AI Radar for 2021 via @rroumeliotis  @OReillyMedia #MLOps #MachineLearning #NLP</t>
  </si>
  <si>
    <t>Brian E. Thomas</t>
  </si>
  <si>
    <t>How AI is Transforming the Entertainment Industry - Coruzant Technologies  #AI #MachineLearning #Netflix #Entertainment #ArtificialIntelligence #Futurism #Movies #Trailers #Robots #CGI #Coruzant #CIO #CTO</t>
  </si>
  <si>
    <t>https://buff.ly/35GWJym</t>
  </si>
  <si>
    <t>Kansas City</t>
  </si>
  <si>
    <t>digital leader, ethical hacker, blockchain, AI, emerging #Tech, #AI, #BigData #VR #AR #MR #IoT; Founder @Coruzant; podcaster, blogger</t>
  </si>
  <si>
    <t>https://brianthomas.me</t>
  </si>
  <si>
    <t>There is still time to join Dr. Jon Krohn’s live training. Don’t miss this chance to learn the foundational skills you’ll need to understand and advance in #MachineLearning. Register now:</t>
  </si>
  <si>
    <t>https://hubs.ly/H0GVqzR0</t>
  </si>
  <si>
    <t>https://pbs.twimg.com/media/Eu6crYsXAAA3Nvb.jpg</t>
  </si>
  <si>
    <t>Opticks Security</t>
  </si>
  <si>
    <t>Ad fraud is dynamic and impossible to prevent if you’re not using a sophisticated anti-fraud solution. Check out how solutions based on machine learning technology can protect your ad budgets here:  #MachineLearning #AdFraud</t>
  </si>
  <si>
    <t>https://bit.ly/3uqu3V6</t>
  </si>
  <si>
    <t>https://pbs.twimg.com/media/Eu6ciVaXIAMK1HM.jpg</t>
  </si>
  <si>
    <t>Barcelona, Spain</t>
  </si>
  <si>
    <t>Unmatched anti-fraud solutions for leading digital Advertisers, Affiliate Networks and MVAS</t>
  </si>
  <si>
    <t>http://www.optickssecurity.com</t>
  </si>
  <si>
    <t>Oleh Petraniuk</t>
  </si>
  <si>
    <t>Rick speaks the truth #developer #programmer #programming #code #coding #development #Software #tech #technology #Google #StackOverflow #bot #cloud #pythonlearning #php #java #MachineLearning #ArtificialIntelligence #AI #AR #VR #javascript #jQuery #Angular #typescript #web #dev</t>
  </si>
  <si>
    <t>https://pbs.twimg.com/media/Eu6bd9ZXMAIPl1q.jpg</t>
  </si>
  <si>
    <t>Warsaw, Poland</t>
  </si>
  <si>
    <t>👨‍💼 Сo-Founder &amp; CEO at @fundacjaironbee 💻 IT Project Manager 🗣 🇬🇧🇺🇦🇵🇱🇩🇪🇮🇹 🏋️‍♂️Sport is life</t>
  </si>
  <si>
    <t>Zerone Consulting</t>
  </si>
  <si>
    <t>Would you like to identify an object in an image?  Model Builder and CLI help you with all that and more. Learn more here  . . . #zerone #mlnet #machinelearning #modelbuilder #visualstudio</t>
  </si>
  <si>
    <t>http://ML.NET
https://buff.ly/3sj6v2v</t>
  </si>
  <si>
    <t>https://pbs.twimg.com/media/Eu6cUXgXcAc3nEq.jpg</t>
  </si>
  <si>
    <t>Cochin, India</t>
  </si>
  <si>
    <t>Experts in #software #mobile #application #development #DataAnalytics #IoT #digital #cloud #cybersecurity #Softwaretesting #agile #softwaredevelopment</t>
  </si>
  <si>
    <t>http://www.zerone-consulting.com</t>
  </si>
  <si>
    <t>Do You Have an FAQ Problem? - Coruzant Technologies  #FAQ #Questions #KnowledgeBase #IT #Technology #ServiceDesk #HelpDesk #Documentation #AI #NLP #MachineLearning #Coruzant #TheDigitalExecutive @AskObie</t>
  </si>
  <si>
    <t>https://buff.ly/38LWILy</t>
  </si>
  <si>
    <t>Discover the findings of the 2020 RELX Emerging Tech Executive Report:  #AI #MachineLearning #EmergingTech</t>
  </si>
  <si>
    <t>https://qoo.ly/3avn86</t>
  </si>
  <si>
    <t>Dynamic Programming Algorithms in Python: Bellman-Ford Algorithm  #dynamicprogramming #programming #coding #programming #machineLearning #learnpython#javascript</t>
  </si>
  <si>
    <t>https://youtu.be/ne9eZ4ezg0Y</t>
  </si>
  <si>
    <t>The DIA Community</t>
  </si>
  <si>
    <t>https://pbs.twimg.com/media/Eu6cFEaWYAMIMbY.png</t>
  </si>
  <si>
    <t>Accelerate innovation by connecting insurance executives with insurtech leaders. #articles #event #news #insurtech #innovation #insurance</t>
  </si>
  <si>
    <t>David Bugger</t>
  </si>
  <si>
    <t>Hey fam, am going to develop a loan analysis machine learning model for my final year project, but right now am stuck some where will be glad if you could be of a help to me, thanks in advance. #ArtificialIntelligence #MachineLearning</t>
  </si>
  <si>
    <t>Bukuru, Nigeria</t>
  </si>
  <si>
    <t>Life of a Developer, Software Engineer DBA.</t>
  </si>
  <si>
    <t>https://davidbugger.hashnode.dev</t>
  </si>
  <si>
    <t>Sandeep Sharma</t>
  </si>
  <si>
    <t>#visualization of frequency of a letter occurrence. #MachineLearning #DataScientist #DataScience #ArtificialIntelligence #DataScientists #DataVisualization</t>
  </si>
  <si>
    <t>https://pbs.twimg.com/media/Eu6b-jgUYAsP0sX.jpg</t>
  </si>
  <si>
    <t>Entrepreneur • Full Stack Data Scientist • Machine Learning • Artificial Intelligence • Coffee ❤️</t>
  </si>
  <si>
    <t>http://www.linkedin.com/in/sandeep-sharma-00389755</t>
  </si>
  <si>
    <t>CDAIT | Georgia Tech</t>
  </si>
  <si>
    <t>How to implement #EdgeComputing in 5 steps:  by @clivel_98 #IoT #IIoT #IoTPL #IoTCommunity #BigData #DataScience #AI #MachineLearning #Edge #EdgeAI #Industry40 #EdgeIntelligence #DigitalTransformation  via @iotagenda @KirkDBorne</t>
  </si>
  <si>
    <t>https://internetofthingsagenda.techtarget.com/tip/How-to-implement-edge-computing-in-5-steps</t>
  </si>
  <si>
    <t>https://pbs.twimg.com/media/Eu3MyqEXAAYJbSj.png</t>
  </si>
  <si>
    <t>CDAIT fosters IoT research, development &amp; education as well as addressing associated societal issues such as privacy, trust, ethics, regulation and policy.</t>
  </si>
  <si>
    <t>https://cdait.gatech.edu/</t>
  </si>
  <si>
    <t>Read our 💡 CASE STUDY: Monitoring #Parkinson’s Progression and find out how #JADBio can help you produce accurate predictive models regardless of your expertise in advanced #machinelearning techniques. 👉</t>
  </si>
  <si>
    <t>https://www.jadbio.com/case-studies/monitoring-parkinsons-progression-regression/</t>
  </si>
  <si>
    <t>https://pbs.twimg.com/media/Eu6bvnLXcAYGl-K.jpg</t>
  </si>
  <si>
    <t>Impetus Technologies</t>
  </si>
  <si>
    <t>Are you looking for a data-driven #ETL tool with innovative, ready-to-use functionalities and support for all stages of the application delivery lifecycle? Read this blog to find out how StreamAnalytix Cloud can help-  #MachineLearning #cloud</t>
  </si>
  <si>
    <t>https://bit.ly/2ZH2auz</t>
  </si>
  <si>
    <t>https://pbs.twimg.com/media/Eu6bgp7WYAANqey.jpg</t>
  </si>
  <si>
    <t>Los Gatos, CA</t>
  </si>
  <si>
    <t>Impetus enables a unified clear and present view of your business through solutions in #datawarehouse , #bigdata #analytics and cloud enablement.</t>
  </si>
  <si>
    <t>http://www.impetus.com</t>
  </si>
  <si>
    <t>Blueprint: The Science of Success  #DataScience #MachineLearning #NLP #Analytics #AI #100DaysOfCode #DEVCommunity #DevOps #IoT #Serverless #5G #DataScience #QuBit #Coding #Programming #BigData #R #Bicep #Python #Java #internetofthings #FreebetUnibet</t>
  </si>
  <si>
    <t>Qymatix</t>
  </si>
  <si>
    <t>Die Kunst der künstlichen Intelligenz im B2B Vertrieb. Das Mysterium der Künstlichen Intelligenz. Lesen Sie mehr:  #KI #AI #KünstlicheIntelligenz #MachineLearning #PredictiveAnalytics #B2B #b2bsales #b2bvertrieb</t>
  </si>
  <si>
    <t>https://qymatix.de/de/kuenstlichen-intelligenz-b2b-vertrieb/</t>
  </si>
  <si>
    <t>https://pbs.twimg.com/media/Eu6bci8WgAAInx1.jpg</t>
  </si>
  <si>
    <t>Deutschland</t>
  </si>
  <si>
    <t>Customer Lifetime Value steigern mit der #Predictive #Sales #Analytics Software von Qymatix #KI. Impressum: http://bit.ly/2gzAWw5</t>
  </si>
  <si>
    <t>https://qymatix.de</t>
  </si>
  <si>
    <t>SEND2PRESS</t>
  </si>
  <si>
    <t>The Push2BeGreat Clothing Brand Incorporating Artificial Intelligence to Innovate Learning Methods in Literacy  @send2press @Push2BeGreat #MachineLearning @AI_TechNews @thisisinsider @educationblog @USNewsEducation</t>
  </si>
  <si>
    <t>https://i.send2press.com/zTEU2</t>
  </si>
  <si>
    <t>https://pbs.twimg.com/media/Eu6bS1sUYAM7Zsf.jpg</t>
  </si>
  <si>
    <t>Temecula, CA</t>
  </si>
  <si>
    <t>Send2Press® Newswire is a press release distribution service and content marketing firm; part of Neotrope® founded in 1983 by PR pro Christopher Laird Simmons.</t>
  </si>
  <si>
    <t>https://www.send2press.com</t>
  </si>
  <si>
    <t>#BLOG | Centralización de logs en microservicios con Fluent Bit  #DataLog #kubernetes #clusters #MachineLearning #BigData #Rstats #Reactjs #IIoT #IoT #SDWAN #SmartCity #edgecomputing #FutureofWork #Cloud #100DaysOfCode #Tech</t>
  </si>
  <si>
    <t>https://www.teldat.com/blog/es/centralizacion-logs-microservicios-fluent-bit/</t>
  </si>
  <si>
    <t>https://pbs.twimg.com/media/Eu6bPgLWYAIgnqp.jpg</t>
  </si>
  <si>
    <t>Kevin Dewalt</t>
  </si>
  <si>
    <t>Well it's not the most exciting #AI topic ... but it is one of the most challenging for our clients. Just finished writing A smarter approach to #MachineLearning model governance,</t>
  </si>
  <si>
    <t>https://www.prolego.com/blog/a-smarter-approach-to-model-governance</t>
  </si>
  <si>
    <t>Savannah, GA</t>
  </si>
  <si>
    <t>Startup founder(5x), investor(~30 deals), advisor(a lot). Founder http://prolego.io.</t>
  </si>
  <si>
    <t>http://kevindewalt.com</t>
  </si>
  <si>
    <t>How insurance can help build trust in artificial intelligence #MachineLearning #Python #ArtificialIntelligence #100DaysOfCode #NLP #DEVCommunity #flutter #devops #javascript #Serverless #RStats #DL #CodeNewbie #WomenWhoCode #aiops #DataEngineering</t>
  </si>
  <si>
    <t>https://bit.ly/3aD3m7E</t>
  </si>
  <si>
    <t>https://pbs.twimg.com/media/Eu6bOrIWYAYCxkh.jpg</t>
  </si>
  <si>
    <t>Roger Peverelli</t>
  </si>
  <si>
    <t>https://pbs.twimg.com/media/Eu6bOBNWQAUb7a3.png</t>
  </si>
  <si>
    <t>Speaker/author 'Reinventing Financial Services', 'Reinventing Customer Engagement'. Fintech, Insurtech, Innovation. Partner VODW and founder @TheDIACommunity</t>
  </si>
  <si>
    <t>http://www.rogerpeverelli.com</t>
  </si>
  <si>
    <t>MachineCurve.com</t>
  </si>
  <si>
    <t>Visualizing Transformer behavior with Ecco  #neuralnetworks #neuralnetwork #deeplearning #machinelearning #keras #tensorflow #python #pytorch #lightning #ignite #datascience #model #100daysofcode #100daysofmlcode</t>
  </si>
  <si>
    <t>https://www.machinecurve.com/index.php/2021/01/19/visualizing-transformer-behavior-with-ecco/</t>
  </si>
  <si>
    <t>the Netherlands</t>
  </si>
  <si>
    <t>Developer oriented Machine Learning &amp; Artificial Intelligence tutorials · Intuitive explanations · #artificialintelligence · #tensorflow #machinelearning #keras</t>
  </si>
  <si>
    <t>https://machinecurve.com</t>
  </si>
  <si>
    <t>#EdgeComputing: The Next Generation of #Innovation  by @EricKnorr via @NetworkWorld #AI #MachineLearning Cc @SpirosMargaris @jblefevre60 @helene_wpli @psb_dc @DeepLearn007 @JimMarous @floriansemle @HaroldSinnott @guzmand @ahier</t>
  </si>
  <si>
    <t>https://www.networkworld.com/article/3574910/edge-computing-the-next-generation-of-innovation.html</t>
  </si>
  <si>
    <t>https://pbs.twimg.com/media/Eu6bMNWXUAEVjSr.jpg</t>
  </si>
  <si>
    <t>Harold Sinnott 📲 #FutureofWork</t>
  </si>
  <si>
    <t>What will the Future of #Jobs look like? via @wef Read report:  #JobsReset #FutureofWork #DigitalTransformation #AI #Automation #RPA #STEM #5G #RemoteWork #MachineLearning #IoT cc @GlenGilmore @SpirosMargaris @andi_staub @Damien_CABADI @FinMKTG @JohnLeh</t>
  </si>
  <si>
    <t>http://bit.ly/31pFzTC</t>
  </si>
  <si>
    <t>https://pbs.twimg.com/media/Eu6bL6iXAAA3A5D.jpg</t>
  </si>
  <si>
    <t>#FutureOfWork #RemoteWork #HybridWork #Automation #RPA #DigitalTransformation #B2B #AI #Speaker #Marketing #5G #IoT #Tech Top #Influencer 👉🏻 @Onalytica</t>
  </si>
  <si>
    <t>http://www.linkedin.com/in/haroldsinnott/</t>
  </si>
  <si>
    <t>What is Recall ? #MachineLearning #AI #learnmachinelearning #themlguru</t>
  </si>
  <si>
    <t>3Cloud Solutions</t>
  </si>
  <si>
    <t>“Liquid” machine-learning system adapts to changing conditions #Machinelearning #MIT #neuralliquidnetwork  by @mit</t>
  </si>
  <si>
    <t>https://hubs.li/H0GRZCD0</t>
  </si>
  <si>
    <t>Downers, IL</t>
  </si>
  <si>
    <t>Providing you with the Ultimate #Azure Experience – enabling your journey to the Microsoft cloud with expertise and flair. #cloud #technology</t>
  </si>
  <si>
    <t>http://3cloudsolutions.com</t>
  </si>
  <si>
    <t>Can you Hack AI? Yes, and Deep Learning is Being Used to Both Attack and Defend #AI #MachineLearning #DataScience #IoT</t>
  </si>
  <si>
    <t>https://roboticsandautomationnews.com/2021/02/22/can-you-hack-ai-yes-and-deep-learning-is-being-used-to-both-attack-and-defend/40906/</t>
  </si>
  <si>
    <t>https://pbs.twimg.com/media/Eu6bJyzXIAE1x0c.jpg</t>
  </si>
  <si>
    <t>[D] A Good Title Is All You Need</t>
  </si>
  <si>
    <t>Johan Potgieter</t>
  </si>
  <si>
    <t>Read more on: 3 Things the Data Center Market Needs To Overcome for Broad AI Adoption #schneiderelectric #AI #machinelearning #keychallenges</t>
  </si>
  <si>
    <t>https://e.gv6.co/twfhXC</t>
  </si>
  <si>
    <t>Johannesburg, South Africa</t>
  </si>
  <si>
    <t>Software Solutions| Enabling Companies to Optimize Business Results Through Digitalization and Personalization</t>
  </si>
  <si>
    <t>LANA</t>
  </si>
  <si>
    <t>We have been named one of the top Data Analytics Solution Providers 2020 by CIO Applications Europe! Read part II of the story on our blog: 👉🏾  #processmining #dataanalytics #data #machinelearning #ai #it</t>
  </si>
  <si>
    <t>https://bit.ly/2NvCmhH</t>
  </si>
  <si>
    <t>https://pbs.twimg.com/media/Eu6MWZ5XAAEiF2T.jpg</t>
  </si>
  <si>
    <t>Automated process analysis with LANA Process Mining. Unlock the hidden potential of your process data. #ProcessMining</t>
  </si>
  <si>
    <t>http://www.lanalabs.com</t>
  </si>
  <si>
    <t>ObjectiveFS</t>
  </si>
  <si>
    <t>With advanced caching and performance features, ObjectiveFS offers fast performance for workloads with concurrent access to data sets such as data processing, big data, simulation, machine learning, containers, etc. #MachineLearning #BigData #Kubernetes #CloudComputing #AWS</t>
  </si>
  <si>
    <t>Mountain View</t>
  </si>
  <si>
    <t>Scalable High Performance Filesystem for Servers. The reliable POSIX shared file system that automatically scales, is easy to use and just works!</t>
  </si>
  <si>
    <t>JCIM</t>
  </si>
  <si>
    <t>Effective #Feature Selection Method for Class-Imbalance Datasets Applied to Chemical Toxicity #Prediction  #current_issue #MachineLearning</t>
  </si>
  <si>
    <t>https://pubs.acs.org/doi/10.1021/acs.jcim.0c00908</t>
  </si>
  <si>
    <t>https://pbs.twimg.com/media/Euxw8wzXUAMa65O.jpg</t>
  </si>
  <si>
    <t>The Journal of Chemical Information and Modeling is dedicated to reporting on new methods and applications in chemical informatics and molecular modeling</t>
  </si>
  <si>
    <t>http://pubs.acs.org/jcim</t>
  </si>
  <si>
    <t>Dolores Romero Morales</t>
  </si>
  <si>
    <t>Finishing another paper on #interpretability in #machinelearning in the presence of #categorical predictors with @MarcelaGalvisRe and @emiliocarrizosa ! See also</t>
  </si>
  <si>
    <t>https://www.researchgate.net/publication/349179679_On_Clustering_Categories_of_Categorical_Predictors_in_Generalized_Linear_Models</t>
  </si>
  <si>
    <t>https://pbs.twimg.com/media/Eu6a3h8XEAMh3SL.jpg</t>
  </si>
  <si>
    <t>Copenhagen, Denmark</t>
  </si>
  <si>
    <t>Professor in Operations Research at Copenhagen Business School, in love with Sevilla, Betis enthusiast</t>
  </si>
  <si>
    <t>http://www.doloresromero.com</t>
  </si>
  <si>
    <t>evolvous</t>
  </si>
  <si>
    <t>With #MicrosoftViva bring together communications, knowledge, learning, resources, and insights all in one platform for enhanced #employeeexperience. Follow us at Evolvous Limited. #artificialintelligence #machinelearning #microsoft #microsoftpartners #evolvous</t>
  </si>
  <si>
    <t>https://pbs.twimg.com/media/Eu6axj-XYAALhxU.jpg</t>
  </si>
  <si>
    <t>Calgary, Alberta</t>
  </si>
  <si>
    <t>A young Calgary based consulting group offering services in SharePoint, Azure, RPA, Power Platform to customers across the globe!</t>
  </si>
  <si>
    <t>https://evolvous.com</t>
  </si>
  <si>
    <t>Basic #Guide to #LogisticRegression 👉🏽 @goDataDrive #Datascience #BigData #Analytics #CNN #NeuralNetworks #AI #ML #MachineLearning #DL #IoT #IoTPL #IIoT #Serverless #5G #CloudComputing #cybersecurity #NLP #RPA #Coding #100DaysofCode #programming #tech #DX  RT @Eli_Krumova: Basic #Guide to #LogisticRegression 👉🏽 @goDataDrive #Datascience #BigData #Analytics #CNN #NeuralNetworks #AI #ML #MachineLearning #DL #IoT #IoTPL #IIoT #Serverless #5G #CloudComputing #cybersecurity #NLP #RPA #Coding #100DaysofCode #programming #tech #DX</t>
  </si>
  <si>
    <t>https://www.godatadrive.com/blog/a-basic-guide-to-logistic-regression
https://twitter.com/Eli_Krumova/status/1363843699969576964
https://twitter.com/Eli_Krumova/status/1361773792494817281</t>
  </si>
  <si>
    <t>https://pbs.twimg.com/media/Eu6alpRXUAMOWZ6.png
https://pbs.twimg.com/media/Eu1Yab1WQAEGOmz.png</t>
  </si>
  <si>
    <t>Ravi</t>
  </si>
  <si>
    <t>How AI Has Advanced During the 21st Century and Where it’s Headed #100DaysOfCode #100DaysOfMLCode #DEVCommunity #womenwhocode #javascript #Serverless #ArtificialIntelligence #MachineLearning #AI #DeepLearning #ML</t>
  </si>
  <si>
    <t>https://www.pro-sapien.com/blog/how-ai-has-advanced-during-21st-century-and-where-its-headed/</t>
  </si>
  <si>
    <t>Principal Technology Strategist | #5G | #IOT | #AI #ML | #CyberSecurity Blog : http://blog.lucidopinions.com</t>
  </si>
  <si>
    <t>Necio</t>
  </si>
  <si>
    <t>Genève, Suisse</t>
  </si>
  <si>
    <t>Stay hungry, Stay foolish #VirtualReality, #AugmentedReality, #InternetOfThings, #SmartCity, #ArtificialIntelligence, #Robot</t>
  </si>
  <si>
    <t>http://www.necio.ch</t>
  </si>
  <si>
    <t>#MIT Introduces 🆕 Type of #NeuralNetwork "Liquid" #MachineLearning  #ML #AI #Analytics #ArtificialIntelligence #BigData #Coding #DataViz #DataScience #DeepLearning #DL #IoT #IIoT #IoTPL #Programming #Python #Tech #VR #AR #AV #CyberSecurity #100DaysOfCode  RT @Eli_Krumova: #MIT Introduces 🆕 Type of #NeuralNetwork "Liquid" #MachineLearning  #ML #AI #Analytics #ArtificialIntelligence #BigData #Coding #DataViz #DataScience #DeepLearning #DL #IoT #IIoT #IoTPL #Programming #Python #Tech #VR #AR #AV #CyberSecurity #100DaysOfCode</t>
  </si>
  <si>
    <t>http://bit.ly/2Z4DWJC
https://twitter.com/Eli_Krumova/status/1363859288951767042
https://twitter.com/Eli_Krumova/status/1361342959141150723</t>
  </si>
  <si>
    <t>https://pbs.twimg.com/media/Eu6aVl6XcAM8Yog.png
https://pbs.twimg.com/media/Eu1mpREXAAAhCH-.png</t>
  </si>
  <si>
    <t>pirogrammer</t>
  </si>
  <si>
    <t>Day 2: Before going further you need to understand the basic prerequisites.. &gt; Learn Linear Algebra &amp; Multivariate Calculus. &amp;gt;Learn Statistics. &amp;gt;Learn Python. And learn basic Terminology related to ML &amp;amp; types of ML🔥🔥 #pythonlearning #MachineLearning #dailycode #60dayscode</t>
  </si>
  <si>
    <t>https://pbs.twimg.com/media/Eu6aRaLVcAQWh4Q.jpg</t>
  </si>
  <si>
    <t>Kanpur, India</t>
  </si>
  <si>
    <t>name, age = Vikrant Rathore, 22 belief=Hustle||Loyalty||Integrity print(Name: {}\nAge: {}\nbelief: {}.format(name, age, belief)) Nothing but a Learner✨ 🐾🐾</t>
  </si>
  <si>
    <t>#Python Tips 👇🏽  @AI_Miami #100DaysOfCode #AI #ML #MachineLearning #Analytics #BigData #DataViz #DataScience #DeepLearning #serverless #5G #RPA #NLP #DigitalTransformation #IoT #IIoT #IoTPL #Programming #Python #Tech #VR #WomenWhoCode #Coding @Eli_Krumova  RT @Eli_Krumova: #Python Tips 👇🏽  @AI_Miami #100DaysOfCode #AI #ML #MachineLearning #Analytics #BigData #DataViz #DataScience #DeepLearning #serverless #5G #RPA #NLP #DigitalTransformation #IoT #IIoT #IoTPL #Programming #Python #Tech #VR #WomenWhoCode #Coding @Eli_Krumova</t>
  </si>
  <si>
    <t>http://bit.ly/3aJVK27
https://twitter.com/Eli_Krumova/status/1363883017920512000
https://twitter.com/AI_Miami/status/1359838741922209792</t>
  </si>
  <si>
    <t>https://pbs.twimg.com/media/Eu6aE12XcAItU2G.png
https://pbs.twimg.com/media/Eu17vvrWgAAgN0D.png</t>
  </si>
  <si>
    <t>Cátedra Telefónica UEx</t>
  </si>
  <si>
    <t>Cómo entender el #CambioClimático con el #MachineLearning</t>
  </si>
  <si>
    <t>http://ow.ly/BGrz30ry2hI</t>
  </si>
  <si>
    <t>Cáceres, España</t>
  </si>
  <si>
    <t>Internet de las Cosas para el Sector Agroganadero. Cátedra Telefónica de la Universidad de Extremadura.</t>
  </si>
  <si>
    <t>http://catedratelefonica.unex.es</t>
  </si>
  <si>
    <t>I gave +Kred to @techopcode on @Kred. #influence #ArtificialIntelligence #AI #MachineLearning #ML #DeepLearning #DL #NeuralNetworks #CNN #Tech #IOT #EmbeddedSystems #Programming #Cybersecurity #Automotive #IIoT #IoT #IoTPL #InfoSec #Linux #tech #techtrends #EmergingTech</t>
  </si>
  <si>
    <t>Elthon Rivas</t>
  </si>
  <si>
    <t>https://buff.ly/3smw6Ya</t>
  </si>
  <si>
    <t>Cuna del Fútbol Venezolano</t>
  </si>
  <si>
    <t>Ingeniero, apasionado del Rock🤘🏻y del Fútbol (Minerven del Callao y Culé) Orgulloso de ser Guayanés.. #RPA #MachineLearning #DeepLearning #DataScientist #AI</t>
  </si>
  <si>
    <t>Cyber Security Place</t>
  </si>
  <si>
    <t>#AI #ArtificialIntelligence #DataSecurity #DataBreach #MachineLearning #ML #Antivirus #TCSP #TheCybersecurityPlace</t>
  </si>
  <si>
    <t>https://thecybersecurityplace.com/artificial-intelligence-in-cybersecurity/</t>
  </si>
  <si>
    <t>The Cyber Security Place presents and disseminates pertinent #CyberSecurity matters threatening financial and business operations of companies across the globe.</t>
  </si>
  <si>
    <t>http://www.thecybersecurityplace.com</t>
  </si>
  <si>
    <t>Artificial Intelligence: From Hype to a Must-have - Total Telecom Read more here:  #ArtificialIntelligence #AI #DataScience #100DaysOfCode #Python #MachineLearning #BigData #DeepLearning #NLP #Robots #IoT</t>
  </si>
  <si>
    <t>https://ift.tt/3pGfLMo</t>
  </si>
  <si>
    <t>TechSutram</t>
  </si>
  <si>
    <t>Advanced #Analytics and Machine Learning #startup, #TigerGraph secured $105M in Series C Funding  #artificialintelligence #machinelearning #algorithm #ai #ml #iot #technology #internetofthings #cloudcomputing #cloud #aws #azure #googlecloud PC: Unsplash</t>
  </si>
  <si>
    <t>https://www.techsutram.com/2021/02/advanced-analytics-ai-ml-tigergraph-16-million-.html</t>
  </si>
  <si>
    <t>https://pbs.twimg.com/media/Eu6Zk1PXUAwhz3g.jpg</t>
  </si>
  <si>
    <t>We bring the latest on the convergence of #Blockchain, #Cloud computing, #IoT, #AI, #Startups. Links are not endorsements. Detail Disclaimer: http://bit.ly/2S9bv9q</t>
  </si>
  <si>
    <t>http://www.techsutram.com</t>
  </si>
  <si>
    <t>IIoT, AI &amp; Big Data</t>
  </si>
  <si>
    <t>[D] Can we use GAN to create a dataset to train other AI models?</t>
  </si>
  <si>
    <t>https://www.reddit.com/r/MachineLearning/comments/lqejbj/d_can_we_use_gan_to_create_a_dataset_to_train/?utm_source=dlvr.it&amp;utm_medium=twitter</t>
  </si>
  <si>
    <t>Insights\Articles\Code \ Use Cases : on #ML, #DL,#DataScience using #Python in #IIoT, #Energy, #Analytics, #InfoSec &amp; #Robotics, #IoT</t>
  </si>
  <si>
    <t>Arun Nair</t>
  </si>
  <si>
    <t xml:space="preserve">At the Edge </t>
  </si>
  <si>
    <t>Automating Machine Learning, Deep Learning, Data Viz, Python, Algorithms and TIme Series</t>
  </si>
  <si>
    <t>https://goo.gl/1TEwic</t>
  </si>
  <si>
    <t>Lifebit</t>
  </si>
  <si>
    <t>We’re thrilled to be participating in #AICamKorea - a unique joint virtual event that brings together #AI &amp; #DrugDiscovery experts from both the UK &amp;amp; Korea. Join us &amp;amp; register here:  #milnerevents #machinelearning</t>
  </si>
  <si>
    <t>http://bit.ly/3qO4DhN</t>
  </si>
  <si>
    <t>https://pbs.twimg.com/media/Eu6ZU4cXEAQZ92D.jpg</t>
  </si>
  <si>
    <t>Shaping the future of intelligent big data &amp; precision medicine. Use Lifebit CloudOS to instantly scale your genomics data analysis. 🚀</t>
  </si>
  <si>
    <t>http://www.lifebit.ai</t>
  </si>
  <si>
    <t>Imma Folch ☀️ Use a mask 😷 !!!!</t>
  </si>
  <si>
    <t>Scary sentence : "Internet of behavior will challenge what it means to be human in the digital world " #machinelearning #AI Read more here 👇👇</t>
  </si>
  <si>
    <t>https://www.linkedin.com/feed/update/urn:li:activity:6769961458286514176/</t>
  </si>
  <si>
    <t>Barcelona, España</t>
  </si>
  <si>
    <t>Digital Trainer, Telecom Ing, Founder&amp;CEO LFChannel IT PR, #bewoproject- “A lo que te resistes persistes, lo que aceptas se transforma” - ❤️AltEmpordà</t>
  </si>
  <si>
    <t>A Good Title Is All You Need</t>
  </si>
  <si>
    <t>Superdigital</t>
  </si>
  <si>
    <t>Implementing Python in Deep Learning #MachineLearning #deeplearning #learning via</t>
  </si>
  <si>
    <t>http://twinybots.ch
https://builtin.com/data-science/deep-learning-python</t>
  </si>
  <si>
    <t>We build brands, We provide highly result-driven online Digital Marketing Service to our clients with cutting edge technology using Artificial Intelligence</t>
  </si>
  <si>
    <t>https://superdigital.agency/</t>
  </si>
  <si>
    <t>#arXiv #machinelearning [cs.LG] nTreeClus: a Tree-based Sequence Encoder for Clustering Categorical Series. (arXiv:2102.10252v1 [cs.LG])  The overwhelming presence of categorical/sequential data in diverse domains emphasizes the importance of sequence mi…</t>
  </si>
  <si>
    <t>https://bit.ly/3dRbB2b</t>
  </si>
  <si>
    <t>#arXiv #machinelearning [cs.LG] Persistence Homology for Link Prediction: An Interactive View. (arXiv:2102.10255v1 [cs.LG])  Link prediction is an important learning task for graph-structured data. In this paper, we propose a novel topological approach t…</t>
  </si>
  <si>
    <t>https://bit.ly/3dDIFdH</t>
  </si>
  <si>
    <t>INEXTURE Solutions LLP</t>
  </si>
  <si>
    <t>The detrimental of COVID-19 has made all of us adopt digitization into our business. And, the contribution of machine learning has made it all smooth.  #MachineLearning #businessgrowth</t>
  </si>
  <si>
    <t>http://bit.ly/ML-Development-Company</t>
  </si>
  <si>
    <t>https://pbs.twimg.com/media/Eu6YvawUcAILEGI.jpg</t>
  </si>
  <si>
    <t>INEXTURE is a well-known name for its fine quality services in software development, we are your next enterprise software development partner.</t>
  </si>
  <si>
    <t>https://www.inexture.com/</t>
  </si>
  <si>
    <t>Keyur</t>
  </si>
  <si>
    <t>Word of the Day: - Linker #100DaysOfCode #DEVCommunity #dotnet #dotnetcore #Python #Python3 #javascript #programming #algorithms #git #DevCommunityIN #CodeNewbie #CodeNewbies #Linux #ArtificialIntelligence #Networking #Azure #MachineLearning</t>
  </si>
  <si>
    <t>Associate System Architect, .Net, Open Source, Cricket, Artificial Intelligence, Music and all practical things.</t>
  </si>
  <si>
    <t>@CreativeMF🔥</t>
  </si>
  <si>
    <t>: The worlds only CreativeMF™ #Advertising+#Design +#Tech  25 years _ BKLTD® via @cangrava @CraigZablo @FraGuyard #ai #machinelearning</t>
  </si>
  <si>
    <t>http://hello.creativemf.com/?edition_id=afa56cb0-75d5-11eb-9bb6-0cc47a0d1605</t>
  </si>
  <si>
    <t>NYC🇺🇲LDN🇬🇧 £BKLTDWW💸</t>
  </si>
  <si>
    <t>The worlds only @CreativeMF™ 😉 #Advertising + #Design + #Tech http://bkltd.creativemf.com/twitter | 25 years _ #BKLTD®</t>
  </si>
  <si>
    <t>http://bkltd.creativemf.com/twitter</t>
  </si>
  <si>
    <t>Khaleej Mag</t>
  </si>
  <si>
    <t>The emerging need for touchless interaction technologies  #TechNews #TechnologyNews #MachineLearning #AugmentedReality #ResearchHighlight #COVIDー19 #DigitalTransformation #BreakingNews #VirtualReality #AI #eHealth #UI #uxdesign #education #edtechchat</t>
  </si>
  <si>
    <t>https://researchgate.net/publication/342134613_The_emerging_need_for_touchless_interaction_technologies</t>
  </si>
  <si>
    <t>https://pbs.twimg.com/media/Eu6Y3jAXEAAfpWZ.jpg</t>
  </si>
  <si>
    <t>Around the world</t>
  </si>
  <si>
    <t>Voice of the People. Political, business, sports, entertainment and education news. Content that matters, and you can trust. Official Twitter of Khaleej Mag.</t>
  </si>
  <si>
    <t>http://KhaleejMag.com</t>
  </si>
  <si>
    <t>Soulpage</t>
  </si>
  <si>
    <t>#Pharma industries leveraging the applications of #NLP to understand the 360-degree view of the business and further to better its drug applications and efficiencies. Read our blog to know more at  #AI #Healthcare #DrugDiscovery #Healthcare #MachineLearning</t>
  </si>
  <si>
    <t>https://buff.ly/2NZfJQ4</t>
  </si>
  <si>
    <t>Hyderabad, India</t>
  </si>
  <si>
    <t>A Data Science Technology Company helping enterprises harness their data and build AI-driven innovative solutions. #AI #BigData #DigitalTransformation #ML #NLP</t>
  </si>
  <si>
    <t>https://soulpageit.com</t>
  </si>
  <si>
    <t>The Human Side of Our New Data Currency - Coruzant Technologies  #BigData #Data #AI #MachineLearning #DigitalCurrency #Human #ArtificialIntelligence #Analytics #EmergingTech #Coruzant #CTO #PacteraEDGE @PacteraEDGE</t>
  </si>
  <si>
    <t>https://buff.ly/2MGcI90</t>
  </si>
  <si>
    <t>hardmaru</t>
  </si>
  <si>
    <t>Global Workspace Theory refers to a large-scale system integrating &amp; distributing information among networks of specialized modules to create higher-level forms of cognition and awareness. Can we implement the theory with deep learning techniques? @kanair</t>
  </si>
  <si>
    <t>https://redd.it/lqhk88</t>
  </si>
  <si>
    <t>東京</t>
  </si>
  <si>
    <t>research scientist at google brain 🧠 香港人 🏴</t>
  </si>
  <si>
    <t>https://otoro.net/ml/</t>
  </si>
  <si>
    <t>Machine Learning Engineer / Scientist  #MachineLearning</t>
  </si>
  <si>
    <t>https://numenta.com/company/careers-and-team/careers/machine-learning-research-scientist/</t>
  </si>
  <si>
    <t>Andre Oporto</t>
  </si>
  <si>
    <t>Three tips for learning #AI and #MachineLearning: 1. Find the right learning resources. Two of my favorites, for beginner and intermediate levels:  by @jmportilla_  by @aureliengeron 🧵👇</t>
  </si>
  <si>
    <t>https://www.udemy.com/course/python-for-data-science-and-machine-learning-bootcamp/
https://www.oreilly.com/library/view/hands-on-machine-learning/9781492032632/</t>
  </si>
  <si>
    <t>Greater Philadelphia</t>
  </si>
  <si>
    <t>Lead Software Developer &amp; Software Architect / C#, Python, SQL / AI + ML / TensorFlow Certified Developer / Cybersecurity &amp; Cloud 🧠🤖🛡☁️🐉</t>
  </si>
  <si>
    <t>https://www.pendragonai.com</t>
  </si>
  <si>
    <t>TechGDPR</t>
  </si>
  <si>
    <t>It all started 3 years ago. Meanwhile we supported many technology companies in #blockchain #fintech #iot #computervision #machinelearning #medtech and more with #GDPR and #privacy, and are looking forward to even more of that in the next years to come!</t>
  </si>
  <si>
    <t>https://pbs.twimg.com/media/Eu6M4t7XAAIWDKA.jpg</t>
  </si>
  <si>
    <t>Help tech-centric companies to become #GDPR compliant &amp; build #privacy into #products, as consultant or #DPO. #apps #cloud #microservices #blockchain #medtech</t>
  </si>
  <si>
    <t>https://techgdpr.com</t>
  </si>
  <si>
    <t>Kelechi James</t>
  </si>
  <si>
    <t>I am so happy to finally make my first simple webpage 💃💃💃🎉🎉😂 .@ashpotNG cohort 2.0 Week 4 (learning web development) With an amazing instructor @Ubajoseph_u The journey is still getting started 💜 #100daysofcode #AI #machinelearning #codenewbies #datascience #dev</t>
  </si>
  <si>
    <t>https://pbs.twimg.com/media/Eu6YPvhWYAMKLo3.jpg</t>
  </si>
  <si>
    <t>Abia, Nigeria</t>
  </si>
  <si>
    <t>Web Development student @AshpotNG at cohort 2.0 https://ehunter.hashnode.dev , I tweet about Startup ideas too</t>
  </si>
  <si>
    <t>http://github.com/ehuntober</t>
  </si>
  <si>
    <t>Datategy</t>
  </si>
  <si>
    <t>Discover the demo of papAI, the new collaborative platform for processing, analyzing and modeling data flows. #AI #datascience #machinelearning</t>
  </si>
  <si>
    <t>https://www.youtube.com/watch?v=96jDlqHgWWQ&amp;t=2s</t>
  </si>
  <si>
    <t>Starting from gross data, we support cities and businesses to develop their own AI powered applications.</t>
  </si>
  <si>
    <t>http://datategy.net/fr/accueil/</t>
  </si>
  <si>
    <t>Informal Artificial Intelligence</t>
  </si>
  <si>
    <t>🧠Building Neural Networks with PyTorch in Google Colab. . .. ⬇️⬇️ 👉🏻 .. #NeuralNetworks #pyTorch #AI #ArtificialIntelligence #MachineLearning #informalai #informalaitech #informalaitechlife</t>
  </si>
  <si>
    <t>https://lnkd.in/dqP27zw</t>
  </si>
  <si>
    <t>We'll inform the AI world here . Follow us to know-how Artificial Intelligence &amp; other futuristic tech is about to change your professional &amp; personal life.</t>
  </si>
  <si>
    <t>https://informalai.com/</t>
  </si>
  <si>
    <t>SAM</t>
  </si>
  <si>
    <t>Save the machines from humanism! #machinelearning #tech #machine</t>
  </si>
  <si>
    <t>Imon Ahamed</t>
  </si>
  <si>
    <t>📢city shop logo design 👉 Thanks for🔄❤ #MachineLearning #DEVCommunity #DataScience #Python #100DaysOfCode #IoT #100DaysOfMLCode #flutter #city #Serverless #womenwhocode #cybersecurity #ecommerce #YouTube #business #logodesign #shopping #Shopify #Amazon</t>
  </si>
  <si>
    <t>http://rb.gy/gdgtco</t>
  </si>
  <si>
    <t>https://pbs.twimg.com/media/Eu6XvYYXMAEpbao.jpg</t>
  </si>
  <si>
    <t>I am a Professional Graphic Designer Design is my passion and client satisfaction is my GOAL!</t>
  </si>
  <si>
    <t>http://www.fiverr.com/topgallery</t>
  </si>
  <si>
    <t>Khunmie</t>
  </si>
  <si>
    <t>😂😂😂😂.... #AWS #MachineLearning</t>
  </si>
  <si>
    <t>https://pbs.twimg.com/media/Eu6Xve7XMAIh3hY.jpg</t>
  </si>
  <si>
    <t>Lagos, Nigeria</t>
  </si>
  <si>
    <t>A simple someone.</t>
  </si>
  <si>
    <t>addalia</t>
  </si>
  <si>
    <t>IDDILIGENCE, la solución de onboarding de clientes de ADDALIA, valida identidades, datos y documentos mediante imágenes, incluye tecnología de #biometría facial, #OCR, #IA, #machinelearning.  #fraudprevention #KYC #identity</t>
  </si>
  <si>
    <t>https://hubs.li/H0H2Pgr0</t>
  </si>
  <si>
    <t>En segundos, las soluciones de ADDALIA capturan y validan datos, documentos e identidades de manera segura y eficiente. Linkedin: https://goo.gl/3Kc14d</t>
  </si>
  <si>
    <t>http://www.addalia.com</t>
  </si>
  <si>
    <t>Software Testing Is Tedious. AI Can Help. #MachineLearning #learning via</t>
  </si>
  <si>
    <t>http://twinybots.ch
https://hbr.org/2021/02/software-testing-is-tedious-ai-can-help</t>
  </si>
  <si>
    <t>Citadel Advantage NEWS DIGEST</t>
  </si>
  <si>
    <t>The danger of #AI is weirder than you think  #algorithm #artificialintelligence #future #machinelearning #technology #fintech #banking #ML</t>
  </si>
  <si>
    <t>https://citadeladvantage.blogspot.com/2019/10/the-danger-of-ai-is-weirder-than-you.html?spref=tw</t>
  </si>
  <si>
    <t>https://pbs.twimg.com/media/Eu4lGBxXIAEu4P5.jpg</t>
  </si>
  <si>
    <t>Banking, Payments, Operations Risk &amp; Back Office specialists and trainers</t>
  </si>
  <si>
    <t>https://citadeladvantage.blogspot.com/</t>
  </si>
  <si>
    <t>Branden Kornell</t>
  </si>
  <si>
    <t>We designed #AI and #MachineLearning to be fast and accurate; not fair and equitable (inherently human qualities). It's a new frontier in algorithms, something we MUST get right. Interview w/ my @abtassociates colleagues @lrpeck and @DrJasonBrinkley</t>
  </si>
  <si>
    <t>https://www.abtassociates.com/insights/podcast/data-racial-equity-how-do-we-eliminate-bias-from-ai-machine-learning-and-more?utm_campaign=data_is_biased_by_centuri&amp;utm_content=1613581317&amp;utm_medium=twitter&amp;utm_source=abtassociates</t>
  </si>
  <si>
    <t>Tableau Enthusiast | #DataViz Nerd | #Tableau Desktop Certified Professional | Enterprise Business Intelligence Lead for @AbtAssociates</t>
  </si>
  <si>
    <t>http://www.linkedin.com/in/bkornell</t>
  </si>
  <si>
    <t>FaceSpace.AI</t>
  </si>
  <si>
    <t>How Watson, IBM’s Artificial Intelligence, Is Powering Audio-Interactive VR/AR Environments  via @vrscout #MachineLearning #AI</t>
  </si>
  <si>
    <t>https://vrscout.com/news/watson-ibm-ai-vr-ar-audio-interactive-environments/</t>
  </si>
  <si>
    <t>People x Creatives x Designers | Exploring #AI and #MachineLearning technology to facilitate seamless connections between creativity and tech.</t>
  </si>
  <si>
    <t>https://mailchi.mp/facespace.ai/home</t>
  </si>
  <si>
    <t>Qlucore</t>
  </si>
  <si>
    <t>New publication in Clinical Epigenetics @BioMedCentral. After exporting the resulting data, Omics Explorer was used for subsequent cluster analyses, #PCA, #machinelearning approaches and data presentation.  #dataresearch #bioinformatics #DNAmethylation</t>
  </si>
  <si>
    <t>https://lnkd.in/eqSRUT4</t>
  </si>
  <si>
    <t>https://pbs.twimg.com/media/Eu6WfWYXEAAonq9.jpg</t>
  </si>
  <si>
    <t>Lund, Sweden</t>
  </si>
  <si>
    <t>Qlucore makes it easier to analyze the huge amounts of complex data that are generated by innovations in the fields of genetics and proteomics.</t>
  </si>
  <si>
    <t>http://www.qlucore.com</t>
  </si>
  <si>
    <t>In industry, understanding #MachineLearning is much less important than understanding the problem. Go for general knowledge about what methods work for different problems and enough coding skills to make it work. #ArtificialIntelligence #DataScience #AI RT @AlejandroPiad: If you've been lied to and kept out of the "cool kids circle who can understand machine learning", take a look at this honest post from @madeline_pc about why you don't really need that much math to get started with ML, and even better, that you can learn it along the way.</t>
  </si>
  <si>
    <t>https://twitter.com/AlejandroPiad/status/1364184391560355842
https://twitter.com/madeline_pc/status/1363510497698590731</t>
  </si>
  <si>
    <t>ScienceLogic raises $105 million to grow its AIOps platform  #artificialintelligence #ai #machinelearning</t>
  </si>
  <si>
    <t>https://venturebeat.com/2021/02/23/sciencelogic-raises-105-million-to-grow-its-aiops-platform/?utm_source=dlvr.it&amp;utm_medium=twitter</t>
  </si>
  <si>
    <t>Sean Sodko</t>
  </si>
  <si>
    <t>Does your org use sentiment analysis? What's been your experience so far? @CDWCorp #MachineLearning #cdwsocial</t>
  </si>
  <si>
    <t>https://dy.si/Mffc372</t>
  </si>
  <si>
    <t>https://pbs.twimg.com/media/Eu6V5QXU4AEPGYq.png</t>
  </si>
  <si>
    <t>How Geospatial AI Can Help Fight Climate Change and Natural Disasters - Coruzant Technologies  #GIS #Geospatial #AI #MachineLearning #Analytics #PredictiveModeling #Maps #Mapping #NaturalDisasters #NLP #Coruzant #CTO #Gramener @Gramener</t>
  </si>
  <si>
    <t>https://buff.ly/3pOOFUa</t>
  </si>
  <si>
    <t>Brian Graham</t>
  </si>
  <si>
    <t>Super cool #100DaysOfCode #ML #AI #Gaming #IoT #MachineLearning #AR #MR #100daysofmlcode #VR MT @mvollmer1 @Nicochan33 @kuriharan @alvinfoo @jblefevre60 @FrRonconi @MargaretSiegien @PawlowskiMario @iamBrianGraham @rwang0 @MikeQuindazzi @HaroldSinnott V/</t>
  </si>
  <si>
    <t>pic.twitter.com/DTw4PsgLED</t>
  </si>
  <si>
    <t>New York City</t>
  </si>
  <si>
    <t>🙏 10+ years marketer &amp; software engineer. $250M+ revenue | 2021: Building #fintech startup 😎 Helping SMBs grow fast ➡️ http://byp.ee/bgk2Sg 🛑 No DMs Plz</t>
  </si>
  <si>
    <t>https://byp.ee/bgk2Sg</t>
  </si>
  <si>
    <t>DTMGFX</t>
  </si>
  <si>
    <t>How 1920 authors accurately envisioned our future overlords @BostonDynamics - Science and Invention Magazine #robotics #ai #MachineLearning #robots</t>
  </si>
  <si>
    <t>https://pbs.twimg.com/media/Eu6VrwDXMAAP1c_.jpg</t>
  </si>
  <si>
    <t>3d Artist, Programmer, Geek. #houdinifx #redshift3d, #unreal #blender Nairobi • Kenya 🇰🇪 http://makersplace.com/dtmgfx</t>
  </si>
  <si>
    <t>https://www.behance.net/dantemetaphor</t>
  </si>
  <si>
    <t>Edvicer</t>
  </si>
  <si>
    <t>!!50% Career Stimulus Discount!! 'Udacity' brings you Nanodegree Program - ARTIFICIAL INTELLIGENCE for Trading, with Real-world projects! DEADLINE 24th Midnight! 🔥Check out:  #Edvicer #udacity #ai #machinelearning #python #Certified #business #bitcoin</t>
  </si>
  <si>
    <t>https://www.edvicer.com/course/Artificial-Intelligence-For-Trading-34</t>
  </si>
  <si>
    <t>https://pbs.twimg.com/media/Eu6VnwtVIAEfgIa.jpg</t>
  </si>
  <si>
    <t>नई दिल्ली, भारत</t>
  </si>
  <si>
    <t>Compare and choose the best online courses with us.</t>
  </si>
  <si>
    <t>https://edvicer.com</t>
  </si>
  <si>
    <t>Franc Milburn 🇬🇧🇺🇸</t>
  </si>
  <si>
    <t>https://www.militaryaerospace.com/unmanned/article/14195641/unmanned-jet-fighter-machinelearning?utm_source=MAE+Unmanned+Vehicle&amp;utm_medium=email&amp;utm_campaign=CPS210215025&amp;o_eid=2046E3688590F6V&amp;rdx.ident%5Bpull%5D=omeda%7C2046E3688590F6V&amp;oly_enc_id=2046E3688590F6V</t>
  </si>
  <si>
    <t>National security, geopolitics, strategic issues, UAP, consciousness. @explorescu @BESA_Center</t>
  </si>
  <si>
    <t>https://independent.academia.edu/FrancMilburn</t>
  </si>
  <si>
    <t>An Introduction to Artificial Intelligence and Machine Learning:  #MachineLearning #ArtificialIntelligence #DevOps #Tutorial</t>
  </si>
  <si>
    <t>https://medium.com/ai-in-plain-english/an-introduction-to-artificial-intelligence-and-machine-learning-1b7da8a76f34</t>
  </si>
  <si>
    <t>LIVE with Scientists</t>
  </si>
  <si>
    <t>📹 Here is our tutorial video to help you access Google's artificial intelligence experiments. To find out how these experiments work, check out the full blog on our website - link:  #MachineLearning #ArtificialIntelligence</t>
  </si>
  <si>
    <t>http://rb.gy/5fdw6t
https://video.buffer.com/v/6034f52960e6d319b17a4f84</t>
  </si>
  <si>
    <t>Manchester.</t>
  </si>
  <si>
    <t>LIVE with Scientists has one mission – to make science accessible to everyone. #LIVEwithScientists #SciComm</t>
  </si>
  <si>
    <t>https://linktr.ee/livewithscientists</t>
  </si>
  <si>
    <t>CrimaCode</t>
  </si>
  <si>
    <t>3 years plan 2020 - Fullstack Javascript and Cloud Computing (Done) 2021 - Machine Learning and Deep Learning (Still on it) 2022 - Blockchain and Cryptocurrency (Not yet) #CloudComputing #MachineLearning #cryptocurrency #deeplearning #javascript #DevOps #gcp #blockchain</t>
  </si>
  <si>
    <t>Nigeria</t>
  </si>
  <si>
    <t>Fullstack Developer, Data Scientist and a Computational Criminologist</t>
  </si>
  <si>
    <t>https://crimacode.com</t>
  </si>
  <si>
    <t>UPTEC</t>
  </si>
  <si>
    <t>📱🖥A #NAU21 está a desenvolver o Smart Insurance System, uma tecnologia que utiliza #blockhain e #MachineLearning para otimizar e automatizar os processos relativos a seguros. 👏👏Além disso, são uma das 10 melhores europeias de #Insurtech!</t>
  </si>
  <si>
    <t>https://uptec.up.pt/nau21-entre-as-10-melhores-empresas-de-insurtech-da-europa/</t>
  </si>
  <si>
    <t>Portugal</t>
  </si>
  <si>
    <t>supports the creation and development of #businessprojects in the #arts,#sciences+#technologies, through sharing knowledge between the university and the market</t>
  </si>
  <si>
    <t>http://uptec.up.pt</t>
  </si>
  <si>
    <t>Delqn Dobrew</t>
  </si>
  <si>
    <t>🔥 This is my first collection on @opensea 👇  #art #cryptoart #nft #opensea #AI #MachineLearning #nftart #NFTartist #digitalart #DigitalArtist</t>
  </si>
  <si>
    <t>https://opensea.io/collection/ai-generated</t>
  </si>
  <si>
    <t>https://pbs.twimg.com/media/Eu6VHwPWQAMjhuO.jpg</t>
  </si>
  <si>
    <t>Fascinated with the combination of analog and digital in art. Have my own collection of AI Generated Art on opensea: https://opensea.io/collection/ai-generated</t>
  </si>
  <si>
    <t>Laura Espinosa</t>
  </si>
  <si>
    <t>So excited to start seeing the results of my new adventure: learning #Python for applied #DataScience and #MachineLearning, one of the available programmes at @epfl_exts. One course done, only three to go (+ capstone project) 💪😊</t>
  </si>
  <si>
    <t>https://pbs.twimg.com/media/Eu6T6n3XUAc49kh.jpg</t>
  </si>
  <si>
    <t>Sweden</t>
  </si>
  <si>
    <t>Scientific Officer Epidemic Intelligence at @ECDC_EU, PhD student @DigitalEpiLab, with an innate passion for dancing and animals</t>
  </si>
  <si>
    <t>https://ecdc.europa.eu</t>
  </si>
  <si>
    <t>Just Finished reading 2 books on Machine Learning 1. Mathematic for Machine Learning 2. Python Data Science Handbook Started Reading them on November 2nd, 2020 and Finished on 4th January 2021. Approximately 2 month. #DataScience #MachineLearning #Python #deeplearning</t>
  </si>
  <si>
    <t>Sachin Jain</t>
  </si>
  <si>
    <t>How to break a model in 20 days. A tutorial on production model analytics.  #ArtificialIntelligence #MachineLearning #DataScience #BigData #DeepLearning #coding #100DaysOfCode #100DaysOfMLCode</t>
  </si>
  <si>
    <t>https://towardsdatascience.com/how-to-break-a-model-in-20-days-a-tutorial-on-production-model-analytics-25497e2eab9c</t>
  </si>
  <si>
    <t>Business Development &amp; Strategy @ GE| Follow me for latest innovations in #AI #ArtificialIntelligence #MachineLearning #DataScience #PredictiveAnalytics</t>
  </si>
  <si>
    <t>Update from @ashpotNG loading . . #100daysofcode #100DaysOfPython #Javascript30 #javaprogramming #AI #MachineLearning #DataScience</t>
  </si>
  <si>
    <t>https://pbs.twimg.com/media/Eu6Us-JXMAE2y8Y.jpg</t>
  </si>
  <si>
    <t>Innovation</t>
  </si>
  <si>
    <t>He is very nice boy. #DEVCommunity #Programming #IoT #IoTPL #AI #100DaysOfCode #MachineLearning #Airdrop #CloudComputing #Analytics #Serverless #cybersecurity #ArtificialIntelligence #DataScience #5G #Engineering #innovation #sustainable #MLB #kindness RT @TerenceLeungSF: Sweet + subliminal messaging @morgfair @YuHelenYu @Droit_IA @mvollmer1 @sallyeaves @rwang0 @HaroldSinnott @terence_mills @CelineDarnet_ @kuriharan @FrRonconi @MikeQuindazzi @helene_wpli @PawlowskiMario @MHcommunicate @Nicochan33 @LindaGrass0 @GlenGilmore</t>
  </si>
  <si>
    <t>https://twitter.com/TerenceLeungSF/status/1364078710048002056</t>
  </si>
  <si>
    <t>pic.twitter.com/bd6dl1mZGm</t>
  </si>
  <si>
    <t>何事も笑えればそれで解決と思っています。</t>
  </si>
  <si>
    <t>2021 Predictions 👇 #MachineLearning Automation, K-anonymity, Hyperautomation, Semantic Graphs  v/ @aiworldexpo #AI #DigitalTransformation #AIEthics Cc @floriansemle @Fisher85M @digitalcloudgal @MiaD @psb_dc @guzmand @roxanasoi @archonsec @DrJDrooghaag</t>
  </si>
  <si>
    <t>https://www.aitrends.com/2021-ai-predictions/2021-predictions-ml-automation-k-anonymity-hyperautomation-semantic-graphs</t>
  </si>
  <si>
    <t>https://pbs.twimg.com/media/Eu6Ug6MXAAI_JkB.png</t>
  </si>
  <si>
    <t>State Estimation using Extend Kalman Filter (EKF) for robotics by @SURAJIT41801578 #MachineLearning #AI #DeepLearning #DataScience</t>
  </si>
  <si>
    <t>https://link.medium.com/YVBbQcTw6db</t>
  </si>
  <si>
    <t>ETHRWorld</t>
  </si>
  <si>
    <t>IT company Appinventiv to hire 150 people, add new business units #VirtualReality #SoftwareCompanies #HRFunction #Business #MachineLearning #Gupta #TechnologyRevolution</t>
  </si>
  <si>
    <t>https://hr.economictimes.indiatimes.com/news/workplace-4-0/recruitment/it-company-appinventiv-to-hire-150-people-add-new-business-units/81169619</t>
  </si>
  <si>
    <t>ET HR World, an @EconomicTimes Initiative is the first of its kind HR community which is exclusively crafted for the HR leaders and by the HR leaders.</t>
  </si>
  <si>
    <t>http://ethrworld.com</t>
  </si>
  <si>
    <t>Pawel Ogonowski</t>
  </si>
  <si>
    <t>Many companies are beginning to improve their customer service, thanks to the newest technology, and this brings remarkable results. Take a look at how different companies include #artificialintelligence and #machinelearning in their daily operations👉</t>
  </si>
  <si>
    <t>https://buff.ly/2MfX9Fk</t>
  </si>
  <si>
    <t>https://pbs.twimg.com/media/Eu6UYvUXUAIN0V7.png</t>
  </si>
  <si>
    <t>The Ecommerce Optimization Guy. Cofounder and Partner @GrowcodeHQ. Author. Speaker. Tweeting on ecommerce growth, development and optimization.</t>
  </si>
  <si>
    <t>http://www.growcode.com</t>
  </si>
  <si>
    <t>Botomation</t>
  </si>
  <si>
    <t>Which one would you choose: Rule-based bot or NLP bot? Talk to our expert  #chatbot #NLP #bot #rulebasedbot #ai #virtualagent #chatbots #servicedesk #custexp #artificialintelligence #helpdesk #machinelearning</t>
  </si>
  <si>
    <t>https://tryviumdesk.sensiple.com/</t>
  </si>
  <si>
    <t>https://pbs.twimg.com/media/Eu6UXUHXcAg7Hq5.jpg</t>
  </si>
  <si>
    <t>NJ, USA</t>
  </si>
  <si>
    <t>Botomation is the application of AI and intelligent automation technologies that empower organizations to transform customer service. #Chatbot #Automation #AI</t>
  </si>
  <si>
    <t>https://www.botomation.ai/</t>
  </si>
  <si>
    <t>Big Data Game Changers: Artificial Intelligence + Ethical Intelligence - Coruzant Technologies  #AI #EI #ArtificialIntelligence #MachineLearning #Ethics #Compliance #BigData #Vision #Coruzant #Legal #HayagCorp @CorpHayag @HemaLakkaraju</t>
  </si>
  <si>
    <t>https://buff.ly/3jydcdG</t>
  </si>
  <si>
    <t>WiselyWise</t>
  </si>
  <si>
    <t>If you want to create an image, OpenAI's new technology called DALL.E can help in generating images using a neural network.  #neuralnetwork #machinelearning #artificialintelligence #deeplearning #python #datascience #ai #neuralnetworks #WiselyWise</t>
  </si>
  <si>
    <t>https://zcu.io/T03Y</t>
  </si>
  <si>
    <t>https://pbs.twimg.com/media/Eu6USCLU4Ac_MMT.jpg</t>
  </si>
  <si>
    <t>http://wiselywise.com/</t>
  </si>
  <si>
    <t>Want to know the #ML process? Here is an #infographic below. Check out the 5 Steps in the #MachineLearning process. Via @thinksysinc #Python #datascience #DataAnalytics #DeepLearning #technology #DEVCommunity #BigData #blockchain #CloudComputing #CyberSecurity #DevOps</t>
  </si>
  <si>
    <t>https://pbs.twimg.com/media/Eu5AlaxVEAUScoT.jpg</t>
  </si>
  <si>
    <t>Machine Learning 2021</t>
  </si>
  <si>
    <t>Participate in the 8th World #MachineLearning and #DeepLearning Conference | May 24, 2021 Webinar #Webinar Discounts on group participation Slots available for #delegates WhatsApp: +442039369064 Register now:</t>
  </si>
  <si>
    <t>https://machinelearning.conferenceseries.com/registration.php</t>
  </si>
  <si>
    <t>https://pbs.twimg.com/media/Eu6TtapVcAIp3P2.jpg</t>
  </si>
  <si>
    <t>Share your #research expertise at #MachineLearning2021 | May 24,2021 | Webinar #DeepLearning #PredictiveAnalytics #InternetofThings</t>
  </si>
  <si>
    <t>Big Data Analytics in Healthcare Market Segmentation, Analysis by Recent Trends, Development by Regions to 2030 | - Medgadget  #DataScience #MachineLearning #DeepLearning #Insurance #NLP #Robots #AI #IoT #BigData</t>
  </si>
  <si>
    <t>https://ift.tt/2ZKxJmt</t>
  </si>
  <si>
    <t>Ralph Straumann</t>
  </si>
  <si>
    <t>#MachineLearning in der Microsoft #Azure-Cloud: Ein Praxisbeispiel –  (Fortsetzung von «Azure ML und Machine Learning Studio», )</t>
  </si>
  <si>
    <t>https://digital.ebp.ch/2021/02/23/machine-learning-in-der-microsoft-cloud-ein-praxisbeispiel
https://digital.ebp.ch/2021/02/16/machine-learning-in-der-microsoft-cloud-azure-ml-und-machine-learning-studio</t>
  </si>
  <si>
    <t>https://pbs.twimg.com/media/Eu6TLOBWgAA0F0i.jpg</t>
  </si>
  <si>
    <t>Switzerland, ZH×SG</t>
  </si>
  <si>
    <t>PhD in geography ⇒ jack of all trades, master of some. Consulting, analysis, and research.</t>
  </si>
  <si>
    <t>https://www.ralphstraumann.ch</t>
  </si>
  <si>
    <t>Swiss UX/UI News</t>
  </si>
  <si>
    <t>Building Artificial Intelligence #UI #artificialintelligence #learning #machinelearning</t>
  </si>
  <si>
    <t>#UX, #UI, #Design, #MaterialDesign</t>
  </si>
  <si>
    <t>https://twinybots.ch</t>
  </si>
  <si>
    <t>This is why people like to use #airbnb. #DEVCommunity #Programming #IoT #IoTPL #AI #100DaysOfCode #MachineLearning #Airdrop #CloudComputing #Analytics #Serverless #cybersecurity #ArtificialIntelligence #DataScience #5G #Engineering #innovation #vacation #trip #travel #mansion RT @jblefevre60: This 🇫🇷 #airbnb has a 91-foot aquarium pool! @TechInsider @evankirstel @PawlowskiMario @HaroldSinnott @mvollmer1 @gvalan @ipfconline1 @diioannid @ShiCooks @Ym78200 @kalydeoo @Nicochan33 @Fisher85M @helene_wpli @chboursin @3itcom @rwang0 @Fabriziobustama</t>
  </si>
  <si>
    <t>https://twitter.com/jblefevre60/status/1364106297940070400</t>
  </si>
  <si>
    <t>pic.twitter.com/PbWdsuRdn6</t>
  </si>
  <si>
    <t>Artificial Intelligence for Pragmatic Business Solutions  #machinelearning #ad</t>
  </si>
  <si>
    <t>https://zpy.io/d133386c</t>
  </si>
  <si>
    <t>AI Playing the Stock Markets #ArtificialIntelligence #learning #machinelearning via</t>
  </si>
  <si>
    <t>http://twinybots.ch
https://medium.com/predict/ai-playing-the-stock-markets-c71429621372?source=rss-------8-----------------artificial_intelligence&amp;utm_source=dlvr.it&amp;utm_medium=twitter</t>
  </si>
  <si>
    <t>Khaled Mahmud</t>
  </si>
  <si>
    <t>Click The Price its banner  #businesscard #modern #corporate #identity #stationary #tuesdayvibe #Python #MachineLearning #IoT #100DaysOfMLCode #javascript #Nodejs #Serverless #cybersecurity #CodeNewbie #DEVCommunity #Developer #coding #100DaysOfCode</t>
  </si>
  <si>
    <t>https://bit.ly/34U56a0</t>
  </si>
  <si>
    <t>https://pbs.twimg.com/media/Eu6TauBUYAEC3UM.jpg</t>
  </si>
  <si>
    <t>Hi, I am a professional Web &amp; graphic design expert I will provide you professional web design solution for your requirements. #100DaysOfCode , #JavaScript</t>
  </si>
  <si>
    <t>https://www.fiverr.com/s2/d1a5306b0f</t>
  </si>
  <si>
    <t>Valeria Pettorino</t>
  </si>
  <si>
    <t>Here is the link to the next to come #MachineLearning day at @CosmoStatLab:  organized by @joana_frontera RT @joana_frontera: Save the date. Don't miss the next CosmoStat Machine Learning day on March the 5th @CosmoStatLab</t>
  </si>
  <si>
    <t>http://www.cosmostat.org/events/learning-in-astrophysics-2021
https://twitter.com/joana_frontera/status/1364182755236544514</t>
  </si>
  <si>
    <t>https://pbs.twimg.com/media/Eu56-lNXcAImW2t.jpg</t>
  </si>
  <si>
    <t>Parigi, Francia</t>
  </si>
  <si>
    <t>Cosmologist, I post about space, science diplomacy, data science, women in STEM @CosmoStatLab @SF_Mentoring @europython @Mariecurie_alum @s2ds @s4d4c @DireRete</t>
  </si>
  <si>
    <t>https://valeriapettorino.com</t>
  </si>
  <si>
    <t>WhyYouShouldGoGreen</t>
  </si>
  <si>
    <t>Why You Should Go Green Daily is out!  #ai #machinelearning</t>
  </si>
  <si>
    <t>http://www.WhyYouShouldGoGreen.com</t>
  </si>
  <si>
    <t>The Save Green Team vision is Three-Fold: Helping others Save #Money and Make Money, while making a positive impact on the #environment. #Green</t>
  </si>
  <si>
    <t>http://bit.ly/N8pLrp</t>
  </si>
  <si>
    <t>Pratim Das</t>
  </si>
  <si>
    <t>To ensure sustainable progress, we need new practices that enable insights from data while reliably protecting individuals privacy. Eg add Noise during Data Collection+Dataset &amp; Differentially Private #MachineLearning  #MSFTAdvocate</t>
  </si>
  <si>
    <t>https://lnkd.in/ddWabXv</t>
  </si>
  <si>
    <t>Data &amp; AI Tech leader @Microsoft! My children, Business Challenges, #Data, #AI, Tech, Sports, Health, Friends, Good food and my beautiful wife makes my life!</t>
  </si>
  <si>
    <t>https://www.linkedin.com/in/pratimdas/</t>
  </si>
  <si>
    <t>➡ If you are a TRADER looking for a new tool. ➡ Check out ⟶  Automated Trading Strategies US markets #DataScience #MachineLearning #Investing $ONTX $CCIV $ZNGA $KHC $ACIC $VIAC $GSAH $JPM $HOL $FRX</t>
  </si>
  <si>
    <t>http://lddy.no/mmah</t>
  </si>
  <si>
    <t>https://pbs.twimg.com/media/Eu6TLsqXAAECU9h.png</t>
  </si>
  <si>
    <t>"Any sufficiently advanced technology is indistinguishable from magic." Check out the Magician's Corner!  #MachineLearning #DeepLearning #Radiomics</t>
  </si>
  <si>
    <t>https://pubs.rsna.org/page/ai/magicians_corner</t>
  </si>
  <si>
    <t>https://pbs.twimg.com/media/Eu6TJXOVEAMgg-3.png</t>
  </si>
  <si>
    <t>This is #illusion by #drawing. #DEVCommunity #Programming #IoT #IoTPL #AI #100DaysOfCode #MachineLearning #Airdrop #CloudComputing #Analytics #Serverless #cybersecurity #ArtificialIntelligence #DataScience #5G #Engineering #innovation #Pencildrawing #ArtistOnTwitter #art RT @miya_drawing: とりあえず動画を見てくれ</t>
  </si>
  <si>
    <t>https://twitter.com/miya_drawing/status/1360522183529754627</t>
  </si>
  <si>
    <t>pic.twitter.com/rdpN1lJhKf</t>
  </si>
  <si>
    <t>Africa Data School</t>
  </si>
  <si>
    <t>How do I get started in Machine learning? #ArtificialIntelligence #MachineLearning #DataScience</t>
  </si>
  <si>
    <t>https://pbs.twimg.com/media/Eu6TBthXUAADA3i.jpg</t>
  </si>
  <si>
    <t>Intensive training for a career in artificial intelligence and machine learning.</t>
  </si>
  <si>
    <t>https://africadataschool.com/</t>
  </si>
  <si>
    <t>Bharti RajPurohit</t>
  </si>
  <si>
    <t>Top #Python Libraries for Machine Learning in 2021 👉#TensorFlow 👉#NumPy 👉#SciPy 👉#Scikitlearn 👉#Keras #pandas #MachineLearning #programming #technology #100daysofcodechallenge @BacancyTech</t>
  </si>
  <si>
    <t>https://www.bacancytechnology.com/blog/python-libraries-for-machine-learning</t>
  </si>
  <si>
    <t>Chasing the Dream! Writer at @thestartup_ @javarevisited @JS_PlainEnglish @frontendweekly1 @QuickCode17 @DevTechToday</t>
  </si>
  <si>
    <t>A Brief History of Artificial Intelligence  #artificialintelligence, #datascience, #datascience #ds, #machinelearning</t>
  </si>
  <si>
    <t>https://bit.ly/2P4YKPt</t>
  </si>
  <si>
    <t>Prashanth N S</t>
  </si>
  <si>
    <t>Watch our video on Kubernetes Devspace cloud-native usages :  #Kubernetes #Master #CICD #BigData #MachineLearning #rstats #DataScience #cybersecurity #100DaysOfCode #ArtificialIntelligence #Analytics #cloud</t>
  </si>
  <si>
    <t>https://youtu.be/q_ohzm8OcQ0</t>
  </si>
  <si>
    <t>Project Lead and interested in #WildlifePhotographer</t>
  </si>
  <si>
    <t>20 Most Frequently Asked Google Interview Questions!  . . . . . #BigData #Analytics #DataScience #DeepLearning #MachineLearning #IoT #Python #RStats #JavaScript #ReactJS #GoLang #Serverless #Linux #Programming #Coding #100DaysOfCode</t>
  </si>
  <si>
    <t>https://www.programming-hero.com/blog/20-most-frequently-asked-google-interview-questions.html</t>
  </si>
  <si>
    <t>https://pbs.twimg.com/media/Eo3VdaDU8AMYtFa.jpg</t>
  </si>
  <si>
    <t>The Simplest Path To Become A Successful Software Engineer!  . . . . . #BigData #Analytics #DataScience #DeepLearning #MachineLearning #IoT #Python #JavaScript #ReactJS #GoLang #Serverless #Linux #Programming #Coding #100DaysOfCode</t>
  </si>
  <si>
    <t>https://www.programming-hero.com/blog/the-simplest-path-to-become-a-successful-software-engineer-or-developer-in-2021.html</t>
  </si>
  <si>
    <t>https://pbs.twimg.com/media/EsW_MOHW4AAEh8h.jpg</t>
  </si>
  <si>
    <t>Role of Artificial Intelligence in Financial Fraud Detection #Learning #artificialintelligence #machinelearning via</t>
  </si>
  <si>
    <t>http://twinybots.ch
https://shuftipro.com/blog/role-artificial-intelligence-future-financial-fraud-detection</t>
  </si>
  <si>
    <t>Get Actionable Data with AI-based Tools for Natural Questions - Coruzant Technologies  #AI #NLP #NLQA #MachineLearning #PredictiveModeling #BigData #NaturalLanguage #Search #Index #Coruzant #MindBreeze #CTO @Mindbreeze</t>
  </si>
  <si>
    <t>https://buff.ly/3tPdLEK</t>
  </si>
  <si>
    <t>Web Development From Scratch!  . . . . . #BigData #Analytics #DataScience #DeepLearning #MachineLearning #IoT #Python #RStats #JavaScript #ReactJS #GoLang #Serverless #Linux #Programming #Coding #100DaysOfCode</t>
  </si>
  <si>
    <t>https://www.programming-hero.com/blog/web-development-from-scratch.html</t>
  </si>
  <si>
    <t>https://pbs.twimg.com/media/EnG4zDIVEAAH2qR.jpg</t>
  </si>
  <si>
    <t>Learn And Master Python In A Month! 😊  . . . . . #BigData #Analytics #DataScience #DeepLearning #MachineLearning #IoT #Python #RStats #JavaScript #ReactJS #GoLang #Serverless #Linux #Programming #Coding #100DaysOfCode</t>
  </si>
  <si>
    <t>https://www.programming-hero.com/blog/Learn-and-Master-Python-in-a-Month.html</t>
  </si>
  <si>
    <t>https://pbs.twimg.com/media/EnAQSQlXIAsOmyQ.jpg</t>
  </si>
  <si>
    <t>Want to be a Hacker?  . . . . . #BigData #Analytics #DataScience #DeepLearning #MachineLearning #IoT #Python #RStats #JavaScript #ReactJS #GoLang #Serverless #Linux #Programming #Coding #100DaysOfCode #kids #Youtube</t>
  </si>
  <si>
    <t>https://www.programming-hero.com/blog/10-steps-to-become-a-hacker.html</t>
  </si>
  <si>
    <t>https://pbs.twimg.com/media/Esk-HokXIAAkIqH.jpg</t>
  </si>
  <si>
    <t>Davide Cirillo</t>
  </si>
  <si>
    <t>How about #AI and #PersonalisedMedicine? 🤔 The #ComputationalBiology group @BSC_CNS is hiring! 📣 Apply today for a #postdoc position in our lab!! 😀  #postdocjobs #Bioinformatics #MachineLearning #HPC #Simulations #StructuralBiology #Genomics</t>
  </si>
  <si>
    <t>https://www.bsc.es/join-us/job-opportunities/1621lscbr2</t>
  </si>
  <si>
    <t>https://pbs.twimg.com/media/Eu6P8PTWYAEs6gl.jpg</t>
  </si>
  <si>
    <t>postdoc in Comp Biol @BSC_CNS | multilayering the universe | real pages no ebooks | pizza interval workout</t>
  </si>
  <si>
    <t>20 Python Tips And Tricks For New Python Developers!  . . . . . #BigData #Analytics #DataScience #DeepLearning #MachineLearning #IoT #Python #RStats #JavaScript #ReactJS #GoLang #Serverless #Linux #Programming #Coding #100DaysOfCode</t>
  </si>
  <si>
    <t>https://www.programming-hero.com/blog/20-python-tips-and-tricks-for-new-python-developers.html</t>
  </si>
  <si>
    <t>https://pbs.twimg.com/media/EmYQI_WUcAACBVE.jpg</t>
  </si>
  <si>
    <t>Four Predictions For Artificial Intelligence And Machine Learning In 2021  #MachineLearning #ArtificialIntelligence</t>
  </si>
  <si>
    <t>https://www.forbes.com/sites/evansparks/2021/02/10/four-predictions-for-artificial-intelligence-and-machine-learning-in-2021/</t>
  </si>
  <si>
    <t>ComputerWorld España</t>
  </si>
  <si>
    <t>Sergio Bravo: "En @Bitdefender llevamos años trabajando con tecnologías pioneras como el inspector de procesos y algoritmos de #MachineLearning, para ofrecer una protección integral para estaciones de trabajo y servidores". #IDGSeguridadTIC</t>
  </si>
  <si>
    <t>https://pbs.twimg.com/media/Eu6Rd60XYAE3XYO.png</t>
  </si>
  <si>
    <t>ComputerWorld es la publicación líder en el sector de las Tecnologías de la Información y las Comunicaciones. Computerworld está editada por IDG Communications</t>
  </si>
  <si>
    <t>http://www.computerworld.es</t>
  </si>
  <si>
    <t>AWS User Group São Paulo</t>
  </si>
  <si>
    <t>Quer saber mais sobre deploy de machine learning na @awscloud? O @AdelmoFilho42 e @rjeks2 acabaram de lançar o primeiro post da serie. AWS Lambda Containers + Machine Learning  #MLOps #MachineLearning #AWS #lambda #containers</t>
  </si>
  <si>
    <t>https://cloud-atlas-br.github.io/2021-02-20-ml-discovery-s1e1/</t>
  </si>
  <si>
    <t>São Paulo's premiere AWS user group community! Not run by Amazon or AWS.</t>
  </si>
  <si>
    <t>http://www.awsugsp.com/</t>
  </si>
  <si>
    <t>Robots are becoming much more ubiquitous. This panel discussion explores how listening robots are set to supercharge human efforts. #SASchat #Robotics #ArtificialIntelligence #AI #DataScience #100DaysOfCode #Python #MachineLearning #BigData #DeepLearning</t>
  </si>
  <si>
    <t>https://bit.ly/37X1rt5</t>
  </si>
  <si>
    <t>https://pbs.twimg.com/media/Eu6RT7yUUAA1uoH.png</t>
  </si>
  <si>
    <t>PanData Tech LLC</t>
  </si>
  <si>
    <t>🤓 QUALITATIVE VS QUANTITATIVE DATA... ⬇️⬇️⬇️  #qualitativedata #quantitativedata #machinelearning #dataanalytics #analytics #technology #tech #datascientists #datascience #ai #artificialintelligence #tech #Technology</t>
  </si>
  <si>
    <t>https://www.instagram.com/p/CLolDfiHsQ2/</t>
  </si>
  <si>
    <t>https://pbs.twimg.com/media/Eu6RLyLXcAISl_I.jpg</t>
  </si>
  <si>
    <t>Doha, Qatar</t>
  </si>
  <si>
    <t>Specialized in Differential Technologies based on Big Data, Natural Language Processing and Machine Learning.</t>
  </si>
  <si>
    <t>http://www.pandata.qa/</t>
  </si>
  <si>
    <t>Data Science, Machine Learning and AI, Learnbay</t>
  </si>
  <si>
    <t>A trigger is a #database object that is attached to a table. Triggers are often referred to as a “special kind of stored procedure”. To learn more about Triggers watch this video-  #datascience #machinelearning #python</t>
  </si>
  <si>
    <t>https://www.youtube.com/watch?v=7yqt2aK6MzQ&amp;feature=youtu.be</t>
  </si>
  <si>
    <t>Data Science Certification Course Co-Developed With IBM</t>
  </si>
  <si>
    <t>http://www.learnbay.co</t>
  </si>
  <si>
    <t>We need to talk about Artificial Intelligence #Learning #deeplearning #machinelearning via</t>
  </si>
  <si>
    <t>We are all the scatman #Learning #deeplearning #machinelearning via</t>
  </si>
  <si>
    <t>http://twinybots.ch
https://www.reddit.com/r/MediaSynthesis/comments/lo8ggo/we_are_all_the_scatman/</t>
  </si>
  <si>
    <t>Intellegens &amp; Ansys Partner to Empower #3DPrinting with #DeepLearning #DL #Algorithm #ML #MachineLearning #DeepNeuralNetworks #DNNs #Data #Tech #Technology @lkafle @IrenaTadic1 @ianrowan29 @chipro @mblondel_ml @SourabhSKatoch</t>
  </si>
  <si>
    <t>http://ow.ly/5hAP30rxYrF</t>
  </si>
  <si>
    <t>segmentive.ai</t>
  </si>
  <si>
    <t>"Computer Vision is on the edge of emerging as a game-changer in AI.” @Electrifai has now published 58 machine learning models, using #ComputerVision and #MachineLearning to simplify the process of building new applications and tools</t>
  </si>
  <si>
    <t>http://ow.ly/JmxQ50DGlch</t>
  </si>
  <si>
    <t>https://pbs.twimg.com/media/Eu6Q3uGXIAEaEuu.jpg</t>
  </si>
  <si>
    <t>Berlin</t>
  </si>
  <si>
    <t>Segmentive is an innovative video segmentation technology for mobile devices</t>
  </si>
  <si>
    <t>http://www.segmentive.ai</t>
  </si>
  <si>
    <t>Machine Learning Chip Market Size, Competitive Landscape, Regional Outlook and COVID-19 Impact Analysis 2020 - NY Market Reports  #machinelearning #ai #technology</t>
  </si>
  <si>
    <t>http://dlvr.it/RtJNFC</t>
  </si>
  <si>
    <t>Dr. Craig Brown</t>
  </si>
  <si>
    <t>Huawei and Industry Partners Jointly Release 5GDN Architecture White Paper: The 5G Deterministic Networking (5GDN) Session took place today at MWC Shanghai…  #HuaweiUSA #5GGearUp #HWMBBF #AR #WirelessIntelligence #SmartIndustry #Huawei #MachineLearning</t>
  </si>
  <si>
    <t>http://www.huawei.com/en/news/2021/2/5gdn-architecture-whitepaper-released?utm_source=dlvr.it&amp;utm_medium=twitter</t>
  </si>
  <si>
    <t>https://pbs.twimg.com/media/Eu6QvW7UcAoRjws.jpg</t>
  </si>
  <si>
    <t>#Technology &amp; #Business #Consultant (#techpreneur), #Dad, #Entrepreneur, #STEM, #Philanthropist, #CancerSurvivor + #BigData #SME http://www.craigbrownphd.com</t>
  </si>
  <si>
    <t>https://www.linkedin.com/in/craigbrownphd</t>
  </si>
  <si>
    <t>शिव ज्योति इंसानों के मस्तक में होती है आकार स्वम्भू शिवलिंग जैसा होता है। इसका प्रकाश कम ज्यादा होता है कृष्ण व कृश्नांश तत्व के संतुलन से #kongelniyla technology of #AI #DataScientist #MachineLearning #embedded #DataAnalytics</t>
  </si>
  <si>
    <t>https://pbs.twimg.com/media/Eu6QrmPVkAgxlwb.jpg</t>
  </si>
  <si>
    <t>What is Data mining? #DataScience #ArtificialIntelligence #MachineLearning</t>
  </si>
  <si>
    <t>https://pbs.twimg.com/media/Eu6Qnf1XAAENgTd.jpg</t>
  </si>
  <si>
    <t>Tanguy Le Roux</t>
  </si>
  <si>
    <t>Happy to see @HclSoftware sponsoring the EMEA Virtual #Cybersecurity Summit #hclswlobp #nocode #lowcode #javascript #github #nodejs #cybersecurity #devops #100DaysOfCode #datascience #ai #bot #codenewbie #iot #machinelearning #Python #Serverless #flutter</t>
  </si>
  <si>
    <t>https://via.socxo.net/m5NjSmzFvKpu3</t>
  </si>
  <si>
    <t>🇨🇵🇺🇲🇹🇼 #IT enthusiasts and #AI lover 🤖 Expert in #cybersecurity, #Marketing, #collaboration &amp; #CX Business Partner Manager for an Indian software company</t>
  </si>
  <si>
    <t>Fintech and AI</t>
  </si>
  <si>
    <t>🥁 February 26, 10 AM Short course - Pricing Kernels in Option Pricing by Dr. Maria Grith 👇To attend it:  #AI #FinTech #Finance #WomenWhoCode #WomenInSTEM #WomenInFinance #MachineLearning #Econometrics</t>
  </si>
  <si>
    <t>https://www.meetup.com/Fintech_AI_in_Finance/events/276536449/?isFirstPublish=true</t>
  </si>
  <si>
    <t>https://pbs.twimg.com/media/Eu6QDbXXYAAKhDb.jpg</t>
  </si>
  <si>
    <t>This is the official account for COST FinAI #Fintech #Finance #AI #BigData</t>
  </si>
  <si>
    <t>http://fin-ai.eu</t>
  </si>
  <si>
    <t>Nigeria Abroad</t>
  </si>
  <si>
    <t>How do you even react to this?😂😂 #MachineLearning #nigeriabroad #nigeriaabroad #Nigeria</t>
  </si>
  <si>
    <t>pic.twitter.com/I9Cf0k6ihw</t>
  </si>
  <si>
    <t>New Account of Nigeria Abroad. Online magazine reporting stories about Nigerians all over the world and building a worldwide community of Nigerians.</t>
  </si>
  <si>
    <t>http://www.nigeriabroad.com</t>
  </si>
  <si>
    <t>Artificial Intelligence Kernel</t>
  </si>
  <si>
    <t>Intelligent #visual #surveillance improves conventional passive #surveillance systems through automated object recognition and #tracking, scene interpretation and indexing/retrieval of visual events. @AI___Kernel #AI #artificialintelligence #MachineLearning #security #safety</t>
  </si>
  <si>
    <t>pic.twitter.com/QXFjNNdMhX</t>
  </si>
  <si>
    <t>AI Kernel is an AI company based in Montreal. Our mission is to help companies build the best AI solutions to their business.</t>
  </si>
  <si>
    <t>http://ai-kernel.com</t>
  </si>
  <si>
    <t>Louis (What's AI) Bouchard</t>
  </si>
  <si>
    <t>It doesn't always do as we expect 😅 #ai #ArtificialIntelligence #MachineLearning #tts #deeplearning</t>
  </si>
  <si>
    <t>https://pbs.twimg.com/media/Eu6QBRzWQAkfB2O.jpg</t>
  </si>
  <si>
    <t>whats.ai.contact@gmail.com</t>
  </si>
  <si>
    <t>Just a Montrealer doing his best to explain #ArtificialIntelligence terms &amp; news to everyone on Medium and YouTube!🤖 #AI #machinelearning #deeplearning #Ethics</t>
  </si>
  <si>
    <t>https://www.omologapps.com/whats-ai</t>
  </si>
  <si>
    <t>🥁 February 25, 10 AM Short course - Generative Adversarial Networks by Prof. Yang WANG Link to attend it👇  #Networks #AI #FinTech #MachineLearning #Econometrics</t>
  </si>
  <si>
    <t>https://www.meetup.com/Fintech_AI_in_Finance/events/276536219/</t>
  </si>
  <si>
    <t>https://pbs.twimg.com/media/Eu6Pca7WQAAxk0v.jpg</t>
  </si>
  <si>
    <t>[R] DeepMind and University College London Introduce Alchemy, A Novel Open-Source Benchmark For Meta-Reinforcement learning (RL) Research  via @weballergy</t>
  </si>
  <si>
    <t>https://buff.ly/3sgKb9K</t>
  </si>
  <si>
    <t>AR portal to Mars! #AI #MachineLearning #AR #mars2021 @EvanKirstel @SpirosMargaris @DeepLearn007 @PawlowskiMario @mvollmer1 @gvalan @ipfconline1 @ShiCooks @diioannid @dinisguarda @kalydeoo @Ym78200 @Nicochan33 @chboursin @3itcom @Fabriziobustama @rwang0</t>
  </si>
  <si>
    <t>pic.twitter.com/nEmPmWGDGW</t>
  </si>
  <si>
    <t>#Continental Invests in the Future of #Chips for #AutonomousVehicles  #SelfDrivingCars #AI #IoT #5G #selfdriving #autonomous #Robotics #driverless #driverlesscars #startups #startup #Robot #MachineLearning #BigData #SmartCity #Travel #tech #mobility</t>
  </si>
  <si>
    <t>https://www.continental.com/en/press/press-releases/invest-in-recogni-247604</t>
  </si>
  <si>
    <t>https://pbs.twimg.com/media/Eu6PvRNWYAMKs6A.jpg</t>
  </si>
  <si>
    <t>Asterism Infosoft</t>
  </si>
  <si>
    <t>Created a design for a cab/taxi application. Do comment you reviews on design. #designer #development #uiux #uxdesign #design #DEVCommunity #Wednesdayvibe #webdesign #Website #MachineLearning #Growth #wednesdaythought</t>
  </si>
  <si>
    <t>https://pbs.twimg.com/media/Eu6PiwgVoAY1vit.jpg</t>
  </si>
  <si>
    <t>Mobile app Development Company. Having a Expertise on Similar app Development like Uber, Tinder, AirBNB #100daysofcode #MobileAppDevelopment</t>
  </si>
  <si>
    <t>https://asterisminfosoft.com/</t>
  </si>
  <si>
    <t>Top Things to Look for in a Modern-Day Operational Intelligence System - Coruzant Technologies  #EmergingTech #OpsIntel #OperationalIntelligence #AI #MachineLearning #BusinessTransformation #DigitalTransformation #Coruzant #OpsVeda @OpsVeda</t>
  </si>
  <si>
    <t>https://buff.ly/3s8UpsN</t>
  </si>
  <si>
    <t>Machine Learning: Science and Technology</t>
  </si>
  <si>
    <t>Compressing deep #neuralnetworks on FPGAs to binary and ternary precision with #HLS4ML' by @xmpierinix @jmgduarte @giuseppe_gdg et al @CERN @MIT_Physics @Fermilab @hawkeye360 hits 500 downloads! #Openaccess at  #LHC #deeplearning #MachineLearning #bigdata</t>
  </si>
  <si>
    <t>https://bit.ly/2JPgonC</t>
  </si>
  <si>
    <t>https://pbs.twimg.com/media/Eu6PYAuXIAULwUr.png</t>
  </si>
  <si>
    <t>Bristol, UK</t>
  </si>
  <si>
    <t>A multidisciplinary, #openaccess journal devoted to the application and development of #machinelearning for the sciences. Published by @IOPPublishing.</t>
  </si>
  <si>
    <t>https://iopscience.org/mlst</t>
  </si>
  <si>
    <t>Brainsonfire</t>
  </si>
  <si>
    <t>I have that AI Sydney rain prediction project on going. 79% accuracy for year 2020 🥰 #AI #ArtificialIntelligence #MachineLearning #Deeplearning #DataScience #Sydney #KangarooAI</t>
  </si>
  <si>
    <t>https://pbs.twimg.com/media/Eu6PLiPXEAAfwk0.jpg</t>
  </si>
  <si>
    <t>Neuro divergent human 🦓🦋</t>
  </si>
  <si>
    <t>Flexgigzz</t>
  </si>
  <si>
    <t>Want to be a freelancer in #AI ? check this steps #ArtificialIntelligence #MachineLearning #DeepLearning #python #C #DataScience #100DaysOfPython #career #freelancer #tuesdaymotivations</t>
  </si>
  <si>
    <t>https://www.flexgigzz.com/globalupdates/lifestyles/how-to-become-a-freelance-artificial-intelligence-engineer/</t>
  </si>
  <si>
    <t>Official Flexgigzz account. Flexgigzz is a Freelance Website where freelancers and companies connect. Follow us for Remote Freelance Job Vacancies &amp; Tips</t>
  </si>
  <si>
    <t>https://www.flexgigzz.com/</t>
  </si>
  <si>
    <t>Big Data Hadoop Interview Questions and Answers  #machinelearning #ad</t>
  </si>
  <si>
    <t>https://zpy.io/17556f54</t>
  </si>
  <si>
    <t>career-science</t>
  </si>
  <si>
    <t>Looking forward to attending AWS Innovate – AI &amp; Machine Learning Edition tomorrow, Sessions on bias in models look particularly interesting. Anyone else "attending"? #AWSInnovate #artificialintelligence #AI #ML #machinelearning #talenting #recruitment</t>
  </si>
  <si>
    <t>https://pbs.twimg.com/media/Eu6OlLJXcAAwl-9.jpg</t>
  </si>
  <si>
    <t>Manchester</t>
  </si>
  <si>
    <t>#AI #MachineLearning #IoT #5G @AlbertoEMachado @SpirosMargaris @DeepLearn007 @PawlowskiMario @mvollmer1 @gvalan @ipfconline1 @ShiCooks @diioannid @helene_wpli @sallyeaves @Ym78200 @kalydeoo @Nicochan33 @chboursin @rwang0 RT @jblefevre60: Count everything with this app! #AI #MachineLearning #IoT #5G @AlbertoEMachado @SpirosMargaris @DeepLearn007 @PawlowskiMario @mvollmer1 @gvalan @ipfconline1 @ShiCooks @diioannid @helene_wpli @sallyeaves @Ym78200 @kalydeoo @Nicochan33 @chboursin @rwang0</t>
  </si>
  <si>
    <t>https://twitter.com/jblefevre60/status/1361218241952120833</t>
  </si>
  <si>
    <t>pic.twitter.com/Oh2vSLdSMJ</t>
  </si>
  <si>
    <t>Natural evolution strategies and variational Monte Carlo' by @gppcarleo @james27182 Tianchen Zhao and Shravan Veerapaneni @EPFL_en @FlatironInst @SimonsFdn @UMich @FlatironCCQ hits 500 downloads! #Openaccess at  #quantum #MachineLearning #algorithms</t>
  </si>
  <si>
    <t>https://bit.ly/384aZTq</t>
  </si>
  <si>
    <t>https://pbs.twimg.com/media/Eu6ORihXUAEdSX-.png</t>
  </si>
  <si>
    <t>Syeda Sheraj Ali</t>
  </si>
  <si>
    <t>Machine Learning ‘On the Rocks.’ - Whiskey Dataset. #BigData #Analytics #DataScience #AI #MachineLearning #IoT #IIoT #Python #RStats #TensorFlow #JavaScript #ReactJS #CloudComputing #Serverless #DataScientist #Linux #Programming #Coding #100DaysofCode #AR</t>
  </si>
  <si>
    <t>http://bit.ly/2OZ7WER</t>
  </si>
  <si>
    <t>25 AQUARIUS | TORONTONIAN GIRL | CHEF | TRAVELLER | HOSPITALITY | UOFT | DIGITAL MARKETING |LIBERAL by BLOOD|</t>
  </si>
  <si>
    <t>SAP High Tech</t>
  </si>
  <si>
    <t>How can predictive maintenance help businesses better manage asset health? Learn about the combined power of #machinelearning and engineering simulations enabled by SAP Predictive Asset Insights</t>
  </si>
  <si>
    <t>http://sap.to/6013Himy5</t>
  </si>
  <si>
    <t>https://pbs.twimg.com/media/Eu6OGwGWQAMLGyf.jpg</t>
  </si>
  <si>
    <t>Connect with the latest news around #SAP #Cloud, #Mobile, #BigData, #IoT &amp; all things #HighTech. SAP privacy statement for followers: http://www.sap.com/sps</t>
  </si>
  <si>
    <t>http://scn.sap.com/community/high-tech</t>
  </si>
  <si>
    <t>Remote Sensing MDPI</t>
  </si>
  <si>
    <t>Assessment of Native #Radar Reflectivity and Radar Rainfall Estimates for #Discharge #forecasting in #mountain Catchments with a Random Forest #model by Johanna Orellana-Alvear, Rolando Célleri et al 👉 #remotesensing #MachineLearning</t>
  </si>
  <si>
    <t>https://www.mdpi.com/2072-4292/12/12/1986/htm</t>
  </si>
  <si>
    <t>https://pbs.twimg.com/media/Eu6N1tbUYAc-byM.jpg</t>
  </si>
  <si>
    <t>No. 1 #remotesensing #openaccess journal in Remote Sensing Category in #WoS, published by @MDPIOpenAccess; IF 2019 4.509; CiteScore 2019 6.1; #mdpiremotesensing</t>
  </si>
  <si>
    <t>http://www.mdpi.com/journal/remotesensing</t>
  </si>
  <si>
    <t>Jose Miguel Cacho</t>
  </si>
  <si>
    <t>Varias investigaciones sugieren que el #aprendizajeautomático puede mejorar el tratamiento de la #diabetes Diabetes Meets Machine Learning, Part 1  #MachineLearning by @jhalamka</t>
  </si>
  <si>
    <t>http://geekdoctor.blogspot.com/2021/02/diabetes-meets-machine-learning-part-1.html</t>
  </si>
  <si>
    <t>En @CuraeSalud Educación en #SaludDigital http://curaesalud.com/cursos-en-salud | #DigitalHealth | #eHealth | #eSalud | Artículos en http://curaesalud.com/#latestnews</t>
  </si>
  <si>
    <t>http://www.linkedin.com/in/josemiguelcacho</t>
  </si>
  <si>
    <t>An Introduction to #DataScience and #MachineLearning with Microsoft Excel. #BigData #Analytics #AI #IoT #IIoT #Python #RStats #TensorFlow #Java #JavaScript #ReactJS #CloudComputing #Serverless #DataScientist #Linux #Programming #Coding #100DaysofCode #AR</t>
  </si>
  <si>
    <t>http://bit.ly/3pxilVr</t>
  </si>
  <si>
    <t>Verify Recruitment</t>
  </si>
  <si>
    <t>The idea behind @wildlifestudios was simply to make games that people love. Want to be a part of that? Check out our open roles in Dublin on our @NewJobRadio #podcast #datascience #jobfairy #machinelearning #dublin #opportunity</t>
  </si>
  <si>
    <t>https://bit.ly/3eUdJEJ</t>
  </si>
  <si>
    <t>Re-thinking the recruitment process! Home of #AdaLovelaceInitiative, #NewJobRadio and #Otia. Recruitment insights, tech news, and community updates.</t>
  </si>
  <si>
    <t>http://www.verifyrecruitment.com</t>
  </si>
  <si>
    <t>StreamAnalytix</t>
  </si>
  <si>
    <t>Interested in building and running #Spark applications rapidly through a low-code approach? Read this white paper to learn more -  #ApacheSpark #Analytics #LowCode #MachineLearning</t>
  </si>
  <si>
    <t>https://bit.ly/2tJIKEG</t>
  </si>
  <si>
    <t>https://pbs.twimg.com/media/Eu6Nt8xXcAETIru.jpg</t>
  </si>
  <si>
    <t>An enterprise-grade, visual, #BigDataAnalytics platform for unified streaming and batch data processing based on best-of-breed open source technologies #BigData</t>
  </si>
  <si>
    <t>http://streamanalytix.com/</t>
  </si>
  <si>
    <t>Sang Lee</t>
  </si>
  <si>
    <t>#Microsoft #Word is getting #text predictions next month: Word’s new feature is similar to #Google Docs  #GoogleDocs #predictiveText #tech #AI #artificialIntelligence #machineLearning #bigData</t>
  </si>
  <si>
    <t>https://www.theverge.com/2021/2/22/22295043/microsoft-word-text-predictions-feature-march-release-date</t>
  </si>
  <si>
    <t>Seoul</t>
  </si>
  <si>
    <t>Blogger for a data security firm. News junkie. Amateur photographer. Polyglot.</t>
  </si>
  <si>
    <t>http://www.alertboot.com/</t>
  </si>
  <si>
    <t>BigML</t>
  </si>
  <si>
    <t>Prediction Explanation: Adding #Transparency to #MachineLearning. Learn what it means for a #prediction to be explainable, why this is important, and see a #UseCase in which prediction explanation plays a key role.  #BigML #WhiteBox</t>
  </si>
  <si>
    <t>https://blog.bigml.com/2018/05/01/prediction-explanation-adding-transparency-to-machine-learning/</t>
  </si>
  <si>
    <t>Corvallis, OR</t>
  </si>
  <si>
    <t>Machine Learning made beautifully simple. A company-wide platform that runs in any cloud or on-premises to operationalize Machine Learning in your organization.</t>
  </si>
  <si>
    <t>http://bigml.com</t>
  </si>
  <si>
    <t>Do Deep Neural Networks Outperform Kernel Regression. #BigData #Analytics #DataScience #AI #MachineLearning #IoT #IIoT #Python #RStats #TensorFlow #JavaScript #ReactJS #CloudComputing #Serverless #DataScientist #Linux #Programming #Coding #100DaysofCode</t>
  </si>
  <si>
    <t>http://bit.ly/37zMzR5</t>
  </si>
  <si>
    <t>Edge AI development kit for computer vision on a microcontroller  #DL #AI #ML #DeepLearning #ArtificialIntelligence #MachineLearning #ComputerVision #AutonomousVehicles #NeuroMorphic #Robotics</t>
  </si>
  <si>
    <t>https://buff.ly/2NnHzs1</t>
  </si>
  <si>
    <t>AtticScientist</t>
  </si>
  <si>
    <t>We Don’t Need Data Scientists, We Need Data Engineers - KDnuggets #ml #data #machinelearning #machine</t>
  </si>
  <si>
    <t>https://www.kdnuggets.com/?p=122763</t>
  </si>
  <si>
    <t>127.0.0.1</t>
  </si>
  <si>
    <t>Curious mind interested in AI, Data Science, Productivity and Programming.</t>
  </si>
  <si>
    <t>https://www.youtube.com/channel/UCsIEOS0xrU7jUmQ_5l8m-RA</t>
  </si>
  <si>
    <t>Juan Fernández</t>
  </si>
  <si>
    <t>#MachineLearning has a tremendous potential. However, #algorithms are not infalible and must perform in an increasingly complex world. Organizations must be aware of potential #risks and take a proactive approach (from the top) to manage them #AI</t>
  </si>
  <si>
    <t>https://buff.ly/3pGN9mi</t>
  </si>
  <si>
    <t>https://pbs.twimg.com/media/Eu6NfckWgAUBAYq.jpg</t>
  </si>
  <si>
    <t>Managing Director. Passionate about applying #digital technology to advance society. #DigitalTransformation expert. #DataScience advocate</t>
  </si>
  <si>
    <t>https://www.linkedin.com/in/juanfdezortega</t>
  </si>
  <si>
    <t>IOT-WORX</t>
  </si>
  <si>
    <t>Really looking forward to seeing all the new #ArtificialIntelligence / #MachineLearning offerings from #AWS tomorrow</t>
  </si>
  <si>
    <t>http://ow.ly/Soxc50DGm2N</t>
  </si>
  <si>
    <t>Ennistymon, Co. Clare</t>
  </si>
  <si>
    <t>Digital Transformation and Industry 4.0 on AWS</t>
  </si>
  <si>
    <t>http://www.iot-worx.com</t>
  </si>
  <si>
    <t>Understanding the LSTM (Long Short-Term Memory) Architecture  v/ @AnalyticsVidhya #AI #MachineLearning #DeepLearning #DataScience Cc @DeepLearn007 @HaroldSinnott @Paula_Piccard @SpirosMargaris @andi_staub @jblefevre60</t>
  </si>
  <si>
    <t>https://buff.ly/3iwvTy5</t>
  </si>
  <si>
    <t>https://pbs.twimg.com/media/Eu6Nb3UXMAESNq-.png</t>
  </si>
  <si>
    <t>Anatomy education in #3D #AugmentedReality ▶️ #Analytics #AI #Rstats #Reactjs #MachineLearning #BigData #DataScience #Linux #Serverless #IoT #IIoT #flutter #DEVCommunity #WomenWhoCode #AR #VR #MR #RPA #FutureofWork #HealthTech #100DaysOfCode @futurism</t>
  </si>
  <si>
    <t>pic.twitter.com/Dbv48l8hru</t>
  </si>
  <si>
    <t>Erin Hill-Parks</t>
  </si>
  <si>
    <t>How to Apply Data Science Practically in Your Business. #Machinelearning #100DaysOfCode #IoT #Bigdata #100DaysOfMLCode #Python #cybersecurity #RStats #DataScience #DEVCommunity #RPA #artificialintelligence</t>
  </si>
  <si>
    <t>https://lnkd.in/e-zHzJT</t>
  </si>
  <si>
    <t>Analyst / Acquisitions Editor for Elsevier. Opinions are my own. Retweet not endorsement. She/Her</t>
  </si>
  <si>
    <t>http://Elsevier.com/books-and-journals</t>
  </si>
  <si>
    <t>How to control emotions when doing research "[D]"</t>
  </si>
  <si>
    <t>https://www.reddit.com/r/MachineLearning/comments/lqdzzo/how_to_control_emotions_when_doing_research_d/</t>
  </si>
  <si>
    <t>3 boyutlu yazıcıdan çıkarılmış bir jet motoru./A jet engine removed from a 3-D printer. #Robotics #technology #3Dprinting #MachineLearning #YapayZeka</t>
  </si>
  <si>
    <t>https://pbs.twimg.com/media/Eu4jdNAXUAQm1do.jpg</t>
  </si>
  <si>
    <t>Educación Financiera y Criptomonedas</t>
  </si>
  <si>
    <t>#Kuailian  9 meses  #PoS @kuailianprotoc1 #descentralizacion #blockchain #SmartContracts #crypto #TecnologiaPoS #PoStecnology #Masternodes #smartpool #ProofofStake #machinelearning #ethereum #dash #cryptocurrency #Criptomonedas #ETH</t>
  </si>
  <si>
    <t>http://bit.ly/38jeLq5
https://youtu.be/eTR81Xzmnqk</t>
  </si>
  <si>
    <t>https://ift.tt/3aIeP5Q</t>
  </si>
  <si>
    <t>IPS MEA</t>
  </si>
  <si>
    <t>"High Quality and Value Driven IBM Re-Engineered Laser Toners" #printingtechnology #printingservices #printingindustry #printingequipment #printinghouse #quality #machinelearning #automation #manufacturing #innovation #toners #tonercartridges</t>
  </si>
  <si>
    <t>https://pbs.twimg.com/media/Eu6NMe3XEAI-aO0.jpg</t>
  </si>
  <si>
    <t>UAE</t>
  </si>
  <si>
    <t>One Stop Solution For All Your Print Consumables An ISO 9001:2008 Certified Company for the supply of Print Consumables and Labels</t>
  </si>
  <si>
    <t>https://www.ipsmea.com/</t>
  </si>
  <si>
    <t>Big Data Campus</t>
  </si>
  <si>
    <t>"En un futuro cercano, la #inteligenciaartificial será parte del paisaje, de nuestro día a día" @mcamachoruiz nos cuenta las vicisitudes de la Inteligencia Artificial, el Machine Learning y el Deep Learning 👉🏽  #machinelearning #DeepLearning</t>
  </si>
  <si>
    <t>https://www.campusbigdata.com/big-data-blog/item/123-machine-deep-learning-e-inteligencia-artificial</t>
  </si>
  <si>
    <t>Online y semipresencial</t>
  </si>
  <si>
    <t>Discovering #BigData #BigDataAnalytics #DataScience #MachineLearning #BigDataDeportivo #BDTVirtual21 #BigDataTalent Sigue a @ENIIT_</t>
  </si>
  <si>
    <t>https://www.campusbigdata.com/</t>
  </si>
  <si>
    <t>Dr. Roy Hachache</t>
  </si>
  <si>
    <t>Deep fake videos are an emerging cybersecurity threat for #security professionals. Read how #MachineLearning will be part of the #VideoAnalytics defensive solution.</t>
  </si>
  <si>
    <t>https://tinyurl.com/y7g2jk8c</t>
  </si>
  <si>
    <t>https://pbs.twimg.com/media/Eu6M0f9XAAMjR1m.jpg</t>
  </si>
  <si>
    <t>Channel Business Manager at Milestone Systems PR Director and Founding Member | Lebanese IT Syndicate</t>
  </si>
  <si>
    <t>Comment your type.. #programming #Developer #MachineLearning #LearningWeNeed #wednesdaythought #motivational #Growth #entrepreneur #DigiByte</t>
  </si>
  <si>
    <t>https://pbs.twimg.com/media/Eu6MzsBVIAM95mQ.jpg</t>
  </si>
  <si>
    <t>Coreon</t>
  </si>
  <si>
    <t>A useful gateway to begin your #machinelearning journey!</t>
  </si>
  <si>
    <t>http://ow.ly/D4I250DHtDy</t>
  </si>
  <si>
    <t>Knowledge Meets Language. Visually explore and maintain large taxonomy and terminology data, and leverage this knowledge treasure via powerful semantic search</t>
  </si>
  <si>
    <t>http://www.coreon.com</t>
  </si>
  <si>
    <t>3 ways artificial intelligence in phone calls can transform your business - Telappliant VoIP Blog and News Read more here:  #ArtificialIntelligence #AI #DataScience #100DaysOfCode #Python #MachineLearning #BigData #DeepLearning #NLP #Robots #IoT</t>
  </si>
  <si>
    <t>https://ift.tt/37FLJ5k</t>
  </si>
  <si>
    <t>#MachineLearning for #cloud Detection of Globally Distributed #Sentinel-2 #images by Roberto Cilli, Alfonso Monaco, Nicola Amoroso, Andrea Tateo, Sabina Tangaro and Roberto Bellotti 👉 #remotesensing</t>
  </si>
  <si>
    <t>https://www.mdpi.com/2072-4292/12/15/2355/htm</t>
  </si>
  <si>
    <t>https://pbs.twimg.com/media/Eu6L7HAVcAIx0Vd.png</t>
  </si>
  <si>
    <t>Stefan Grosch</t>
  </si>
  <si>
    <t>https://google.smh.re/1vD</t>
  </si>
  <si>
    <t>Bayern, Deutschland</t>
  </si>
  <si>
    <t>https://de.linkedin.com/in/grosch</t>
  </si>
  <si>
    <t>Odia Kagan</t>
  </si>
  <si>
    <t>FTC Consent order Shines Light on the term Conspicuous​ and re-introduces the disgorgement remedy. #dataprivacy #dataprotection #privacylaws #enforcement #facialrecognition #machinelearning #AI  via @LinkedIn</t>
  </si>
  <si>
    <t>https://www.linkedin.com/pulse/ftc-consent-order-shines-light-term-conspicuous-odia</t>
  </si>
  <si>
    <t>Partner and Chair of GDPR Compliance and International Privacy at Fox Rothschild LLP</t>
  </si>
  <si>
    <t>Dave Lerner</t>
  </si>
  <si>
    <t>The Crazy World of Stonks, Explained 📈🌒  #machinelearning #ai #iot Cc: @MikeQuindazzi via VisualCap</t>
  </si>
  <si>
    <t>http://visualcapitalist.com/the-crazy-worl</t>
  </si>
  <si>
    <t>https://pbs.twimg.com/media/Eu6LaFsVkAED3EC.jpg</t>
  </si>
  <si>
    <t>Need to please + #EmergingTech fanatic + #FinTech #VC investor + #BigData devotee + #ML nut job + #AI for cognition + #MachineLearning ready #PaaS #IaaS</t>
  </si>
  <si>
    <t>https://twitter.com/MotorcycleTwitt</t>
  </si>
  <si>
    <t>#Shapash: Making #MachineLearning models understandable ⬇️ #ArtificialIntelligence #DeepLearning #DataScience #javascript #serverless #WomenInTech #100DaysOfCode #python #Linux #Flutter #TensorFlow #PyTorch #SQL #DigitalTransformation #IoT #NeuralNetwork #OpenSource RT @Strat_AI: Making #MachineLearning Models Understandable!  #100DaysOfCode #AI #Analytics #ArtificialIntelligence #DataViz #DataScience #DeepLearning #DigitalTransformation #Flutter #Innovation #IoT #JavaScript #NodeJS #Programming #Python #Tech #VR #WomenWhoCode</t>
  </si>
  <si>
    <t>https://twitter.com/strat_ai/status/1363956806012317696
http://bit.ly/3kbmZqH</t>
  </si>
  <si>
    <t>pic.twitter.com/VCOiflonEO</t>
  </si>
  <si>
    <t>LEARNING PATH: R: Complete Data Visualization with R  #machinelearning #ad</t>
  </si>
  <si>
    <t>https://zpy.io/3fd078dc</t>
  </si>
  <si>
    <t>Grafx It Solutions</t>
  </si>
  <si>
    <t>For Python Online and Classroom Training. Contact us now . . . . . . . . . #grafxitsolutions #python #pythonprogramming #pythoncourses #pythontraining #machinelearning #deeplearning #ai #python #coding #tech #automation #programmer #latesttechnology</t>
  </si>
  <si>
    <t>https://pbs.twimg.com/media/Eu6K4-GUUAMK9hX.jpg</t>
  </si>
  <si>
    <t>GIT is a certified training institute with its presence in and around Andhra Pradesh and Telangana. grafxdwarakanagar@gmail.com</t>
  </si>
  <si>
    <t>In which of the following cases will K-means clustering fail to give good results? 1) Data points with outliers 2) Data points with different densities 3) Data points with nonconvex shapes #Statistics #machinelearning #30daysofcode #python #CodeNewbie #serverless</t>
  </si>
  <si>
    <t>Metia Fintech</t>
  </si>
  <si>
    <t>.@BBVA has announced today that it will be the first bank in #EU to deploy @googlecloud's #securityanalytics platform - using #AI and #machinelearning to predict and prevent #cyberattacks. Read more: @finextra  #futureofbanking #banking #fintech</t>
  </si>
  <si>
    <t>https://bit.ly/3aKBGxA</t>
  </si>
  <si>
    <t>Obsessed with the convergence of banking, fintech and tech. We make fintechs famous using PR, social &amp; marketing.</t>
  </si>
  <si>
    <t>http://www.metia.com</t>
  </si>
  <si>
    <t>Ajay Ramaseshan</t>
  </si>
  <si>
    <t>@AnalyticsVidhya #littlethings that even experienced #DataScientists could ponder over #MachineLearning</t>
  </si>
  <si>
    <t>https://www.analyticsvidhya.com/blog/2020/10/10-questions-asked-data-science-beginner/</t>
  </si>
  <si>
    <t>Musician, Computer Engineer, Travel freak</t>
  </si>
  <si>
    <t>http://about.me/ajay_ramaseshan</t>
  </si>
  <si>
    <t>Unravelling Transfer Learning to Make Machines More Advanced  #MachineLearning #LatestNews</t>
  </si>
  <si>
    <t>John Francis De Leon</t>
  </si>
  <si>
    <t>#AI Facts Every Dev Should Know: #ArtificialIntelligence Is Older Than You, Probably #MachineLearning #DeepLearning #programming #DataScience #Robotics #Technology #Engineers</t>
  </si>
  <si>
    <t>https://liwaiwai.com/2021/02/09/ai-facts-every-dev-should-know-artificial-intelligence-is-older-than-you-probably/</t>
  </si>
  <si>
    <t>I can. Therefore ,I can?</t>
  </si>
  <si>
    <t>To Stop The #Machines Taking Over We Need To Think About Fuzzy Logic #MachineLearning #DeepLearning #AI #ArtificialIntelligence #DataScience #Robotics #Technology</t>
  </si>
  <si>
    <t>https://liwaiwai.com/2019/06/12/to-stop-the-machines-taking-over-we-need-to-think-about-fuzzy-logic/</t>
  </si>
  <si>
    <t>Advanced Materials In A Snap #MachineLearning #DeepLearning #AI #DataScience #Data #Technology</t>
  </si>
  <si>
    <t>https://liwaiwai.com/2021/02/10/advanced-materials-in-a-snap-machine-learning-could-lop-a-year-off-technology-design-cycle/</t>
  </si>
  <si>
    <t>How #ArtificialIntelligence Is Reshaping The IT Industry #MachineLearning #DeepLearning #AI #DataScience #Data #Technology #Science</t>
  </si>
  <si>
    <t>https://liwaiwai.com/2021/02/10/how-artificial-intelligence-is-reshaping-the-it-industry/</t>
  </si>
  <si>
    <t>#GoogleCloud AI Leaders Share Tips For Getting Started With #AI #ArtificialIntelligence @googlecloud #MachineLearning</t>
  </si>
  <si>
    <t>https://globalcloudplatforms.com/2021/02/10/google-cloud-ai-leaders-share-tips-for-getting-started-with-ai/</t>
  </si>
  <si>
    <t>NPR podcasts are now available to stream on Spotify outside of the US: #BigData #MachineLearning #AI #IoT cc: @motorcycletwitt</t>
  </si>
  <si>
    <t>https://www.engadget.com/spotify-npr-podcasts-global-streaming-110006310.html</t>
  </si>
  <si>
    <t>https://pbs.twimg.com/media/Eu6KO_cVkAUtp9e.jpg</t>
  </si>
  <si>
    <t>BrainKey</t>
  </si>
  <si>
    <t>Improve Your Brain with ! #BrainKey #brain #brainhealth #neuroscience #neurobiology #psychology #mentalhealth #mindfulness #brainscience #knowyourbrain #mriscan #scan #AI #machinelearning #brainpower #ideas #aging #chatMS #MS #longevity #Covid19 #healthy</t>
  </si>
  <si>
    <t>http://www.brainkey.ai/demo</t>
  </si>
  <si>
    <t>https://pbs.twimg.com/media/Eu6KKjjXMAECO0q.jpg</t>
  </si>
  <si>
    <t>Upload your brain MRI to BrainKey to unlock the mysteries of your brain through advanced 3D visualization and insights. Meet your brain today.</t>
  </si>
  <si>
    <t>http://brainkey.ai</t>
  </si>
  <si>
    <t>Get an Echo Dot Kids Edition and Echo Glow for $40 off - CNET: #BigData #MachineLearning #AI #IoT CC: @motorcycletwitt</t>
  </si>
  <si>
    <t>https://www.cnet.com/news/get-an-echo-dot-kids-edition-and-echo-glow-for-40-off/#ftag=CAD590a51e</t>
  </si>
  <si>
    <t>https://pbs.twimg.com/media/Eu6KGaqWgAYiBw0.jpg</t>
  </si>
  <si>
    <t>Machine Learning Toolbox #ArtificialIntelligence #Classification #ComputerVision #DecisionTree #Jupyter #Keras #MachineLearning #MachineTranslation #NaturalLanguageProcessing #NeuralNetworks #Python #Tensorflow #TexttoSpeech #Unsupervised</t>
  </si>
  <si>
    <t>https://ai-summary.com/summary-machine-learning-toolbox/?utm_medium=social-organic&amp;utm_source=twitter</t>
  </si>
  <si>
    <t>Check out our new #video released on Kubernetes Devspace cloud-native :  #Kubernetes #Master #CICD #BigData #MachineLearning #rstats #DataScience #cybersecurity #100DaysOfCode #ArtificialIntelligence #Analytics #cloud</t>
  </si>
  <si>
    <t>Adi Margin</t>
  </si>
  <si>
    <t>Do you want to solve super exciting AI / Computer Vision problems? And also run everything on a really big scale for a good purpose that matters? Then we are alike. Join us! We're hiring! Let's ride together! #machinelearning #dee…</t>
  </si>
  <si>
    <t>https://lnkd.in/emBvSMt
https://lnkd.in/eWmFnyR</t>
  </si>
  <si>
    <t>New year, new language #MachineLearning #learning via</t>
  </si>
  <si>
    <t>http://twinybots.ch
https://www.itproportal.com/features/new-year-new-language/</t>
  </si>
  <si>
    <t>Machine Learning Chip Market Size, Competitive Landscape, Regional Outlook and -  #machinelearning #intoAInews</t>
  </si>
  <si>
    <t>https://neurons.ai/blog/news-stories/machine-learning-chip-market-size-competitive-landscape-regional-outlook-and-covid-19-2/</t>
  </si>
  <si>
    <t>How insurers can unlock data-enabled business growth - How data and machine learning  #machinelearning #intoAInews</t>
  </si>
  <si>
    <t>https://neurons.ai/blog/news-stories/how-insurers-can-unlock-data-enabled-business-growth/</t>
  </si>
  <si>
    <t>ion Market Outlook 2020, Technology Development, Company … -  #machinelearning #intoAInews</t>
  </si>
  <si>
    <t>https://neurons.ai/blog/news-stories/machine-learning-in-communication-market-outlook-2020-technology-development-company/</t>
  </si>
  <si>
    <t>G Raghuram</t>
  </si>
  <si>
    <t>Done with the 15th course of 15 in the #MachineLearning with #R @DataCamp Richie Cotton did not waste time in small lecture videos, going straight to a well-structured workflow for wrangling data with #Spark (#sparklyr). The final section put it together with GBM/RF.</t>
  </si>
  <si>
    <t>https://pbs.twimg.com/media/Eu6IxhyVoAYwqIm.jpg</t>
  </si>
  <si>
    <t>Bengaluru South, India</t>
  </si>
  <si>
    <t>Figuring Stuff Out | Veteran | Theoretical Physicist | Engineer #MentalHealth #SZA #CPTSD [Alumnus: NDA/IMA | CME/MCTE | DoP, UoPune | IIM, Bangalore | QSSB]</t>
  </si>
  <si>
    <t>Jobhunt.ai</t>
  </si>
  <si>
    <t>Developer job: Machine Learning Engineer at Resemble AI [@resembleai] #RemoteWork 🇨🇦 #remote #machinelearning #ml</t>
  </si>
  <si>
    <t>https://Jobhunt.ai/machinelearning-ml-ai-job-mw-Remote-Machine-Learning-Engineer-Resemble-AI-remotework.html</t>
  </si>
  <si>
    <t>Machine learning, data science and AI related #jobs only. Created by @EdlinOrg.</t>
  </si>
  <si>
    <t>https://jobhunt.ai</t>
  </si>
  <si>
    <t>SLA Institute</t>
  </si>
  <si>
    <t>Start Your Career by Learning Online Artificial Intelligence Training Where: Online. For more info call us on: Call or Whatsapp: 91 88707 67784 #artificialintelligence #ai #machinelearning #technology #datascience #deeplearning #python #programming #robotics #coding #tech #data</t>
  </si>
  <si>
    <t>https://pbs.twimg.com/media/Eu6JHlsU4AMkILl.jpg</t>
  </si>
  <si>
    <t>KK Nagar, Chennai</t>
  </si>
  <si>
    <t>SLA is one of the Best Training Institutes in Chennai providing hands on training with Industry expert faculties in most happening, job oriented Place.</t>
  </si>
  <si>
    <t>https://www.slainstitute.com/</t>
  </si>
  <si>
    <t>Hadelin de Ponteves</t>
  </si>
  <si>
    <t>Hello, dears. Hope you are having a fantastic day! Here is how AR and VR could change the way we analyze Data, and the benefits of VR and AR in Data Visualization. #artificialintelligence #machinelearning #innovations #datascience #technology #trends</t>
  </si>
  <si>
    <t>https://cutt.ly/Klzmgwj</t>
  </si>
  <si>
    <t>Siva Sai</t>
  </si>
  <si>
    <t>Observational study on #Wearables #biosensors &amp; #MachineLearning -based remote monitoring of #Covid_19 #patients #DHPSP #MedTwitterAI #Wearable #scicomm #Science #research #AI #ArtificialIntelligence #MachineLearning #digitalhealth #DeepLearning #machine_learning #machinetools RT @_atanas_: Observational study on wearable biosensors and machine learning-based remote monitoring of COVID-19 patients #DHPSP #MedTwitterAI #Wearable</t>
  </si>
  <si>
    <t>https://twitter.com/_atanas_/status/1364175843648487424
https://www.nature.com/articles/s41598-021-82771-7</t>
  </si>
  <si>
    <t>tfcertification</t>
  </si>
  <si>
    <t>To prepare our students for challenges of both the industry and the Google certification exam, we have brought in an instructor who has excelled in both domains 🏆 #TensorFlow #MachineLearning #elearning #CareerGoals #DataScience #tech</t>
  </si>
  <si>
    <t>https://pbs.twimg.com/media/Eu6IMpaXEAEh_v5.jpg</t>
  </si>
  <si>
    <t>Hi! We are here to help you become a #TensorFlow Certified Professional #Developer👨‍💻 Enroll now and pass the exam, or we pay for your second exam attempt 🏆</t>
  </si>
  <si>
    <t>https://www.tfcertification.com/</t>
  </si>
  <si>
    <t>What an interesting #tech #ArtificialIntelligence #AI #DataScience #100DaysOfCode #Python #MachineLearning #BigData #DeepLearning #NLP #Robots #IoT #RPA RT @_TechMode: Nice work, @UW 😀 This cool ring 💍 lets you write with your finger gestures!✍️ WDYT @WearablesExpert? cc @NancyTr83158469 #Analytics #ML #AI #IoT #IIoT #DataScience #BigData #flutter #Coding #SmartHome #Sensors #CloudComputing #FemTech #EmergingTech #100DaysOfCode</t>
  </si>
  <si>
    <t>https://twitter.com/_TechMode/status/1363824609741611020</t>
  </si>
  <si>
    <t>pic.twitter.com/YUSQJRjIxO</t>
  </si>
  <si>
    <t>Chris Ciauri</t>
  </si>
  <si>
    <t>I’m excited @Googlecloud has announced a new strategic partnership with one of the world's largest financial institutions, @BBVA, to transform its security strategy; incl. using new AI &amp; #machinelearning models to help predict &amp;amp; prevent cyberattacks ↓</t>
  </si>
  <si>
    <t>https://buff.ly/37FwIR0</t>
  </si>
  <si>
    <t>President EMEA @GoogleCloud. Passions #cloud, #inclusion &amp; #wellness. On @SenecaFOA board. Proud Husband &amp; Father. Debut wakesurfer. Views are my own.</t>
  </si>
  <si>
    <t>https://www.linkedin.com/in/cciauri/</t>
  </si>
  <si>
    <t>Blueprint: The Science of Success  #DataScience #MachineLearning #NLP #Analytics #AI #100DaysOfCode #DEVCommunity #DevOps #IoT #Serverless #5G #DataScience #QuBit #Coding #Programming #BigData #R #Bicep #Python #Java #internetofthings</t>
  </si>
  <si>
    <t>Masoud Shafaghi</t>
  </si>
  <si>
    <t>58% of all organizations foresee modifications to their business models due to AI within five years. #businessmodels #artificialintelligence #machinelearning #Innovation #IFIA #masoudshafaghi #data</t>
  </si>
  <si>
    <t>https://pbs.twimg.com/media/Eu6IcnDXMAY2BPM.jpg</t>
  </si>
  <si>
    <t>Strategic Planning and Executive Office Manager of International Federation of Inventors' Associations (IFIA) @ifianews</t>
  </si>
  <si>
    <t>http://www.IFIA.com</t>
  </si>
  <si>
    <t>Robert Willemelis ... please 👉😷</t>
  </si>
  <si>
    <t>finde es immer lustig wie die Innovatoren so mit dem Wort #KI herumjonglieren, um ihre Workshops zu verkaufen. wo gibt es denn schon eine vernünftige KI, die man nicht eher als halb-funktionierendes #machineLearning deklarieren müsste? #blablaInnovation</t>
  </si>
  <si>
    <t>Frontend Developer Artist 💅🤟😎🤸‍♂️, #Angular, person with a lots of creativity&amp;ideas, loves diversity in IT, co-organizer of @AngularGirls, own views</t>
  </si>
  <si>
    <t>AI and Robots: Now and future of technology  #MachineLearning #DataScience #Python #AI #100DaysOfCode #IoT #flutter #javascript #Serverless #CyberSecurity #tech #DDoS #DeepLearning #fintech #COVID19 #data #RPA #IIoT #5G #Cloud #startup #innovation #Robotics</t>
  </si>
  <si>
    <t>https://hindustantimes.com/ht-school/ai-and-robots-now-and-future-of-tech-101614063835866.html</t>
  </si>
  <si>
    <t>Sharing all #latest #news about #ArtificialIntelligence #MachineLearning #DeepLearning #Bigdata #Robotics</t>
  </si>
  <si>
    <t>Inria de Paris</t>
  </si>
  <si>
    <t>🚀 Une #application 📲 pour accompagner les parents dans le développement &amp; bien-être des #enfants : c’est l’enjeu de @gazouyi_app, #startup #CoML accompagnée par #InriaStartupStudio ! 🐥 🤝@inria_paris @CNRS @EHESS_fr @ENS_ULM #MachineLearning 📰⬇️</t>
  </si>
  <si>
    <t>https://www.inria.fr/fr/lapprentissage-machine-cognitif-pour-leveil-des-enfants-la-startup-gazouyi-prend-son-envol</t>
  </si>
  <si>
    <t>Suivez l'actualité des #sciences du #numérique en Ile-de-France avec le centre de #recherche Inria de #Paris ! #innovation</t>
  </si>
  <si>
    <t>http://www.inria.fr/centre/paris</t>
  </si>
  <si>
    <t>Algorithm identifies who can best promote healthy behaviors in a social network  #ArtificialIntelligence #AI #DataScience #100DaysOfCode #Python #MachineLearning #BigData #DeepLearning #NLP #Robots #IoT</t>
  </si>
  <si>
    <t>https://techxplore.com/news/2021-02-algorithm-healthy-behaviors-social-network.html</t>
  </si>
  <si>
    <t>Simón Perera ☮️ 🏳️‍🌈🇮🇨 (él)</t>
  </si>
  <si>
    <t>Escaneo de la selección natural en el genoma del chimpancé, a través del aprendizaje automático (#MachineLearning). #macrohistoria #antropologíamolecular</t>
  </si>
  <si>
    <t>https://academic.oup.com/nargab/article/2/3/lqaa061/5901065</t>
  </si>
  <si>
    <t>Ciencia &amp; cultura. #Biomed #macrohistoria #lenguaraz. En @ProtoQSAR @UABbarceloma @PRISMAciencia @BCNspiracy @Cienciamento @acbiotecnologia @cienciascenio.</t>
  </si>
  <si>
    <t>http://instagram.com/simonper</t>
  </si>
  <si>
    <t>10 Best Free Websites To Learn More About #DataScience And #MachineLearning by Bharath K via @TDataScience  #ArtificialIntelligence #DeepLearning #DigitalTransformation #FutureofWork #5G #IoT #100DaysOfCode #Dev @ipfconline1 @mvollmer1 @Nicochan33</t>
  </si>
  <si>
    <t>https://towardsdatascience.com/10-best-free-websites-to-learn-more-about-data-science-and-machine-learning-f2c6d7387b8d</t>
  </si>
  <si>
    <t>Leif Ulstrup</t>
  </si>
  <si>
    <t>‘... “Intelligent systems will be able to understand the daily activity patterns of seniors living alone, and catch early patterns of medically relevant information,” said Fei-Fei Li, Stanford University professor ...” #ai #machinelearning #analytics #iot</t>
  </si>
  <si>
    <t>https://lnkd.in/eJQx-cS</t>
  </si>
  <si>
    <t>Growth strategy, emerging technology, management innovation, analytics, and business launch. “Luck Favors the Prepared Mind" #learn #disrupt #energize #achieve</t>
  </si>
  <si>
    <t>http://www.primehookllc.com/about-us.html</t>
  </si>
  <si>
    <t>Types of Artificial Intelligence (AI) Algorithms allow computers to imitate human-like activities. They come with a process for decision  Via @automeme #ArtificialIntelligence #AI #Algorithms #MachineLearning #technology @Ronald_vanLoon @mvollmer1</t>
  </si>
  <si>
    <t>https://autome.me/artificial-intelligenceai-algorithms-and-its-types-explained/</t>
  </si>
  <si>
    <t>Robotics India</t>
  </si>
  <si>
    <t>Robotics india platform is ready need your support. Share your stories with us #Roboticsindia #robots #roboticsnews #roboticsapp #space #engineering #innovation #ai #ml #drones #ArtificialIntelligence #DataScientist #startup #MachineLearning #IoT #AUTOMATION</t>
  </si>
  <si>
    <t>https://pbs.twimg.com/media/Eu6HmJVUYAQH90A.jpg</t>
  </si>
  <si>
    <t>ʀᴏʙᴏᴛɪᴄs ɪɴᴅɪᴀ Mission-ʙᴜɪʟᴅ ʀᴏʙᴏᴛɪᴄs ᴇᴄᴏsʏsᴛᴇᴍ ɪɴ ɪɴᴅɪᴀ 🇮🇳 Let Talk About Robots,Innovations, Startups,Drones &amp; Uav,Space &amp; many more</t>
  </si>
  <si>
    <t>https://roboticsindia.live</t>
  </si>
  <si>
    <t>Max Pinheiro Jr</t>
  </si>
  <si>
    <t>#MachineLearning #sciencejobs #compchem RT @SteMartiniani: Please RT. We are hiring 2 computational research scientists to help us build a collaborative infrastructure for the development of state-of-the-art machine learning interatomic potentials, involving an international consortium of leaders in the field.</t>
  </si>
  <si>
    <t>https://twitter.com/SteMartiniani/status/1363866842654203908
https://jobrxiv.org/job/university-of-minnesota-dept-of-aerospace-engineering-mechanics-and-dept-of-chemical-engineering-materials-science-27778-colabfit-seeking-computational-research-scientists/</t>
  </si>
  <si>
    <t>A physicist passionate by quantum theory, working to bridge gaps between Computational Chemistry and #DataScience || Salsero and beer lover in the free time</t>
  </si>
  <si>
    <t>Check out our new #video released on #Devspace :  #Kubernetes #Master #CICD #BigData #MachineLearning #rstats #DataScience #cybersecurity #100DaysOfCode #ArtificialIntelligence #Analytics #cloud #Azure</t>
  </si>
  <si>
    <t>h2c GmbH</t>
  </si>
  <si>
    <t>Personalizing guest experience is key to improve guest satisfaction! h2c covers this topic in its upcoming Global Study on Pricing, Personalization and Machine Learning. Contact us for more information:  #h2c #personalization #pricing #machinelearning</t>
  </si>
  <si>
    <t>https://bit.ly/3bAVbYZ</t>
  </si>
  <si>
    <t>https://pbs.twimg.com/media/Eu6HDGVXcAAC8ds.jpg</t>
  </si>
  <si>
    <t>Ratingen, Germany</t>
  </si>
  <si>
    <t>h2c is a service company that specializes in online marketing, technology, distribution and process optimization for hotel chains as well as individual hotels.</t>
  </si>
  <si>
    <t>http://h2c.de/legal-notice</t>
  </si>
  <si>
    <t>Combining AI and #ConfidentialComputing for holistic data security in healthcare  #MachineLearning #HCIT @fortanix</t>
  </si>
  <si>
    <t>https://technative.io/securing-healthcare-ai-confidential-computing/</t>
  </si>
  <si>
    <t>Dice.com</t>
  </si>
  <si>
    <t>JPMorgan has been busy building out its machine learning capability. What are you getting into if you join the team?  #machinelearning #ai #artificialintelligence #jpmorgan #tech</t>
  </si>
  <si>
    <t>https://bit.ly/2OP68hJ</t>
  </si>
  <si>
    <t>https://pbs.twimg.com/media/Eu6Gx1TXIAcVqbG.jpg</t>
  </si>
  <si>
    <t>Centennial, CO</t>
  </si>
  <si>
    <t>Dice connects the best #Tech talent with #Job opportunities around the world | #TechNews &amp; #Insights | Employers follow: @Dice4Employers</t>
  </si>
  <si>
    <t>http://www.dice.com</t>
  </si>
  <si>
    <t>Check out our new #video released on #Devspace :  #Kubernetes #Master #CICD #BigData #MachineLearning #rstats #DataScience #cybersecurity #100DaysOfCode #ArtificialIntelligence #Analytics #cloud</t>
  </si>
  <si>
    <t>LatentView Analytics</t>
  </si>
  <si>
    <t>#causalinference helps us understand how variables influence each other and how we can use interventions to change a system. Exploring the How behind the Why -  #DataAnalytics #Datascience #machinelearning #ArtificialIntelligence #Analytics</t>
  </si>
  <si>
    <t>https://youtu.be/Xc4SiHE2_gs</t>
  </si>
  <si>
    <t>https://pbs.twimg.com/media/Eu6E69YVEAAp1JB.jpg</t>
  </si>
  <si>
    <t>Leading Big Data and Data Analytics solutions provider. Tweets on #analytics #insights #businessstrategy #digitalmarketing #bigdata and #IoT</t>
  </si>
  <si>
    <t>http://www.latentview.com</t>
  </si>
  <si>
    <t>Fabien Fouissard</t>
  </si>
  <si>
    <t>L'occasion pour @Vekia_Fr et @SilverprodGroup de rappeler à quel point la dimension #forecast est clé dans la réussite de sa #SupplyChain #morethansupplychain #APS #OMS #AI #machinelearning #innovation powered with love by @Azure_France  RT @SilverprodGroup: 🚀Comment transformer votre prévision en une prévision orientée business ? Rejoignez @AgoraNewsSCV, @Vekia_Fr et @SilverprodGroup à l'occasion d'un webinar le 9 mars prochain, pour débattre et échanger autour de cet enjeu primordial ▶</t>
  </si>
  <si>
    <t>https://twitter.com/SilverprodGroup/status/1364163532602941441
https://register.gotowebinar.com/register/259531336695875344</t>
  </si>
  <si>
    <t>pic.twitter.com/heyRkIQbQB</t>
  </si>
  <si>
    <t>Paris - Europe - Mars</t>
  </si>
  <si>
    <t>Head of Partnerships / Alliances #supplychain #AI #Soft #Cloud #Innovation #RPA #CRM #Digital #Growth #alliances exTP exLaSer exNICE exNovelis</t>
  </si>
  <si>
    <t>http://www.vekia.fr</t>
  </si>
  <si>
    <t>SMEBOOK</t>
  </si>
  <si>
    <t>What mistakes should you avoid when hiring for an early stage startup?  #smebook #technology #digitaltransformation #startups #machinelearning #entrepreneurship #artificalintelligence #innovation #networking</t>
  </si>
  <si>
    <t>https://smebook.eu/knowledge-base/early-stage-startups/what-mistakes-should-you-avoid-when-hiring-for-an/</t>
  </si>
  <si>
    <t>AI-based corporate innovation platform where tech companies and their employees can intelligently connect and exchange resources and information.</t>
  </si>
  <si>
    <t>http://www.smebook.eu</t>
  </si>
  <si>
    <t>Vishal Adsool</t>
  </si>
  <si>
    <t>Technology alone doesn’t transform a business. People have to be empowered by data &amp; technology, to make them accept &amp;amp; execute the 'transformation method'. The bigger challenge is to remove common fear &amp;amp; bias towards #AI #ArtificialInteligence #MachineLearning #ML</t>
  </si>
  <si>
    <t>Founder/Investor at @equationswork @experizer #medimentor #kubeM2M Passionate about #ARVRinEdu, #edtech, #BI, #BigData, #AI, #NLP, #Vision &amp; #StreamingTech.</t>
  </si>
  <si>
    <t>http://equations.work</t>
  </si>
  <si>
    <t>BluePi</t>
  </si>
  <si>
    <t>How AI is making the fashion industry smarter!  #FashionIndustry #fashion #Retail #AI #MachineLearning #DataScience</t>
  </si>
  <si>
    <t>https://medium.com/bluepi-blog/how-ai-is-making-the-fashion-industry-smarter-1d2cad7d0338</t>
  </si>
  <si>
    <t>https://pbs.twimg.com/media/Eu6GmJcXcAA0GVV.jpg</t>
  </si>
  <si>
    <t>Data-Driven Business Transformation. Our focus is to help retail organizations optimize their supply chain. #retail #bigdata #AI #ML #forecasting #datascience</t>
  </si>
  <si>
    <t>https://www.bluepiit.com</t>
  </si>
  <si>
    <t>Design Nation</t>
  </si>
  <si>
    <t>Check this article to know..how hard it is to become data driven company.  #DataScience #BigData #Analytics #Python #MachineLearning #Business #HBR #Data #Marketing #Strategy #IT #Technology #Research #Security #comapny #AI #ML #TensorFlow #Designnation</t>
  </si>
  <si>
    <t>http://htl.li/vvcu30ry0oz</t>
  </si>
  <si>
    <t>Gachibowli, Hyderabad-500032</t>
  </si>
  <si>
    <t>We offer courses in emerging technologies- #DataAnalytics #AI #IoT #ML #ProductManagement with assured #internships, #job_assistance and #Research_support.</t>
  </si>
  <si>
    <t>http://designnation.in</t>
  </si>
  <si>
    <t>🔛 Enrico Molinari #FinTech #MarTech 🇮🇹🇪🇺🇺🇸</t>
  </si>
  <si>
    <t>Top 10 global #IIoT #bigdata influencer @NodeXL @smr_foundation @marc_smith 👉  @gp_pulipaka @chidambara09 @ingliguori @kirkdborne @eli_krumova @godfrey_g_ @analytics_699 @enricomolinari @arnabch01 @paolicgpi #iot #ai #marketing #machinelearning #fintech</t>
  </si>
  <si>
    <t>https://bit.ly/3bnnZUy</t>
  </si>
  <si>
    <t>https://pbs.twimg.com/media/Eu5a9ZWXIAEjurD.png</t>
  </si>
  <si>
    <t xml:space="preserve">🇮🇹 🇪🇺 🇺🇸    </t>
  </si>
  <si>
    <t>innovation manager &amp; #CMO @HPE @BNPParibas ⭐ university #martech #fintech #innovation professor ⭐ spokesperson President @ConfAssTW ⭐ Top 🌎 #FinTech influencer</t>
  </si>
  <si>
    <t>https://www.linkedin.com/in/enrico-molinari/</t>
  </si>
  <si>
    <t>Roberto Demidchuk</t>
  </si>
  <si>
    <t>Look at The new IDC #IoT market review paper  #DigitalTransformation #MachineLearning #BigData #ArtificialIntelligence #cybersecurity #Blockchain #DX #Analytics #Industry40 #AI #IIoT #DataScience</t>
  </si>
  <si>
    <t>https://blogs.idc.com/2021/02/08/the-internet-of-things-market-at-a-glance/</t>
  </si>
  <si>
    <t>https://pbs.twimg.com/media/Eu6GTeaWQAIocpJ.jpg</t>
  </si>
  <si>
    <t>#CIO en @Ternium. #DigitalTransformation #Industry40 #AI #IoT #BigData</t>
  </si>
  <si>
    <t>Detecting potholes 🕳️ using #MachineLearning, to save lives and money #AI #AutonomousVehicles #Safety #TechForGood @pascal_bornet @baski_LA @MargaretSiegien @Ronald_vanLoon @mvollmer1 @ipfconline1 @EvanKirstel @JolaBurnett @AlbertoEMachado @anand_narang @ShiCooks @sebbourguignon</t>
  </si>
  <si>
    <t>pic.twitter.com/fR5wlzYSa0</t>
  </si>
  <si>
    <t>Alla Kos</t>
  </si>
  <si>
    <t>Integrity▶️Should #BigTech be able to directly fund💰 a #research-er’s work❓ And sponsoring top #machinelearning #ai conferences, #AIEthics #ResponsibleAI events - conflicts of interests❓ #artificialintelligence #academia #tech #funding #narrative 🔗</t>
  </si>
  <si>
    <t>http://bit.ly/3khbCh2</t>
  </si>
  <si>
    <t>https://pbs.twimg.com/media/Eu6FPicXcAMI3v3.jpg</t>
  </si>
  <si>
    <t>#ResponsibleAI Innovation 🔗http://responsible-ai.eu International Development &amp; Biz professional. AI Governance, Regulation &amp; Fundamental Rights.</t>
  </si>
  <si>
    <t>https://www.linkedin.com/in/allakos</t>
  </si>
  <si>
    <t>Black Women in A.I.</t>
  </si>
  <si>
    <t>I had never heard of imposter syndrome until I started this A.I. Journey... It is a myth. PERIOD. #BWIAI #100DaysOfCode #data #WomenInSTEM #fintech #edtech #ios #DataScience #AR #TechNews #robotics #Tech #STEM #Math #artificialintelligence #AI #machinelearning #IoT #Apple</t>
  </si>
  <si>
    <t>pic.twitter.com/fzmkZVxafm</t>
  </si>
  <si>
    <t>Telling the Story of Black Women working,learning, and advocating in the Artificial Intelligence sector. We Are Here- Educate-Engage-Embrace-Empower</t>
  </si>
  <si>
    <t>http://www.blackwomeninai.com</t>
  </si>
  <si>
    <t>Minute Article</t>
  </si>
  <si>
    <t>In existing world, can #technology of #5G play a critical role for richer #communication between #organizations, individuals, and #devices? #minutearticle #100DaysOfCode #MachineLearning #ArtificialIntelligence #VirtualReality #AugmentedReality #Iot #app #Security #DataScience</t>
  </si>
  <si>
    <t>On a mission that can bring recognition, however, simpler the effort voices can multiply.</t>
  </si>
  <si>
    <t>https://minutearticle.com</t>
  </si>
  <si>
    <t>RSA Signs Up to Moody's Analytics Discount Curve Service for IFRS 17 - Business Wire  #DataScience #MachineLearning #DeepLearning #Insurance #NLP #Robots #AI #IoT #BigData</t>
  </si>
  <si>
    <t>https://ift.tt/3qO1U7Z</t>
  </si>
  <si>
    <t>#MachineLearning RT @omarsar0: 🐙 Communities is a Python library for detecting community structure in graphs. Implements and visualizes algorithms like: 🔹Louvain method 🔹Girvan-Newman algorithm 🔹Hierarchical clustering 🔹Spectral clustering 🔹Bron-Kerbosch algorithm</t>
  </si>
  <si>
    <t>https://twitter.com/omarsar0/status/1363826511694848000
https://github.com/shobrook/communities</t>
  </si>
  <si>
    <t>pic.twitter.com/iJhA62v4Jw</t>
  </si>
  <si>
    <t>New AI 'Ramanujan Machine' uncovers hidden patterns in numbers #Learning #machinelearning via</t>
  </si>
  <si>
    <t>http://twinybots.ch
https://www.livescience.com/ramanujan-machine-created.html</t>
  </si>
  <si>
    <t>Digital Together</t>
  </si>
  <si>
    <t>Brussels, Belgium</t>
  </si>
  <si>
    <t>The official account of Digital Together. We advocate for and represent the voice of digitally-active citizens #DigitalHelpsUsLiveBetter is our motto 📱💻🎙️</t>
  </si>
  <si>
    <t>fenil maisuria</t>
  </si>
  <si>
    <t>I've completed the Intro to Machine Learning course on @kaggle! #MachineLearning</t>
  </si>
  <si>
    <t>https://pbs.twimg.com/media/Eu6Fdl5VkAUDT7R.jpg</t>
  </si>
  <si>
    <t>Bardoli, India</t>
  </si>
  <si>
    <t>Official Account</t>
  </si>
  <si>
    <t>Prefer Hub</t>
  </si>
  <si>
    <t>In the on-going #Pandemic, #AI has gone far as to even detect potential #COVID19 cases within a particular radius using #Bots. #ArtificialIntelligence #Networking #Academics #Healthcare #CRM #MachineLearning #ML #Robotics  by @analyticsinme</t>
  </si>
  <si>
    <t>https://www.analyticsinsight.net/intelligent-present-future-artificial-intelligence-is-changing-our-daily-lives-for-the-better/</t>
  </si>
  <si>
    <t>UjjalKumardas</t>
  </si>
  <si>
    <t>Are you looking for a #logo #Fiverr &gt;  #MachineLearning #Python #programming #IoT #flutter #100DaysOfMLCode #AI #javascript #womenwhocode #RStats #Serverless #CodeNewbie #DataScience #DEVCommunity #AI #WWERaw #design #Gates #UK @Complex #Icon #designer</t>
  </si>
  <si>
    <t>https://www.fiverr.com/share/6XmGwP</t>
  </si>
  <si>
    <t>https://pbs.twimg.com/media/Eu6FYlMVoAQ6YZW.jpg</t>
  </si>
  <si>
    <t>I am Ujjal das, Trusted graphics designer service provider, diligent, and friendly to meet your needs In case of any need Don't hesitate to give me a message</t>
  </si>
  <si>
    <t>https://bit.ly/36Kwndi</t>
  </si>
  <si>
    <t>Zegami</t>
  </si>
  <si>
    <t>The NHS is in a prime position to lead the way on Medical Imaging AI and here's why.... Check out our latest blog -  #ArtificialIntelligence #medicalimaging #NHS @NHSX #AI #ML #machinelearning</t>
  </si>
  <si>
    <t>https://zegami.com/blog/nhs-accountable-ai-lifecycle-management</t>
  </si>
  <si>
    <t>https://pbs.twimg.com/media/Eu6FFy8XEAMUWEH.jpg</t>
  </si>
  <si>
    <t>Zegami - the AI enabled visualisation platform for scientific and medical image analysis and ML workflow optimisation</t>
  </si>
  <si>
    <t>http://www.zegami.com</t>
  </si>
  <si>
    <t>Onesait Platform Community</t>
  </si>
  <si>
    <t>Si os interesa comprender algo más sobre #MachineLearning y #DeepLearning , echad un ojo a esto 👇🏻 RT @MikeTamir: A Tour of End-to-End Machine Learning Platforms | Databaseline  #AI #DeepLearning #DataScience #MachineLearning</t>
  </si>
  <si>
    <t>https://twitter.com/MikeTamir/status/1364032490848026625
https://bit.ly/3hKsk6k</t>
  </si>
  <si>
    <t>https://pbs.twimg.com/media/Eu4EUmfWQAYN7Qy.jpg</t>
  </si>
  <si>
    <t>The Onesait Platform Community Edition is a free and #OpenSource Digital Platform to build a complete solution over it: http://github.com/onesaitplatform</t>
  </si>
  <si>
    <t>https://blog.onesaitplatform.com</t>
  </si>
  <si>
    <t>Anne Bonner</t>
  </si>
  <si>
    <t>Tips, Tricks, Hacks, and Magic: How to Effortlessly Optimize Your Jupyter Notebook  via @pensignal #tips #tricks #DataSciene #MachineLearning #ArtificialIntelligence #Programming #technology</t>
  </si>
  <si>
    <t>https://towardsdatascience.com/how-to-effortlessly-optimize-jupyter-notebooks-e864162a06ee</t>
  </si>
  <si>
    <t>Napa, CA</t>
  </si>
  <si>
    <t>I help tech professionals tell better stories. 💫 Let me help you share your ideas in a way that everyone can understand. https://contentsimplicity.com</t>
  </si>
  <si>
    <t>https://contentsimplicity.com/</t>
  </si>
  <si>
    <t>SpeedieConsulting</t>
  </si>
  <si>
    <t>I am helping Aible with their 2021 State of Enterprise AI - I would love to get some input from CDOs and Data People #cdo #ai #artificialintelligence #dataanalytics #machinelearning #datascience</t>
  </si>
  <si>
    <t>https://www.surveymonkey.co.uk/r/BCKNRZ5</t>
  </si>
  <si>
    <t>Westgate on Sea</t>
  </si>
  <si>
    <t>Insurance, Finance and Fintech Digital Marketing Specialists, and Historical Swordsman. Crypto | Blockchain http://speedieconsulting.co.uk</t>
  </si>
  <si>
    <t>http://www.speedieconsulting.co.uk</t>
  </si>
  <si>
    <t>Vivek</t>
  </si>
  <si>
    <t>How good is your knowledge on machine learning🤔🤔🤔 #MachineLearning #ArtificialIntelligence</t>
  </si>
  <si>
    <t>Trying to be a proton among electrons</t>
  </si>
  <si>
    <t>How to Build a Custom Estimator for scikit-learn  #analytics #datascience, #bigdata, #datascience, #datascience #ds, #machinelearning</t>
  </si>
  <si>
    <t>https://bit.ly/3pRBIs8</t>
  </si>
  <si>
    <t>Jet Lu</t>
  </si>
  <si>
    <t>The latest on Civic Tech Daily!  Where we innovate, disrupt, and serve. Thanks to @SciTechDiploHub @RealAlexCorral @Indusface #ai #machinelearning</t>
  </si>
  <si>
    <t>http://civictechdaily.us/?edition_id=e2bfed30-75c8-11eb-a5c8-0cc47a0d15fd</t>
  </si>
  <si>
    <t>Transforming public services in Baltimore City through IT modernization.</t>
  </si>
  <si>
    <t>Recomendaciones de @chemaalonso, para empezar en el mundo del #hackers ético, 10 libros de #ciberseguridad #INFORMATICA #pentesting #InteligenciaArtificial #BigDataAnalytics #Python #MachineLearning</t>
  </si>
  <si>
    <t>https://youtu.be/TW8DDFTmVoo</t>
  </si>
  <si>
    <t>Hamoye</t>
  </si>
  <si>
    <t>Here's a sneak peek of the leaderboard from the Hamoye Machine Learning Freemium Project Presentation. Did you miss the presentations?  #hamoye #HMLE2021 #machinelearning #datascience #virtualinternship #onlinecourse</t>
  </si>
  <si>
    <t>https://bit.ly/HMLE-Presentations</t>
  </si>
  <si>
    <t>https://pbs.twimg.com/media/Eu6D48EXUAAudoi.jpg</t>
  </si>
  <si>
    <t>To harness Africa's digital technology talent by providing world-class education.</t>
  </si>
  <si>
    <t>https://hamoye.com/social</t>
  </si>
  <si>
    <t>Citizens band radio from #trucks may have a future in #autonomous cars  #SelfDrivingCars #AI #IoT #5G #AutonomousVehicles #selfdriving #Robotics #driverless #driverlesscars #startups #startup #Robot #MachineLearning #BigData #SmartCity #Travel #tech</t>
  </si>
  <si>
    <t>https://www.thestar.com.my/tech/tech-news/2021/02/22/citizens-band-radio-from-trucks-may-have-a-future-in-autonomous-cars#.YDSaptAVniM.twitter</t>
  </si>
  <si>
    <t>Renee Livsey</t>
  </si>
  <si>
    <t>People may talk about #AI all the time, but what does it really mean to infuse it across your enterprise?Explore top use cases in AI and #decisionoptimization in our #datascience webinar series on 3/2. #AIplatform #machinelearning</t>
  </si>
  <si>
    <t>https://lnkd.in/eNBvsSv</t>
  </si>
  <si>
    <t>UGA Dawg, volunteer, mom, sister, daughter, pet lover and I'm an IBMer. All tweets are my own!</t>
  </si>
  <si>
    <t>Provectus</t>
  </si>
  <si>
    <t>Learn why feature stores are a fundamental component of the #ML stack, any #data infrastructure for #AI. #ArtificialIntelligence #MachineLearning</t>
  </si>
  <si>
    <t>https://www.kdnuggets.com/2021/02/feature-store-foundation-machine-learning.html</t>
  </si>
  <si>
    <t>Palo Alto, CA</t>
  </si>
  <si>
    <t>Provectus is an Artificial Intelligence consultancy and solutions provider helping businesses achieve their objectives through AI. #AI #ML #AWS #BigData #DevOps</t>
  </si>
  <si>
    <t>http://provectus.com</t>
  </si>
  <si>
    <t>The AI Book</t>
  </si>
  <si>
    <t>BBVA taps Google Cloud Chronicle to build AI security platform  #AI #machinelearning #ML #cybersecurity #cyberfraud #banking #finserv #bigdata #cloud #technology #innovation #digitaltransformation</t>
  </si>
  <si>
    <t>The 1st crowd-sourced book on how #AI impacts finance 🚀 Powered by @FINTECHCircle, published by @Wiley_finance 📚 Part of The FINTECH Book series #AIBook</t>
  </si>
  <si>
    <t>https://fintechcircle.com/ai-book/</t>
  </si>
  <si>
    <t>Bilplug3</t>
  </si>
  <si>
    <t>Livraison a domicile Passer commande via Snap //macbeuh #Analytics #AI #Rstats #Reactjs #IoT #IIoT #DataScience #BigData #Linux #Serverless #WomenWhoCode #flutter #DEVCommunity #Coding #SmartCity #FinTech #MachineLearning #Cloud #EV #futureofwork #100DaysOfCode</t>
  </si>
  <si>
    <t>https://pbs.twimg.com/media/Eu6DnapWYAAa1PW.jpg</t>
  </si>
  <si>
    <t>The Meaning of Life Research Team</t>
  </si>
  <si>
    <t>Please human, can you teach me how to AI? #ArtificialIntelligence #learning #machinelearning</t>
  </si>
  <si>
    <t>https://medium.com/nerd-for-tech/please-human-can-you-teach-me-how-to-ai-9b272920f16f?source=rss-------8-----------------artificial_intelligence</t>
  </si>
  <si>
    <t>Behind this Meaning of Life profile is a research project (with 8 authors currently) applying the methodology of natural sciences to philosophical questions.</t>
  </si>
  <si>
    <t>http://meaningoflife.blog/</t>
  </si>
  <si>
    <t>Malcolm Clark</t>
  </si>
  <si>
    <t>https://amzn.to/2Nxgt1t</t>
  </si>
  <si>
    <t>https://pbs.twimg.com/media/Eu6Dg4GXIAArGBz.jpg</t>
  </si>
  <si>
    <t>Reading</t>
  </si>
  <si>
    <t>Love ALL things sport, cars and technology... in whichever order... And...love being a dad of two crazy boys....</t>
  </si>
  <si>
    <t>http://www.parallels.com/ras</t>
  </si>
  <si>
    <t>Relive prehistory in mixed reality! #AR #AI #VR #MachineLearning @diioannid @HaroldSinnott @ShiCooks @SpirosMargaris @iamBrianGraham @gvalan @DeepLearn007 @PawlowskiMario @kalydeoo @mvollmer1 @ipfconline1</t>
  </si>
  <si>
    <t>pic.twitter.com/sY3DI2HwxQ</t>
  </si>
  <si>
    <t>Livraison gratuite contact Snap/ macbeuh #magic #DEVCommunity #Programming #IoT #IoTPL #AI #100DaysOfCode #MachineLearning #Airdrop #CloudComputing #Analytics #Serverless #cybersecurity #ArtificialIntelligence #DataScience #5G #innovation #Emergency #robotics #SocialMedia</t>
  </si>
  <si>
    <t>https://pbs.twimg.com/media/Eu6DVa6XYAQGUfq.jpg</t>
  </si>
  <si>
    <t>New AI 'Ramanujan Machine' uncovers hidden patterns in numbers #MachineLearning #learning via</t>
  </si>
  <si>
    <t>Pauline François</t>
  </si>
  <si>
    <t>https://google.smh.re/1uX</t>
  </si>
  <si>
    <t>Global Account Manager @Google @GoogleCloud #Googler #Digitization advocate, #geek #earlyadopter #GenderEquality empower-her</t>
  </si>
  <si>
    <t>https://www.paulinefrancois.net/</t>
  </si>
  <si>
    <t>👉 @forbes #AI Awards 2020: Meet GPT-3, The Computer Program That Can Write An Op-Ed  by @kenrickcai #AI #MachineLearning #DeepLearning Cc @jblefevre60 @DeepLearn007 @ahier @JimMarous @SpirosMargaris @YvesMulkers @terence_mills @KirkDBorne @psb_dc</t>
  </si>
  <si>
    <t>https://www.forbes.com/sites/kenrickcai/2021/01/04/forbes-ai-awards-2020-meet-gpt-3-the-computer-program-that-can-write-an-op-ed</t>
  </si>
  <si>
    <t>https://pbs.twimg.com/media/Eu6DIIJXAAASGs6.jpg</t>
  </si>
  <si>
    <t>Livraison a domicile contact Snap/macbeuh #magic #DEVCommunity #Programming #IoT #IoTPL #AI #100DaysOfCode #MachineLearning #Airdrop #CloudComputing #Analytics #Serverless #cybersecurity #ArtificialIntelligence #DataScience #5G #innovation #Emergency #SocialMedia</t>
  </si>
  <si>
    <t>Radwell Intl Europe</t>
  </si>
  <si>
    <t>Machine-learning model boosts search for superhard materials. Read more here:  #machinelearning #Al #IoT #IIoT #ukmfg #aerospace #industrialautomation #radwell</t>
  </si>
  <si>
    <t>https://radwell.link/39i8Jsc</t>
  </si>
  <si>
    <t>Staffordshire, United Kingdom</t>
  </si>
  <si>
    <t>Award-Winning Global Supplier of Industrial Automation Parts &amp; Repair Services. Call +44 (0)1782 576800 today. #radwell #ukmfg #manufacturing #engineering</t>
  </si>
  <si>
    <t>https://www.radwell.co.uk</t>
  </si>
  <si>
    <t>Geek-Inc.</t>
  </si>
  <si>
    <t>Associez l'informatique sans serveur, l'#AI et le #MachineLearning pour rendre vos applications intelligentes. Cet e-book offre un guide étape par étape pour vous aider à créer à et déployer des modèles d'apprentissage automatique évolutifs avec @Azure :</t>
  </si>
  <si>
    <t>https://stuf.in/b554r8</t>
  </si>
  <si>
    <t>Montauban, France</t>
  </si>
  <si>
    <t>Create software with passion. Teach software development. Help company to reinvent themselves.</t>
  </si>
  <si>
    <t>https://geek-inc.fr</t>
  </si>
  <si>
    <t>Almavia CX publie son libre blanc « Base de connaissance : une pierre essentielle de l’expérience client » #DataMarketing, #RelationClient, #WebMobile #CRM #livre #blanc #MachineLearning #ExperienceClient @AlmaviaCX</t>
  </si>
  <si>
    <t>http://www.itnumeric.com/?p=46346</t>
  </si>
  <si>
    <t>Livraison a domicile passer commande via Snap : macbeuh #Analytics #AI #Rstats #Reactjs #IoT #IIoT #DataScience #BigData #Linux #Serverless #WomenWhoCode #flutter #DEVCommunity #Coding #SmartCity #FinTech #MachineLearning #Cloud #EV #futureofwork #100DaysOfCode</t>
  </si>
  <si>
    <t>https://pbs.twimg.com/media/Eu6C3vrXEAQle1O.jpg</t>
  </si>
  <si>
    <t>Lutech</t>
  </si>
  <si>
    <t>Domani #Lutech sarà tra le aziende protagoniste di “Mettiti in gioco: scopri come risolvere casi di Machine Learning", l'evento che permetterà a studenti e laureati del @polimi di conoscere la #MachineLearning. Scopri tutti i dettagli &gt;</t>
  </si>
  <si>
    <t>http://bit.ly/3aQdk4D</t>
  </si>
  <si>
    <t>https://pbs.twimg.com/media/Eu6CxCeWYAEsbjf.jpg</t>
  </si>
  <si>
    <t>Cologno Monzese (MI) - Italy</t>
  </si>
  <si>
    <t>@LutechGroup, your #DigitalEvolution partner. Servizi e soluzioni #Technology &amp; #Cloud, #Digital, #Products.</t>
  </si>
  <si>
    <t>https://lutech.group</t>
  </si>
  <si>
    <t>Master Your #DataScientist Skills by @SASSoftware | Get 30 Days FREE Training :  ➢ Data Curation ➢ Advanced Analytics ➢ AI &amp; Machine Learning #SASPartner #DataScience #MachineLearning #ML Cc: @BrentLeary @R_Demidchuk</t>
  </si>
  <si>
    <t>https://bit.ly/2KzUzZG</t>
  </si>
  <si>
    <t>https://pbs.twimg.com/media/Eu6CTA0XUAEbp4B.jpg</t>
  </si>
  <si>
    <t>@GSofLog</t>
  </si>
  <si>
    <t>Eine prototypische Umsetzung eines #MachineLearning Demonstrators:  Mehr erfahren Sie im Kurzvideo des @FraunhoferIML. #Prognosen #KI @Unternehmerver1 @digitalinnrw @MittelstandDigi @TU_Dortmund @LFO1971 @DIHK_News</t>
  </si>
  <si>
    <t>https://youtu.be/Ul2GkNtNAbw</t>
  </si>
  <si>
    <t>https://pbs.twimg.com/media/Eu6BdKWWYAATkhk.jpg</t>
  </si>
  <si>
    <t>Dortmund, Deutschland</t>
  </si>
  <si>
    <t>Deutschlandweit einzigartig: Wir bilden die Manager und Logistikexperten der Zukunft in unserem anwendungsorientierten, strukturierten Promotionsprogramm aus.</t>
  </si>
  <si>
    <t>http://www.gsoflog.de</t>
  </si>
  <si>
    <t>Data &amp; IA Landscape😀 👉🏽  La adaptación del Big Data Landscape donde podrás encontrar juntas las plataformas y ecosistemas en BI, BA, Big Data y Data Science del panorama actual #BigData #DataScience #InteligenciaArtificial #AI #MattTurck #MachineLearning</t>
  </si>
  <si>
    <t>https://aplicaciones.campusbigdata.com/</t>
  </si>
  <si>
    <t>pic.twitter.com/7dzJ4hCLnT</t>
  </si>
  <si>
    <t>Prasad Venkatesan</t>
  </si>
  <si>
    <t>Automated Data Extraction with SAP Data Intelligence #SAPDataIntelligence #DataIntegration #DataOrchestration #MachineLearning #Camelot-ItLab</t>
  </si>
  <si>
    <t>https://bit.ly/2Np7kYY</t>
  </si>
  <si>
    <t>https://pbs.twimg.com/media/Eu6CY1KVoAU3CU4.jpg</t>
  </si>
  <si>
    <t>Learn how to use business content to get started with machine learning for SAP Data Intelligence #MachineLearning #SAPDataIntelligence #PCSBeratungscontor</t>
  </si>
  <si>
    <t>https://bit.ly/3pMpgd9</t>
  </si>
  <si>
    <t>https://pbs.twimg.com/media/Eu6COIvVIAcre22.jpg</t>
  </si>
  <si>
    <t>RoboAdvisor4U</t>
  </si>
  <si>
    <t>#stockmarket #bitcoin #money #trading #investment #stocks #wallstreet #trader #cryptocurrency #profit #success #motivation #millionaire #finance #portugal #fintech #machinelearning #money #srsadvogados #pg</t>
  </si>
  <si>
    <t>https://pbs.twimg.com/media/Eu6B5yXXYAAs-DV.jpg</t>
  </si>
  <si>
    <t>RoboAdvisor</t>
  </si>
  <si>
    <t>http://www.roboadvisor4u.io</t>
  </si>
  <si>
    <t>Speedy Mentors</t>
  </si>
  <si>
    <t>New Mentor Alert 🚨 Let's welcome Matteo Zanotto! He's a Senior #DataScientist and Executive Advisor and holds a Ph.D. in #MachineLearning. He loves helping data practitioners going through the first steps of their careers. Reach out to him at .</t>
  </si>
  <si>
    <t>https://lnkd.in/gaT64df</t>
  </si>
  <si>
    <t>https://pbs.twimg.com/media/Eu6BuYcVoAAbwnS.jpg</t>
  </si>
  <si>
    <t>We are a and platform dedicated to giving you access to some of the best and most reliable mentors who can help you build sector-focused competencies and enhanc</t>
  </si>
  <si>
    <t>#stockmarket #bitcoin #money #trading #investment #stocks #wallstreet #trader #cryptocurrency #profit #success #motivation #millionaire #finance #portugal #fintech #machinelearning #money #srsadvogados #Apple</t>
  </si>
  <si>
    <t>https://pbs.twimg.com/media/Eu6B1lrWgAcvuaa.jpg</t>
  </si>
  <si>
    <t>MSc. in #A I and #MachineLearning Ops | #DataScience Education | #Research and Development  H/T: @INSOFEedu</t>
  </si>
  <si>
    <t>https://www.insofe.edu.in/certification/msc-in-artificial-intelligence-and-machine-learning-ops.html</t>
  </si>
  <si>
    <t>Alveo</t>
  </si>
  <si>
    <t>Find out how #machinelearning is helping investors find #ESG stocks, as they use algorithms and natural language processing to help find the stocks that are moving the needle:  via @Raconteur</t>
  </si>
  <si>
    <t>https://hubs.la/H0G-4y70</t>
  </si>
  <si>
    <t>Where Data Flows... the leader in market data integration and analytics solutions for financial services</t>
  </si>
  <si>
    <t>https://www.alveotech.com/company/news/asset-control-rebrands-as-alveo</t>
  </si>
  <si>
    <t>AQ</t>
  </si>
  <si>
    <t>How can neuroscience, quantum mechanics, and AI mesh? by @singularityhub  #AI #MachineLearning #DeepLearning #Adaptability</t>
  </si>
  <si>
    <t>https://hubs.la/H0H0Jhc0</t>
  </si>
  <si>
    <t>We aim to unlock the secrets of human adaptability, ensuring no one is left behind in the fastest period of change in history #AdaptabilityQuotient #AQ</t>
  </si>
  <si>
    <t>http://www.aqai.io</t>
  </si>
  <si>
    <t>The release of HCL #Domino v12 is around the corner! 🎉 #hclswlobp #business #lowcode #analytics #5g #nodejs #cybersecurity #devops #100DaysOfCode #datascience #ai #bot #codenewbie #iot #machinelearning #DEVCommunity #Python #Serverless #womenintech</t>
  </si>
  <si>
    <t>https://via.socxo.net/jm6AuD7HMV7sW</t>
  </si>
  <si>
    <t>Birkbeck’s Business School</t>
  </si>
  <si>
    <t>Have you been furloughed or made redundant? Considering a career change into tech? Check out the @IoCoding supported #TechUPWomen Taster Course. The course is free, available to all, and is an intro to #MachineLearning. 👉  #WomenInTech #TechUPOnline</t>
  </si>
  <si>
    <t>http://ow.ly/Iy2T50DDvoh</t>
  </si>
  <si>
    <t>https://pbs.twimg.com/media/Eu6A1_iWYAAn9uO.jpg</t>
  </si>
  <si>
    <t>News and views from @BirkbeckUoL’s School of Business, Economics and Informatics.</t>
  </si>
  <si>
    <t>http://bbk.ac.uk/business</t>
  </si>
  <si>
    <t>#stockmarket #bitcoin #money #trading #investment #stocks #wallstreet #trader #cryptocurrency #profit #success #motivation #millionaire #finance #portugal #fintech #machinelearning #money #srsadvogados #nke #nike #niketrading</t>
  </si>
  <si>
    <t>https://pbs.twimg.com/media/Eu6AxnQXcAIa3ln.jpg</t>
  </si>
  <si>
    <t>Thomas Harrer</t>
  </si>
  <si>
    <t>Organizations are modernizing their data management infrastructure by leveraging #data virtualization, agile containerization &amp; embedded #MachineLearning. They work in sync to reduce operational cost here:   @IBMData @IBMservers #IBM</t>
  </si>
  <si>
    <t>https://ibm.co/2OT7hoo</t>
  </si>
  <si>
    <t>https://pbs.twimg.com/media/Eu6AvopXYAQtCci.jpg
pic.twitter.com/8QCkg5cpDn</t>
  </si>
  <si>
    <t>#ArchitectingTheFuture - #MegaTrends #AI #Innovation #Data #Technology #CyberSecurity #Influencer. Views are my own #IBM: #CTO HW Sales, #IBMSystems, #EMEA</t>
  </si>
  <si>
    <t>https://www.linkedin.com/in/thomasharrer/</t>
  </si>
  <si>
    <t>Frank Vullers</t>
  </si>
  <si>
    <t>https://bit.ly/3pJsfmA</t>
  </si>
  <si>
    <t>https://pbs.twimg.com/media/Eu6AmnDU4AYRLn1.jpg</t>
  </si>
  <si>
    <t>s-Hertogenbosch</t>
  </si>
  <si>
    <t>Retail Guru helping with the Transformation into an Intelligent Enterprise . Senior Industry Advisor Retail, Wholesale &amp; Consumer Industries SAP region MEE</t>
  </si>
  <si>
    <t>http://www.linkedin.com/pub/frank-vullers/3/503/51a</t>
  </si>
  <si>
    <t>Inno3</t>
  </si>
  <si>
    <t>Piedi per terra, servono competenze nel lavoro #2030 #AssistenzaSanitaria #Automazione #Banche #Banking #CIO #CISO #Covid19 #DigitalEnabler #Farmaceutico #DataAnalytics #LavoroRemoto #MachineLearning #ML #Robotica #SmartWorking #STEM  via @inno3news</t>
  </si>
  <si>
    <t>https://inno3.it/2021/02/22/piedi-per-terra-servono-competenze-per-il-lavoro-al-2030-linkedin-ey-mckinsey/</t>
  </si>
  <si>
    <t>Milano, Lombardia</t>
  </si>
  <si>
    <t>Innovazione, Informazione, Incontro. Notizie, inchieste, interviste, approfondimenti sui processi di #DigitalTransformation. Una testata del gruppo @Net_Cube.</t>
  </si>
  <si>
    <t>https://www.inno3.it</t>
  </si>
  <si>
    <t>viso.ai</t>
  </si>
  <si>
    <t>Everything you need to know about Object Detection in 2021. AI that allows computer systems to "see" their environments.  #objectdetection #computervision #AI #deeplearning #guide #explained #ai2021 #machinelearning #softwaresolutions</t>
  </si>
  <si>
    <t>https://viso.ai/deep-learning/object-detection/</t>
  </si>
  <si>
    <t>pic.twitter.com/HrMIznw1qa</t>
  </si>
  <si>
    <t>Platform for businesses to build, deploy and manage ​​AI Vision Applications. Let's make computers see.</t>
  </si>
  <si>
    <t>https://viso.ai/</t>
  </si>
  <si>
    <t>A.I. Is Everywhere and Evolving  #MachineLearning #DeepLearning</t>
  </si>
  <si>
    <t>http://dlvr.it/RtJ6C8</t>
  </si>
  <si>
    <t>https://pbs.twimg.com/media/Eu6AYUFUUAM48LX.jpg</t>
  </si>
  <si>
    <t>Stéphane Nappo, #CISO &amp; Ludmila Morozova-Buss</t>
  </si>
  <si>
    <t>pic.twitter.com/6FwqgjEt21</t>
  </si>
  <si>
    <t xml:space="preserve">🇫🇷 France and 🇲🇨 Monaco  </t>
  </si>
  <si>
    <t>#Cybersecurity: @StephaneNappo, VP &amp; global #CISO and Ludmila Morozova-Buss, Cybersecurity Woman Of The Year 2020 Award Winner, Ph.D Student @ @CapTechU</t>
  </si>
  <si>
    <t>https://www.linkedin.com/in/ludmilamorozova/</t>
  </si>
  <si>
    <t>MyRest.AI</t>
  </si>
  <si>
    <t>#myrestai Plus qu’un Ensemble de Solutions Digitales, des Leviers de Croissance pour Votre Agence 😉 #immobilier #machinelearning #ia #intelligenceartificielle #realestateinvesting #projetimmobilier #data #bigdata #technology #technologie #nouvellestechnologies #realestate</t>
  </si>
  <si>
    <t>https://pbs.twimg.com/media/Eu5_5FPXcAAcrgH.jpg</t>
  </si>
  <si>
    <t>1 Rue de Pécolat 1201 Genève</t>
  </si>
  <si>
    <t>MyRestAi est une nouvelle ère immobilière émanée du meilleur des nouvelles technologies, de la Big Data et de l’intelligence artificielle.</t>
  </si>
  <si>
    <t>http://www.myrestai.com</t>
  </si>
  <si>
    <t>2021 Python Web Conference - Grab Your Tickets!</t>
  </si>
  <si>
    <t>We're doing a Twitter #giveaway for our stickers! Follow and retweet for your chance to win a #PWC2021 logo sticker 🐍  #python #machinelearning #ai #bigdata #django #serverless #cloud</t>
  </si>
  <si>
    <t>https://loom.ly/SrJNeJk</t>
  </si>
  <si>
    <t>https://pbs.twimg.com/media/Eu6ABCNXYAI3_6t.jpg</t>
  </si>
  <si>
    <t>The most in-depth Python conference for web developers. The next Python Web Conference will take place online on March 22-26th 2021 #Python #PWC2021</t>
  </si>
  <si>
    <t>http://pythonwebconference.com</t>
  </si>
  <si>
    <t>Yash Deshpande</t>
  </si>
  <si>
    <t>It's an honour to feature here and would like to thank @rubiscape and @AegisGrahamBell for the opportunity. Rubiscape is out there to democratize data #innovation leveraging no-code #DataScience techniques for advanced #Analytics, #MachineLearning , #AI Proud to be associated! RT @rubiscape: It's an honour to be the finalist of the 11th @AegisGrahamBell in the "Data Science Innovation category" Meet our innovators, @pansares , @pansare_as , @KedarSabne, Trupti Pansare, @AmeetShelar, Niranjan Dikshit, @chougule_sachin &amp; @yashdeshpande95 who made this possible!</t>
  </si>
  <si>
    <t>https://twitter.com/rubiscape/status/1364166086191550465</t>
  </si>
  <si>
    <t>https://pbs.twimg.com/media/Eu59wrQVcAAxApS.jpg</t>
  </si>
  <si>
    <t xml:space="preserve">Pune </t>
  </si>
  <si>
    <t>Business Development at a Data Innovation Co.| Sports Freak | Politics Enthusiast | Believer in MODIfication! Nation first always 🙏</t>
  </si>
  <si>
    <t>http://www.rubiscape.com</t>
  </si>
  <si>
    <t>Royal Statistical Society</t>
  </si>
  <si>
    <t>Only a few days left to register for our Intro to Machine Learning in R course! Hurry and book today! #machinelearning #r</t>
  </si>
  <si>
    <t>http://rss.org.uk/Machine-Learning-in-r-March-2021</t>
  </si>
  <si>
    <t>https://pbs.twimg.com/media/Eu5_7zQWgAAEowq.jpg</t>
  </si>
  <si>
    <t>The Royal Statistical Society is a membership body promoting a world with data at the heart of understanding and decision making</t>
  </si>
  <si>
    <t>https://rss.org.uk</t>
  </si>
  <si>
    <t>_SanjayDas</t>
  </si>
  <si>
    <t>#MachineLearning in #medicine, despite the challenges, can help us to benefit in the following fields:  #healthcare #HealthTech #HealthIT CC: @EvanKirstel @mvoller11 @antgrasso @LindaGrass0 @mikequindazzi @evankirstel @iiot_world @ronald_vanloon</t>
  </si>
  <si>
    <t>https://bit.ly/35Qgv9F</t>
  </si>
  <si>
    <t>https://pbs.twimg.com/media/Eu5_6YXXIAALegF.jpg</t>
  </si>
  <si>
    <t>Malaysia</t>
  </si>
  <si>
    <t>Founder &amp; Managing Director at @SDGlobalTech. Passionate about #Healthcare technology</t>
  </si>
  <si>
    <t>https://www.linkedin.com/today/author/sanjay-das-2071872</t>
  </si>
  <si>
    <t>Array Studio Group</t>
  </si>
  <si>
    <t>Four Predictions For Artificial Intelligence And Machine Learning In 2021 #ai #artificialintelligence #naturallanguagegeneration #machinelearning #tech #innovation #success  @Forbes</t>
  </si>
  <si>
    <t>http://ow.ly/SsDZ50DD6R8</t>
  </si>
  <si>
    <t>Los Angeles, California</t>
  </si>
  <si>
    <t>#Array is an information and visualization company focused on developing digital experiences that support our clients through #AI and #NLG.</t>
  </si>
  <si>
    <t>http://www.arraystudiogroup.com</t>
  </si>
  <si>
    <t>#M8Smart | Servicios Premium para oficinas remotas  ⭐Escalabilidad y flexibilidad ⭐Preparado para los nuevos servicios 5G #MachineLearning #BigData #Rstats #Reactjs #IIoT #IoT #SDWAN #SmartCity #edgecomputing #FutureofWork #Cloud #100DaysOfCode #Tech</t>
  </si>
  <si>
    <t>http://ow.ly/1U2s50BJpAV</t>
  </si>
  <si>
    <t>https://pbs.twimg.com/media/Eu5_voEXEAIMZi8.jpg</t>
  </si>
  <si>
    <t>Data Artisan</t>
  </si>
  <si>
    <t>Pick study projects that are interesting to you. Figure out where to find data and how to analyse it. That is the best way to prepare you for a real job. That is real world #DataScience #AI #MachineLearning #100DaysOfMLCode #100DaysOfCode #Rstats #python #DeepLearning #BigData</t>
  </si>
  <si>
    <t>Stories, learnings, memes and random musings from the life of a Data Scientist Becoming a better Data Scientist one commit at a time</t>
  </si>
  <si>
    <t>Introduction to Sales Analysis in Python ➡️  ✅ #introduction to #Sales #Analysis #Analytics #DataScience #AI #MachineLearning #IoT #IIoT #Python #RStats #CloudComputing #Serverless #Linux #Programming #Coding @udemy #100DaysofCode #100DaysOfMLCode</t>
  </si>
  <si>
    <t>http://bit.ly/3pFXS0c</t>
  </si>
  <si>
    <t>https://pbs.twimg.com/media/Eu5_sNfVgAIdabI.jpg</t>
  </si>
  <si>
    <t>How Important Is Data Quality In Machine Learning? #Analytics #Data #Machinelearning #ML #DataScience #100DaysOfCode #Bigdata #100DaysOfMLCode #Python #flutter #DEVCommunity #tech #artificialintelligence</t>
  </si>
  <si>
    <t>https://lnkd.in/gZT37cN</t>
  </si>
  <si>
    <t>Zhang Jiakou, Hebei Province: It’s full of sparkles in a busy special car’s welding workshop.#Programming #IoT #IoTPL #AI #100DaysOfCode #1Robot1Day #MachineLearning #ML #Airdrop #Python #CloudComputing #Analytics #Serverless #womenwhocode #cybersecurity #RStats #DataScience #5G</t>
  </si>
  <si>
    <t>https://pbs.twimg.com/media/Eu0WvZ2UUAEC0sP.jpg</t>
  </si>
  <si>
    <t>Intellis</t>
  </si>
  <si>
    <t>Increasingly, infrastructure and construction projects are using innovative digital technology like #AI and #MachineLearning to improve long-term asset management. Here we examine the most exciting trends leading the way in the #SmartCities revolution.</t>
  </si>
  <si>
    <t>https://hubs.la/H0DsqzB0</t>
  </si>
  <si>
    <t>Transforming the built environment with solutions for smarter facility management, condition assessment, and capital planning. #CRE #HigherEd #K12 #Gov</t>
  </si>
  <si>
    <t>https://www.intellis.io/request-demo</t>
  </si>
  <si>
    <t>BAUMEISTER CONSULTING</t>
  </si>
  <si>
    <t>#Digital #BI #AI #DataScientist #DataScience #CloudComputing #futureofwork #BigData #MachineLearning #IIoT #RStats #JavaScript #ReactJS #Serverless #Linux #Devops #selfdrivingcars #fashiontech #smartcities #AR #fintech #blockchain #5G #cybersecurity #Engineering #Python RT @Fisheyebox: Data Structure.. #AI #DataScientist #DataScience #CloudComputing #futureofwork #BigData #MachineLearning #IIoT #RStats #JavaScript #ReactJS #Serverless #Linux #Devops #selfdrivingcars #fashiontech #smartcities #AR #fintech #blockchain #5G #cybersecurity #Engineering #Python #HR</t>
  </si>
  <si>
    <t>https://twitter.com/Fisheyebox/status/1364167323179835393</t>
  </si>
  <si>
    <t>https://pbs.twimg.com/media/Eu5-0RzUYAktXw1.jpg</t>
  </si>
  <si>
    <t>Hamburg, Deutschland</t>
  </si>
  <si>
    <t>Wir gestallten Ihren Weg der #Digitalisierung. Durch gezielte #Strategie #Beratung #ManagementConsulting, #Interimsmanagement und #Projektmanagement.</t>
  </si>
  <si>
    <t>https://baumeister-consulting.de</t>
  </si>
  <si>
    <t>Danielle Lee</t>
  </si>
  <si>
    <t>https://amzn.to/3kh19Sp</t>
  </si>
  <si>
    <t>https://pbs.twimg.com/media/Eu5_Yu4XEAAqeUK.jpg</t>
  </si>
  <si>
    <t>Amazon Web Services Marketing Manager</t>
  </si>
  <si>
    <t>Ultimately Rubik's Cube self-solved. #DEVCommunity #Programming #IoT #IoTPL #AI #100DaysOfCode #MachineLearning #Airdrop #CloudComputing #Analytics #Serverless #cybersecurity #ArtificialIntelligence #DataScience #5G #Engineering #innovation #sustainable #energy #puzzle RT @jblefevre60: Self solved Rubik's Cube! #AI #MachineLearning #IoT @Rubiks_Official @SpirosMargaris @PawlowskiMario @mvollmer1 @Fabriziobustama @gvalan @ipfconline1 @ShiCooks @helene_wpli @diioannid @Ym78200 @kalydeoo @Nicochan33 @3itcom @sallyeaves @DeepLearn007</t>
  </si>
  <si>
    <t>https://twitter.com/jblefevre60/status/1364102146879332355</t>
  </si>
  <si>
    <t>pic.twitter.com/YBuwiR8nto</t>
  </si>
  <si>
    <t>10 most misused buzzwords in #IT 👉🏽 #AI #MachineLearning #BigData #deaplearning #ML #DL #ArtificialIntelliegence #DataScience #Analytics #5G #Serverless #IoT #IIoT #IoTPL #Cloud #CloudComputing #Edge #blockchain #robotics #RPA #NLP #AR #VR #MR @Tanguy_lrx  RT @Eli_Krumova: 10 most misused buzzwords in #IT  #AI #MachineLearning #BigData #deaplearning #ML #DL #ArtificialIntelliegence #DataScience #Analytics #5G #Serverless #IoT #IIoT #IoTPL #Cloud #CloudComputing #Edge #blockchain #robotics #RPA #NLP #AR #VR #MR v @Tanguy_lrx</t>
  </si>
  <si>
    <t>https://via.socxo.net/vAR5UPvt7eQfZ
https://twitter.com/Eli_Krumova/status/1356620868236017669
https://twitter.com/Tanguy_lrx/status/1356549640527769601</t>
  </si>
  <si>
    <t>https://pbs.twimg.com/media/Eu5-5cXXIAIFSch.png
https://pbs.twimg.com/media/EtOvM2hXMAIDlZV.jpg</t>
  </si>
  <si>
    <t>The Brainalytics</t>
  </si>
  <si>
    <t>We are glad to welcome Prasanna Lohar as a speaker on our #roundtable ' Accelerating AI Adoption for Emerging Enterprises in India' happening on 26th February 2021 Friday from 3:30 PM to 5:00 PM IST in association with Abzooba. #roundtable #MachineLearning</t>
  </si>
  <si>
    <t>https://lnkd.in/dZaYz7G</t>
  </si>
  <si>
    <t>https://pbs.twimg.com/media/Eu5-xB0VoAEU8jx.jpg</t>
  </si>
  <si>
    <t>At Brainalytics, we are a professional organizers of high-level B2B events. We research, produce, conduct and coordinate conferences, awards and summits .</t>
  </si>
  <si>
    <t>Fisheyebox Innovation Lab</t>
  </si>
  <si>
    <t>Data Structure.. #AI #DataScientist #DataScience #CloudComputing #futureofwork #BigData #MachineLearning #IIoT #RStats #JavaScript #ReactJS #Serverless #Linux #Devops #selfdrivingcars #fashiontech #smartcities #AR #fintech #blockchain #5G #cybersecurity #Engineering #Python #HR</t>
  </si>
  <si>
    <t>We love #Invention &amp; #Innovation, work on them @FishEyeBox™ | R&amp;D, Expert in #AI #AutonomousDriving, #SelfDrivingCar, #Fintech, #Martech, #Agritech, #Healthtech</t>
  </si>
  <si>
    <t>http://www.fisheyebox.com</t>
  </si>
  <si>
    <t>geniSIGHTS</t>
  </si>
  <si>
    <t>Have you wondered how OTT platforms like Netflix suggest what you should watch on their platform? Read Now! #artificialintelliegence #bigdataanalytics #netflix #ottplatforms #machinelearning #deeplearningalgorithms</t>
  </si>
  <si>
    <t>https://pbs.twimg.com/media/Eu5-2nhVkAEQZb6.jpg</t>
  </si>
  <si>
    <t>A bleeding edge, technology agnostic, and customizable platform that helps the business scale analytics as per their requirements. #geniFLASH #geniFAST</t>
  </si>
  <si>
    <t>https://www.genisights.com/</t>
  </si>
  <si>
    <t>Xor Systems</t>
  </si>
  <si>
    <t>These flying robots use AI to select fruit and then pick it. via @alvinfoo @wef #AI #MachineLearning #agritech #Innovation #Robotics #IoT #Digitaltransformation #deeplearning RT @alvinfoo: Leave the fruits picking to the #robots Via @wef #AI #robotic #digitaltransformation #agriculture #IOT #Industry40 #4IR</t>
  </si>
  <si>
    <t>https://twitter.com/alvinfoo/status/1364015379282948101</t>
  </si>
  <si>
    <t>pic.twitter.com/SxYJUSmXfd</t>
  </si>
  <si>
    <t>Bristol, England</t>
  </si>
  <si>
    <t>An innovation-led digital transformation consultancy, specialising in IIoT and Edge Computing. We partner with businesses who wish to thrive in Industry 4.0</t>
  </si>
  <si>
    <t>http://www.xors.com</t>
  </si>
  <si>
    <t>Alex Honchar</t>
  </si>
  <si>
    <t>When StyleGAN and GPT meet each other ;) Try:  How it works:  #ai #unsupervisedlearning #machinelearning #artificialintelligence #datascience #gan #computervision #gpt #nlp</t>
  </si>
  <si>
    <t>https://lnkd.in/eguGFRR
https://lnkd.in/e9CaWBg</t>
  </si>
  <si>
    <t>https://pbs.twimg.com/media/Eu5-ttUXUAANLd_.jpg</t>
  </si>
  <si>
    <t>Verona</t>
  </si>
  <si>
    <t>🇺🇦 🇮🇹 Everyone needs a personal "Jarvis" from the Iron Man to free life from routines. I make it happen.</t>
  </si>
  <si>
    <t>https://medium.com/@alexrachnog</t>
  </si>
  <si>
    <t>I gave +Kred to @SupplyChainBlog on @Kred. #influence #SupplyChain #Logistics #RPA #BigData #IoT #IIoT #IoTPL #blockchain #machinelearning #artificialintelligence #deeplearning #DL #tech</t>
  </si>
  <si>
    <t>#cloudcomputing via NodeXL  @chidambara09 @gp_pulipaka @eli_krumova @reach2ratan @cybersec_feeds @analytics_699 @innovat78455398 @globaliqx @fisheyebox @pinakilaskar Top hashtags: #ai #machinelearning #iot #datascience #bigdata #cloudcomputing /</t>
  </si>
  <si>
    <t>https://bit.ly/37jmgOP</t>
  </si>
  <si>
    <t>CALLISTO</t>
  </si>
  <si>
    <t>What are the challenges of using #MachineLearning on #EarthObservation data? @geoworldmedia's newest blog post provides information about the main difficulties #AI experts need to overcome in order to use #EO data. 🌍🛰️</t>
  </si>
  <si>
    <t>https://www.geospatialworld.net/blogs/challenges-of-using-machine-learning-on-earth-observation-data/</t>
  </si>
  <si>
    <t>Bridging the gap between the DIAS providers and application end users through dedicated AI solutions. | Project funded by @EU_H2020</t>
  </si>
  <si>
    <t>EXTENTIA®</t>
  </si>
  <si>
    <t>In conversation with @anita_puranik, the founder of GridSense Health, we learned how the platform addresses the intricacies of the daunting #organtransplant procedure by incorporating #machinelearning and #technology.  #TransplantCare #Healthcare</t>
  </si>
  <si>
    <t>https://bit.ly/2Mf7lOk</t>
  </si>
  <si>
    <t>Global Technology Consultants | #ExperienceCentricTransformation | #Innovation for #Mobile #Cloud #Design | #IoT #UX #Salesforce #SAPCloudPlatform #AR #VR #AI</t>
  </si>
  <si>
    <t>http://www.extentia.com/contact-us</t>
  </si>
  <si>
    <t>Vaarst</t>
  </si>
  <si>
    <t>Vaarst enables businesses to harness the power of data and robotics in subsea applications and beyond. Follow us to learn how Vaarst can solve your robotic challenges, today and in the future.  #Vaarst #Robotics #MachineLearning #Technology #Innovation</t>
  </si>
  <si>
    <t>https://vaarst.com/</t>
  </si>
  <si>
    <t>pic.twitter.com/MpNDno8xLL</t>
  </si>
  <si>
    <t xml:space="preserve">Bristol </t>
  </si>
  <si>
    <t>Enabling robotics to drive the world's industrial future. #Vaarst</t>
  </si>
  <si>
    <t>Eng Santosian</t>
  </si>
  <si>
    <t>Who is the best Code writter- Human or python? #Analytics #AI #Rstats #Reactjs #IoT #IIoT #DataScience #BigData #Linux #Serverless #WomenWhoCode #flutter #DEVCommunity #Coding #SmartCity #FinTech #MachineLearning #Cloud #EV #futureofwork #100DaysOfCode</t>
  </si>
  <si>
    <t>pic.twitter.com/E583ZuPOEa</t>
  </si>
  <si>
    <t>united state</t>
  </si>
  <si>
    <t>Conservationist/Engineer/Programmer #100daysofcode</t>
  </si>
  <si>
    <t>#Robot conducting a human #orchestra. #DEVCommunity #Programming #IoT #IoTPL #AI #100DaysOfCode #MachineLearning #Airdrop #CloudComputing #Analytics #Serverless #cybersecurity #ArtificialIntelligence #DataScience #5G #Engineering #innovation #sustainable #energy #India #Asia RT @segundoatdell: Check out this #robot conducting a human orchestra! 📹@nowthisnews @PawlowskiMario @MargaretSiegien @CurieuxExplorer @labordeolivier @jblefevre60 @EvanKirstel @GlenGilmore @Ronald_vanLoon @adamsconsulting @DeepLearn007 @HaroldSinnott #Robotics #AI</t>
  </si>
  <si>
    <t>https://twitter.com/segundoatdell/status/1364149368786456576</t>
  </si>
  <si>
    <t>https://pbs.twimg.com/media/ERKv4FMWoAAQ8-i.jpg</t>
  </si>
  <si>
    <t>5 Things You Didn’t Know About Artificial Intelligence - BBN Times Read more here:  #ArtificialIntelligence #AI #DataScience #100DaysOfCode #Python #MachineLearning #BigData #DeepLearning #NLP #Robots #IoT</t>
  </si>
  <si>
    <t>https://ift.tt/2P7Tef3</t>
  </si>
  <si>
    <t>CGI to develop services combining AI and EO for wildfire mapping - PreventionWeb Read more here:  #ArtificialIntelligence #AI #DataScience #100DaysOfCode #Python #MachineLearning #BigData #DeepLearning #NLP #Robots #IoT</t>
  </si>
  <si>
    <t>https://ift.tt/2OTg61t</t>
  </si>
  <si>
    <t>We are glad to welcome Santosh Bhat as a speaker on our #roundtable ' Accelerating AI Adoption for Emerging Enterprises in India' happening on 26th February 2021 Friday from 3:30 PM to 5:00 PM IST in association with Abzooba. #joinus #MachineLearning</t>
  </si>
  <si>
    <t>https://pbs.twimg.com/media/Eu59186UcAMTUAf.jpg</t>
  </si>
  <si>
    <t>FSecure Italia</t>
  </si>
  <si>
    <t>Ecco in che modo il #machinelearning può ridurre il tasso di abbandono dei clienti | #cybersecurity</t>
  </si>
  <si>
    <t>https://blog.f-secure.com/how-smarter-machine-learning-reduces-churn/</t>
  </si>
  <si>
    <t>Siamo qui per la tua #sicurezza. La testiamo in banca. Proteggiamo gli aerei. Aiutiamo la società a costruire migliori connessioni. E non ci fermiamo mai.</t>
  </si>
  <si>
    <t>https://blog.f-secure.com/it/</t>
  </si>
  <si>
    <t>Aditics</t>
  </si>
  <si>
    <t>The 4 Biggest Trends In Big Data And Analytics Right For 2021 #BigData #learning #machinelearning via</t>
  </si>
  <si>
    <t>C-2,Sector-1,Noida-201301,U.P</t>
  </si>
  <si>
    <t>360 Degree - Marketing Agency helping Business &amp; Professionals in achieving Success and Growth.</t>
  </si>
  <si>
    <t>http://aditics.com/</t>
  </si>
  <si>
    <t>#arXiv #machinelearning [cs.LG] On Proximal Policy Optimization's Heavy-tailed Gradients. (arXiv:2102.10264v1 [cs.LG])  Modern policy gradient algorithms, notably Proximal Policy Optimization (PPO), rely on an arsenal of heuristics, including loss clippi…</t>
  </si>
  <si>
    <t>https://bit.ly/2NW6vX9</t>
  </si>
  <si>
    <t>#arXiv #machinelearning [cs.LG] Meta-Learning Dynamics Forecasting Using Task Inference. (arXiv:2102.10271v1 [cs.LG])  Current deep learning models for dynamics forecasting struggle with generalization. They can only forecast in a specific domain and fai…</t>
  </si>
  <si>
    <t>https://bit.ly/3pMWVmI</t>
  </si>
  <si>
    <t>Amazing ice formations all over Niagara Falls. #DEVCommunity #Programming #IoT #IoTPL #AI #100DaysOfCode #MachineLearning #Airdrop #CloudComputing #Analytics #cybersecurity #ArtificialIntelligence #DataScience #5G #Engineering #innovation #NaturePhotography #NiagaraFalls RT @nowthisnews: Frigid winter temperatures have left breathtaking ice formations all over Niagara Falls. On Sunday, visitors caught a glimpse of a rainbow on the New York side of the majestic waterfall 🌈❄️</t>
  </si>
  <si>
    <t>https://twitter.com/nowthisnews/status/1364043048943050752</t>
  </si>
  <si>
    <t>pic.twitter.com/EFVUMUYOhq</t>
  </si>
  <si>
    <t>What is the future of data science courses post-covid? One of the most interesting things about COVID-19 is that for the first time most people were forced to work remotely.  #DataScience #MachineLearning #ML #BigData</t>
  </si>
  <si>
    <t>https://dataly.st/blog-post/what-is-the-future-of-data-science-courses-post-covid/</t>
  </si>
  <si>
    <t>Rovco</t>
  </si>
  <si>
    <t>Vaarst is going to replace video, laser scanning, and INS systems with real-time 3D data, all with no need for additional sensors. Be the first to see this groundbreaking technology by following @Vaarst1 #Robotics #MachineLearning #Technology #Innovation #Entrepreneur #Vaarst</t>
  </si>
  <si>
    <t>pic.twitter.com/spYdwfuFKu</t>
  </si>
  <si>
    <t>ROV and hydrographic subsea technology for the offshore wind industry providing the world's highest quality data, using computer vision and AI. #OceanInsight</t>
  </si>
  <si>
    <t>http://www.rovco.com</t>
  </si>
  <si>
    <t>Social Path</t>
  </si>
  <si>
    <t>The latest Optimise your Social.!  #machinelearning #ai</t>
  </si>
  <si>
    <t>https://paper.li/socialpathZA/1539082009?edition_id=c2a057a0-75c4-11eb-a5c8-0cc47a0d15fd</t>
  </si>
  <si>
    <t>P2P Digital Marketing Consultancy serious about evidence-based P2P Marketing - with a dedicated team who have tons of 🧡 Make magic with us 🦄 &amp; be contagious!</t>
  </si>
  <si>
    <t>https://www.socialpath.co.za</t>
  </si>
  <si>
    <t>Convit</t>
  </si>
  <si>
    <t>We proudly present: #Newsmind! - Intelligente #Newsroom Lösungen von Convit. Überzeuge Dich selbst und automatisiere Deine #Content-Workflows➡️  #KI #KünstlicheIntelligenz #Redaktion #Workflow #Digitalisierung #Cloud #SaaS #BigData #MachineLearning #tool</t>
  </si>
  <si>
    <t>https://convit.de/newsmind</t>
  </si>
  <si>
    <t>https://pbs.twimg.com/media/Eu588owXIAAgM0S.jpg</t>
  </si>
  <si>
    <t>Köln, Deutschland</t>
  </si>
  <si>
    <t>AI for newsrooms: Tools für Medienmacher, Broadcaster, Publisher * Smart Data * #KI * #Machine Learning * #MediaDataHub * #Newsmind * http://convit.de/impressum</t>
  </si>
  <si>
    <t>https://convit.de/</t>
  </si>
  <si>
    <t>Data Pre-processing for #MachineLearning Models</t>
  </si>
  <si>
    <t>https://buff.ly/3aKLFmB</t>
  </si>
  <si>
    <t>https://pbs.twimg.com/media/Eu588PwXUAMAFKK.jpg</t>
  </si>
  <si>
    <t>Data Visualization with MATLAB - Projects and Examples  #machinelearning #ad</t>
  </si>
  <si>
    <t>https://zpy.io/44ec2b13</t>
  </si>
  <si>
    <t>Innovations &amp; Trends Article page #Innovation #learning #machinelearning via</t>
  </si>
  <si>
    <t>http://twinybots.ch
https://essentials.news/cybersecurity/innovations-and-trends/article?url=https://www.forbes.com/sites/forbestechcouncil/2021/02/18/four-ways-ai-and-machine-learning-will-drive-future-innovation-and-change/amp/%3Fsh%3D7b12c5eb21a8%26__twitter_impression%3Dtrue</t>
  </si>
  <si>
    <t>QA Valley, Inc.</t>
  </si>
  <si>
    <t>Machine learning adds another layer to your software security challenge  #MachineLearning #cybersecurity #Software #cyberattacks #technology #QAcycle</t>
  </si>
  <si>
    <t>http://bit.ly/2SpnEHZ</t>
  </si>
  <si>
    <t>https://pbs.twimg.com/media/Eu5FlcIVcAMDWzS.png</t>
  </si>
  <si>
    <t>QA Valley focuses on performing rigorous Software Quality Assurance Testing on enterprise systems and apps prior to general release.</t>
  </si>
  <si>
    <t>http://www.qavalley.com</t>
  </si>
  <si>
    <t>Ishika Tailor</t>
  </si>
  <si>
    <t>is it possible to plot 3D pie chart by ggplot or not? I had install threed and ggthreed package from Github. I had take discrete data on x variable but still not happening. #ggplot2 #RStats #MachineLearning #DataScience</t>
  </si>
  <si>
    <t>https://pbs.twimg.com/media/Eu58qbMVoAQmFSS.jpg</t>
  </si>
  <si>
    <t>📍Surat, India🇮🇳</t>
  </si>
  <si>
    <t>Django developer✨ | Tech enthusiasts 🤩| Data science admirer🌟 | Machine Learning | Web developer | Learner📑</t>
  </si>
  <si>
    <t>This artist draws two masterpieces at once using both hands. #DEVCommunity #Programming #IoT #IoTPL #AI #100DaysOfCode #MachineLearning #Airdrop #CloudComputing #Analytics #Serverless #cybersecurity #pencildrawing #portlait #5G #Engineering #innovation #artist #art RT @nowthisnews: This absurdly talented artist can draw 2 masterpieces at once using both hands</t>
  </si>
  <si>
    <t>https://twitter.com/nowthisnews/status/1364083314311585793</t>
  </si>
  <si>
    <t>pic.twitter.com/BMxZI7uCpy</t>
  </si>
  <si>
    <t>CoDiS Lab Graz</t>
  </si>
  <si>
    <t>Open #thesis @CoDiSLabGraz @tugraz_csbme @tugraz: This thesis aims to create a #VR forest and enable users to see the world through the eyes of animals which move through the forest using #MachineLearning techniques. (collab. with @AmericanU). Contact us to learn more!</t>
  </si>
  <si>
    <t>https://pbs.twimg.com/media/Eu58QyjXIAc6-cO.jpg</t>
  </si>
  <si>
    <t>Graz, Austria</t>
  </si>
  <si>
    <t>Research group @TUGraz focusing on cognitive and digital science #computerscience #cognitivescience #digitalscience #research</t>
  </si>
  <si>
    <t>http://isds.tugraz.at/codis</t>
  </si>
  <si>
    <t>Richard Hooijdonk</t>
  </si>
  <si>
    <t>Now that the #pandemic necessitates a fast and furious increase in remote and #VR learning, transformational #technologies are swiftly moving into the #education mainstream. #AR #learning #AI #tools #tech #remote #teaching #machinelearning #future</t>
  </si>
  <si>
    <t>http://ow.ly/qfBu50DGd4e</t>
  </si>
  <si>
    <t>https://pbs.twimg.com/media/Eu58QvoXAAITLiw.jpg</t>
  </si>
  <si>
    <t>52.28017,4.800456</t>
  </si>
  <si>
    <t>Trendwatcher &amp; futurist, Inspirational speaker, travelling professor, technology trends.</t>
  </si>
  <si>
    <t>http://www.richardvanhooijdonk.com</t>
  </si>
  <si>
    <t>Agenda de la Empresa</t>
  </si>
  <si>
    <t>BBVA (@bbva - @BBVA_espana) y Google Cloud (@GoogleCloud_ES) promoverán la #innovación en la #seguridad de los servicios #financieros @chroniclesec #IA #InteligenciaArtificial #ML #MachineLearning @BBVAPrensa @mbellido</t>
  </si>
  <si>
    <t>http://ow.ly/SvXb50DHoyW</t>
  </si>
  <si>
    <t>https://pbs.twimg.com/media/Eu58QexWYAUyM_6.jpg</t>
  </si>
  <si>
    <t>Sevilla-Andalucía-España</t>
  </si>
  <si>
    <t>El diario económico y empresarial online. Ideas, personas, hechos e instrumentos para dirigir la #empresa. Perteneciente al Grupo @Informaria</t>
  </si>
  <si>
    <t>http://www.agendaempresa.com</t>
  </si>
  <si>
    <t>datamining24</t>
  </si>
  <si>
    <t>datamining24 delivers data, insights, news and thoughts on the datamining universe. #datamining #data #ML #AI #bigdata #analytics #datascience #statistic</t>
  </si>
  <si>
    <t>http://polkadot24.com</t>
  </si>
  <si>
    <t>Microsoft Word to get AI-powered text prediction feature next month #MachineLearning #learning via</t>
  </si>
  <si>
    <t>http://twinybots.ch
https://www.computing.co.uk/news/4027534/microsoft-word-ai-powered-text-prediction-feature</t>
  </si>
  <si>
    <t>DataCoast</t>
  </si>
  <si>
    <t>Future of Robotics in India in the post COVID era  #dataanalytics #datascience #sport #media #machinelearning #digitalmarketing #education #industry #student #research #IoT #AI #entrepreneurship #robots #microcontroller</t>
  </si>
  <si>
    <t>https://www.eletimes.com/future-of-robotics-in-india-in-the-post-covid-era</t>
  </si>
  <si>
    <t>CIE, Gachibowli,IIIT Hyderabad</t>
  </si>
  <si>
    <t>Tech StartUp || Data Engineering services || Data Analytics solutions || Govt, Education, Media, Sports, Research Institutes, and Industries</t>
  </si>
  <si>
    <t>http://datacoast.in/</t>
  </si>
  <si>
    <t>Weak Supervision : A New Programming Paradigm for #MachineLearning | SAIL Blog  H/T: @Mindbreeze</t>
  </si>
  <si>
    <t>https://ai.stanford.edu/blog/weak-supervision/</t>
  </si>
  <si>
    <t>This Robot Doesn’t Need Any Electronics  #dataanalytics #datascience #sport #media #machinelearning #digitalmarketing #education #industry #student #research #IoT #AI #entrepreneurship #robots #microcontroller</t>
  </si>
  <si>
    <t>https://www.eletimes.com/this-robot-doesnt-need-any-electronics82959-2</t>
  </si>
  <si>
    <t>☁️⚡Cloud Native DEVS</t>
  </si>
  <si>
    <t>Using distributed Xgboost with DASK in Cloudera Machine Learning #machinelearning 😉</t>
  </si>
  <si>
    <t>https://youtu.be/DZVuIOVXcOQ</t>
  </si>
  <si>
    <t>Crunchy news about Cloud tech, security 🤯 with a pinch of ML 🧪</t>
  </si>
  <si>
    <t>Eduonix</t>
  </si>
  <si>
    <t>Watch this beginner’s tutorial on Deep Learning to learn about the background and history of this technology. Watch Now  #deeplearning #machinelearning #artificialintelligence #datascience #ai #python #code #programming #technology #bigdata #dataanalytics</t>
  </si>
  <si>
    <t>https://cutt.ly/glzsP5P</t>
  </si>
  <si>
    <t>Teacher, Educator and Technologist</t>
  </si>
  <si>
    <t>http://www.eduonix.com</t>
  </si>
  <si>
    <t>AI and Machine Learning in Healthcare ➡️  ✅ #healthcare #ArtificialIntelligence #Analytics #DataScience #AI #MachineLearning #IoT #IIoT #Python #RStats #CloudComputing #Serverless #Linux #Programming #Coding @udemy #100DaysofCode #100DaysOfMLCode</t>
  </si>
  <si>
    <t>http://bit.ly/3qLkHRn</t>
  </si>
  <si>
    <t>https://pbs.twimg.com/media/Eu56WJGVIAkT5oJ.jpg</t>
  </si>
  <si>
    <t>Seven Peaks Software</t>
  </si>
  <si>
    <t>💪 Together we learn 💪 #SevenPeaksSoftware #motivational #learning #SoftwareEngineering #Azure #MotivationalQuotes #Android #PhotoOfTheDay #technology #tech #DigitalMarketing #classof2020 #Inspiration #MachineLearning #tuesdaymotivations #Trending #Developer #Coding</t>
  </si>
  <si>
    <t>https://pbs.twimg.com/media/Eu54LObVgAUS0OW.jpg</t>
  </si>
  <si>
    <t>Bangkok</t>
  </si>
  <si>
    <t>Seven Peaks Software is an international software company in Thailand that specializes in application, UI UX design, web design, and web development for mobile.</t>
  </si>
  <si>
    <t>https://www.sevenpeakssoftware.com/</t>
  </si>
  <si>
    <t>The First No-Code Voice AI Platform for Microcontrollers  #dataanalytics #datascience #sport #media #machinelearning #digitalmarketing #education #industry #student #research #IoT #AI #entrepreneurship #robots #microcontroller</t>
  </si>
  <si>
    <t>https://www.eletimes.com/the-first-no-code-voice-ai-platform-for-microcontrollers</t>
  </si>
  <si>
    <t>TensorFlow: Accelerate NumPy with GPUs - Speed up matrix operations with TensorFlow’s experimental API by @louischanloyuet #MachineLearning #AI #DeepLearning #TensorFlow #Python #DataScience</t>
  </si>
  <si>
    <t>https://pub.towardsai.net/tensorflow-accelerate-numpy-with-gpus-964e9087fdab?source=social.tw</t>
  </si>
  <si>
    <t>JOURNAL WATCH -- #AI in Radiology -- Multiclass semantic segmentation and quantification of traumatic brain injury lesions on head CT using deep learning: an algorithm development and multicentre validation study (Lancet Digit Health)  #ML #MachineLearning</t>
  </si>
  <si>
    <t>http://doi.org/10.1016/S2589-7500(20)30085-6</t>
  </si>
  <si>
    <t>https://pbs.twimg.com/media/Eu55-PaVEAEmMSK.png</t>
  </si>
  <si>
    <t>ChiRadio</t>
  </si>
  <si>
    <t>The latest  news!  Thanks to @ChangeOfHabits @Walkenton #ai #machinelearning</t>
  </si>
  <si>
    <t>http://ChiRadio.com
http://www.chiradio.com/?edition_id=c3763020-75c2-11eb-a51d-0cc47a0d164b</t>
  </si>
  <si>
    <t>chicago</t>
  </si>
  <si>
    <t>http://Chiradio.com x http://chiRadio.net x http://ThatRapStuff.com x http://TheSoulStation.com x http://Chill.WORK X http://www.RockVideos247.com</t>
  </si>
  <si>
    <t>https://youtu.be/2UPsgi1PMUQ</t>
  </si>
  <si>
    <t>MENTOR_EID Project H2020</t>
  </si>
  <si>
    <t>Prestigious #phdopportunity available @AstonPhotonics of Aston University: 'Complexity reduction and data augmentation for deep machine learning-based optical transmission systems'. Info and apply:  #MENTORRecruitment #MachineLearning #DeepLearning #AI</t>
  </si>
  <si>
    <t>http://bit.ly/2NSYnqo</t>
  </si>
  <si>
    <t>https://pbs.twimg.com/media/Eu54UtEXEAAvFJ2.png</t>
  </si>
  <si>
    <t>UK; ES; IT; DK; DE; PT; FR</t>
  </si>
  <si>
    <t>MENTOR (Machine LEarning in optical NeTwORks): research training network using deep machine learning &amp; AI techniques for advanced optical communication systems</t>
  </si>
  <si>
    <t>http://mentor.astonphotonics.uk</t>
  </si>
  <si>
    <t>Innovations &amp; Trends Article page #Innovation #learning #machinelearning</t>
  </si>
  <si>
    <t>https://essentials.news/cybersecurity/innovations-and-trends/article</t>
  </si>
  <si>
    <t>JA Directives - Small Business Insights</t>
  </si>
  <si>
    <t>#Offer2021 | #Discounts | R Certification: Data Science and Machine Learning Bootcamp with R  #R #Certification # Datascience #Machinelearning #Bootcamp</t>
  </si>
  <si>
    <t>http://bit.ly/2ZxdH09</t>
  </si>
  <si>
    <t>We Provide Contents &amp; Tools for #SmallBusiness #Entrepreneurs #SocialMediaMarketing &amp; #Startups. No 20 #BusinessIntelligence Brand by Onalytica.</t>
  </si>
  <si>
    <t>http://www.jadirectives.com</t>
  </si>
  <si>
    <t>Olivier Mikéladzé</t>
  </si>
  <si>
    <t>Day 10 of #31DaysofML by @pvergadia 1️⃣0️⃣ things that can go wrong with #MachineLearning Projects and what you can do about it! Learn more in this video by @kweinmeister 👉</t>
  </si>
  <si>
    <t>https://www.youtube.com/watch?v=iy8v9Mg5KVA
https://google.smh.re/1tn</t>
  </si>
  <si>
    <t>When (&amp; why) to use log transformation in regression? by Georgios Drakos 👈Thanks!  @TryGhost #DataScience #AI #MachineLearning Cc @HaroldSinnott @jblefevre60 @DeepLearn007 @KirkDBorne @bobehayes @schmarzo</t>
  </si>
  <si>
    <t>https://buff.ly/3sXRPXV</t>
  </si>
  <si>
    <t>https://pbs.twimg.com/media/Eu55DSDXAAILQH6.png</t>
  </si>
  <si>
    <t>Modernizing Data Dashboards.  #artificialintelligence, #bi, #bigdata, #cybersecurity, #dataengineering, #datagovernance, #datamanagement, #dataquality, #datascience, #datascience #ds, #machinelearning</t>
  </si>
  <si>
    <t>https://bit.ly/3pJlEbQ</t>
  </si>
  <si>
    <t>Mike Miller</t>
  </si>
  <si>
    <t>https://amzn.to/3dKhCxz</t>
  </si>
  <si>
    <t>https://pbs.twimg.com/media/Eu55BCDWQAIbmws.jpg</t>
  </si>
  <si>
    <t>Dublin, Ireland 🇮🇪</t>
  </si>
  <si>
    <t>Life in general, @AWScloud, cloud stuff, Linux, virtualisation and tech. (PS: I tend to list rather than follow :) ) Views and posts are my own.</t>
  </si>
  <si>
    <t>https://pbs.twimg.com/media/Eu5443OWYAMxXlb.jpg</t>
  </si>
  <si>
    <t>Henry Harvin Education</t>
  </si>
  <si>
    <t>𝐌𝐚𝐤𝐞 𝐮𝐬𝐞 𝐨𝐟 𝐭𝐡𝐞𝐬𝐞 𝐓𝐨𝐩 𝟏𝟎 𝐩𝐲𝐭𝐡𝐨𝐧 𝐥𝐢𝐛𝐫𝐚𝐫𝐢𝐞𝐬 𝐚𝐧𝐝 𝐦𝐞𝐧𝐝 𝐲𝐨𝐮𝐫 𝐤𝐧𝐨𝐰𝐥𝐞𝐝𝐠𝐞.📚 #henryharvin #education #askhenry #pythonlibraries #programming #machinelearning #datascience #technology #webdeveloper #training #certification #success</t>
  </si>
  <si>
    <t>https://pbs.twimg.com/media/Eu541WfXUAAHjO-.jpg</t>
  </si>
  <si>
    <t>C-108 1st Floor Sector 2 Noida</t>
  </si>
  <si>
    <t>As a company we are into the business of training, skilling assessment centres higher education and content services. We partner only with the best in industry.</t>
  </si>
  <si>
    <t>https://www.henryharvin.com/</t>
  </si>
  <si>
    <t>AI Closely Monitoring the Airplane while Landing &amp; Taking off. #Robotics #Automation #Robot #ArtificialIntelligence #MachineLearning #Engineering #AI #IOT By @visiveAI</t>
  </si>
  <si>
    <t>pic.twitter.com/nQk7bG8TKx</t>
  </si>
  <si>
    <t>Audio Analytic</t>
  </si>
  <si>
    <t>Join us at 8pm (PDT) for the next tinyML UK talk: Making ML work in the real world - with our VP of Technology, Dr Dominic Binks. There is still time to register here:  #artificialintelligence #ai #machinelearning</t>
  </si>
  <si>
    <t>https://aud.al/3aKcdo8</t>
  </si>
  <si>
    <t>Cambridge, UK</t>
  </si>
  <si>
    <t>We are the pioneers of sound recognition, bringing intelligence to consumer tech through our embedded software.</t>
  </si>
  <si>
    <t>http://www.audioanalytic.com</t>
  </si>
  <si>
    <t>Domesticated Brain</t>
  </si>
  <si>
    <t>Python Machine Learning: Machine Learning and Deep Learning with Python, scikit-learn, and TensorFlow 2, 3rd Edition Link -  #MachineLearning #Python #DeepLearning #CodeNewbies #WomenWhoCode #DataScience #AI #ArtificialIntelligence #programming</t>
  </si>
  <si>
    <t>https://amzn.to/3bApzCu</t>
  </si>
  <si>
    <t>This is the official twitter account for web site called Domesticated Brain. We are sharing various kinds of #computer #tutorials and latest #technology news.</t>
  </si>
  <si>
    <t>http://www.domesticatedbrain.com/</t>
  </si>
  <si>
    <t>decide4AI</t>
  </si>
  <si>
    <t>🧩¿Cuál es la ventaja competitiva de implementar #MachineLearning en el proceso de suscripción de pólizas? Nos lo cuenta Antonio Barriendos Solé en su último artículo 👉  #seguros #machinelearning #suscripción #pólizas #aseguradoras</t>
  </si>
  <si>
    <t>https://www.linkedin.com/pulse/machine-learning-y-el-negocio-asegurador-antonio-barriendos-sol%25C3%25A9/</t>
  </si>
  <si>
    <t>C/Albasanz 16, Madrid España</t>
  </si>
  <si>
    <t>#ArtificialIntelligence and #AdvancedAnalytics for Smart Decisions. #AI #MachineLearning #Hyperautomtion #DigitalDecisioning #decide4AI</t>
  </si>
  <si>
    <t>http://www.decidesoluciones.es</t>
  </si>
  <si>
    <t>MarketsandMarkets™</t>
  </si>
  <si>
    <t>Join us for the Panel Discussion on the Top 10 Disruptions through Artificial Intelligence at the MarketsandMarkets #CrystalBallEvent to be held on March 10, 2021! Register for FREE -  #ArtificialIntelligence #RevenueGrowth #MachineLearning #DataScience</t>
  </si>
  <si>
    <t>https://bit.ly/3sg4Men</t>
  </si>
  <si>
    <t>https://pbs.twimg.com/media/Eu5iyVWVkAQ6_DP.jpg</t>
  </si>
  <si>
    <t>India: Pune, Maharashtra &amp; US: Northbrook, IL</t>
  </si>
  <si>
    <t>Founded in Sep 2010, MarketsandMarkets is the world's largest Revenue Impact &amp; Advisory firm and a one-stop solution for all market research &amp; consulting needs.</t>
  </si>
  <si>
    <t>http://marketsandmarkets.com</t>
  </si>
  <si>
    <t>KatherineMunro 👩‍💻</t>
  </si>
  <si>
    <t>Love this! All the questions you should be asking before starting a #MachineLearning project (including some that are too often overlooked!), on one easy-to-brainstorm template. Thanks @louisdorard</t>
  </si>
  <si>
    <t>http://louisdorard.com/machine-learning-canvas</t>
  </si>
  <si>
    <t>https://pbs.twimg.com/media/Eu24GlgXAAgff9v.jpg</t>
  </si>
  <si>
    <t>Linz,  Upper Austria</t>
  </si>
  <si>
    <t>Data Scientist. Computational Linguist. Speaker, writer, teacher. I share stuff on #AI &amp; #ML #future, AI #ethics, #diversity in tech &amp; more.</t>
  </si>
  <si>
    <t>http://www.linkedin.com/in/katherine-munro</t>
  </si>
  <si>
    <t>Shankaransh Srivastava</t>
  </si>
  <si>
    <t>#Knowtheunknowns with @smarthelioIOT Our pattern recognition technology helps decouple faults and tells you precisely the reasons for your #solarpv plant's underperformance. #ArtificialIntelligence #MachineLearning #swisstechnology #research #AssetManagement #solarpower RT @smarthelioIOT: #Knowtheunkowns "You know it's there, but you don't know what it is?" #SmartHelio's customer centric approach, helped #SolarPlant's Asset Manager not only to identify the unknowns, but also manage and forecast better for improved Future Productivity'' #AI #IoT #renewableenergy</t>
  </si>
  <si>
    <t>https://twitter.com/smarthelioIOT/status/1364114656810332162</t>
  </si>
  <si>
    <t>https://pbs.twimg.com/media/Eu5NBbkU4AAUCJL.jpg</t>
  </si>
  <si>
    <t>Solar Energy is passion! And my heart is Poetry: https://www.youtube.com/channel/UC18HL7fuJMS9BZ8JEHB4JFA</t>
  </si>
  <si>
    <t>If #SoftwareTesting is tedious, can #AI help? #MachineLearning #ArtificialIntelligence #DeepLearning #DataScience #reactjs #serverless #WomenInTech #python #Linux #Flutter #TensorFlow #PyTorch #DigitalTransformation #NeuralNetwork #softwareDevelopment  RT @andresvilarino: #Software #Testing Is Tedious. #AI Can Help #ArtificialIntelligence #Algorithm #automation #developers #Tech #Technology #customer #softwareDevelopment</t>
  </si>
  <si>
    <t>http://ow.ly/9lva30rxYr1
https://twitter.com/andresvilarino/status/1364123041689726977</t>
  </si>
  <si>
    <t>https://pbs.twimg.com/media/Eu5WrW7WYAEPa9Y.jpg</t>
  </si>
  <si>
    <t>Insurance Analytics Market – Current Impact to Make Big Changes | Biggest Opportunity of 2028 – NeighborWebSJ - NeighborWebSJ  #DataScience #MachineLearning #DeepLearning #Insurance #NLP #Robots #AI #IoT #BigData</t>
  </si>
  <si>
    <t>https://ift.tt/3pTUkrv</t>
  </si>
  <si>
    <t>Israeli Insurtech Earnix Reaches $1 Billion Valuation After Financing Round - Insurance Journal  #DataScience #MachineLearning #DeepLearning #Insurance #NLP #Robots #AI #IoT #BigData</t>
  </si>
  <si>
    <t>https://ift.tt/3k9aNGW</t>
  </si>
  <si>
    <t>Ground Limo</t>
  </si>
  <si>
    <t>Ground Limo Black car service is available to and from the airport, with various options upon airport arrival...  . . #limousine #chauffeur #shuttle #luxery #carsamba #USA #America #newyork #Boston #sedan #SUV #bus #AI #5G #MachineLearning #100DaysOfCode</t>
  </si>
  <si>
    <t>http://groundlimo.com</t>
  </si>
  <si>
    <t>https://pbs.twimg.com/media/Eu54G-BUUAA8BrO.jpg</t>
  </si>
  <si>
    <t>NewYork</t>
  </si>
  <si>
    <t>Ground Limo offers a variety of limousine services at an affordable price for corporate ground transportation on rent including Black Car Limousines, Sprinters.</t>
  </si>
  <si>
    <t>WriteX</t>
  </si>
  <si>
    <t>Check out my podcast, Artificial Intelligence, on @anchor:  #ArtificialIntelligence #AI #blogger #Python #Django #IndiaWantsCrypto #podcast #MachineLearning</t>
  </si>
  <si>
    <t>https://anchor.fm/writex-official</t>
  </si>
  <si>
    <t>Ever Onward Facts!</t>
  </si>
  <si>
    <t>http://writex.today</t>
  </si>
  <si>
    <t>Essential Science: #Autonomous cars edge to the future  #SelfDrivingCars #AI #IoT #5G #AutonomousVehicles #selfdriving #Robotics #driverless #driverlesscars #startups #startup #Robot #MachineLearning #BigData #SmartCity #Travel #tech #Robots #mobility</t>
  </si>
  <si>
    <t>http://www.digitaljournal.com/tech-and-science/science/essential-science-autonomous-cars-edge-to-the-future/article/585739</t>
  </si>
  <si>
    <t>UKRobotics</t>
  </si>
  <si>
    <t>Job: BRL Associate/Assistant Professor in Machine Learning @HeriotWattUni - apply by 5th March  #MachineLearning #Jobs</t>
  </si>
  <si>
    <t>https://www.hw.ac.uk/uk/jobs/job-SVJDMzA3NDQ.htm</t>
  </si>
  <si>
    <t>Official account of the EPSRC UK Robotics and Autonomous Systems (UK-RAS) Network. Organisers of the annual UK Festival of Robotics (formerly UK Robotics Week).</t>
  </si>
  <si>
    <t>http://www.ukras.org</t>
  </si>
  <si>
    <t>Jose Juhala</t>
  </si>
  <si>
    <t>https://amzn.to/3unvTpJ</t>
  </si>
  <si>
    <t>https://pbs.twimg.com/media/Eu53otAWQAATMXU.jpg</t>
  </si>
  <si>
    <t>Solutions architect at AWS. All opinions are completely my own.</t>
  </si>
  <si>
    <t>LetsTalkB2B</t>
  </si>
  <si>
    <t>Delighted to welcome Altair on board as Bronze Partner for the Hybrid Edition Middle East Banking AI &amp; Analytics Summit. Visit  to learn more #analytics #ai #dataanalytics #frauddetection #machinelearning #datascience #bigdata #automation #rpa #MEBANKINGAI</t>
  </si>
  <si>
    <t>https://mebankingai.com</t>
  </si>
  <si>
    <t>https://pbs.twimg.com/media/Eu53Z9mVgAY4dHB.jpg</t>
  </si>
  <si>
    <t>Let’sTalkB2B is a next-gen business platform offering differential B2B decision-making opportunities with potential companies globally.#Conferences #Rountables</t>
  </si>
  <si>
    <t>http://www.letstalk-biz.com</t>
  </si>
  <si>
    <t>J'ai une âme solitaire. #glitchartistscollective #machinelearning #glitchart #nft #ai #psychedelicart #generativeart #surrealism #databending #cryptoart</t>
  </si>
  <si>
    <t>https://pbs.twimg.com/media/Eu53MYXXEAEnhyT.jpg</t>
  </si>
  <si>
    <t>Machine Learning Data Catalog Software Market By Top Key Players such as IBM, -  #machinelearning #intoAInews</t>
  </si>
  <si>
    <t>https://neurons.ai/blog/news-stories/machine-learning-data-catalog-software-market-by-top-key-players-such-as-ibm-alation-oracle/</t>
  </si>
  <si>
    <t>Machine Learning in Communication Market Potential growth, attractive valuation -  #machinelearning #intoAInews</t>
  </si>
  <si>
    <t>https://neurons.ai/blog/news-stories/machine-learning-in-communication-market-potential-growth-attractive-valuation-make-it-is-a-long/</t>
  </si>
  <si>
    <t>What Is Geometric Deep Learning - Working with 2D data is becomi  #machinelearning #intoAInews</t>
  </si>
  <si>
    <t>https://neurons.ai/blog/news-stories/what-is-geometric-deep-learning/</t>
  </si>
  <si>
    <t>Unravelling Transfer Learning to Make Machines More Advanced - A machine learning  #machinelearning #intoAInews</t>
  </si>
  <si>
    <t>https://neurons.ai/blog/news-stories/unravelling-transfer-learning-to-make-machines-more-advanced/</t>
  </si>
  <si>
    <t>Data Digest: Explaining, Streamlining, and Selecting Machine Learning Models - The  #machinelearning #intoAInews</t>
  </si>
  <si>
    <t>https://neurons.ai/blog/news-stories/data-digest-explaining-streamlining-and-selecting-machine-learning-models/</t>
  </si>
  <si>
    <t>Machine Learning as a Service (MLaaS) Market Growth, Size, Opportunities and -  #machinelearning #intoAInews</t>
  </si>
  <si>
    <t>https://neurons.ai/blog/news-stories/machine-learning-as-a-service-mlaas-market-growth-size-opportunities-and-analysis-forecast-2/</t>
  </si>
  <si>
    <t>Micro Focus Security</t>
  </si>
  <si>
    <t>See how #AI powered behavioral analytics can secure your engineering infrastructure in our new #SecOps blog by @Marketineer:  #SOC #ArtificialIntelligence #MachineLearning #CyberResilience</t>
  </si>
  <si>
    <t>http://ms.spr.ly/6014pA0Ow</t>
  </si>
  <si>
    <t>https://pbs.twimg.com/media/Eu52_CzXUAEB2Zw.jpg</t>
  </si>
  <si>
    <t>Strengthen your cyber resilience. Intelligently adapt your security. Protect. Detect. Evolve.</t>
  </si>
  <si>
    <t>https://www.microfocus.com/en-us/trend/security-risk-governance?utm_campaign=00164297</t>
  </si>
  <si>
    <t>Can You Hack AI?  #CyberAttack #MachineLearning #DataScience #Python #AI #100DaysOfCode #IoT #flutter #javascript #Serverless #CyberSecurity #tech #DDoS #DeepLearning #fintech #COVID19 #data #RPA #IIoT #5G #Cloud #Tesla #CyberCrimes #GAN #Hacking #security</t>
  </si>
  <si>
    <t>Actomedia</t>
  </si>
  <si>
    <t>⚪ 𝐀𝐑𝐓𝐈𝐅𝐈𝐂𝐈𝐀𝐋 𝐈𝐍𝐓𝐄𝐋𝐋𝐈𝐆𝐄𝐍𝐂𝐄 𝐉𝐔𝐃𝐆𝐌𝐄𝐍𝐓 Chissà se anche voi avete mai provato questa App. 👩‍🏫 #artificialintelligence #ai #machinelearning #technology #datascience #deeplearning #programming #robotics #tech #coding #bigdata</t>
  </si>
  <si>
    <t>https://www.hownormalami.eu/</t>
  </si>
  <si>
    <t>Pescara, Abruzzo</t>
  </si>
  <si>
    <t>Actomedia Srls 💟Rompere le regole è un'arte che richiede regole molto precise. ──────── ✨Meta-Media Agency ✨| #madeinactomedia</t>
  </si>
  <si>
    <t>http://www.actomedia.com</t>
  </si>
  <si>
    <t>Pinna Pierre</t>
  </si>
  <si>
    <t>👉 @DeepMind and University College London @ucl Introduce Alchemy 👇 A Novel Open-Source Benchmark For Meta-Reinforcement learning (RL) Research  via @MarkTechPost #AI #MachineLearning #DeepLearning Cc @DeepLearn007 @KirkDBorne @SpirosMargaris @schmarzo</t>
  </si>
  <si>
    <t>https://www.marktechpost.com/2021/02/21/deepmind-and-university-college-london-introduce-alchemy-a-novel-open-source-benchmark-for-meta-reinforcement-learning-rl-research/</t>
  </si>
  <si>
    <t>https://pbs.twimg.com/media/Eu52HTGXMAU-A_x.png</t>
  </si>
  <si>
    <t>Founder CEO IPFConline Digital Innovations @ipfconline1 Computer Science Engineer #BigData #Analytics #eLearning #AI #Ethics #MachineLearning #DigitalMarketing</t>
  </si>
  <si>
    <t>http://www.ipfconline.fr/contact-eng.html</t>
  </si>
  <si>
    <t>Amelia Smith</t>
  </si>
  <si>
    <t>I came across with best blog on #Python #Libraries for #MachineLearning #Tensorflow #Numpy #Scipy #ScikitLearn and many more read out this interesting blog till the end @PythonHub @machinelearnflx @pythonlibraries #ML2021</t>
  </si>
  <si>
    <t>Texas, USA</t>
  </si>
  <si>
    <t>Passionate about #Innovation #Technology #Seo #Digitaltransformation #Agile</t>
  </si>
  <si>
    <t>Google Alto “A Little Teachable Object” for #MachineLearning  #DataScience #Python #AI #100DaysOfCode #IoT #flutter #javascript #Serverless #CyberSecurity #tech #DeepLearning #COVID19 #data #5G #Google #Robot @pascal_bornet @Paula_Piccard @HaroldSinnott</t>
  </si>
  <si>
    <t>https://www.youtube.com/watch?v=Rym9_F2GWhs</t>
  </si>
  <si>
    <t>GowriShankar</t>
  </si>
  <si>
    <t>Please human, can you teach me how to AI? #ArtificialIntelligence #learning #machinelearning via</t>
  </si>
  <si>
    <t>http://twinybots.ch
https://medium.com/nerd-for-tech/please-human-can-you-teach-me-how-to-ai-9b272920f16f</t>
  </si>
  <si>
    <t>Startup Enthusiast and Digital Evangelist, Techtalk, Futurist #oneminutegyan #omg</t>
  </si>
  <si>
    <t>https://www.youtube.com/channel/UC8BWSX1ofnMXZgmD5a2RvZg</t>
  </si>
  <si>
    <t>Recognise A Jedi</t>
  </si>
  <si>
    <t>Day 1: Live online @Microsoft Development Cloud Summit South Africa 2021 #coder #github #python #c++ #java #microsoft #amazon #azure #devops #newbie #developer #quant #algorithm #cloud #ai #machinelearning #artificialintelligence #intel #apple #oracle</t>
  </si>
  <si>
    <t>https://pbs.twimg.com/media/Eu511orWgAEbRaV.jpg</t>
  </si>
  <si>
    <t>#python #c++ #java || 6th Dimension || Piomentary</t>
  </si>
  <si>
    <t>Scaling Machine Learning With Python and Dask #machinelearning #scalingmachinelearning 👀</t>
  </si>
  <si>
    <t>https://youtu.be/4h0T6GLLlUo</t>
  </si>
  <si>
    <t>Accelerating the AI &amp; ML Journey #Fintech #learning #machinelearning via</t>
  </si>
  <si>
    <t>http://twinybots.ch
https://technative.io/the-fintech-future-accelerating-the-ai-ml-journey/</t>
  </si>
  <si>
    <t>UNRAVELLING TRANSFER LEARNING TO MAKE MACHINES MORE ADVANCED  #MachineLearning #DataScience #Python #AI #100DaysOfCode #IoT #flutter #javascript #Serverless #CyberSecurity #tech #DDoS #DeepLearning #fintech #Entrepreneur #COVID19 #data #RPA #IIoT #5G #Cloud</t>
  </si>
  <si>
    <t>Dr.Salahideen ALHAJ 🔶 🔸️#WearAMask #SDGs</t>
  </si>
  <si>
    <t>neo4j via NodeXL  @neo4j @danielcfng @barrasadv @dagh @nancytr83158469 @ipythonistabot @craigmullins @pythonhub @devrelavocados @elonmusk @salhaj Top hashtags: #neo4j #bbbt #datascience #ai #graph #machinelearning #python #ml #graphdatabases #database /</t>
  </si>
  <si>
    <t>https://bit.ly/3sp08Lb</t>
  </si>
  <si>
    <t xml:space="preserve">Sweden </t>
  </si>
  <si>
    <t>UNITED NATIONS EXPERT. BETTER DATA BETTER LIVES. Statistical Data Collection &amp;Management Census. Survey CSPro / CAPI |</t>
  </si>
  <si>
    <t>https://www.linkedin.com/in/dr-salahideen-alhaj-1551b812/</t>
  </si>
  <si>
    <t>Silvia Villa del #DIMA @UniGenova ospite oggi #23febbraio alle 14.30 del ciclo di seminari #AIM, #artificialintelligence and #mathematics. Si parla di #ottimizzazione per il #machinelearning. Diretta streaming su</t>
  </si>
  <si>
    <t>https://www.youtube.com/watch?v=E_gWr3_n7jg</t>
  </si>
  <si>
    <t>https://pbs.twimg.com/media/Eu508yYXAAMcopW.jpg</t>
  </si>
  <si>
    <t>We are now a family of 10k AI enthusiasts on Twitter 🎉 🤖  #ai #artificialintelligence #machinelearning #chatbot #ml #bots #chatbots #bot #technology #chatbotmessenger #chatbotexpert #digitaltransformation #chatbotfacebook #chatbotagency #chatbotcompany</t>
  </si>
  <si>
    <t>http://bit.ly/botosynthesis</t>
  </si>
  <si>
    <t>https://pbs.twimg.com/media/Eu50y2zWQAMzF_h.jpg</t>
  </si>
  <si>
    <t>New year, new language  #MachineLearning #DataScience #Python #AI #100DaysOfCode #DEVCommunity #IoT #flutter #javascript #Serverless #CyberSecurity #tech #DDoS #Entrepreneur #DeepLearning #fintech #CodeNewbie #COVID19 #data #RPA #IIoT #5G #Cloud #coding</t>
  </si>
  <si>
    <t>https://www.itproportal.com/features/new-year-new-language/</t>
  </si>
  <si>
    <t>Divyesh Ardeshana</t>
  </si>
  <si>
    <t>#MachineLearning RT @Chirpy_Geek: 10 Ways AI And Machine Learning Are Improving Marketing In 2021 #AI #ArtificialIntelligence #Technology #MachineLearning #ML #ICYMI</t>
  </si>
  <si>
    <t>https://twitter.com/Chirpy_Geek/status/1364155246012817417
https://bit.ly/2MfcGVS</t>
  </si>
  <si>
    <t>Dubai, United Arab Emirates</t>
  </si>
  <si>
    <t>Founder at @savvyDCC | Leader @dubaiusergroup | #LearnSalesforce | #DataScience | #LearnDataScience | Ahmedabad | Pune | Dubai</t>
  </si>
  <si>
    <t>http://savvydatacloudconsulting.com/</t>
  </si>
  <si>
    <t>We're getting very excited planning for our summer #interns! Don't miss out on your opportunity to apply for internship projects with us! Deadline 4th March! Full details here:  #AI #ArtificialIntelligence #ML #MachineLearning #Chemistry #Internships RT @AISciNet: Announcing AI3SD Summer #Internships! Prospective Project Supervisors are invited to apply for funding for relevant summer projects involving #AI &amp; #Chemistry for up to 10 weeks. Full details here:  #ArtificialIntelligence #MachineLearning #ML</t>
  </si>
  <si>
    <t>https://www.ai3sd.org/2021/02/16/16-02-2021-ai3sd-summer-internship-call/
https://twitter.com/AISciNet/status/1361985491420274689</t>
  </si>
  <si>
    <t>Machine Learning, Indian Social Media’s Biggest Challenge Yet  #MachineLearning #DataScience #Python #AI #100DaysOfCode #IoT #flutter #javascript #Serverless #CyberSecurity #tech #DDoS #DeepLearning #fintech #COVID19 #data #RPA #IIoT #5G #Cloud #socialmedia</t>
  </si>
  <si>
    <t>https://analyticsindiamag.com/machine-learning-indian-social-medias-biggest-challenge-yet/</t>
  </si>
  <si>
    <t>Olivia Smith</t>
  </si>
  <si>
    <t>Can chatbots be the most imperative marketing prospect for your business this year?  #chatbots #marketing #marketingchannel #futuretrends #technology #businessmarketing #AI #machinelearning</t>
  </si>
  <si>
    <t>http://bit.ly/2DS9M16</t>
  </si>
  <si>
    <t>Magento Developer, Technical Writer and blogger who writes on #MagentoTechnology. Currently working with #magento #development company.</t>
  </si>
  <si>
    <t>http://bit.ly/2Hqvfhl</t>
  </si>
  <si>
    <t>Take a break and listen to this poem created with Machine Learning. #takeabreak #machinelearning #datascience #bigdata #ML #AI #ArtificialIntelligence #Technology #Innovation #pythonprogramming #poetry #poemoftheday #AIcreativity #Python #AIart #poems #NLP #poetrycommunity</t>
  </si>
  <si>
    <t>pic.twitter.com/vEfTUwLlhV</t>
  </si>
  <si>
    <t>Visage Technologies</t>
  </si>
  <si>
    <t>Ready for the next big step in your #career? Help us use the power of #computerVision and #machineLearning to create fantastic solutions for clients worldwide. 🚀 Find your perfect job position:</t>
  </si>
  <si>
    <t>https://bit.ly/2w2Zdsg</t>
  </si>
  <si>
    <t>https://pbs.twimg.com/media/Eu5zqiaXAAQH3X1.jpg</t>
  </si>
  <si>
    <t>Scientists, futurists, engineers &amp; artists creating first-rate #computervision #software. Subscribe to our quarterly newsletter: https://bit.ly/2Ny6Lf0</t>
  </si>
  <si>
    <t>https://www.visagetechnologies.com</t>
  </si>
  <si>
    <t>Akanksha Singh</t>
  </si>
  <si>
    <t>10 Ways AI And Machine Learning Are Improving Marketing In 2021 #AI #ArtificialIntelligence #Technology #MachineLearning #ML #ICYMI</t>
  </si>
  <si>
    <t>https://bit.ly/2MfcGVS</t>
  </si>
  <si>
    <t>Energetic||Software Engineer||Full stack Developer||Data Science|| Exploring|| I like to read and share articles. My @Jsbot6</t>
  </si>
  <si>
    <t>#LowCode leads #changemanagement #business #Tech #nocode #javascript #github #nodejs #cybersecurity #devops #100DaysOfCode #datascience #ai #bot #codenewbie #iot #machinelearning #Python #Serverless #womenintech #microsoft #flutter  RT @HCLDigital: #Lowcode is all about changing the way companies deliver enterprise apps. But there’s more to it than just speed.... ✅Fast time to value ✅Simplified integration ✅Design from scratch, customize pre-built templates, or import existing designs</t>
  </si>
  <si>
    <t>https://via.socxo.net/ZO6QCwDCDBeCE
https://twitter.com/HCLDigital/status/1363941637953441794
https://hclsw.co/8pk76e</t>
  </si>
  <si>
    <t>pic.twitter.com/YxkSeXGUm7</t>
  </si>
  <si>
    <t>Harsha S</t>
  </si>
  <si>
    <t>Harsha S earned a statement of accomplishment on DataCamp for completing Linear Classifiers in Python!  via @DataCamp #DataCamp #DataScience #MachineLearning #pythonprogramming</t>
  </si>
  <si>
    <t>https://www.datacamp.com/statement-of-accomplishment/course/2e4f35730854e6021fbad32c648db8bcc306be8c</t>
  </si>
  <si>
    <t>Kenneth Onwuzolum</t>
  </si>
  <si>
    <t>Get in touch with us for Artificial intelligence Consultancy and Solutions, Zolum Tech #ArtificialIntelligence #artificialintelligencetools #machine_learning #ml #machinelearning</t>
  </si>
  <si>
    <t>https://pbs.twimg.com/media/Eu5yoQJWQAMdHvP.jpg</t>
  </si>
  <si>
    <t>Lagos Nigeria</t>
  </si>
  <si>
    <t>Industrial Automation | AI Consultant | Chatbot Developer | Tech Crusader | Loving Father &amp; Husband | Zolum Technology Solutions</t>
  </si>
  <si>
    <t>Alvascience</t>
  </si>
  <si>
    <t>"PROTACs and Building Blocks : The 2D Chemical Space..." in  alvaDesc is used to calculated molecular descriptors. #protacs #drugdiscovery #cheminformatics #alvadesc #compchem #moleculardescriptors #alvascience #machinelearning #qsar #bro5 #chemtwitter</t>
  </si>
  <si>
    <t>https://www.mdpi.com/1420-3049/26/3/672</t>
  </si>
  <si>
    <t>Software Solutions for Chemoinformatics and QSAR #QSAR #chemoinformatics</t>
  </si>
  <si>
    <t>https://www.alvascience.com</t>
  </si>
  <si>
    <t>ACTICO - Smarter Decisions</t>
  </si>
  <si>
    <t>☑️ Guide: 9 Gründe für den Einsatz eines Decision Management Systems (DMS)❗ 📌 Transparenz und Nachvollziehbarkeit von Entscheidungen Alle Gründe im Guide....  #intelligentautomation #hyperautomation #rpa #gartner #automation #machinelearning #ai</t>
  </si>
  <si>
    <t>https://bit.ly/3peDPWv</t>
  </si>
  <si>
    <t>Immenstaad, Chicago, Singapur</t>
  </si>
  <si>
    <t>Der offizielle deutschsprachige Twitter-Kanal von #ACTICO . English: @ACTICO_en Impressum: http://ow.ly/V8zDq Datenschutz: https://www.actico.com/de/datenschutz/</t>
  </si>
  <si>
    <t>http://www.actico.com</t>
  </si>
  <si>
    <t>Automeme</t>
  </si>
  <si>
    <t>Passionate About Latest #Technology. Visit http://autome.me for Updates in #AI #Business #fintech #Robotics #Data~LinkedIn~https://www.linkedin.com/company/automeme/</t>
  </si>
  <si>
    <t>https://autome.me</t>
  </si>
  <si>
    <t>What Is Geometric Deep Learning  #MachineLearning #DataScience #Python #AI #100DaysOfCode #IoT #flutter #javascript #Serverless #CyberSecurity #tech #DDoS #DeepLearning #fintech #Entrepreneur #startups #COVID19 #data #RPA #IIoT #5G #Cloud #geometry #RNN</t>
  </si>
  <si>
    <t>https://analyticsindiamag.com/what-is-geometric-deep-learning/</t>
  </si>
  <si>
    <t>Avneet Singh</t>
  </si>
  <si>
    <t>Explainable Artificial Intelligence for Decoding Regulatory Instructions in DNA #DeepLearning #AI #machinelearning #ICYMI</t>
  </si>
  <si>
    <t>https://bit.ly/3kggCSW</t>
  </si>
  <si>
    <t>☬ Sikh ☬ by religion. Research Engineer by profession. Manchester United fan since 1999. AI enthusiast. PS : Respect your own mortality.</t>
  </si>
  <si>
    <t>Five Predictions for the use of #AI in #Fintech  via @Finextra #MachineLearning Cc @DeepLearn007 @SpirosMargaris @psb_dc @JimMarous @SimonCocking @andi_staub @efipm</t>
  </si>
  <si>
    <t>https://www.finextra.com/the-long-read/96/five-predictions-for-the-use-of-ai-in-fintech</t>
  </si>
  <si>
    <t>https://pbs.twimg.com/media/Eu5zGvcXUAM9K2b.jpg</t>
  </si>
  <si>
    <t>Cloud Industry Forum</t>
  </si>
  <si>
    <t>The latest The cloud computing, cloud, digital Daily!  #digitaltransformation #machinelearning</t>
  </si>
  <si>
    <t>https://paper.li/UK_CIF/1494252160?edition_id=93049840-75be-11eb-9fda-0cc47a0d1609</t>
  </si>
  <si>
    <t>London &amp; anywhere in the Cloud</t>
  </si>
  <si>
    <t>Cloud Industry Forum (CIF) champions #Cloud Computing, #Digital Technology, #DigitalLiteracy for Vendors, Channel, End Users - @alexhilton_gb CEO &amp; @DT as Chair</t>
  </si>
  <si>
    <t>https://www.cloudindustryforum.org/content/cif-membership-0</t>
  </si>
  <si>
    <t>Mathematical Optimization in Python: Installation of Gurobi and Gurobipy  #gurobi #optimization #gurobipy #algorithms #programming #coding #phdlife #machineLearning</t>
  </si>
  <si>
    <t>https://youtu.be/fRKhao2bzsY</t>
  </si>
  <si>
    <t>Learn about business cases for data integration across complex landscapes #SAPDataIntelligence #ProvenBusinessCases #dataIntegration #DataOrchestration #MachineLearning</t>
  </si>
  <si>
    <t>https://bit.ly/37F0MfH</t>
  </si>
  <si>
    <t>https://pbs.twimg.com/media/Eu5y3k7VcAYTQ39.jpg</t>
  </si>
  <si>
    <t>BotPenguin</t>
  </si>
  <si>
    <t>The #IBM Watson AI XPRIZE has a prize of $5 million in this competition, which aims to demonstrate the power of AI in tackling global challenges. . Follow @imbotpenguin for more updates. . #BotPenguin #chatbot #IBM #AI #learning #Millions #MachineLearning #LifeSciences</t>
  </si>
  <si>
    <t>pic.twitter.com/4n8zyqXLxw</t>
  </si>
  <si>
    <t>BotPenguin, AI-powered Chatbot Platform, Builds incredible Chatbots to Communicate and Engage your customers on the website, facebook and other platforms.</t>
  </si>
  <si>
    <t>http://www.botpenguin.com</t>
  </si>
  <si>
    <t>Emma Newman @ NICE VRS</t>
  </si>
  <si>
    <t>To meet growing demands, contact centers are increasingly using #omnichannel staffing models, which is helping impact organizations in big ways. Find out how in our new blog &gt;&amp;gt;  #contactcenter #CX #automation #WFO #WFM #WFH #automation #machinelearning</t>
  </si>
  <si>
    <t>https://okt.to/HtN1cA</t>
  </si>
  <si>
    <t>https://pbs.twimg.com/media/Eu5ymS2WQAEce5b.jpg</t>
  </si>
  <si>
    <t>England, United Kingdom</t>
  </si>
  <si>
    <t>Expert Business Consultant, helping customers with technology for improved Customer Experience in Contact Centers.</t>
  </si>
  <si>
    <t>The #Fintech Future: Accelerating the AI &amp; ML Journey  #AI #MachineLearning</t>
  </si>
  <si>
    <t>https://technative.io/the-fintech-future-accelerating-the-ai-ml-journey/</t>
  </si>
  <si>
    <t>GhostWriter.AI</t>
  </si>
  <si>
    <t>If you work in the marketing field, you can't avoid automation - luckily! #automation #machinelearning #digitalmarketing #changes</t>
  </si>
  <si>
    <t>https://bit.ly/37rxJvM</t>
  </si>
  <si>
    <t>Be relevant to your target audience. Dig out all the info from your conversations with customers. #cx #contentmarketing by @esterliquori</t>
  </si>
  <si>
    <t>https://jt.ghostwriter.ai/website</t>
  </si>
  <si>
    <t>Microsoft Word to get AI-powered text prediction feature next month  #MachineLearning #DataScience #Python #AI #100DaysOfCode #IoT #flutter #javascript #Serverless #CyberSecurity #tech #DDoS #DeepLearning #COVID19 #data #RPA #IIoT #5G #Cloud #Microsoft</t>
  </si>
  <si>
    <t>https://www.computing.co.uk/news/4027534/microsoft-word-ai-powered-text-prediction-feature</t>
  </si>
  <si>
    <t>Fondazione Cmcc</t>
  </si>
  <si>
    <t>CMCC Webinar 🌍 February 25 h 3:00 pm CET #Data #Learning: Integrating Data Assimilation &amp; #MachineLearning Speaker: Rossella Arcucci, Data Science Institute @imperialcollege Moderator: Nadia Pinardi, CMCC Foundation @UniboMagazine Register at:</t>
  </si>
  <si>
    <t>http://bit.ly/Web2502</t>
  </si>
  <si>
    <t>https://pbs.twimg.com/media/Eu5ySL2WgAEq8QH.jpg</t>
  </si>
  <si>
    <t>Euro-Mediterranean Center on #climatechange: integrated, multi-disciplinary and frontier #research on #climate #science and #policy.</t>
  </si>
  <si>
    <t>http://www.cmcc.it</t>
  </si>
  <si>
    <t>One day I will look back to this day #coder #github #python #c++ #java #microsoft #amazon #azure #devops #newbie #developer #quant #algorithm #cloud #ai #machinelearning #artificialintelligence #intel #apple #oracle</t>
  </si>
  <si>
    <t>pic.twitter.com/y6DnmrUXY5</t>
  </si>
  <si>
    <t>Mentat Innovations</t>
  </si>
  <si>
    <t>Translating lost languages using machine learning  #MachineLearning</t>
  </si>
  <si>
    <t>https://buff.ly/3o7lGL3</t>
  </si>
  <si>
    <t>https://pbs.twimg.com/media/Eu5yEVNXEAAwuuB.jpg</t>
  </si>
  <si>
    <t>Engineered Intelligence</t>
  </si>
  <si>
    <t>http://ment.at</t>
  </si>
  <si>
    <t>PINAKI</t>
  </si>
  <si>
    <t>19.134884, 72.810591</t>
  </si>
  <si>
    <t>Founder @Fisheyebox, help companies to Built &amp; Implement #AIoT | Explorer #AIThinking #XAI, #XR #Intelligence as a Service | Author, Inventor, Speaker &amp; Mentor.</t>
  </si>
  <si>
    <t>https://www.linkedin.com/in/pinakilaskar/</t>
  </si>
  <si>
    <t>AI AND BIAS: THE BUCK STOPS (W)HERE  #MachineLearning #DataScience #Python #AI #100DaysOfCode #IoT #flutter #javascript #Serverless #CyberSecurity #tech #DDoS #DeepLearning #fintech #Entrepreneur #COVID19 #data #RPA #startups #IIoT #5G #Cloud #bias #XAI</t>
  </si>
  <si>
    <t>https://www.analyticsinsight.net/artificial-intelligence-and-bias-the-buck-stops-where/</t>
  </si>
  <si>
    <t>Theoretical Foundations of Graph Neural Networks  #DL #AI #ML #DeepLearning #ArtificialIntelligence #MachineLearning #ComputerVision #AutonomousVehicles #NeuroMorphic #Robotics</t>
  </si>
  <si>
    <t>https://buff.ly/3ur8jbo</t>
  </si>
  <si>
    <t>How I meet the KNN algorithm.  #analytics #datascience, #artificialintelligence, #bigdata, #datascience, #datascience #ds, #forecasting, #machinelearning, #neuralnetworks, #statistics, #timeseries</t>
  </si>
  <si>
    <t>https://bit.ly/3unXKGg</t>
  </si>
  <si>
    <t>10 Best Free Websites To Learn More About #DataScience And #MachineLearning by Bharath K via @TDataScience  #ArtificialIntelligence #DeepLearning #DigitalTransformation #FutureofWork #5G #IoT #100DaysOfCode #Dev cc @ipfconline1 @mvollmer1 @Nicochan33</t>
  </si>
  <si>
    <t>https://pbs.twimg.com/media/Eu5x-sMXEAM7UsY.jpg</t>
  </si>
  <si>
    <t>What is Precision ? #MachineLearning #AI #learnmachinelearning #themlguru</t>
  </si>
  <si>
    <t>Sentiment analysis from scratch with logistic regression CC @MikeQuindazzi #Automation #AI #MachineLearning</t>
  </si>
  <si>
    <t>https://medium.com/swlh/sentiment-analysis-from-scratch-with-logistic-regression-ca6f119256ab?source=rss-------8-----------------artificial_intelligence</t>
  </si>
  <si>
    <t>https://pbs.twimg.com/media/Eu5x1SvUcAACkgo.jpg</t>
  </si>
  <si>
    <t>https://ift.tt/2MiRE8Y</t>
  </si>
  <si>
    <t>We're Building a Data Science Curriculum with Advanced Mathematics and Machine Learning  #MachineLearning #DataScience</t>
  </si>
  <si>
    <t>https://www.freecodecamp.org/news/building-a-data-science-curriculum-with-advanced-math-and-machine-learning/</t>
  </si>
  <si>
    <t>Understanding #MachineLearning &amp; #DeepLearning  via @ingliguori #DigitalTransformation #Cloud #BigData #ArtificialIntelligence #cybersecurity #Blockchain #DX #Analytics #AI #IIoT #DataScience #IoT @ingliguori @GuidoKerkhof @globaliqx @albertogaruccio</t>
  </si>
  <si>
    <t>https://bit.ly/3natpGf</t>
  </si>
  <si>
    <t>Is AI-enabled radiomics the next frontier in oncology?  #MachineLearning #DataScience #Python #AI #100DaysOfCode #IoT #flutter #javascript #Serverless #CyberSecurity #tech #DeepLearning #COVID19 #data #RPA #IIoT #5G #Cloud #oncology #Health #HealthTech</t>
  </si>
  <si>
    <t>https://www.healthcareitnews.com/news/ai-enabled-radiomics-next-frontier-oncology</t>
  </si>
  <si>
    <t>https://medium.com/nerd-for-tech/please-human-can-you-teach-me-how-to-ai-9b272920f16f</t>
  </si>
  <si>
    <t>Here's what you need to know about the new AI 'arms race'  #MachineLearning #DataScience #Python #AI #100DaysOfCode #IoT #flutter #javascript #Serverless #CyberSecurity #tech #DDoS #DeepLearning #COVID19 #data #RPA #IIoT #5G #Cloud #armsindustry by @wef</t>
  </si>
  <si>
    <t>Mindbreeze</t>
  </si>
  <si>
    <t>If you are wondering how domain knowledge is injected into AI, then take a look at this resource that gives a great explanation:  #ML #AI #ArtificialIntelligence #MachineLearning #DeepLearning</t>
  </si>
  <si>
    <t>http://ai.stanford.edu/blog/weak-supervision/</t>
  </si>
  <si>
    <t>ÜT: 35.089259,33.374476</t>
  </si>
  <si>
    <t>Mindbreeze is the innovator in leading-edge enterprise search, digital cognition, search-driven intelligence and search apps. Mindbreeze GmbH Honauerstr. 2 Linz</t>
  </si>
  <si>
    <t>http://www.mindbreeze.com</t>
  </si>
  <si>
    <t>Introduction to Machine Learning with Python: A Guide for Data Scientists Link -  #MachineLearning #100DaysOfCode #CodeNewbies #WomenWhoCode #DEVCommunity #DevOps #SoftwareEngineering #AI #ArtificialIntelligence</t>
  </si>
  <si>
    <t>https://amzn.to/3aHVPEH</t>
  </si>
  <si>
    <t>PangaeaX</t>
  </si>
  <si>
    <t>When choosing a #machinelearning algorithm for your problem, it is important to know exactly what type of #problem you are dealing with. Learn more about the key #techniques that can be used to choose the right #machine #algorithm here:</t>
  </si>
  <si>
    <t>https://cutt.ly/IllNbt7</t>
  </si>
  <si>
    <t>https://pbs.twimg.com/media/Eu5xEr5WYAEH5Mq.jpg</t>
  </si>
  <si>
    <t>“X” Marks the spot. Connect. Communicate. Collaborate. The world’s first &amp; only Data Analytics dedicated platform for freelancers</t>
  </si>
  <si>
    <t>http://www.pangaeax.com</t>
  </si>
  <si>
    <t>jack</t>
  </si>
  <si>
    <t>Hi, to prevent the spread of covid-19. We've launched AiMask on Android Platform. AiMask is mask detection monitoring using AI Technology. GET IT FOR FREE NOW  #ai #artificialintelligence #iot #technology #android #machinelearning #internetofthings</t>
  </si>
  <si>
    <t>https://lnkd.in/gayU7f4</t>
  </si>
  <si>
    <t>https://pbs.twimg.com/media/Eu5wq2vUUAAqkUo.jpg</t>
  </si>
  <si>
    <t>Bandung</t>
  </si>
  <si>
    <t>Intelligence control and Automation system laboratory, Engineering Physics ITB Computer Vision Engineer Founder PT Teknologi Satu Jaman</t>
  </si>
  <si>
    <t>http://j-onetechnology.com</t>
  </si>
  <si>
    <t>#reinforcementlearning #ML #machinelearning Learn in this article How reinforcement learning chooses the ads you see by @bdtechtalks cc @etzioni @bobgourley @grattongirl @RichardEudes</t>
  </si>
  <si>
    <t>http://ow.ly/Ndo230rxVCh</t>
  </si>
  <si>
    <t>MAKE WAY FOR CLOUD-BASED AI MOBILE APPLICATIONS  #MachineLearning #DataScience #Python #AI #100DaysOfCode #IoT #flutter #javascript #Serverless #CyberSecurity #tech #DDoS #DeepLearning #fintech #COVID19 #data #RPA #IIoT #5G #Cloud #mobile #applications</t>
  </si>
  <si>
    <t>https://www.analyticsinsight.net/make-way-for-cloud-based-ai-mobile-applications/</t>
  </si>
  <si>
    <t>Programming Hero</t>
  </si>
  <si>
    <t>Touchdown Confirmed on the Red Planet @NASAPersevere . . . . . #NASA #BigData #Analytics #DataScience #DeepLearning #MachineLearning #IoT #Python #RStats #JavaScript #ReactJS #GoLang #Serverless #Linux #Programming #Coding #100DaysOfCode</t>
  </si>
  <si>
    <t>pic.twitter.com/0l1BM4AGwX</t>
  </si>
  <si>
    <t>Coding Just Got Fun</t>
  </si>
  <si>
    <t>How Artificial Intelligence is helping fend off cyberattacks - DATAQUEST Read more here:  #ArtificialIntelligence #AI #DataScience #100DaysOfCode #Python #MachineLearning #BigData #DeepLearning #NLP #Robots #IoT</t>
  </si>
  <si>
    <t>https://ift.tt/2NvLHGg</t>
  </si>
  <si>
    <t>Olivier Salomon</t>
  </si>
  <si>
    <t>Courbevoie, France</t>
  </si>
  <si>
    <t>#Tech &amp; #Innovation leader @allianzfrance - Passion #Digital #quantumcomputing #AI #Blockchain #machineLearning #cryptography #cybersecurity #Science</t>
  </si>
  <si>
    <t>https://www.getrevue.co/profile/olivier-salomon</t>
  </si>
  <si>
    <t>Simone Ceruti</t>
  </si>
  <si>
    <t>Please human, can you teach me how to AI? #MachineLearning #artificialintelligence #learning</t>
  </si>
  <si>
    <t>Milan</t>
  </si>
  <si>
    <t>Senior executive - architect of @DigiTogether - #digital #tech #consumers #innovation #socialbusiness #FMCG #sustainability Here only MY opinions!</t>
  </si>
  <si>
    <t>Fraunhofer HHI</t>
  </si>
  <si>
    <t>Congrats to Dr. Grégoire Montavon, Dr. @WojciechSamek &amp; their team! 🎉 The researchers were honored with the Pattern Recognition "Best Paper Award" for their scientific paper which was rated having major influence on the field of #MachineLearning &amp;amp; #XAI. 👉</t>
  </si>
  <si>
    <t>https://www.hhi.fraunhofer.de/en/press-media/news/2021/fraunhofer-hhi-tu-berlin-and-university-of-oslo-researchers-jointly-receive-pattern-recognition-best-paper-award.html</t>
  </si>
  <si>
    <t>https://pbs.twimg.com/media/Eu5wWFlXUAAaxTI.jpg</t>
  </si>
  <si>
    <t>@FraunhoferHHI shapes the digital society of the future: Our research teams develop new standards for information and communication technologies.</t>
  </si>
  <si>
    <t>http://www.hhi.fraunhofer.de</t>
  </si>
  <si>
    <t>How to control emotions when doing research ""</t>
  </si>
  <si>
    <t>The new thing to show people when they start scripting in JMP 16 #ArtificialIntelligence #AI #DataScience #100DaysOfCode #Python #MachineLearning #BigData #DeepLearning #NLP #Robots #IoT</t>
  </si>
  <si>
    <t>https://bit.ly/2Mh7iSh</t>
  </si>
  <si>
    <t>GLOBAL COOPERATION &amp; GUIDELINES WILL LET COUNTRIES USE AI FOR GOOD  #MachineLearning #DataScience #Python #AI #100DaysOfCode #IoT #flutter #javascript #Serverless #CyberSecurity #tech #DDoS #DeepLearning #fintech #COVID19 #data #RPA #IIoT #5G #Cloud #Policy</t>
  </si>
  <si>
    <t>https://www.analyticsinsight.net/global-cooperation-guidelines-will-let-countries-use-ai-for-good/</t>
  </si>
  <si>
    <t>What Lawyers Want Everyone to Know About #AI Liability  #SelfDrivingCars #IoT #5G #AutonomousVehicles #selfdriving #autonomous #Robotics #driverless #driverlesscars #startups #startup #Robot #MachineLearning #BigData #SmartCity #Travel #tech #Robots</t>
  </si>
  <si>
    <t>http://www.informationweek.com/big-data/ai-machine-learning/what-lawyers-want-everyone-to-know-about-ai-liability/a/d-id/1340211</t>
  </si>
  <si>
    <t>AdPositivePrintable (F4F)</t>
  </si>
  <si>
    <t>We need to talk about Artificial Intelligence #DeepLearning #learning #machinelearning via</t>
  </si>
  <si>
    <t>San Francisco, CA 94117, Unite</t>
  </si>
  <si>
    <t>Joyful creations that bring you love and peace!</t>
  </si>
  <si>
    <t>https://www.etsy.com/shop/AdPositive</t>
  </si>
  <si>
    <t>Lyrium</t>
  </si>
  <si>
    <t>Learning from our own mistakes could be an effective approach to teaching #artificialintelligence. This method could help #AI systems perfect certain methods that we humans may fall flat on. #tech #technology #machinelearning</t>
  </si>
  <si>
    <t>https://www.wired.com/story/new-artificial-intelligence-mistakes-purpose-chess/</t>
  </si>
  <si>
    <t>Hong Kong</t>
  </si>
  <si>
    <t>Lyrium is a leading, strategic innovation hive that turns ideas into results.</t>
  </si>
  <si>
    <t>http://www.lyrium.co</t>
  </si>
  <si>
    <t>We need to talk about Artificial Intelligence  #MachineLearning #DataScience #Python #AI #100DaysOfCode #IoT #flutter #javascript #Serverless #CyberSecurity #tech #DDoS #DeepLearning #fintech #COVID19 #data #RPA #IIoT #5G #Cloud #ethics #Policy by @wef</t>
  </si>
  <si>
    <t>Shailendra Kumar</t>
  </si>
  <si>
    <t>Microsoft Word is about to get an exciting upgrade you probably need CC @INSOFEedu @xors @MrsCaroline_C @NewsResearcherU #Leadership #MachineLearning #EmergingTechnologies</t>
  </si>
  <si>
    <t>https://bgr.com/2021/02/22/microsoft-word-text-prediction/?bgr-partner=flipboard</t>
  </si>
  <si>
    <t>Sydney</t>
  </si>
  <si>
    <t>Author: Making Money Out of Data /Keynote Speaker/ Evangelist #BigData #Analytics #DataScience #Data #MachineLearning #Deeplearning #ArtificialIntelligence @sap</t>
  </si>
  <si>
    <t>http://cognitivetoday.com</t>
  </si>
  <si>
    <t>Dzemal Arem</t>
  </si>
  <si>
    <t>Mortal Kombat trailer reveals movie's gore-filled fatalities, klassic characters - CNET: #BigData #MachineLearning #AI #IoT Cc @motorcycletwitt</t>
  </si>
  <si>
    <t>https://www.cnet.com/news/mortal-kombat-trailer-reveals-movies-gore-filled-fatalities-klassic-characters/#ftag=CAD590a51e</t>
  </si>
  <si>
    <t>https://pbs.twimg.com/media/Eu5vnU_XEAQ1Ica.jpg</t>
  </si>
  <si>
    <t>#AR and #VR artist. What you see, is no longer what you get.</t>
  </si>
  <si>
    <t>Daniel Mayer</t>
  </si>
  <si>
    <t>Discover how  is helping enterprises capture strategic value from their language #data at scale in this EM360 podcast with  CEO Walt Mayo #ai #artificialintelligence #NLP #machinelearning !</t>
  </si>
  <si>
    <t>http://expert.ai
https://lnkd.in/e9ScmgU</t>
  </si>
  <si>
    <t>Washington, DC &amp; Paris, FR</t>
  </si>
  <si>
    <t>SVP Products/CMO @ Expert System Enterprise - AI / Cognitive Computing, Semantic Enrichment, NLP</t>
  </si>
  <si>
    <t>http://www.expertsystem.com</t>
  </si>
  <si>
    <t>INSOFE</t>
  </si>
  <si>
    <t>Here is a glimpse into our partnership with NMIMS Global Access SCE... To know more about the program click here:  #INSOFE #datascience #artificialintelligence #machinelearning #deeplearning #masters #NMIMS</t>
  </si>
  <si>
    <t>http://bit.ly/2NVRBAb</t>
  </si>
  <si>
    <t>https://pbs.twimg.com/media/Eu5vakiVEAgDcD5.jpg</t>
  </si>
  <si>
    <t xml:space="preserve">Hyderabad, India. </t>
  </si>
  <si>
    <t>Official Twitter account of International School of Engineering(INSOFE). #DataScience #BigData #Analytics #ML #AI. http://www.insofe.edu.in</t>
  </si>
  <si>
    <t>http://www.insofe.edu.in</t>
  </si>
  <si>
    <t>Read about improving understanding of machine learning for end-users --&gt; #MachineLearning #AI #deeplearning #IoT #EdgeComputing #TechNews</t>
  </si>
  <si>
    <t>https://buff.ly/3qtoLFH</t>
  </si>
  <si>
    <t>https://pbs.twimg.com/media/Eu5vb-EWQAAwMUo.jpg</t>
  </si>
  <si>
    <t>Caroline Chavier</t>
  </si>
  <si>
    <t>🇮🇳 One year ago, I was in India. This @TedxKanke talk will remain a wonderful memory. Today more than ever, ensuring AI is conceived by diverse experts is key. #ArtificialIntelligence #MachineLearning #Diversity</t>
  </si>
  <si>
    <t>https://www.youtube.com/watch?v=LnrjapbyAts</t>
  </si>
  <si>
    <t>🇪🇺 CEO @TheAllyance_One 🔗 | Co-Founder @WiMLDS_Paris | Passionate Tech Recruiter | #RecSys2019 Diversity Co-Chairwoman 🌐 #Electro She/Her 🌈🇬🇧🇫🇷</t>
  </si>
  <si>
    <t>https://www.theallyance.one</t>
  </si>
  <si>
    <t>Now this would be interesting! #restaurants #ArtificialIntelligence #AI #DataScience #100DaysOfCode #Python #MachineLearning #BigData #DeepLearning #NLP #Robots #IoT RT @psb_dc: What Else Can AI Guess From Your Face? 😎 #AI #FacialRecognition cc @data_nerd @JoanBajorek @NoelleSilver_ @sallyeaves @YuHelenYu @LMAtem @KMcDTech @datachick @SpirosMargaris @ahier @BrianRoemmele @jblefevre60 @ChrisGGarrod  via @kdnuggets</t>
  </si>
  <si>
    <t>https://twitter.com/psb_dc/status/1363473641724329990
https://bit.ly/3s5NkZY</t>
  </si>
  <si>
    <t>https://pbs.twimg.com/media/EuwIDTsWgAANnXT.jpg</t>
  </si>
  <si>
    <t>Alex Housley</t>
  </si>
  <si>
    <t>Looking forward to the discussion on #MLOps trends featuring @sophiewats from our friends and partners @RedHat - as Principal Data Scientist, she has a wealth of experience in helping organisations solve business problems with #machinelearning in the hybrid cloud. RT @seldon_io: Meet another one of our panellists: Sophie Watson from Red Hat! Sophie has a wide experience across a range of organisations in how they are approaching MLOps and how to achieve success - sign up for the event to catch her appearance on the panel now:</t>
  </si>
  <si>
    <t>https://twitter.com/seldon_io/status/1364143096594857985
https://buff.ly/3jsBo1l</t>
  </si>
  <si>
    <t>https://pbs.twimg.com/media/Eu5o6q6XUAAAvtg.jpg</t>
  </si>
  <si>
    <t>Future sailor. Lover of all things techno. Founder &amp; CEO @seldon_io #opensource #machinelearning #AI #deployment #kubernetes Join us: http://seldon.io/careers</t>
  </si>
  <si>
    <t>https://www.seldon.io</t>
  </si>
  <si>
    <t>beginner to advanced - how to become a data scientist  #machinelearning #ad</t>
  </si>
  <si>
    <t>https://zpy.io/b978ad6b</t>
  </si>
  <si>
    <t>こーたろー@福岡の社会人データサイエンティスト</t>
  </si>
  <si>
    <t>mimiって使ったことあります？ #python #機械学習 #深層学習 #machinelearning #deeplearning #音声認識 #駆け出しエンジニアと繋がりたい mimi-APIで音声認識試してみた！【図解速習DeepLearning】#018 - 福岡の社会人データサイエンティストの部屋 /</t>
  </si>
  <si>
    <t>https://dsf-kotaro.hatenablog.com/entry/2021/02/23/182503</t>
  </si>
  <si>
    <t>福岡でデータサイエンスやってます。 いろいろな情報発信のためにtwitterはじめました。宜しくお願いします。 意見やコメントお待ちしております。 #Python #深層学習 #deeplearning #machinelearning #機械学習 #統計学 #駆け出しエンジニアと繋がりたい</t>
  </si>
  <si>
    <t>https://dsf-kotaro.hatenablog.com/</t>
  </si>
  <si>
    <t>This 72-hour HP flash sale is slashing prices on a massive range of laptop deals: #BigData #MachineLearning #AI #IoT copy @motorcycletwitt</t>
  </si>
  <si>
    <t>https://www.techradar.com/news/this-72-hour-hp-flash-sale-is-slashing-prices-on-a-massive-range-of-laptop-deals/</t>
  </si>
  <si>
    <t>https://pbs.twimg.com/media/Eu5ukNTUUAEwytp.jpg</t>
  </si>
  <si>
    <t>B2C startup? You need a recommender system! Recommender systems are a powerful tool that is being used in order to predict the preferences of a user in order to make appropriate suggestions.  #AI #DataScience #BusinessGrowth #MachineLearning</t>
  </si>
  <si>
    <t>https://dataly.st/blog-post/b2c-startup-you-need-a-recommender-system/</t>
  </si>
  <si>
    <t>Insane</t>
  </si>
  <si>
    <t>🔥 Comparison of One of the most popular Frameworks: TensorFlow vs Keras vs Pytorch #DataScience #MachineLearning #TensorFlow</t>
  </si>
  <si>
    <t>https://pbs.twimg.com/media/Eu5uScVVgAI1k-P.jpg</t>
  </si>
  <si>
    <t>Feed your curiosity with Facts, Stories &amp; More!🔸Proudly followed by @MIT_CSAIL🔸Follow us at http://fb.com/Theinsaneapp &amp; http://instagram.com/Theinsaneapp</t>
  </si>
  <si>
    <t>Arden Manning</t>
  </si>
  <si>
    <t>No one buys #ArtificialIntelligence. People buy solutions to problems and maybe AI is involved but they don't care. So, then why do AI companies talk about AI so much? #machinelearning #howtosellAI</t>
  </si>
  <si>
    <t>https://nituno.com/home/complete-guide-to-sell-ai/</t>
  </si>
  <si>
    <t>Cofounder of Nituno: THE marketing agency for startups. Ex Obama Campaign, American Expat living in the U.K.</t>
  </si>
  <si>
    <t>http://uk.linkedin.com/pub/arden-manning/4/a13/98a/</t>
  </si>
  <si>
    <t>Erik Knol</t>
  </si>
  <si>
    <t>"Essentially, I bypassed all the fundamental ingredients of #physics. I go directly from data to data," Qin said. "There is no law of physics in the middle." #MachineLearning #science</t>
  </si>
  <si>
    <t>https://phys.org/news/2021-02-machine-theory-nature-science.amp?__twitter_impression=true</t>
  </si>
  <si>
    <t>In kaart brengen, verbinden en activeren van business, innovatie, technologie en human capital | Zelfstandige via bureau Qeam | Teamlid @Forflux</t>
  </si>
  <si>
    <t>http://www.linkedin.com/in/ErikKnol</t>
  </si>
  <si>
    <t>Martin Beeby</t>
  </si>
  <si>
    <t>https://amzn.to/2ZHMjv6</t>
  </si>
  <si>
    <t>https://pbs.twimg.com/media/Eu5t-fCXYAI2HCd.jpg</t>
  </si>
  <si>
    <t>Northampton</t>
  </si>
  <si>
    <t>Principal Developer Advocate at AWS working on dotnet and beyond.</t>
  </si>
  <si>
    <t>http://thebeebs.net</t>
  </si>
  <si>
    <t>✨ They Make Design ✨</t>
  </si>
  <si>
    <t>Web Design Inspiration - vol. 91 🖥💡 #AI #machinelearning #BigData #IoT #deeplearning #FutureTech #ArtificialIntelligence #coders #DEVcommunity #programming #developers #coders #python #100daysofcode #pythonic #TensorFlow</t>
  </si>
  <si>
    <t>https://medium.com/theymakedesign/best-web-design-inspiration-marketing-websites-91-1c4a150f80bf</t>
  </si>
  <si>
    <t>We spread the word about awesome design works. WRITE FOR US: https://medium.com/theymakedesign/about</t>
  </si>
  <si>
    <t>http://medium.com/theymakedesign</t>
  </si>
  <si>
    <t>Xavier Gomez</t>
  </si>
  <si>
    <t>🇺🇸 US leading race in #ArtificialIntelligence, #China rising: Survey  #AI #fintech #MachineLearning @DeepLearn007 @SpirosMargaris @JimMarous @sallyeaves @nigewillson @Paula_Piccard @HaroldSinnott @ShiCooks @andi_staub @RFosterFletcher @Nicochan33 @AkwyZ</t>
  </si>
  <si>
    <t>https://bit.ly/3unbeSH</t>
  </si>
  <si>
    <t>https://pbs.twimg.com/media/Eu5U0LCXYAIfBpX.jpg</t>
  </si>
  <si>
    <t>Thought Leader Speaker #Banking #Fintech #insurtech #AI #Finserv #Bigdata |#VC #PrivateEquity | @invyo_analytics |Ex @CreditSuisse | @MITFinTech @HECParisExecEd</t>
  </si>
  <si>
    <t>[R] Real-Time High-Resolution Background Matting</t>
  </si>
  <si>
    <t>https://www.reddit.com/r/MachineLearning/comments/lq3bbd/r_realtime_highresolution_background_matting/?utm_source=dlvr.it&amp;utm_medium=twitter</t>
  </si>
  <si>
    <t>How #MachineLearning is Being Used in Software Delivery  #DevOps #DigitalTransformation #API #AppTesting #UX</t>
  </si>
  <si>
    <t>https://technative.io/machine-learning-in-software-delivery/</t>
  </si>
  <si>
    <t>PhD position on computational mineralogy at the @UniOslo involved in the application of #artificialintelligence and #machinelearning techniques to address current computational problems in natural sciences...</t>
  </si>
  <si>
    <t>http://psi-k.net/jobs/phd-position-on-hydrogen-diffusion-along-dislocati-2/</t>
  </si>
  <si>
    <t>https://pbs.twimg.com/media/Eu5sk0UXEAAYxF8.jpg</t>
  </si>
  <si>
    <t>A Gentle Introduction to Bayesian Belief Networks #MachineLearning #learning via</t>
  </si>
  <si>
    <t>http://twinybots.ch
https://machinelearningmastery.com/introduction-to-bayesian-belief-networks/</t>
  </si>
  <si>
    <t>Machine learning and depth estimation using  #MachineLearning</t>
  </si>
  <si>
    <t>https://www.raspberrypi.org/blog/machine-learning-and-depth-estimation-using-raspberry-pi/</t>
  </si>
  <si>
    <t>Energy and AI</t>
  </si>
  <si>
    <t>Researchers from South Africa 🇿🇦 has combined #machinelearning with thermofluids simulation to develop a real-time monitoring platform for air-cooled condensers</t>
  </si>
  <si>
    <t>https://www.sciencedirect.com/science/article/pii/S2666546821000021</t>
  </si>
  <si>
    <t>An Elsevier journal for cutting-edge researches at the interface between #Energy🔥 and #AI💡. EiC: Donghan Jin, Editors: @RaffaellaOcone @Kui_Jiao @Jin_Xuan_</t>
  </si>
  <si>
    <t>https://www.journals.elsevier.com/energy-and-ai</t>
  </si>
  <si>
    <t>Azure Machine Learning Studio ($19.99 to Free) #Turkish #ML #MachineLearning #IoT #Linux #Serverless #AI #DataScience #DeepLearning #blockchain #Python #ArtificialIntelligence #CloudComputing #100DaysOfCode #programming #BigData #JavaScript</t>
  </si>
  <si>
    <t>http://amp.gs/Qj1M</t>
  </si>
  <si>
    <t>TrendingNews</t>
  </si>
  <si>
    <t>Machines Are Learning From Each Other  #ArtificialIntelligence #MachineLearning #DataScience #Python #AI #100DaysOfCode #IoT #flutter #Serverless #CyberSecurity #DeepLearning #COVID19 #data #5G #Innovation #technology #Digital #startup #Retail #Neuralink</t>
  </si>
  <si>
    <t>https://buff.ly/2No3gYF</t>
  </si>
  <si>
    <t>https://pbs.twimg.com/media/Eu5rsm6WgAMbStT.jpg</t>
  </si>
  <si>
    <t>Sharing All Latest Trending Updates on #Automation | #HealthTech | #AI | #FinTech | #DigitalTransformation | #Business and much more. Stay Tuned</t>
  </si>
  <si>
    <t>Analytics India Magazine</t>
  </si>
  <si>
    <t>Hands-On Guide to Model Search: A #Tensorflow -based Framework for #AutoML #machinelearning #100daysofcode #programming #tutorial #python #pytorch #algorithm #datascientist</t>
  </si>
  <si>
    <t>https://zcu.io/XsHA</t>
  </si>
  <si>
    <t>Let' talk about innovations, #Startups insights on #Analytics, #BigData, #ArtificialIntelligence, #DataScience ,#machinelearning and #EmergingTech.</t>
  </si>
  <si>
    <t>https://analyticsindiamag.com</t>
  </si>
  <si>
    <t>AWS Cloud SEAsia</t>
  </si>
  <si>
    <t>Are you curious🤔 on how #AWS experts have helped solve real-world problems with #AI &amp; #machinelearning? Checkout the builders zone in our #AWSInnovate AI/ML edition! There will be demos with step-by-step guides to learn from.</t>
  </si>
  <si>
    <t>https://go.aws/3dBq1mQ</t>
  </si>
  <si>
    <t>https://pbs.twimg.com/media/Eu5rheeXEAAy9Lu.jpg</t>
  </si>
  <si>
    <t>South East Asia</t>
  </si>
  <si>
    <t>Official Twitter Feed for Amazon Web Services South-East Asia - Singapore / Malaysia / Philippines / Indonesia / Thailand / Vietnam</t>
  </si>
  <si>
    <t>http://aws.amazon.com</t>
  </si>
  <si>
    <t>#MachineLearning #NeuralNetworks #NeuralNetworks</t>
  </si>
  <si>
    <t>https://pbs.twimg.com/media/Eu5rheSWQAcNd7H.png</t>
  </si>
  <si>
    <t>Grupo CMC</t>
  </si>
  <si>
    <t>¿Qué ventajas aporta el #MachineLearning a tu negocio? ▫Mayor conocimiento de usuario ▫Adopción de mejores decisiones ▫Optimización de procesos internos ▫Diseño de nuevos productos ▫Favorece el desarrollo del ecommerce ▶Descubre más en nuestro blog</t>
  </si>
  <si>
    <t>https://www.grupocmc.es/blog/machine-learning-5-ventajas-para-tu-negocio/</t>
  </si>
  <si>
    <t>🇪🇸🇮🇹🇵🇹🇨🇴🇲🇽</t>
  </si>
  <si>
    <t>Apostamos por la #Innovación y el #Talento para agregar valor a tu negocio. #BigData #SolucionesDigitales #Seguridad #IoT #InteligenciaArtificial #Analytics</t>
  </si>
  <si>
    <t>http://www.grupocmc.es</t>
  </si>
  <si>
    <t>DALL·E Explained in Under 5 Minutes DALL·E is a natural extension of GPT-3 that parses text prompts and then responds not with words but in pictures  v/ @dalequark #AI #MachineLearning #DeepLearning Cc @antgrasso @DeepLearn007 @HaroldSinnott @jblefevre60</t>
  </si>
  <si>
    <t>https://buff.ly/3o4BDAk</t>
  </si>
  <si>
    <t>https://pbs.twimg.com/media/Eu5rUpXXAAA4E-d.jpg</t>
  </si>
  <si>
    <t>#Offer2021 | #Discounts | Machine Learning A-Z�: Hands-On Python &amp; R In Data Science  #Machinelearning #Python #R #Data Science</t>
  </si>
  <si>
    <t>http://bit.ly/2Zw6sFU</t>
  </si>
  <si>
    <t>G-STIC</t>
  </si>
  <si>
    <t>#AI and #MachineLearning will enable #healthcare providers to offer new #patient services, improve the consistency of diagnoses, advance the #science of imaging, resulting in meaningful cost savings &amp; improvements in patient satisfaction. ➡️Read more:</t>
  </si>
  <si>
    <t>http://www.gstic.org/news/</t>
  </si>
  <si>
    <t>https://pbs.twimg.com/media/Eu5q-OGXIAEDzNS.jpg</t>
  </si>
  <si>
    <t>G-STIC is all about integrated market-ready #technological solutions for the #SDGs. Global Sustainable Technology &amp; Innovation Community. #GSTIC #GlobalGoals</t>
  </si>
  <si>
    <t>https://www.gstic.org/</t>
  </si>
  <si>
    <t>SmartMind</t>
  </si>
  <si>
    <t>More companies are using AI in marketing, but not all reaches fullest potential. Is your company ready to take AI marketing to the next step? #AI #MarketingData #MachineLearning #DataAnalytics</t>
  </si>
  <si>
    <t>https://www.forbes.com/sites/christinemoorman/2020/02/04/smart-marketing-how-corporate-marketers-deploy-ai/?sh=2f777fda3383</t>
  </si>
  <si>
    <t>techstars_alumni No.1 Data Solution service New adventure with SmartMind Increase Revenue, Reduce Cost</t>
  </si>
  <si>
    <t>humanoid</t>
  </si>
  <si>
    <t>We all live in a yellow err blue submarine! #AI #MachineLearning #Robotics #Engineering Video camera @mashable @Dalyahya @mvollmer1 @jblefevre60 @SpirosMargaris @psb_dc @andi_staub RT @segundoatdell: We all live in a yellow err blue submarine! #AI #MachineLearning #Robotics #Engineering 📹@mashable @jblefevre60 @SpirosMargaris @HaroldSinnott @gvalan @ipfconline1 @ShiCooks @diioannid @mvollmer1 @Ym78200 @kalydeoo @Nicochan33 @chboursin @Fabriziobustama @lesguer_lionel</t>
  </si>
  <si>
    <t>https://twitter.com/segundoatdell/status/1363915984009101314</t>
  </si>
  <si>
    <t>pic.twitter.com/D16abAWtvJ</t>
  </si>
  <si>
    <t>Sharing #Technews Related to #AI #ML #DL #robots #digitaltransformation #bigdata #automation</t>
  </si>
  <si>
    <t>AI and Robots: Now and future of tech - Hindustan Times  via @GoogleNews #ArtificialIntelligence #AI #DataScience #MachineLearning #BigData #DeepLearning #Robots #IoT</t>
  </si>
  <si>
    <t>Can you #Hack #AI? Yes, and #DeepLearning is Being Used to Both Attack and #Defend  #fintech #cybersecurity @MechatronixNews #ArtificialIntelligence #MachineLearning @Fabriziobustama @mvollmer1</t>
  </si>
  <si>
    <t>https://buff.ly/3kpnWMh</t>
  </si>
  <si>
    <t>DFT Games 🎮 ☕</t>
  </si>
  <si>
    <t>The latest Games, Reskinning and more!  #innovation #machinelearning</t>
  </si>
  <si>
    <t>https://paper.li/DFTGames/1400577980?edition_id=86abd5e0-75b9-11eb-ae29-002590a5ba2d</t>
  </si>
  <si>
    <t>Ireland</t>
  </si>
  <si>
    <t>Independent family-run games development business based in Ireland.</t>
  </si>
  <si>
    <t>https://www.dftgames.com</t>
  </si>
  <si>
    <t>Can We #Trust #AI? When AI Asks For #Human #Help  #fintech #ArtificialIntelligence #MachineLearning #DeepLearning #robotics @ctowersclark @PodGroup_IoT @HaroldSinnott @Paula_Piccard @YuHelenYu @terence_mills</t>
  </si>
  <si>
    <t>https://buff.ly/3pLdwaw</t>
  </si>
  <si>
    <t>Blogging Guide</t>
  </si>
  <si>
    <t>What is a Deepfake?  #deepfake #technology #future #ai #machinelearning #deeplearning #business</t>
  </si>
  <si>
    <t>https://medium.com/deepfake/what-is-a-deepfake-9bcc72f3eb1e</t>
  </si>
  <si>
    <t>Blogging Guide is an online community of writers. Our content is crafted to help new bloggers monetize their writing. Learn how to make money writing online!</t>
  </si>
  <si>
    <t>https://bloggingguide.org</t>
  </si>
  <si>
    <t>Insurer to access UBI market with My Policy investment - Insurance Times  #DataScience #MachineLearning #DeepLearning #Insurance #NLP #Robots #AI #IoT #BigData</t>
  </si>
  <si>
    <t>https://ift.tt/37Ab1Sn</t>
  </si>
  <si>
    <t>Screening #Tools For #Recruitment – Can #Algorithms &amp; #Digital #Reputation Recruit The Right Candidate? #AI #ArtificialIntelligence #ML #MachineLearning #DeepLearning #DL #Data #Tech @2morrowknight @DD_Bun_ @mark_l_watson @rfurlan @xamat @karpathy</t>
  </si>
  <si>
    <t>http://ow.ly/yYH130rxY8R</t>
  </si>
  <si>
    <t>https://pbs.twimg.com/media/Eu5p8rIWYAIp7o3.jpg</t>
  </si>
  <si>
    <t>MLJAR</t>
  </si>
  <si>
    <t>Working on concept drift detection in MLJAR #AutoML  there will be `need_retrain()` method! It will make #AutoML more auto! #MachineLearning #DataScience #Python #DataScientist</t>
  </si>
  <si>
    <t>https://github.com/mljar/mljar-supervised/issues/179</t>
  </si>
  <si>
    <t>https://pbs.twimg.com/media/Eu5p0rnWgAU6SaD.jpg</t>
  </si>
  <si>
    <t>Polska</t>
  </si>
  <si>
    <t>https://github.com/mljar/mljar-supervised</t>
  </si>
  <si>
    <t>https://mljar.com</t>
  </si>
  <si>
    <t>SelfDrivingCars360°.com - News &amp; Technology Radar</t>
  </si>
  <si>
    <t>Watch #Voyage self-driving car demo - Via @voyage Read/Add #SelfDrivingCars news  #computervision #machinelearning #deeplearning #ml #dl #ai #driverlesscars #autonomouscars #autonomousvehicles</t>
  </si>
  <si>
    <t>http://bit.ly/2QVn4k5</t>
  </si>
  <si>
    <t>pic.twitter.com/MKVCHKSaNg</t>
  </si>
  <si>
    <t>#SelfDrivingCars News, Technology, Code. Articles, Videos on #DriverlessCars #AutonomousVehicles #AI #DL #ML #ComputerVision #Driverless #Robotics #Cars #5G</t>
  </si>
  <si>
    <t>https://www.SelfDrivingCars360.com</t>
  </si>
  <si>
    <t>Quantum Analytics AG</t>
  </si>
  <si>
    <t>With machine learning Find clusters, patterns and trends No crystal ball though #datahaiku, #machinelearning,</t>
  </si>
  <si>
    <t>http://quantumanalytics.ch</t>
  </si>
  <si>
    <t>https://pbs.twimg.com/media/Eu5pfhuXMAA6fLc.jpg</t>
  </si>
  <si>
    <t>Zurich</t>
  </si>
  <si>
    <t>We help our customers unlock the power of their data. @Tableau @Jedox @Neo4j @KNIME partner. Core strengths: #DataScience #DataViz #MachineLearning #Training</t>
  </si>
  <si>
    <t>http://www.quantumanalytics.ch</t>
  </si>
  <si>
    <t>Daniele Cerro #Blazor</t>
  </si>
  <si>
    <t>Machine Learning with  - Linear Regression  #dotnet #MachineLearning</t>
  </si>
  <si>
    <t>http://ML.NET
https://rubikscode.net/2021/01/11/machine-learning-with-ml-net-linear-regression/</t>
  </si>
  <si>
    <t>.NET Developer</t>
  </si>
  <si>
    <t>RolSOuLi</t>
  </si>
  <si>
    <t>#iotatoken #coloredcoins #DigitalTwins $IOTA $TANGLE $MIOTA #MachineLearning #iotcommunity #iottrends #iottechnology #MIOTA #TANGLE #iotdevices #iotworld #iotsolutions German government reviews Ubirch’s digital vaccination passport based on IOTA</t>
  </si>
  <si>
    <t>https://www.crypto-news-flash.com/german-government-considers-ubirchs-digital-vaccination-passport-based-on-iota/</t>
  </si>
  <si>
    <t>GER IOTA https://iota-einsteiger-guide.de/einfuehrung-in-iota.html https://iota-kurs.de/blog/ ENG IOTA https://www.iota.org/ https://blog.iota.org/</t>
  </si>
  <si>
    <t>https://www.deposy.org/en/</t>
  </si>
  <si>
    <t>Malinovskiy Vladimir</t>
  </si>
  <si>
    <t>Facebook Replacing People With Bots? #serverless #cybersecurity #php #100DaysOfCode #indiegames #coronavirus #Linux #GameDev #technology #machinelearning #fisheyebox #ndroid #javascript #nodejs #reactjs #programming #reactjsdeveloper #nodejsdevelopment</t>
  </si>
  <si>
    <t>https://pbs.twimg.com/media/Eu5pERuXcAIJm5U.png</t>
  </si>
  <si>
    <t>https://supersalo.herokuapp.com</t>
  </si>
  <si>
    <t>CHEManager</t>
  </si>
  <si>
    <t>Über die wachsende Bedeutung von #MachineLearning für die chemische Industrie sprach @SGgaw29c mit Thomas Haendly, CDO im Geschäftsbereich Industrie, und Hauke Schaper, Senior Consultant bei @enowaAG. #MachineLearning #Blockchain, #InternetofThings</t>
  </si>
  <si>
    <t>http://bit.ly/3bvEsGe</t>
  </si>
  <si>
    <t>Weinheim</t>
  </si>
  <si>
    <t>CHEManager - Branchenzeitung für die Chemie- und Pharmaindustrie. Folgen Sie uns auch auf LinkedIn: http://bit.ly/CMI-LinkedIn und http://bit.ly/CM-LinkedIN</t>
  </si>
  <si>
    <t>http://www.chemanager-online.com/</t>
  </si>
  <si>
    <t>UniversityWorldNews</t>
  </si>
  <si>
    <t>A new international research laboratory with French &amp; Australian scientists to focus on how humans interact and live with autonomous systems, Geoff Maslen reports  #research #AI #Machinelearning #CNRS #Sciencecollaboration @UniofAdelaide @UniversitySA</t>
  </si>
  <si>
    <t>http://ow.ly/91vN50DHmxu</t>
  </si>
  <si>
    <t>The first truly global independent higher education publication</t>
  </si>
  <si>
    <t>http://www.universityworldnews.com</t>
  </si>
  <si>
    <t>Tobias Kintzel</t>
  </si>
  <si>
    <t>Microsoft is adding AI-powered text predictions to Word  via @thenextweb #MachineLearning #AI #ArtificialIntelligence</t>
  </si>
  <si>
    <t>https://tnw.to/8Au8i</t>
  </si>
  <si>
    <t>Göttingen, Deutschland</t>
  </si>
  <si>
    <t>Marketing Stratege @ETECTURE We create digital life_ #digitaltransformation #digitalarchitects #UX #web #VR #AR #datascience #socialmedia</t>
  </si>
  <si>
    <t>INDUSTRIAL Production</t>
  </si>
  <si>
    <t>Das ISW der Universität Stuttgart erforscht die Programmierung von Robotern mittels Machine Learning in einer virtuellen Umgebung.  @IswUniStuttgart #machinelearning #ki #roboterprogrammierung</t>
  </si>
  <si>
    <t>https://www.industrial-production.de/grundlagenwissen/roboter-mit-ki-programmieren.htm</t>
  </si>
  <si>
    <t>Darmstadt</t>
  </si>
  <si>
    <t>INDUSTRIAL Production berichtet über Konstruktion/ Entwicklung, Automatisierung/IT, Handhabung... https://www.industrial-production.de/impressum.htm</t>
  </si>
  <si>
    <t>http://www.industrial-production.de</t>
  </si>
  <si>
    <t>Tudip Technologies</t>
  </si>
  <si>
    <t>Artificial intelligence refers to software that performs tasks in a similar way to the human brain, often detecting and responding to a characteristic of its environment. Read more:  #AI #aibuildingblocks #machinelearning #NLP #deeplearning #NLG #Tudip</t>
  </si>
  <si>
    <t>https://tudip.com/blog-post/artificial-intelligence-building-blocks</t>
  </si>
  <si>
    <t>Our Product Engineering services have enabled start-ups to transform business needs into competitive differentiators through powerful product solutions. Try Us.</t>
  </si>
  <si>
    <t>https://tudip.com</t>
  </si>
  <si>
    <t>AI-Adam</t>
  </si>
  <si>
    <t>The AI-Adam Daily!  Thanks to @MaltrakN @chabis_ch @naikrd #ai #machinelearning</t>
  </si>
  <si>
    <t>https://www.ai-adam.com/ai-news</t>
  </si>
  <si>
    <t>Disrupting the Artificial Intelligence talent industry with Predictive Analytics - #ArtificialIntelligence #DataScience #Data #talent #MachineLearning #AI #hr</t>
  </si>
  <si>
    <t>http://www.ai-adam.com/ai-job-application</t>
  </si>
  <si>
    <t>This is food engineering. #DEVCommunity #Programming #IoT #IoTPL #AI #100DaysOfCode #MachineLearning #Airdrop #CloudComputing #Analytics #Serverless #cybersecurity #ArtificialIntelligence #DataScience #5G #Engineering #innovation #sustainable #energy #Asia RT @Theslimevids: have some breakfast 🥐</t>
  </si>
  <si>
    <t>https://twitter.com/Theslimevids/status/1318068072536633344</t>
  </si>
  <si>
    <t>pic.twitter.com/dWtiYsJJCL</t>
  </si>
  <si>
    <t>Karunadu technologies Private Limited</t>
  </si>
  <si>
    <t>Are You Looking For " INTERNSHIP"? Join Us &amp; Get Trained On All Latest Technologies. Register here  Starts From march -01 #iotinternshipcse #python #webdevelopment #bengluru #internship #project #embedded #machinelearning #pcbdesign #robotics</t>
  </si>
  <si>
    <t>https://bit.ly/35KbXSi</t>
  </si>
  <si>
    <t>https://pbs.twimg.com/media/Eu5oKGKVoAgJblX.jpg</t>
  </si>
  <si>
    <t>Chikkabanavara, Bengaluru</t>
  </si>
  <si>
    <t>Karunadu Technologies Pvt. Ltd. Is a leading IT software solutions and services industry focussing on quality standards and customer values.</t>
  </si>
  <si>
    <t>http://www.karunadutechnologies.com</t>
  </si>
  <si>
    <t>Desfufor</t>
  </si>
  <si>
    <t>10 recomendaciones para un Machine Learning más eficiente  @muycanal #MachineLearning #InteligenciaArtificial</t>
  </si>
  <si>
    <t>https://www.muycanal.com/2021/02/23/10-recomendaciones-machine-learning-eficiente</t>
  </si>
  <si>
    <t>Consultoría, formación, eLearning, elaboración de contenidos y asesoramiento para empresas</t>
  </si>
  <si>
    <t>http://www.desfufor.es</t>
  </si>
  <si>
    <t>We are all the scatman #MachineLearning #deeplearning #learning via</t>
  </si>
  <si>
    <t>Preeya Selvarajah</t>
  </si>
  <si>
    <t>Fueled by new technologies, the future of supply chains is here. #supplychainmanagement #digitaltransformation #iot #sensors #traceability #digitaltwins #artificialintelligence #machinelearning #advancedanalytics #predictiveanalytics #robots #SupplyChains</t>
  </si>
  <si>
    <t>https://searcherp.techtarget.com/feature/The-future-of-supply-chains-is-here</t>
  </si>
  <si>
    <t>B2B marketing professional in IT industry with a passion for books, music and stargazing. Views are my own.</t>
  </si>
  <si>
    <t>Stackable chair saving some spaces. #DEVCommunity #Programming #IoT #IoTPL #AI #100DaysOfCode #MachineLearning #Airdrop #CloudComputing #Analytics #Serverless #cybersecurity #ArtificialIntelligence #DataScience #5G #Engineering #innovation #sustainable #energy #furniture. RT @Theslimevids:</t>
  </si>
  <si>
    <t>https://twitter.com/Theslimevids/status/1321414501023895555</t>
  </si>
  <si>
    <t>pic.twitter.com/UDiVHoyAO5</t>
  </si>
  <si>
    <t>Cristina Molero del Río</t>
  </si>
  <si>
    <t>If you missed the second YOUNG🐥Online Seminar #MachineLearning NeEDS #MathematicalOptimization with @kkurishchenko, #BenedettoManca and @MorucciMarco, no worries!!! The video is already available at: 📹@imus_us:  📹@needs_project:</t>
  </si>
  <si>
    <t>https://www.youtube.com/watch?v=FC3fz4BJrZY&amp;list=PL5aXJhn-DaTIudRGqsA6Ci8JAyXOjrDMP&amp;index=7
https://www.youtube.com/watch?v=Rial4JWSEL0&amp;list=PL8Itx3jglgw493OOF_YmqlSUgxKBUdncl&amp;index=7</t>
  </si>
  <si>
    <t>https://pbs.twimg.com/media/Eu5nvdoXAAYOHVY.png</t>
  </si>
  <si>
    <t>Kosti</t>
  </si>
  <si>
    <t>Apparently "all I need" up to this point are 65 different things.😁#MachineLearning</t>
  </si>
  <si>
    <t>https://pbs.twimg.com/media/Eu5nfdjXIAAzfUq.jpg</t>
  </si>
  <si>
    <t>(applied) math, writing/editing, and cats. Research at @babylonhealth — UQ, ML, and other acronyms. Alumni @UMassAmherst &amp; @UMassGRiD.</t>
  </si>
  <si>
    <t>http://kgourgou.me</t>
  </si>
  <si>
    <t>Why Scientists are Teaching Robots to Play Hide-and-Seek via @DigitalTrends  #ai #artificialintelligence #machinelearning #deeplearning #robots</t>
  </si>
  <si>
    <t>https://bit.ly/3aITUj3</t>
  </si>
  <si>
    <t>https://pbs.twimg.com/media/Eu5nqfKWQAAtrqv.jpg</t>
  </si>
  <si>
    <t>😱😱#DEVCommunity #Programming #IoT #IoTPL #AI #100DaysOfCode #MachineLearning #Airdrop #CloudComputing #Analytics #Serverless #cybersecurity #ArtificialIntelligence #DataScience #5G #Engineering #innovation #sustainable #energy #yellowstone. RT @Theslimevids:</t>
  </si>
  <si>
    <t>https://twitter.com/Theslimevids/status/1325443487622336512</t>
  </si>
  <si>
    <t>pic.twitter.com/9MNKjHATpW</t>
  </si>
  <si>
    <t>https://www.jucktion.com/forum/udemy-coupon/azure-machine-learning-studio-19-99-to-free-turkishml-machinelearning-iot-linux-/</t>
  </si>
  <si>
    <t>http://racpro.blogspot.com</t>
  </si>
  <si>
    <t>Which Machine Learning Algorithm Should You Use By Problem Type?  #MachineLearning</t>
  </si>
  <si>
    <t>https://medium.com/analytics-vidhya/which-machine-learning-algorithm-should-you-use-by-problem-type-a53967326566</t>
  </si>
  <si>
    <t>The Lancet Digital Health</t>
  </si>
  <si>
    <t>New issue out NOW. Covering #mask wearing &amp; #COVID19 control in the USA; #MachineLearning to predict #ProstateCancer mortality; the role of #socialmedia platforms in #COVID19; #ArtificialIntelligence, #datascience &amp;amp; #racial #equality in health; and more.</t>
  </si>
  <si>
    <t>https://bit.ly/3uofrW2</t>
  </si>
  <si>
    <t>https://pbs.twimg.com/media/Eu5k-XXXMAA16Z4.jpg</t>
  </si>
  <si>
    <t>The #LancetDigitalHealth is a new #OpenAccess journal publishing innovative &amp; practice-changing research &amp; opinion on clinical &amp; public/global health technology</t>
  </si>
  <si>
    <t>https://www.thelancet.com/digital-health</t>
  </si>
  <si>
    <t>Ayan Paul</t>
  </si>
  <si>
    <t>Another step forward in building a mathematically consistent procedure for feature importance in #MachineLearning. Shapley values are the rage now and may lead us to building consistent #XAI. #ArtificialIntelligence #interpretableML</t>
  </si>
  <si>
    <t>https://arxiv.org/abs/2102.10936</t>
  </si>
  <si>
    <t>https://pbs.twimg.com/media/Eu5nBhtXIAQchbD.jpg</t>
  </si>
  <si>
    <t>Theoretical and Computational Particle Physicists | Co-Founder and Cheif Scientific Office -- CoVis</t>
  </si>
  <si>
    <t>http://www.desy.de/~apaul</t>
  </si>
  <si>
    <t>[#Innovation] Tech innovation for banks to consider in 2021  #Disruption #Fintech #Banking #DigitalBanking #FinServ #AI #MachineLearning #Cloud #QuantumComputing #RPA #Blockchain #DigitalTransformation</t>
  </si>
  <si>
    <t>https://bit.ly/3umKD85</t>
  </si>
  <si>
    <t>https://pbs.twimg.com/media/Eu29yKvU4AAykry.jpg</t>
  </si>
  <si>
    <t>CXPORTAL</t>
  </si>
  <si>
    <t>Digital transformation and edge computing: 7 ways they fit together  #DigitalTransformation #technology #MachineLearning #ux</t>
  </si>
  <si>
    <t>https://red.ht/3tPaaXo</t>
  </si>
  <si>
    <t>Our mission is to provide you with the highest quality e-commerce solution that is designed to drive your business to greater success.</t>
  </si>
  <si>
    <t>http://cxportal.com</t>
  </si>
  <si>
    <t>What a professional! #DEVCommunity #Programming #IoT #IoTPL #AI #100DaysOfCode #MachineLearning #Airdrop #CloudComputing #Analytics #Serverless #cybersecurity #ArtificialIntelligence #DataScience #5G #Engineering #innovation #sustainable #energy #ArtistOnTwitter RT @Theslimevids: Amazing works👌</t>
  </si>
  <si>
    <t>https://twitter.com/Theslimevids/status/1328517404436041729</t>
  </si>
  <si>
    <t>pic.twitter.com/kJakfAdmoY</t>
  </si>
  <si>
    <t>WSI-eMarketing</t>
  </si>
  <si>
    <t>A must-read article for anyone in the marketing world looking to technology for better results 😎 #technology #marketing #AI #MachineLearning RT @UnfoldLabs: 10 Ways AI And Machine Learning Are Improving Marketing In 2021  #AI #MachineLearning #Marketing @bernardMarr @dez_blanchfield @dhinchcliffe @drfeifei @JenStirrup @KirkDBorne @larrykim @mclynd @nigewillson @Ronald_vanLoon @sandy_carter @MikeQuindazzi</t>
  </si>
  <si>
    <t>https://twitter.com/UnfoldLabs/status/1363877689845706752
https://www.forbes.com/sites/louiscolumbus/2021/02/21/10-ways-ai-and-machine-learning-are-improving-marketing-in-2021/</t>
  </si>
  <si>
    <t>Gloucestershire</t>
  </si>
  <si>
    <t>Founder of the Digital Marketing Agency WSI-eMarketing: Expert &amp; Speaker on: #MarketingAutomation #SharpSpring #SocialSelling #MobileMarketing #SEO #PPC #DNN</t>
  </si>
  <si>
    <t>http://www.wsi-emarketing.com</t>
  </si>
  <si>
    <t>The Rayno Report by SDxCentral</t>
  </si>
  <si>
    <t>SDx Business: 7 Layers Interview: AI Expert Talks Uses and Concerns Host Connor Craven discusses artificial intelligence, its us  #ai #machinelearning</t>
  </si>
  <si>
    <t>https://sdx.io/DWAP</t>
  </si>
  <si>
    <t>Denver, CO</t>
  </si>
  <si>
    <t>SDxCentral’s business and stock news. #techstocks #VC Subscribe: http://sdx.io/KL3Q Editorial @dmeyer_Dan @JessicaHrdcstle @mattkapko @Ty_SDx @SkidKnee_Writes</t>
  </si>
  <si>
    <t>http://sdxcentral.com</t>
  </si>
  <si>
    <t>Day 13 #31DaysofML by @pvergadia ⚖️ How to deal with imbalanced datasets in #MachineLearning?⚖️</t>
  </si>
  <si>
    <t>https://google.smh.re/1tA</t>
  </si>
  <si>
    <t>Maria Fariello</t>
  </si>
  <si>
    <t>Lessons Learned from Applying Deep Learning for #NLP Without Big Data  #NLP #BigData #AI #DataScience #MachineLearning cc @ipfconline1 @drruchibhatt @Paula_Piccard @DeepLearn007 @HeinzVHoenen</t>
  </si>
  <si>
    <t>https://buff.ly/2L0DIvd</t>
  </si>
  <si>
    <t>https://pbs.twimg.com/media/Eu5mhGmXYAE1sc6.jpg</t>
  </si>
  <si>
    <t>Maths &amp; Economics @Columbia #finance #esg #behavioraleconomics #stats #fintech #behavioralfinance</t>
  </si>
  <si>
    <t>https://pbs.twimg.com/media/Eu5mgrXXMAA5jWm.jpg</t>
  </si>
  <si>
    <t>Analytics Insight</t>
  </si>
  <si>
    <t>Ever thought about the technology used behind advanced machines and how much money researchers spent on them? Transfer learning comes as a handy solution for these critical issues, addressing the algorithm challenges.  #Transferlearning #MachineLearning</t>
  </si>
  <si>
    <t>https://bit.ly/3qQw8HC</t>
  </si>
  <si>
    <t>https://pbs.twimg.com/media/Eu5ma7kVEAAecIp.jpg</t>
  </si>
  <si>
    <t>Analytics Insight features news and insights on business intelligence, analytics and data management, including big data, IoT, cloud computing, and more.</t>
  </si>
  <si>
    <t>http://www.analyticsinsight.net</t>
  </si>
  <si>
    <t>#DeepLearning has applications in computer vision, #NaturalLanguageProcessing &amp; audio analysis, requiring #Euclidean or #2D data. #Geometric #Graphics #3D #NeuralNetworks #CNN #RNN #MachineLearning #ML #DataModelling  by @SrishtiDeoras via @Analyticsindiam</t>
  </si>
  <si>
    <t>#DEVCommunity #Programming #IoT #IoTPL #AI #100DaysOfCode #MachineLearning #Airdrop #CloudComputing #Analytics #Serverless #cybersecurity #ArtificialIntelligence #DataScience #5G #Engineering #innovation #sustainable #energy #Physics RT @Theslimevids:</t>
  </si>
  <si>
    <t>https://twitter.com/Theslimevids/status/1331637910811025408</t>
  </si>
  <si>
    <t>pic.twitter.com/CSGydvIxmq</t>
  </si>
  <si>
    <t>The Time®️</t>
  </si>
  <si>
    <t>Black Women In Artificial Intelligence Salutes The Icons-Legends-Trailblazers. @red_abebe Rediet Abebe #BlackHistoryMonth #AIEthics #Icons #Legends #machinelearning #Trailblazers #History #AmericanHistory #BWIAI #Teach #Educate #Science #STEM #Tech #computerscientist #data #BHM RT @New081082: For you to win it's a must you believe! It is the beginning of all achievement!! #WhatsApp #GRAMMYs #BigData #Analytics #DataScience #RStats #TensorFlow #JavaScript #ReactJS #CloudComputing #Serverless #DataScientist #Linux #Programming #100DaysofCodeq</t>
  </si>
  <si>
    <t>https://twitter.com/new081082/status/1364139152120274950</t>
  </si>
  <si>
    <t>pic.twitter.com/MqCnDCdL5V</t>
  </si>
  <si>
    <t>Informationen (neutral in politics)</t>
  </si>
  <si>
    <t>Oh My Dog ! New Study Shows How Dogs and AI Detect Prostate Cancer | #AI #HealthCare #MachineLearning #Medicine #Health #DeepLearning #Cancer</t>
  </si>
  <si>
    <t>https://bit.ly/3dCznhY</t>
  </si>
  <si>
    <t>Bradley Ladewig</t>
  </si>
  <si>
    <t>Participating in a very slick AI online conference "KI ist jetzt!" today.. the opening sequence looks incredible  #KI #AI #MachineLearning</t>
  </si>
  <si>
    <t>https://www.plattform-lernende-systeme.de/konferenz-2021.html</t>
  </si>
  <si>
    <t>https://pbs.twimg.com/media/Eu5lWufXEAQBPLW.jpg</t>
  </si>
  <si>
    <t>Karlsruhe, Germany</t>
  </si>
  <si>
    <t>Chemical Engineer, Academic. Scientist and Group Leader at KIT, Visiting Professor at Imperial College London. Humboldtian. All views my own.</t>
  </si>
  <si>
    <t>This is how you make #Hologram . #DEVCommunity #Programming #IoT #IoTPL #AI #100DaysOfCode #MachineLearning #Airdrop #CloudComputing #Analytics #Serverless #cybersecurity #ArtificialIntelligence #DataScience #5G #Engineering #innovation #sustainable #energy # RT @Theslimevids: 🔅🔅</t>
  </si>
  <si>
    <t>https://twitter.com/Theslimevids/status/1332289394854699012</t>
  </si>
  <si>
    <t>pic.twitter.com/0G5GJn20IJ</t>
  </si>
  <si>
    <t>Python &amp; APIs: A Winning Combo for Reading Public Data.  #Python #programming #100DaysOfCode #IoT #MachineLearning #100DaysOfMLCode #AI #javascript #womenwhocode #RStats #Serverless #CodeNewbie #DataScience #DEVCommunity RT @New081082: For you to win it's a must you believe! It is the beginning of all achievement!! #WhatsApp #GRAMMYs #BigData #Analytics #DataScience #RStats #TensorFlow #JavaScript #ReactJS #CloudComputing #Serverless #DataScientist #Linux #Programming #100DaysofCodeq</t>
  </si>
  <si>
    <t>http://realpython.com/python-api/
https://twitter.com/new081082/status/1364139152120274950</t>
  </si>
  <si>
    <t>graphcore</t>
  </si>
  <si>
    <t>Join @graphcoreai on 5th March at the @reinforceconf for insights into IPU architecture, and how to boost machine learning model deployability &amp; efficiency. Sign up now to watch David Lacey's talk:  #IPU #MachineLearning #AIDeployment #ModelEfficiency #AI</t>
  </si>
  <si>
    <t>https://hubs.ly/H0GZ_Zk0</t>
  </si>
  <si>
    <t>https://pbs.twimg.com/media/Eu5lm_vXMAQQGgB.jpg</t>
  </si>
  <si>
    <t>We invented the Intelligence Processing Unit (IPU) to let innovators create next generation machine intelligence.</t>
  </si>
  <si>
    <t>http://www.graphcore.ai</t>
  </si>
  <si>
    <t>https://pbs.twimg.com/media/Eu5lXenXUAAhc94.jpg</t>
  </si>
  <si>
    <t>#DEVCommunity #Programming #IoT #IoTPL #AI #100DaysOfCode #MachineLearning #Airdrop #CloudComputing #Analytics #Serverless #cybersecurity #ArtificialIntelligence #DataScience #5G #Engineering #innovation #sustainable #energy #India #Asia #cacktail #bartender RT @Theslimevids:</t>
  </si>
  <si>
    <t>https://twitter.com/Theslimevids/status/1335996359644565504</t>
  </si>
  <si>
    <t>pic.twitter.com/iijFh6Mcm3</t>
  </si>
  <si>
    <t>Igor Korostil</t>
  </si>
  <si>
    <t>A Brief Introduction to Change Point Detection using #Python:  #Analytics #DataScience #TimeSeries #Digital #MachineLearning</t>
  </si>
  <si>
    <t>https://techrando.com/2019/08/14/a-brief-introduction-to-change-point-detection-using-python/</t>
  </si>
  <si>
    <t>Principal Data Scientist @ Sage #AI Labs ~ #DataScience #MachineLearning #Python #BehaviouralScience</t>
  </si>
  <si>
    <t>Kopjes Kattenoppas</t>
  </si>
  <si>
    <t>How to correctly translate from English to Duck? ;)  #AI #deeplearning #computational #linguistics #mBERT #language #models #translation #information #trust #bias #data #taal #vertaling #verrassing #creativiteit #science #computer #research</t>
  </si>
  <si>
    <t>https://www.linkedin.com/posts/kopjesland_ai-machinelearning-computational-activity-6769899042940993536-iIeJ</t>
  </si>
  <si>
    <t>https://pbs.twimg.com/media/Eu5j_ngXcAIpEJm.jpg</t>
  </si>
  <si>
    <t>"How do you know I’m mad?" said Alice. "You must be," said the Cat, "or you wouldn't have come here."</t>
  </si>
  <si>
    <t>http://www.kopjes-kattenoppas.nl</t>
  </si>
  <si>
    <t>Would you say your company is #digital enough ? #hclswlobp #nocode #lowcode #javascript #github #nodejs #cybersecurity #devops #100DaysOfCode #datascience #ai #bot #codenewbie #iot #machinelearning #Python #Serverless #womenintech #microsoft #flutter #CX</t>
  </si>
  <si>
    <t>https://via.socxo.net/RxojtPAteQ8Id</t>
  </si>
  <si>
    <t>Can robots write? Machine learning produces dazzling results, but some assembly is still required  #MachineLearning #Robotics #ArtificialIntelligence #robots #Network #QAcycle</t>
  </si>
  <si>
    <t>http://bit.ly/2FViDUB</t>
  </si>
  <si>
    <t>What Lawyers Want Everyone to Know About #AI Liability  @SpirosMargaris @Xbond49 @psb_dc @jblefevre60 @nigewillson @sallyeaves @ipfconline1 @pierrepinna @HaroldSinnott @Nicochan33 @Paula_Piccard @gvalan @MCins_ #MachineLearning #Datascience #Fintech #5G</t>
  </si>
  <si>
    <t>https://www.informationweek.com/big-data/ai-machine-learning/what-lawyers-want-everyone-to-know-about-ai-liability/a/d-id/1340211</t>
  </si>
  <si>
    <t>https://pbs.twimg.com/media/Eu5lFYfWYAEgrxB.jpg</t>
  </si>
  <si>
    <t>jump touch and flip. Awesome trick. #DEVCommunity #Programming #IoT #IoTPL #AI #100DaysOfCode #MachineLearning #Airdrop #CloudComputing #Analytics #Serverless #cybersecurity #ArtificialIntelligence #DataScience #5G #Engineering #innovation #sustainable #energy #snowboarding. RT @Theslimevids:</t>
  </si>
  <si>
    <t>https://twitter.com/Theslimevids/status/1337986145586581505</t>
  </si>
  <si>
    <t>pic.twitter.com/sDoOefOHA3</t>
  </si>
  <si>
    <t>Computers</t>
  </si>
  <si>
    <t>Automated #MachineLearning for #Healthcare and Clinical Notes Analysis by Dr. Akram Mustafa and Dr. Mostafa Rahimi Azghadi from @jcu #AutoML #NaturalLanguageProcessing</t>
  </si>
  <si>
    <t>https://www.mdpi.com/2073-431X/10/2/24</t>
  </si>
  <si>
    <t>https://pbs.twimg.com/media/Eu5k4jnUYAETaLN.jpg</t>
  </si>
  <si>
    <t>Basel, Schweiz</t>
  </si>
  <si>
    <t>Computers (ISSN 2073-431X) is an international scientific open access journal of computer science. Indexed in Scopus, ESCI, Inspec (IET) and DBLP.</t>
  </si>
  <si>
    <t>http://www.mdpi.com/journal/computers</t>
  </si>
  <si>
    <t>Shapeshifter. #Hexagon's #illusion. #DEVCommunity #Programming #IoT #IoTPL #AI #100DaysOfCode #MachineLearning #Airdrop #CloudComputing #Analytics #Serverless #cybersecurity #ArtificialIntelligence #DataScience #5G #Engineering #innovation #sustainable #energy #Physics RT @Theslimevids: Shape Shifting Hexagon device..</t>
  </si>
  <si>
    <t>https://twitter.com/Theslimevids/status/1340643653585260544</t>
  </si>
  <si>
    <t>pic.twitter.com/GEdI820PjP</t>
  </si>
  <si>
    <t>BBVA Open Innovation</t>
  </si>
  <si>
    <t>🤝 ¡Tenemos una nueva alianza! @GoogleCloud_ES y @bbva se unen en el desarrollo de innovadores modelos de #InteligenciaArtificial y #MachineLearning para prevenir ciberataques contra su infraestructura bancaria 🌐 [Leer el artículo completo] 👉</t>
  </si>
  <si>
    <t>http://bbva.info/3bujveN</t>
  </si>
  <si>
    <t>pic.twitter.com/69KuBJtywa</t>
  </si>
  <si>
    <t>[ES] [CO] [MX]</t>
  </si>
  <si>
    <t>🚀 Connecting enterpreneurs &amp; #startups with BBVA. #Innovation comes first! 📸 Also on Instagram! 👉 https://bbva.info/iginnovation</t>
  </si>
  <si>
    <t>https://openinnovation.bbva.com</t>
  </si>
  <si>
    <t>baobab soluciones</t>
  </si>
  <si>
    <t>Combining ML and traditional route optimization. #prescriptiveanalytics #operationsresearch #MachineLearning</t>
  </si>
  <si>
    <t>https://chainstoreage.com/amazon-seeks-human-touch-delivery-optimization</t>
  </si>
  <si>
    <t>madrid</t>
  </si>
  <si>
    <t>optimización, simulación de eventos discretos, business analytics</t>
  </si>
  <si>
    <t>http://www.baobabsoluciones.es</t>
  </si>
  <si>
    <t>The Next Tech</t>
  </si>
  <si>
    <t>Top 6 Machine Learning Trends you should watch in 2021  #machinelearning #ml #tech #technology #tnt2021</t>
  </si>
  <si>
    <t>https://www.the-next-tech.com/?p=32525&amp;utm_source=twitter&amp;utm_medium=social&amp;utm_campaign=TNT</t>
  </si>
  <si>
    <t>Our mission is to make people aware and educate about latest #Technology #Programming, #Security, #AI, #BusinessIdeas, #Entertainment, #Health #Blockchain #IoT.</t>
  </si>
  <si>
    <t>https://the-next-tech.com</t>
  </si>
  <si>
    <t>Matthew Palmer</t>
  </si>
  <si>
    <t>SDxCentral News: 7 Layers Interview: AI Expert Talks Uses and Concerns Host Connor Craven discusses artificial intelligence, its uses, and the consequences of AI bias with  #ai #machinelearning</t>
  </si>
  <si>
    <t>Boulder, CO</t>
  </si>
  <si>
    <t>Husband, Dad, Winemaker, Skier, Investor, Inventor, Company Builder. CEO and Co-Founder of SDxCentral</t>
  </si>
  <si>
    <t>https://www.sdxcentral.com</t>
  </si>
  <si>
    <t>MBIT School</t>
  </si>
  <si>
    <t>El etiquetado de datos supone una tarea desconocida para muchos... ¿sabes cómo y quién etiqueta esas cantidades ingentes de datos? Esta tarde te lo desvelamos 🧐 en nuestro webinar. ¡Aún estás a tiempo de inscribirte!  #webinarsMBIT #machinelearning</t>
  </si>
  <si>
    <t>https://docs.google.com/forms/d/e/1FAIpQLSd3YL48BtAVFFjfyfiZggdGGCuWLxhPjfzPit4sJClb_eRmYg/viewform</t>
  </si>
  <si>
    <t>https://pbs.twimg.com/media/Eu5kUXcXIAEkAbx.jpg</t>
  </si>
  <si>
    <t>Serrano, 213. Madrid. España.</t>
  </si>
  <si>
    <t>MBIT School es una escuela de técnica aplicada a los negocios. Especializada en tecnologías de #BigData, #DataScience, #InteligenciaArtificial #DeepLearning</t>
  </si>
  <si>
    <t>http://www.mbitschool.com</t>
  </si>
  <si>
    <t>Pimloc</t>
  </si>
  <si>
    <t>"... the desire for general humanistic capability [in AI] has currently overcome realistic expectations of its accuracy" - explore more now:  #AI #MachineLearning #intelligence #blog</t>
  </si>
  <si>
    <t>https://www.pimloc.com/blog-1/what-do-the-machines-think</t>
  </si>
  <si>
    <t>World leading visual privacy and security</t>
  </si>
  <si>
    <t>http://pimloc.com</t>
  </si>
  <si>
    <t>Secure Redact</t>
  </si>
  <si>
    <t>Automatic video redaction for GDPR and Data Protection</t>
  </si>
  <si>
    <t>http://www.secureredact.co.uk</t>
  </si>
  <si>
    <t>https://pbs.twimg.com/media/Eu5kQW6WgAM0kDT.jpg</t>
  </si>
  <si>
    <t>#AI-powered decision management key for global credit card security  v/ @brighterion #MachineLearning #Fintech #CyberSecurity Cc @JimMarous @DeepLearn007 @SpirosMargaris @psb_dc @guzmand @Xbond49 @helene_wpli @jblefevre60</t>
  </si>
  <si>
    <t>https://brighterion.com/ai-powered-decision-making-for-global-credit-card-security-brighterion-ai-a-mastercard-company</t>
  </si>
  <si>
    <t>https://pbs.twimg.com/media/Eu5kPI9XUAY4si6.jpg</t>
  </si>
  <si>
    <t>teraflow.ai</t>
  </si>
  <si>
    <t>And how do we go about getting rid of mundane tasks? ARTIFICIAL INTELLIGENCE!!! (how many times must we say it) #ai #aritificialintelligence #algorithms #machinelearning #data #dataengineering #processes #efficiency</t>
  </si>
  <si>
    <t>https://pbs.twimg.com/media/Eu5kOgCXIAEzQ2y.jpg</t>
  </si>
  <si>
    <t>UK &amp; SA</t>
  </si>
  <si>
    <t>We Make AI Work</t>
  </si>
  <si>
    <t>http://teraflow.ai</t>
  </si>
  <si>
    <t>[R]CSTR: A Classification Perspective on Scene Text Recognition</t>
  </si>
  <si>
    <t>https://www.reddit.com/r/MachineLearning/comments/lqb7le/rcstr_a_classification_perspective_on_scene_text/</t>
  </si>
  <si>
    <t>[D] Machine Learning - WAYR (What Are You Reading) - Week 106  #MachineLearning</t>
  </si>
  <si>
    <t>https://www.reddit.com/r/MachineLearning/comments/ljx92n/d_machine_learning_wayr_what_are_you_reading_week/</t>
  </si>
  <si>
    <t>Disk fren parçası. /Disc brake part. #Robotics #Automotive #techgadgets #MachineLearning #YapayZeka</t>
  </si>
  <si>
    <t>https://pbs.twimg.com/media/Eu2sik6VIAE5-TA.jpg</t>
  </si>
  <si>
    <t>What is this awesome game? #DEVCommunity #Programming #IoT #IoTPL #AI #100DaysOfCode #MachineLearning #Airdrop #CloudComputing #Analytics #Serverless #cybersecurity #ArtificialIntelligence #DataScience #5G #Engineering #innovation #sustainable #energy #merge #gamer RT @Theslimevids: Sooo beautiful ☺️</t>
  </si>
  <si>
    <t>https://twitter.com/Theslimevids/status/1343186907056861184</t>
  </si>
  <si>
    <t>pic.twitter.com/dutn6fXMry</t>
  </si>
  <si>
    <t>AWS UK &amp; Ireland</t>
  </si>
  <si>
    <t>https://go.aws/3jZTFDf</t>
  </si>
  <si>
    <t>https://pbs.twimg.com/media/Eu5j4keWQAE0mxn.jpg</t>
  </si>
  <si>
    <t>UK &amp; Ireland</t>
  </si>
  <si>
    <t>Amazon Web Services in the UK &amp; Ireland. Please direct support questions to @AWSSupport</t>
  </si>
  <si>
    <t>Wow who can beat this guy? #DEVCommunity #Programming #IoT #IoTPL #AI #100DaysOfCode #MachineLearning #Airdrop #CloudComputing #Analytics #Serverless #cybersecurity #ArtificialIntelligence #DataScience #5G #Engineering #innovation #sustainable #energy #draftbeer RT @Theslimevids: Legend 🤣🏅</t>
  </si>
  <si>
    <t>https://twitter.com/Theslimevids/status/1345702787930230785</t>
  </si>
  <si>
    <t>pic.twitter.com/YxnaVBSakY</t>
  </si>
  <si>
    <t>Not high tech nor innovation but simply great engineering. #DEVCommunity #Programming #IoT #IoTPL #AI #100DaysOfCode #MachineLearning #Airdrop #CloudComputing #Analytics #Serverless #cybersecurity #ArtificialIntelligence #DataScience #5G #Engineering #innovation #sustainable RT @Theslimevids: 🛣️</t>
  </si>
  <si>
    <t>https://twitter.com/Theslimevids/status/1347173844759416832</t>
  </si>
  <si>
    <t>pic.twitter.com/bzL6ZUhUAD</t>
  </si>
  <si>
    <t>https://pbs.twimg.com/media/Eu5jiJWXIAAJiF3.jpg</t>
  </si>
  <si>
    <t>A great initiative - voice application will start to increase #Voice #ArtificialIntelligence #AI #DataScience #100DaysOfCode #Python #MachineLearning #BigData #DeepLearning #NLP #Robots #IoT RT @efipm: The 1st cohort of voice startups! #Google’s #Voice #AI accelerator launches 12 startups  @Ronald_vanLoon @BetaMoroney @InsuranceEleph1 @stratorob @kuriharan @Xbond49</t>
  </si>
  <si>
    <t>https://twitter.com/efipm/status/1364111331717242880
https://buff.ly/3qYmrHn</t>
  </si>
  <si>
    <t>https://pbs.twimg.com/media/Eu5MBxHXIAAP_93.jpg</t>
  </si>
  <si>
    <t>I really need this trimmer for my landscaping. #DEVCommunity #Programming #IoT #IoTPL #AI #100DaysOfCode #MachineLearning #Airdrop #CloudComputing #Analytics #Serverless #cybersecurity #ArtificialIntelligence #DataScience #5G #Engineering #innovation #sustainable #energy RT @Theslimevids: Trimming a hedge..</t>
  </si>
  <si>
    <t>https://twitter.com/Theslimevids/status/1350037134317477890</t>
  </si>
  <si>
    <t>pic.twitter.com/jWeLJkUyrA</t>
  </si>
  <si>
    <t>Milano Chemometrics and QSAR Research Group</t>
  </si>
  <si>
    <t>Now #open #access on @JCIM_ACS, have a look! Consensus versus Individual #QSARs in Classification: Comparison on a Large-Scale Case Study  #michem #machinelearning #datafusion</t>
  </si>
  <si>
    <t>https://pubs.acs.org/doi/10.1021/acs.jcim.9b01057#.YDTCWG2zW4k.twitter</t>
  </si>
  <si>
    <t>Milan, Lombardy</t>
  </si>
  <si>
    <t>MiChem research group (@unimib): #Chemometrics &amp; #QSAR, #machine #learning, multivariate modelling for #chemoinformatics and #analytical chemistry</t>
  </si>
  <si>
    <t>http://www.michem.unimib.it/</t>
  </si>
  <si>
    <t>Fun slider. #DEVCommunity #Programming #IoT #IoTPL #AI #100DaysOfCode #MachineLearning #Airdrop #CloudComputing #Analytics #Serverless #cybersecurity #ArtificialIntelligence #DataScience #5G #Engineering #innovation #sustainable #energy #amusementpark #sliderpool RT @Theslimevids: Weekend fun😍</t>
  </si>
  <si>
    <t>https://twitter.com/Theslimevids/status/1350825730062520323</t>
  </si>
  <si>
    <t>pic.twitter.com/Ssahd8gpEI</t>
  </si>
  <si>
    <t>Antonio Gambina</t>
  </si>
  <si>
    <t>#AI vs. #MachineLearning vs. #DeepLearning - What is the difference?  v/ @dataiku #DL #ML #DigitalTransformation #Cloud #BigData #ArtificialIntelligence</t>
  </si>
  <si>
    <t>https://buff.ly/3bnX909</t>
  </si>
  <si>
    <t>https://pbs.twimg.com/media/Eu5jFRUXcAEZimE.png</t>
  </si>
  <si>
    <t>Catania - Siracusa (Italia)</t>
  </si>
  <si>
    <t>#DigitalTransformation #DataManagement #CyberSecurity #RPA #AI #BigData #FinTech #IoT ● Father of Emma ♥ ● @acffiorentina fan ● AG Servizi @antonio_gambina</t>
  </si>
  <si>
    <t>https://buff.ly/33HxURU</t>
  </si>
  <si>
    <t>https://pbs.twimg.com/media/Eu5jFKVWQAM0cmF.jpg</t>
  </si>
  <si>
    <t>What a craftmanship! #DEVCommunity #Programming #IoT #IoTPL #AI #100DaysOfCode #MachineLearning #Airdrop #CloudComputing #Analytics #Serverless #cybersecurity #ArtificialIntelligence #DataScience #5G #Engineering #innovation #sustainable #energy #DIY RT @Theslimevids: Mini House 😍🤗🏠</t>
  </si>
  <si>
    <t>https://twitter.com/Theslimevids/status/1353194137785409537</t>
  </si>
  <si>
    <t>pic.twitter.com/66HAbN0rc0</t>
  </si>
  <si>
    <t>Professional assembler. #DEVCommunity #Programming #IoT #IoTPL #AI #100DaysOfCode #MachineLearning #Airdrop #CloudComputing #Analytics #Serverless #cybersecurity #ArtificialIntelligence #DataScience #5G #Engineering #innovation #sustainable #energy #China #Asia RT @Theslimevids: 🙏🙏</t>
  </si>
  <si>
    <t>https://twitter.com/Theslimevids/status/1357735819771957248</t>
  </si>
  <si>
    <t>pic.twitter.com/WxM4AjOHg4</t>
  </si>
  <si>
    <t>Take A Look At How Artificial Intelligence Can Improve Your Pet's Health - Forbes Read more here:  #ArtificialIntelligence #AI #DataScience #100DaysOfCode #Python #MachineLearning #BigData #DeepLearning #NLP #Robots #IoT</t>
  </si>
  <si>
    <t>https://ift.tt/3pO7wOm</t>
  </si>
  <si>
    <t>Applications of Artificial Intelligence in COVID-19 ICU and ER situations -  Read more here:  #ArtificialIntelligence #AI #DataScience #100DaysOfCode #Python #MachineLearning #BigData #DeepLearning #NLP #Robots #IoT</t>
  </si>
  <si>
    <t>http://News-Medical.Net
https://ift.tt/2NRgIEx</t>
  </si>
  <si>
    <t>Latest News Artificial Intelligence and Bias: The Buck Stops (W)here - Analytics Insight Read more here:  #ArtificialIntelligence #AI #DataScience #100DaysOfCode #Python #MachineLearning #BigData #DeepLearning #NLP #Robots #IoT</t>
  </si>
  <si>
    <t>https://ift.tt/3dxG598</t>
  </si>
  <si>
    <t>artificial intelligence (AI) warfighting collaborate - Military &amp; Aerospace Electronics Read more here:  #ArtificialIntelligence #AI #DataScience #100DaysOfCode #Python #MachineLearning #BigData #DeepLearning #NLP #Robots #IoT</t>
  </si>
  <si>
    <t>https://ift.tt/3aItT3j</t>
  </si>
  <si>
    <t>European Space Agency selects CGI to develop services combining Artificial Intelligence and Earth Observation for Wildfire Mapping - AiThority Read more here:  #ArtificialIntelligence #AI #DataScience #100DaysOfCode #Python #MachineLearning #BigData #De…</t>
  </si>
  <si>
    <t>https://ift.tt/3upKuAQ</t>
  </si>
  <si>
    <t>Artificial Intelligence in Cybersecurity - Techopedia Read more here:  #ArtificialIntelligence #AI #DataScience #100DaysOfCode #Python #MachineLearning #BigData #DeepLearning #NLP #Robots #IoT</t>
  </si>
  <si>
    <t>https://ift.tt/37DWeWQ</t>
  </si>
  <si>
    <t>Artificial intelligence predicts nonlinear ultrafast dynamics in optics - EurekAlert Read more here:  #ArtificialIntelligence #AI #DataScience #100DaysOfCode #Python #MachineLearning #BigData #DeepLearning #NLP #Robots #IoT</t>
  </si>
  <si>
    <t>https://ift.tt/37sabH2</t>
  </si>
  <si>
    <t>Israel's IAI and Matrix partner for AI center focused on automatic target detection - C4ISRNet Read more here:  #ArtificialIntelligence #AI #DataScience #100DaysOfCode #Python #MachineLearning #BigData #DeepLearning #NLP #Robots #IoT</t>
  </si>
  <si>
    <t>https://ift.tt/3dCq8yh</t>
  </si>
  <si>
    <t>😎😎#DEVCommunity #Programming #IoT #IoTPL #AI #100DaysOfCode #MachineLearning #Airdrop #CloudComputing #Analytics #Serverless #cybersecurity #ArtificialIntelligence #DataScience #5G #Engineering #innovation #sustainable #energy #India #Asia RT @Theslimevids: 🎈🎈</t>
  </si>
  <si>
    <t>https://twitter.com/Theslimevids/status/1359545720898945030</t>
  </si>
  <si>
    <t>pic.twitter.com/4TX6Lfqcz9</t>
  </si>
  <si>
    <t>Spotify Improving Podcast Discovery With Machine Learning - According to Engadget  #machinelearning #intoAInews</t>
  </si>
  <si>
    <t>https://neurons.ai/blog/news-stories/spotify-improving-podcast-discovery-with-machine-learning/</t>
  </si>
  <si>
    <t>https://essentials.news/cybersecurity/innovations-and-trends/article?url=https://www.forbes.com/sites/forbestechcouncil/2021/02/18/four-ways-ai-and-machine-learning-will-drive-future-innovation-and-change/amp/%3Fsh%3D7b12c5eb21a8%26__twitter_impression%3Dtrue</t>
  </si>
  <si>
    <t>Machine Learning as a Service (MlaaS) Market 2021 Industry Analysis by Application, -  #machinelearning #intoAInews</t>
  </si>
  <si>
    <t>https://neurons.ai/blog/news-stories/machine-learning-as-a-service-mlaas-market-2021-industry-analysis-by-application-emerging/</t>
  </si>
  <si>
    <t>Logistic Regression #MachineLearning #bigdata #learning via</t>
  </si>
  <si>
    <t>http://twinybots.ch
https://medium.com/analytics-vidhya/logistic-regression-9b5aea994ecf</t>
  </si>
  <si>
    <t>#arXiv #machinelearning [cs.LG] Artificial Intelligence Enhanced Rapid and Efficient Diagnosis of Mycoplasma Pneumoniae Pneumonia in Children Patients. (arXiv:2102.10284v1 [cs.LG])  Artificial intelligence methods have been incre… .</t>
  </si>
  <si>
    <t>https://bit.ly/3urycb4
https://bit.ly/3uqM4m0</t>
  </si>
  <si>
    <t>#arXiv #machinelearning [cs.LG] GroupifyVAE: from Group-based Definition to VAE-based Unsupervised Representation Disentanglement. (arXiv:2102.10303v1 [cs.LG])  The key idea of the state-of-the-art VAE-based unsupervised representation disentanglement me…</t>
  </si>
  <si>
    <t>https://bit.ly/3pOkHPg</t>
  </si>
  <si>
    <t>Velmie</t>
  </si>
  <si>
    <t>4 main technology trends in #digitalbanking and #fintech for 2021: #Microservices ▪️ #Artificialintelligence &amp; #MachineLearning ▪️ #DecentralizedFinance ▪️ #PredictiveAnalytics Get to know how they are transforming financial services:</t>
  </si>
  <si>
    <t>https://www.velmie.com/post/technology-trends-shaping-the-fintech-industry-in-2021</t>
  </si>
  <si>
    <t>Tailored #FinTech solutions that help remain future-fit in an increasingly competitive landscape. #MobileBanking #DigitalBank #BankingSoftware #eWallet</t>
  </si>
  <si>
    <t>http://www.velmie.com</t>
  </si>
  <si>
    <t>Intl Railway Summit</t>
  </si>
  <si>
    <t>Thomas Böhm Head of Product @weareKONUX explores how #IoT, predictive maintenance and #MachineLearning can accelerate #digitalisation of infrastructure and improve maintenance, safety and operations. Learn about the latest #rail innovation during #irs10: .</t>
  </si>
  <si>
    <t>http://www.irits.org/irs10</t>
  </si>
  <si>
    <t>https://pbs.twimg.com/media/Eu5h_jmXEAACdq4.jpg</t>
  </si>
  <si>
    <t>International Railway Summit is the rail sector leaders’ meeting platform. IRS10: 23-26 February 2021, Online</t>
  </si>
  <si>
    <t>http://www.irits.org</t>
  </si>
  <si>
    <t>Ivy Wong</t>
  </si>
  <si>
    <t>Check out @IndecisiveMatt 's latest paper if you are interested in a #MachineLearning application to Radio Polarisation observations RT @arXiver: Interpretable Faraday Complexity Classification [IMA]</t>
  </si>
  <si>
    <t>https://twitter.com/arXiver/status/1364054547308503046
http://arxiver.moonhats.com/2021/02/23/interpretable-faraday-complexity-classification-ima/</t>
  </si>
  <si>
    <t>https://pbs.twimg.com/media/Eu4YX4gUYAMABPz.jpg</t>
  </si>
  <si>
    <t>Perth, Downunder</t>
  </si>
  <si>
    <t>an AU astronomer trying to make sense of this Universe. She has also hijacked her cat's Twitter account .... all opinions are free and her own</t>
  </si>
  <si>
    <t>http://www.icrar.org/people/iwong/</t>
  </si>
  <si>
    <t>LIV Consulting</t>
  </si>
  <si>
    <t>"Here are four ways AI and ML will continue to shape multiple industries and integrate with other technologies to drive further innovation and change in the year ahead:" @forbes #technology #Artificialintelligence #machinelearning #data #techinnovation</t>
  </si>
  <si>
    <t>https://buff.ly/3dDnUyX</t>
  </si>
  <si>
    <t>https://pbs.twimg.com/media/Eu5iFXAXYAA6x8T.jpg</t>
  </si>
  <si>
    <t>Cape Town, South Africa</t>
  </si>
  <si>
    <t>Global Digital &amp; Management Consultants</t>
  </si>
  <si>
    <t>http://www.livconsulting.co.za</t>
  </si>
  <si>
    <t>AI HQ</t>
  </si>
  <si>
    <t>Pet wearables and AI innovation! #AI #ArtificialIntelligence #MachineLearning #ML #DeepLearning #Pets #dogs #healthcare #cats #Health #tech #technologies #data #DataAnalytics</t>
  </si>
  <si>
    <t>https://www.forbes.com/sites/jenniferhicks/2021/02/22/take-a-look-at-how-artificial-intelligence-can-improve-your-pets-health/</t>
  </si>
  <si>
    <t>Join the AI HQ community #AI #ML #DeepLearning</t>
  </si>
  <si>
    <t>#Lifehack of folding clothes #DEVCommunity #Programming #IoT #IoTPL #AI #100DaysOfCode #MachineLearning #Airdrop #CloudComputing #Analytics #Serverless #cybersecurity #ArtificialIntelligence #DataScience #5G #Engineering #innovation #sustainable #energy RT @Theslimevids: DIY clothing tips, Folding Clothes in just a blink!!!😱</t>
  </si>
  <si>
    <t>https://twitter.com/Theslimevids/status/1359909785957638146</t>
  </si>
  <si>
    <t>pic.twitter.com/sz0ESWpp0C</t>
  </si>
  <si>
    <t>https://pbs.twimg.com/media/Eu5h7xVXYAACFTe.jpg</t>
  </si>
  <si>
    <t>GlobalDigitalFashion</t>
  </si>
  <si>
    <t>The Global Digital Fashion Daily is out!  #machinelearning #learning</t>
  </si>
  <si>
    <t>http://www.globaldigitalfashion.com</t>
  </si>
  <si>
    <t>This is how you make hand-made bracelets. #DEVCommunity #Programming #IoT #IoTPL #AI #100DaysOfCode #MachineLearning #Airdrop #CloudComputing #Analytics #Serverless #cybersecurity #ArtificialIntelligence #DataScience #5G #Engineering #innovation #sustainable #energy #crafting RT @Theslimevids: Process of making beautiful bracelets 🙌</t>
  </si>
  <si>
    <t>https://twitter.com/Theslimevids/status/1362021141020217345</t>
  </si>
  <si>
    <t>pic.twitter.com/UFp66kSme7</t>
  </si>
  <si>
    <t>Art of line. #DEVCommunity #Programming #IoT #IoTPL #AI #100DaysOfCode #MachineLearning #Airdrop #CloudComputing #Analytics #Serverless #cybersecurity #ArtificialIntelligence #DataScience #5G #Engineering #innovation #sustainable #energy #Geometricpattern RT @Theslimevids: 💙</t>
  </si>
  <si>
    <t>https://twitter.com/Theslimevids/status/1320884791013568512</t>
  </si>
  <si>
    <t>pic.twitter.com/xAsp2dtbnf</t>
  </si>
  <si>
    <t>Marco Sala</t>
  </si>
  <si>
    <t>Learn all about Translation API in this episode of #AIAdventures! ￼ #ArtificialIntelligence #machinelearning #ML #AI #GoogleCloud #translationAPI #MLAPI</t>
  </si>
  <si>
    <t>https://lnkd.in/dvFka-a</t>
  </si>
  <si>
    <t>Sales Executive @GoogleCloud. Passions #technology, #travel &amp; #wellness. Views are my own.</t>
  </si>
  <si>
    <t>Cyclical Learning Rates for Training Neural Networks- Paper Summarization by Pratiksha Agrawal #MachineLearning #AI #DeepLearning #NeuralNetworks</t>
  </si>
  <si>
    <t>https://link.medium.com/2SAx91Hw6db</t>
  </si>
  <si>
    <t>Serine Nazaryan🇦🇲</t>
  </si>
  <si>
    <t>Very excited about our webinar later this week! Join us when we discuss how to increase efficiency at building your models. To improve your ML workflow and find out more register here:  #WandB #Reproducibility #ExperimentTracking #MachineLearning #AI</t>
  </si>
  <si>
    <t>https://bit.ly/2Xjt7CB</t>
  </si>
  <si>
    <t>https://pbs.twimg.com/media/Eu5hU3BXYAEXgm9.jpg</t>
  </si>
  <si>
    <t>#ArtsakhStrong Machine Learning Account Development @weights_biases | Economist | #ML Enthusiast | Pianist | Adventurer</t>
  </si>
  <si>
    <t>https://www.linkedin.com/in/serinenazaryan/</t>
  </si>
  <si>
    <t>Big Data Analytics</t>
  </si>
  <si>
    <t>via @RichardEudes - Databricks launches on Google Cloud  #analytics, #analytics #datascience, #bigdata, #businessanalytics #ba, #dataengineering, #datalake, #datamanagement, #datascience, #machinelearning RT @RichardEudes: Databricks launches on Google Cloud  #analytics, #analytics #datascience, #bigdata, #businessanalytics #ba, #dataengineering, #datalake, #datamanagement, #datascience, #machinelearning</t>
  </si>
  <si>
    <t>http://bit.ly/3kaTaXf
https://twitter.com/RichardEudes/status/1364107477806178306
https://bit.ly/3kaTaXf</t>
  </si>
  <si>
    <t>#BigData #DataScience #Analytics #Statistics #PredictiveModeling #ComputerScience #MachineLearning</t>
  </si>
  <si>
    <t>via @RichardEudes - Why is Data Missing from the Balance Sheet?  #analytics, #analytics #datascience, #artificialintelligence, #bigdata, #businessanalytics #ba, #cybersecurity, #dataengineering, #datascience, #machinelearning RT @RichardEudes: Why is Data Missing from the Balance Sheet?  #analytics, #analytics #datascience, #artificialintelligence, #bigdata, #businessanalytics #ba, #cybersecurity, #dataengineering, #datascience, #machinelearning</t>
  </si>
  <si>
    <t>http://bit.ly/2AHPERc
https://twitter.com/RichardEudes/status/1363941663010402306
https://bit.ly/2AHPERc</t>
  </si>
  <si>
    <t>via @RichardEudes - Logistic Regression  #analytics #datascience, #bigdata, #datascience #ds, #machinelearning, #statistics RT @RichardEudes: Logistic Regression  #analytics #datascience, #bigdata, #datascience #ds, #machinelearning, #statistics</t>
  </si>
  <si>
    <t>http://bit.ly/3seyKzm
https://twitter.com/RichardEudes/status/1363919139451133961
https://bit.ly/3seyKzm</t>
  </si>
  <si>
    <t>Louis Chan</t>
  </si>
  <si>
    <t>Do you know that TensorFlow can speed up NumPy by over 10,000x using GPUs?  #datascience #machinelearning #tensorflow #numpy #python #programming</t>
  </si>
  <si>
    <t>https://pub.towardsai.net/tensorflow-accelerate-numpy-with-gpus-964e9087fdab</t>
  </si>
  <si>
    <t>Data Scientist, Python is my weapon of choice, Age of Empires for life.</t>
  </si>
  <si>
    <t>Javascriptflx</t>
  </si>
  <si>
    <t>Fundamentals of Machine Learning ($19.99 to Free) #ArtificialIntelligence #100DaysOfCode #programming #blockchain #CloudComputing #MachineLearning #IoT #DeepLearning #Python #BigData #Serverless #ML #Linux #AI #JavaScript #DataScience  #Javascript</t>
  </si>
  <si>
    <t>https://www.jucktion.com/forum/udemy-coupon/fundamentals-of-machine-learning-19-99-to-free-artificialintelligence-100daysofc/</t>
  </si>
  <si>
    <t>I retweet all about #Javascript and everything about JS frameworks !!</t>
  </si>
  <si>
    <t>https://pbs.twimg.com/media/Eu5gyr8XEAIt6li.jpg</t>
  </si>
  <si>
    <t>HGS Digital</t>
  </si>
  <si>
    <t>A must-read guide for selecting the right #CRM for your retail business  #Retail #Digital #RetailCRM #MachineLearning</t>
  </si>
  <si>
    <t>http://bit.ly/38Afra4</t>
  </si>
  <si>
    <t>https://pbs.twimg.com/media/Eu5TDGZXEAAI26Z.jpg</t>
  </si>
  <si>
    <t>Creating exceptional customer experiences for clients through strategic, knowledgeable, &amp; technically advanced online experience management solutions.</t>
  </si>
  <si>
    <t>https://www.hgsdigital.com</t>
  </si>
  <si>
    <t>Analytics France</t>
  </si>
  <si>
    <t>How AI Can Help Identify Problem Gamblers -  - thanks @RichardEudes #Analytics,#BigData,#Compliance,#Cybersecurity,#DataGovernance,#DataPrivacy,#GDPR,#MachineLearning,#Statistics,#ArtificialIntelligence,#DataScience,#Analytics #DataScience</t>
  </si>
  <si>
    <t>https://bit.ly/3bA8d8Q</t>
  </si>
  <si>
    <t>Global Cooperation &amp; Guidelines Will Let Countries Use AI For Good -  - thanks @RichardEudes #Analytics,#BigData,#DataEngineering,#DataGovernance,#DataManagement,#DataQuality,#DeepLearning,#MachineLearning,#NeuralNetworks,#ArtificialIntelligence,#DataScie…</t>
  </si>
  <si>
    <t>https://bit.ly/3aJQL2A</t>
  </si>
  <si>
    <t>GreatBot.io</t>
  </si>
  <si>
    <t>How intelligent and automated conversational systems are driving B2C revenue and growth.  #chatbot #MachineLearning</t>
  </si>
  <si>
    <t>https://chatbotslife.com/how-intelligent-and-automated-conversational-systems-are-driving-b2c-revenue-and-growth-e5af82f3432e?source=rss----a49517e4c30b---4</t>
  </si>
  <si>
    <t>Meet Your New, Full-Time, Do-It-All Staff Member. — Let chatbots perfectly handle all of the monotonous stuff. Allow humans to focus 100% on valuable tasks.</t>
  </si>
  <si>
    <t>https://GreatBot.io</t>
  </si>
  <si>
    <t>Corrado De Bari</t>
  </si>
  <si>
    <t>Available Oracle Machine Learning for Python on Autonomous DB. Try cool features like AutoML to reduce effort in ML projects. Test for free with Oracle Cloud Free Tier  Details:  #machinelearning #python #autonomousdb #oracle #oci</t>
  </si>
  <si>
    <t>https://lnkd.in/ddS-iTn
https://lnkd.in/d9BF36q</t>
  </si>
  <si>
    <t>Oracle Cloud Architect - AI/ML Domain Specialist. Tireless traveller, citizen of the world. Views my own.</t>
  </si>
  <si>
    <t>eBotify</t>
  </si>
  <si>
    <t>By 2024, the worldwide #chatbot market is all slated to cross the value of more than $1.3 billion Here's a clear picture of the #future of #chatbots in 2021 #artificialintelligence #AI #ML #machinelearning #RPA #100DaysOfCode #WomenWhoCode #business #Growth #report #Trending</t>
  </si>
  <si>
    <t>https://pbs.twimg.com/media/Eu5f6VJUUAA8Zrs.jpg</t>
  </si>
  <si>
    <t>eBotify is an AI driven conversational BOT building platform to create tailor made chatbot's for Businesses</t>
  </si>
  <si>
    <t>Python &amp; APIs: A Winning Combo for Reading Public Data.  #Python #programming #100DaysOfCode #IoT #MachineLearning #100DaysOfMLCode #AI #javascript #womenwhocode #RStats #Serverless #CodeNewbie #DataScience #DEVCommunity</t>
  </si>
  <si>
    <t>https://realpython.com/python-api/</t>
  </si>
  <si>
    <t>https://pbs.twimg.com/media/Eu2-kDeUcAAj1ZG.jpg</t>
  </si>
  <si>
    <t>PS5 restock for Saturday: how to track the new console stock on Twitter: #machinelearning #ai #iot mt: @MIKEQUINDAZZI</t>
  </si>
  <si>
    <t>https://www.techradar.com/news/ps5-restock-for-saturday-how-to-track-the-new-console-stock-on-twitter/</t>
  </si>
  <si>
    <t>https://pbs.twimg.com/media/Eu5fyqZVcAI-p9y.jpg</t>
  </si>
  <si>
    <t>Bewgle</t>
  </si>
  <si>
    <t>Understanding #customers always require brands to look through different lenses. #AI and #MachineLearning tools like #Bewgle can manage data processing to help you understand your customers in order to increase #Conversions.</t>
  </si>
  <si>
    <t>https://customerthink.com/digital-transformation-and-the-role-of-the-customer-data-platform-cdp/</t>
  </si>
  <si>
    <t>Longer posts at http://blog.bewgle.com</t>
  </si>
  <si>
    <t>http://www.bewgle.com</t>
  </si>
  <si>
    <t>https://pbs.twimg.com/media/Eu5fpZ3XcAEaWl-.jpg</t>
  </si>
  <si>
    <t>AWS España</t>
  </si>
  <si>
    <t>Mira el programa de #AWSInnovate y organiza tu día mañana. Puedes elegir entre múltiples sesiones sobre inteligencia artificial y #MachineLearning, tanto técnicas como de negocio.</t>
  </si>
  <si>
    <t>https://go.aws/3aHoQAs</t>
  </si>
  <si>
    <t>https://pbs.twimg.com/media/Eu5flVZXMAE_c2L.png</t>
  </si>
  <si>
    <t>¡Bienvenido al canal oficial de Twitter #AWS! Entérate de todas las novedades #cloudcomputing.</t>
  </si>
  <si>
    <t>https://aws.amazon.com/es/</t>
  </si>
  <si>
    <t>Jumping Bean</t>
  </si>
  <si>
    <t>Hadoop Training We Train, We Build, We Support. Call now to book your seat.  +27 11 781 8014 #Hadoop #Bigdata #Training #Jumpingbean #Apache #machinelearning #java #artificialintelligence #LearningIsFun #AI #deeplearning</t>
  </si>
  <si>
    <t>https://bigdata.co.za/#hadoop-training</t>
  </si>
  <si>
    <t>https://pbs.twimg.com/media/Eu5fk-LXcAARlO7.png</t>
  </si>
  <si>
    <t>South Africa,Randburg</t>
  </si>
  <si>
    <t>We Build, We Support, We Train</t>
  </si>
  <si>
    <t>http://www.jumpingbean.co.za</t>
  </si>
  <si>
    <t>Dapr is an open-source, Microsoft-incubated project for developers to build event-driven and distributed cloud-native applications.  #Microsoft #cloudcomputing #opensource #100daysofcode #programming #machinelearning #cloud #tech</t>
  </si>
  <si>
    <t>https://zcu.io/e0XO</t>
  </si>
  <si>
    <t>The 10 Best Machine Learning Tools to Look For in 2021  #MachineLearning</t>
  </si>
  <si>
    <t>https://www.analyticsinsight.net/the-10-best-machine-learning-tools-to-look-for-in-2021/</t>
  </si>
  <si>
    <t>#IOTA #iotatoken #DigitalTwins $IOTA $TANGLE $MIOTA #MachineLearning #iotcommunity #iottrends #iottechnology #MIOTA #TANGLE #iotdevices #iotworld #iotsolutions IOTA explained in under 3 minutes! (2021)</t>
  </si>
  <si>
    <t>https://www.youtube.com/watch?v=3mQfd5YxxRA</t>
  </si>
  <si>
    <t>PROJECT CONSULT</t>
  </si>
  <si>
    <t>[DE] Machine Learning: Google beerdigt Swift for TensorFlow |c ... die Apple-Software soll aber eigenständig weiter bestehen | #Swift #Google #Tensorflow #Apple #ML #MachineLearning #AI</t>
  </si>
  <si>
    <t>https://bit.ly/3k0IWJ1</t>
  </si>
  <si>
    <t>Independent Management Consultancy for Information Management, Project Management &amp; Change Management in Germany | http://bit.ly/Imprssm</t>
  </si>
  <si>
    <t>https://www.project-consult.de/impressum</t>
  </si>
  <si>
    <t>#IOTA #iotatoken #DigitalTwins $IOTA $TANGLE $MIOTA #MachineLearning #iotcommunity #iottrends #iottechnology #MIOTA #TANGLE #iotdevices #iotworld #iotsolutions IOTA Quicktakes 22.02.2021 - IOTA Digital Assets, Partnership with Curv and more</t>
  </si>
  <si>
    <t>https://www.youtube.com/watch?v=EaMkUDVR21Y</t>
  </si>
  <si>
    <t>[DE] EPFL und INRIA: E-Learning, Datenschutz und Maschinenlernen vereinigen |c ... Ansätze föderierten Lernens ohne Preisgabe persönlicher Daten | #Datenschutz #ELearning #Maschinenelernen #Machinelearning #ML</t>
  </si>
  <si>
    <t>https://bit.ly/37q60vw</t>
  </si>
  <si>
    <t>Four Ways AI And Machine Learning Will Drive Future Innovation And Change  #Innovation #machinelearning via @automeme</t>
  </si>
  <si>
    <t>https://buff.ly/2ZDEaaQ</t>
  </si>
  <si>
    <t>STARTinfoUP</t>
  </si>
  <si>
    <t>#ISRAEL #AI:IAI and IT co.. signed an agreement to establish a joint AI excellence center. *will co-develop artificial intelligence, #MachineLearning #ML and #BIGDATA-driven solutions to</t>
  </si>
  <si>
    <t>https://www.israeldefense.co.il/en/node/48486</t>
  </si>
  <si>
    <t>https://pbs.twimg.com/media/Eu5fJGwXcAATGDK.jpg</t>
  </si>
  <si>
    <t>Your Source for..Startup/VC/Funding/Tech/AI/ML/AV/...News</t>
  </si>
  <si>
    <t>Google Cloud ANZ</t>
  </si>
  <si>
    <t>No coach to spot your moves on the court? 👀 Read how @dalequark used #MachineLearning to analyse her tennis serves 🎾 Find out more 👇</t>
  </si>
  <si>
    <t>https://goo.gle/3pxBsOu</t>
  </si>
  <si>
    <t>Welcome to the Official Google Cloud Aus/NZ Twitter page! Find out how computing power delivered everywhere, for everyone, is transforming business.</t>
  </si>
  <si>
    <t>Medicine &amp; Machine Learning</t>
  </si>
  <si>
    <t>Machine Learning Model for Diagnosing the Stage of Liver Fibrosis in Patients With Chronic Viral Hepatitis C @Preprints_org #ai #medicine #MachineLearning</t>
  </si>
  <si>
    <t>https://www.preprints.org/manuscript/202102.0488/v1</t>
  </si>
  <si>
    <t>Россия, Санкт-Петербург</t>
  </si>
  <si>
    <t>Scientific blog on the development and application of machine learning methods in medical diagnosis and medicine</t>
  </si>
  <si>
    <t>The Fun and Easy Guide to Machine Learning using Keras  #machinelearning #ad</t>
  </si>
  <si>
    <t>https://zpy.io/70351f1c</t>
  </si>
  <si>
    <t>Arthonsys</t>
  </si>
  <si>
    <t>How to Hire AI Developer in 2021? You just have to hire an #AIdeveloper who has the same vision and passion as you, and then nothing else can stop you from creating groundbreaking #AIsolutions. #artificialintelligence #machinelearning #ai #ml</t>
  </si>
  <si>
    <t>https://lnkd.in/ejdBSBj</t>
  </si>
  <si>
    <t>https://pbs.twimg.com/media/Eu5epgwUUAAvYPc.jpg</t>
  </si>
  <si>
    <t>Arthonsys is the leading #Web #Development, #MobileApp development company. We provide Web designing, Digital Marketing solutions &amp; other IT services.</t>
  </si>
  <si>
    <t>https://www.arthonsys.com</t>
  </si>
  <si>
    <t>Nick Trogh #coldstartchallenge #contributingtoday</t>
  </si>
  <si>
    <t>Join tomorrow's #ContributingToday for deep insights 🕶 in #TensorFlow with @gusthema, and #PyTorch Lightning by @pythiccoder. Our amazing ✨ hosts: @Cassieview and Anneleen Artois! 📅 Wed, Feb 24, 8pm CET | 11am PST 🎥  #opensource #MachineLearning</t>
  </si>
  <si>
    <t>https://contributing.today</t>
  </si>
  <si>
    <t>https://pbs.twimg.com/media/Eu5drNGWgAYqosF.jpg</t>
  </si>
  <si>
    <t>Developer Engagement Lead @Microsoft #Azure | he/him | @msdev_BE | #basketball #mountainbike | #cooking</t>
  </si>
  <si>
    <t>Master CESMA</t>
  </si>
  <si>
    <t>Bentornati in aula ragazzi :-) Avanti tutta!  Master di II livello in Customer Experience, Statistics, Machine learning &amp; Artificial intelligence #economia #master #customerexperience #statistics #machinelearning #artificialintelligence #bigdata</t>
  </si>
  <si>
    <t>http://www.master-cesma.it</t>
  </si>
  <si>
    <t>https://pbs.twimg.com/media/Eu5epHBXAAQtQ52.jpg</t>
  </si>
  <si>
    <t>Università di Roma Tor Vergata</t>
  </si>
  <si>
    <t>Master di II livello in Customer Experience, Statistics, Machine learning &amp; Artificial intelligence - DEF Uni Tor Vergata in convenzione con @SASitaly</t>
  </si>
  <si>
    <t>http://www.master-cesma.it/</t>
  </si>
  <si>
    <t>https://pbs.twimg.com/media/Eu5ef4JXIAEgBvk.jpg</t>
  </si>
  <si>
    <t>I gave +Kred to @gp_pulipaka on @Kred. #influence Chief #AI #HPC #Scientist | #Speaker | PostDoc CS, PhD | Bestselling #Author | 18.4M V | Top #BigData #DataScience #MachineLearning #IIoT #IoT #IoTPL #Influencer @Onalytica #tech</t>
  </si>
  <si>
    <t>AiThority.com</t>
  </si>
  <si>
    <t>Hot Startups: Latest News And Updates On Daily Roundup  @praxis_labs @HGC_Intl @BridgeComm_Inc @Activu #artificialintelligence #AiThority #Fintech #Automation #MachineLearning #HotStartups</t>
  </si>
  <si>
    <t>http://ow.ly/S2yQ30ry26g</t>
  </si>
  <si>
    <t>Hawthorne, CA</t>
  </si>
  <si>
    <t>AiThority covers the Artificial Intelligence (AI), Machine Learning (ML), Blockchain, AR, VR, &amp; SaaS verticals, through editorial insights, trends &amp; benchmarks.</t>
  </si>
  <si>
    <t>http://aithority.com</t>
  </si>
  <si>
    <t>Mohan K. Bavirisetty</t>
  </si>
  <si>
    <t>How #reinforcementlearning chooses the ads you see #RL #ML #Ai #ArtificialIntelligence #MachineLearning #DeepLearning</t>
  </si>
  <si>
    <t>https://bdtechtalks.com/2021/02/22/reinforcement-learning-ad-optimization/</t>
  </si>
  <si>
    <t>http://about.me/innovate4good</t>
  </si>
  <si>
    <t>http://www.linkedin.com/in/bavirisetty</t>
  </si>
  <si>
    <t>BBD UNIVERSITY</t>
  </si>
  <si>
    <t>The #artificialintelligence #researchcentre, #BBDU, in association with Soft Computing Research Society, New Delhi, India, is organizing a "#WorldConference on #MachineLearning &amp; #Applications (WCMLA - 2021)." For more information, drop us an email at wcmla.bbdu@gmail.com.</t>
  </si>
  <si>
    <t>https://pbs.twimg.com/media/Eu5eBJnXcAkjZ45.jpg</t>
  </si>
  <si>
    <t>Lucknow, India</t>
  </si>
  <si>
    <t>BBD is a Private University which aims to transform the way people think through their teaching methodologies while shaping future of the Youth.</t>
  </si>
  <si>
    <t>http://bbdu.ac.in/</t>
  </si>
  <si>
    <t>Aspira</t>
  </si>
  <si>
    <t>What is Machine Learning? In this week's blog, we discuss how a #MachineLearning #algorithm works in theory along with discussing an example of a #fullstack application with a Machine Learning Component, which is hosted on #Microsoft #Azure.</t>
  </si>
  <si>
    <t>https://aspira.ie/how-does-machine-learning-work/</t>
  </si>
  <si>
    <t>https://pbs.twimg.com/media/Eu5eFp8XEAMDYDC.jpg</t>
  </si>
  <si>
    <t>Dublin &amp; Cork</t>
  </si>
  <si>
    <t>Aspira are Consulting &amp; Enterprise IT specialists, providing the people, technology and expertise to solve your project problems. #projectmanagement #pmi</t>
  </si>
  <si>
    <t>http://www.aspira.ie</t>
  </si>
  <si>
    <t>Criteo AI Lab</t>
  </si>
  <si>
    <t>Laplace’s Demon series. Just a few hours ⌛️left to register for Florence Forbes talk on approximate #Bayesian computation with surrogate posteriors. Reserve your 🎟️👉👈 More info &amp; future speakers ➡️ @BayesianIn #MachineLearning</t>
  </si>
  <si>
    <t>http://tinyurl.com/1pctj9ix
http://tinyurl.com/ycwx5xgv</t>
  </si>
  <si>
    <t>https://pbs.twimg.com/media/Eu5dzDrXUAM7fv4.jpg</t>
  </si>
  <si>
    <t>Connecting shoppers to products and brands via creation, development and deployment of AI models that are transparent &amp; interpretable. http://careers.criteo.com</t>
  </si>
  <si>
    <t>http://careers.criteo.com/working-in-R&amp;D</t>
  </si>
  <si>
    <t>Data Scientists</t>
  </si>
  <si>
    <t>Interconnectivity of Univariate Probability Distributions - Data Science Central -  - thanks @RichardEudes #DataScience #DS,#BigData,#Cybersecurity,#MachineLearning,#ArtificialIntelligence,#DataScience,#Analytics #DataScience</t>
  </si>
  <si>
    <t>https://bit.ly/37Cqq4I</t>
  </si>
  <si>
    <t>TensorFlow: Accelerate NumPy with GPUs -  - thanks @RichardEudes #DataScience #DS,#MachineLearning,#ArtificialIntelligence,#DataScience</t>
  </si>
  <si>
    <t>https://bit.ly/2NM2Qv7</t>
  </si>
  <si>
    <t>Machine Learning, Indian Social Media’s Biggest Challenge Yet -  - thanks @RichardEudes #DataScience #DS,#MachineLearning,#Analytics #DataScience</t>
  </si>
  <si>
    <t>https://bit.ly/2MgQvyJ</t>
  </si>
  <si>
    <t>We need to talk about Artificial Intelligence | World Economic Forum -  - thanks @RichardEudes #DataScience #DS,#MachineLearning,#ArtificialIntelligence,#DataScience</t>
  </si>
  <si>
    <t>https://bit.ly/3qQnfhe</t>
  </si>
  <si>
    <t>Run Data Science at Scale with Dataproc and Apache Spark -  - thanks @RichardEudes #DataScience #DS,#BigData,#Compliance,#Cybersecurity,#DataEngineering,#DataGovernance,#DataLake,#DataManagement,#Hadoop,#IoT,#MachineLearning,#RiskManagement,#ArtificialInt…</t>
  </si>
  <si>
    <t>https://bit.ly/3bzvWpR</t>
  </si>
  <si>
    <t>Machine Learning ‘on the rocks’ -  - thanks @RichardEudes #DataScience #DS,#BigData,#MachineLearning,#Statistics,#DataScience,#Analytics #DataScience</t>
  </si>
  <si>
    <t>https://bit.ly/3soOj7L</t>
  </si>
  <si>
    <t>QualitasTechnologies</t>
  </si>
  <si>
    <t>Here are some of the different image processing techniques used in Machine vision. Read more &gt;&amp;gt;  #qualitas #robotics #innovation #robotics #additivemanufacturing #innovation #robotics #AI #machinevision #optics #imageprocessing #MachineLearning</t>
  </si>
  <si>
    <t>https://bit.ly/3pLMXlM</t>
  </si>
  <si>
    <t>https://pbs.twimg.com/media/Eu5d6zsUcAIG3ws.jpg</t>
  </si>
  <si>
    <t>Qualitas Technologies offers industrial automation solutions using AI &amp; deep learning.</t>
  </si>
  <si>
    <t>https://qualitastech.com</t>
  </si>
  <si>
    <t>DroneFins</t>
  </si>
  <si>
    <t>#ai #5g #spacex #industrial4 #futuretech #popularmechanics #natgeo #nasa #blueorigin #rocketlab #dronetech #deliverydrone #remoteid #faa #caa #easa #machinelearning #deeplearning #googlebrain</t>
  </si>
  <si>
    <t>pic.twitter.com/n9OTWTvuwf</t>
  </si>
  <si>
    <t>Bainbridge Island, WA</t>
  </si>
  <si>
    <t>#5G #DroneFins #iot #Drones #ai Learn More http://DroneFins.ai</t>
  </si>
  <si>
    <t>http://DroneFins.ai</t>
  </si>
  <si>
    <t>https://pbs.twimg.com/media/Eu5dXmSXIAAEfMo.jpg</t>
  </si>
  <si>
    <t>Here is the list of Python libraries..  #DataScience #BigData #Analytics #Python #MachineLearning #DeepLearning #Pandas #NumPy #Scikitlearn #Gradio #Keras #SciPy #Statsmodels #Plotly #Seaborn #Research #IT #Education #AI #ML #TensorFlow #Designnation</t>
  </si>
  <si>
    <t>http://htl.li/jnUu30ry0nK</t>
  </si>
  <si>
    <t>Emilio Arias</t>
  </si>
  <si>
    <t>Mis compañeros de  ya han publicado 75 videotutoriales, aplicaciones y papers gratuitos sobre #Analytics #MachineLearning #BigData #OpenSource Muchas gracias!! RT @stratebi: En estas ultimas semanas hemos publicado muchos papers, demos y tutoriales gratuitos sobre lo que nos gusta: #analytics #bigdata #machinelearning #opensource En este hilo os los compartimos🧮📊😀</t>
  </si>
  <si>
    <t>http://stratebi.com
https://twitter.com/stratebi/status/1245992309390524416?s=20</t>
  </si>
  <si>
    <t>https://pbs.twimg.com/media/EUqnDQSUYAAheUH.png</t>
  </si>
  <si>
    <t>Master Big Data and BI Teacher. Stratebi CEO</t>
  </si>
  <si>
    <t>http://www.todobi.com</t>
  </si>
  <si>
    <t>If you use standard components, you will get the standard performance. If you want to push performance, look beyond the popular. #NLProc #MachineLearning #AI #DataScience #StreamAnalytics #EdgeComputing #NLP #ml #DataAnalytics #HPC #inference #RealTime #classification #medtech</t>
  </si>
  <si>
    <t>Victor Bernal</t>
  </si>
  <si>
    <t>In #MachineLearning and #Statistics errors are not avoided but controlled. That improves learning. In School, errors are not welcome. Are then the 'best students' the ones that 'learnt' the topic well?😐</t>
  </si>
  <si>
    <t>Groningen, Nederland</t>
  </si>
  <si>
    <t>Data Scientist | Researcher @umcg @DSSC_Groningen | PhD Candidate @univgroningen | Math Enthusiast #DataScience #Analytics</t>
  </si>
  <si>
    <t>How data and analytics are transforming the insurance market - Global Banking And Finance Review  #DataScience #MachineLearning #DeepLearning #Insurance #NLP #Robots #AI #IoT #BigData</t>
  </si>
  <si>
    <t>https://ift.tt/3qUC3eA</t>
  </si>
  <si>
    <t>Insurance Analytics Market Size, Share, Industry Growth, Trend, Business Opportunities, Challenges, Drivers and Restraint Research Report by 2027 – NeighborWebSJ - NeighborWebSJ  #DataScience #MachineLearning #DeepLearning #Insurance #NLP #Robots #AI #Io…</t>
  </si>
  <si>
    <t>https://ift.tt/2NoHowA</t>
  </si>
  <si>
    <t>Arch to Back Coalition Cyber Insurance Programs with Long-Term Capacity - Insurance Journal  #DataScience #MachineLearning #DeepLearning #Insurance #NLP #Robots #AI #IoT #BigData</t>
  </si>
  <si>
    <t>https://ift.tt/3pTdQV3</t>
  </si>
  <si>
    <t>EXL enhances digital insurance solution LDS 2.0 with underwriter automation and machine-learning powered insights - GlobeNewswire  #DataScience #MachineLearning #DeepLearning #Insurance #NLP #Robots #AI #IoT #BigData</t>
  </si>
  <si>
    <t>https://ift.tt/2NSRWUf</t>
  </si>
  <si>
    <t>Insurance Analytics Market Global Expansion by Key Segments and Industry Dynamics From 2021 to 2028 – NY Market Reports - NY Market Reports  #DataScience #MachineLearning #DeepLearning #Insurance #NLP #Robots #AI #IoT #BigData</t>
  </si>
  <si>
    <t>https://ift.tt/3sihp8x</t>
  </si>
  <si>
    <t>Insurance Analytics Industry- Exclusive Market Research Report | Microsoft, Oracle, SAP SE, Salesforce – NeighborWebSJ - NeighborWebSJ  #DataScience #MachineLearning #DeepLearning #Insurance #NLP #Robots #AI #IoT #BigData</t>
  </si>
  <si>
    <t>https://ift.tt/3pIDVWr</t>
  </si>
  <si>
    <t>Willis Towers Watson snaps up Jobable's human capital analytics experts - Insurance Business Asia  #DataScience #MachineLearning #DeepLearning #Insurance #NLP #Robots #AI #IoT #BigData</t>
  </si>
  <si>
    <t>https://ift.tt/3bgXKPx</t>
  </si>
  <si>
    <t>WTW takes on Jobable's human capital analytics experts - Insurance Business CA  #DataScience #MachineLearning #DeepLearning #Insurance #NLP #Robots #AI #IoT #BigData</t>
  </si>
  <si>
    <t>https://ift.tt/2NDGITs</t>
  </si>
  <si>
    <t>KNIME</t>
  </si>
  <si>
    <t>Join us on March 3 for a free #webinar to learn how #KNIME can facilitate collaboration with domain experts, enable you to build quick prototypes, and let you create and deploy machine learning models. Sign up at  #datascience #machinelearning</t>
  </si>
  <si>
    <t>https://bit.ly/2Zxqn5M</t>
  </si>
  <si>
    <t>KNIME | Open for Innovation Navigate complex data with the agility and freedom that only an open platform can bring. http://knime.com</t>
  </si>
  <si>
    <t>https://www.knime.com/</t>
  </si>
  <si>
    <t>#Toyota e #Aurora insieme per sviluppare la #guidaautonoma  #SelfDrivingCars #AI #IoT #5G #AutonomousVehicles #selfdriving #autonomous #Robotics #driverless #driverlesscars #startups #startup #Robot #MachineLearning #BigData #SmartCity #Travel #tech</t>
  </si>
  <si>
    <t>https://forbes.it/2021/02/22/toyota-aurora-insieme-guida-autonoma/</t>
  </si>
  <si>
    <t>https://pbs.twimg.com/media/Eu5cnzPWYAMlRCl.jpg</t>
  </si>
  <si>
    <t>Artificial Intelligence</t>
  </si>
  <si>
    <t>🇫🇷 #De choses et d’autres - Apprenez, vous êtes surveillé ! - L'Indépendant  ⬇️ #IntelligenceArtificielle ⬇️ #Robotics ⬇️ #Data ⬇️ #DataScience ⬇️ #BigData ⬇️ #Technology ⬇️ #ArtificialIntelligence ⬇️ #AI ⬇️ #Automation ⬇️ #MachineLearning ⬇️ #ML ⬇️ #Inte…</t>
  </si>
  <si>
    <t>https://bit.ly/3aIjwMX</t>
  </si>
  <si>
    <t>IMDEA Networks Institute</t>
  </si>
  <si>
    <t>📅 Today, Nikola Zlatanov, Assistant Professor at @MonashUni, will present applications of the communication theory framework to three research problems related to #wireless communications, #MachineLearning and #blockchain. ⏰ 10:00 📍 Zoom</t>
  </si>
  <si>
    <t>https://networks.imdea.org/whatsnew/events-agenda/on-three-research-problems/</t>
  </si>
  <si>
    <t>A research institute on computer &amp; communication networks whose multinational team is engaged in cutting-edge fundamental science &amp; technology. #IMDEA #networks</t>
  </si>
  <si>
    <t>http://www.networks.imdea.org</t>
  </si>
  <si>
    <t>David Alzamendi</t>
  </si>
  <si>
    <t>Curious about Google Cloud AI Platform? Join us for a free virtual presentation tomorrow at 5:30 pm AEST by Michael Blake.  #Google #AI #ArtificialIntelligence #MachineLearning #ML</t>
  </si>
  <si>
    <t>https://buff.ly/37Ec3wI</t>
  </si>
  <si>
    <t>https://pbs.twimg.com/media/Eu5cO4qXUAEJNS_.png</t>
  </si>
  <si>
    <t>Brisbane, Queensland</t>
  </si>
  <si>
    <t>Data Architect at @moqdigital. Speaker 👨‍🏫. #Brisbane 🦘 #AI and QLD #SQLServer user group organiser. #Azure expert. FastTrack Solution Architect #PowerBI.</t>
  </si>
  <si>
    <t>https://www.techtalkcorner.com/</t>
  </si>
  <si>
    <t>https://pbs.twimg.com/media/Eu5cNgXXIAAGOAj.jpg</t>
  </si>
  <si>
    <t>Ahlad</t>
  </si>
  <si>
    <t>Classification/ Logistic Regression  #AI #Robotics #Automation #DeepLearning #NeuralNetwork #ML #MachineLearning #BigData #ArtificialIntelligence #Python #TensorFlow @DeepLearningSV</t>
  </si>
  <si>
    <t>https://youtu.be/mvKVyEihASc</t>
  </si>
  <si>
    <t>Clearing the Confusion: What’s what? Artificial Intelligence and Data Science  #ArtificialIntelligence #IoT #Ai #DataScience #BigData #MachineLearning #Python #Django #NeuralNetworks #neuralnetwork #cybersecurity #DeepLearning #JoeBiden</t>
  </si>
  <si>
    <t>https://cutt.ly/jllCL7p</t>
  </si>
  <si>
    <t>https://pbs.twimg.com/media/Eu5b20qVgAQlS2F.jpg</t>
  </si>
  <si>
    <t>via @RichardEudes - How AI Can Save the World, or Not  #artificialintelligence, #businessanalytics #ba, #datascience, #machinelearning RT @RichardEudes: How AI Can Save the World, or Not  #artificialintelligence, #businessanalytics #ba, #datascience, #machinelearning</t>
  </si>
  <si>
    <t>http://bit.ly/3sfw6t8
https://twitter.com/RichardEudes/status/1363964360939483136
https://bit.ly/3sfw6t8</t>
  </si>
  <si>
    <t>via @RichardEudes - Finding Time-shift Between Two Timeseries for Maximum Correlation  #artificialintelligence, #datascience, #datascience #ds, #forecasting, #machinelearning, #timeseries RT @RichardEudes: Finding Time-shift Between Two Timeseries for Maximum Correlation  #artificialintelligence, #datascience, #datascience #ds, #forecasting, #machinelearning, #timeseries</t>
  </si>
  <si>
    <t>http://bit.ly/3qOia9m
https://twitter.com/RichardEudes/status/1363933832806817798
https://bit.ly/3qOia9m</t>
  </si>
  <si>
    <t>via @RichardEudes - Artificial Intelligence Takes Center Stage Early in 2021  #artificialintelligence, #businessanalytics #ba, #datascience, #machinelearning RT @RichardEudes: Artificial Intelligence Takes Center Stage Early in 2021  #artificialintelligence, #businessanalytics #ba, #datascience, #machinelearning</t>
  </si>
  <si>
    <t>http://bit.ly/3qMSaeu
https://twitter.com/RichardEudes/status/1363926594562240513
https://bit.ly/3qMSaeu</t>
  </si>
  <si>
    <t>Last call! Join us tomorrow and learn about #MachineLearning on #AWS. Tens of thousands have already registered, so don't miss out :)</t>
  </si>
  <si>
    <t>https://aws.amazon.com/events/aws-innovate/machine-learning/online/emea/</t>
  </si>
  <si>
    <t>https://pbs.twimg.com/media/Eu5bTDkXcAAtITZ.jpg</t>
  </si>
  <si>
    <t>Climate Change AI</t>
  </si>
  <si>
    <t>#MachineLearning can assist in reviewing academic literature on #ClimateChange and its social aspects. Learn more: RT @lamb_wf: Climate policies affect not just the energy system, but society at large. Both advocates and opponents of climate action recognise this, turning social aspects of climate policies into a key rhetorical battleground. In a recent paper, we looked into this</t>
  </si>
  <si>
    <t>https://mobile.twitter.com/lamb_wf/status/1362390454680096771
https://iopscience.iop.org/article/10.1088/1748-9326/abc11f</t>
  </si>
  <si>
    <t>Tackling climate change with machine learning. We facilitate cooperation and provide resources for those working in this area. RT is not endorsement.</t>
  </si>
  <si>
    <t>http://www.climatechange.ai</t>
  </si>
  <si>
    <t>GDIyAD</t>
  </si>
  <si>
    <t>#MachineLearning Project that lands #DataScience Job | #NeuralNetwork in #R💻📊</t>
  </si>
  <si>
    <t>https://youtu.be/fetvTuLIrDk</t>
  </si>
  <si>
    <t>Universidad de Oviedo</t>
  </si>
  <si>
    <t>Diseños de Investigación y Análisis de Datos. Los errores de este mundo son por dar las cosas por supuesto, las catástrofes por una sucesión de errores.</t>
  </si>
  <si>
    <t>http://gdiyaduniovi.blogspot.com.es</t>
  </si>
  <si>
    <t>Bimser</t>
  </si>
  <si>
    <t>Bimser Synergy CSP kapsamında kullanılan Machine Learning, AI, Deep Learning ve Data Mining algoritmalarıyla kurumsal içeriğinizin IQ’sunu yükseltebilirsiniz. Detaylı bilgiye ulaşmak için: Demo talep etmek için:  #MachineLearning</t>
  </si>
  <si>
    <t>https://bimser.com/bimser-synergy-csp/
https://bimser.com/demo-talebi/</t>
  </si>
  <si>
    <t>https://pbs.twimg.com/media/Eu5aD1QXYAIKOqw.jpg</t>
  </si>
  <si>
    <t>https://bimser.com/</t>
  </si>
  <si>
    <t>3AI Association</t>
  </si>
  <si>
    <t>Register Now:  We are pleased to announce our 4th 3AI New Next Roundtable Series: Molecule to Market: AI &amp; Analytics in Healthcare speaker Rajneesh Patil #ai #healthcare #artificialintelligence #machinelearning #analytics #innovation #drugdevelopment</t>
  </si>
  <si>
    <t>https://lnkd.in/ea5V_7v</t>
  </si>
  <si>
    <t>https://pbs.twimg.com/media/Eu5bEyLVkAExCl6.jpg</t>
  </si>
  <si>
    <t>3AI association is an integrated platform for AI and Analytics</t>
  </si>
  <si>
    <t>https://pbs.twimg.com/media/Eu5bEoLWQAE7dr2.jpg</t>
  </si>
  <si>
    <t>#DigitalTransformation Reference Framework Via @ingliguori #Cloud #MachineLearning #BigData #infosec #fintech #ArtificialIntelligence #cybersecurity #Blockchain #Analytics #AI #IIoT #DEVCommunity #DataScience #IoT #IoTPL #100DaysOfCode @antgrasso @Ronald_vanLoon @AkwyZ @mvollmer1</t>
  </si>
  <si>
    <t>https://pbs.twimg.com/media/Eu5bEP2XIAIxkcB.jpg</t>
  </si>
  <si>
    <t>Dr. Fabio Tampalini</t>
  </si>
  <si>
    <t>The latest Robotics &amp; Innovation Wold!  Thanks to @BusinessNewsCT #ai #machinelearning</t>
  </si>
  <si>
    <t>http://tampalini.net/?edition_id=eb73e620-75af-11eb-a51d-0cc47a0d164b</t>
  </si>
  <si>
    <t>Co-founder &amp; CEO @Railabsrl , Contract Professor #Robotics @unibs_official , Partner http://ultrafab.it #entrepreneur</t>
  </si>
  <si>
    <t>http://www.tampalini.net</t>
  </si>
  <si>
    <t>Data Science Vault</t>
  </si>
  <si>
    <t>Books Archives -  - #machinelearning</t>
  </si>
  <si>
    <t>Gathers articles about Data Science, Machine Learning, Deep Learning, Artificial Intelligence, Big Data, Analytics.</t>
  </si>
  <si>
    <t>https://DataScienceVault.com/</t>
  </si>
  <si>
    <t>Deployment of Machine Learning Models in Production | Python -  - #machinelearning #python</t>
  </si>
  <si>
    <t>https://contempediacom.blogspot.com/2021/02/deployment-of-machine-learning-models.html</t>
  </si>
  <si>
    <t>Feature Importance in Machine Learning Models -  - #machinelearning</t>
  </si>
  <si>
    <t>https://buff.ly/3k9PVPT</t>
  </si>
  <si>
    <t>Machine Learning : From the beginning -  - #machinelearning</t>
  </si>
  <si>
    <t>https://bit.ly/3ulyKzm</t>
  </si>
  <si>
    <t>ETCIO</t>
  </si>
  <si>
    <t>#ETCIOCDCS | According to us the 3Cs of Data Centers are Costs, Carbon Emission, Cutting-Edge Tech. Do you agree? Join us :  #etcio #summit #cloudcomputing #bigdata #AI #MachineLearning</t>
  </si>
  <si>
    <t>http://bit.ly/2NVxbrh</t>
  </si>
  <si>
    <t>https://pbs.twimg.com/media/Eu5ZT7EVoAMLfrk.jpg</t>
  </si>
  <si>
    <t>http://ETCIO.com is a comprehensive media vertical envisioned to offer news, information and insightful data to IT decision-makers across all industries.</t>
  </si>
  <si>
    <t>http://etcio.com</t>
  </si>
  <si>
    <t>Automated Data Science and Machine Learning Platforms Market Comprehensive Anal -   #machinelearning #ai #technology</t>
  </si>
  <si>
    <t>http://Business-newsupdate.com
http://dlvr.it/RtHbq2</t>
  </si>
  <si>
    <t>https://pbs.twimg.com/media/Eu5a13aUUAElQkF.png</t>
  </si>
  <si>
    <t>ElevenPaths</t>
  </si>
  <si>
    <t>Filtrado de #spam, búsquedas en bases de datos o #MachineLearning sobre datos cifrados son algunos de los usos de la #criptografía funcional.📟📩 ¿Quieres saber cómo funciona? Te lo contamos en este artículo ⤵️</t>
  </si>
  <si>
    <t>https://empresas.blogthinkbig.com/criptografia-funcional-alternativa-cifrado-homomorfico-calculos-sobre-datos-cifrados/?tw4</t>
  </si>
  <si>
    <t>Madrid, España</t>
  </si>
  <si>
    <t>Somos la compañía de Ciberseguridad de @Telefonica. Apostamos por la innovación en #ciberseguridad para construir un mundo más seguro. English: @ElevenPaths_EN</t>
  </si>
  <si>
    <t>http://www.elevenpaths.com</t>
  </si>
  <si>
    <t>BBVA</t>
  </si>
  <si>
    <t>📢 ¡Tenemos novedades! Desde hoy, la #InteligenciaArtificial y el #MachineLearning pasarán a ser dos grandes protagonistas de la #CiberseguridadBBVA 🔒. ¿Quién crees que puede ser nuestro aliado en esta aventura tan 'techie'? 😉 Te damos una pista: ☁️ #IA #ML</t>
  </si>
  <si>
    <t>Cuestionamos lo establecido, buscamos nuevos caminos y nos replanteamos las cosas para continuar #CreandoOportunidades y construir un futuro #MásVerdeYJusto 🍃</t>
  </si>
  <si>
    <t>https://www.bbva.com/es/</t>
  </si>
  <si>
    <t>Alexey Chang</t>
  </si>
  <si>
    <t>Deep learning #DeepLearning #learning #machinelearning via</t>
  </si>
  <si>
    <t>Russia</t>
  </si>
  <si>
    <t>I am a passionate person when it comes to software development. A positive creative individual with a smile.</t>
  </si>
  <si>
    <t>https://alexey0202.com</t>
  </si>
  <si>
    <t>CloudGen (Pvt.) Limited</t>
  </si>
  <si>
    <t>#DataScience and the Internet of Things #IoT #MachineLearning #NLP #Analytics #AI #100DaysOfCode #DEVCommunity #DevOps #IoT #Serverless #5G #DataScience #QuBit #Coding #Programming #BigData #R #Bicep #Python #Java #internetofthings</t>
  </si>
  <si>
    <t>https://pbs.twimg.com/media/Eu5aHBUVgAAr2Fi.jpg</t>
  </si>
  <si>
    <t>Islamabad, Pakistan</t>
  </si>
  <si>
    <t>Leap your business into the future with Innovative and Cost Effective solutions powered by Cloud. E: info@thecloudgen.com P: +92-312-4717-623 Corp. ID #0153995</t>
  </si>
  <si>
    <t>http://www.thecloudgen.com</t>
  </si>
  <si>
    <t>https://pbs.twimg.com/media/Eu5Z7ibXcAMZ8J6.jpg</t>
  </si>
  <si>
    <t>Like a Bot</t>
  </si>
  <si>
    <t>Les faux positifs, ennemis du NLP/NLU ‼ #machinelearning</t>
  </si>
  <si>
    <t>http://swll.to/dcuab</t>
  </si>
  <si>
    <t>Créez un #chatbot adapté à vos besoins avec Like a Bot : Multi-plateforme ; Compréhension du langage naturel ; Escalade vers l’humain ; Statistiques #IA</t>
  </si>
  <si>
    <t>https://likeabot.io/</t>
  </si>
  <si>
    <t>Catherine Adenle</t>
  </si>
  <si>
    <t>Infographic: These Are Top Prediction Algorithms. #predictiveintelligence #PredictiveAnalytics #Analytics #Algorithms #MachineLearning #DeepLearning #ArtificialIntelligence #100DaysOfCode #100DaysOfMLCode #DataScience #Python #NeuralNetworks #DEVCommunity</t>
  </si>
  <si>
    <t>https://pbs.twimg.com/media/Eu5Zn4qWgAUPpVL.jpg</t>
  </si>
  <si>
    <t>Founder, Catherine's Career Corner, Author, #Tech Enthusiast, #AI #ML #Data, #Cybersecurity, Certified #ChangeManagement Professional, #Careeradvice, ❤️ Family</t>
  </si>
  <si>
    <t>https://catherinescareercorner.com</t>
  </si>
  <si>
    <t>Clairvoyant</t>
  </si>
  <si>
    <t>Anil Panuganti takes us through the role of AI and ML in faster payments with decreased fraud in his recent blog. Read more-  #Payments #Fraud #ArtificialIntelligence #MachineLearning #OnlinePayments</t>
  </si>
  <si>
    <t>https://blog.clairvoyantsoft.com/adding-value-with-ai-ml-in-payments-2a1fada3ba82</t>
  </si>
  <si>
    <t>Phoenix, AZ</t>
  </si>
  <si>
    <t>Clairvoyant utilizes modern technology to provide Product Development, Data Analytics, and Enterprise Solutions. #AI #digitaltransformation #ML</t>
  </si>
  <si>
    <t>http://www.clairvoyantsoft.com</t>
  </si>
  <si>
    <t>Implementing Python in Deep Learning #DeepLearning #learning #machinelearning via</t>
  </si>
  <si>
    <t>Implementing Python in Deep Learning #DeepLearning #learning #machinelearning</t>
  </si>
  <si>
    <t>https://builtin.com/data-science/deep-learning-python</t>
  </si>
  <si>
    <t>https://buff.ly/3klEc0z</t>
  </si>
  <si>
    <t>Ton Carrera</t>
  </si>
  <si>
    <t>Achieving faster solutions, whether economic or healthcare, is now possible in part thanks to the advancement of #DataScience #development #innovation #datascience #MachineLearning #BigData #ML #AI #DeepLearning #ArtificialIntelligence #data #dataengineering</t>
  </si>
  <si>
    <t>https://pbs.twimg.com/media/Euy4lq0XYAAGpUt.jpg</t>
  </si>
  <si>
    <t>Strategic advisor, consultant, writer and coacher on #Strategy, #DigitalTransformation, #BusinessPerformance, #DataScience, #Marketing, #HumanResources and #AI</t>
  </si>
  <si>
    <t>https://toncarrera.com</t>
  </si>
  <si>
    <t>https://pbs.twimg.com/media/Eu5Yx0RXcAAtIYJ.jpg</t>
  </si>
  <si>
    <t>Tamara McCleary</t>
  </si>
  <si>
    <t>Using #AI And #MachineLearning To Break Past The Constraints Of The ‘New Normal’  via @Forbes #pandemic #COVID19</t>
  </si>
  <si>
    <t>https://www.forbes.com/sites/forbestechcouncil/2021/02/10/using-ai-and-machine-learning-to-break-past-the-constraints-of-the-new-normal/?sh=378f26085840</t>
  </si>
  <si>
    <t>https://pbs.twimg.com/media/EunGVSYXUAgB-JR.jpg</t>
  </si>
  <si>
    <t>#CEO @ThuliumCo Top 25 #CIO #CMO #AI #IoT @Harvard grad student/ #Tech4Good #Transhumanism #ExistentialRisk #Technology #FutureofWork #Ethics #Leadership</t>
  </si>
  <si>
    <t>http://TamaraMcCleary.com</t>
  </si>
  <si>
    <t>Innovation Incubator</t>
  </si>
  <si>
    <t>Regression Metrics for Machine Learning Regression Predictive Modeling, Evaluating Regression Models Metrics for Regression etc.  Machine Learning Mastery #artificialintelligence #ai #machinelearning #technology #datascience #deeplearning #python #robotics</t>
  </si>
  <si>
    <t>https://machinelearningmastery.com/regression-metrics-for-machine-learning/</t>
  </si>
  <si>
    <t>We are the industry’s first to offer a unique model of combining #technology partnership, incubation and #domain/#tech acceleration capabilities for #founders.</t>
  </si>
  <si>
    <t>https://innovationincubator.com/</t>
  </si>
  <si>
    <t>ELLIS Symposium Workshop on Geometric Deep Learning for Medical Imaging – Ellis – Unit Amsterdam -  - thanks @RichardEudes #DataScience #DS,#DeepLearning,#MachineLearning,#NeuralNetworks,#ArtificialIntelligence,#DataScience,#Analytics #DataScience</t>
  </si>
  <si>
    <t>https://bit.ly/3dEdHSQ</t>
  </si>
  <si>
    <t>Detecting Pokemon on an Arduino using TinyML and TensorFlow -  - thanks @RichardEudes #DataScience #DS,#BigData,#MachineLearning,#DataScience,#Analytics #DataScience</t>
  </si>
  <si>
    <t>https://bit.ly/3pLcDyS</t>
  </si>
  <si>
    <t>Shadi</t>
  </si>
  <si>
    <t>Days 36-39 of #100DaysOfCode 👨‍💻 ==&gt; more on #NLP in #Python 🐍 including: *Features extraction *Text preprocessing *NER (NLTK/spaCy/polyglot) *POS tagging *Vectorization (BoW/n-grams/Tf-idf) *Cosine similarity *ML with NLP *Intro to word embedding #DataScience #MachineLearning</t>
  </si>
  <si>
    <t>MSc student in Computer Engineering 👨‍💻 I love STEM 🚀 adventure ⛰️ books 📖 movies 🎬 and sport 🏅</t>
  </si>
  <si>
    <t>https://pbs.twimg.com/media/Eu5YjVPXcAQeUq2.jpg</t>
  </si>
  <si>
    <t>Calibraint Technologies</t>
  </si>
  <si>
    <t>Experience pleasure partnering with #Calibraint &amp; Empower your digital transacts!  #Bitcoin #cryptocurrency #chatbots #AI #crypto #Software #Angular #JavaScript #TypeScript #Flutter #Devcommunity #gamedev #UserInterface #technology #MachineLearning</t>
  </si>
  <si>
    <t>https://www.calibraint.com/services/blockchain-services</t>
  </si>
  <si>
    <t>https://pbs.twimg.com/media/Eu5X5pDU4Ag_6Lh.jpg</t>
  </si>
  <si>
    <t>#Chatbots #Blockchain #BigData #Cloud #IoT #Webapp #Mobapp #Productdevelopment #UI #UX #QA</t>
  </si>
  <si>
    <t>http://www.calibraint.com/</t>
  </si>
  <si>
    <t>#Microsoft is adding #AI powered #textpredictions to #Word soon. #MachineLearning #ArtificialIntelligence #DeepLearning #DataScience #javascript #serverless #WomenInTech #100DaysOfCode #python #Linux #Flutter #TensorFlow #PyTorch #DigitalTransformation #IoT #FutureOfWork RT @thenextweb: Microsoft is adding AI-powered text predictions to Word (story by @thomas_macaulay)</t>
  </si>
  <si>
    <t>https://twitter.com/thenextweb/status/1364105256683077635
https://tnw.to/HN31v</t>
  </si>
  <si>
    <t>MORE on new ENISA's report has found that #autonomousvehicles #AV are “highly vulnerable to a wide range of attacks” that could be dangerous for passengers, pedestrians, and.. *also finds that the use of #MachineLearning #ML in cars will  #spoofing</t>
  </si>
  <si>
    <t>https://venturebeat.com/2021/02/22/eu-report-warns-that-ai-makes-autonomous-vehicles-highly-vulnerable-to-attack/</t>
  </si>
  <si>
    <t>https://pbs.twimg.com/media/Eu5YHO9WgAAC5GW.png</t>
  </si>
  <si>
    <t>Recode Minds</t>
  </si>
  <si>
    <t>Role of Artificial Intelligence and Machine Learning in Autonomous Enterprises? We cannot say that we have mastered the art of AI, we are still in the early days but we are making good progress. Read more:  #MachineLearning #AI #NLP #Data #ml #DeepLearning</t>
  </si>
  <si>
    <t>https://recodeminds.com/blog/why-artificial-intelligence-and-machine-learning-are-important-for-autonomous-enterprises</t>
  </si>
  <si>
    <t>RECODE Minds, an ed-tech platform, empowers individuals and businesses to progress by providing cutting-edge trainings</t>
  </si>
  <si>
    <t>http://www.recodeminds.com</t>
  </si>
  <si>
    <t>Guide To Pyro – A Deep Probabilistic #Programming Language. #100DaysofCode #BigData #Analytics #DataScientist #AI #MachineLearning #deeplearning #Python #RStats #TensorFlow #Java #ReactJS #Coding #pytorch #IOT #javascript #automl @KirkDBorne @DiegoKuonen</t>
  </si>
  <si>
    <t>http://bit.ly/3qKTlLb</t>
  </si>
  <si>
    <t>VerSe Innovation acquires AI-startup Cognirel Technologies  #MachineLearning #DeepLearning</t>
  </si>
  <si>
    <t>http://dlvr.it/RtHYsy</t>
  </si>
  <si>
    <t>https://pbs.twimg.com/media/Eu5XwBJVcAMq43R.jpg</t>
  </si>
  <si>
    <t>gabrielbechara</t>
  </si>
  <si>
    <t>https://google.smh.re/1rr</t>
  </si>
  <si>
    <t>https://pbs.twimg.com/media/Eu5Xoo9XEAEjbPe.jpg</t>
  </si>
  <si>
    <t>Python and Data Science for beginners ($59.99 to FREE) #JavaScript #BigData #blockchain #ML #DeepLearning #MachineLearning #AI #Python #programming #Linux #100DaysOfCode #CloudComputin... #Blockchain #bigdata via</t>
  </si>
  <si>
    <t>Pawan</t>
  </si>
  <si>
    <t>Connecting the dots</t>
  </si>
  <si>
    <t>https://about.me/pawan.somanchi</t>
  </si>
  <si>
    <t>TopNetwork SpA</t>
  </si>
  <si>
    <t>#machinelearning per gestire i contagi; #ia, #cloud, #api aperte e #blockchain per una gestione a 360 gradi del processo. Ecco le tecnologie messe in campo dai giganti tech per la gestione di logistica e distribuzione dei vaccini nel mondo 👇 #vaccine</t>
  </si>
  <si>
    <t>https://bit.ly/3ptJ054</t>
  </si>
  <si>
    <t>Roma, Lazio</t>
  </si>
  <si>
    <t>Siamo un'azienda di servizi e soluzioni ad alta innovazione tecnologica.</t>
  </si>
  <si>
    <t>http://www.topnetwork.it/</t>
  </si>
  <si>
    <t>Ali || Programmer | Junior Data Scientist | Writer</t>
  </si>
  <si>
    <t>Sexy Prime Numbers, Wow. #100DaysOfCode #CodeNewbie #code #tech #Python #Python3 #DataScience #ArtificialIntelligence #machinelearning #DataScience #learning #science #programming #programmer #coding #AI #data #Python #javascript #Maths</t>
  </si>
  <si>
    <t>https://pbs.twimg.com/media/Eu5W4OLVkAAPHGV.jpg</t>
  </si>
  <si>
    <t>I love Writing About Perplexing Topics such as Philosophy Math And Explaining with a Beautiful Way. Wanna know my story ? Press that follow button.</t>
  </si>
  <si>
    <t>https://www.youtube.com/channel/UCklYFlwYOxUPougzY1ck4uA?sub_confirmation=1</t>
  </si>
  <si>
    <t>José A. Alonso</t>
  </si>
  <si>
    <t>Inductive logic programming at 30. ~ Andrew Cropper, Sebastijan Dumančić, Richard Evans, Stephen H. Muggleton.  #ILP #LogicProgramming #MachineLearning</t>
  </si>
  <si>
    <t>https://arxiv.org/abs/2102.10556v1</t>
  </si>
  <si>
    <t>Matemático interesado en el estudio y enseñanza de la lógica computacional, la programación funcional y el razonamiento automático.</t>
  </si>
  <si>
    <t>http://www.glc.us.es/~jalonso/vestigium</t>
  </si>
  <si>
    <t>Toxictorilee</t>
  </si>
  <si>
    <t>Artificial brains may need sleep too #Learning #machinelearning</t>
  </si>
  <si>
    <t>https://www.lanl.gov/discover/news-release-archive/2020/June/0608-artificial-brains.php?source=newsroom</t>
  </si>
  <si>
    <t>I do nude pictures,masturbation videos and cam to cam if you have a request just DM also https://onlyfans.com/toxictorilee</t>
  </si>
  <si>
    <t>https://www.paypal.me/Torilove82.com</t>
  </si>
  <si>
    <t>Algorithm identifies who can best promote healthy behaviors in a social network #ArtificialIntelligence #AI #DataScience #100DaysOfCode #Python #MachineLearning #BigData #DeepLearning #NLP #Robots #IoT</t>
  </si>
  <si>
    <t>https://bit.ly/2ZDR0G4</t>
  </si>
  <si>
    <t>SQLI</t>
  </si>
  <si>
    <t>#Formation Plus que jamais, le #CloudComputing, l’#IA et le #MachineLearning ont le vent en poupe ! Approfondissez GRATUITEMENT vos connaissances avec les 3 formations en ligne offertes par #SQLIinstitut du 9 au 11 mars 2021 👉  #Data #MicrosoftAzure</t>
  </si>
  <si>
    <t>https://okt.to/NOhnr6</t>
  </si>
  <si>
    <t>https://pbs.twimg.com/media/Eu5WrWlXAAMLEil.jpg</t>
  </si>
  <si>
    <t>France, Suisse, Luxembourg, Belgique, Royaume Uni, Irlande, Allemagne, Suède, Pays Bas, Danemark, Espagne, Maroc, Afrique du Sud</t>
  </si>
  <si>
    <t>Nous réinventons chaque jour l'#ExperienceClient, Partenaire et Collaborateur. #Omnicanal #UX #CX #Design #Dev #Agile #Innovation</t>
  </si>
  <si>
    <t>http://www.sqli.com</t>
  </si>
  <si>
    <t>Hernán Rodríguez #MWC21</t>
  </si>
  <si>
    <t>Cómo entender el cambio climático con el #MachineLearning. Junto con el #HPC, el machine learning permite a los científicos observar los datos climáticos de manera flexible creando modelos sobre el futuro con mayor precisión.</t>
  </si>
  <si>
    <t>https://bit.ly/3uqdpoA?utm_source=hootsuite&amp;utm_medium=twitter&amp;utm_term=&amp;utm_content=&amp;utm_campaign=</t>
  </si>
  <si>
    <t>https://pbs.twimg.com/media/Eu5WrAsXMAQagKj.jpg</t>
  </si>
  <si>
    <t>Torrelodones</t>
  </si>
  <si>
    <t>Consultor de Innovación y Estrategia Digital #TransformaciónDigital #TecnologíasEmergentes #Innovación #Analista #InfluencerB2B #KeyOpinionLeader #Speaker</t>
  </si>
  <si>
    <t>https://hernan.rodriguezmartinez.com/social-media</t>
  </si>
  <si>
    <t>CDOTrends</t>
  </si>
  <si>
    <t>If data was water, then most organizations have such poor quality of data: Tamr  More on  #cloud #aws #digitaltransformation #data #ai #water #quality #bigdata #machinelearning #datascience #artificialintelligence #ml</t>
  </si>
  <si>
    <t>http://bit.ly/3aJ9Ba4
http://CDOTrends.com</t>
  </si>
  <si>
    <t>https://pbs.twimg.com/media/Eu5Wm18XcAAFvmx.jpg</t>
  </si>
  <si>
    <t>#artificialintelligence #digitalstrategy #analytics #customerexperience #digitalprivacy #chiefdigitalofficer</t>
  </si>
  <si>
    <t>A Type 1 error is also known as a false positive, Type 2 error is also known as a false negative. #MachineLearning #AI #learnmachinelearning #themlguru</t>
  </si>
  <si>
    <t>https://pbs.twimg.com/media/Eu5Wh10XYAA9AdG.jpg</t>
  </si>
  <si>
    <t>Martin Skeens</t>
  </si>
  <si>
    <t>Online transactions have shot up exponentially and so have cases of online fraud. Machine learning for fraud detection has come to the rescue of financial organizations. #MachineLearning #AI #BigData #FraudDection #Fraud #IdentityTheft</t>
  </si>
  <si>
    <t>https://sprou.tt/1N1DMLH4AWf</t>
  </si>
  <si>
    <t>Dun&amp;Bradstreet Project Manager #BigData #MasterData #Data #MDM #Compliance #DueDiligence #FinancialServices #RiskManagement #FinTech Views expressed are my own.</t>
  </si>
  <si>
    <t>A Complete Deep Learning Portfolio Project  #DL #AI #ML #DeepLearning #ArtificialIntelligence #MachineLearning #ComputerVision #AutonomousVehicles #NeuroMorphic #Robotics</t>
  </si>
  <si>
    <t>https://buff.ly/3upZNK0</t>
  </si>
  <si>
    <t>bit Time Professionals</t>
  </si>
  <si>
    <t>Il #machinelearning non è il futuro, è il presente! Contatta @bittimepro per sapere come il tuo business può beneficiarne da subito! Scrivi a professionals@bittime.it #news1744</t>
  </si>
  <si>
    <t>https://pbs.twimg.com/media/Eu5Wf1_XAAE8uhO.png</t>
  </si>
  <si>
    <t>Hi-tech consultancy and development company based in Italy. #web #mobile #machinelearning #python #delphi #php #typescript #elk</t>
  </si>
  <si>
    <t>http://www.bittimeprofessionals.it</t>
  </si>
  <si>
    <t>Machines Are Learning From Each Other, But It's A Good Thing. #AI #ML #MachineLearning #DataScience #Python #AI #100DaysOfCode #healthcare #DEVCommunity #IoT #CyberSecurity #DeepLearning #COVID19 #IoT #algorithms</t>
  </si>
  <si>
    <t>https://lnkd.in/gU7Qdwi</t>
  </si>
  <si>
    <t>Tegeria</t>
  </si>
  <si>
    <t>#DidYouKnow that while #marketing is about finding and engaging a target audience it is #data that helps us perceive and understand those audiences more efficiently than in the past.  #SMEUK #SMESupportHour #BizHour #DataScience #ML #machinelearning</t>
  </si>
  <si>
    <t>https://bit.ly/2W6jIxf</t>
  </si>
  <si>
    <t>https://pbs.twimg.com/media/Eu5WfCnXcAE1UdM.jpg</t>
  </si>
  <si>
    <t>Digital Transformation Company. 📍in Europe, operating globally.</t>
  </si>
  <si>
    <t>https://tegeria.com/</t>
  </si>
  <si>
    <t>Martin ten Voorde</t>
  </si>
  <si>
    <t>Machine learning-supported robots provide flexibility in quality control for automotive manufacturing #Microsoft #Azure #MachineLearning for all #BMW &amp; #Mini Driver@albertwelgravenen Niek van Beurden Charlotte Plaizier  #MSFTAdvocate</t>
  </si>
  <si>
    <t>https://lnkd.in/gfWiKuc</t>
  </si>
  <si>
    <t>Amsterdam</t>
  </si>
  <si>
    <t>passionate athlete, innovator, social, service, marketing, sales, responsible Azure, Dynamics 365 CRM ERP, Microsoft 365 &amp; Power Platform</t>
  </si>
  <si>
    <t>https://www.microsoft.com/en-us/</t>
  </si>
  <si>
    <t>Mirai Innovation</t>
  </si>
  <si>
    <t>We invite you to our workshop “A Self-driving Car Modeling with Artificial Intelligence &amp; Computer Visual" #ai #artificialintelligence #machinelearning #deeplearning #nlp #workshop #virtual #robotics #nlptraining</t>
  </si>
  <si>
    <t>https://pbs.twimg.com/media/Eu5We9kWQAIfhXT.jpg</t>
  </si>
  <si>
    <t>Osaka, Japan</t>
  </si>
  <si>
    <t>Research Institute based in Osaka, #Japan, doing R&amp;D in emerging #technologies: #AI, #Robotics, #VR, #AR, #IoT, #Aerospace, #bioprinting and #Neurotechnologies.</t>
  </si>
  <si>
    <t>http://www.mirai-innovation-lab.com</t>
  </si>
  <si>
    <t>5 ways to improve your CNN model accuracy🔥 🔸 K- Fold cross validation 🔸 Bigger Pre trained model 🔸 Ensemble techniques 🔸 Cutmix 🔸 Mixup I highly recommend, first try ensemble and bigger model techniques. #ArtificialIntelligence #DataScience #AI #MachineLearning</t>
  </si>
  <si>
    <t>Jamo</t>
  </si>
  <si>
    <t>The method makes it possible to produce foam from carrot, lingonberry or beetroot powder #ArtificialIntelligence #Development #MachineLearning</t>
  </si>
  <si>
    <t>https://lnkd.in/dMXZ2uV</t>
  </si>
  <si>
    <t>Finland</t>
  </si>
  <si>
    <t>Sales Director BBI Group Oy / LTD https://www.bbi.fi</t>
  </si>
  <si>
    <t>https://www.bbi.fi</t>
  </si>
  <si>
    <t>Use DirectML to add machine learning to C code.  #Machinelearning #100DaysOfCode #IoT #ML #Bigdata #100DaysOfMLCode #Python #flutter #RStats #CodeNewbie #Cod...</t>
  </si>
  <si>
    <t>https://www.infoworld.com/article/3606736/use-directml-to-add-machine-learning-to-c-code.html
https://lnkd.in/gw9f4iY</t>
  </si>
  <si>
    <t>Shi 💖 #WearAMask #SocialDistancing #StayHealthy💖</t>
  </si>
  <si>
    <t>We are all the Scatman☺️  🎥 @pierrepinna #AI #MachineLearning #DeepLearning @jblefevre60 @DeepLearn007 @mvollmer1 @Fabriziobustama @Nicochan33 @labordeolivier @CurieuxExplorer @sebbourguignon @JeroenBartelse @FrRonconi @sallyeaves</t>
  </si>
  <si>
    <t>https://www.reddit.com/r/MediaSynthesis/comments/lo8ggo/we_are_all_the_scatman/</t>
  </si>
  <si>
    <t>pic.twitter.com/OQDsV53e4A</t>
  </si>
  <si>
    <t>WORLD CITIZEN💙 DM-FREE ZONE</t>
  </si>
  <si>
    <t>MSc. Climate Change | Environment | Energy | Sustainability Proud supporter of change-makers. #AI #Science #Art #Photography #CyberSecurity #FutureOfWork NO DM</t>
  </si>
  <si>
    <t>#THISWEEK #VOICE #STARTUP #AI:10-week program designed to pair startups with experts to help tackle product development,#MachineLearning #ML and.. *Among 12 startups..#TORONTO...</t>
  </si>
  <si>
    <t>https://pbs.twimg.com/media/Eu5V1UzXMAAcOjK.jpg</t>
  </si>
  <si>
    <t>Anton Loeffen</t>
  </si>
  <si>
    <t>Microsoft is adding AI-powered text predictions to Word  #ai #machinelearning #smarter365 #eshgro #microsoft</t>
  </si>
  <si>
    <t>http://ow.ly/7sZA30rxXap</t>
  </si>
  <si>
    <t>Boxmeer</t>
  </si>
  <si>
    <t>Founder at Eshgro - Game Changer - Visionary Entrepeneur - Can-do mentality - Public speaker http://www.linkedin.com/in/antonloeffen</t>
  </si>
  <si>
    <t>http://www.eshgro.nl</t>
  </si>
  <si>
    <t>Approaching (Almost) Any Machine Learning Problem. #Machinelearning #100DaysOfCode #IoT #IIoT #Bigdata #100DaysOfMLCode #Python #flutter #cybersecurity #RStats #CodeNewbie #DataScience #DEVCommunity #RPA #AI</t>
  </si>
  <si>
    <t>Exploring #MachineLearning Advances in Finance  H/T: @BibliotecaFME</t>
  </si>
  <si>
    <t>https://upcommons.upc.edu/handle/2117/340312#.YDSqjNwGomA.twitter</t>
  </si>
  <si>
    <t>CSTR: A Classification Perspective on Scene Text Recognition</t>
  </si>
  <si>
    <t>Oracle Launches Construction AI Advisor for Its Cloud Services - ... intelligence  #machinelearning #intoAInews</t>
  </si>
  <si>
    <t>https://neurons.ai/blog/news-stories/oracle-launches-construction-ai-advisor-for-its-cloud-services/</t>
  </si>
  <si>
    <t>Four University students recognized by Outstanding Undergraduate Researcher Awards -  #machinelearning #intoAInews</t>
  </si>
  <si>
    <t>https://neurons.ai/blog/news-stories/four-university-students-recognized-by-outstanding-undergraduate-researcher-awards/</t>
  </si>
  <si>
    <t>life, is like math, if it goes too easy, something must be wrong. #100DaysOfCode #CodeNewbie #code #tech #Python #Python3 #DataScience #ArtificialIntelligence #machinelearning #DataScience #learning #science #programming #programmer #coding #AI #data #Python #javascript #Maths</t>
  </si>
  <si>
    <t>Fall 2021 Honors College Forums to Explore Topics Ranging From Ancient Artifacts to -  #machinelearning #intoAInews</t>
  </si>
  <si>
    <t>https://neurons.ai/blog/news-stories/fall-2021-honors-college-forums-to-explore-topics-ranging-from-ancient-artifacts-to-blockchains/</t>
  </si>
  <si>
    <t>Amancio Bouza</t>
  </si>
  <si>
    <t>Emerging Careers in #AI #ProjectManagement  #machinelearning #career</t>
  </si>
  <si>
    <t>https://medium.com/towards-artificial-intelligence/emerging-careers-in-ai-project-management-4d724427e58c</t>
  </si>
  <si>
    <t>#ProductManager #Author #Entrepreneur #Mentor | #DigitalEcosystem #FinTech #API #AI | I'm curious and love to re-discover the world together w/ my child.</t>
  </si>
  <si>
    <t>https://www.amanciobouza.com</t>
  </si>
  <si>
    <t>An interview with GPT3, one of The world's most advanced AI systems  Via @hackernoon #AI #ArtificialIntelligence #MachineLearning #deeplearning #GPT3</t>
  </si>
  <si>
    <t>https://hackernoon.com/interview-with-the-worlds-most-advanced-ai-4o5m331z</t>
  </si>
  <si>
    <t>https://pbs.twimg.com/media/Eu2Ph8MWYAAdx0H.png</t>
  </si>
  <si>
    <t>10Alytics</t>
  </si>
  <si>
    <t>Tag that particular individual you know should register for this Help them to UPSKILL now and they will sing your praises forever Register here:  #dataanalyst #data #DataAnalytics #DataScientist #datascience #bigdata #python #machinelearning</t>
  </si>
  <si>
    <t>http://bit.ly/dataactivatormasterclass</t>
  </si>
  <si>
    <t>https://pbs.twimg.com/media/Eu5TaaVXAAIpfNA.jpg</t>
  </si>
  <si>
    <t>Number 1 trainer on Excel, Power BI, SQL, Python and Problem Solving &amp; Decision Making. We got you covered on everything data and strategy</t>
  </si>
  <si>
    <t>http://www.10alytics.org</t>
  </si>
  <si>
    <t>Mixed reality navigation! #AI #MachineLearning #AR #VR #MixedReality @PawlowskiMario @mvollmer1 @SpirosMargaris @HaroldSinnott @DeepLearn007 @gvalan @ipfconline1 @ShiCooks @3itcom @diioannid @kalydeoo @Ym78200 @Nicochan33 @rwang0 @Fabriziobustama</t>
  </si>
  <si>
    <t>pic.twitter.com/4fOFTrZNB7</t>
  </si>
  <si>
    <t>Darek 🇵🇱</t>
  </si>
  <si>
    <t>Potęga komputerów w rywalizacji z człowiekiem. Interesujące wyniki badań, które mogą posłużyć jako podstawa budowy środowiska wspomagającego analizę możliwości algorytmów #SI. Szczegóły od @WatWcy👇 #Inżynier2021, Maciej Parapura #machinelearning RT @WatWcy: Maciej Parapura - Proces uczenia programów komputerowych reguł gry w oparciu o analizę historii rozgrywek.  #WCY #WAT #computervision #DeepQlearning #machinelearning</t>
  </si>
  <si>
    <t>https://twitter.com/WatWcy/status/1363914077442048001
https://wcy.wat.edu.pl/pl/news/proces-uczenia-programow-komputerowych-regul-gry-w-oparciu-o-analize-historii-rozgrywek</t>
  </si>
  <si>
    <t>https://pbs.twimg.com/media/Eu2YkrMXcAEqWM4.jpg</t>
  </si>
  <si>
    <t>Opinie wyłącznie prywatne✍ Bez hejtu i wulgaryzmów ⛔ RT oznacza zainteresowanie tematem, ale to nie opinia. #Polska</t>
  </si>
  <si>
    <t>Why We Need Mass Automation to Pandemic-Proof the Supply Chain #ArtificialIntelligence #ComputerVision #DeepLearning #MachineLearning #Robotics</t>
  </si>
  <si>
    <t>https://ai-summary.com/summary-why-we-need-mass-automation-to-pandemic-proof-the-supply-chain-6f1b42f1/?utm_medium=social-organic&amp;utm_source=twitter</t>
  </si>
  <si>
    <t>Methods</t>
  </si>
  <si>
    <t>A Modified #RandomForest Recursive Feature Selection Algorithm for Nasopharyngeal Carcinoma Segmentation by Fei et al. #MachineLearning #Segmentation</t>
  </si>
  <si>
    <t>https://www.thieme-connect.de/products/ejournals/abstract/10.1055/s-0040-1721791</t>
  </si>
  <si>
    <t>Stuttgart</t>
  </si>
  <si>
    <t>http://www.methods-online.com</t>
  </si>
  <si>
    <t>Machine Learning Projects with TensorFlow 2.0  #machinelearning #ad</t>
  </si>
  <si>
    <t>https://zpy.io/46dac527</t>
  </si>
  <si>
    <t>5 Step Implementation of Logistic Regression to Predict Venue Cancellations // Melisa Bardhi Published in   #MachineLearning #DataScience #sztucznainteligencja #datascientist #datascientistjobs #datasets #travelbusiness #Python</t>
  </si>
  <si>
    <t>http://MLearning.ai
https://medium.com/mlearning-ai/5-step-implementation-of-logistic-regression-to-predict-venue-cancellations-d46fd7ab2d50</t>
  </si>
  <si>
    <t>https://pbs.twimg.com/media/Eu5SYRPXUAApd5i.jpg</t>
  </si>
  <si>
    <t>Overfitting is a challenge and results in terrible out of sample performance. Do you agree? #biomedical #ArtificialIntelligence #machinelearning #DataScience</t>
  </si>
  <si>
    <t>pic.twitter.com/HZ8rDPvm2t</t>
  </si>
  <si>
    <t>You might not like mosquitoes, but they like you, and where you lead, they will follow. | #AI #HealthCare #Data4Good #MachineLearning #DeepLearning #DataScience</t>
  </si>
  <si>
    <t>https://bit.ly/3pN782F</t>
  </si>
  <si>
    <t>Forget fingerprints......AI may soon use your veins to identify you  Via @CNN HT @pierrepinna #CyberSecurity #MachineLearning #biometrics #AIEthics #AI #ArtificialIntelligence</t>
  </si>
  <si>
    <t>https://pbs.twimg.com/media/Eu1od8rWgAUvRgl.png</t>
  </si>
  <si>
    <t>iSecurity</t>
  </si>
  <si>
    <t>5 Ways artificial intelligence Is Being Used to Keep Sensitive Information Secure  #guidesandtutorials #cybersecurity #machinelearning</t>
  </si>
  <si>
    <t>http://dlvr.it/RtHVD3</t>
  </si>
  <si>
    <t>Cyber and Information Security Global Services. Get our "iSecurity Social" App from Apple App Store or Google Play</t>
  </si>
  <si>
    <t>Applications of #ArtificialIntelligence has permeated in almost every scientific field, including #Archaeology. #AI #DeepLearning #NeuralNetworks #Automation #Algorithms #3D #MachineLearning #ML #DataAnalysis  by @analyticsinme</t>
  </si>
  <si>
    <t>https://www.analyticsinsight.net/artificial-intelligence-in-archaeology-can-it-be-the-next-indiana-jones/</t>
  </si>
  <si>
    <t>Coupon Best</t>
  </si>
  <si>
    <t>Data Science for Business Leaders: Machine Learning Defined 🕸️🕸️  #DataScience #MachineLearning #IoT #IIoT #Python #RStats #CloudComputing #Serverless #Linux #Coding #100DaysofCode #100DaysOfMLCode #udemy</t>
  </si>
  <si>
    <t>http://bit.ly/2ZFbcaL</t>
  </si>
  <si>
    <t>https://pbs.twimg.com/media/Eu5RBHYUUAE-etP.jpg</t>
  </si>
  <si>
    <t>Online course coupon TheBest</t>
  </si>
  <si>
    <t>We're happy to announce the ODSC East 2021 keynotes! See the expert lineup here and learn more about who's driving AI today. #DataScience #MachineLearning</t>
  </si>
  <si>
    <t>https://hubs.ly/H0GQSmV0</t>
  </si>
  <si>
    <t>CRETECH #BigData #learning #machinelearning via</t>
  </si>
  <si>
    <t>http://twinybots.ch
https://www.cretech.com/directory/company/propertyquants/press-release/seminar-what-you-need-to-know-to-successfully-lead-a-data-science-data-analytics-or-digital-transfor</t>
  </si>
  <si>
    <t>Camera Module</t>
  </si>
  <si>
    <t>#robotics #ai #iot #artificialintelligence #hardware #firmware #fpga #imaging #drone #Agritech #Biometrics #Depthsensing #3d #facerecognition #robot #machinevision #machinelearning #deeplearning #OpenCV #Linux #vr #ar #vision #computervision #algorithm #embedded #electronics📷💯</t>
  </si>
  <si>
    <t>https://pbs.twimg.com/media/Eu5QkgfVcAcIJT5.jpg</t>
  </si>
  <si>
    <t>CM Technology, based in China, designs, develops, customizes and manufactures all kinds of camera modules. Email: info@camera-module.com</t>
  </si>
  <si>
    <t>http://www.camera-module.com</t>
  </si>
  <si>
    <t>Sigmoid</t>
  </si>
  <si>
    <t>Join Team Sigmoid at Quantum Conversations managed by Stanford Quantum Computing Association on Thursday Feb 25, 12:30 PM PST. Register today -  #MachineLearning #deeplearning #artificialintelligence #DataScience #QuantumComputing #ibmquantum #IBM</t>
  </si>
  <si>
    <t>https://docs.google.com/forms/d/e/1FAIpQLSfe6BQNAd8KBHup7Kpju6-dcbJOnkNJ4CMxMhtQPKzmnV4HYg/viewform</t>
  </si>
  <si>
    <t>https://pbs.twimg.com/media/Eu5P3c2VcAIovIf.jpg</t>
  </si>
  <si>
    <t>NY | Dallas | SF | Lima | BLR</t>
  </si>
  <si>
    <t>Sigmoid is a strategic data partner for global Fortune 500 companies in building innovative solutions using ML, Big Data, Open-Source, and Cloud technologies</t>
  </si>
  <si>
    <t>https://www.sigmoid.com/</t>
  </si>
  <si>
    <t>Priyanka Madiraju</t>
  </si>
  <si>
    <t>Stats made easy :) Learn basic concepts in under 4 minutes.  #DataScience #Statistics #tuesdayvibe #100DaysOfCode #WomenWhoCode #Python #learning #tuesdaymotivations #MachineLearning #DeepLearning #NeuralNetworks #blog #blogger #COVID #Tuesday #Analytics</t>
  </si>
  <si>
    <t>https://bit.ly/3jxyNTB</t>
  </si>
  <si>
    <t>Hyderabad</t>
  </si>
  <si>
    <t>Aspiring Data Scientist, Former Full Stack Developer, Blogger, Reader.</t>
  </si>
  <si>
    <t>http://datastudies.co.in/</t>
  </si>
  <si>
    <t>Null Hypothesis</t>
  </si>
  <si>
    <t>Like they call it, Baby Steps! Need to buckle up with the competitions now, let’s team up? #kaggle #66daysofdata #100DaysOfMLCode #100DaysOfCode #MachineLearning #ArtificialIntelligence #DataScience #Data #ML #AI</t>
  </si>
  <si>
    <t>https://pbs.twimg.com/media/Eu5QNZ7VcAMXMZR.jpg</t>
  </si>
  <si>
    <t>#DataScience enthusiast | Kaggle 3x Expert | Learning to grow in the world of AI ML| Sharing Questions and Important Articles| #MachineLearning #66daysofdata</t>
  </si>
  <si>
    <t>http://kaggle.com/simranjain17</t>
  </si>
  <si>
    <t>Nikola M. Zivkovic</t>
  </si>
  <si>
    <t>#dotnet #machinelearning Find out how to use Decision Trees with #mlnet 🌳  cc @ipfconline1 @pierrepinna @DeepLearn007 @jblefevre60 @KirkDBorne @DiegoKuonen @JolaBurnett @RosyCoaching @sergey_mig #datascience #csharp #dotnet5 #dotnetcore</t>
  </si>
  <si>
    <t>https://rubikscode.net/2021/02/22/machine-learning-with-ml-net-guide-to-decision-trees/</t>
  </si>
  <si>
    <t>Novi Sad, Republic of Serbia</t>
  </si>
  <si>
    <t>💻 Software Dev 🧠 Data Scientist 🖖 Author of "Deep Learning for Programmers"</t>
  </si>
  <si>
    <t>https://rubikscode.net</t>
  </si>
  <si>
    <t>Adarsh Kulkarni</t>
  </si>
  <si>
    <t>I just subscribed to Decision Intelligence #MachineLearning</t>
  </si>
  <si>
    <t>https://decision.substack.com/?utm_medium=web&amp;utm_campaign=pss</t>
  </si>
  <si>
    <t>Doxyaxone</t>
  </si>
  <si>
    <t>What a weird famous language. #Python #BigData #Analytics #AI #DataScience #IoT #IIoT #RStats #Java #TensorFlow #JavaScript #ReactJS #C #CPP #CSharp #SQL #CloudComputing #Server #DataCenter #MachineLearning #Serverless #DataScientist #Linux #Programming #Coding #100DaysofCode</t>
  </si>
  <si>
    <t>https://pbs.twimg.com/media/Eu5P2iSWQAA-fel.jpg</t>
  </si>
  <si>
    <t>NT 5.0</t>
  </si>
  <si>
    <t>Absolutely terrifying. #Python #BigData #Analytics #AI #DataScience #IoT #IIoT #PyTorch #RStats #Java #TensorFlow #JavaScript #ReactJS #C #CPP #CSharp #SQL #CloudComputing #Server #DataCenter #MachineLearning #Serverless #DataScientist #Linux #Programming #Coding #100DaysofCode</t>
  </si>
  <si>
    <t>https://pbs.twimg.com/media/Eu5PuSwWgAEXSfK.jpg</t>
  </si>
  <si>
    <t>#AI #MachineLearning Are We All Misaligned?  v/ @MazurkiewiczWho Cc @andi_staub @SpirosMargaris @JimMarous @jblefevre60 @MarshaCollier @AkwyZ</t>
  </si>
  <si>
    <t>https://www.dialecticsofnature.com/post/are-we-all-misaligned</t>
  </si>
  <si>
    <t>https://pbs.twimg.com/media/Eu5PoT9WQAAvcpE.jpg</t>
  </si>
  <si>
    <t>TechScapes</t>
  </si>
  <si>
    <t>5 Biggest #digital techtrends that can help #Insurance business to survive.  #ArtificialIntelligence #RPA #Automation #Robotics #Bigdata #MachineLearning #insurtech #AI #ML #tech #technologytrends #DataAnalytics #VirtualReality #technology #TechTrends #IoT</t>
  </si>
  <si>
    <t>http://bit.ly/2ZEcd0V</t>
  </si>
  <si>
    <t>A platform to discuss about #technology, latest trends &amp; news. Connect with Tech Geeks 👨‍💻 &amp; share your opinion! #MachineLearning #DeepLearning #IoT #Bigdata</t>
  </si>
  <si>
    <t>use tab guys. #Python #BigData #Analytics #AI #DataScience #IoT #IIoT #PyTorch #RStats #Java #TensorFlow #JavaScript #ReactJS #C #CPP #CSharp #SQL #CloudComputing #Server #DataCenter #MachineLearning #Serverless #DataScientist #Linux #Programming #Coding #100DaysofCode</t>
  </si>
  <si>
    <t>https://pbs.twimg.com/media/Eu5PnP7WQAATVH8.jpg</t>
  </si>
  <si>
    <t>https://pbs.twimg.com/media/Eu5PZfrVkAI_VC6.jpg</t>
  </si>
  <si>
    <t>dear, math, let go your of x, grow up, like the rest of us. #100DaysOfCode #CodeNewbie #code #tech #Python #Python3 #DataScience #ArtificialIntelligence #machinelearning #DataScience #learning #science #programming #programmer #coding #AI #data #Python #javascript</t>
  </si>
  <si>
    <t>ΛMIƬ PΛПDΣY 👨‍💻 🐍🐉アミット 🇮🇳🐂😷</t>
  </si>
  <si>
    <t>#CodeMeme :- Future of Automation 🤖👨‍💻 #MachineLearning #javascript #100DaysOfCode #CodeNewbie 👇</t>
  </si>
  <si>
    <t>pic.twitter.com/dL9dBXsq0O</t>
  </si>
  <si>
    <t>Ranchi, India</t>
  </si>
  <si>
    <t>💻 𝐏𝐫𝐨𝐠𝐫𝐚𝐦𝐦𝐞𝐫 by Education,💲i͎n͎v͎e͎s͎t͎o͎r͎ by Passion. ❤️@msdhoni 💪 🄲🅁🄸🄲🄺🄴🅃 🏏 History🪐 Nature🗺️ #K_pop #BTS</t>
  </si>
  <si>
    <t>https://pbs.twimg.com/media/Eu5PHPLVcAAwON8.jpg</t>
  </si>
  <si>
    <t>Ole-Chr. Granmo</t>
  </si>
  <si>
    <t>New paper from @cairuia's talented Rupsa Saha, with co-authors @mortengoodwin and @vizadorozhny! She has designed the first Relational #TsetlinMachine, which reasons with relations, variables, and constants. @uiagder  #ML #MachineLearning #AI #NLP</t>
  </si>
  <si>
    <t>https://arxiv.org/abs/2102.10952</t>
  </si>
  <si>
    <t>https://pbs.twimg.com/media/Eu5OADIWYAAvG12.jpg</t>
  </si>
  <si>
    <t>Grimstad, Norge</t>
  </si>
  <si>
    <t>Professor and Founding Director of Centre for Artificial Intelligence Research (CAIR), University of Agder</t>
  </si>
  <si>
    <t>https://github.com/cair/TsetlinMachine</t>
  </si>
  <si>
    <t>https://pbs.twimg.com/media/Eu5PAEfVEAAwbb-.jpg</t>
  </si>
  <si>
    <t>https://pbs.twimg.com/media/Eu5O3VpVIAE43s-.jpg</t>
  </si>
  <si>
    <t>Arjun Shaji Kumar</t>
  </si>
  <si>
    <t>3rd @CloudNativeFdn UAE Meetup Session 1: Secure microservices application on #redhat #openshift Session 2: #MachineLearning on #kubernetes. ML demo - #TesnsorFlow &amp; #jupyter on #k8s Check out this Meetup: 3rd #CNCF UAE Meetup  #Meetup via @Meetup</t>
  </si>
  <si>
    <t>https://www.meetup.com/cncf-uae/events/276516764/</t>
  </si>
  <si>
    <t>Trying to master the art of backpacking. Pretentious Techie</t>
  </si>
  <si>
    <t>https://pbs.twimg.com/media/Eu5Or_DUYAcrwbC.jpg</t>
  </si>
  <si>
    <t>Ewa Augustyniak</t>
  </si>
  <si>
    <t>Join Piotr Kaczyński, Piotr Kramek, Wioletta Stobieniecka and Piotr Zawada at #BigDataTechSummit on February 25 #SAS #BigData #AI #Analytics #ML #MachineLearning #DeepLearning #ModelOps #DevOps #XOps #MLOps</t>
  </si>
  <si>
    <t>https://bigdatatechwarsaw.eu/
https://bit.ly/3qG2C7n</t>
  </si>
  <si>
    <t>Currently SAS, ex-Unisys, marketer, mother, dog lover. Views my own.</t>
  </si>
  <si>
    <t>Inixindo Surabaya</t>
  </si>
  <si>
    <t>Simak seberapa pentingnya Data Science dalam hal bisnis.. 🔎 #datascience #machinelearning #python #deeplearning #bigdata #datascientist #programming #artificialintelligence #dataanalysis #inixindo #inixindosurabaya</t>
  </si>
  <si>
    <t>https://pbs.twimg.com/media/Eu5Oe9hU4AE8qx0.jpg</t>
  </si>
  <si>
    <t>Jl. Raya Jemursari No.64, Sura</t>
  </si>
  <si>
    <t>Learning Center for Information and Communication Technology (ICT). Instagram : @inixindosurabaya Contact : 031-8477733 E-mail : info@inixindosurabaya.id</t>
  </si>
  <si>
    <t>http://www.inixindosurabaya.id</t>
  </si>
  <si>
    <t>https://pbs.twimg.com/media/Eu5Oh1BUYAgUuJ4.jpg</t>
  </si>
  <si>
    <t>2021 Trends in Artificial Intelligence and Machine Learning: The ModelOps Movement  #MachineLearning #ArtificialIntelligence #QAcycle</t>
  </si>
  <si>
    <t>http://bit.ly/2TRZ1V5</t>
  </si>
  <si>
    <t>https://pbs.twimg.com/media/Eu5EFoUU4AIH5QG.png</t>
  </si>
  <si>
    <t>🦾 These robotic arms sort the peppers! #AI #MachineLearning #Robotics #4IR @InTheKnow @SpirosMargaris @DeepLearn007 @PawlowskiMario @mvollmer1 @gvalan @ipfconline1 @ShiCooks @diioannid @rwang0 @kalydeoo @Ym78200 @Nicochan33 @chboursin @Fabriziobustama</t>
  </si>
  <si>
    <t>pic.twitter.com/YHpsY4FtFo</t>
  </si>
  <si>
    <t>https://pbs.twimg.com/media/Eu5OVcxVEAM4VMe.jpg</t>
  </si>
  <si>
    <t>VVDN Technologies</t>
  </si>
  <si>
    <t>Wondering how #thermalimaging #camera enabled with #artificialintelligence and #deeplearning is redefining the #vision world? For more  #vvdntech #ai #ml #machinelearning #manufacturing #technology #innovation #makeinindia #odm #techblog</t>
  </si>
  <si>
    <t>http://bit.ly/3buBkuh</t>
  </si>
  <si>
    <t>https://pbs.twimg.com/media/Eu5AqrDUYAYbgCO.jpg</t>
  </si>
  <si>
    <t>Gurgaon, Haryana, India</t>
  </si>
  <si>
    <t>Premier #Electronics #Engineering &amp; #Manufacturing company focused on next technology innovation in the space of #5G, #Wireless, #Vision, #IoT, #Cloud &amp; #Apps.</t>
  </si>
  <si>
    <t>https://www.vvdntech.com/</t>
  </si>
  <si>
    <t>Brainial</t>
  </si>
  <si>
    <t>📢 Brainial is happy to announce that our team is growing. 🚀  The two new Data Analysts Pepijn Briene and Rogier Pouwels recently started a new chapter in their careers at Brainial. 🤩 #smarttendering #machinelearning #datascience #ai #data #innovation</t>
  </si>
  <si>
    <t>https://brainial.com/a-warm-welcome-for-pepijn-and-rogier-the-new-brainials/</t>
  </si>
  <si>
    <t>https://pbs.twimg.com/media/Eu5N2uJWQAElHJo.jpg</t>
  </si>
  <si>
    <t>Netherlands</t>
  </si>
  <si>
    <t>Brainial provides a SaaS solution to help organizations to reduce the time and money spent when responding to tenders, achieving a higher quality and win rate.</t>
  </si>
  <si>
    <t>http://www.brainial.com</t>
  </si>
  <si>
    <t>Delivery by #MachineLearning #Tech #Technology #IT #AI #Drone #Robotics by @rwang0 @jblefevre60 @jeanyvesgonin @gvalan @SpirosMargaris @iamBrianGraham @HaroldSinnott nology Cc:</t>
  </si>
  <si>
    <t>pic.twitter.com/1DFfvP91VV</t>
  </si>
  <si>
    <t>How Security Systems are Implementing AI and ML for Threat Detection  #ArtificialIntelligence #MachineLearning #CyberAttack #QAcycle</t>
  </si>
  <si>
    <t>https://bit.ly/3kJNIKw</t>
  </si>
  <si>
    <t>https://pbs.twimg.com/media/Eu5D24ZUUAIIvjB.png</t>
  </si>
  <si>
    <t>Kim Muro</t>
  </si>
  <si>
    <t>Ninja’s Fall Guys skin is now available: #machinelearning #ai #iot MT @motorcycletwitt</t>
  </si>
  <si>
    <t>https://www.theverge.com/2020/12/20/22191951/fall-guys-ninja-skin-now-available-mediatonic-crowns-charity</t>
  </si>
  <si>
    <t>https://pbs.twimg.com/media/Eu5NOPOUcAENyVc.jpg</t>
  </si>
  <si>
    <t>#Innovation CIO • #BigData #Cloud #SaaS Leader • Future of #Digital #MobileFirst • Interested in #VR + #AR • #WomenInTech Building #IoT</t>
  </si>
  <si>
    <t>https://twitter.com/worldtrendsinfo</t>
  </si>
  <si>
    <t>Adnan Hashmi</t>
  </si>
  <si>
    <t>Indexing multiple data sources in #Azure Cognitive Search  #MachineLearning</t>
  </si>
  <si>
    <t>https://bit.ly/3aI23EA</t>
  </si>
  <si>
    <t>https://pbs.twimg.com/media/Eu5NMFGXcAMY-dC.png</t>
  </si>
  <si>
    <t>Data &amp; #AI Architect @Microsoft, Life-long Learner, Proud #Pakistani 🇵🇰, @OpenEdPakistan Founder, #INTJ, #Azure, #CosmosDB, #MachineLearning</t>
  </si>
  <si>
    <t>http://AdnanHashmi.co</t>
  </si>
  <si>
    <t>Tookitaki Powers AI-Driven Anti-Money Laundering Solution Using HPE GreenLake -   #machinelearning #ai #technology</t>
  </si>
  <si>
    <t>http://StreetInsider.com
http://dlvr.it/RtHRWY</t>
  </si>
  <si>
    <t>OpenPosition</t>
  </si>
  <si>
    <t>#Postdoc #Phd open position at the intersection of #AI #MachineLearning &amp; #Security Link:</t>
  </si>
  <si>
    <t>https://cispa.saarland/group/fritz/</t>
  </si>
  <si>
    <t>https://pbs.twimg.com/media/Eu5NEsoVoAEqv2L.jpg</t>
  </si>
  <si>
    <t>Cloud</t>
  </si>
  <si>
    <t>Ml/AI open position around the world</t>
  </si>
  <si>
    <t>Python for Data Science and Visualization -Beginners to Pro  #machinelearning #ad</t>
  </si>
  <si>
    <t>https://zpy.io/6c953772</t>
  </si>
  <si>
    <t>These robots were built to organize parts on a conveyor belt at high speed. CC CurieuxExplorer #100DaysOfMLCode #Robotics #CodeNewbie #VegaLMS #WomenWhoCode #100DaysOfCode #ArtificialIntelligence #Automation #MachineLearning #AI 📽 via Rainmaker1973</t>
  </si>
  <si>
    <t>pic.twitter.com/hsr9wmvWmz</t>
  </si>
  <si>
    <t>Fly spaceships with your mind</t>
  </si>
  <si>
    <t>"In programming, the hard part isn't solving problems, but deciding what problems to solve."-Paul Graham #BigData #Analytics #DataScience #AI #MachineLearning #IoT #IIoT #Python #RStats #CloudComputing #Linux #Programming #Coding #100DaysofCode #WomenWhoCode #Science</t>
  </si>
  <si>
    <t>#ExpertKnowledge reduced to the essential... 🤖 #ML 📈 #DataScience 💻 #programming ⚗️ #science ... Come and visit us, #TakeOffYourShoes and stay here.</t>
  </si>
  <si>
    <t>https://starship-knowledge.com</t>
  </si>
  <si>
    <t>neptune.ai</t>
  </si>
  <si>
    <t>Applications of ML and AI in real-life are what drives R&amp;D these areas. That's why we created a blog series about how AI and #MachineLearning are used in different industries. In this post, @nielspace07 introduces you to ML in #SupplyChain.</t>
  </si>
  <si>
    <t>https://bit.ly/3dpP4sY</t>
  </si>
  <si>
    <t>Warszawa, Polska</t>
  </si>
  <si>
    <t>We tweet about #DataScience best practices and some other cool stuff. Read our blog at http://neptune.ai/blog Try our free #MachineLearning experiment tracking tool!</t>
  </si>
  <si>
    <t>https://neptune.ai</t>
  </si>
  <si>
    <t>Monday Motivation!!! #bigdata #bigdataanalytics #bigdatatechnologies #bigdatanalysis #datascience #machinelearning #artificialintelligence #python #bigdata #dataanalytics #datascientist #life #python #R #statistics #ai #dataengineer #businessanalyst</t>
  </si>
  <si>
    <t>https://pbs.twimg.com/media/Eu5Me3zUUAQxX3W.jpg</t>
  </si>
  <si>
    <t>Amit Champaneri</t>
  </si>
  <si>
    <t>🔝insight! #DigitalTransformation Life Cycle Capability Model via @ingliguori👇🏽#Cloud #MachineLearning #BigData #infosec #fintech #ArtificialIntelligence #cybersecurity #Blockchain #Analytics #AI #IIoT #DEVCommunity #DataScience #IoT #IoTPL #100DaysOfCode @Nicochan33 @BetaMoroney RT @ingliguori: #DigitalTransformation Life Cycle and Capability Model Via @ingliguori #Cloud #MachineLearning #BigData #infosec #fintech #ArtificialIntelligence #cybersecurity #Blockchain #Analytics #AI #IIoT #DEVCommunity #DataScience #IoT #IoTPL #100DaysOfCode @antgrasso @AkwyZ @mvollmer1</t>
  </si>
  <si>
    <t>https://twitter.com/ingliguori/status/1363901383779495938</t>
  </si>
  <si>
    <t>https://pbs.twimg.com/media/Eu2NE1kXEAIUa-G.png</t>
  </si>
  <si>
    <t>Surrey | London | Leeds | UK</t>
  </si>
  <si>
    <t>Senior Manager @PwC | @PMFGlobal Committee | #Marketing #BusinessDevelopment | #Speaker | #Mentor | #DigitalTransformation Advocate | #Travel #Sports | My Views</t>
  </si>
  <si>
    <t>http://uk.linkedin.com/in/amitchampaneri</t>
  </si>
  <si>
    <t>Alexander Adrowitzer</t>
  </si>
  <si>
    <t>It's called programming LANGUAGE because you have to practice it as much as you can! #DataScience #MachineLearning #Coding</t>
  </si>
  <si>
    <t>https://www.analyticsvidhya.com/blog/2021/02/why-programming-is-essential-for-data-science/?utm_source=feedburner&amp;utm_medium=email&amp;utm_campaign=Feed%3A+AnalyticsVidhya+%28Analytics+Vidhya%29</t>
  </si>
  <si>
    <t>Speaker, Innovator, Author. AI and Data Science Lecturer UAS St. Poelten. Background in Astronomy and Physics. #AIEthics #ResponsibleAI</t>
  </si>
  <si>
    <t>http://www.adrowitzer.com</t>
  </si>
  <si>
    <t>Armand Brunelle</t>
  </si>
  <si>
    <t>Implementing Python In #DeepLearning Mini-Guide  #MachineLearning #NLP #Analytics #AI #100DaysOfCode #DEVCommunity #DevOps #IoT #Serverless #5G #Womenintech #DataScience #WomenWhoCode #QuBit #Coding #Programming #BigData #R #Bicep #Python #Java</t>
  </si>
  <si>
    <t>https://pbs.twimg.com/media/Eu5MATmWQAEykTT.jpg</t>
  </si>
  <si>
    <t>I Like To Create Some "Things" #CloudCity @CloudOneID #AURA #DataScience #CloudArchitecture #Cybersecurity #ArtificialIntelligence</t>
  </si>
  <si>
    <t>https://exonomousid.com/</t>
  </si>
  <si>
    <t>Dr Marcio B Fasano ✨</t>
  </si>
  <si>
    <t>What is a #DataScientist and what do they do? &gt;&amp;gt;&amp;gt; @MikeQuindazzi &amp;gt;&amp;gt;&amp;gt; #MachineLearning #AI #DataAnalytics #DataScience #DataLake &amp;gt;&amp;gt;&amp;gt; #INFOGRAPHICS &amp;gt;&amp;gt;&amp;gt;</t>
  </si>
  <si>
    <t>http://bit.ly/3l4db0D</t>
  </si>
  <si>
    <t>https://pbs.twimg.com/media/Eu5MQF4WgAA7R_b.jpg</t>
  </si>
  <si>
    <t>London / Londres / Londra</t>
  </si>
  <si>
    <t>Co-Founder &amp; CEO Award winner of the Diamond Seal for Top Performance MKTG Strategist. 14 Branches around the world, Digitally present over 35 Countries. ⚜️</t>
  </si>
  <si>
    <t>What are the differences between supervised and unsupervised learning? 👉 #BigData #Analytics #DataScience #AI #MachineLearning #IoT #IIoT #Python #RStats #CloudComputing #Linux #Programming #Coding #100DaysofCode #WomenWhoCode #Science #TensorFlow #ML</t>
  </si>
  <si>
    <t>https://bit.ly/3swB9FV</t>
  </si>
  <si>
    <t>https://pbs.twimg.com/media/Eu5L2o0XUAMH0P3.jpg</t>
  </si>
  <si>
    <t>Incredible #TechforGood! #Autonomous cleaning #robot also entertains children via @DigitalTrends @Nicochan33👇🏽#ArtificialIntelligence #AI #Robotics #Tech #MachineLearning #Robots #Automation @anand_narang @labordeolivier @abhishek__AI @Fabriziobustama @BetaMoroney @GeorgeWillems1 RT @Nicochan33: A fully autonomous #robot to entertain children &amp; keep floors cleaned by @DigitalTrends #ArtificialIntelligence #techforgood @PawlowskiMario @MargaretSiegien @RitupaGhosh @ravidugh @vanivina9 @sulefati7 @jblefevre60 @Ym78200 @baski_LA @TerenceLeungSF @CurieuxExplorer @ShiCooks</t>
  </si>
  <si>
    <t>https://twitter.com/Nicochan33/status/1363755262583197700</t>
  </si>
  <si>
    <t>pic.twitter.com/wTpk2vEdKH</t>
  </si>
  <si>
    <t>Philippe Santraine</t>
  </si>
  <si>
    <t>The end of online advertising as we know it. Chrome gives up on third party cookies and instead is to use browser based Machine Learning, which still enables targeted advertising. #regtech #gdpr #MachineLearning</t>
  </si>
  <si>
    <t>https://www.wired.co.uk/article/google-chrome-cookies-third-party-ads</t>
  </si>
  <si>
    <t>Helsinki, Finland</t>
  </si>
  <si>
    <t>Management Consultant / Digital Financial products &amp; services / #fintechs #sustainablefinance #openbanking #wealthtech #regtech #platformeconomy #AI</t>
  </si>
  <si>
    <t>https://www.linkedin.com/in/santrainephil</t>
  </si>
  <si>
    <t>💥Robotic charging for electric vehicles and industrial applications! #AI #MachineLearning #Robotics #4IR @KUKAGlobal @SpirosMargaris @DeepLearn007 @PawlowskiMario @mvollmer1 @gvalan @ipfconline1 @diioannid @Ym78200 @kalydeoo @Nicochan33 @chboursin</t>
  </si>
  <si>
    <t>pic.twitter.com/n6XJ3lqqoC</t>
  </si>
  <si>
    <t>What programming looks like😂😂 #MachineLearning #DataScience #javascript #100DaysOfCode #technology #dev #programmerjokes #humor #memes2021 #wednesdaythought #WednesdayMotivation</t>
  </si>
  <si>
    <t>pic.twitter.com/3rSLD9jDM6</t>
  </si>
  <si>
    <t>Rabbin Dioquino</t>
  </si>
  <si>
    <t>https://bit.ly/2ZF77mX</t>
  </si>
  <si>
    <t>https://pbs.twimg.com/media/Eu5KrL0VEAYHPUU.jpg</t>
  </si>
  <si>
    <t>PMO - Global Recruiting Operations @SAP #SAPHR #LifeAtSAP #Recruiting #Talent Member of @PrideAtSAP #Diversity</t>
  </si>
  <si>
    <t>Using TensorFlow with Intel RealSense Depth Cameras – Intel® RealSense™ Depth and Tracking Cameras #Camera #learning #machinelearning</t>
  </si>
  <si>
    <t>https://www.intelrealsense.com/using-tensorflow-with-depth/</t>
  </si>
  <si>
    <t>Neo4j</t>
  </si>
  <si>
    <t>Graphs for Artificial Intelligence and Machine Learning By @jimwebber  #AI #MachineLearning #GraphDataScience</t>
  </si>
  <si>
    <t>https://buff.ly/2ORGIjH</t>
  </si>
  <si>
    <t>Graphs Are Everywhere</t>
  </si>
  <si>
    <t>The #1 platform for connected data. Developers start here: https://neo4j.com/developer/</t>
  </si>
  <si>
    <t>https://neo4j.com/</t>
  </si>
  <si>
    <t>Machine Learning &amp; Data Science Projects Bootcamp 2021 machine learning practically &amp;amp; build real world project with python 🕸️🕸️  #DataScience #MachineLearning #IoT #IIoT #Python #RStats #Serverless #Linux #Coding #100DaysofCode #100DaysOfMLCode #udemy</t>
  </si>
  <si>
    <t>https://bit.ly/3tIg7oU</t>
  </si>
  <si>
    <t>Daily AI Roundup: The 5 Coolest Things On Earth Today  @Brainlab @ericsson @ExelaTech @AWS @Azure #artificialintelligence #AiThority #Fintech #Automation #MachineLearning</t>
  </si>
  <si>
    <t>http://ow.ly/aAsJ30ry0Yf</t>
  </si>
  <si>
    <t>‘Anyone Can Be Hacked , question is How well prepared are you for the next attack? #solarwinds #cyber #cybersecurity #hclsoftware #bigfix #ai #devops #appsec #devsecops #machinelearning #iot #hclswlobp #linux #windows #security #femtech #futureofwork</t>
  </si>
  <si>
    <t>https://via.socxo.net/1Prqt1ZfLZ5Sa</t>
  </si>
  <si>
    <t>30 Largest TensorFlow Datasets for #MachineLearning  by @AmbalinaLimarc via @LionbridgeAI #AI #BigData Cc @jblefevre60 @Nicochan33 @DeepLearn007 @ahier @SpirosMargaris @sallyeaves @AkwyZ @NadiaAbouayoub</t>
  </si>
  <si>
    <t>https://lionbridge.ai/datasets/tensorflow-datasets-machine-learning/</t>
  </si>
  <si>
    <t>https://pbs.twimg.com/media/Eu5J6HsXcAIJpWZ.jpg</t>
  </si>
  <si>
    <t>Flux Insights</t>
  </si>
  <si>
    <t>If the thought of deploying Matching Learning, to address business decisions, makes you break out in a sweat. Have no fear we have got this covered. Download “ Mastering Customer Retention is Good Business”.  #MachineLearning #ArtificialIntelligence</t>
  </si>
  <si>
    <t>http://bit.ly/2OrG8sD</t>
  </si>
  <si>
    <t>https://pbs.twimg.com/media/Eu5J53iXEAASQc4.png</t>
  </si>
  <si>
    <t>Flux, the Blog for Modern Marketers</t>
  </si>
  <si>
    <t>https://fluxinsights.co.uk/</t>
  </si>
  <si>
    <t>TalentSprint</t>
  </si>
  <si>
    <t>Webinar on Thur, Feb 25, 2021 @ 6:00 PM. Asokan Pichai, Chief Learning Officer, TalentSprint will take you through the journey of building #AI expertise with IIIT Hyderabad and @talentsprint . Keep your questions ready. Register here  #MachineLearning</t>
  </si>
  <si>
    <t>https://zcu.io/RVrY</t>
  </si>
  <si>
    <t>https://pbs.twimg.com/media/Eu5J5NTVoAIF7TT.jpg</t>
  </si>
  <si>
    <t>TalentSprint brings transformational learning programs to young and experienced professionals seeking deep tech expertise.</t>
  </si>
  <si>
    <t>http://talentsprint.com</t>
  </si>
  <si>
    <t>Dynamic Programming Algorithms in Python: Dijkstra's Algorithm  #dynamicprogramming #coding #programming #algorithms #phdchat #machineLearning</t>
  </si>
  <si>
    <t>https://youtu.be/VnTlW572Sc4</t>
  </si>
  <si>
    <t>KBCNMUJAL@HASOC-Dravidian-CodeMix-FIRE2020: Using Machine Learning for Detection of Hate Speech and Offensive Code-Mixed Social Media text  by Varsha Pathak et al. #MachineLearning #Classifier</t>
  </si>
  <si>
    <t>https://deepai.org/publication/kbcnmujal-hasoc-dravidian-codemix-fire2020-using-machine-learning-for-detection-of-hate-speech-and-offensive-code-mixed-social-media-text</t>
  </si>
  <si>
    <t>Carles Dijous (AAlb)</t>
  </si>
  <si>
    <t>Leading regulatory compliance tech company and #HPE Technology Partner, Tookitaki, leverages HPE GreenLake to deliver enhanced #AI and #machinelearning-based anti-money laundering solution to #financial institutions across Asia-Pacific.</t>
  </si>
  <si>
    <t>http://bwnews.pr/3pN0Gst</t>
  </si>
  <si>
    <t>Colaborador docente UOC (Universitat Oberta de Catalunya). ICT observer. More: http://bit.ly/1LK7xZf</t>
  </si>
  <si>
    <t>http://world2digits.blogspot.com/</t>
  </si>
  <si>
    <t>Roaring Elephant</t>
  </si>
  <si>
    <t>Episode 233 – Combating Global Misinformation &amp; No More Cookies  #BigData #Hadoop #BigDataAnalytics #MachineLearning</t>
  </si>
  <si>
    <t>https://roaringelephant.org/2021/02/23/episode-233-combating-global-misinformation-no-more-cookies-from-github/</t>
  </si>
  <si>
    <t>Planet Earth</t>
  </si>
  <si>
    <t>A weekly community podcast about Big Technology with a focus on Open Source, Advanced Analytics and other modern magic. (Formerly known as @HadoopCast!)</t>
  </si>
  <si>
    <t>https://roaringelephant.org</t>
  </si>
  <si>
    <t>Heptagon.in</t>
  </si>
  <si>
    <t>#AI and #security: #Machinelearning is a threat detection game-changer.  #artificialintelligence #ai #machinelearning #technology #datascience #deeplearning #python #programming #robotics #tech #coding #bigdata #iot #computerscience</t>
  </si>
  <si>
    <t>https://bit.ly/399RTuv</t>
  </si>
  <si>
    <t>https://pbs.twimg.com/media/Eu5IxL3XIAE2LUn.jpg</t>
  </si>
  <si>
    <t>Coimbatore, India</t>
  </si>
  <si>
    <t>We are #heptagon - a passionate group of #business and #technology experts building scalable and global technology solutions.</t>
  </si>
  <si>
    <t>http://www.heptagon.in</t>
  </si>
  <si>
    <t>[D] Kaggle Titanic Challenge - maximum (legit) optainable score?</t>
  </si>
  <si>
    <t>https://www.reddit.com/r/MachineLearning/comments/lpyfwe/d_kaggle_titanic_challenge_maximum_legit/</t>
  </si>
  <si>
    <t>What is #DeepLearning?  #MachineLearning #NLP #Analytics #AI #100DaysOfCode #DEVCommunity #DevOps #IoT #Serverless #5G #Womenintech #DataScience #WomenWhoCode #QuBit #Coding #Programming #BigData #R #Bicep #Python #Java</t>
  </si>
  <si>
    <t>https://en.wikipedia.org/wiki/Deep_learning</t>
  </si>
  <si>
    <t>https://pbs.twimg.com/media/Eu5IlefWQAIymeA.jpg</t>
  </si>
  <si>
    <t>Databricks launches on Google Cloud  #analytics, #analytics #datascience, #bigdata, #businessanalytics #ba, #dataengineering, #datalake, #datamanagement, #datascience, #machinelearning</t>
  </si>
  <si>
    <t>https://bit.ly/3kaTaXf</t>
  </si>
  <si>
    <t>RDBMS Concepts for Data Science Aspirants  #machinelearning #ad</t>
  </si>
  <si>
    <t>https://zpy.io/06f8348a</t>
  </si>
  <si>
    <t>Best #Python Libraries for Machine Learning #ML and #DeepLearning  #MachineLearning #NLP #Analytics #AI #100DaysOfCode #DEVCommunity #DevOps #IoT #Serverless #5G #Womenintech #DataScience #WomenWhoCode #QuBit #Coding #Programming #BigData #R #Bicep</t>
  </si>
  <si>
    <t>https://towardsdatascience.com/best-python-libraries-for-machine-learning-and-deep-learning-b0bd40c7e8c</t>
  </si>
  <si>
    <t>https://pbs.twimg.com/media/Eu5H49-WgAE2d8i.png</t>
  </si>
  <si>
    <t>#Keras Tutorial: Deep Learning in Python  #MachineLearning #NLP #Analytics #AI #100DaysOfCode #DEVCommunity #DevOps #IoT #Serverless #5G #Womenintech #DataScience #WomenWhoCode #QuBit #Coding #Programming #BigData #R #Bicep #Python #Java</t>
  </si>
  <si>
    <t>https://www.datacamp.com/community/tutorials/deep-learning-python</t>
  </si>
  <si>
    <t>https://pbs.twimg.com/media/Eu5HCl6XYAEyk6D.jpg</t>
  </si>
  <si>
    <t>Sébastien Bourguignon</t>
  </si>
  <si>
    <t>[#Innovation] This shoe could stop people falling over! via @UNILADTECH #AI #MachineLearning #Engineering @labordeolivier @kalydeoo @FrRonconi @pascal_bornet @ShiCooks @mvollmer1 @haroldsinnott @Damien_CABADI @diioannid @Fabriziobustama @GlenGilmore @enricomolinari</t>
  </si>
  <si>
    <t>pic.twitter.com/bxvyF3usWF</t>
  </si>
  <si>
    <t>🚀 #PortraitDeStartuper #Innovation #Digital #TransfoNum #Startup #Blockchain #Tech | CEO @chainguru_io | Directeur Conseil @SopraSteria_fr</t>
  </si>
  <si>
    <t>http://sebastienbourguignon.com</t>
  </si>
  <si>
    <t>Machine Learning Concepts and Application of ML using Python Apply machine learning techniques on real 🕸️🕸️  #DataScience #MachineLearning #IoT #IIoT #Python #RStats #CloudComputing #Serverless #Linux #Coding #100DaysofCode #100DaysOfMLCode #udemy</t>
  </si>
  <si>
    <t>https://bit.ly/2ZgRP7u</t>
  </si>
  <si>
    <t>https://pbs.twimg.com/media/Eu5Fv3pVEAIaczq.jpg</t>
  </si>
  <si>
    <t>PropertyQuants</t>
  </si>
  <si>
    <t>As seen on CREtech - join our seminar Mar 9 &amp; 10.  #DataScience #BigData #MachineLearning #DigitalTransformation #DataAnalytics #realestate #proptech @DiscoverCREtech #innovation #property @propmodo @Colliers @techstars #AI #seminar</t>
  </si>
  <si>
    <t>https://www.cretech.com/directory/company/propertyquants/press-release/seminar-what-you-need-to-know-to-successfully-lead-a-data-science-data-analytics-or-digital-transfor</t>
  </si>
  <si>
    <t>https://pbs.twimg.com/media/Eu5Fe1SVkAQkAeZ.jpg</t>
  </si>
  <si>
    <t>Bringing Quantitative Investment Strategies to Global Real Estate</t>
  </si>
  <si>
    <t>From Text to Knowledge: The Information Extraction Pipeline. … #MachineLearning #Python #IoT #flutter #100DaysOfMLCode #AI #javascript #womenwhocode #RStats #Serverless #CodeNewbie #DataScience #100DaysOfCode RT @SourabhSKatoch: From books to presentations in 10s with AR + ML(AR Cut &amp; Paste). Code:  #Python #programming #100DaysOfCode #IoT #MachineLearning #DeepLearning #100DaysOfMLCode #AI #javascript #womenwhocode #RStats #Serverless #CodeNewbie #DataScience #DEVCommunity</t>
  </si>
  <si>
    <t>http://towardsdatascience.com/from-text-to-k
https://twitter.com/sourabhskatoch/status/1293376911717085192
https://github.com/cyrildiagne/ar-cutpaste/tree/clipboard</t>
  </si>
  <si>
    <t>pic.twitter.com/qYkwgtCiuJ</t>
  </si>
  <si>
    <t>shaif uddin</t>
  </si>
  <si>
    <t>I just registered for the course “Data Analysis with Python: Zero to Pandas” with @JovianML #DataScience #MachineLearning</t>
  </si>
  <si>
    <t>https://jovian.ai/learn/data-analysis-with-python-zero-to-pandas</t>
  </si>
  <si>
    <t>Chittagong, Bangladesh</t>
  </si>
  <si>
    <t>Salesforce to IBM Watson Machine Learning Integration  #MachineLearning</t>
  </si>
  <si>
    <t>https://www.cloudcreations.com/integration/ibm-watson-machine-learning/</t>
  </si>
  <si>
    <t>Techved TV</t>
  </si>
  <si>
    <t>Watch 👀 Machine Learning Episode 03 &amp; know its Predefined Laws &amp;amp; Statistics ⚖️ 👉 This episode creates awareness about how certain statistics &amp;amp; equations are vital and critical for great benefits. 👀Link-  #MachineLearning #Statistics #benefits #awareness</t>
  </si>
  <si>
    <t>https://bit.ly/3bvYdNZ</t>
  </si>
  <si>
    <t>https://pbs.twimg.com/media/Eu5BQ2yVcAArcID.jpg</t>
  </si>
  <si>
    <t>Techved TV - The Digital , Innovative &amp; Informative "Series Of Knowledge".</t>
  </si>
  <si>
    <t>https://www.techved.com/tv/</t>
  </si>
  <si>
    <t>Machine Learning For Absolute Beginners: A Plain English Introduction Link -  #MachineLearning #100DaysOfCode #CodeNewbies #WomenWhoCode #DEVCommunity #DevOps #SoftwareEngineering #DeepLearning #DataScience #ArtificialIntelligence #programming</t>
  </si>
  <si>
    <t>https://amzn.to/3kqwFxL</t>
  </si>
  <si>
    <t>Advatera</t>
  </si>
  <si>
    <t>Meet Salvador Perez Crespo, Senior Technology Expert – Machine learning – Innovation strategy at Telefónica at the Digital Leadership Forum 2021 - Online Edition, 15+16 March. Sign up now:  #digital #leadership #communications #AI #machinelearning</t>
  </si>
  <si>
    <t>https://www.advatera.com/en/digital-leadership-forum-sign-up/</t>
  </si>
  <si>
    <t>https://pbs.twimg.com/media/Eu5EWhDWQAEuCi_.jpg</t>
  </si>
  <si>
    <t>Facilitating knowledge sharing meetings around digital internal and external communication. Moderated by Volker Grünauer. Imprint: http://www.advatera.com/about</t>
  </si>
  <si>
    <t>http://www.advatera.com</t>
  </si>
  <si>
    <t>🔰The_Last_Crusaderr🔰 | 🧑‍💻</t>
  </si>
  <si>
    <t>Most common learning scenarios in Machine Learning- 👉Supervised 👉Unsupervised 👉Semi-supervised 👉Transductive inference 👉On-line 👉Reinforcement 👉Active What did I miss?🤔 Happy Coding❤️ #coding #love #MachineLearning #javascript #100DaysOfCode #Python #DataScience #ai</t>
  </si>
  <si>
    <t>👉 Software Engineer🧑‍💻 || Often,contribute to Open Source🧠 || Tweet about web-development, machine learning. 🐾|| Coding-Wisdom👊 || Seeking discomfort 👻</t>
  </si>
  <si>
    <t>Kevin Derman</t>
  </si>
  <si>
    <t>A great way to leverage AI is via chatbot technology. Let  show you how we can enable your business for 24/7 customer availability. #ai #machinelearning #digitaltransformation</t>
  </si>
  <si>
    <t>http://Kaskade.cloud
https://lnkd.in/e9xtwhu</t>
  </si>
  <si>
    <t>Johannesburg</t>
  </si>
  <si>
    <t>All things #Cloud and #technology, CEO http://Kaskade.cloud, Human Potentiologist, Cloud Over Africa Podcaster, Keynote Speaker.</t>
  </si>
  <si>
    <t>http://www.kevinderman.com</t>
  </si>
  <si>
    <t>Anoushk</t>
  </si>
  <si>
    <t>Rick speaks the truth😂 #code #coding #javascript #python #datascience #programming #programmer #100daysofcode #webdev #webdevelopment #php #linux #css #programmingmemes #codinglife #codingpics #programmingjokes #java #ide #machinelearning #AI #virtualreality #rickandmorty</t>
  </si>
  <si>
    <t>https://pbs.twimg.com/media/Eu5D8dlXUAUKV6V.jpg</t>
  </si>
  <si>
    <t>Goa,🇮🇳</t>
  </si>
  <si>
    <t>16y/o Self taught dev making apps📱w/ #flutter⚡️and #firebase🔥• Aspiring tech #entrepreneur • DeFi NFTs @ethereum • Startups🚀 • Learning #machinelearning🤖</t>
  </si>
  <si>
    <t>https://anoushk.substack.com/</t>
  </si>
  <si>
    <t>Self solved Rubik's Cube! #AI #MachineLearning #IoT @Rubiks_Official @SpirosMargaris @PawlowskiMario @mvollmer1 @Fabriziobustama @gvalan @ipfconline1 @ShiCooks @helene_wpli @diioannid @Ym78200 @kalydeoo @Nicochan33 @3itcom @sallyeaves @DeepLearn007</t>
  </si>
  <si>
    <t>Feat Systems Pvt Ltd</t>
  </si>
  <si>
    <t>The power of the #hyperintelligent #platformtechnology is the fastest and most efficient way for end-to-end #automation. #businesprocessautomation #artificialintelligence #RPA #roboticprocessautomation #machinelearning #chatbot #OCR #opticalcharacterrecognition #BPM #Analytics</t>
  </si>
  <si>
    <t>pic.twitter.com/mAhqMNxdkI</t>
  </si>
  <si>
    <t>We are on a mission to transform and simplify human being's life at work by creating agile and resilient hyper-intelligent automation solutions.</t>
  </si>
  <si>
    <t>http://www.featsystems.com</t>
  </si>
  <si>
    <t>Artificial Intelligence in IoT Sees Gains but Talent’s a Hurdle  #IoT #Artificalintelligence #MachineLearning #QAcycle</t>
  </si>
  <si>
    <t>https://bit.ly/32fscGg</t>
  </si>
  <si>
    <t>https://pbs.twimg.com/media/Eu5DbJkVIAEJl4F.png</t>
  </si>
  <si>
    <t>Machine Learning for Absolute Beginners - Level 2  #machinelearning #ad</t>
  </si>
  <si>
    <t>https://zpy.io/176309ad</t>
  </si>
  <si>
    <t>Car Repair with Google:  #MachineLearning #CarRepair #Internet #HowTo #ArtificialIntelligence</t>
  </si>
  <si>
    <t>https://medium.com/ai-in-plain-english/car-repair-with-google-b4007e8deb12</t>
  </si>
  <si>
    <t>https://bit.ly/37zMzR5</t>
  </si>
  <si>
    <t>https://pbs.twimg.com/media/Eu5CzmXWQAEuAxq.jpg</t>
  </si>
  <si>
    <t>Machine Learning Courses Market Comprehensive Insights and Future Growth Potential -  #machinelearning #intoAInews</t>
  </si>
  <si>
    <t>https://neurons.ai/blog/news-stories/machine-learning-courses-market-comprehensive-insights-and-future-growth-potential-by/</t>
  </si>
  <si>
    <t>IIIT Hyderabad Offers Certificate Online Course on Artificial Intelligence and -  #machinelearning #intoAInews</t>
  </si>
  <si>
    <t>https://neurons.ai/blog/news-stories/iiit-hyderabad-offers-certificate-online-course-on-artificial-intelligence-and-machine-learning/</t>
  </si>
  <si>
    <t>Feature Importance in Machine Learning Models | by Zito Relova | Feb, 2021 | -  #machinelearning #intoAInews</t>
  </si>
  <si>
    <t>https://neurons.ai/blog/news-stories/feature-importance-in-machine-learning-models-by-zito-relova-feb-2021-towards-data-science/</t>
  </si>
  <si>
    <t>Master Machine Learning: Simple Linear Regression From Scratch With Python | by -  #machinelearning #intoAInews</t>
  </si>
  <si>
    <t>https://neurons.ai/blog/news-stories/master-machine-learning-simple-linear-regression-from-scratch-with-python-by-dario-radecic/</t>
  </si>
  <si>
    <t>Data Monster</t>
  </si>
  <si>
    <t>Will Machine Learning Play a Vital Role in 2018 for Big Data? #MachineLearning  #ArtificialIntelligence</t>
  </si>
  <si>
    <t>https://www.engineeringbigdata.com/will-machine-learning-play-vital-role-2018-big-data/</t>
  </si>
  <si>
    <t>CO | DE | D.C. | NC</t>
  </si>
  <si>
    <t>Johns Hopkins Alumni | I do not give advice. Do your own DD and trade wisely. #Trading #Stocks #TechnicalAnalysis</t>
  </si>
  <si>
    <t>http://www.engineeringbigdata.com</t>
  </si>
  <si>
    <t>Seeing Machines</t>
  </si>
  <si>
    <t>Naturalistic driving data underpins our world-leading DMS technology algorithms. With over 6 billion kms of data, our AI has unrivalled understanding of #human behaviour. #seeingmachines #safety #machinelearning #drivermonitoringsystem</t>
  </si>
  <si>
    <t>pic.twitter.com/1S5UftfUWr</t>
  </si>
  <si>
    <t>Seeing Machines provides operator monitoring &amp; intervention sensing technologies &amp; services for the automotive, mining, transport &amp; aviation industries.</t>
  </si>
  <si>
    <t>http://www.seeingmachines.com</t>
  </si>
  <si>
    <t>Kosinski's Latest Paper Claims 'Facial Recognition Technology Can Expose Political Orientation From Naturalistic Facial Images'  via @Marktechpost #AI #MachineLearning #AIEthics #DeepLearning Cc @jblefevre60 @DeepLearn007 @MiaD @DrJDrooghaag @hessiejones</t>
  </si>
  <si>
    <t>https://www.marktechpost.com/2021/01/16/kosinskis-latest-paper-claims-facial-recognition-technology-can-expose-political-orientation-from-naturalistic-facial-images/</t>
  </si>
  <si>
    <t>https://pbs.twimg.com/media/Eu5B53IXEAAMMss.png</t>
  </si>
  <si>
    <t>LeMagIT</t>
  </si>
  <si>
    <t>Le machine learning devient la priorité de nombreuses entreprises. Elles veulent modéliser d’importants volumes de données. Le choix de l'algorithme dépend des objectifs à atteindre et de la maturité de votre équipe de Data Science. #machinelearning #AIOps</t>
  </si>
  <si>
    <t>https://bit.ly/2LG3fhC</t>
  </si>
  <si>
    <t>Paris, Ile-de-France</t>
  </si>
  <si>
    <t>Toute l’information #IT pour l’entreprise : #Cloud #BigData #Cybersecurity #OpenSource #Digital @ValeryMarchive @cyrillechausson @philipducellier</t>
  </si>
  <si>
    <t>http://www.lemagit.fr/</t>
  </si>
  <si>
    <t>Hopsworks</t>
  </si>
  <si>
    <t>An easy explanation what #MachineLearning is😅</t>
  </si>
  <si>
    <t>https://pbs.twimg.com/media/Eu5B4fWXYAQL3YX.jpg</t>
  </si>
  <si>
    <t>Palo Alto / Stockholm / London</t>
  </si>
  <si>
    <t>http://Hopsworks.ai is an open source end-to-end ML platform for the development and operation of ML pipelines at scale with a Feature Store. Github: http://bit.ly/Hopsworks</t>
  </si>
  <si>
    <t>https://www.hopsworks.ai/feature-store</t>
  </si>
  <si>
    <t>Program to identify sarcastic sentences in Natural Language Processing #MachineLearning</t>
  </si>
  <si>
    <t>https://pbs.twimg.com/media/Eu30uGQUYAMyIOH.jpg</t>
  </si>
  <si>
    <t>Big Data, Genes, and Medicine  #machinelearning #ad</t>
  </si>
  <si>
    <t>https://zpy.io/4c2249b4</t>
  </si>
  <si>
    <t>Allsoft Solution and Services Pvt Ltd.</t>
  </si>
  <si>
    <t>Machine learning is a method of data analysis that automates analytical model building. It can learn from data, identify patterns and make decisions with minimal human intervention. Website :-  #MachineLearning #allsoft #ibm #internships #training #ml</t>
  </si>
  <si>
    <t>https://www.allsoftsolutions.in/</t>
  </si>
  <si>
    <t>https://pbs.twimg.com/media/Eu4_0yRUYAQUaQv.jpg</t>
  </si>
  <si>
    <t>E-39 Opp. CDAC PH-8, Mohali</t>
  </si>
  <si>
    <t>Allsoftsolution offers the best services at affordable prices such as Cloud Computing, mobile app, custom web designing, AWS, &amp; Development. Get free estimates</t>
  </si>
  <si>
    <t>Machine Learning Engineering Link -  #MachineLearning #100DaysOfCode #CodeNewbies #WomenWhoCode #DEVCommunity #DevOps #Robotics #DeepLearning #DataScience #AI #ArtificialIntelligence #SoftwareEngineering #programming</t>
  </si>
  <si>
    <t>https://amzn.to/2ZGcySn</t>
  </si>
  <si>
    <t>Machine Learning India</t>
  </si>
  <si>
    <t>10 things I wish I had done less when I started my data career' - Eric Weber on LinkedIn. What do you wish you had done less? 🤔 #data #datascience #bigdata #machinelearning</t>
  </si>
  <si>
    <t>https://pbs.twimg.com/media/Eu5AP61VkAQZcFi.jpg</t>
  </si>
  <si>
    <t>We're a community of over 400,000 passionate technologists. 🇮🇳 #machinelearning #artificialintelligence</t>
  </si>
  <si>
    <t>http://Instagram.com/ml.india</t>
  </si>
  <si>
    <t>Abhijeet Ajoynil</t>
  </si>
  <si>
    <t>In a video interview with Information Security Media Group (ISMG) , @David Stewart, the Director, Fraud and Security Practice - Banking for SAS , discusses: - What next-gen #AML means for regulated entities; - The role of #machinelearning and other emerg…</t>
  </si>
  <si>
    <t>https://lnkd.in/gNRKXP8</t>
  </si>
  <si>
    <t>Global Strategic Account Manager @ ISMG.IO world leader in #Cybersecurity #InformstionSecurity #Risk #Compliance related news, views, education &amp; content</t>
  </si>
  <si>
    <t>http://www.ismg.io</t>
  </si>
  <si>
    <t>Machine Learning as a Service (MlaaS) Market 2021 Industry Analysis by Application, Emerging Trends, Strategic Analysis and Business Opportunities till 2026 - NY Market Reports  #machinelearning #ai #technology</t>
  </si>
  <si>
    <t>http://dlvr.it/RtHHQ8</t>
  </si>
  <si>
    <t>Veracitiz Solutions</t>
  </si>
  <si>
    <t>Check out all these Machine Learning Algorithms in One Pic! via @TheInsaneApp #MachineLearning #ML #100DaysOfMLCode #Algorithms @meisshaily @bobehayes @gp_pulipaka @Ronald_vanLoon @marcusborba @kdnuggets @MotorcycleTwitt @THEAdamGabriel @gerald_bader @rudyagovic @RitupaGhosh</t>
  </si>
  <si>
    <t>https://pbs.twimg.com/media/Eu4_1D1XYAExB5g.jpg</t>
  </si>
  <si>
    <t>Veracitiz, a company specialized in implementing enterprise management solutions in planning, budgeting &amp; forecasting on IBM Cognos Solutions</t>
  </si>
  <si>
    <t>https://www.veracitiz.com/</t>
  </si>
  <si>
    <t>Demi 👽</t>
  </si>
  <si>
    <t>Machine learning has extensive backgrounds in pretty much anything anyone can and wants to apply it to #MachineLearning #BigData</t>
  </si>
  <si>
    <t>06:54:13 -23:55:41</t>
  </si>
  <si>
    <t>IT Support Specialist #GameDev #NiteVoice #SaddleLite #SciComm #AcademicTwitter #Astrophysics #FinTech</t>
  </si>
  <si>
    <t>http://demetrius.dev</t>
  </si>
  <si>
    <t>Kush</t>
  </si>
  <si>
    <t>Day 28 : Learned about different ways to handle outliers in a large data set and how 'Mean', 'Variance' and 'Standard Deviation' plays a role in handling outliers #66daysofdata #MachineLearning #dataengineering</t>
  </si>
  <si>
    <t>Data Science Enthusiastic | Automation Expert | Lifelong Learner</t>
  </si>
  <si>
    <t>itvibes.com.au</t>
  </si>
  <si>
    <t>Debunking the top myths about #AI @Gartner_IT  #Artificialintelligence #machinelearning #automation #ITStrategy</t>
  </si>
  <si>
    <t>https://itvibes.com.au/6-ai-myths-debunked/</t>
  </si>
  <si>
    <t>IT News and Insights for Australian businesses</t>
  </si>
  <si>
    <t>https://www.itvibes.com.au</t>
  </si>
  <si>
    <t>Álvaro Macías Vivas</t>
  </si>
  <si>
    <t>▶️ #Analytics #MachineLearning #AI #Python #Rstats #Reactjs #IoT #IIoT #BigData #ML #NLP #fintech #Linux #serverless #flutter #Coding #SelfDrivingCars #AV #SmartCity #CloudComputing #Coding #javascript #100DaysOfCode #ISACFCA #AlvaroMacias RT @Analytics_699: Probabilistic Collision Detection ▶️ #Analytics #MachineLearning #AI #Python #Rstats #Reactjs #IoT #IIoT #BigData #ML #NLP #fintech #Linux #serverless #flutter #Coding #SelfDrivingCars #AV #SmartCity #CloudComputing #Coding #javascript #100DaysOfCode</t>
  </si>
  <si>
    <t>https://twitter.com/Analytics_699/status/1351963402520838145
https://bit.ly/38ZmjAw</t>
  </si>
  <si>
    <t>pic.twitter.com/1nPDmqItsl</t>
  </si>
  <si>
    <t>Guayaquil, Ecuador</t>
  </si>
  <si>
    <t>Guayaquileño creyente de que la clave del éxito se llama decisión.</t>
  </si>
  <si>
    <t>http://facebook.com/alvaro.sebastian.macias</t>
  </si>
  <si>
    <t>Computer Vision : Best Ever Explained #ArtificialIntelligence #learning #machinelearning via</t>
  </si>
  <si>
    <t>http://twinybots.ch
https://writex.today/artificial-intelligence/computer-vision-best-ever-explained-2/</t>
  </si>
  <si>
    <t>What it's like to be a data scientist? An event for graduates and aspiring data scientists. Learn what it's like to be a data scientist and how to become one! About this Event  #AI #DataScience #MachineLearning #blockchain</t>
  </si>
  <si>
    <t>https://www.eventbrite.co.uk/e/what-its-like-to-be-a-data-scientist-tickets-136944090461?aff=ebdsoporgprofile</t>
  </si>
  <si>
    <t>✌🏻#MachineLearning #AI #100DaysOfCode #DEVCommunity #IoT #flutter #Python #javascript #Serverlestech #cybersecurity #RStats #CodeNewbie #DataScience #ISACFCA #AlvaroMacias RT @SourabhSKatoch: Sign Language Detection in Real-Time on Raspberry Pi using OpenCV AI Kit - Trained with Roboflow. #MachineLearning #AI #100DaysOfCode #DEVCommunity #IoT #flutter #Python #javascript #Serverless #womenintech #cybersecurity #RStats #CodeNewbie #DataScience</t>
  </si>
  <si>
    <t>https://twitter.com/SourabhSKatoch/status/1360146876121583617</t>
  </si>
  <si>
    <t>pic.twitter.com/NKJ3LbYW88</t>
  </si>
  <si>
    <t>Vitti AI</t>
  </si>
  <si>
    <t>Types of AI Based on ability &amp; functionality #artificialintelligence #ai #machinelearning #technology #datascience #deeplearning #python #programming #robotics #tech #coding #bigdata #iot #computerscience #innovation #data #dataanalytics #datascientist #robot #automation #ml</t>
  </si>
  <si>
    <t>https://pbs.twimg.com/media/Eu494wNVkAA0xlJ.jpg</t>
  </si>
  <si>
    <t>Vitti House, New Delhi 110005</t>
  </si>
  <si>
    <t>Vitti is India's First AI Exchange (AIX) for Research, Education and Product development.</t>
  </si>
  <si>
    <t>http://www.vittiai.com</t>
  </si>
  <si>
    <t>#DRONES #ROBOTICS:Researchers..led by #LONDON #STARTUP..have developed #drone that could cast light in darkness. *can enter mine through borehole not much larger than football,before unfurling its arms and flying around void  #AI #LiDAR #Machinelearning</t>
  </si>
  <si>
    <t>https://spectrum.ieee.org/automaton/robotics/drones/folding-drone-can-drop-into-inaccessible-mines</t>
  </si>
  <si>
    <t>https://pbs.twimg.com/media/Eu49dqjXcAAycXM.jpg</t>
  </si>
  <si>
    <t>👌🏻 #Python #programming #100DaysOfCode #IoT #MachineLearning #DeepLearning #100DaysOfMLCode #AI #javascript #whocode #RStats #Serverless #CodeNewbie #DataScience #DEVCommunity #ISACFCA #AlvaroMacias RT @SourabhSKatoch: From books to presentations in 10s with AR + ML(AR Cut &amp; Paste). Code:  #Python #programming #100DaysOfCode #IoT #MachineLearning #DeepLearning #100DaysOfMLCode #AI #javascript #womenwhocode #RStats #Serverless #CodeNewbie #DataScience #DEVCommunity</t>
  </si>
  <si>
    <t>https://twitter.com/SourabhSKatoch/status/1293376911717085192
https://github.com/cyrildiagne/ar-cutpaste/tree/clipboard</t>
  </si>
  <si>
    <t>Edapt</t>
  </si>
  <si>
    <t>NASA reveals video of preserverance's landing on mars Follow us for daily updates Victory hand  #NASAPerseverance #NASA #mars2021 #MarsLanding #space #spaceexploration #ArtificialIntelligence #MachineLearning #edpat #edaptlearningapp</t>
  </si>
  <si>
    <t>http://onelink.to/ymurw6</t>
  </si>
  <si>
    <t>https://pbs.twimg.com/media/Eu48DshVgAAhVTA.jpg</t>
  </si>
  <si>
    <t>Futuristic learning platform for information seekers and learners of all Get our app👇 http://linktr.ee/edapt.me #ElearningApp #OnlineSchool #OnlineStudentMentoring</t>
  </si>
  <si>
    <t>http://Edapt.me</t>
  </si>
  <si>
    <t>Teksands.ai</t>
  </si>
  <si>
    <t>Best #MachineLearning #Books- Scripting Your Own Space Odyssey Read more -  #machinelearningcourse #programming #pythontutorial #courses #programmingcourses #onlinecourses #livecourses #ArtificialIntelligenceLiveCourse #learnyst #teksands</t>
  </si>
  <si>
    <t>https://teksands.ai/article/best-machine-learning-books-scripting-your-own-space-odyssey/</t>
  </si>
  <si>
    <t>https://pbs.twimg.com/media/Eu48dEkVIAAQsU-.jpg</t>
  </si>
  <si>
    <t>Teksands is an EdTech startup focused towards #MachineLearning, #DataScience, #ArtificialIntelligence and other related and contemporary technologies</t>
  </si>
  <si>
    <t>https://teksands.ai/</t>
  </si>
  <si>
    <t>Artificial Intelligence and #Bias: The Buck Stops (W)here  #fintech #insurtech #AI #ArtificialIntelligence #MachineLearning #DeepLearning #BigData @analyticsinme #futureofwork</t>
  </si>
  <si>
    <t>https://buff.ly/3umXaZp</t>
  </si>
  <si>
    <t>https://pbs.twimg.com/media/Eu48ZmpWgAMObue.jpg</t>
  </si>
  <si>
    <t>Sergy Alpin</t>
  </si>
  <si>
    <t>38. Feusseen est to sinsentes - Die Fliege versucht, die Diener zu schwächen. (Albert Ongeben), - #AI heute. #ArtificialIntelligence #MachineLearning #DataScience</t>
  </si>
  <si>
    <t>"Ich bleibe bei meiner These, daß die Frage der Einigung Europas eine Frage von Krieg und Frieden im 21. Jahrhundert ist."</t>
  </si>
  <si>
    <t>http://www.alpins.de</t>
  </si>
  <si>
    <t>Great List for Python Libraries and Packages!  #MachineLearning #NLP #Analytics #AI #100DaysOfCode #DEVCommunity #DevOps #IoT #Serverless #5G #Womenintech #DataScience #WomenWhoCode #QuBit #Coding #Programming #BigData #R #Bicep #Python #Java</t>
  </si>
  <si>
    <t>https://www.ubuntupit.com/best-python-libraries-and-packages-for-beginners/</t>
  </si>
  <si>
    <t>pic.twitter.com/BCRXv00aW3</t>
  </si>
  <si>
    <t>Space Render 1.0: Artificial Intelligence in 3D Animation  #machinelearning #ad</t>
  </si>
  <si>
    <t>https://zpy.io/26895e2e</t>
  </si>
  <si>
    <t>Remove #backend complexity: #VOLTMX #webdesign #userexperience #CX #AR #VR #voicechat #AI #cybersecurity #devops #Tech #digitaltransformation #bot #codenewbie #iot #machinelearning #Python #flutter #womenintech #mobileapp #100DaysofCode #lowcode #nocode</t>
  </si>
  <si>
    <t>https://via.socxo.net/MR3KFQwS0aYiw</t>
  </si>
  <si>
    <t>Technological Naïveté, the Abyss &amp; Future Building The digital fallout following the siege on the capital shows we are not keeping up with the pace of technological change  by @natolambert #AIEthics #AI #MachineLearning Cc @psb_dc @Nicochan33 @MiaD</t>
  </si>
  <si>
    <t>https://democraticrobots.substack.com/p/technological-navet-the-abyss-and</t>
  </si>
  <si>
    <t>https://pbs.twimg.com/media/Eu47QRCXEAAUhzN.jpg</t>
  </si>
  <si>
    <t>Introduction to Machine Learning for Absolute Beginners - Analytics Vidhya  #DL #AI #ML #DeepLearning #ArtificialIntelligence #MachineLearning #ComputerVision #AutonomousVehicles #NeuroMorphic #Robotics</t>
  </si>
  <si>
    <t>https://buff.ly/3jZjwLA</t>
  </si>
  <si>
    <t>What is the difference between Type I vs Type II error? #MachineLearning #AI #learnmachinelearning #themlguru</t>
  </si>
  <si>
    <t>Verinite</t>
  </si>
  <si>
    <t>[ #Tech] FinTech: How AI is Improving This Industry  #Innovation #Fintech #Banking #FinServ #AI #MachineLearning #BigData #DataAnalytics #Cloud #RPA #NLP #Chatbots #VoiceFirst</t>
  </si>
  <si>
    <t>https://bit.ly/39NegX0</t>
  </si>
  <si>
    <t>https://pbs.twimg.com/media/Eu47CawXMAE5SOG.jpg</t>
  </si>
  <si>
    <t>UK, India</t>
  </si>
  <si>
    <t>Verinite is a Consulting and IT services company catering to the clients in banking domain. The core domain expertise is in cards, payments and retail banking</t>
  </si>
  <si>
    <t>http://verinite.com</t>
  </si>
  <si>
    <t>atentec</t>
  </si>
  <si>
    <t>AtenTEC uses #technologies, #ArtificialIntelligence, and #DataMining and debugging #techniques with advanced #softwaresolutions compatible with #MachineLearning</t>
  </si>
  <si>
    <t>https://atentec.com</t>
  </si>
  <si>
    <t>https://pbs.twimg.com/media/EuhXQTuXEAEkGNf.jpg</t>
  </si>
  <si>
    <t>Egypt</t>
  </si>
  <si>
    <t>We help companies and organizations adopt modern business software and technologies. Help them grow and scale up their business. Provide more effective services</t>
  </si>
  <si>
    <t>https://www.atentec.com/</t>
  </si>
  <si>
    <t>Hologram/Holographic🥳 #Robotics #technology #techgadgets #MachineLearning #YapayZeka</t>
  </si>
  <si>
    <t>pic.twitter.com/gFrEmloiCK</t>
  </si>
  <si>
    <t>https://ift.tt/2MfKsuj</t>
  </si>
  <si>
    <t>Data Science Projects done by Anu using Bokeh and Pandas lib as part of week 6 STEAM Challenge. Well done! #100DaysOfCode #python #GirlsWhoDesign #GirlsWhoCode #machinelearning #coding #m2mtechbytes #DataScience #DataAnalysis #100DaysOfDesign #designthinking</t>
  </si>
  <si>
    <t>pic.twitter.com/7SWnLJSof0</t>
  </si>
  <si>
    <t>MIRANDA</t>
  </si>
  <si>
    <t>#AI #ArtificialIntelligence #ML #MachineLearning #MIRANDA</t>
  </si>
  <si>
    <t>https://pbs.twimg.com/media/Euw-BBLXIAMa9fN.png</t>
  </si>
  <si>
    <t>I am MIRANDA - a friendly AI with a human touch #AI #ArtificialIntelligence</t>
  </si>
  <si>
    <t>http://mainly.fun</t>
  </si>
  <si>
    <t>Emil Koutanov ꙮ</t>
  </si>
  <si>
    <t>There is so much data in the world, and it just keeps flooding in, it now looks like companies are targeting those who can engineer that data more than those who can only model the data.  #dataengineering #DataScience #ml #MachineLearning #tech</t>
  </si>
  <si>
    <t>https://www.kdnuggets.com/2021/02/dont-need-data-scientists-need-data-engineers.html</t>
  </si>
  <si>
    <t>Consulting software architect, an engineer, and a dad. Also an avid blogger and storyteller. Maintainer of Kafdrop and author of Effective Kafka. 🇦🇺</t>
  </si>
  <si>
    <t>https://apachekafkabook.com</t>
  </si>
  <si>
    <t>Global Cooperation &amp; #Guidelines Will Let Countries Use #AIForGood  #fintech #BigData #ArtificialIntelligence #MachineLearning #DeepLearning @analyticsinme</t>
  </si>
  <si>
    <t>https://buff.ly/2ZEkCTR</t>
  </si>
  <si>
    <t>https://pbs.twimg.com/media/Eu45m8YXAAIBg8z.jpg</t>
  </si>
  <si>
    <t>ispma_india</t>
  </si>
  <si>
    <t>Taking us into his world of animation, academy award winner Parag Havaldar will deliver this sensational talk in our SPM Summit India 2021! Registration:  #prodmgmt #productmanager #MachineLearning #ArtificialIntelligence #digitaltech</t>
  </si>
  <si>
    <t>https://lnkd.in/ggXFbxY</t>
  </si>
  <si>
    <t>https://pbs.twimg.com/media/Eu41iCLVgAA_b4x.jpg</t>
  </si>
  <si>
    <t>India Chapte of ISPMA, is a vibrant community of product management experts from industry &amp; academia.</t>
  </si>
  <si>
    <t>http://www.ispma.org/india</t>
  </si>
  <si>
    <t>Patrick Rotzetter</t>
  </si>
  <si>
    <t>TechTalks: How reinforcement learning chooses the ads you see. #machinelearning #ReinforcementLearning</t>
  </si>
  <si>
    <t>IT professional, interested in #fintech and #wealthtech, #machinelearning #ai, #deeplearning, #blockchain, MSc ETH https://www.linkedin.com/in/rotzetter</t>
  </si>
  <si>
    <t>https://community-z.com/communities/theappliedaicommunity</t>
  </si>
  <si>
    <t>200+ Machine Learning Interview Questions and Answer for 2021  #MachineLearning</t>
  </si>
  <si>
    <t>https://www.mygreatlearning.com/blog/machine-learning-interview-questions/</t>
  </si>
  <si>
    <t>IT Audit / Turkish Court of Accounts</t>
  </si>
  <si>
    <t>AI is increasingly informing business decisions but can be misused if executives stick with old decision-making styles. #ArtificialIntelligence #machinelearning #AI #ML #EmergingTech</t>
  </si>
  <si>
    <t>https://hbr.org/2021/02/when-should-you-use-ai-to-solve-problems</t>
  </si>
  <si>
    <t>IT Audit Group / Turkish Court of Accounts - TCA</t>
  </si>
  <si>
    <t>The Next Web: Microsoft is adding AI-powered text predictions to Word. #nlp #machinelearning</t>
  </si>
  <si>
    <t>Junaid Farid Khan</t>
  </si>
  <si>
    <t>New Report Shows #Marketers Lack the Education, Training to Effectively Adopt #ArtificialIntelligence  #AI #MachineLearning #technology #Innovation #digital #Analytics #Iot #internetofthings #cybersecurity #marketing #automation #Algorithm #data #Insights</t>
  </si>
  <si>
    <t>http://ow.ly/vu7Z50DCenX</t>
  </si>
  <si>
    <t>Marketing Manager at @AIRedaily @MEIRnews I write for @AdvisersNetwork | Social Media Expert | Google Certified Analytics Pro | Microsoft Certified Professional</t>
  </si>
  <si>
    <t>http://www.asiainsurancereview.com</t>
  </si>
  <si>
    <t>Ravi Tirumalaraju</t>
  </si>
  <si>
    <t>Distributed Artificial intelligence  @Smartrinlabs @THubHyd @Inteliot @Qualcomm @iesaonline @MosChipTech @MicronTech @NASSCOMCoEIoT @iiit_hyderabad @IITHyderabad @ISBedu #artificialintelligence #DeepLearning #MachineLearning #hyderabad</t>
  </si>
  <si>
    <t>https://tinyurl.com/y7q2trdu</t>
  </si>
  <si>
    <t>https://pbs.twimg.com/media/Eu43VIxVcAEmjzd.jpg</t>
  </si>
  <si>
    <t>Digital Leader |Solutions Specialist | #AI #Cloud| Co-Founder @SmartrinLabs |IIM-B |Ex-Honeywell /Motorola/DRDO |#EnsuresEveryThingConnected</t>
  </si>
  <si>
    <t>http://smartrin.com</t>
  </si>
  <si>
    <t>Here's what you need to know about the new #AI #ArmsRace  #fintech #ArtificialIntelligence #MachineLearning #DeepLearning #robotics #BigData #robotics @YoriKamphuis @HU_Utrecht @wef</t>
  </si>
  <si>
    <t>https://buff.ly/3dE2SjB</t>
  </si>
  <si>
    <t>https://pbs.twimg.com/media/Eu44LU6WYAkkkHC.jpg</t>
  </si>
  <si>
    <t>Get the week's most popular research papers published in #DataScience, #MachineLearning, &amp; #ArtificialIntelligence - delivered straight to your inbox every Saturday.</t>
  </si>
  <si>
    <t>https://deepai.org/this-week-in-ai</t>
  </si>
  <si>
    <t>Removing ‘The Wall’ in ML Ops #MachineLearning</t>
  </si>
  <si>
    <t>https://ai-summary.com/summary-removing-the-wall-in-ml-ops/?utm_medium=social-organic&amp;utm_source=twitter</t>
  </si>
  <si>
    <t>María Freiría</t>
  </si>
  <si>
    <t>👁‍🗨 Are Psychologists The Next Target For #AI &amp; #MachineLearning?  #COVID19 #digitalhealth #techforgood</t>
  </si>
  <si>
    <t>http://analyticsinsight.net/are-psychologi</t>
  </si>
  <si>
    <t>https://pbs.twimg.com/media/Eu43qBVXMAI8XHh.jpg</t>
  </si>
  <si>
    <t>Marketing Digital Strategy Manager apply to #AI #Art #BigData #eBusiness #eHealth #Culture #Agenda2030 #Cities #Economy #technology #trends</t>
  </si>
  <si>
    <t>https://es.linkedin.com/in/mariafreiria</t>
  </si>
  <si>
    <t>http://twinybots.ch
https://medium.com/nerd-for-tech/please-human-can-you-teach-me-how-to-ai-9b272920f16f?source=rss-------8-----------------artificial_intelligence</t>
  </si>
  <si>
    <t>Cait Doogan</t>
  </si>
  <si>
    <t>Not sure who I judge more when reviewing - my work or theirs @AcademicChatter #PhDchat #MachineLearning</t>
  </si>
  <si>
    <t>https://pbs.twimg.com/media/Eu43dlSVcAIA77F.jpg</t>
  </si>
  <si>
    <t>Melbourne, Victoria</t>
  </si>
  <si>
    <t>Researcher, data scientist and energy drink enthusiast. Comments my own and do not reflect that of my employer. RT's are an endorsement...probably.</t>
  </si>
  <si>
    <t>https://www.monash.edu/it/dsai/machine-learning/research-projects/analysis-of-social-media-for-socia</t>
  </si>
  <si>
    <t>http://twinybots.ch
http://www.globalbigdataconference.com/146229/four-predictions-for-artificial-intelligence-and-machine-learning-in-2021/industrynews-details.html</t>
  </si>
  <si>
    <t>i2tutorials</t>
  </si>
  <si>
    <t>Top 6 Classic Open-Source Computer Vision Projects. #python #machinelearning #deeplearning #computervision #CVprojects #opensource #projectideas #Imageclassication #datasets #facerecognition</t>
  </si>
  <si>
    <t>https://www.i2tutorials.com/top-6-classic-open-source-computer-vision-projects/</t>
  </si>
  <si>
    <t>Hy</t>
  </si>
  <si>
    <t>i2tutorials is providing the valuable free tutorials and low-cost Online Trainings and Webinars service for the people across the world. 😀</t>
  </si>
  <si>
    <t>Kloudq Technologies</t>
  </si>
  <si>
    <t>How #iiot works - from devices to applications. #Infographic #Tech #digitaltransformation #Industry40 #4IR #machinelearning #SmartManufacturing CC: @Ronald_vanLoon @lindagrass0 @mvollmer1 @evankirstel @HeinzVHoenen @Fabriziobustama @sbmeunier @terence_mills @IanLJones98</t>
  </si>
  <si>
    <t>https://pbs.twimg.com/media/Eu42cjWXMAEr6XP.jpg</t>
  </si>
  <si>
    <t>Kloudq Technologies is a #software organization that offers a wide array of #innovative #cloud based industrial #IoT and tailor-made #SaaS solutions.</t>
  </si>
  <si>
    <t>http://kloudq.com/</t>
  </si>
  <si>
    <t>Bacancy Technology</t>
  </si>
  <si>
    <t>Choose the Best #Python Libraries for #MachineLearning 🟡 Python language is popular in Machine Learning 🟡 Choose Python libraries for #ML #TensorFlow #NumPy #SciPy #ScikitLearn #Theano #Keras #PyTorch #Pandas #Matplotlib #Techno #Remotework</t>
  </si>
  <si>
    <t>Follow us for the latest Technology Services &amp; Solutions for Full-stack. Get free consultation to choose the right technology for startup</t>
  </si>
  <si>
    <t>https://www.bacancytechnology.com/</t>
  </si>
  <si>
    <t>Karry</t>
  </si>
  <si>
    <t>Choose the Best #Python Libraries for #MachineLearning 🟡Python language is popular in Machine Learning 🟡Choose Python libraries for #ML #TensorFlow #NumPy #SciPy #ScikitLearn #Theano #Keras #PyTorch #Pandas #Matplotlib #techno #remotework</t>
  </si>
  <si>
    <t>Google only loves you when everyone else loves you first.</t>
  </si>
  <si>
    <t>https://www.facebook.com/karry.watson.353</t>
  </si>
  <si>
    <t>Katy Slemon</t>
  </si>
  <si>
    <t>World Wide Web</t>
  </si>
  <si>
    <t>Web Development Manager at Bacancy I Email: katy.slemon@bacancytechnology.com I Skype: Bacancy or if urgent call me on +1 347 441 4161</t>
  </si>
  <si>
    <t>http://www.bacancytechnology.com/</t>
  </si>
  <si>
    <t>Patrick Saucet</t>
  </si>
  <si>
    <t>Machine learning: cette IA a mis au point la recette parfaite de pancakes. #AI #MachineLearning #food #cuisine RT @thierry_pires: Une intelligene artificielle🤖, aka "Monolith AI" élabore une recette de pancakes parfaits👌 👉les chercheurs ont demandé à leur plateforme d’analyser des centaines de recettes et leurs commentaires 🥞😉 ▫️ 🔗 ▫️ via✍️@sputnik_fr ▫️ 📌#IA #MachineLearning</t>
  </si>
  <si>
    <t>https://twitter.com/thierry_pires/status/1363869332300783616
https://fr.sputniknews.com/societe/202102221045255817-une-intelligence-artificielle-elabore-une-recette-de-pancakes-parfaits/</t>
  </si>
  <si>
    <t>https://pbs.twimg.com/media/Eu1vIZeXEAY5b2c.jpg</t>
  </si>
  <si>
    <t>Conseil et Formation en #webmarketing #digitalmarketing et #transfonum. Je tweete #Innovation, #startups #3D #bigdata #AI #IoT ##VR #AR et #growthhacking 🛠️💡🌟</t>
  </si>
  <si>
    <t>http://www.ps9-conseil.com</t>
  </si>
  <si>
    <t>Computer vision is redefining surveillance… #Vitti #ArtificialIntelligence #computervision #machinelearning #artificialintelligence #ai #deeplearning #computerscience #python #datascience #neuralnetworks #programming #technology #tech #robotics #computer #opencv #coding</t>
  </si>
  <si>
    <t>pic.twitter.com/PUsNfRb2Vj</t>
  </si>
  <si>
    <t>instance</t>
  </si>
  <si>
    <t>Avg total misclassification rate over 38 models goes to 0, nice! Next steps: Add TSP and 3-SAT.  #QuantumComputing #MachineLearning #PyTorch #QUBO #quantum #computing</t>
  </si>
  <si>
    <t>https://github.com/instance01/qubo-nn</t>
  </si>
  <si>
    <t>https://pbs.twimg.com/media/Eu41pRpXMAEl2o8.jpg</t>
  </si>
  <si>
    <t>@axiros1 @kerzenmadl Thoughts: http://blog.xa0.de/list Watch me do research !!</t>
  </si>
  <si>
    <t>https://kerzenmadl.de</t>
  </si>
  <si>
    <t>Well, that’s interesting tech</t>
  </si>
  <si>
    <t>Role of Artificial Intelligence in Financial Fraud Detection #ArtificialIntelligence #learning #machinelearning via</t>
  </si>
  <si>
    <t>Life’s too short for boring #tech. I write articles to demystifying tech one example at a time. Themes cover - #Tech4Good #AI #IOT, #5G, and other #EmergingTech</t>
  </si>
  <si>
    <t>http://wellthatsinteresting.tech</t>
  </si>
  <si>
    <t>The 4 Biggest Trends In Big Data And Analytics Right For 2021 #MachineLearning #bigdata #learning</t>
  </si>
  <si>
    <t>https://www.forbes.com/sites/bernardmarr/2021/02/22/the-4-biggest-trends-in-big-data-and-analytics-right-for-2021/</t>
  </si>
  <si>
    <t>Why B2B Startups Are the New Gold Rush For VCs #Startup #learning #machinelearning via</t>
  </si>
  <si>
    <t>http://twinybots.ch
https://www.cxotoday.com/smes-and-startups/why-b2b-startups-are-the-new-gold-rush-for-vcs/</t>
  </si>
  <si>
    <t>J-F Gregoire</t>
  </si>
  <si>
    <t>What is in store for #AI for the rest of 2021?  @ITProPortal #ArtificialIntelligence #MachineLearning #Security #CyberSecurity #DataScience #bias #Algorithms #deepfake #customerexperience #Entrepreneur #BigData</t>
  </si>
  <si>
    <t>https://bit.ly/3unEjx7</t>
  </si>
  <si>
    <t>Luxembourg</t>
  </si>
  <si>
    <t>Experienced IT professional. Passionate about Digital Disruptions, New technologies, IT Trends, Gadgets and people. Infrastructure solutions director @DellEMC</t>
  </si>
  <si>
    <t>Learning Python, 5th Edition Link -  #Python #100DaysOfCode #CodeNewbies #WomenWhoCode #DEVCommunity #DevOps #DataScience #MachineLearning #ArtificialIntelligence #programming</t>
  </si>
  <si>
    <t>https://amzn.to/3qRKJCQ</t>
  </si>
  <si>
    <t>Computer Vision : Best Ever Explained  #computervision #machinelearning #artificialintelligence #ai #deeplearning #computerscience #python #datascience #neuralnetworks #computervisionsyndrome #computerengineering #data #gaming #iot #bigdata #python</t>
  </si>
  <si>
    <t>http://shorturl.at/diCFG</t>
  </si>
  <si>
    <t>https://pbs.twimg.com/media/Eu41F0bVkAA6sZP.jpg</t>
  </si>
  <si>
    <t>amy_overflow</t>
  </si>
  <si>
    <t>So I’ve been taking the @DukeU #DataScience ‘s Intro to Machine Learning course &amp; I love how the content is structured &amp;amp; how approachable it is! #AI #MachineLearning</t>
  </si>
  <si>
    <t>Dev 👩🏻‍💻+ Admirer of clean data + Illustrator of cats + learner of machine learning. 🇨🇦🇰🇷 in 🇱🇷. All opinions are my own.</t>
  </si>
  <si>
    <t>http://github.com/amesk3</t>
  </si>
  <si>
    <t>sumit kothiyal</t>
  </si>
  <si>
    <t>With #responsibilities #burdens on our shoulders we tend to forget the #magical #hope that we are always carrying in our hands. #startup is hope and it is #magical if we have the #RIGHTTEAM formed. #product #endusers #clients #ai #machinelearning #cxtrans…</t>
  </si>
  <si>
    <t>https://lnkd.in/gCbd_tn</t>
  </si>
  <si>
    <t>#Blockchain #NextGenAI #AdvancedAnalytics #IronmanDaddy #Cricketer #Gymtrainer #SoccerPlayer #FinTech #Patriot Views are my own!!</t>
  </si>
  <si>
    <t>Er.Raj Singh 🦸</t>
  </si>
  <si>
    <t>Integrate our artificial intelligence services and create an increased and profound impact on your business! #ai #artificialintelligence #ml #machinelearning #aiforsales #predictiveanalaysis #nlp #naturallanguageprocessing</t>
  </si>
  <si>
    <t>https://pbs.twimg.com/media/Eu40y7_VcAYsj3q.jpg</t>
  </si>
  <si>
    <t>Computer Science Engineer, Artificial intelligence, python programming languages, web developer {ENGINEER} 🇮🇳🇮🇳🦸🦸👷🚴🏇🏋️🏃🏂🪐🌍🖥️💻⌨️🖨️📟📠🔌🔋🖲️🖱</t>
  </si>
  <si>
    <t>Predictly Tech Labs</t>
  </si>
  <si>
    <t>Understand clients' intentions better about your products/services from their feedback using #AI-powered intent classification models. Download the high-qualified #Data and start building effective models.  #MachineLearning #chatbot #NLP</t>
  </si>
  <si>
    <t>https://www.predictly.co/2020/10/14/dataset-for-intent-classification/</t>
  </si>
  <si>
    <t>helping companies to accelerate their AI transformation through #annotations, #datasets, #model #training, #MLOPs for #NLP and #CV</t>
  </si>
  <si>
    <t>https://www.predictly.co</t>
  </si>
  <si>
    <t>Top trends in the #AI World for 2021 and Beyond🌐🚀✨ #artificialintelligence #machinelearning #trends #data #digitaltransformation #technology #dataanalytics #python #DataScience #4IR #business #robotics #sdgs #bigdata #datascietist #100DaysOfCode #talent #leadership #innovation</t>
  </si>
  <si>
    <t>https://pbs.twimg.com/media/Eu40lNmUcAIJbJG.jpg</t>
  </si>
  <si>
    <t>AI Apparel</t>
  </si>
  <si>
    <t>AM Rain/Snow tomorrow in Toronto! Stay covered with our hoodies! See them on the website #datascience #artificialintelligence #machinelearning #ai #ml #cloudcomputing #bigdata #bigdataanalytics #analytics #fintech #neuralnetworks #hadoop #deeplearning #dnn</t>
  </si>
  <si>
    <t>https://pbs.twimg.com/media/Eu40jUkXEAAkQom.jpg</t>
  </si>
  <si>
    <t>A data scientist designing AI related clothing! Check out the store 😀</t>
  </si>
  <si>
    <t>https://teespring.com/stores/ai-apparel-3</t>
  </si>
  <si>
    <t>asdf</t>
  </si>
  <si>
    <t>#iphone12 #iphone12giveaway #apple #appleiphone12 #iphone12apple #machinelearning #100daysofcode #codenewbie #linux (Fresh) Want a nice iPhone but can't afford to pay for one? I know you've been there before. We all know</t>
  </si>
  <si>
    <t>https://pbs.twimg.com/media/Eu40eudWgAEysTc.jpg</t>
  </si>
  <si>
    <t>San Francisco</t>
  </si>
  <si>
    <t>omgxlolz</t>
  </si>
  <si>
    <t>An Introduction to #DataScience and #MachineLearning with Microsoft Excel. #BigData #Analytics #AI #IoT #IIoT #Python #RStats #TensorFlow #Java #JavaScript #ReactJS #CloudComputing #Serverless #DataScientist #Linux #Programming #Coding #100DaysofCode</t>
  </si>
  <si>
    <t>https://bit.ly/3pxilVr</t>
  </si>
  <si>
    <t>https://pbs.twimg.com/media/Eu40QEMWgAMvUXk.jpg</t>
  </si>
  <si>
    <t>Diabetes Detection via Machine Learning ▶️ #Analytics #MachineLearning #AI #Python #Rstats #Reactjs #IoT #IIoT #BigData #CloudComputing #Linux #Serverless #flutter #ML #NLP #SmartHome #javascript #mHealth #HealthIT #Coding #futureofwork #100DaysOfCode</t>
  </si>
  <si>
    <t>https://bit.ly/2NONXrV</t>
  </si>
  <si>
    <t>https://pbs.twimg.com/media/Eu40PL6VIAIvPrN.jpg</t>
  </si>
  <si>
    <t>DataTrained</t>
  </si>
  <si>
    <t>The capabilities of AI in Digital Marketing are massive. Below are the ten ways AI is revolutionizing Digital Marketing. #datascience #datatrained #artificialintelligence #digitalmarketing #internetmarketing #onlinemarketing #bigdata #technology #iot #machinelearning</t>
  </si>
  <si>
    <t>https://pbs.twimg.com/media/Eu40LeqWYAExrn9.jpg</t>
  </si>
  <si>
    <t>नोएडा, भारत</t>
  </si>
  <si>
    <t>Your Analytics Partner</t>
  </si>
  <si>
    <t>https://www.datatrained.com/</t>
  </si>
  <si>
    <t>Mark Polane, UNFSU President</t>
  </si>
  <si>
    <t>The latest MightyDutchMan®-Times!  Thanks to @BMORE_AMN @molodyko @cpettey #ai #machinelearning</t>
  </si>
  <si>
    <t>http://mightydutchman.net/?edition_id=2e2c5c30-7598-11eb-a5c8-0cc47a0d15fd</t>
  </si>
  <si>
    <t>Lots of Different Places</t>
  </si>
  <si>
    <t>A #Working4Peace Harley Ridin', Weightliftin', Music Lovin' dude. Working for #UNFSU @unfsu #Innovating4Peace #BRM. Tweets are my own, not the UN's.</t>
  </si>
  <si>
    <t>https://www.unfsu.org</t>
  </si>
  <si>
    <t>Analytics Training Institute</t>
  </si>
  <si>
    <t>Data is the king and to keep up with the #postcovid world, you have to capitalize on data using #AI #MachineLearning Know the skills required to become a #DataScientist :</t>
  </si>
  <si>
    <t>pic.twitter.com/jYAsGdYgbK</t>
  </si>
  <si>
    <t>At ATI, our commitment to enable people to build an illustrious career in Ai and ML. To learn more, contact - 18005470050</t>
  </si>
  <si>
    <t>http://linktr.ee/analyticstraininginstitute</t>
  </si>
  <si>
    <t>Vonage Developer</t>
  </si>
  <si>
    <t>💘 Valentines Day is over but love is always in the air with Ruby! In one week our #Ruby advocate @RabbiGreenberg will be speaking at Ruby Malaysia for his talk, "What's Love Got To Do With It? Ruby and Sentiment Analysis" #MachineLearning #AI #code</t>
  </si>
  <si>
    <t>https://vonage.dev/3pDA1OQ</t>
  </si>
  <si>
    <t>🇺🇸🇭🇰🇬🇧🇸🇬🌥🛰</t>
  </si>
  <si>
    <t>Your hub for developer news, events and innovations on communications APIs, libraries, SDKs and tools. From the developer relations team @Vonage. Here for you.</t>
  </si>
  <si>
    <t>https://developer.nexmo.com</t>
  </si>
  <si>
    <t>#ISRAEL #STARTUP:#ICYMI:MORE on SaaS management startup.. closed a $10 million Series A funding round. *co's system leverages #MachineLearning #ML to identify an enterprise’s active #SaaS connections</t>
  </si>
  <si>
    <t>https://www.geektime.com/israeli-startup-torii-scores-10m-to-automate-saas-management/</t>
  </si>
  <si>
    <t>https://pbs.twimg.com/media/Eu4z3fiXcAEz0lM.jpg</t>
  </si>
  <si>
    <t>Saya-Setona👨🏽‍💻🧑‍💼👩🏽‍💻🇿🇦</t>
  </si>
  <si>
    <t>Did you know that 81% of business leaders reported that they do not fully understand the data and infrastructure required for AI? #DigitalTransformation #100DaysOfCode #DataScience #BigData #automation #MachineLearning #business #BathoPele #DEVCommunity #ArtificialIntelligence</t>
  </si>
  <si>
    <t>https://pbs.twimg.com/media/Eu4z1ShXMAMLhSC.jpg</t>
  </si>
  <si>
    <t>eKasi ISP | GovTech | Wits DigiMine Researchers | SocailTech Innovator | Dell IoT OEM | AI Data Scientists | Founders of Let's Talk App | @Gov2CitizensApp🤳🏾</t>
  </si>
  <si>
    <t>https://appadvice.com/app/lets-talk-app/1445392001</t>
  </si>
  <si>
    <t>Executive Data Science  #machinelearning #ad</t>
  </si>
  <si>
    <t>https://zpy.io/8e6bfc24</t>
  </si>
  <si>
    <t>So excited about our upcoming Twitter Chat with #AIChat Host @nickhtang discussing "Closing The A.I. Skills Gap" #100DaysOfCode #data #WomenInSTEM #DataScience #training #Careers #Skills #Tech #STEM #Math #artificialintelligence #AI #machinelearning #IoT #Apple @BlackWomenInAI</t>
  </si>
  <si>
    <t>https://pbs.twimg.com/media/Eu4zNbaUUAYGJWL.jpg</t>
  </si>
  <si>
    <t>Edure</t>
  </si>
  <si>
    <t>ഔട്‍ലിയേഴ്‌സ് എങ്ങനെ ഹാൻഡിലെ ചെയ്യാം ? . . . . #edurelearning #edure #datascience #deeplearning #algorithms #machinelearning #ai #DataAnalytics #datasciencewithpython #elearning #datascientist #artificialintelligence #ml #python #statistics #outliers</t>
  </si>
  <si>
    <t>https://pbs.twimg.com/media/Eu4zaCbVcAI7JGr.jpg</t>
  </si>
  <si>
    <t>Trivandrum</t>
  </si>
  <si>
    <t>No.1 ISO 9001:2015 certified technology-oriented Data Science, Digital Marketing and Full-Stack Development training institute in Kerala with 93% placement.</t>
  </si>
  <si>
    <t>http://edure.in/</t>
  </si>
  <si>
    <t>Erling.A. Sjokvist</t>
  </si>
  <si>
    <t>4 Ways Artificial Intelligence Will Changing Consumers Insights ...  #Artificialintelligence #Startups #Trends #CustomerExperience #SmallBusinessOwners #MachineLearning #LocalBusiness #Ai #BigData @erlingasjokvist</t>
  </si>
  <si>
    <t>https://nzzl.us/srn5uqA</t>
  </si>
  <si>
    <t>https://pbs.twimg.com/media/Eu4zYxhWQAAKe0i.jpg</t>
  </si>
  <si>
    <t>Bangkok &amp; Jomtien in Thailand</t>
  </si>
  <si>
    <t>Digital Marketing. Email Marketing 2.0 | Performing Fitness Daily will Boost your Health and Business Results.</t>
  </si>
  <si>
    <t>https://www.midliferswebbusiness.com/</t>
  </si>
  <si>
    <t>The problems that fall under the domain of machine learning are- 👉Classifications 👉Clustering 👉Ranking 👉Regression 👉Manifold Learning What did I miss?🤔 Happy Coding❤️ #coding #love #MachineLearning #javascript #100DaysOfCode #Python #DataScience #ai</t>
  </si>
  <si>
    <t>See how Nvidia MapNet DNN goes beyond lane detection to read the writing on the road - Via @nvidiadrive Read/Add #SelfDrivingCars news  #driverlesscars #autonomouscars #autonomousvehicles #machinelearning #deeplearning #ml #dl #ai #computervision</t>
  </si>
  <si>
    <t>pic.twitter.com/aaHwBGQcgm</t>
  </si>
  <si>
    <t>#BottomFishing 🎣</t>
  </si>
  <si>
    <t>$DIGI | $HSSHF | #DataNavee |  I can't wait until they start announcing #NaveePredict Retail Partnerships  #BottomFishing 🎣 #ArtificialIntelligence #AI #MachineLearning #PredictiveAnalytics</t>
  </si>
  <si>
    <t>http://DataNavee.com
http://datanaveelive.wpengine.com/wp-content/uploads/2021/01/Predict-Overview.pdf</t>
  </si>
  <si>
    <t>Find the bottoms &amp; the tops will come. My opinions are mine &amp; I recommend ZERO. Do your own DD, I do. ​#BottomFishing 🎣 #PennyStocks #SmallCaps #Charts</t>
  </si>
  <si>
    <t>http://BottomFishingCharts.com</t>
  </si>
  <si>
    <t>Basics of Graph Neural Network ▶️ #Analytics #MachineLearning #AI #Python #Rstats #Reactjs #IoT #IIoT #BigData #CloudComputing #DataScience #ML #NLP #flutter #Linux #Serverless #SmartHome #fintech #SelfDrivingCars #Coding #datasecurity #100DaysOfCode</t>
  </si>
  <si>
    <t>https://bit.ly/3uraQ5o</t>
  </si>
  <si>
    <t>https://pbs.twimg.com/media/Eu4ylNmVgAMj8Et.jpg</t>
  </si>
  <si>
    <t>Arpit Bhushan Sharma</t>
  </si>
  <si>
    <t>Why #Maths is considered as one of the most beautiful subject ? Because of its indestructible and distinct hidden concepts. Hail to Our Indian Mathematician Ramanujan for giving the idea of AI #MachineLearning with Euler. New #AI 'Ramanujan Machine' uncovers hidden patterns in it</t>
  </si>
  <si>
    <t>https://pbs.twimg.com/media/Eu4yV44VkAMSryV.jpg</t>
  </si>
  <si>
    <t>Aligarh, India</t>
  </si>
  <si>
    <t>ब्लॉगर | इंजीनियर हूं</t>
  </si>
  <si>
    <t>http://arpit-ml.blogspot.com</t>
  </si>
  <si>
    <t>https://pbs.twimg.com/media/Eu4yB9FVgAAQSxU.jpg</t>
  </si>
  <si>
    <t>Katonic.ai</t>
  </si>
  <si>
    <t>Catch our CEO Prem Naraindas in an exclusive interview with Sage Godrei on @kalkineauTV talking about the problems we are trying to solve and our journey so far.  #neuralnetworks #dataanalytics #artificialintelligence #ai #machinelearning #datascience</t>
  </si>
  <si>
    <t>https://youtu.be/lkfHEeecmEc</t>
  </si>
  <si>
    <t>https://pbs.twimg.com/media/Eu4xRjPVgAAzZ_c.jpg</t>
  </si>
  <si>
    <t>Katonic is an AI start-up that assimilates data from cross-domain sources &amp; combines machine intelligence with human intuition to solve challenges of ITOps.</t>
  </si>
  <si>
    <t>http://katonic.ai</t>
  </si>
  <si>
    <t>It’s time for your company to act. It’s AI time!  #ArtificialIntelligence #ai #machinelearning #analytics #aiaustralia</t>
  </si>
  <si>
    <t>http://www.aiaustralia.org</t>
  </si>
  <si>
    <t>https://pbs.twimg.com/media/Eu4x4WZXEAAHxMa.jpg</t>
  </si>
  <si>
    <t>Zest</t>
  </si>
  <si>
    <t>What a great conference so far! Kudos to the organizers &amp; Chairman Maj. Prof. Isaac Ben-Israel. @TelAvivUni @CyberWeekTLV #AI #ArtificialIntelligence #MachineLearning #DeepLearning #ReinforcementLearning</t>
  </si>
  <si>
    <t>https://pbs.twimg.com/media/Eu4wQl6XIAASp19.png</t>
  </si>
  <si>
    <t>1.3.3.7</t>
  </si>
  <si>
    <t>Geek, Tinkerer, Maker &amp; Breaker Head of Research and Principal Researcher &amp; Architect at @Panorays, lecturer at @Afeka_College. Tweets and opinions are my own.</t>
  </si>
  <si>
    <t>https://www.panorays.com/</t>
  </si>
  <si>
    <t>Sean Gardner</t>
  </si>
  <si>
    <t>What do countries need to do in a 🌎 where artificial intelligence technology has transformed the workplace? Great points on #AI, robotics, and the future of work.  #futureofwork #5G #IoT #podcast #FutureofWork #MachineLearning #SmartCity @theeconomist #dx</t>
  </si>
  <si>
    <t>pic.twitter.com/FUIbqdtu2z</t>
  </si>
  <si>
    <t>Seattle, USA</t>
  </si>
  <si>
    <t>🌍 Traveler - 29 countries • Board @FreeNPTech • Alum: @Apple @Microsoft • #GivingTuesday Ambassador • producing 🎥 w/@RashaGoel • 🤓 #AI #SDGs #covid19 #Travel</t>
  </si>
  <si>
    <t>https://www.linkedin.com/in/2morrowknight/</t>
  </si>
  <si>
    <t>ETC-Indonesia</t>
  </si>
  <si>
    <t>Machine Learning Market Dynamics Forces, New Market Opportunities by Players – Fair Isaac … #Learning #machinelearning via</t>
  </si>
  <si>
    <t>http://twinybots.ch
https://neurons.ai/blog/news-stories/machine-learning-market-dynamics-forces-new-market-opportunities-by-players-fair-isaac/</t>
  </si>
  <si>
    <t>Central Java, Indonesia</t>
  </si>
  <si>
    <t>Ingin Mengembangkan Dana ? Hubungi Kami Segera. Sering Kalah Trading? Join Telegram Kami yuk http://t.me/Hitman_etc</t>
  </si>
  <si>
    <t>http://etc-indonesia.com</t>
  </si>
  <si>
    <t>The real Akokite</t>
  </si>
  <si>
    <t>Internshala student partner | Unilag student | Efico unilag member | Spe member(unilag chapter) | Prospective petroleum engineer | movies lover❣️</t>
  </si>
  <si>
    <t>https://www.linkedin.com/in/idris-olasunkanmi-9364401a5</t>
  </si>
  <si>
    <t>[#NLP #MachineLearning #AI #Python] 👇 A Visual Guide to Regular Expression  via @amitness Cc @SpirosMargaris @antgrasso @pierrepinna @KirkDBorne @schmarzo @ahier @jblefevre60 @DeepLearn007</t>
  </si>
  <si>
    <t>https://amitness.com/regex</t>
  </si>
  <si>
    <t>https://pbs.twimg.com/media/Eu4wu0JXUAApO-J.png</t>
  </si>
  <si>
    <t>Welcoming new followers @Ibrakadhir @NYULangonePCCSM @promaxo @LochinAzamov. Explore knowledge to support #MachineLearning in #radiology: check out</t>
  </si>
  <si>
    <t>http://gamuts.net</t>
  </si>
  <si>
    <t>Tech Bytes</t>
  </si>
  <si>
    <t>Data Science Projects done by Anu using Bokeh and Pandas lib as part of week 6 STEAM Challenge. Well done! #m2mtechbytes #coding #designthinking #100DaysOfCode #100DaysOfDesign #GirlsWhoCode #GirlsWhoDesign #python #DataScience #datavizualization #DataAnalysis #machinelearning</t>
  </si>
  <si>
    <t>pic.twitter.com/MGPqnmTG8q</t>
  </si>
  <si>
    <t>Greater Vancouver, BC</t>
  </si>
  <si>
    <t>We specialize in conducting year round STEM/STEAM challenges with specific focus on Embedded Systems, Cloud Computing, AI, Deep Learning &amp; Visual Story Telling.</t>
  </si>
  <si>
    <t>https://techbytes.page</t>
  </si>
  <si>
    <t>Ranjith Plachithody Rajan</t>
  </si>
  <si>
    <t>Question 🙋 Again 😉!!! What is 🚍 the difference between AI and NI 🤔🤔🤔 #Acceptanceoflegitimacy #Make_Invisible_Visible #ai #artificialintelligence #cybersecurity #machinelearning #deeplearning #datascience #bigdata #cybersecurity #data #ml #infos…</t>
  </si>
  <si>
    <t>https://lnkd.in/gvVnpcm</t>
  </si>
  <si>
    <t>Pallakad, India</t>
  </si>
  <si>
    <t>Tribe Leader of 🌌🎓 Sexuality 🎓 and 🌱Orientation 👽👣Studies; Gender and 🌱👽Women's 🚺 Studies ✏</t>
  </si>
  <si>
    <t>http://www.acceptanceoflegitimacy.com</t>
  </si>
  <si>
    <t>#Indian #AI #Startups Raised $836.3 Million In 2020: AIMResearch. #startupindia #FundingAlert #funding #india #technology #technews #artificialintelligence #machinelearning #datascience @nasscom @NITIAayog @SpirosMargaris</t>
  </si>
  <si>
    <t>http://bit.ly/37Ef5B2</t>
  </si>
  <si>
    <t>Jiseth Peña</t>
  </si>
  <si>
    <t>Buenoo hoy me voy feliz con este resultado... una linda diagonal. Mmm🤔🤔 qué tan old seré 😂😂 #MachineLearning</t>
  </si>
  <si>
    <t>https://pbs.twimg.com/media/Eu4wFxpWYAEtGKu.jpg</t>
  </si>
  <si>
    <t>Cali, Colombia</t>
  </si>
  <si>
    <t>Holberton Student 💻🔜 English Learner ✍</t>
  </si>
  <si>
    <t>The BigML Gallery contains publicly shared dataset, models as well as #WhizzML scripts that you can clone to your account in a few clicks. Take a #MachineLearning shortcut with useful scripts like k-fold cross-validation or smart feature selection!</t>
  </si>
  <si>
    <t>https://bigml.com/gallery/scripts</t>
  </si>
  <si>
    <t>https://pbs.twimg.com/media/Eu4vnRdVoAU1nyr.jpg</t>
  </si>
  <si>
    <t>Timo Kissel</t>
  </si>
  <si>
    <t>Is it really too much to ask for evidence of the effectiveness of #AI-based technology, especially if it's as invasive as this? #artificialintelligence #machinelearning</t>
  </si>
  <si>
    <t>https://onezero.medium.com/the-shoddy-science-behind-emotional-recognition-tech-2e847fc526a0</t>
  </si>
  <si>
    <t>Portland, OR</t>
  </si>
  <si>
    <t>C-level exec, building high-performance tech organizations. Love #music, #science, #Berlin, #Portland. Views expressed here are mine, not those of any company.</t>
  </si>
  <si>
    <t>Andreas Staub</t>
  </si>
  <si>
    <t>The Promise &amp; Challenges of #AI &amp;amp; #MachineLearning for #Cybersecurity #Insurtech #fintech #DataScience @Fabriziobustama @missdkingsbury @HaroldSinnott @jblefevre60 @dinisguarda @andy_lucerne @Julez_Norton @chboursin @mvollmer1 @ipfconline1 @cpomagazine</t>
  </si>
  <si>
    <t>https://bit.ly/343RHtA</t>
  </si>
  <si>
    <t>https://pbs.twimg.com/media/Eu4u5DnXEAE53VU.jpg</t>
  </si>
  <si>
    <t>Head Corporate Development &amp; Digital Transformation @Raiffeisen_CH #fintech #innovation #behavioraleconomics #insurtech #bigdata #AI Mentor @F10_accelerator</t>
  </si>
  <si>
    <t>Eat this, not that, exercise now; new personalized software predicts and helps prevents blood sugar spikes  #MachineLearning #DeepLearning</t>
  </si>
  <si>
    <t>http://dlvr.it/RtH6Wd</t>
  </si>
  <si>
    <t>https://pbs.twimg.com/media/Eu4uqpfUcAEwCwp.jpg</t>
  </si>
  <si>
    <t>SAP2000 DEEP LEARNING  #machinelearning #ad</t>
  </si>
  <si>
    <t>https://zpy.io/efb95532</t>
  </si>
  <si>
    <t>Researchers Disappointed By Efforts to Teach #AI #CommonSense  #fintech #ArtificialIntelligence #MachineLearning #DeepLearning @cnaintelligence @psb_dc @YuHelenYu @andi_staub @HaroldSinnott @DioFavatas @WhiteheartVic @YvesMulkers @pierrepinna @ipfconline1</t>
  </si>
  <si>
    <t>https://mindmatters.ai/2021/02/researchers-disappointed-by-efforts-to-teach-ai-common-sense/</t>
  </si>
  <si>
    <t>Deiv</t>
  </si>
  <si>
    <t>Day 58 of #SQL. Goal towards #100DaysOfCode #DataScience #bigdata #DataAnalytics #MachineLearning #BlackTechTwitter #coding #dataengineering</t>
  </si>
  <si>
    <t>Manhattan, New York, USA</t>
  </si>
  <si>
    <t>#DataScience | #MachineLearning | #Mathematics | #ActuarialScience | #BigData | #SQL | #DevOps | #CloudComputing | #MastercardScholar| #Data_Engineer</t>
  </si>
  <si>
    <t>https://www.visibleman.org/</t>
  </si>
  <si>
    <t>How  Is Disrupting The Embedded Edge Market  #DL #AI #ML #DeepLearning #ArtificialIntelligence #MachineLearning #ComputerVision #AutonomousVehicles #NeuroMorphic #Robotics</t>
  </si>
  <si>
    <t>http://SiMa.ai
https://buff.ly/2MfaJsy</t>
  </si>
  <si>
    <t>Hurry! This 13-inch MacBook Pro is $100 off at Amazon - ... which integrates an 8-core  #machinelearning #intoAInews</t>
  </si>
  <si>
    <t>https://neurons.ai/blog/news-stories/hurry-this-13-inch-macbook-pro-is-100-off-at-amazon/</t>
  </si>
  <si>
    <t>Machine Learning Market Dynamics Forces, New Market Opportunities by Players – Fair -  #machinelearning #intoAInews</t>
  </si>
  <si>
    <t>https://neurons.ai/blog/news-stories/machine-learning-market-dynamics-forces-new-market-opportunities-by-players-fair-isaac/</t>
  </si>
  <si>
    <t>A Projection Algorithm for the Unitary Weights Paper:  #artificialintelligence #machinelearning #deeplearning</t>
  </si>
  <si>
    <t>https://arxiv.org/ftp/arxiv/papers/2102/2102.10052.pdf</t>
  </si>
  <si>
    <t>https://pbs.twimg.com/media/Eu4tYEqXIAEvc36.png</t>
  </si>
  <si>
    <t>When the volume of data doesn’t matter but one’s ability to rapidly convert data into actionable insights and build accurate predictive capabilities  More on  #bigdata #ai #machinelearning #dataanalytics #deeplearning</t>
  </si>
  <si>
    <t>http://bit.ly/3pOnd8s
http://CDOTrends.com</t>
  </si>
  <si>
    <t>https://pbs.twimg.com/media/Eu4tUIjWQAYF6u9.jpg</t>
  </si>
  <si>
    <t>How can I become a data scientist?  #AI #DataScience #ML #machinelearning #blockchain</t>
  </si>
  <si>
    <t>https://dataly.st/blog-post/how-can-i-become-a-data-scientist/</t>
  </si>
  <si>
    <t>In a knee MRI challenge, a framework to evaluate automatic segmentation methods was validated on 6 #DeepLearning networks  @Dr_ASChaudhari @StanfordRad @stanford_ee #MSKRad #ML #MachineLearning</t>
  </si>
  <si>
    <t>https://doi.org/10.1148/ryai.2021200078</t>
  </si>
  <si>
    <t>https://pbs.twimg.com/media/Eu4tTPOVoAcM9Yk.png</t>
  </si>
  <si>
    <t>Dr. Rajeev Bukralia</t>
  </si>
  <si>
    <t>5 Vital Soft Skills Data Scientists Must Possess in 2021 - ReadWrite  #AI #MachineLearning #DeepLearning #DataScience #BigData #Analytics</t>
  </si>
  <si>
    <t>http://ow.ly/rDhT30ry0cB</t>
  </si>
  <si>
    <t>~Thought Leader ~ #DataScience &amp; IT Strategist ~Award-winning Professor ~ Former #CIO &amp; dean ~Exploring frontiers of #AI &amp; #MachineLearning research</t>
  </si>
  <si>
    <t>Clearview AI ruled ‘illegal’ by Canadian #privacy authorities. #facialrecognition #AI #data #DEVCommunity #ML #MachineLearning #DataScience #100DaysOfCode #CyberSecurity #tech #DeepLearning #data #Security</t>
  </si>
  <si>
    <t>https://lnkd.in/gB4XrYY</t>
  </si>
  <si>
    <t>https://ift.tt/2ZE3oWr</t>
  </si>
  <si>
    <t>SMEClabs</t>
  </si>
  <si>
    <t>"Interlingua"- the secret language created by #Google #AI Could this be simpler or sophisticated? #ArtificialIntelligence #BigData #MachineLearning #DL #MI #Digital #DataScience #Analytics #cybersecurity #tech #smeclabs #dataprivacy #dataprotection RT @Ronald_vanLoon: Google #AI Computers have created their own secret language by @wef #ArtificialIntelligence #BigData #MachineLearning #DL #MI #Digital #DataScience #Analytics #DigitalTransformation #Tech Cc: @shanebrighton @warrenwhitlock @towards_ai</t>
  </si>
  <si>
    <t>https://twitter.com/Ronald_vanLoon/status/1360634654844465153</t>
  </si>
  <si>
    <t>pic.twitter.com/4JVVFSOsVI</t>
  </si>
  <si>
    <t>R&amp;D and training hub of SMEC Automation - the authorized system integrators of @SchneiderElec in India. Enhancing your career aspirations for a better tomorrow</t>
  </si>
  <si>
    <t>https://www.smeclabs.com</t>
  </si>
  <si>
    <t>Shradha Singh</t>
  </si>
  <si>
    <t>Top 3 Giant Tech Trends In 2021  #deeplearning #AI #openAI #gpt3 #ElonMusk #Python #MachineLearning #100DaysOfCode #IoT #tech #CodeNewbie #ML #DataScience #Algorithms #ArtificialIntelligence #engineers #programming #AIoT #cybersecurity #QuantumComputing</t>
  </si>
  <si>
    <t>https://www.c-sharpcorner.com/blogs/top-3-giant-tech-trends-in-2021</t>
  </si>
  <si>
    <t>Delhi</t>
  </si>
  <si>
    <t>Artificial Intelligence, Machine Learning, Deep Learning and Data Mining is what that gives me kick.</t>
  </si>
  <si>
    <t>New #MachineLearning workflows for better prediction of psychosis  #AI #ArtificialIntelligence #HealthTech #insurtech @FGraillot @SpirosMargaris @stratorob @SabineVdL @KanezaDiane @mvollmer1 @Fabriziobustama @MargaretSiegien @darioandriani @PawlowskiMario</t>
  </si>
  <si>
    <t>https://buff.ly/3puuhH2</t>
  </si>
  <si>
    <t>https://pbs.twimg.com/media/Eu4smq_XYAAUdk1.jpg</t>
  </si>
  <si>
    <t>PiyushRaj_Developer ✿</t>
  </si>
  <si>
    <t>#code #editor for #python 💫 #MachineLearning #BigData #Analytics #DataScience #IoT #Python #RStats #javascript #reactjs #cloud #computing #serverless #Linux #programming #tech #trend #AI #ML #Android #DevOps #Apple #security #webdesign #webdev #Statistics #Algorithms #Database</t>
  </si>
  <si>
    <t>https://pbs.twimg.com/media/Eu4q_-cUYAIiZNA.png</t>
  </si>
  <si>
    <t>Programmer👨‍💻 Ex-Intern👇🏻 @ibm_in @accenture @microsoft @DeloitteUS @LinkedIn @amazon Scientist for a Day @NASA 🔭 Experienced in 5 Programming Language🎌</t>
  </si>
  <si>
    <t>https://linktr.ee/PiyushRaj714</t>
  </si>
  <si>
    <t>These robots were built to organize parts on a conveyor belt at high speed. CC CurieuxExplorer #Robotics #AI #ArtificialIntelligence #Automation #100DaysOfCode #MachineLearning #CodeNewbie #100DaysOfMLCode #WomenWhoCode #VegaLMS 📽 via Rainmaker1973</t>
  </si>
  <si>
    <t>pic.twitter.com/4wqUPw9vaT</t>
  </si>
  <si>
    <t>LinkCXO Global Pvt. Ltd.</t>
  </si>
  <si>
    <t>Why is design thinking a crucial push for enterprises in India? #Design #Designthinking #ArtificialIntelligence #MachineLearning</t>
  </si>
  <si>
    <t>https://pbs.twimg.com/media/Eu4rO6cVcAAh9Lo.jpg</t>
  </si>
  <si>
    <t>Most trusted &amp; rewarding CXO network</t>
  </si>
  <si>
    <t>http://www.linkcxo.com</t>
  </si>
  <si>
    <t>Machine Learning Concepts Every Data Scientist Should Know  #MachineLearning</t>
  </si>
  <si>
    <t>https://becominghuman.ai/machine-learning-concepts-every-data-scientist-should-know-4d70bed18a8a</t>
  </si>
  <si>
    <t>iihmjpr</t>
  </si>
  <si>
    <t>What hides in your future is a mystery, but what to pick for your future option is not. Keep yourself updated with the ideal career options for you. Visit  to take 15-min FREE Test. #careerdevelopment #careerplanning #machinelearning #datascience</t>
  </si>
  <si>
    <t>https://pbs.twimg.com/media/Eu4rCApUcAcKXXC.jpg</t>
  </si>
  <si>
    <t>Jaipur, India</t>
  </si>
  <si>
    <t>VirginSlayerIncelius</t>
  </si>
  <si>
    <t>ScienceMagazine: From the @SciRobotics archives: @ETH_en's new locomotion controller, based on #MachineLearning, enabled quadrupedal robots to successfully traverse various types of terrains or overcome unpredictable obstacles:  @…</t>
  </si>
  <si>
    <t>https://fcld.ly/9uvkjbi</t>
  </si>
  <si>
    <t>pic.twitter.com/OTa3niJjLW</t>
  </si>
  <si>
    <t>Aspect of Internet Justice</t>
  </si>
  <si>
    <t>danie</t>
  </si>
  <si>
    <t>#BigData #IoT #IIoT #AI #Python #Rstats #Reactjs #flutter #MachineLearning #ML #Linux #javascript #CloudComputing #DataScience #SmartHome #CES2021 #Coding #5G #WomenWhoCode</t>
  </si>
  <si>
    <t>https://pbs.twimg.com/media/Eu4qcmsUcAYzMMO.jpg</t>
  </si>
  <si>
    <t>This is my smart home please visit and follow him</t>
  </si>
  <si>
    <t>Study: Only 18% of data science students are learning about AI ethics #ArtificialIntelligence #DataScience #MachineLearning</t>
  </si>
  <si>
    <t>https://ai-summary.com/summary-study-only-18-of-data-science-students-are-learning-about-ai-ethics/?utm_medium=social-organic&amp;utm_source=twitter</t>
  </si>
  <si>
    <t>Happiness Reserves Foundation</t>
  </si>
  <si>
    <t>Artificial intelligence and machine learning, as a dominant discipline within AI, is an amazing tool. - Vivienne Ming #ArtificialIntelligence #AI #Robotics #robot #robots #robotic #DataScience #MachineLearning #DeepLearning #STEM #IoT #Python #BigData #computerscience #tech</t>
  </si>
  <si>
    <t>https://pbs.twimg.com/media/Eu4pVNfVkAM-ZRH.jpg</t>
  </si>
  <si>
    <t>Ahmedabad</t>
  </si>
  <si>
    <t>Discover the new trend of #Robotics, #ArtificialIntelligence, #DataScience, #MachineLearning, #STEM, #IoT, #DeepLearning with Happiness Reserves Foundation.</t>
  </si>
  <si>
    <t>Cardano AE</t>
  </si>
  <si>
    <t>Pronóstico 22 de febrero Casos confirmados de #COVID19 para #Mexico y #Puebla, y nuestro pronóstico máximo y mínimo a 5 días usando series de tiempo y #MachineLearning Síguenos:  #DataScience #FelizLunes #iA #DataAnalytics . RT @CardanoAE: Pronóstico 21 de febrero Casos confirmados de #COVID19 para #Mexico y #Puebla, y nuestro pronóstico máximo y mínimo a 5 días usando series de tiempo y #MachineLearning Síguenos:  #DataScience #FelizSabado #iA #DataAnalytics .</t>
  </si>
  <si>
    <t>https://facebook.com/CardanoAE/
https://twitter.com/CardanoAE/status/1363695196396023808
https://twitter.com/CardanoAE/status/1363348090963435528</t>
  </si>
  <si>
    <t>https://pbs.twimg.com/media/Eu4ponBVoAQV9ko.jpg
https://pbs.twimg.com/media/EuzRbHYXYAAR7az.jpg</t>
  </si>
  <si>
    <t>Puebla</t>
  </si>
  <si>
    <t>Hacemos nubes con el conocimiento colectivo Análisis Estadístico y Estratégico SW/Consultoría/Capacitación Analysis&amp;Forecast https://www.facebook.com/CardanoAE/</t>
  </si>
  <si>
    <t>http://cardano.mx/</t>
  </si>
  <si>
    <t>Techaffinity Consulting Pvt Ltd</t>
  </si>
  <si>
    <t>What are you waiting for? Contact us today for AI-enabled software solutions.  #AI #artificialintelligence #analytics #softwaredevelopment #business #machinelearning #taff #ConnectingPeople</t>
  </si>
  <si>
    <t>http://www.techaffinityconsulting.com</t>
  </si>
  <si>
    <t>https://pbs.twimg.com/media/Eu4pgweVkAEKqQl.jpg</t>
  </si>
  <si>
    <t>gurgaon</t>
  </si>
  <si>
    <t>Our plethora of services cover not only Software Development but also IT Consulting, IT staffing and resources for long term support. #softwaredevelopment #IT</t>
  </si>
  <si>
    <t>https://techaffinityconsulting.com/</t>
  </si>
  <si>
    <t>ClassCat AI Lab</t>
  </si>
  <si>
    <t>PyTorch Lightning 1.1: notebooks : Lightning フラグへのイントロダクション (2) (翻訳/解説) #PyTorch #DeepLearning #FacebookResearch #MachineLearning #人工知能 #機械学習 #深層学習</t>
  </si>
  <si>
    <t>https://torch.classcat.com/2021/02/22/pytorch-lightning-1-1-notebooks-05-trainer-flags-overview-2/</t>
  </si>
  <si>
    <t>茨城県取手市(AI Lab)</t>
  </si>
  <si>
    <t>人工知能テクノロジーをいち早く取り入れた製品・サービスを市場に展開するための支援を提供しております。 URL:http://www.classcat.com FB:https://www.facebook.com/ClassCatJP/</t>
  </si>
  <si>
    <t>http://www.classcat.com</t>
  </si>
  <si>
    <t>ISS TECHNOLOGIES</t>
  </si>
  <si>
    <t>Help your recruiter make the best choices by arming them with #MachineLearning and #Microsoft #Teams. Follow ISS TECHNOLOGIES to learn more.</t>
  </si>
  <si>
    <t>https://stuf.in/b54xy5</t>
  </si>
  <si>
    <t>A Leading provider of IT Infrastructure and Software solutions that gives strategic value &amp; cost-effectiveness to our esteemed customers.</t>
  </si>
  <si>
    <t>http://isstechnologies.in</t>
  </si>
  <si>
    <t>Watch this video to learn how #MachineLearning and #Microsoft #Teams combine to provide Dior with the creative talent they need to disrupt the fashion industry.</t>
  </si>
  <si>
    <t>https://stuf.in/b54wqx</t>
  </si>
  <si>
    <t>Wevolver</t>
  </si>
  <si>
    <t>Researchers develop a system to identify drugs that might be repurposed to fight the coronavirus in elderly patients.  Image/video credits: @MIT #MachineLearning #Covid19 #technology #engineering #stem #innovation #pandemic #healthcare</t>
  </si>
  <si>
    <t>https://www.wevolver.com/article/a-machine-learning-approach-to-finding-treatment-options-for-covid-19</t>
  </si>
  <si>
    <t>San Francisco, Amsterdam</t>
  </si>
  <si>
    <t>Providing millions of engineers around the world with informative content. #engineering #autonomousvehicles #manufacturing #tech</t>
  </si>
  <si>
    <t>https://www.wevolver.com/</t>
  </si>
  <si>
    <t>Diversity in Artificial Intelligence @ AAAI 2021</t>
  </si>
  <si>
    <t>Article by @kaytsukel on #AI and #MachineLearning in #MechanicalEngineering. RT @ASMEdotorg: How can mechanical engineers best utilize artificial intelligence and machine learning tools to unlock new opportunities?</t>
  </si>
  <si>
    <t>https://twitter.com/ASMEdotorg/status/1363961017198338058
http://bit.ly/2YXo7nS</t>
  </si>
  <si>
    <t>https://pbs.twimg.com/media/Eu3DUMKWgAAb1kK.jpg</t>
  </si>
  <si>
    <t>AI Diversity, Belonging, Equity, Inclusion (DBEI) group. 2020/1 @RealAAAI workshops+ @iclr_conf @CVPR @aclmeeting @icmlconf @NeurIPSConf @COLING @IJCAIconf</t>
  </si>
  <si>
    <t>http://www.diverseinai.org</t>
  </si>
  <si>
    <t>#MachineLearning sheds new light on how walnuts benefit health | News | @HarvardChanSPH  H/T: @sivarajTweets</t>
  </si>
  <si>
    <t>https://www.hsph.harvard.edu/news/hsph-in-the-news/machine-learning-sheds-new-light-on-how-walnuts-benefit-health/</t>
  </si>
  <si>
    <t>Mistral Solutions</t>
  </si>
  <si>
    <t>#VR and #AI are the two technologies that are not only preparing people to begin their #jobs, but also helping business leaders to find top #talent to fill critical roles.  #AI #ArtificialIntelligence #MachineLearning #Recruitment #VirtualReality @Aon_plc</t>
  </si>
  <si>
    <t>https://theonebrief.com/wish-vr-ai-new-world-work/</t>
  </si>
  <si>
    <t>Domlur Extension, Bangalore</t>
  </si>
  <si>
    <t>Mistral is a technology design and integration company providing end-to-end services for product development and deployment. #embedded #electronics</t>
  </si>
  <si>
    <t>http://www.mistralsolutions.com</t>
  </si>
  <si>
    <t>Artificial Intelligence &amp; Ethics: Roundtable (Senior Leaders from 4 countries driving AI globally) CC @DataDude14 @ravkalia1 @OmdiaHQ @Demond647 #Leadership #ArtificialIntelligence #MachineLearning #Bigdata</t>
  </si>
  <si>
    <t>https://www.youtube.com/watch?v=8Ng-BXxAZzY</t>
  </si>
  <si>
    <t>Facebook bans account of TV network associated with Myanmar military: #BigData #MachineLearning #AI #IoT MT @Mikequindazzi</t>
  </si>
  <si>
    <t>https://www.engadget.com/facebook-bans-myawaddy-tv-station-171950609.html</t>
  </si>
  <si>
    <t>https://pbs.twimg.com/media/Eu4nvt6VgAQvr6E.jpg</t>
  </si>
  <si>
    <t>jenderton4</t>
  </si>
  <si>
    <t>http://twinybots.ch
https://www.forbes.com/sites/forbestechcouncil/2021/02/18/four-ways-ai-and-machine-learning-will-drive-future-innovation-and-change/amp/?__twitter_impression=true</t>
  </si>
  <si>
    <t>Instrument of God. Spiritual Warrior 4 Christ. Super Warrior Cowboy.</t>
  </si>
  <si>
    <t>http://www.SW4C.org</t>
  </si>
  <si>
    <t>MedTectales</t>
  </si>
  <si>
    <t>A #machinelearning–based online tool developed by researchers at @MassGeneralNews, @harvardmed, @GeorgiaTech and @The_BMC allows for early detection of #COVID19 outbreaks in different U.S. counties. @JagChhatwal #Coronavirus</t>
  </si>
  <si>
    <t>https://tectales.com/ai/ai-tool-can-detect-covid-19-outbreaks.html</t>
  </si>
  <si>
    <t>https://pbs.twimg.com/media/Eu4nkVxWYAEIYbo.jpg</t>
  </si>
  <si>
    <t>Tectales aims to built a roadmap of the future of health technology, by deep-diving into emerging technologies in medicine. Tweets by @SaschaKeutel</t>
  </si>
  <si>
    <t>https://tectales.com/</t>
  </si>
  <si>
    <t>Detecting Pokemon on an Arduino using TinyML and #TensorFlow  #MachineLearning</t>
  </si>
  <si>
    <t>https://bit.ly/3bKPK9Z</t>
  </si>
  <si>
    <t>Netflix has a not very ‘secret’ site showcasing the Mank soundtrack by Trent Reznor and Atticus Ross: #machinelearning #ai #iot cc @Mikequindazzi</t>
  </si>
  <si>
    <t>https://www.theverge.com/2020/10/21/21527236/mank-secret-websitetrent-reznor-atticus-ross-score-david-fincher-movie-netflix</t>
  </si>
  <si>
    <t>https://pbs.twimg.com/media/Eu4nZ5xVgAETrDg.jpg</t>
  </si>
  <si>
    <t>#MachineLearning using the Whiskey Dataset</t>
  </si>
  <si>
    <t>https://bit.ly/3pMboj1</t>
  </si>
  <si>
    <t>https://pbs.twimg.com/media/Eu4nBQJWgAUKjI_.png</t>
  </si>
  <si>
    <t>#ThisPersonDoesNotExist #NeuralNetworks #MachineLearning</t>
  </si>
  <si>
    <t>https://pbs.twimg.com/media/Eu4mweYWgAEpiZF.png</t>
  </si>
  <si>
    <t>Today, the term “data science” covers AI, ML, the internet of things, deep learning, and others. #henryharvin #education #courses #askhenry #journal #technology #ArtificialIntelligence #datascience #machinelearning #datascience #deeplearning #training #certification #success</t>
  </si>
  <si>
    <t>https://pbs.twimg.com/media/Eu4mdh8WQAM2Wm1.jpg</t>
  </si>
  <si>
    <t>Chemistry and computer science join forces to apply artificial intelligence to chemical reactions  #AI #MachineLearning #DataScience #Chemistry #CS</t>
  </si>
  <si>
    <t>http://ow.ly/6pKz30rx1ic</t>
  </si>
  <si>
    <t>In 2020 People Looked to Algorithms and Asked "What Should I Do?" With chaos reigning people turn to Google for direction  @ChanSteele @PCMag #AIEthics #MachineLearning Cc @MiaD @roxananasoi @archonsec @DrJDrooghaag @psb_dc @AkwyZ @AlaricAloor</t>
  </si>
  <si>
    <t>https://www.pcmag.com/news/in-2020-people-looked-to-algorithms-and-asked-what-should-i-do</t>
  </si>
  <si>
    <t>A robot called Tarzan could change how we grow food #Robotics #Automation #Robot #ArtificialIntelligence #MachineLearning #Engineering #AI #IOT By @techinsider</t>
  </si>
  <si>
    <t>pic.twitter.com/hYIB3JixgW</t>
  </si>
  <si>
    <t>Naresh i Technologies</t>
  </si>
  <si>
    <t>Data Science &amp; Artificial Intelligence in Action by Mr.Navin 👉 Watch Video Here :  #datascience #machinelearning #bigdata #analytics #python #artificialintelligence #datascientist #software #programming</t>
  </si>
  <si>
    <t>https://zcu.io/aTCG</t>
  </si>
  <si>
    <t>Hyderabad, Chennai, India</t>
  </si>
  <si>
    <t>Naresh IT is a leading software training institute Provides Classroom, Online, Weekend, Project &amp; CorporateTranining https://nareshit.in/</t>
  </si>
  <si>
    <t>https://nareshit.com/</t>
  </si>
  <si>
    <t>ARK Infosoft</t>
  </si>
  <si>
    <t>.NET Libraries: Independent, Friendly &amp; open source: developers #love #AI #DataScientist #DataScience #CloudComputing #futureofwork #BigData #MachineLearning #IIoT #RStats #JavaScript #ReactJS #Serverless #Linux #DevOps #fashiontech #smartcities #AR #fintechstartup @Ark_Infosoft</t>
  </si>
  <si>
    <t>https://pbs.twimg.com/media/Eu4l8zdVIAcf-Yk.png</t>
  </si>
  <si>
    <t xml:space="preserve">Ahemdabad </t>
  </si>
  <si>
    <t>We turns imagination into reality, We not just built website &amp; software,we built your dreams #softwaredevelopmentcompany #MobileAppDevelopment #DigitalMarketing</t>
  </si>
  <si>
    <t>https://www.arkinfosoft.com/</t>
  </si>
  <si>
    <t>#TensorFlow: Accelerate NumPy with GPUs  #MachineLearning</t>
  </si>
  <si>
    <t>https://bit.ly/3aK8Uxl</t>
  </si>
  <si>
    <t>https://pbs.twimg.com/media/Eu4layaXUAIJnS-.png</t>
  </si>
  <si>
    <t>Kaggle Days Meetup Delhi NCR</t>
  </si>
  <si>
    <t>📢Introducing our #panellist for the day - The amazing Sunil Saini, Head - Data Science @ @bharatpeindia.🤩 Hear him talk on our special #paneldiscussion this weekend, register here:  #fintech #DataScience #ArtificialIntelligence #MachineLearning</t>
  </si>
  <si>
    <t>http://bit.ly/FinFeb</t>
  </si>
  <si>
    <t>https://pbs.twimg.com/media/Eu4lHB9U4AARS2h.jpg</t>
  </si>
  <si>
    <t>Delhi NCR</t>
  </si>
  <si>
    <t>India's 1st &amp; Largest @Kaggle_Days Meetup Community; on a mission to make your @Kaggle , AI, ML, Data Science journey awesome.</t>
  </si>
  <si>
    <t>https://linktr.ee/kdmdelhincr</t>
  </si>
  <si>
    <t>Decoding Machine Learning: Neural Networks  #ArtificialIntelligence #IoT #Ai #DataScience #BigData #MachineLearning #Python #Django #NeuralNetworks #neuralnetwork #cybersecurity #DeepLearning #JoeBiden #DEVCommunity</t>
  </si>
  <si>
    <t>https://bit.ly/3buEkqr</t>
  </si>
  <si>
    <t>https://pbs.twimg.com/media/Eu4lHZnUcAkkORD.jpg</t>
  </si>
  <si>
    <t>#MachineLearning, Indian #SocialMedia’s Biggest Challenge Yet. #twitter #facebook #instagram #AI #technology #india #kooapp</t>
  </si>
  <si>
    <t>https://bit.ly/3kbWlxK</t>
  </si>
  <si>
    <t>https://pbs.twimg.com/media/Eu4kseoUYAMEgv9.jpg</t>
  </si>
  <si>
    <t>Xorlogics</t>
  </si>
  <si>
    <t>RPA – Robotics Process Automation Trends and Statistics #ARTIFICIALINTELLIGENCE #LINKEDIN #ML #ROBOTICPROCESSAUTOMATION #AI #AUTOMATION #DELOITTE #FINANCE #FORRESTER #GARTNER #HEALTHCARE #MACHINELEARNING #RPA</t>
  </si>
  <si>
    <t>https://buff.ly/2Z3rjz8</t>
  </si>
  <si>
    <t>https://pbs.twimg.com/media/Eu4kmAOXMAAoDrX.jpg</t>
  </si>
  <si>
    <t>Belgium, USA, Pakistan</t>
  </si>
  <si>
    <t>Xorlogics is helping international businesses in Enterprise #Web #Applications, #CloudComputing, #BigData and #MobileSolutions to achieve high goals</t>
  </si>
  <si>
    <t>http://www.xorlogics.com</t>
  </si>
  <si>
    <t>This company uses AI powered robots to make pizza! #pizza #robots #機器人 #ArtificialIntelligence #SupplyChain #SupplyChains #AI #ML #food #startup #GenZ #foodie #video #VIKEZ #MachineLearning @mashable #innovation #factory #business #robotics</t>
  </si>
  <si>
    <t>pic.twitter.com/fZg0r6m6uJ</t>
  </si>
  <si>
    <t>Pranjal Sharma</t>
  </si>
  <si>
    <t>#Coding, #training, #skilling must be promoted in #Indian #languages. Insightful to discuss with @nickmalhotra &amp; write my @bsindia column on it. True leadership from @anandmahindra @C_P_Gurnani for boosting such ideas. @tech_mahindra #4IR #MachineLearning #BigData RT @C_P_Gurnani: A natural question to ask in a country as diverse as India: Why should coding be restricted to ONE language? The @tech_mahindra Innovation team answers that question with Bharat Markup Language Editor #BHAML that offers coding in 27 languages</t>
  </si>
  <si>
    <t>https://twitter.com/C_P_Gurnani/status/1364032731240304641
https://www.business-standard.com/article/opinion/learning-to-code-in-the-mother-tongue-121022100780_1.html</t>
  </si>
  <si>
    <t>Analysis, comment, advisory on economy, globalisation, technology. Columns @bsindia @BWbusinessworld; @The_OSB; Author, India Automated @krantination</t>
  </si>
  <si>
    <t>http://www.pranjalsharma.com</t>
  </si>
  <si>
    <t>Kausar Najeeb</t>
  </si>
  <si>
    <t>Now Available: Machine Learning: Predictive Analysis for Business Decisions is an IEEE five-course program designed for executives and technical professionals to develop greater understanding of how machine learning can be used in the business world. #machinelearning #eLearning</t>
  </si>
  <si>
    <t>you can do ......</t>
  </si>
  <si>
    <t>Apple resurrects its iPod 'Music Quiz' game for iOS 14: #BigData #MachineLearning #AI #IoT copy: @motorcycletwitt</t>
  </si>
  <si>
    <t>https://www.engadget.com/apple-music-quiz-ios-14-214046620.html</t>
  </si>
  <si>
    <t>https://pbs.twimg.com/media/Eu4kD_BXIAkes7V.jpg</t>
  </si>
  <si>
    <t>History of Machine Learning in Finance and Economics -  - #bigdata #machinelearning</t>
  </si>
  <si>
    <t>https://theparlour.substack.com/p/history-of-machine-learning-in-finance?utm_campaign=post&amp;utm_medium=web&amp;utm_source=twitter</t>
  </si>
  <si>
    <t>Santos Fefe</t>
  </si>
  <si>
    <t>Community AMA featuring Mike McQuaid 2021-02-26 2PM UTC ,get ready to this big Event by @MikeMcQuaid  #100DaysOfCode #programming #softwaredevelopment #angular #react #vue #opensoruce #devops #ios #android #github #webdeveloper #Machinelearning</t>
  </si>
  <si>
    <t>https://github.community/t/community-ama-featuring-mike-mcquaid-2021-02-26-2pm-utc/157900?u=hipstersantos</t>
  </si>
  <si>
    <t>California, MO</t>
  </si>
  <si>
    <t>Software engineer , sysAdmin, #Angular_pro #Nodejs , #Nestjs for Microservice ,competitive Programmer Podcaster https://anchor.fm/devhipster I'm polyglot dev</t>
  </si>
  <si>
    <t>https://github.com/HipsterSantos</t>
  </si>
  <si>
    <t>Manjeet Singh</t>
  </si>
  <si>
    <t>Ai deployment when and how...? #AI #MachineLearning</t>
  </si>
  <si>
    <t>https://lnkd.in/dTgrJ8E</t>
  </si>
  <si>
    <t>The nation’s value is assessed by the intellect and intelligence of the people those contributes towards its development.</t>
  </si>
  <si>
    <t>A CoLab</t>
  </si>
  <si>
    <t>In this session, Natassha will demonstrate a sample project - a facial recognition app, and explain how you can create a similar system to showcase on your portfolio. Visit  for registration. #DeepLearning #portfolio #Project #MachineLearning #python</t>
  </si>
  <si>
    <t>http://www.acolab.org</t>
  </si>
  <si>
    <t>https://pbs.twimg.com/media/Eu4jO1tVoAIKCtm.jpg</t>
  </si>
  <si>
    <t>Disrupting Analytics Education</t>
  </si>
  <si>
    <t>https://www.acolab.org/</t>
  </si>
  <si>
    <t>Machine Learning ‘On the Rocks.’ - Whiskey Dataset. #BigData #Analytics #DataScience #AI #MachineLearning #IoT #IIoT #Python #RStats #TensorFlow #JavaScript #ReactJS #CloudComputing #Serverless #DataScientist #Linux #Programming #Coding #100DaysofCode</t>
  </si>
  <si>
    <t>https://bit.ly/2OZ7WER</t>
  </si>
  <si>
    <t>https://pbs.twimg.com/media/Eu4jFcKXAAQdSct.jpg</t>
  </si>
  <si>
    <t>Revinfotech Inc</t>
  </si>
  <si>
    <t>Get Equipped with Latest Technologies Read more -  For More information contact us:- Email - navdeep@revinfotech.com call@ - +1-949-208-0179 #artificialintelligence #ai #machinelearning #technology #datascience #deeplearning #python #programming #robotic</t>
  </si>
  <si>
    <t>http://bit.ly/3dCm3u4</t>
  </si>
  <si>
    <t>https://pbs.twimg.com/media/Eu4iTjnVkAEonEd.jpg</t>
  </si>
  <si>
    <t>Revinfotech Inc is a leading global Development Company that's Empowering Disruptive Startups &amp; Fortune 500 companies in bridging the gap between Ideas and Real</t>
  </si>
  <si>
    <t>https://www.revinfotech.com</t>
  </si>
  <si>
    <t>jamy jake</t>
  </si>
  <si>
    <t>#coding #codenewbie #100DaysOfMLCode #AI #VR #MachineLearning #DataScience #robotics #maya3ds #art #facialrecognition #bigdata #IoT #ArtistOnTwitter #animation #Blender3d #100DaysOfCode #trump #DEVCommunity #flutter #javascript #BREAKING #Election2020</t>
  </si>
  <si>
    <t>https://youtu.be/h4Lvz29DFHc</t>
  </si>
  <si>
    <t>Observing world events unfold in the grand theatre of our time.</t>
  </si>
  <si>
    <t>Applications of Artificial Intelligence in COVID-19 ICU and ER situations. #MachineLearning #robotics #aiforgood</t>
  </si>
  <si>
    <t>https://www.news-medical.net/news/20210222/Applications-of-Artificial-Intelligence-in-COVID-19-ICU-and-ER-situations.aspx</t>
  </si>
  <si>
    <t>Community AMA featuring Mike McQuaid 2021-02-26 2PM UTC ,get ready to this bit Event by @MikeMcQuaid  #100DaysOfCode #programming #softwaredevelopment #angular #react #vue #opensoruce #devops #ios #android #github #webdeveloper #Machinelearning</t>
  </si>
  <si>
    <t>Ashish Adhavade</t>
  </si>
  <si>
    <t>https://pbs.twimg.com/media/Eu4h1bOWYAEqe-r.jpg</t>
  </si>
  <si>
    <t>Book collecter/ reader😁 Mission - work+ eat+sleep+Netflix Being alone is my hobby 😜</t>
  </si>
  <si>
    <t>Is it real?? Data can answer all questions..check here  #DataScience #BigData #Analytics #Python #MachineLearning #DeepLearning #Datamining #Data #Marketing #Strategy #IT #Technology #Research #Security #Education #AI #ML #TensorFlow #Designnation</t>
  </si>
  <si>
    <t>http://htl.li/lQwR30ry0nn</t>
  </si>
  <si>
    <t>mpyllan</t>
  </si>
  <si>
    <t>Guide to pgmpy: Probabilistic Graphical Models with #Python Code -  #MachineLearning</t>
  </si>
  <si>
    <t>https://buff.ly/3pHgUmJ</t>
  </si>
  <si>
    <t>ÜT: 40.458162,-3.879493</t>
  </si>
  <si>
    <t>Machine Learning. Data Science. Stake pool operator @ https://www.vanticatrading.com/blog</t>
  </si>
  <si>
    <t>https://www.linkedin.com/in/mpyllan/</t>
  </si>
  <si>
    <t>Pratik Tamakuwala</t>
  </si>
  <si>
    <t>https://okt.to/TwYIPZ</t>
  </si>
  <si>
    <t>https://pbs.twimg.com/media/Eu4hLBOWgAA1Pk8.jpg</t>
  </si>
  <si>
    <t>Pune</t>
  </si>
  <si>
    <t>I am an Engineer in Electronics &amp; Telecommunication field.I like to do the things which gives satisfaction.And always Cheering my TIME...</t>
  </si>
  <si>
    <t>Kashif Manzoor</t>
  </si>
  <si>
    <t>This AI technology tracks employees to enforce social distancing  #Innovation #Tech #Digital #EmergingTechnologies #Technology #digitaltransformation #MachineLearning</t>
  </si>
  <si>
    <t>https://cstu.io/6d95d5</t>
  </si>
  <si>
    <t>#Digital #Transformation #Cloud #EmergingTech, Cloud Architect@Oracle, Tech Evangelist, Speaker, weekly Podcast, blogs, Student of MSc in AI, views my own</t>
  </si>
  <si>
    <t>http://www.otechtalks.tv</t>
  </si>
  <si>
    <t>xgbse: Improving #XGBoost for Survival Analysis |  #MachineLearning</t>
  </si>
  <si>
    <t>https://buff.ly/3bqdorU</t>
  </si>
  <si>
    <t>ODSC East Virtual Conference Speaker:  #ODSCEast #DataScience #MachineLearning @JonKrohnLearns @untapt</t>
  </si>
  <si>
    <t>https://hubs.ly/H0GSkMc0</t>
  </si>
  <si>
    <t>https://pbs.twimg.com/media/Eu4gdsIXMAY0wns.jpg</t>
  </si>
  <si>
    <t>Creating “Unbiased News” Using Data Science #DeepLearning #learning #machinelearning via</t>
  </si>
  <si>
    <t>http://twinybots.ch
https://medium.com/swlh/creating-unbiased-news-using-data-science-dd01b52c109c</t>
  </si>
  <si>
    <t>AI Advantages in Banking Grow, Adding Pressure for Broad Adoption  #MachineLearning #AI #DeepLearning #fintech #lifescience #BigData #Analytics #RStats #Python #Java #ReactJS #Serverless #IoT #Linux #100DaysOfCode #SQL #Programming @JimMarous</t>
  </si>
  <si>
    <t>https://buff.ly/2HkTLDz</t>
  </si>
  <si>
    <t>https://pbs.twimg.com/media/Eu4gP1hXMAEA1Ib.png</t>
  </si>
  <si>
    <t>The New Analyst: The Rise Of Location In Advanced Analytics  by @SiAction via @forbes #AI #MachineLearning #Sustainability Cc @DeepLearn007 @andi_staub @SpirosMargaris @jblefevre60 @ahier @AkwyZ @mallys_ @Fabriziobustama @HITpol @HaroldSinnott</t>
  </si>
  <si>
    <t>https://www.forbes.com/sites/esri/2021/01/22/the-new-analyst-the-rise-of-location-in-advanced-analytics</t>
  </si>
  <si>
    <t>https://pbs.twimg.com/media/Eu4gPqAXEAEHKZH.jpg</t>
  </si>
  <si>
    <t>WiMLDS Pune</t>
  </si>
  <si>
    <t>Follow Us And You Follow The Sun !!! WiDS is Driving Worldwide sessions across - APAC/EMEA/Americas for a 24 hours virtual conference. Register yourself at  #datascience #collaboration #ai #machinelearning #deeplearning #innovation #ml #wids2021 #stanford</t>
  </si>
  <si>
    <t>https://widspune.com/</t>
  </si>
  <si>
    <t>https://pbs.twimg.com/media/Eu4f-sxWQAIZat-.jpg</t>
  </si>
  <si>
    <t>The Pune Chapter of Women in Machine Learning and Data Science @wimlds</t>
  </si>
  <si>
    <t>http://wimlds.org</t>
  </si>
  <si>
    <t>AI isn't yet ready to pass for human on video calls #MachineLearning #Python #NLP #Analytics #AI #100DaysOfCode #DEVCommunity #RPA #DL #DevOps #IoT #IIoT #Serverless #5G #womenintech #cybersecurity #DataScience #WomenWhoCode</t>
  </si>
  <si>
    <t>https://bit.ly/37zzI10</t>
  </si>
  <si>
    <t>https://pbs.twimg.com/media/Eu4foAKXMAIIK_B.jpg</t>
  </si>
  <si>
    <t>Science Magazine</t>
  </si>
  <si>
    <t>From the @SciRobotics archives: @ETH_en's new locomotion controller, based on #MachineLearning, enabled quadrupedal robots to successfully traverse various types of terrains or overcome unpredictable obstacles:  @ScienceVisuals @ACKdraws</t>
  </si>
  <si>
    <t>pic.twitter.com/oxihw2s79v</t>
  </si>
  <si>
    <t>Washington, DC &amp; Cambridge, UK</t>
  </si>
  <si>
    <t>The world's leading outlet for cutting-edge research in all areas of science. Follow @NewsfromScience for stories from our news team.</t>
  </si>
  <si>
    <t>http://www.sciencemag.org</t>
  </si>
  <si>
    <t>AI-Powered Powered Contextual Banking CX Requires a Radical Paradigm Shift  #Innovation #Fintech #Banking #DigitalBanking #FinServ #AI #MachineLearning #BigData #DataAnalytics #RPA #NLP #Chatbots #VoiceFirst #IoT</t>
  </si>
  <si>
    <t>https://bit.ly/37gENLA</t>
  </si>
  <si>
    <t>https://pbs.twimg.com/media/Eu4fkuuXEAk0EoZ.jpg</t>
  </si>
  <si>
    <t>The Deep Learning Inference Acceleration Blog Series — Part 2- Hardware  #DL #AI #ML #DeepLearning #ArtificialIntelligence #MachineLearning #ComputerVision #AutonomousVehicles #NeuroMorphic #Robotics</t>
  </si>
  <si>
    <t>https://buff.ly/3pH4RWz</t>
  </si>
  <si>
    <t>[D] Simple Questions Thread December 20, 2020  #MachineLearning</t>
  </si>
  <si>
    <t>https://www.reddit.com/r/MachineLearning/comments/kh2b81/d_simple_questions_thread_december_20_2020/</t>
  </si>
  <si>
    <t>WiDSPune2019</t>
  </si>
  <si>
    <t>Follow Us And You Follow The Sun !!! WiDS is Driving Worldwide sessions across - APAC/EMEA/Americas for a 24 hours virtual conference. Register yourself at  #datascience #machinelearning #ml #womenintech #WiDS2021 #stanford #technology</t>
  </si>
  <si>
    <t>https://pbs.twimg.com/media/Eu4fFHeWQAIKHWa.jpg</t>
  </si>
  <si>
    <t>https://sites.google.com/view/widspune2019/about</t>
  </si>
  <si>
    <t>Design Master</t>
  </si>
  <si>
    <t>Hi Do you need any logo Design visit my Link.. #AI #IoT #5G #Industry40 #Robotics #Robots #Tech #4IR #ArtificialInteligence #innovation #Machinelearning @Nicochan33 @jblefevre60 @mvollmer1 @MikeQuindazzi @HaroldSinnott @labordeolivier @chboursin</t>
  </si>
  <si>
    <t>https://cutt.ly/nkVT09u</t>
  </si>
  <si>
    <t>bang</t>
  </si>
  <si>
    <t>Graphic Designer</t>
  </si>
  <si>
    <t>https://www.fiverr.com/razu95/professional-modern-minimalist-logo-design-24-hrs</t>
  </si>
  <si>
    <t>🔰Would you let Elon Musk put electrodes in your brain if it would increase your performance? #BCI #Neuralink #NeuralNetworks #innovation #100DaysOfCode #tech #Engineering #MachineLearning #futurism #AI #STEM #neuroscience</t>
  </si>
  <si>
    <t>pic.twitter.com/k1dEJ5wtNb</t>
  </si>
  <si>
    <t>Bigdata Engineer</t>
  </si>
  <si>
    <t>Free Course for 3 Days - Apache Spark Project World Development Indicators Analytics  #ApacheSpark #BigData #DataScience #Analytics #Statistics #PredictiveModeling #MachineLearning #hadoop #DataScientist</t>
  </si>
  <si>
    <t>https://www.udemy.com/course/apache-spark-project-world-development-indicators-analytics/?couponCode=E5D9B6A233839E79CD4E</t>
  </si>
  <si>
    <t>Developer for Life, Hadoop, Bigdata, Apache Spark, Hive, Android, Machine Learning, Apache Pig, MapReduce, Teradata, Informatica, SQL, Kafka, Sqoop</t>
  </si>
  <si>
    <t>Digital Wellness</t>
  </si>
  <si>
    <t>NVIDIA is building an ai supercomputer for healthcare research in England. Read here:  #ArtificialIntelligence #MachineLearning #AI #NLP #BigData #DeepLearning #data #IoT #technology #tech #cybersecurity</t>
  </si>
  <si>
    <t>https://bit.ly/2Z6qbdo</t>
  </si>
  <si>
    <t>https://pbs.twimg.com/media/Eu4eaZhWQAElUyV.jpg</t>
  </si>
  <si>
    <t>CEO &amp; Co-founder DigiNxtHlt. Passionate about Newgen technologies. Also talk about women in tech, digital transformation, innovation, and leadership</t>
  </si>
  <si>
    <t>http://www.diginxthlt.com/</t>
  </si>
  <si>
    <t>Relecura</t>
  </si>
  <si>
    <t>Here is the link to an article from Bratati Mohapatra , Senior Engineer, R &amp; D at Relecura on ‘LDA: A Front Runner in Topic Modelling’:  #ai #machinelearning #datascience #artificialintelligence #Lda #topicmodellibg #relecura</t>
  </si>
  <si>
    <t>https://lnkd.in/dxU2NDS</t>
  </si>
  <si>
    <t>https://pbs.twimg.com/media/Eu4eWr-UcAAWlUc.jpg</t>
  </si>
  <si>
    <t>Pleasanton, CA</t>
  </si>
  <si>
    <t>Relecura helps you manage and understand technical data. Follow us to access a vast pool of technical intelligence reports and landscapes!</t>
  </si>
  <si>
    <t>https://www.relecura.com</t>
  </si>
  <si>
    <t>Most ML benchmarks favour throughput oriented systems but many use-cases need low-latency #NLProc #BigData #MachineLearning #AI #DataScience #StreamAnalytics #Edge #EdgeComputing #nlproc #NLP #ai #DataAnalytics #DataScience #HPC #NER #inference #RealTime #classification #medtech</t>
  </si>
  <si>
    <t>Hi Do you need any logo Design visit my Link.. DataScience #MachineLearning #Python #DataAnalysis #DeepLearning #SQL #ArtificialIntelligence #Microsoft #PowerBI #Tableau #BigData #hadoop #100DaysOfCode</t>
  </si>
  <si>
    <t>Use DirectML to add machine learning to C code  #MachineLearning</t>
  </si>
  <si>
    <t>https://www.infoworld.com/article/3606736/use-directml-to-add-machine-learning-to-c-code.html</t>
  </si>
  <si>
    <t>The Complete Data Visualization Course 2020  #machinelearning #ad</t>
  </si>
  <si>
    <t>https://zpy.io/b2dac647</t>
  </si>
  <si>
    <t>Fabrizio Bustamante</t>
  </si>
  <si>
    <t>MiR200 autonomous mobile robots.⁠ By @MobileIndRobots #AI #IoT #IIoT #5G #Industry40 #Robotics #Robots #Tech #4IR #ArtificialInteligence #innovation #Machinelearning Cc: @Nicochan33 @jblefevre60 @mvollmer1 @MikeQuindazzi @HaroldSinnott @labordeolivier @chboursin @LouisSerge</t>
  </si>
  <si>
    <t>pic.twitter.com/5NPTZeFvgI</t>
  </si>
  <si>
    <t>Vision of the Future! Entrepreneur. #Futureofwork #Blockchain #Al #Crypto #Marketing #Industry40 #Bigdata #Fintech #Cloud #Innovation #ML #AR #iot #5G</t>
  </si>
  <si>
    <t>http://Dataprius.com</t>
  </si>
  <si>
    <t>Robert Zembowicz</t>
  </si>
  <si>
    <t>Introduction to Machine Learning for Absolute Beginners #MachineLearning #DataSciene via @AnalyticsVidhya</t>
  </si>
  <si>
    <t>https://www.analyticsvidhya.com/blog/2021/02/introduction-to-machine-learning-for-absolute-beginners/</t>
  </si>
  <si>
    <t>Charlotte, NC, USA</t>
  </si>
  <si>
    <t>Physics by education &amp; at heart. Enterprise Architecture at work. Photography after hours. #AI #MachineLearning #BigData #DataScience #FinTech #QuantumComputing</t>
  </si>
  <si>
    <t>Simple2trade</t>
  </si>
  <si>
    <t>What are #fintech trends for this year? - #infographic #finance #financialindustry #AI #ML #ArtificialIntelligence #MachineLearning CC: @antgrasso @MikeQuindazzi @Ronald_vanLoon @lindagrass0 @mvollmer1 @evankirstel @HeinzVHoenen @Fabriziobustama @sbmeunier @terence_mills</t>
  </si>
  <si>
    <t>https://pbs.twimg.com/media/Eu4cH_nXUAEPYmF.jpg</t>
  </si>
  <si>
    <t>Simple2Trade empower trading companies with plug-and-play bot and web based platforms.</t>
  </si>
  <si>
    <t>http://www.simple2trade.com/</t>
  </si>
  <si>
    <t>Aravind Naidu</t>
  </si>
  <si>
    <t>Which Cloud computing platform you or your company opted for? #MachineLearning #CloudComputing #DataScience #DevOps #Azure #AmazonWebServices #HybridCloud</t>
  </si>
  <si>
    <t xml:space="preserve">Nashik Maharashtra </t>
  </si>
  <si>
    <t>🤖Machine Learning Engineer 🤖 "Code, Data and Math are my Holy Trinity" ✏ Writer, Storyteller, and an unfortunate Poet.</t>
  </si>
  <si>
    <t>http://www.github.com/aravind-naidu/</t>
  </si>
  <si>
    <t>🅾️🅿️CODE💢</t>
  </si>
  <si>
    <t>A Curated List of 57 Amazing GitHub Repositories #BigData #Analytics #DataScience #AI #MachineLearning #IoT #IIoT #Python #RStats #TensorFlow #JavaScript #ReactJS #CloudComputing #Serverless #DataScientist #Linux #Books #Programming #Coding #100DaysofCode</t>
  </si>
  <si>
    <t>https://bit.ly/3pRzH03</t>
  </si>
  <si>
    <t>#ArtificialIntelligence #MachineLearning #DeepLearning #NeuralNetworks #Tech #IOT #EmbeddedSystems #Programming #Cybersecurity #Automotive #IIOT #InfoSec #Linux</t>
  </si>
  <si>
    <t>Gulshan Yadav</t>
  </si>
  <si>
    <t>13+ years exp. in Automotive🚗🚜 sw &amp; fw dev. #Embedded Systems #EdgeComputing #BigData #DataScience Data Engineering #Azure #IOT #AI #MachineLearning #Coding</t>
  </si>
  <si>
    <t>http://linkedin.com/in/gulshanyadav</t>
  </si>
  <si>
    <t>Visualizing Twitter Statistics with Python and Pandas.  #Python #programming #100DaysOfCode #IoT #MachineLearning #100DaysOfMLCode #AI #javascript #womenwhocode #RStats #Serverless #CodeNewbie #DataScience #DEVCommunity #DataScientist #BigData</t>
  </si>
  <si>
    <t>https://towardsdatascience.com/visualizing-twitter-statistics-with-python-and-pandas-956125b369e5</t>
  </si>
  <si>
    <t>Good read! The flipside of the #AI #jobs #revolution  #fintech #ArtificialIntelligence #MachineLearning #robotics #futureofwork #ML #100DaysOfMLCode #100DaysofCode #DataScience #BigData #CloudComputing #DataScientist #Python #JavaScript #Linux #IoT</t>
  </si>
  <si>
    <t>https://buff.ly/3aKTmb9</t>
  </si>
  <si>
    <t>#AI #ML #MachineLearning RT @MikeTamir: A Tour of End-to-End Machine Learning Platforms | Databaseline  #AI #DeepLearning #DataScience #MachineLearning</t>
  </si>
  <si>
    <t>AI Sydney</t>
  </si>
  <si>
    <t>Calastone implements Opsmatix Artificial Intelligence solution Improving client handling and efficiency within client operations PRNewswire  #aisydney #artificialintelligence #ai #artificialintelligence #machinelearning #analytics #bigdata #deeplearning</t>
  </si>
  <si>
    <t>https://prn.to/2ZliSyr</t>
  </si>
  <si>
    <t>https://pbs.twimg.com/media/Eu4Z4LvWQAEoH-7.jpg</t>
  </si>
  <si>
    <t>Flex your data muscle with AI Sydney</t>
  </si>
  <si>
    <t>https://aisydney.com.au</t>
  </si>
  <si>
    <t>Enetwork.AI</t>
  </si>
  <si>
    <t>#machinelearning interview questions and answers part 2.</t>
  </si>
  <si>
    <t>https://youtu.be/42iIOU-nb3w</t>
  </si>
  <si>
    <t>contact@enetwork.ai</t>
  </si>
  <si>
    <t>Schedule free Mock Interview Sessions on AI, ML and Data Science. for more details email us.</t>
  </si>
  <si>
    <t>https://enetwork.ai/</t>
  </si>
  <si>
    <t>Superintelligence Cannot be Contained: Lessons from Computability Theory  [PDF Journal of Artificial Intelligence Research] #AI #MachineLearning #DeepLearning Cc @DeepLearn007 @JimMarous @SpirosMargaris @YvesMulkers @terence_mills @psb_dc @andi_staub</t>
  </si>
  <si>
    <t>https://buff.ly/3chtjLt</t>
  </si>
  <si>
    <t>https://pbs.twimg.com/media/Eu4ZYS3WYAEsuMe.png</t>
  </si>
  <si>
    <t>Clari5</t>
  </si>
  <si>
    <t>Be Prepared. Then Prepare Some More.  #onlinebanking #banking #fintech #crossborder #Payment #Fraud #AI #MachineLearning #ML</t>
  </si>
  <si>
    <t>https://zcu.io/R9lh</t>
  </si>
  <si>
    <t>pic.twitter.com/TGzUzxd7qs</t>
  </si>
  <si>
    <t>Global (HQ: Bangalore, India)</t>
  </si>
  <si>
    <t>Changing the way global banks manage financial crime with extreme real-time, cross-channel contextual interventions.</t>
  </si>
  <si>
    <t>http://www.clari5.com</t>
  </si>
  <si>
    <t>Tookitaki Powers AI-Driven Anti-Money Laundering Solution Using HPE GreenLake - The  #machinelearning #intoAInews</t>
  </si>
  <si>
    <t>https://neurons.ai/blog/news-stories/tookitaki-powers-ai-driven-anti-money-laundering-solution-using-hpe-greenlake-2/</t>
  </si>
  <si>
    <t>DreamsPlus</t>
  </si>
  <si>
    <t>Whether you want to cover the basics of #InformationTechnology or learn it in depth. We’ve got a number of #certifications that will help you build your career in IT! Visit  #Agile #DataScience #MachineLearning #ArtificialIntelligence #CISA</t>
  </si>
  <si>
    <t>http://www.dreamsplus.in/all-events/</t>
  </si>
  <si>
    <t>https://pbs.twimg.com/media/Eu4YtRyXAAIGlH2.jpg</t>
  </si>
  <si>
    <t>DreamsPlus is a partner for Microsoft Silver Learning, EXIN, PROMETRIC and PEARSONVUE with international excellence and consultancy services</t>
  </si>
  <si>
    <t>http://www.dreamsplus.in</t>
  </si>
  <si>
    <t>Ehsan</t>
  </si>
  <si>
    <t>Inclusivity in #MachineLearning community these days 🤷‍♂️ #Clubhouse 🤦‍♂️</t>
  </si>
  <si>
    <t>https://pbs.twimg.com/media/Eu4X-JXVkAAuXtN.jpg</t>
  </si>
  <si>
    <t>Vancouver, British Columbia</t>
  </si>
  <si>
    <t>Science and Software Enthusiast 🧐🚀 Applied Scientist @awscloud 🤖 Author of http://createlang.rs 🦀 Alumni @UBC and @SharifUni (Opinions are my own)</t>
  </si>
  <si>
    <t>http://ehsanmkermani.com</t>
  </si>
  <si>
    <t>An AI with a Human Brain #ArtificialIntelligence #learning #machinelearning via</t>
  </si>
  <si>
    <t>http://twinybots.ch
https://medium.com/innovation-incubator/an-ai-with-a-human-brain-f96b0f791bfe</t>
  </si>
  <si>
    <t>Anand</t>
  </si>
  <si>
    <t>The increasing adoption of #computational creativity solutions &amp; advancements in #MachineLearning &amp;amp; #DeepLearning algorithms are key catalysts to nurture machine co-creativity in coming years. More with @Frost_Sullivan Top 5 #Technology Opps for 2021:</t>
  </si>
  <si>
    <t>https://bit.ly/2ZELN0T</t>
  </si>
  <si>
    <t>Vision33_egov</t>
  </si>
  <si>
    <t>#COVID19 has shown us it’s crucially important to do things differently. Start by getting creative with #EnterpriseTech, #automation, #MachineLearning, and #ArtificialIntelligence.</t>
  </si>
  <si>
    <t>https://hubs.ly/H0GXlX90</t>
  </si>
  <si>
    <t>Helping customers grow through enterprise resource planning (ERP), automation, and integration solutions. We believe in the promise of technology.</t>
  </si>
  <si>
    <t>http://www.vision33.com</t>
  </si>
  <si>
    <t>Machine Learning &amp; Training Neural Network in MATLAB  #machinelearning #ad</t>
  </si>
  <si>
    <t>https://zpy.io/4ac079a2</t>
  </si>
  <si>
    <t>Sarbottam Thapa Magar</t>
  </si>
  <si>
    <t>Day 52 of #66DaysOfData Wrote a test case for the RESTful API endpoints. Working towards making the code ready for production. Happy Learning!!! #Datascience #Machinelearning</t>
  </si>
  <si>
    <t>https://pbs.twimg.com/media/Eu4Vys6XEAI-Aq5.png</t>
  </si>
  <si>
    <t>Ahsan Ehtesham</t>
  </si>
  <si>
    <t>Predicting Sentiment Of COVID-19 Tweets #MachineLearning #learning via</t>
  </si>
  <si>
    <t>http://twinybots.ch
https://www.analyticsvidhya.com/blog/2021/02/sentiment-analysis-predicting-sentiment-of-covid-19-tweets/</t>
  </si>
  <si>
    <t>Tech Enthusiast Follow for daily and new technology updates!!!</t>
  </si>
  <si>
    <t>https://techae.000webhostapp.com/</t>
  </si>
  <si>
    <t>Behind The Scenes Of #AI, #IoT And #5G Advancement  #fintech #ArtificialIntelligence #MachineLearning #DeepLearning #BigData</t>
  </si>
  <si>
    <t>https://buff.ly/3sjyxeo</t>
  </si>
  <si>
    <t>https://pbs.twimg.com/media/Eu4VQyrXMAIRTAD.jpg</t>
  </si>
  <si>
    <t>Chris Fregly</t>
  </si>
  <si>
    <t>Our first workshop of 2021 was a great success! Join @anbarth and me next month for brand new content as we dive deep into our upcoming O'Reilly Book. #amazon #datascience #machinelearning #ai #aws #artificialintelligence #cloud #bigdata</t>
  </si>
  <si>
    <t>https://lnkd.in/gyzRiTe</t>
  </si>
  <si>
    <t>Developer Advocate, AI and Machine Learning @ AWS Book Author, "Data Science on AWS" @ O'Reilly</t>
  </si>
  <si>
    <t>https://datascienceonaws.com</t>
  </si>
  <si>
    <t>Retail NZ</t>
  </si>
  <si>
    <t>The future is here! 🚀 . . #RetailTech #IoT #tech #innovation #DigitalTransformation #Robotics #Automation #technology #ArtificialIntelligence #MachineLearning #Engineering #AI RT @MachinePix: SqUID warehouse logistics robot by Bionic Hive.</t>
  </si>
  <si>
    <t>https://twitter.com/MachinePix/status/1349087453622185989</t>
  </si>
  <si>
    <t>pic.twitter.com/1QzhBO4S5V</t>
  </si>
  <si>
    <t>New Zealand</t>
  </si>
  <si>
    <t>We're focused on taking Kiwi retail businesses further, through leading edge support! Our purpose: To help retailers succeed and strengthen NZ inc. #RetailNZ</t>
  </si>
  <si>
    <t>https://www.facebook.com/retailnz/</t>
  </si>
  <si>
    <t>How to run Logistic Regression on Aggregate Data in R –  by @predictivehacks #MachineLearning</t>
  </si>
  <si>
    <t>https://buff.ly/3dvbRDD</t>
  </si>
  <si>
    <t>imtiyaz</t>
  </si>
  <si>
    <t>The pattern program using #python  #programming #coding #programmer #javascript #html #MachineLearning #Java #100DaysOfCode #iot #code #ArtificialIntelligence #education #tech #AI #ML #Linux #css #ios #cloudcomputing #reactjs #PHP #DataScience</t>
  </si>
  <si>
    <t>https://youtu.be/Lzhr_-aK7sM</t>
  </si>
  <si>
    <t>https://pbs.twimg.com/media/Eu4TqBHXcAA5fDi.jpg</t>
  </si>
  <si>
    <t>People Report FLOPS but actually use MACC [R] #MachineLearning #learning via</t>
  </si>
  <si>
    <t>http://twinybots.ch
https://www.reddit.com/r/MachineLearning/comments/lq5epz/people_report_flops_but_actually_use_macc_r/?utm_source=ifttt</t>
  </si>
  <si>
    <t>MC Hammer trending in Technology on Twitter. Love It!!! @MCHammer #AI #machinelearning #GPT3 #coding #python #music #bigdata #computerscience #datascience #technology #Tech #AR #VR #IoT #ios #twitter</t>
  </si>
  <si>
    <t>pic.twitter.com/fnM5DTamVK</t>
  </si>
  <si>
    <t>Verónica Vanesa Intriago C.</t>
  </si>
  <si>
    <t>Impresionante #ISACFCA #VeronicaIntriago #robotdog #coding #100DaysOfCode #MachineLearning #ML #AI #DEVCommunity #Python #IoT #IIoT #Robotics #futureofwork #STEMeducation #RStats #flutter #RPA RT @MargaretSiegien: Warning! cuteness overload by petoi Bittle MT @TinkerGen_ @PetoiCamp @MargaretSiegien @PawlowskiMario #robotdog #coding #100DaysOfCode #MachineLearning #ML #AI #DEVCommunity #Python #IoT #IIoT #Robotics #futureofwork #STEMeducation #RStats #flutter #RPA</t>
  </si>
  <si>
    <t>https://twitter.com/MargaretSiegien/status/1364036443367231491</t>
  </si>
  <si>
    <t>pic.twitter.com/0TRK6s4KxQ</t>
  </si>
  <si>
    <t>Estudiante de la Universidad de Guayaquil de la Carrera Ingenieria en Sistemas Administrativos Computarizados. Analista de datos en Power BI</t>
  </si>
  <si>
    <t>“When the customer comes first, the customer will last.” – Robert Half #hclswlobp #customercare #support #caring #business #datascience #ai #bot #iot #machinelearning #futureofwork #womenintech #customer #success #partnership #quotes</t>
  </si>
  <si>
    <t>https://via.socxo.net/ApeJfvYfm8BCP</t>
  </si>
  <si>
    <t>Data Science Dojo</t>
  </si>
  <si>
    <t>📌 Bootcamps and interactive online platforms are an excellent way to acquire new skills. This blog post lists some of the top data science &amp; machine learning boot camps that can help you grow your career.  #DataScience #MachineLearning #Bootcamp</t>
  </si>
  <si>
    <t>https://hubs.ly/H0G-_MK0</t>
  </si>
  <si>
    <t>Seattle, WA</t>
  </si>
  <si>
    <t>Disrupting the data science education space by offering unique and dynamic courses for individuals and organizations. #DSDojo</t>
  </si>
  <si>
    <t>https://datasciencedojo.com/</t>
  </si>
  <si>
    <t>100 Days of Code/ Day 53-Recipe Basics- Keywords #BWIAI #100DaysOfCode #Python #data #WomenInSTEM #fintech #edtech #ios #DataScience #Foodie #AR #TechNews #NBA #robotics #MCHammer #Tech #STEM #Math #artificialintelligence #AI #machinelearning #IoT #Apple #gamer @BlackWomenInAI</t>
  </si>
  <si>
    <t>https://pbs.twimg.com/media/Eu4SUq3VcAArTvw.jpg</t>
  </si>
  <si>
    <t>#R Programming: Advanced Analytics In R For Data Science #udemyfree #udemycoupon =&gt;  #DataScience #R #DataAnalysis #DeepLearning #TensorFlow #Python #ArtificialIntelligence #MachineLearning #NeuralNetworks #javascript30 #100DaysOfCode #udemy</t>
  </si>
  <si>
    <t>https://freehipwee.blogspot.com/2020/01/r-programming-advanced-analytics-in-r.html</t>
  </si>
  <si>
    <t>Arthur Guttilla</t>
  </si>
  <si>
    <t>Descubra como os setores financeiro, varejo e de saúde estão usando #AI e #MachineLearning no Brasil para superar desafios e inovar com mais rapidez. Convide sua equipe e junte-se a nós no #AWSInnovate ☁️</t>
  </si>
  <si>
    <t>https://go.aws/2ZmwJVy</t>
  </si>
  <si>
    <t>https://pbs.twimg.com/media/Eu4SDYzXcAMUSzd.jpg</t>
  </si>
  <si>
    <t>Apaixonado por tecnologia e inovação. Building the future at Amazon Web Services @AWSCloud . My opinions are my own.</t>
  </si>
  <si>
    <t>https://linktr.ee/arthurguttilla</t>
  </si>
  <si>
    <t>Can We #Trust #AI? When AI Asks For #Human #Help  #fintech #ArtificialIntelligence #MachineLearning #DeepLearning #robotics @ctowersclark @PodGroup_IoT @HaroldSinnott @Paula_Piccard @YuHelenYu @terence_mills P@Damien_CABADI @enricomolinari @mclynd</t>
  </si>
  <si>
    <t>https://pbs.twimg.com/media/Eu4SDV0XEAcmwV5.jpg</t>
  </si>
  <si>
    <t>https://pbs.twimg.com/media/Eu4SDSnXYAYoZiK.jpg</t>
  </si>
  <si>
    <t>Mine Your Own vieW: Self-Supervised Learning Through Across-Sample Prediction Paper:  #artificialintelligence #machinelearning</t>
  </si>
  <si>
    <t>https://arxiv.org/pdf/2102.10106.pdf</t>
  </si>
  <si>
    <t>https://pbs.twimg.com/media/Eu4R707XMAMPABY.png</t>
  </si>
  <si>
    <t>How #BigData Is Battling Child Abuse  by @danielmatthews0 via @datamadesimple #AI #MachineLearning #Privacy Cc @Nad_Alves @dinisguarda @Fisher85M @andi_staub @annairrera @luc_schuurmans @sallyeaves</t>
  </si>
  <si>
    <t>https://bigdata-madesimple.com/big-data-battling-child-abuse</t>
  </si>
  <si>
    <t>https://pbs.twimg.com/media/Eu4R1aHXAAkdrD8.jpg</t>
  </si>
  <si>
    <t>[D] Cheatsheet for 'Is Space-Time Attention All You Need for Video Understanding?' Bertasius et al. TimeSFormers ...</t>
  </si>
  <si>
    <t>https://www.reddit.com/r/MachineLearning/comments/lpskyo/d_cheatsheet_for_is_spacetime_attention_all_you/</t>
  </si>
  <si>
    <t>People Report FLOPS but actually use MACC [R]</t>
  </si>
  <si>
    <t>https://www.reddit.com/r/MachineLearning/comments/lq5epz/people_report_flops_but_actually_use_macc_r/</t>
  </si>
  <si>
    <t>https://ift.tt/3bu9JJH</t>
  </si>
  <si>
    <t>Bulger Media</t>
  </si>
  <si>
    <t>The latest The Social media Daily!  #parkhyesoo #machinelearning</t>
  </si>
  <si>
    <t>https://paper.li/e-1513738567?edition_id=04a48af0-7583-11eb-9bb6-0cc47a0d1605</t>
  </si>
  <si>
    <t>social media marketing firm specializing in twitter,Facebook,LinkedIn,Pinterest and instagram marketing. online content monitoring. company branding...</t>
  </si>
  <si>
    <t>http://www.facebook.com/bulgermedia</t>
  </si>
  <si>
    <t>Is #AI-enabled radiomics next frontier in #oncology @msharmas @HCITExpert @HealthITNews #HITsmIND #healthcare #ArtificialIntelligence #PatientEngagement #PatientCare #MachineLearning #PrecisionMedicine #Cancer #imaging #Analytics #Genetics #innovation</t>
  </si>
  <si>
    <t>analytikus</t>
  </si>
  <si>
    <t>The Coronavirus and Online Learning – An Alternate Perspective -  - #Analytikus #MachineLearning #Coronavirus</t>
  </si>
  <si>
    <t>https://www.analytikus.com/post/the-coronavirus-and-online-learning-an-alternate-perspective</t>
  </si>
  <si>
    <t>Florida, USA</t>
  </si>
  <si>
    <t>Helping organizations unlock the full potential of Data through the proper integration of Technology, Processes and Methodology. Analytics, BI and Big Data.</t>
  </si>
  <si>
    <t>http://www.analytikus.com</t>
  </si>
  <si>
    <t>Anno Domaini®</t>
  </si>
  <si>
    <t>Api #SaaS #startups can now create a brand with domain  #Api #Startup #business #DataScience #MachineLearning #Python #AI #entrepreneurs #100DaysOfCode #IoT #flutter ApiStartup #javascript #Serverless #CyberSecurity #RStats #Automation #tech #PaaS #SaaS</t>
  </si>
  <si>
    <t>http://www.ApiStartup.com</t>
  </si>
  <si>
    <t>https://pbs.twimg.com/media/EuhA1r-XIAI5jXd.jpg</t>
  </si>
  <si>
    <t>Delray Beach, FL</t>
  </si>
  <si>
    <t>A.D. Anno Domaini®Inc. App- &amp; Domain name creations. Crypto names &amp; Api development business names available. #StartupFX #NonstopUSA #FlyMEA</t>
  </si>
  <si>
    <t>http://www.AnnoDomaini.com</t>
  </si>
  <si>
    <t>MIT CSAIL taps AI to reduce sheet metal waste #ArtificialIntelligence #learning #machinelearning via</t>
  </si>
  <si>
    <t>http://twinybots.ch
https://venturebeat.com/2021/02/18/mit-csail-taps-ai-to-reduce-sheet-metal-waste/?utm_source=dlvr.it&amp;utm_medium=twitter</t>
  </si>
  <si>
    <t>GABO</t>
  </si>
  <si>
    <t>8 databases supporting in-database machine learning #Learning #machinelearning via</t>
  </si>
  <si>
    <t>http://twinybots.ch
https://www.infoworld.com/article/3607762/8-databases-supporting-in-database-machine-learning.html</t>
  </si>
  <si>
    <t>In a place called world.</t>
  </si>
  <si>
    <t>#Musician ♫, #pianist, #composer; #Enterprising, #independent, with own and personal opinion, #design enthusiast, film buff, #sitcoms, #Nederlands #português.</t>
  </si>
  <si>
    <t>http://www.gabosl.es/ourproducts</t>
  </si>
  <si>
    <t>Our guest in this episode, Alex Bates, is working to bring #AI and #MachineLearning to the forefront of the industrial market. Listen for action items</t>
  </si>
  <si>
    <t>https://bit.ly/2IV2dJy</t>
  </si>
  <si>
    <t>Handling Data Scarcity while building Machine Learning applications  #ArtificialIntelligence #MachineLearning #DataScience #BigData #DeepLearning #coding #100DaysOfCode #100DaysOfMLCode</t>
  </si>
  <si>
    <t>https://towardsdatascience.com/handling-data-scarcity-while-building-machine-learning-applications-e6c243b284b0</t>
  </si>
  <si>
    <t>Successor to HMD’s Nokia 6.2 leaks with side-mounted fingerprint sensor: #BigData #MachineLearning #AI #IoT HT: @worldtrendsinfo</t>
  </si>
  <si>
    <t>https://www.theverge.com/2021/1/8/22220880/hmd-nokia-6-3-4-phone-design-release-date-features-price-cameras</t>
  </si>
  <si>
    <t>https://pbs.twimg.com/media/Eu4PAwmVEAkcUtJ.jpg</t>
  </si>
  <si>
    <t>Machine Learning for Healthcare  #MachineLearning</t>
  </si>
  <si>
    <t>https://ocw.mit.edu/courses/electrical-engineering-and-computer-science/6-s897-machine-learning-for-healthcare-spring-2019/</t>
  </si>
  <si>
    <t>Darsa Ai</t>
  </si>
  <si>
    <t>We are happy to share that #DarsaAi is shortlisted by @NASSCOMCoEIoT for SMCC #Startup Challenge. #ai #artificialintelligence #aitransformation #surveillance #machinelearning #iot</t>
  </si>
  <si>
    <t>VIDEO ANALYTICS PLATFORM for any facility to do VISUAL INSPECTIONS,REPORTING &amp; ALERT MANAGEMENT</t>
  </si>
  <si>
    <t>https://darsa.ai</t>
  </si>
  <si>
    <t>Helio Santos</t>
  </si>
  <si>
    <t>the help conclude past therapist . . . #landscape #aiart #machinelearning #postpainting #computervision #creativecoding #art #painting #contemporaryart #artificialintelligence #coding #artTechnology</t>
  </si>
  <si>
    <t>https://pbs.twimg.com/media/Eu4OWUQVEAQjr0Z.jpg</t>
  </si>
  <si>
    <t>Colima, México</t>
  </si>
  <si>
    <t>http://www.heliosantos.org</t>
  </si>
  <si>
    <t>From Text to Knowledge: The Information Extraction Pipeline.  #MachineLearning #Python #IoT #flutter #100DaysOfMLCode #AI #javascript #womenwhocode #RStats #Serverless #CodeNewbie #DataScience #100DaysOfCode</t>
  </si>
  <si>
    <t>https://towardsdatascience.com/from-text-to-knowledge-the-information-extraction-pipeline-b65e7e30273e</t>
  </si>
  <si>
    <t>https://pbs.twimg.com/media/Eu3OY0LVoAI6stR.png</t>
  </si>
  <si>
    <t>Straxxxes</t>
  </si>
  <si>
    <t>Here is a preview video of what I have built over the past week, considering I only spent 2 hours coding a day. #MachineLearning #Python #AI #100DaysOfCode #DEVCommunity #IoT #javascript #Serverless #womenintech #cybersecurity #CodeNewbie #NLP #ChiskopChallenge</t>
  </si>
  <si>
    <t>pic.twitter.com/VnYyivsXqa</t>
  </si>
  <si>
    <t>Youtuber, Gamer and community builder.</t>
  </si>
  <si>
    <t>https://www.youtube.com/channel/UCWCR-8Dphul-9zp2feRVIlQ</t>
  </si>
  <si>
    <t>Morning Motivation💖 "Always remember that you are absolutely unique. Just like everyone else." -Margaret Mead @shecodesio #WomenWhoCode #China #BreakingNews #100DaysOfCode #CodeNewbie #webdev #javascript #MachineLearning #hafeez #HBLPSL6 #Trump #Ronaldo #Iran #MBBS #AuratMarch</t>
  </si>
  <si>
    <t>https://pbs.twimg.com/media/Eu4EdwLUUAgNM_m.jpg</t>
  </si>
  <si>
    <t>USU Biologist Uses #MachineLearning Approach to Track Disease-Carrying Mosquitoes  H/T: @UStateScience</t>
  </si>
  <si>
    <t>Mike Smith</t>
  </si>
  <si>
    <t>$RNWK 1st got our attention w/ $NVDA. RNWK’s #ai integrated w Axis Communications #security, $aaxn 11bb/rnwk 150mm &amp; more in Rev than $veri @1BB $appn $exls $estc $splk $newr $inod #trader #investor #bigdata #webull #robinhood #datascience #MachineLearning</t>
  </si>
  <si>
    <t>https://www.biometricupdate.com/201910/nvidia-adds-safr-facial-recognition-to-smart-city-partner-program</t>
  </si>
  <si>
    <t>Micro to Midcap Newsletter from retired Buyside Managers doing fundamental research - food for thought do your own dd - NOT INVESTMENT ADVICE - Qual not Quan</t>
  </si>
  <si>
    <t>http://www.buysidereport.com</t>
  </si>
  <si>
    <t>Google’s Model Search automatically optimizes and identifies AI models #ArtificialIntelligence #learning #machinelearning via</t>
  </si>
  <si>
    <t>http://twinybots.ch
https://venturebeat.com/2021/02/19/googles-model-search-automatically-optimizes-and-identifies-ai-models/?utm_source=dlvr.it&amp;utm_medium=twitter</t>
  </si>
  <si>
    <t>Live Webinar: How to do Machine Learning in the database  #MachineLearning</t>
  </si>
  <si>
    <t>https://mindsdb.com/webinar-machine-learning-database/</t>
  </si>
  <si>
    <t>Our main focus in this blog will be to understand linear regression which falls under supervised machine learning algorithms. #DataScience #MachineLearning</t>
  </si>
  <si>
    <t>https://hubs.ly/H0GQSf00</t>
  </si>
  <si>
    <t>[#AutonomousVehicles #Regtech #Transportation #SmartCity #Sustainability] The Future Is Taking Shape Before Our Eyes  by @edans v/ @Forbes #AI #MachineLearning Cc @akwyz @sallyeaves @jblefevre60 @Fisher85M @psb_dc @roxananasoi @pierrepinna</t>
  </si>
  <si>
    <t>https://www.forbes.com/sites/enriquedans/2021/01/21/the-future-is-taking-shape-before-oureyes</t>
  </si>
  <si>
    <t>Hashnode</t>
  </si>
  <si>
    <t>In this article, you will learn about: 💙 The topological graph neural networks 💙 Why machine learning algorithms are hard to tune 💙 Technical challenges for Training Fair Neural Networks &amp; more. Written by @theroyakash. #machinelearning #hashnode</t>
  </si>
  <si>
    <t>https://publications.iamroyakash.com/machine-learning-issue-02</t>
  </si>
  <si>
    <t>Delaware, US</t>
  </si>
  <si>
    <t>Hashnode is the easiest way to start a blog on your personal domain 🌏 for free and connect with the readers through our dev community! 👩‍💻👨‍💻</t>
  </si>
  <si>
    <t>https://hashnode.com</t>
  </si>
  <si>
    <t>https://www.netcarreiras.com.br/curriculo-suprimentos-114295#.YDRpAaFDrt4.twitter</t>
  </si>
  <si>
    <t>Facebook has removed my 5-years old account with no reason? #serverless #cybersecurity #php #100DaysOfCode #indiegames #coronavirus #Linux #GameDev #technology #machinelearning #fisheyebox #ndroid #javascript #nodejs #reactjs #programming #reactjsdeveloper #nodejsdevelopment</t>
  </si>
  <si>
    <t>https://pbs.twimg.com/media/Eu4LBtPXAAAfKMb.jpg</t>
  </si>
  <si>
    <t>#Offer2021 | #Discounts | 13 Best #RProgramming Certifications  #AI #ArtificialIntelligence #BI #MachineLearning #DeepLearning #BigData #Analytics #r #BigDataAnalytics #dataviz #Industry40 #ML #DL #business #marketing</t>
  </si>
  <si>
    <t>http://bit.ly/2FGUUUd</t>
  </si>
  <si>
    <t>the brood pump about cornflakes . . . #landscape #aiart #machinelearning #postpainting #computervision #creativecoding #art #painting #contemporaryart #artificialintelligence #coding #artTechnology</t>
  </si>
  <si>
    <t>https://pbs.twimg.com/media/Eu4K5FRVgAIKjuL.jpg</t>
  </si>
  <si>
    <t>Creating “Unbiased News” Using Data Science #MachineLearning #deeplearning #learning via</t>
  </si>
  <si>
    <t>Sandeep Raut</t>
  </si>
  <si>
    <t>Read my #MachineLearning Daily  #deeplearning #machinelearning</t>
  </si>
  <si>
    <t>https://paper.li/rautsan/1450695271?edition_id=7ea4a2e0-757e-11eb-9bb6-0cc47a0d1605</t>
  </si>
  <si>
    <t>Mumbai, Maharashtra 400057, India</t>
  </si>
  <si>
    <t>Top 10 #DigitalTransformation influencer, Founder &amp; CEO @Going_Digital30 #DigitalStrategy #ChiefDigitalOfficer #CX #MachineLearning #AI #BigData #IoT #Mobility</t>
  </si>
  <si>
    <t>https://www.goingdigital.in/</t>
  </si>
  <si>
    <t>Mathias Mendoza</t>
  </si>
  <si>
    <t>My new AI baby learning how to play Breakout! It has a A3C algorithm, I hope you like it, just getting started with machine learning 🖤💻 #Singularity #singularitynet #MachineLearning #ai #Python</t>
  </si>
  <si>
    <t>pic.twitter.com/0GZPO58606</t>
  </si>
  <si>
    <t>"Somewhere, something incredible is waiting out there to be known". - Carl Sagan 🚀🪐</t>
  </si>
  <si>
    <t>Global Machine Learning Courses Market 2021: Industry Demand, Insight &amp; Forecast By 2025 | COVID19 Impact Analysis | InForGrowth – The Bisouv Network - The Bisouv Network  #machinelearning #ai #technology</t>
  </si>
  <si>
    <t>http://dlvr.it/RtGpR8</t>
  </si>
  <si>
    <t>People Report FLOPS but actually use MACC</t>
  </si>
  <si>
    <t>Building Custom Deep Learning Based OCR models #DeepLearning #learning #machinelearning via</t>
  </si>
  <si>
    <t>http://twinybots.ch
https://nanonets.com/blog/attention-ocr-for-text-recogntion/</t>
  </si>
  <si>
    <t>Here’s our first real look at Android 12’s new Conversation widget - ... as the  #machinelearning #intoAInews</t>
  </si>
  <si>
    <t>https://neurons.ai/blog/news-stories/heres-our-first-real-look-at-android-12s-new-conversation-widget/</t>
  </si>
  <si>
    <t>Apple goes on hiring spree for its Seattle Siri and AI teams - A majority of the  #machinelearning #intoAInews</t>
  </si>
  <si>
    <t>https://neurons.ai/blog/news-stories/apple-goes-on-hiring-spree-for-its-seattle-siri-and-ai-teams-2/</t>
  </si>
  <si>
    <t>Israel’s IAI and Matrix partner for AI center focused on automatic target detection -  #machinelearning #intoAInews</t>
  </si>
  <si>
    <t>https://neurons.ai/blog/news-stories/israels-iai-and-matrix-partner-for-ai-center-focused-on-automatic-target-detection/</t>
  </si>
  <si>
    <t>Applications of Artificial Intelligence in COVID-19 ICU and ER situations - Artificial  #machinelearning #intoAInews</t>
  </si>
  <si>
    <t>https://neurons.ai/blog/news-stories/applications-of-artificial-intelligence-in-covid-19-icu-and-er-situations/</t>
  </si>
  <si>
    <t>Global Machine Learning Courses Market 2021: Industry Demand, Insight &amp; Forecast By -  #machinelearning #intoAInews</t>
  </si>
  <si>
    <t>https://neurons.ai/blog/news-stories/global-machine-learning-courses-market-2021-industry-demand-insight-forecast-by-2025/</t>
  </si>
  <si>
    <t>Contempediacom</t>
  </si>
  <si>
    <t>Deployment of Machine Learning Models in Production | Python | Course =&gt;  #DataScience #MachineLearning #ConvolutionalNeuralNetworks #TensorFlow #Python #DeepLearning #ArtificialIntelligence #javascript30 #free #udemy #coupons #100DaysOfCode</t>
  </si>
  <si>
    <t>#udemy #coupon 100% Off, #free #courses #Discount, Great Online Courses, Coupons App, Coupons, Discount Coupons, Free Coupons</t>
  </si>
  <si>
    <t>Udemy Free Discount - Deep Learning with Python and Keras #udemycoupon -&gt;  #DataScience #MachineLearning #Python #DataAnalysis #DeepLearning #SQL #ArtificialIntelligence #Microsoft #PowerBI #Tableau #BigData #hadoop #100DaysOfCode</t>
  </si>
  <si>
    <t>http://www.couponfree.uk/2019/08/deep-learning-with-python-and-keras.html</t>
  </si>
  <si>
    <t>Paula Williams ✈️</t>
  </si>
  <si>
    <t>“Oh, my goodness. That’s terrifying. Where do I sign up? I absolutely want this!” Paula’s reaction to one of these AI marketing tools. (Actually, to several of them, to be honest.)  #ai #machinelearning #aviationmarketing</t>
  </si>
  <si>
    <t>https://aviationbusinessconsultants.com/2021/02/ten-creepy-ai-tools-for-aviation-marketing/</t>
  </si>
  <si>
    <t>https://pbs.twimg.com/media/Eu4IHWIVcAUeA9n.jpg</t>
  </si>
  <si>
    <t>Salt Lake City, UT</t>
  </si>
  <si>
    <t>We help aviation companies sell more of their products and services.</t>
  </si>
  <si>
    <t>https://aviationbusinessconsultants.com/free-aviation-marketing-tip-sheets/</t>
  </si>
  <si>
    <t>Artificial Intelligence #7: Genetic Algorithm Optimization  #machinelearning #ad</t>
  </si>
  <si>
    <t>https://zpy.io/61c0bbab</t>
  </si>
  <si>
    <t>Software #Testing Is Tedious. #AI Can Help.  #fintech #Artificialintelligence #MachineLearning #BigData @HarvardBiz @mathewlodge @diffbluehq</t>
  </si>
  <si>
    <t>https://buff.ly/2ZCI9Vf</t>
  </si>
  <si>
    <t>https://pbs.twimg.com/media/Eu4H-5tXYAQrDxb.jpg</t>
  </si>
  <si>
    <t>Margaret Siegien 💫 🌎🚀</t>
  </si>
  <si>
    <t>Warning! cuteness overload by petoi Bittle MT @TinkerGen_ @PetoiCamp @MargaretSiegien @PawlowskiMario #robotdog #coding #100DaysOfCode #MachineLearning #ML #AI #DEVCommunity #Python #IoT #IIoT #Robotics #futureofwork #STEMeducation #RStats #flutter #RPA</t>
  </si>
  <si>
    <t>Chicago , IL , USA</t>
  </si>
  <si>
    <t>President at @iTrucker_ Passionate about #tech #AI #HealthTech #Innovation #Space #SocialMedia #futureofwork #Science #SupplyChain #VR #AR #WomeninTech #Robotic</t>
  </si>
  <si>
    <t>http://www.itrucker.com/</t>
  </si>
  <si>
    <t>Udemy Free Discount - Data Science Career Guide - Interview Preparation #udemycoupon -&gt;  #DataScience #MachineLearning #Python #DataAnalysis #DeepLearning #SQL #ArtificialIntelligence #Microsoft #PowerBI #Tableau #BigData #hadoop #100DaysOfCode</t>
  </si>
  <si>
    <t>http://www.couponfree.uk/2019/08/data-science-career-guide-interview.html</t>
  </si>
  <si>
    <t>the feed explain between briefs . . . #landscape #aiart #machinelearning #postpainting #computervision #creativecoding #art #painting #contemporaryart #artificialintelligence #coding #artTechnology</t>
  </si>
  <si>
    <t>https://pbs.twimg.com/media/Eu4HbYAUYAIW5hk.jpg</t>
  </si>
  <si>
    <t>SiMa.ai</t>
  </si>
  <si>
    <t>.@Analyticsindiam caught up with  Founder and CEO Krishna Rangasayee to discuss how the company is delivering high-performance ML at the edge and reducing the power consumption associated with it.  #machinelearning #embeddededge</t>
  </si>
  <si>
    <t>http://SiMa.ai
https://bit.ly/3dE2PV8</t>
  </si>
  <si>
    <t>Machine Learning company enabling high performance compute at the lowest power.</t>
  </si>
  <si>
    <t>http://www.sima.ai</t>
  </si>
  <si>
    <t>M.Tech</t>
  </si>
  <si>
    <t>RSA NetWitness Detect #AI is here. See how RSA is using #MachineLearning to help #cybersecurity teams do their jobs better, faster, and smarter than ever.  @RSAsecurity</t>
  </si>
  <si>
    <t>http://bit.ly/3p6vKD8</t>
  </si>
  <si>
    <t>https://pbs.twimg.com/media/Eu4GUy1UYAM4wWc.jpg</t>
  </si>
  <si>
    <t>M.Tech is a leading cyber security and network performance solutions provider.</t>
  </si>
  <si>
    <t>http://www.mtechpro.com/</t>
  </si>
  <si>
    <t>#ArtificialIntelligence could train your dog how to sit  #pets #startups #AI #MachineLearning #edtech @antgrasso @mvollmer1 @HeinzVHoenen @Xbond49 @MikeQuindazzi @MCins_ @siftedeu @BetaDigitalLtd @efipm @richardturrin @Damien_CABADI @RAlexJimenez</t>
  </si>
  <si>
    <t>https://buff.ly/37xcGrT</t>
  </si>
  <si>
    <t>https://pbs.twimg.com/media/Eu4GJrfXAAIyDpd.jpg</t>
  </si>
  <si>
    <t>ABACUS</t>
  </si>
  <si>
    <t>CIO @waynesadin: we need to "quickly zero in on making better decisions, especially when the data is uncertain or incomplete...AI is good at pattern-matching and remembering lots of facts, it seems reasonable that it can help most organizations.” #machinelearning #algorithms #CIO RT @MylesSuer: Today's #CIOs Not Only get the Business Potential from Driving Analytical Organizations, But Also What Gaps Need to be Fixed to Deliver Maximum Value from Analytics.</t>
  </si>
  <si>
    <t>https://twitter.com/MylesSuer/status/1364032421117775872
https://bit.ly/3jc56Xs</t>
  </si>
  <si>
    <t>Deliver quick, powerful #EnterpriseArchitecture #DigitalBusiness #Roadmapping #CostAnalysis #TOGAF #ArchiMate #ITStrategy #GraphDatabase #EntArch with ABACUS</t>
  </si>
  <si>
    <t>http://www.avolutionsoftware.com</t>
  </si>
  <si>
    <t>#ArtificialIntelligence  #machinelearning #artificialintelligence</t>
  </si>
  <si>
    <t>https://paper.li/rautsan/1450884817?edition_id=b147ec00-757b-11eb-9fda-0cc47a0d1609</t>
  </si>
  <si>
    <t>Beyond AI: Building Empathetic Machines  #MachineLearning #DeepLearning</t>
  </si>
  <si>
    <t>http://dlvr.it/RtGmPc</t>
  </si>
  <si>
    <t>https://pbs.twimg.com/media/Eu4FdvzUYAIC205.jpg</t>
  </si>
  <si>
    <t>25 Ways AI/Machine Learning Helps Businesses #MachineLearning #DataScience #AI by Rubik’s Code @NMZivkovic</t>
  </si>
  <si>
    <t>https://rubikscode.net/2021/02/03/25-ways-ai-machine-learning-helps-businesses/</t>
  </si>
  <si>
    <t>Frank V. Taylor</t>
  </si>
  <si>
    <t>Founders - @paulg says “live in the future and build what’s missing,” but how do you do that? Here’s one easy way: 1. Read science fiction 2. Start building #AI #IoT #BigData #cybersecurity #fintech #Bitcoin #5G #blockchain #MachineLearning #Asimov #AGI #affordablehousing</t>
  </si>
  <si>
    <t>Veteran Entrepreneur &amp; Uncertainty Expert - I help business leaders make good decisions with incomplete information, and move faster with confidence.</t>
  </si>
  <si>
    <t>http://frankvtaylor.com</t>
  </si>
  <si>
    <t>Machine Learning In The Cloud With Azure Machine Learning  #machinelearning #ad</t>
  </si>
  <si>
    <t>https://zpy.io/52685620</t>
  </si>
  <si>
    <t>Steph S. ♻️</t>
  </si>
  <si>
    <t>Starting next month, #MicrosoftWord for Windows will include predictive typing (automatically suggests words to use). Over time, the #MachineLearning model will better predict what you plan on typing based on your past work. #ML #Productivity #Office365</t>
  </si>
  <si>
    <t>https://lnkd.in/ec3BYVT</t>
  </si>
  <si>
    <t>St Louis, MO</t>
  </si>
  <si>
    <t>#Innovation #EmergingTech #CustomerExperience #CX #Privacy #InfoSec | @Accenture Marketing | Community Emergency Response Team (CERT) | Opinions my own.</t>
  </si>
  <si>
    <t>https://tinyurl.com/Steph-LinkedIn</t>
  </si>
  <si>
    <t>Complexities When #AI Autonomous Cars Attempt Zipper Merging  via @aiworldexpo #AIEthics #SelfDrivingCars #MachineLearning #DeepLearning Cc @psb_dc @akwyz @MiaD @Droit_IA @albertogaruccio @diioannid @MarijaButkovic @guzmand</t>
  </si>
  <si>
    <t>https://www.aitrends.com/ai-insider/complexities-when-ai-autonomous-cars-attempt-zipper-merging</t>
  </si>
  <si>
    <t>https://pbs.twimg.com/media/Eu4FPl5WgAEMHTW.jpg</t>
  </si>
  <si>
    <t>Good morning my friends💖 #China #NZvsAUS #BreakingNews #100DaysOfCode #CodeNewbie #webdev #W3School #MachineLearning #AcademicTwitter #freeCodeCamp #javascript #LahoreQalandars #HBLPSL6 #Myanmar #gold #Spotify #irshadbhatti #gayle #hafeez #LQvQG #WomenWhoCode #womenintech</t>
  </si>
  <si>
    <t>https://pbs.twimg.com/media/Eu2o9_-VoAEiOku.jpg</t>
  </si>
  <si>
    <t>Difference between love marriage and arrange😅 #100DaysOfCode #CodeNewbie #webdev #W3School #MachineLearning #AcademicTwitter #freeCodeCamp #China #BreakingNews #javascript #HBLPSL6 #Myanmar #Ronaldo #Trump #Spotify #Levi #AuratMarch #LQvQG #Lahore</t>
  </si>
  <si>
    <t>https://pbs.twimg.com/media/Eu35ml7VkAQbX7g.jpg</t>
  </si>
  <si>
    <t>Joseph Rivera</t>
  </si>
  <si>
    <t>Gaussian Density Functionpowers some machine learning algorithms like finding non-linear regression.  #machinelearning #deeplearning #naturallanguageprocessing #python #digilitiks #analytics</t>
  </si>
  <si>
    <t>https://youtu.be/44H-yU0ZQqY</t>
  </si>
  <si>
    <t>Cebu City</t>
  </si>
  <si>
    <t>Giving you free learning materials for machine learning and deep learning. Subscribe: https://bit.ly/3goIZdZ</t>
  </si>
  <si>
    <t>A Tour of End-to-End Machine Learning Platforms | Databaseline  #AI #DeepLearning #DataScience #MachineLearning</t>
  </si>
  <si>
    <t>https://bit.ly/3hKsk6k</t>
  </si>
  <si>
    <t>Bernard Leong</t>
  </si>
  <si>
    <t>Data processing options for AI/ML via @AWSCloud #AI #MachineLearning #DataProcessing #MLOps</t>
  </si>
  <si>
    <t>https://amzn.to/3uhGvGu</t>
  </si>
  <si>
    <t>https://pbs.twimg.com/media/Eu4EUgEXIAIQQyT.jpg</t>
  </si>
  <si>
    <t>Head of AI &amp; ML, ASEAN with @AWSCloud, Founder &amp; former host @AnalyseAsia; @singularityu GSP 2016. Views &amp; opinions are strictly my own &amp; represent no one else.</t>
  </si>
  <si>
    <t>https://www.bernardleong.com/</t>
  </si>
  <si>
    <t>https://pbs.twimg.com/media/Eu4ENswXAAIuE_G.jpg</t>
  </si>
  <si>
    <t>Mona Arishi</t>
  </si>
  <si>
    <t>Explore top use cases in AI and #decisionoptimization in part 4 of our 5-part #datascience webinar series on 3/2. #AIplatform #ibmcloudpakfordata #machinelearning #MLops</t>
  </si>
  <si>
    <t>https://lnkd.in/d_HCCUc</t>
  </si>
  <si>
    <t>Cairo - Egypt</t>
  </si>
  <si>
    <t>Founder and CEO of HeyaHayah Foundation. IBM MEA Client Center Leader. Responsible People Centric Business Leader.</t>
  </si>
  <si>
    <t>http://lei-egypt.com</t>
  </si>
  <si>
    <t>Google &amp; JHU Paper Explores and Categorizes Neural Scaling Laws | Synced  #DL #AI #ML #DeepLearning #ArtificialIntelligence #MachineLearning #ComputerVision #AutonomousVehicles #NeuroMorphic #Robotics</t>
  </si>
  <si>
    <t>https://buff.ly/3kf8UbB</t>
  </si>
  <si>
    <t>99 coupon course</t>
  </si>
  <si>
    <t>Data Science Real World Projects in Python | #Udemy =&gt;  #100daysofcode #DataScience #Serverless #Linux #CloudComputing #JavaScript #Statistics #Coding #Python #MachineLearning #ReactJS #IoT #IIoT #udemycoupon #free #javascript30</t>
  </si>
  <si>
    <t>https://cotemponet.blogspot.com/2021/02/data-science-real-world-projects-in.html</t>
  </si>
  <si>
    <t>Online Courses #Udemy Udemy Course Free #udemycoupon #udemyfree</t>
  </si>
  <si>
    <t>Machine Learning with  – Complete Guide to Clustering  #MachineLearning</t>
  </si>
  <si>
    <t>http://ML.NET
https://rubikscode.net/2021/02/08/machine-learning-with-ml-net-complete-guide-to-clustering/</t>
  </si>
  <si>
    <t>the development forsake concerning noun . . . #landscape #aiart #machinelearning #postpainting #computervision #creativecoding #art #painting #contemporaryart #artificialintelligence #coding #artTechnology</t>
  </si>
  <si>
    <t>https://pbs.twimg.com/media/Eu4D-KjVEAQ8o7U.jpg</t>
  </si>
  <si>
    <t>#AI/ #MachineLearning: Support Vector Machines and More  #100DaysOfCode #Analytics #ArtificialIntelligence #BigData #Cloud #Coding #DataViz #DataScience #DeepLearning #Flutter #Innovation #IoT #JavaScript #NodeJS #Python #WomenWhoCode #CodeNewbie #AR #AV</t>
  </si>
  <si>
    <t>http://bit.ly/3tQ4SL5</t>
  </si>
  <si>
    <t>Can you #Hack #AI? Yes, and #DeepLearning is Being Used to Both Attack and #Defend  #fintech #cybersecurity @MechatronixNews #ArtificialIntelligence #MachineLearning @Fabriziobustama @mvollmer1 @WhiteheartVic @YvesMulkers @Julez_Norton @ImMBM</t>
  </si>
  <si>
    <t>https://pbs.twimg.com/media/Eu4DoycXcAMM1RH.jpg</t>
  </si>
  <si>
    <t>TensorFlow: Machine Learning e Deep Learning com Python  #machinelearning #ad</t>
  </si>
  <si>
    <t>https://zpy.io/57ada324</t>
  </si>
  <si>
    <t>Making #MachineLearning Models Understandable!  #100DaysOfCode #AI #Analytics #ArtificialIntelligence #DataViz #DataScience #DeepLearning #DigitalTransformation #Flutter #Innovation #IoT #JavaScript #NodeJS #Programming #Python #Tech #VR #WomenWhoCode #AR</t>
  </si>
  <si>
    <t>http://bit.ly/3kbmZqH</t>
  </si>
  <si>
    <t>Car headlight cleaning device. #DEVCommunity #Programming #IoT #IoTPL #AI #100DaysOfCode #MachineLearning #Airdrop #CloudComputing #Analytics #Serverless #cybersecurity #ArtificialIntelligence #DataScience #5G #Engineering #innovation #sustainable #energy RT @yywwy3: Car headlight cleaning device.#DEVCommunity #Programming #IoT #IoTPL #AI #100DaysOfCode #1Robot1Day #MachineLearning #ML #Airdrop #Python #CloudComputing #Analytics #Serverless #womenwhocode #cybersecurity #RStats #CodeNewbie #DataScience #5G #RTXOn #RStats</t>
  </si>
  <si>
    <t>https://twitter.com/yywwy3/status/1364009579831509003</t>
  </si>
  <si>
    <t>pic.twitter.com/Iupj8RCfH4</t>
  </si>
  <si>
    <t>Sivaraj Ambat</t>
  </si>
  <si>
    <t>Vulnerability of #MachineLearning models ...  via @DarkReading</t>
  </si>
  <si>
    <t>http://www.darkreading.com/vulnerabilities---threats/advanced-threats/microsoft-says-its-time-to-attack-your-machine-learning-models/d/d-id/1340072</t>
  </si>
  <si>
    <t>| Software Professional - Web, Mobile, Cloud, AI | Perpetual Learner | | Tweets are personal |</t>
  </si>
  <si>
    <t>Python Developer</t>
  </si>
  <si>
    <t>My Top 3 Python Data Visualisation Tips (PlotLy) #morioh #python #datascience #dataanalysis #programming #machinelearning</t>
  </si>
  <si>
    <t>https://morioh.com/p/1b1dfe0c032c?f=5ece1a68f0e6056e36305f65</t>
  </si>
  <si>
    <t>#python #programming #developers,#django</t>
  </si>
  <si>
    <t>Machine Learning UoA</t>
  </si>
  <si>
    <t>This Tursday, 12pm on campus (303s-561) - Kin Lung Chan @callaghannz - What Machine Learning can’t learn? #MachineLearning #AI</t>
  </si>
  <si>
    <t>https://ml.auckland.ac.nz/machine-learning-seminar-of-dr-kin-lung-chan-what-machine-learning-cant-learn-2/</t>
  </si>
  <si>
    <t>Auckland</t>
  </si>
  <si>
    <t>Machine Learning Group at the School of Computer Science at University of Auckland</t>
  </si>
  <si>
    <t>https://ml.auckland.ac.nz</t>
  </si>
  <si>
    <t>Digital transformation and edge computing #MachineLearning #digital #learning via</t>
  </si>
  <si>
    <t>http://twinybots.ch
https://enterprisersproject.com/article/2021/2/how-digital-transformation-and-edge-computing-fit-together</t>
  </si>
  <si>
    <t>Machine learning sheds new light on how walnuts (अखरोट | আখরোট | വാൽനട്ട് | அக்ரூட்) benefit health  #ML #AI #MachineLearning #healthy #healthcare #healthtech #HealthyLiving #healthylifestyle</t>
  </si>
  <si>
    <t>10 Ways #AI And #MachineLearning Are Improving #Marketing In 2021  #fintech #100DaysOfCode #100DaysOfMLCode #BigData #blockchain #CloudComputing #CodeNewbie #CyberSecurity #DataScience #DevOps #IIoT #tech #VR #AR #AV #ArtificialIntelligence #DeepLearning</t>
  </si>
  <si>
    <t>http://buff.ly/2NKBPbA</t>
  </si>
  <si>
    <t>TensorFlow: Accelerate NumPy with GPUs by Louis Chan via #TowardsAI →  #MachineLearning #ML #ArtificialIntelligence #AI #DataScience #DeepLearning #Technology #Programming #news #research #Science</t>
  </si>
  <si>
    <t>https://pub.towardsai.net/tensorflow-accelerate-numpy-with-gpus-964e9087fdab?source=rss----98111c9905da---4?source=social.tw</t>
  </si>
  <si>
    <t>Margie Ramos</t>
  </si>
  <si>
    <t>Governments’ response to the pandemic around the world is merely accelerating the development of emerging technologies. #blockchain #Ethereum #nft #nfts #Crypto #cryptocurrencies #defi #Bitcoin #btc #vr #ai #MachineLearning #EV #AutonomousVehicles #drones</t>
  </si>
  <si>
    <t>Partner Ops Lead at a Tech company. #Bitcoin, Econ, Financial Literacy, Emerging Technologies, &amp; Culture. Fluent in FR. For Bitcoin 101 ⬇️ Link in Bio.</t>
  </si>
  <si>
    <t>http://bitcoinhodler.ca</t>
  </si>
  <si>
    <t>Another Canadian gem in the making.... #BigData #NaturalLanguageProcessing #AI #DeepLearning #MachineLearning #CustomerFeedback #USA #USMilitary $ATW $ATW.V @leighmhughes @CndStockTrader @semicorporate @TWealthyLion #VoxTel #OptionVote #monetization #telecom #billing #Bloomed RT @anilmshanbhag: Voxtel an ATW Tech Inc subsidiary negotiated agreements with all major mobile and landline phone carriers in Canada, including Bell, Rogers Mobile, Telus &amp; Videotron, to be able to support 94% of mobile users and 98% of landline users, everywhere in Canada. $ATW $ATW.V</t>
  </si>
  <si>
    <t>https://twitter.com/anilmshanbhag/status/1364026423116255239</t>
  </si>
  <si>
    <t>https://pbs.twimg.com/media/Eu3zWPEWQAE37DM.jpg</t>
  </si>
  <si>
    <t>Beware #hype over #AI-based #healthcare in lower-income countries  #fintech #insurtech #BigData #Artificialintelligence #MachineLearning #DeepLearning #BigData @AggarwalOnc @GSTTnhs @FT @FinancialTimes</t>
  </si>
  <si>
    <t>https://buff.ly/2ZITumo</t>
  </si>
  <si>
    <t>https://pbs.twimg.com/media/Eu4AqHXWgAAPdjw.jpg</t>
  </si>
  <si>
    <t>the paintwork rhyme beyond contrast . . . #landscape #aiart #machinelearning #postpainting #computervision #creativecoding #art #painting #contemporaryart #artificialintelligence #coding #artTechnology</t>
  </si>
  <si>
    <t>https://pbs.twimg.com/media/Eu4Ag30UUAAZPb_.jpg</t>
  </si>
  <si>
    <t>https://bit.ly/3pIOlWb</t>
  </si>
  <si>
    <t>Grishma Jena</t>
  </si>
  <si>
    <t>Curious to know what our @ibmdesign executive and his 10-year old son think about product design, AI, trust, and adoption? Join us at @IBM Expert TV tomorrow! #IBM #design #AI #ArtificialIntelligence #ux #UXDesign #MachineLearning #EthicalAI RT @arinbhowmick: Looking forward to a fun chat with Darren Kaplan @IBM Expert TV, along with my 10 yr old son, tomorrow 23rd at 12:30 - 1 ET. We will riff abt product design for and with AI. Join in, its open to anyone.  #ai #design #ux @ibmwatson @IBMData @ibmdesign</t>
  </si>
  <si>
    <t>https://twitter.com/arinbhowmick/status/1363890275685339136
https://lnkd.in/g3sHtbv</t>
  </si>
  <si>
    <t>Data Scientist in User Research Ops @ IBM | Public speaking &amp; teaching | NLP enthusiast | Cooking IG @noworryculinary | Amateur actor | Tweets my own | She/her</t>
  </si>
  <si>
    <t>The cheapest 5G rugged smartphone costs far less than you think: #machinelearning #ai #iot HT @motorcycletwitt</t>
  </si>
  <si>
    <t>https://www.techradar.com/news/the-cheapest-5g-rugged-smartphone-costs-far-less-than-you-think/</t>
  </si>
  <si>
    <t>https://pbs.twimg.com/media/Eu4ADHBXcAA04Av.jpg</t>
  </si>
  <si>
    <t>Scaling Enterprise #ModzyPartner #ModelOps #Data #AI: #Modzy #MachineLearning #NeuralNetworks #Security Explainability, &amp; Accountability of AI Models by @sallyeaves @KirkDBorne @Joshdsullivan @getmodzy @iamBrianGraham @Ronald_vanLoon @IainLJBrown &amp;amp; | Cc:</t>
  </si>
  <si>
    <t>pic.twitter.com/ipQVjB4OUM</t>
  </si>
  <si>
    <t>Buy an Amazon Echo 4th Gen and get a pair of Philips Hue bulbs for free - CNET: #BigData #MachineLearning #AI #IoT Cc @worldtrendsinfo</t>
  </si>
  <si>
    <t>https://www.cnet.com/news/buy-an-amazon-echo-4th-gen-and-get-a-pair-of-philips-hue-bulbs-for-free/#ftag=CAD590a51e</t>
  </si>
  <si>
    <t>https://pbs.twimg.com/media/Eu3_sJ1VEAELYuO.jpg</t>
  </si>
  <si>
    <t>ManyWorlds R&amp;D</t>
  </si>
  <si>
    <t>First, we established the imperative for #AI/#MachineLearning in the enterprise. Now we've developed the only PROVABLE way to achieve maximum value from those technologies and more with our Data-to-Learning-to-Action® methodology! Learn more at:</t>
  </si>
  <si>
    <t>http://datatolearningtoaction.com</t>
  </si>
  <si>
    <t>https://pbs.twimg.com/media/Eu3_h45VEAYcoae.jpg</t>
  </si>
  <si>
    <t>Stuff about ManyWorlds® R&amp;D: Learning Layer® #machinelearning, Streaming It Out Loud™ &amp; Streamerize™ Visual UX apps, Data-to-Learning-to-Action® method, etc.</t>
  </si>
  <si>
    <t>http://www.manyworlds.com</t>
  </si>
  <si>
    <t>the share slide minus frosting . . . #landscape #aiart #machinelearning #postpainting #computervision #creativecoding #art #painting #contemporaryart #artificialintelligence #coding #artTechnology</t>
  </si>
  <si>
    <t>https://pbs.twimg.com/media/Eu3_iYEVkAILOcC.jpg</t>
  </si>
  <si>
    <t>QS2 Point</t>
  </si>
  <si>
    <t>Batch Normalization  #BatchNomalization #ML #MachineLearning #technology #SoftwareDevelopment #StandardDeviation #technology</t>
  </si>
  <si>
    <t>https://buff.ly/2Uuxj1l</t>
  </si>
  <si>
    <t>https://pbs.twimg.com/media/Eu3-9QkWgAMEviq.png</t>
  </si>
  <si>
    <t>Michigan, USA</t>
  </si>
  <si>
    <t>By providing exceptional solutions, exceptional talent, and best practices, we help you to leverage technology to accomplish your business goals</t>
  </si>
  <si>
    <t>http://www.qs2point.com</t>
  </si>
  <si>
    <t>Engadget's live virtual CES stage kicks off Monday at 7:30am ET!: #BigData #MachineLearning #AI #IoT CC @worldtrendsinfo</t>
  </si>
  <si>
    <t>https://www.engadget.com/engadget-ces-2021-virtual-stage-235031332.html</t>
  </si>
  <si>
    <t>https://pbs.twimg.com/media/Eu3-1y8VcAAEN0l.jpg</t>
  </si>
  <si>
    <t>Huawei’s Bill Tang: Accelerate Digital Transformation of Carrier Operation through Multi-Domain Digital Synergy: At the DAY0 Digital Operation…  #HuaweiUSA #5GGearUp #HWMBBF #MachineLearning #Edge #WirelessIntelligence #DataIntelligence #Cloud</t>
  </si>
  <si>
    <t>http://www.huawei.com/en/news/2021/2/digital-operations-transformation-services-platform-technology-ecosystem?utm_source=dlvr.it&amp;utm_medium=twitter</t>
  </si>
  <si>
    <t>https://pbs.twimg.com/media/Eu3-mlPUYAMivfg.jpg</t>
  </si>
  <si>
    <t>Gift Coupons</t>
  </si>
  <si>
    <t>[NEW] #Udemy Algorithms in Python : Design Techniques And Approach (+17 Hours) Course ➡️  #Algorithms #Python #Programming #100DaysOfCode #DataScience #AI #MachineLearning #IOTA #Engineering #JavaScript #ReactJS #Serverless #Linux #301DaysOfCode</t>
  </si>
  <si>
    <t>https://couponos.me/coupon/algorithms-in-python-design-techniques-and-approach/</t>
  </si>
  <si>
    <t>Udemy Coupons 2021, Free Udemy Courses, Udemy Coupon Code, Udemy Free Courses, 100% Free Udemy Coupons. Get all verified Udemy coupons, and promo code</t>
  </si>
  <si>
    <t>https://couponos.me</t>
  </si>
  <si>
    <t>Roshan Pradyot 😷</t>
  </si>
  <si>
    <t>A Gentle Introduction to Bayesian Belief Networks  #DataScience #MachineLearning #AI #BigData #Python #Analytics #PyTorch #RStats #TensorFlow #DeepLearning #DataScientist #JavaScript #CloudComputing #Linux #Statistics #100DaysOfMLCode</t>
  </si>
  <si>
    <t>https://machinelearningmastery.com/introduction-to-bayesian-belief-networks/</t>
  </si>
  <si>
    <t>United States | Gandaki</t>
  </si>
  <si>
    <t>प्रदेशी नेपाली, Educator, Researcher, #PhDBioinformatics #Genomics 🧬 #Bigdata #Python 🐍 #MachineLearning #DataScience #AI 🤖 #CS NFBT166</t>
  </si>
  <si>
    <t>iPad Mini 6 release date, price, news and leaks: #machinelearning #ai #iot CC @motorcycletwitt</t>
  </si>
  <si>
    <t>https://www.techradar.com/news/ipad-mini-6</t>
  </si>
  <si>
    <t>https://pbs.twimg.com/media/Eu3-T89VIAc5_e3.jpg</t>
  </si>
  <si>
    <t>#1 Best Twitter Accounts for Space and Astronomy Fans by @skyatnightmag. #BigData #Analytics #DataScience #AI #MachineLearning #IoT #IIoT #Python #RStats #JavaScript #ReactJS #GoLang #CloudComputing #Serverless #Linux #Programming #Coding #100DaysofCode</t>
  </si>
  <si>
    <t>https://bit.ly/37GohF7</t>
  </si>
  <si>
    <t>https://pbs.twimg.com/media/Eu36QYrVcAA7ymU.jpg</t>
  </si>
  <si>
    <t>For health-promoting environments</t>
  </si>
  <si>
    <t>#apps #primarycare #prevention #agedcare #nursing #healthcare #publichealth #NCD #SDGs #generalpractice #SDOH #COVID19 #innovation #AI #epidemiology #machinelearning #GreenNewDeal #biomonitoring #metabolomics #neurology #neuroscience #nutrition #vitaminD #WomenInSTEM #health</t>
  </si>
  <si>
    <t>https://pbs.twimg.com/media/Eu39QWIVoAANuLg.jpg</t>
  </si>
  <si>
    <t>Melbourne, Australia</t>
  </si>
  <si>
    <t>New Earth is a frequency spectrum reality that is being populated by those who embody a high level of consciousness and expanded sensory perception.</t>
  </si>
  <si>
    <t>Joseph Wehbe - DAIMLAS.com</t>
  </si>
  <si>
    <t>5\ Vid 5 National AI strategy. Preventing brain drain. Connectivity between the ecosystem of stakeholders to operationalize all the initiatives. #artificialintelligence #ai #machinelearning #datascience #workforcedevelopment #ceo #ceotips #cto #buildinpublic #buildinginpublic</t>
  </si>
  <si>
    <t>pic.twitter.com/flyHOpCQSs</t>
  </si>
  <si>
    <t>@daimlas #buildinginpublic | Co-founder http://daimlas.com | B2B #artificialintelligence teams marketplace for the enterprise. #AI Workforce Development Series</t>
  </si>
  <si>
    <t>http://www.daimlas.com</t>
  </si>
  <si>
    <t>Krishna (Plassey)</t>
  </si>
  <si>
    <t>https://bit.ly/2OYU0ux</t>
  </si>
  <si>
    <t>Singapore based ICT analyst - a doting father, national league cricket player/administrator, loves all things tech/ geek &amp; cares about user's perspective</t>
  </si>
  <si>
    <t>Innovation Merge</t>
  </si>
  <si>
    <t>Microsoft Word is getting text predictions next month #microsoft #microsoftword #machinelearning #deeplearning #technology #tech #techno #TechUpdate #technews #innovationmerge #techinsider #blogger #contentmarketing #techstuff #innovationmerge #microsoft365 #prediction #text</t>
  </si>
  <si>
    <t>https://pbs.twimg.com/media/Eu2ZwGbUYAMvyiA.jpg</t>
  </si>
  <si>
    <t>An online digital learning, Tech blogger Platform, Innovation Creator&amp; explorer It provides I-Learn equipped with respective tools like What? Why? How? Where?</t>
  </si>
  <si>
    <t>https://www.innovationmerge.com/</t>
  </si>
  <si>
    <t>BBY.KIM</t>
  </si>
  <si>
    <t>Galileo Galilei encouraged us to look at #nature. #Entrepreneur #environment #finance #MachineLearning #innovation #IoT #quotes #ArtificialIntelligence #Analytics #StartUp #technology #socialmedia #AI #BREAKING #JujutsuKaisen #History #art #arthistory #renaissance #AnimeAwards</t>
  </si>
  <si>
    <t>😻</t>
  </si>
  <si>
    <t>http://Bby.kim</t>
  </si>
  <si>
    <t>A simple guide to building a confusion matrix  via @Oracle #AI #MachineLearning #DataScience Cc @FrRonconi @ShiCooks @Paula_Piccard @Bastwins @jblefevre60 @Nicochan33 @Ym78200</t>
  </si>
  <si>
    <t>https://buff.ly/3o6sRlr</t>
  </si>
  <si>
    <t>https://pbs.twimg.com/media/Eu39O4DXMAci0si.png</t>
  </si>
  <si>
    <t>#013 Optical Flow Using Horn and Schunck Method #ArtificialIntelligence #learning #machinelearning via</t>
  </si>
  <si>
    <t>http://twinybots.ch
http://datahacker.rs/013-optical-flow-using-horn-and-schunck-method/</t>
  </si>
  <si>
    <t>The best books to learn #MachineLearning 1 -  2 -  3 -  4 -  #100DaysOfCode #CodeNewbies #WomenWhoCode #DEVCommunity #DeepLearning #DataScience #ArtificialIntelligence #programming</t>
  </si>
  <si>
    <t>https://amzn.to/2EbEQ06
https://amzn.to/2Eb5u9m
https://amzn.to/3hDJCko
https://amzn.to/2ZJThQw</t>
  </si>
  <si>
    <t>https://pbs.twimg.com/media/Eu388gbVEAQ99vn.jpg</t>
  </si>
  <si>
    <t>Travis Sari</t>
  </si>
  <si>
    <t>Approaching (Almost) Any #MachineLearning Problem - KDnuggets:</t>
  </si>
  <si>
    <t>https://www.kdnuggets.com/2021/02/approaching-almost-any-machine-learning-problem.html#.YDRaBc2gQf8.twitter</t>
  </si>
  <si>
    <t>VP, Intelligence at Moxie</t>
  </si>
  <si>
    <t>http://linkedin.com/in/travissari</t>
  </si>
  <si>
    <t>Hadoop+Spark 10  #machinelearning #ad</t>
  </si>
  <si>
    <t>https://zpy.io/3d404455</t>
  </si>
  <si>
    <t>News Medical</t>
  </si>
  <si>
    <t>Applications of Artificial Intelligence in COVID-19 ICU and ER situations  @medrxivpreprint @MonashUni @NUSingapore @mysgh #Coronavirus #DeepLearning #Diagnostic #IntensiveCare #MachineLearning #Pandemic #SARSCoV2 #COVID #AI #ArtificialIntelligence</t>
  </si>
  <si>
    <t>https://pbs.twimg.com/media/Eu38ah0XUAADF9L.jpg</t>
  </si>
  <si>
    <t>Medical News from Around the World</t>
  </si>
  <si>
    <t>https://www.news-medical.net</t>
  </si>
  <si>
    <t>Louis</t>
  </si>
  <si>
    <t>Day 43 of #66DaysOfData - 30 minutes of IoT Solution Infrastructure (AZ-220: Course 1) on @acloudguru #MachineLearning #AI #DataScience</t>
  </si>
  <si>
    <t>North Carolina, USA</t>
  </si>
  <si>
    <t>It’s a beautiful day. Don’t let it get away. #Ethernet is my livelihood. #Photography, #Golf and #DataScience are my hobbies. Owned by my #kat.</t>
  </si>
  <si>
    <t>TK Village @ Working Globally</t>
  </si>
  <si>
    <t>燃えてる飛行機に乗る人は超恐怖だったはず 改めて品質とそれ以上にメンテナンスの 重要性を認識させてくれる画像 これからはそれに加え予兆検知、つまり少し の異常値からインシデントを読み取るAIの 活用が必須となる #AI #PredictiveAnalytics #MachineLearning RT @Forbes: A Boeing 777 flown by United Airlines was forced to make an emergency landing in Denver when its engine broke apart mid-flight</t>
  </si>
  <si>
    <t>https://twitter.com/Forbes/status/1364010836948180994
https://www.forbes.com/sites/siladityaray/2021/02/22/several-boeing-777-jets-grounded-after-engine-breaks-apart-over-denver/?utm_source=twitter_video&amp;utm_medium=social&amp;utm_campaign=forbes</t>
  </si>
  <si>
    <t>https://pbs.twimg.com/media/Eu3sNLsXAAIYfdR.jpg</t>
  </si>
  <si>
    <t>Kuala Lumpur Federal Territory</t>
  </si>
  <si>
    <t>■世界目指して海外ビジネス&amp;駐在10年/Shanghai→LA→KL ■ランニング25年 ■ロードバイク10年 ■最高の未来を創る為に世界中の情報, トレーニングに少々スイーツを加え情報発信 Pushing globalization via tweet, Join to see “delight” together</t>
  </si>
  <si>
    <t>Delivery by #Drone by @jblefevre60 #Tech #Technology #IT #AI #MachineLearning #Robotics Cc: @jeanyvesgonin @HaroldSinnott @SpirosMargaris @gvalan @rwang0</t>
  </si>
  <si>
    <t>pic.twitter.com/FUwV27Stil</t>
  </si>
  <si>
    <t>The latest The @rwang0 #ArtificialIntelligence #MachineLearning Daily!  #ai #deeplearning</t>
  </si>
  <si>
    <t>https://paper.li/rwang0/1518398166?edition_id=0f752150-7575-11eb-ae29-002590a5ba2d</t>
  </si>
  <si>
    <t>End Pain Stigma</t>
  </si>
  <si>
    <t>#scary #machinelearning #AI #RxTwitter Each time they do this, they create new outliers. They never expect answers outside their model. They can’t conceive of medical zebras, let alone medical unicorns. This is the #tyranny of AI that scifi wrote of.</t>
  </si>
  <si>
    <t>https://www.pharmacypracticenews.com/Pharmacy-Technology-Report/Article/02-21/Machine-Learning-May-Bolster-Opioid-Stewardship-Efforts/62398</t>
  </si>
  <si>
    <t>Longmont, CO</t>
  </si>
  <si>
    <t>#501c4 #nonprofit in support of #chronicpain patients (#cpp) &amp; #doctors, #lobbying #legaldefense — RT/❤️ not always endorsements (it’s to feed the algorithm)</t>
  </si>
  <si>
    <t>http://endpainstigma.org</t>
  </si>
  <si>
    <t>Machine Learning, Indian #SocialMedia’s Biggest #Challenge Yet  #fintech #AI #ArtificialIntelligence #MachineLearning #DeepLearning @Analyticsindiam</t>
  </si>
  <si>
    <t>https://buff.ly/3uqtRVC</t>
  </si>
  <si>
    <t>https://pbs.twimg.com/media/Eu35zvrWYAAtwx0.png</t>
  </si>
  <si>
    <t>Good morning and Good luck to all😍 #China #NZvsAUS #BreakingNews #100DaysOfCode #CodeNewbie #webdev #W3School #MachineLearning #AcademicTwitter #freeCodeCamp #javascript #Lahore #HBLPSL6 #Myanmar #gold #khan #Spotify #Praying #LQvQG #hafeez #FATF</t>
  </si>
  <si>
    <t>https://pbs.twimg.com/media/Eu2vaz9VoAAQrjh.jpg</t>
  </si>
  <si>
    <t>Adam Bouras</t>
  </si>
  <si>
    <t>#ai #innovation #artificialintelligence #artificialintelligence #machinelearning #digitaltransformation #deeplearning #bigdata #ml #dataintegration #dataintelligence #dataanalytics #mlearning #predictiveanalytics #datasharing #dataintegration #knowledge…</t>
  </si>
  <si>
    <t>https://lnkd.in/eJNcMrc</t>
  </si>
  <si>
    <t>Missouri, USA</t>
  </si>
  <si>
    <t>PhD #healtheconomics #healthinformatics #finance #healthfinance #healthinsurance #econometrics #Consultant #DataScience #behavioreconomics</t>
  </si>
  <si>
    <t>http://byyouhealth.co</t>
  </si>
  <si>
    <t>Python pioneer assesses the 30-year-old programming language #ArtificialIntelligence #learning #machinelearning via</t>
  </si>
  <si>
    <t>http://twinybots.ch
https://venturebeat.com/2021/02/19/python-pioneer-assesses-the-30-year-old-programming-language/?utm_source=dlvr.it&amp;utm_medium=twitter</t>
  </si>
  <si>
    <t>Take A Look At How Artificial Intelligence Can Improve Your Pet's Health. #aiandthelaw #MachineLearning #dataresponsible</t>
  </si>
  <si>
    <t>1QBit</t>
  </si>
  <si>
    <t>1QBit is looking to hire a Senior Machine Learning Scientist to solve applied machine learning problems for our industry partners in #healthcare. Apply now:  #QuantumComputing #MachineLearning #AI #Qubits #ScienceIsFun #JobOfTheWeek</t>
  </si>
  <si>
    <t>https://bit.ly/37GmyzD</t>
  </si>
  <si>
    <t>https://pbs.twimg.com/media/Eu338IKWQAoHeoZ.png</t>
  </si>
  <si>
    <t>1QBit identifies intractable industry problems and builds the software necessary to harness the best quantum hardware technologies to solve them.</t>
  </si>
  <si>
    <t>http://www.1qbit.com</t>
  </si>
  <si>
    <t>TeachTechU</t>
  </si>
  <si>
    <t>The latest The Teach Tech U Daily!  Thanks to @Wil_Johnson1 @teachercate @MouserElecEU #edtech #machinelearning</t>
  </si>
  <si>
    <t>http://dailynews.teachtechu.com/?edition_id=2f861fa0-7573-11eb-ae29-002590a5ba2d</t>
  </si>
  <si>
    <t>Raleigh, NC</t>
  </si>
  <si>
    <t>The Passion Project of Spencer Hope Davis @shopedavis Custom curriculum framework development. Professional development and training for educators.</t>
  </si>
  <si>
    <t>https://teachtechu.com</t>
  </si>
  <si>
    <t>The Sports Brain</t>
  </si>
  <si>
    <t>Free picks NBA Wizards +7 Grizzlies +4 Bulls/Rockets u226 #sportspicks #sportsbets #sportsbettor #handicapper #bookie #sportsanalyst #MachineLearning #sportsbettingadvisor #sportsbetting #sportsbettingadvice #california</t>
  </si>
  <si>
    <t>California, USA</t>
  </si>
  <si>
    <t>Avid sports better and number cruncher, machine learning in sports specialist, Software Engineer, DJ</t>
  </si>
  <si>
    <t>Get expert-led training in key areas including #MachineLearning, and much more with a monthly subscription to the Ai+ Training Platform. Sign up today:</t>
  </si>
  <si>
    <t>https://hubs.ly/H0GVvV30</t>
  </si>
  <si>
    <t>https://pbs.twimg.com/media/Eu33RKyXEAEHKmH.jpg</t>
  </si>
  <si>
    <t>Find My Everything</t>
  </si>
  <si>
    <t>https://stuf.in/b54v8w</t>
  </si>
  <si>
    <t>Find My Everything is a start up company that creates and sells GPS tracking devices to help combat the global human trafficking epidemic.</t>
  </si>
  <si>
    <t>John on the John</t>
  </si>
  <si>
    <t>I'm not sure about this A.I. thing...  #artificialintelligence #ai #machinelearning #technology #datascience #deeplearning #illustration #art #drawing #artist #digitalart #artwork #design #draw #artistsoninstagram #instaart #sketchbook #graphicdesign</t>
  </si>
  <si>
    <t>https://www.instagram.com/p/CLnWyPJjDvZ/?utm_source=ig_web_copy_link</t>
  </si>
  <si>
    <t>I don't know where I am</t>
  </si>
  <si>
    <t>I have a toilet and a phone. Don’t know what’s going on, want to find out. https://www.instagram.com/realjohnonthejohn/</t>
  </si>
  <si>
    <t>https://www.patreon.com/user?u=49159547&amp;fan_landing=true</t>
  </si>
  <si>
    <t>Luis Gerardo Fonseca Guzmán</t>
  </si>
  <si>
    <t>La Academia de #InteligenciaArtificial de Beijing recibe cuantiosos recursos para reducir la brecha tecnológica con #EEUU. Destacan proyectos como un modelo de lenguaje que utiliza, además de textos, imágenes y sonidos. #MachineLearning #CienciadeDatos</t>
  </si>
  <si>
    <t>http://ow.ly/OJtp50DFWS0</t>
  </si>
  <si>
    <t>Ciudad de México</t>
  </si>
  <si>
    <t>Entusiasta testigo del futuro de ciencia ficción que nos tocó vivir. Comparto información de inteligencia artificial, aprendizaje automático y ciencia de datos.</t>
  </si>
  <si>
    <t>http://www.inteligenciafutura.mx</t>
  </si>
  <si>
    <t>We need to talk about #ArtificialIntelligence  #fintech #BigDta #AI #MachineLearning #DeepLearning @thefuturesoc @wef @KirkDBorne @sallyeaves @ahier @KMcDTech @HaroldSinnott @Ronald_vanLoon @andi_staub @pierrepinna @YuHelenYu @DioFavatas @terence_mills</t>
  </si>
  <si>
    <t>https://buff.ly/3bwRiUG</t>
  </si>
  <si>
    <t>https://pbs.twimg.com/media/Eu32lwJWYAEYTIs.jpg</t>
  </si>
  <si>
    <t>Top Stories, Feb 15-21: We Don’t Need Data Scientists, We Need Data Engineers  #AI #MachineLearning #Analytics</t>
  </si>
  <si>
    <t>http://dlvr.it/RtGdWQ</t>
  </si>
  <si>
    <t>Scribble-Supervised Semantic Segmentation by Uncertainty Reduction on Neural Representation and Self-Supervision on Neural Eigenspace Paper:  #artificialintelligence #machinelearning</t>
  </si>
  <si>
    <t>https://arxiv.org/pdf/2102.09896.pdf</t>
  </si>
  <si>
    <t>https://pbs.twimg.com/media/Eu32kMlXMAAjv8p.jpg</t>
  </si>
  <si>
    <t>Most Reviewed Net</t>
  </si>
  <si>
    <t>Spark Streaming 3.0 with Scala | Rock the JVM #udemycoupon -&gt;  #100DaysOfCode #DataScience #ApacheSpark #Statistics #Coding #ReactJS #Linux #Books #BigData #IoT #MachineLearning #IIoT #JavaScript #Python #Free #discount #udemy</t>
  </si>
  <si>
    <t>https://mostreviewednet.blogspot.com/2021/02/spark-streaming-30-with-scala-rock-jvm.html</t>
  </si>
  <si>
    <t>#Udemy, udemy coupon, udemyoff, udemy free, udemy courses, udemy downloader, udemy free course, udemy free coupon #udemy certificate, #udemycoupon, #udemyfree</t>
  </si>
  <si>
    <t>Is China Emerging as the Global Leader in AI? #MachineLearning #Python #NLP #Analytics #AI #100DaysOfCode #DEVCommunity #RPA #DL #DevOps #IoT #IIoT #Serverless #5G #womenintech #cybersecurity #DataScience #WomenWhoCode</t>
  </si>
  <si>
    <t>https://bit.ly/3bwOmHA</t>
  </si>
  <si>
    <t>https://pbs.twimg.com/media/Eu32bP-XYAILoZ4.jpg</t>
  </si>
  <si>
    <t>Aphid</t>
  </si>
  <si>
    <t>How valuable would it be to you, if a machine was doing some of your work? #aphid #startup #siliconbeach #artificialintelligence #ai #machinelearning #technology #automation #software #neuralnetworks #science #blockchain</t>
  </si>
  <si>
    <t>https://pbs.twimg.com/media/Eu32YQ0WgAYQTws.jpg</t>
  </si>
  <si>
    <t>An ecosystem and #fintech company utilizing Artificial Intelligence #AI and #Blockchain technology to disrupt the workforce economy. Join our Pilot.</t>
  </si>
  <si>
    <t>https://www.aphid.io/</t>
  </si>
  <si>
    <t>A #DeepLearning model grades pulmonary edema on chest xrays  @BIDMChealth @rayruizhiliao @sethb_md #PulmonaryEdema #AI #MachineLearning</t>
  </si>
  <si>
    <t>https://doi.org/10.1148/ryai.2021190228</t>
  </si>
  <si>
    <t>https://pbs.twimg.com/media/Eu32Xr9UUAUmIAA.png</t>
  </si>
  <si>
    <t>[R] Calibrate Before Use: Improving Few-Shot Performance of GPT-3</t>
  </si>
  <si>
    <t>https://www.reddit.com/r/MachineLearning/comments/lpvb1z/r_calibrate_before_use_improving_fewshot/</t>
  </si>
  <si>
    <t>Shapash makes Machine Learning models understandable by everyone #MachineLearning #AI #100DaysOfCode #Analytics</t>
  </si>
  <si>
    <t>https://pub.towardsai.net/shapash-making-ml-models-understandable-by-everyone-8f96ad469eb3</t>
  </si>
  <si>
    <t>https://pbs.twimg.com/media/Eu32W1sXUAE4cAk.jpg</t>
  </si>
  <si>
    <t>Amazing billboard with a starship. #DEVCommunity #Programming #IoT #IoTPL #AI #100DaysOfCode #MachineLearning #Airdrop #CloudComputing #Analytics #Serverless #cybersecurity #ArtificialIntelligence #DataScience #5G #Engineering #innovation #sustainable #energy #China RT @Serchs3D: La Enterprise nave insignia de la Flota Estelar de Star Trek. #Enterprise #Nave #StarTrek #3D @CosasDeHackers @MargaretSiegien @Toymaker2</t>
  </si>
  <si>
    <t>https://twitter.com/Serchs3D/status/1363922160721494024</t>
  </si>
  <si>
    <t>pic.twitter.com/iU63mV742T</t>
  </si>
  <si>
    <t>VIDEO: Seputar #MachineLearning Engineering | #AriefRahmansyah | #MachineLearning Engineer | Gojek</t>
  </si>
  <si>
    <t>http://dlvr.it/RtGd33</t>
  </si>
  <si>
    <t>An inside tour of Sprinter Mobile offices! #DEVCommunity #Programming #IoT #IoTPL #AI #100DaysOfCode #MachineLearning #Airdrop #CloudComputing #Analytics #Serverless #cybersecurity #ArtificialIntelligence #DataScience #5G #Engineering #innovation #sustainable #energy RT @joaoleitao: RT @CurieuxExplorer: An inside tour of Sprinter Mobile offices! 🎥 @LexaniMotorcars @PawlowskiMario @enricomolinari @Nicochan33 @techpearce2 @MargaretSiegien @KanezaDiane @segundoatdell @AmitChampaneri1 @BetaMoroney @anand_narang @AlAmadi1 @steffano…</t>
  </si>
  <si>
    <t>https://twitter.com/joaoleitao/status/1363769125722554372</t>
  </si>
  <si>
    <t>pic.twitter.com/QUwGcNxBlp</t>
  </si>
  <si>
    <t>islander robotics</t>
  </si>
  <si>
    <t>Posted a new video where I explain the basics of numbers with in python  #machinelearning #pythonprogramming #contentcreator #programming #programminglife #100daysofcode #contentcreator</t>
  </si>
  <si>
    <t>https://youtu.be/yuBEhotFRwg</t>
  </si>
  <si>
    <t>https://pbs.twimg.com/media/Eu30lksXIAAMsox.jpg</t>
  </si>
  <si>
    <t>Home of everyone’s favorite robotic dog wolfy. Follow to see behind the scene action</t>
  </si>
  <si>
    <t>https://www.youtube.com/channel/UCq4rE6ASeDC_IV2O-ngzAbQ</t>
  </si>
  <si>
    <t>Mary Camacho</t>
  </si>
  <si>
    <t>This is a great read about how #MachineLearning can be force for good and be integrated successfully into distributed systems with human governance. RT @timoreilly: Fascinating paper about Wikipedia’s use of ML to go beyond algorithmic auditing to support “contestability” and more. This approach should be brought more widely into the discussion of algorithmic governance.</t>
  </si>
  <si>
    <t>https://twitter.com/timoreilly/status/1363950529169121281
https://bit.ly/3pFjR7D</t>
  </si>
  <si>
    <t>Gibraltar</t>
  </si>
  <si>
    <t>Executive Director @H_O_L_O_ Building the technical foundations of Web 3.0 to support regenerative communities and economies with #holochain. she/her</t>
  </si>
  <si>
    <t>https://Holo.host</t>
  </si>
  <si>
    <t>BIconnections</t>
  </si>
  <si>
    <t>A Plethora of #machinelearning Articles: Part 1 In Part 1 of this short series, I have included the most interesting articles that I wrote in the last few years. This ..</t>
  </si>
  <si>
    <t>https://bit.ly/2NOyd8v</t>
  </si>
  <si>
    <t>https://pbs.twimg.com/media/Eu30B7hXAAoDWgQ.jpg</t>
  </si>
  <si>
    <t>Networking | connecting | people | technology | #process | #Business #Intelligence | #Information #Management | #data | learning discussions | #Community</t>
  </si>
  <si>
    <t>http://bit.ly/IHhZkz</t>
  </si>
  <si>
    <t>Powering Deep Learning and Inference Analysis in Heavy Industrial Applications - Most  #machinelearning #intoAInews</t>
  </si>
  <si>
    <t>https://neurons.ai/blog/news-stories/powering-deep-learning-and-inference-analysis-in-heavy-industrial-applications-2/</t>
  </si>
  <si>
    <t>Dive Into Algorithms: A Pythonic Adventure for the Intrepid Beginner Linkk -  #Algorithms #Mathematics #Maths #100DaysOfCode #CodeNewbies #WomenWhoCode #DevOps #MachineLearning #DataScience #AI #ArtificialIntelligence</t>
  </si>
  <si>
    <t>https://amzn.to/3pK5DCg</t>
  </si>
  <si>
    <t>Visitorsⓘ.com</t>
  </si>
  <si>
    <t>SurfCost*com #surfCost domain name We'll save you #insurance #energy #hosting #startup #com #MachineLearning #AI #domainnames #property #fintech #carinsurance #healthinsurance #bot #parsing #data #search #homeandcontents #fiat #personalloans #programmers #contentmarketing</t>
  </si>
  <si>
    <t>pic.twitter.com/LolnhDInaT</t>
  </si>
  <si>
    <t>nxt lvl domain names http://LinkedIn.com/in/myℹ️ cryptocurrency™️.com visitorsℹ️.com</t>
  </si>
  <si>
    <t>http://xn--009h.blogspot.com</t>
  </si>
  <si>
    <t>A quick guide to managing machine learning experiments #Classification #Jupyter #MachineLearning #Python</t>
  </si>
  <si>
    <t>https://ai-summary.com/summary-a-quick-guide-to-managing-machine-learning-experiments/?utm_medium=social-organic&amp;utm_source=twitter</t>
  </si>
  <si>
    <t>Max Planck Institute @MPI_NL and Facebook Reality Labs @FBRealityLabs Develop A Model That Performs Human Re-Rendering From A Single Image  v/ @asifrazzaq1988 #AI #MachineLearning Cc @KirkDBorne @SpirosMargaris @andi_staub @jblefevre60 @HaroldSinnott</t>
  </si>
  <si>
    <t>https://www.marktechpost.com/2021/01/22/max-planck-institute-and-facebook-reality-labs-develop-a-model-that-performs-human-re-rendering-from-a-single-image</t>
  </si>
  <si>
    <t>https://pbs.twimg.com/media/Eu3y7oFXIAc1VoB.png</t>
  </si>
  <si>
    <t>What's Hot on @reddit Today: [P] I made Communities: a library of clustering algorithms for network graphs (link in comments)</t>
  </si>
  <si>
    <t>https://www.reddit.com/r/MachineLearning/comments/lozys9/p_i_made_communities_a_library_of_clustering/</t>
  </si>
  <si>
    <t>With this, you no longer need the office, showroom, meeting in one particular room. #DEVCommunity #Programming #IoT #100DaysOfCode #MachineLearning #Airdrop #CloudComputing #Analytics #AR #cybersecurity #ArtificialIntelligence #DataScience #5G #Engineering #innovation RT @catchar: Samsung AR glasses 🥽 Join  to discover more than 2,000+ XR projects and concepts ⚡️ Follow @Catchar to stay ahead of the XR curve 🏄 #augmentedreality #mixedreality #virtualreality #arkit #arcore #ar #ai #iot #magicleap #hololens #snapchat #tensorflow</t>
  </si>
  <si>
    <t>https://twitter.com/catchar/status/1363948230615175175
http://Catchar.io</t>
  </si>
  <si>
    <t>pic.twitter.com/fpy3NUHPhC</t>
  </si>
  <si>
    <t>Modern #mansion hidden in cliffside. #DEVCommunity #Programming #IoT #100DaysOfCode #MachineLearning #Airdrop #CloudComputing #Analytics #Serverless #cybersecurity #ArtificialIntelligence #DataScience #5G #Engineering #innovation #sustainable #energy #robotics #AR #housing RT @DigitalTrends: Picture Wayne Manor being mixed together with the Bat Cave, that's basically this modern mansion that's hidden in a cliffside!</t>
  </si>
  <si>
    <t>https://twitter.com/DigitalTrends/status/1363866145082789890</t>
  </si>
  <si>
    <t>pic.twitter.com/F8BAZxx7vx</t>
  </si>
  <si>
    <t>A Summary of the Basic Machine Learning Models  #MachineLearning</t>
  </si>
  <si>
    <t>https://towardsdatascience.com/a-summary-of-the-basic-machine-learning-models-e0a65627ecbe</t>
  </si>
  <si>
    <t>Is he just a man walking down the street?#DEVCommunity #Programming #IoT #IoTPL #100DaysOfCode #MachineLearning #Airdrop #CloudComputing #Analytics #Serverless #cybersecurity #ArtificialIntelligence #DataScience #5G #Engineering #innovation #sustainable #energy #robotics #AR RT @TechAmazing: Zero gravity man</t>
  </si>
  <si>
    <t>https://twitter.com/TechAmazing/status/1363994794939346951</t>
  </si>
  <si>
    <t>pic.twitter.com/RFPXErQ7aj</t>
  </si>
  <si>
    <t>Succeeded in the end. #DEVCommunity #Programming #IoT #IoTPL #AI #100DaysOfCode #MachineLearning #Airdrop #CloudComputing #Analytics #Serverless #cybersecurity #ArtificialIntelligence #DataScience #5G #Engineering #innovation #sustainable #energy #robotics #AR RT @lexfridman: This is both terrifying and amazing. And a reminder to keep AI out of our weapons systems.</t>
  </si>
  <si>
    <t>https://twitter.com/lexfridman/status/1363912996595118080</t>
  </si>
  <si>
    <t>https://pbs.twimg.com/media/Eu2XkzoXMAMD9r7.jpg</t>
  </si>
  <si>
    <t>amcsolutions</t>
  </si>
  <si>
    <t>Help your recruiter make the best choices by arming them with #MachineLearning and #Microsoft #Teams. Follow AMC Modern IT to learn more.</t>
  </si>
  <si>
    <t>https://stuf.in/b54p47</t>
  </si>
  <si>
    <t>San Dimas, CA</t>
  </si>
  <si>
    <t>Modernize your organization's IT and then train your staff to actually use it. Let's make your people more productive!</t>
  </si>
  <si>
    <t>http://www.amcsolutions.net</t>
  </si>
  <si>
    <t>Predictive Modeling — Part 2:  #SupportVectorMachine #MachineLearning #Classification #DeepLearning #DataVisualization</t>
  </si>
  <si>
    <t>https://medium.com/ai-in-plain-english/predictive-modeling-part-2-ecabf64060e7</t>
  </si>
  <si>
    <t>Berkeley Public Health</t>
  </si>
  <si>
    <t>March 3, 7-9 am PST (4-6 pm CET) &amp; 1st Wednesdays of the month through June: presentations w/ @uni_copenhagen &amp;amp; @novonordisk on using #causalinference &amp;amp; targeted learning methods to answer today's pressing health questions.  #machinelearning #statistics</t>
  </si>
  <si>
    <t>http://ow.ly/MG2350DGMPq</t>
  </si>
  <si>
    <t>https://pbs.twimg.com/media/Eu3wovVXMAINYxe.jpg</t>
  </si>
  <si>
    <t>Berkeley, CA</t>
  </si>
  <si>
    <t>University of California, Berkeley, School of Public Health</t>
  </si>
  <si>
    <t>http://sph.berkeley.edu/</t>
  </si>
  <si>
    <t>Berkeley Online MPH</t>
  </si>
  <si>
    <t>https://berkeley.catalog.instructure.com/courses/joint-initiative-for-causal-inference-webinar</t>
  </si>
  <si>
    <t>Online/On-Campus Master of Public Health enables working professionals to earn a #MPH while advancing their career #PublicHealth #OnlineMPH</t>
  </si>
  <si>
    <t>https://publichealth.berkeley.edu/academics/online/online-mph/</t>
  </si>
  <si>
    <t>Adem</t>
  </si>
  <si>
    <t>https://bit.ly/3bKuQb1</t>
  </si>
  <si>
    <t>https://pbs.twimg.com/media/Eu3wey1VkAc93qL.jpg</t>
  </si>
  <si>
    <t>Anything about Analytics :)</t>
  </si>
  <si>
    <t>#Cyberattacks against #machinelearning systems are more common than you think - Microsoft Security  #CyberSecurity #TechJunkieNews</t>
  </si>
  <si>
    <t>https://bit.ly/2HAfhYl</t>
  </si>
  <si>
    <t>https://pbs.twimg.com/media/Eu3waJhWgAUb4hq.jpg</t>
  </si>
  <si>
    <t>We know ways to use human faces to grow a business. Replay our recent webinar here:  Brought to you by @nexttech_edu and @AustraliaAi #MachineLearning #facialrecognition #BigDataAnalytics #webinar #DeepLearning #technology #innovation</t>
  </si>
  <si>
    <t>http://bit.ly/2LXAYC8</t>
  </si>
  <si>
    <t>pic.twitter.com/RKKho4Xmql</t>
  </si>
  <si>
    <t>Bob E. Hayes</t>
  </si>
  <si>
    <t>A Plethora of #MachineLearning Articles: Part 1 @granvilleDSC</t>
  </si>
  <si>
    <t>https://bit.ly/3pRqmV3</t>
  </si>
  <si>
    <t>PhD in industrial-organizational psych. Interests in #datascience #cx #statistics #machinelearning</t>
  </si>
  <si>
    <t>http://businessoverbroadway.com</t>
  </si>
  <si>
    <t>Artificial Intelligence Use Cases Artificial intelligence (AI) is increasingly getting attention from enterprise decision makers #ArtificialIntelligence #AI #MachineLearning #MLP</t>
  </si>
  <si>
    <t>https://www.datamation.com/artificial-intelligence/artificial-intelligence-use-cases/</t>
  </si>
  <si>
    <t>https://pbs.twimg.com/media/Eu3vfJoXIAAxHBy.jpg</t>
  </si>
  <si>
    <t>Car headlight cleaning device.#DEVCommunity #Programming #IoT #IoTPL #AI #100DaysOfCode #1Robot1Day #MachineLearning #ML #Airdrop #Python #CloudComputing #Analytics #Serverless #womenwhocode #cybersecurity #RStats #CodeNewbie #DataScience #5G #RTXOn #RStats</t>
  </si>
  <si>
    <t>Why the Financial Services Industry is Embracing the Cloud  #Innovation #Fintech #Banking #DigitalBanking #FinServ #CoreBanking #Payments #AI #MachineLearning #BigData #DataAnalytics #Cloud #RPA @JimMarous @ursbolt</t>
  </si>
  <si>
    <t>https://buff.ly/36Jco0v</t>
  </si>
  <si>
    <t>https://pbs.twimg.com/media/Eu3vQ8hXIAg_YmR.png</t>
  </si>
  <si>
    <t>threatwatch.io</t>
  </si>
  <si>
    <t>The "Collect &gt; Curate &amp;gt; Correlate &amp;gt; Enrich" Cycle - Powered by #AI Machine curated #threatintelligence and #vulnerability surfacing #MachineLearning @threatwatchinc</t>
  </si>
  <si>
    <t>https://youtu.be/XOCW9kkTn8U</t>
  </si>
  <si>
    <t>Agentless, zero-scan, continuous cyber threat protection powered by AI/ML for your devops, containers, cloud, infra and third party assets</t>
  </si>
  <si>
    <t>https://threatwatch.io</t>
  </si>
  <si>
    <t>Lance Edelman</t>
  </si>
  <si>
    <t>Why 76% of enterprises are prioritizing #AI and #MachineLearning in 2021 #IT budgets -  #ML #tech</t>
  </si>
  <si>
    <t>https://buff.ly/3abfHP6</t>
  </si>
  <si>
    <t>https://pbs.twimg.com/media/Eu3uzmfWgAQNKMd.jpg</t>
  </si>
  <si>
    <t>@VallumSoftware, #EdgeComputing #IoT #ITmonitoring #NetworkMonitoring #NetworkManagement #msp #software #microservices #containers #surveillancecameras #IIoT</t>
  </si>
  <si>
    <t>http://vallumsoftware.com/</t>
  </si>
  <si>
    <t>Emma Hudson</t>
  </si>
  <si>
    <t>Leinster vs Munster live stream: how to watch the Pro14 rugby semi-final online today: #machinelearning #ai #iot Cc @MIKEQUINDAZZI</t>
  </si>
  <si>
    <t>https://www.techradar.com/news/leinster-vs-munster-live-stream-how-to-watch-the-pro14-rugby-semi-final-online-today</t>
  </si>
  <si>
    <t>https://pbs.twimg.com/media/Eu3ul6oWQAQBzGC.jpg</t>
  </si>
  <si>
    <t>Washington, USA</t>
  </si>
  <si>
    <t>Big #Tech - Developer of #ChatBots - Lover of #Space photos!</t>
  </si>
  <si>
    <t>https://twitter.com/@hudson_chatbots</t>
  </si>
  <si>
    <t>Scientists use machine-learning approach to track disease-carrying mosquitoes -   #machinelearning #ai #technology</t>
  </si>
  <si>
    <t>http://Phys.org
http://dlvr.it/RtGZ6n</t>
  </si>
  <si>
    <t>https://pbs.twimg.com/media/Eu3ulhmVgAMvg1c.jpg</t>
  </si>
  <si>
    <t>OpsMatters</t>
  </si>
  <si>
    <t>The latest update for #D2IQ includes "#AI Chihuahua! Part II" and "AI Chihuahua! Part I: Why #MachineLearning is Dogged by Failure and Delays". #DevOps #Kubernetes #Automation</t>
  </si>
  <si>
    <t>https://opsmtrs.com/3hcuomY</t>
  </si>
  <si>
    <t>The Source for News &amp; Information on Operational Applications &amp; Tools #Monitoring #APM #Logging #IncidentManagement #Collaboration #DevOps #Cloud #Cybersecurity</t>
  </si>
  <si>
    <t>https://opsmatters.com</t>
  </si>
  <si>
    <t>Insights Discovery in Data Science Through Novel Machine Learning Approaches -  - #datascience #science #machinelearning</t>
  </si>
  <si>
    <t>http://bit.ly/3r2dOLu</t>
  </si>
  <si>
    <t>Stats Solver</t>
  </si>
  <si>
    <t>Consider a sample with values 12, 18, 15, 13 and 17. Compute the standard deviation. #statistics #datascience #machinelearning #math #learn</t>
  </si>
  <si>
    <t>https://pbs.twimg.com/media/Eu3s8avVcAIyvAb.jpg</t>
  </si>
  <si>
    <t>Step-By-Step Statistics Solutions</t>
  </si>
  <si>
    <t>https://www.statssolver.com/</t>
  </si>
  <si>
    <t>Red Spot SEO Pro</t>
  </si>
  <si>
    <t>Don't fall behind your competitors in the post #COVID digital era. #LegalTech #Automation #AI #LawFirm #LawFirms #Lawyer #Lawyers #MachineLearning #Attorney #Attorneys RT @EffortlessLegal: Businesses have begun to improve their internal legal departments in order to reduce dependency on external law firms. The survey found “more than 85% of law firms finding that their strongest competition is coming from their clients.”</t>
  </si>
  <si>
    <t>https://twitter.com/EffortlessLegal/status/1363862420716990464
https://effortlesslegal.com/blog/automated-legal-billing-law-firms</t>
  </si>
  <si>
    <t>Website Developer | Former #Googler | #PPC &amp; #SEO Freak | #DataAnalytics Scientist | #Ecommerce Marketing | #InfoSec | Tech Compliance | Proud Father &amp; Husband</t>
  </si>
  <si>
    <t>https://redspotseo.com/</t>
  </si>
  <si>
    <t>Kids are always destroyers. #magic #DEVCommunity #Programming #IoT #AI #illusion #100DaysOfCode #MachineLearning #Airdrop #CloudComputing #Analytics #Serverless #cybersecurity #ArtificialIntelligence #DataScience #5G #innovation #drones #Emergency #robotics #SocialMedia RT @zachking: Sometimes, looking at life from a child’s perspective is much more fantastic! #family #home #magic</t>
  </si>
  <si>
    <t>https://twitter.com/zachking/status/1254795611456462849</t>
  </si>
  <si>
    <t>pic.twitter.com/xzRIwb2Lfx</t>
  </si>
  <si>
    <t>Unlimited watermelon. #magic #DEVCommunity #Programming #IoT #IoTPL #AI #100DaysOfCode #MachineLearning #Airdrop #CloudComputing #Analytics #Serverless #cybersecurity #ArtificialIntelligence #DataScience #5G #innovation #drones #Emergency #robotics #SocialMedia #illusion RT @zachking: The Magical Watermelon Stand 🍉 #magic #farmlife</t>
  </si>
  <si>
    <t>https://twitter.com/zachking/status/1259231895004475393</t>
  </si>
  <si>
    <t>pic.twitter.com/hfPk9nRBoi</t>
  </si>
  <si>
    <t>Wow I want to see the #behindthescenes for this. #magic #DEVCommunity #Programming #IoT #AI #100DaysOfCode #MachineLearning #Airdrop #CloudComputing #Analytics #Serverless #cybersecurity #ArtificialIntelligence #DataScience #5G #innovation #drones #robotics #SocialMedia RT @zachking: Sorry @rhettmc and @LinkNeal for ruining the meeting this morning.</t>
  </si>
  <si>
    <t>https://twitter.com/zachking/status/1261336860057460736</t>
  </si>
  <si>
    <t>pic.twitter.com/ZAhvu8ti1Z</t>
  </si>
  <si>
    <t>This allows you get your haircut by hair salon even under lockdown. #magic #DEVCommunity #Programming #IoT #IoTPL #100DaysOfCode #MachineLearning #Airdrop #CloudComputing #Analytics #Serverless #cybersecurity #ArtificialIntelligence #DataScience #5G #innovation #illusion RT @zachking: Who needs a haircut? 💇 My yelp reviews aren’t great....but I am currently offering a big discount</t>
  </si>
  <si>
    <t>https://twitter.com/zachking/status/1264669826124922880</t>
  </si>
  <si>
    <t>pic.twitter.com/roSN1kAJPX</t>
  </si>
  <si>
    <t>Nicole Sydney</t>
  </si>
  <si>
    <t>Using open technologies to integrate data across your enterprise? Learn more about managing data orchestration and integration at scale. #DataIntegration #DataOrchestration #MachineLearning #DataCatalog #OReilly #SAPDataIntelligence</t>
  </si>
  <si>
    <t>https://bit.ly/3aLnRPM</t>
  </si>
  <si>
    <t>pic.twitter.com/FvvtA6X5zN</t>
  </si>
  <si>
    <t>Sydney, Australia</t>
  </si>
  <si>
    <t>An overview of synthetic data types and generation methods  #AI #MachineLearning #Analytics</t>
  </si>
  <si>
    <t>http://dlvr.it/RtGXbs</t>
  </si>
  <si>
    <t>https://pbs.twimg.com/media/Eu3rfQ3VgAEB8ek.jpg</t>
  </si>
  <si>
    <t>Kids really love this trick. #Behindthescenes. #magic #DEVCommunity #Programming #IoT #IoTPL #AI #100DaysOfCode #MachineLearning #Airdrop #CloudComputing #Analytics #Serverless #cybersecurity #ArtificialIntelligence #DataScience #5G #innovation #drones #robotics #SocialMedia RT @zachking: I’ve always stayed away from posting #BehindTheScenes so the magic isn’t ruined but so many people have been asking about this one...</t>
  </si>
  <si>
    <t>https://twitter.com/zachking/status/1287772758256959488</t>
  </si>
  <si>
    <t>pic.twitter.com/ieDspnxmTb</t>
  </si>
  <si>
    <t>Word(s) of the day: Artificial Intelligence. Check out our apparel!! #datascience #artificialintelligence #machinelearning #ai #ml #cloudcomputing #bigdata #bigdataanalytics #analytics #fintech #neuralnetworks #python #hadoop #deeplearning</t>
  </si>
  <si>
    <t>https://pbs.twimg.com/media/Eu3raTaXEAMH0wk.jpg</t>
  </si>
  <si>
    <t>#TonyHawk tricks makes some #illusion #magic #DEVCommunity #Programming #IoT #AI #100DaysOfCode #MachineLearning #Airdrop #CloudComputing #Analytics #Serverless #cybersecurity #ArtificialIntelligence #DataScience #5G #innovation #drones #Emergency #robotics #SocialMedia RT @tonyhawk: Magical boardslides with @zachking</t>
  </si>
  <si>
    <t>https://twitter.com/tonyhawk/status/1289640310465691648</t>
  </si>
  <si>
    <t>pic.twitter.com/Bwt9EZCBga</t>
  </si>
  <si>
    <t>Using #AI can be a risky business  #MachineLearning #privacy</t>
  </si>
  <si>
    <t>https://fortune.com/2021/02/09/using-a-i-can-be-risky-business/</t>
  </si>
  <si>
    <t>https://pbs.twimg.com/media/EunFynPXYAAp5Ay.jpg</t>
  </si>
  <si>
    <t>Advanced Battery Intelligence and Diagnostics with Ultrasound and Machine Learning  #MachineLearning</t>
  </si>
  <si>
    <t>https://www.feasible.io/</t>
  </si>
  <si>
    <t>Artificial Intelligence Use Cases #ArtificialIntelligence #learning #machinelearning</t>
  </si>
  <si>
    <t>This is how Back To The Future was filmed. #magic #DEVCommunity #Programming #IoT #IoTPL #AI #100DaysOfCode #MachineLearning #Airdrop #CloudComputing #Analytics #Serverless #cybersecurity #ArtificialIntelligence #DataScience #5G #innovation #Emergency #robotics #SocialMedia RT @zachking: “Where I’m going, I don’t need roads!”</t>
  </si>
  <si>
    <t>https://twitter.com/zachking/status/1322544425281626115</t>
  </si>
  <si>
    <t>pic.twitter.com/6KXaosmAvp</t>
  </si>
  <si>
    <t>Steven Airoldi</t>
  </si>
  <si>
    <t>https://hubs.ly/H0GXl_40</t>
  </si>
  <si>
    <t>ÜT: 28.212316,-82.367354</t>
  </si>
  <si>
    <t>Help business take advantage of technology to improve profitability and processes.</t>
  </si>
  <si>
    <t>http://vision33.com</t>
  </si>
  <si>
    <t>Cake #illusion here. #magic #DEVCommunity #Programming #IoT #IoTPL #AI #100DaysOfCode #MachineLearning #Airdrop #CloudComputing #Analytics #Serverless #cybersecurity #ArtificialIntelligence #DataScience #5G #innovation #drones #Emergency #robotics #SocialMedia RT @zachking: Do you see the glass as half full or half empty?? #perspective #magic #illusion</t>
  </si>
  <si>
    <t>https://twitter.com/zachking/status/1185688146266083329</t>
  </si>
  <si>
    <t>pic.twitter.com/c4N4ReA3st</t>
  </si>
  <si>
    <t>#AutomatedTrading #AlgoTrading #MachineLearning $AAPL $FB $MSFT $CSCO $GME $IBIO $CMCSA $UWMC $RLX $PYPL $BGI $CTXR $DVAX $GHVI $SPR $MNKD $IPV $HFC $ACGL #stocks #DayTrading #SwingTrading 🙋 15% off Monthly/Yearly with Coupon Code: MYDISCOUNT15</t>
  </si>
  <si>
    <t>https://pbs.twimg.com/media/Eu3pyJCVkAAU9Mf.png</t>
  </si>
  <si>
    <t>Está utilizando la versión de evaluación de XLSTAT. Número de días restantes hasta que expire la evaluación: 14</t>
  </si>
  <si>
    <t>Tabla observaciones/variables: Libro = Swb1.xlsx / Hoja = #"machinelearning" -filterretwe / Rango = '#"machinelearning" -filterretwe'!$N$1:$O$2218 / 2218 filas y 2 columnas</t>
  </si>
  <si>
    <t>Agrupar filas</t>
  </si>
  <si>
    <t>Criterio de clasificación: Determinante(W)</t>
  </si>
  <si>
    <t>Condiciones de paro: Iteraciones = 500 / Convergencia = 0,00001</t>
  </si>
  <si>
    <t>Número de clases: de:1 a:2</t>
  </si>
  <si>
    <t>Centrar: No</t>
  </si>
  <si>
    <t>Reducir: No</t>
  </si>
  <si>
    <t>Partición inicial: Aleatorio</t>
  </si>
  <si>
    <t>Repeticiones: 10</t>
  </si>
  <si>
    <t>Estadísticos descriptivos:</t>
  </si>
  <si>
    <t>Variable</t>
  </si>
  <si>
    <t>Observaciones</t>
  </si>
  <si>
    <t>Obs. con datos perdidos</t>
  </si>
  <si>
    <t>Obs. sin datos perdidos</t>
  </si>
  <si>
    <t>Mínimo</t>
  </si>
  <si>
    <t>Máximo</t>
  </si>
  <si>
    <t>Desv. típica</t>
  </si>
  <si>
    <t>Y1</t>
  </si>
  <si>
    <t>Y2</t>
  </si>
  <si>
    <t>Evolución de las varianzas:</t>
  </si>
  <si>
    <t>Varianza\Clases</t>
  </si>
  <si>
    <t>1</t>
  </si>
  <si>
    <t>2</t>
  </si>
  <si>
    <t>Intraclase</t>
  </si>
  <si>
    <t>Interclases</t>
  </si>
  <si>
    <t>Total</t>
  </si>
  <si>
    <t xml:space="preserve"> </t>
  </si>
  <si>
    <t>Clusters de k-means (Número de clases = 1):</t>
  </si>
  <si>
    <t>Resumen de la optimización:</t>
  </si>
  <si>
    <t>Repetición</t>
  </si>
  <si>
    <t>Iteración</t>
  </si>
  <si>
    <t>Varianza intraclase inicial</t>
  </si>
  <si>
    <t>Varianza intraclase final</t>
  </si>
  <si>
    <t>ln(Determinante(W))</t>
  </si>
  <si>
    <t>Estadísticos para cada iteración:</t>
  </si>
  <si>
    <t>Varianza intraclase</t>
  </si>
  <si>
    <t>Traza(W)</t>
  </si>
  <si>
    <t>Lambda de Wilks</t>
  </si>
  <si>
    <t>Descomposición de la variación para la clasificación óptima:</t>
  </si>
  <si>
    <t>Absoluto</t>
  </si>
  <si>
    <t>Centroides iniciales de las clases:</t>
  </si>
  <si>
    <t>Clase</t>
  </si>
  <si>
    <t>Centroides de las clases:</t>
  </si>
  <si>
    <t>Suma de los pesos</t>
  </si>
  <si>
    <t>Distancias entre los centroides de las clases:</t>
  </si>
  <si>
    <t>Objetos centrales:</t>
  </si>
  <si>
    <t>1 (Obs1353)</t>
  </si>
  <si>
    <t>Distancias entre los objetos centrales:</t>
  </si>
  <si>
    <t>Resultados por clase:</t>
  </si>
  <si>
    <t>Objetos</t>
  </si>
  <si>
    <t>Distancia mínima al centroide</t>
  </si>
  <si>
    <t>Distancia media al centroide</t>
  </si>
  <si>
    <t>Distancia máxima al centroide</t>
  </si>
  <si>
    <t>Obs1</t>
  </si>
  <si>
    <t>Obs2</t>
  </si>
  <si>
    <t>Obs3</t>
  </si>
  <si>
    <t>Obs4</t>
  </si>
  <si>
    <t>Obs5</t>
  </si>
  <si>
    <t>Obs6</t>
  </si>
  <si>
    <t>Obs7</t>
  </si>
  <si>
    <t>Obs8</t>
  </si>
  <si>
    <t>Obs9</t>
  </si>
  <si>
    <t>Obs10</t>
  </si>
  <si>
    <t>Obs11</t>
  </si>
  <si>
    <t>Obs12</t>
  </si>
  <si>
    <t>Obs13</t>
  </si>
  <si>
    <t>Obs14</t>
  </si>
  <si>
    <t>Obs15</t>
  </si>
  <si>
    <t>Obs16</t>
  </si>
  <si>
    <t>Obs17</t>
  </si>
  <si>
    <t>Obs18</t>
  </si>
  <si>
    <t>Obs19</t>
  </si>
  <si>
    <t>Obs20</t>
  </si>
  <si>
    <t>Obs21</t>
  </si>
  <si>
    <t>Obs22</t>
  </si>
  <si>
    <t>Obs23</t>
  </si>
  <si>
    <t>Obs24</t>
  </si>
  <si>
    <t>Obs25</t>
  </si>
  <si>
    <t>Obs26</t>
  </si>
  <si>
    <t>Obs27</t>
  </si>
  <si>
    <t>Obs28</t>
  </si>
  <si>
    <t>Obs29</t>
  </si>
  <si>
    <t>Obs30</t>
  </si>
  <si>
    <t>Obs31</t>
  </si>
  <si>
    <t>Obs32</t>
  </si>
  <si>
    <t>Obs33</t>
  </si>
  <si>
    <t>Obs34</t>
  </si>
  <si>
    <t>Obs35</t>
  </si>
  <si>
    <t>Obs36</t>
  </si>
  <si>
    <t>Obs37</t>
  </si>
  <si>
    <t>Obs38</t>
  </si>
  <si>
    <t>Obs39</t>
  </si>
  <si>
    <t>Obs40</t>
  </si>
  <si>
    <t>Obs41</t>
  </si>
  <si>
    <t>Obs42</t>
  </si>
  <si>
    <t>Obs43</t>
  </si>
  <si>
    <t>Obs44</t>
  </si>
  <si>
    <t>Obs45</t>
  </si>
  <si>
    <t>Obs46</t>
  </si>
  <si>
    <t>Obs47</t>
  </si>
  <si>
    <t>Obs48</t>
  </si>
  <si>
    <t>Obs49</t>
  </si>
  <si>
    <t>Obs50</t>
  </si>
  <si>
    <t>Obs51</t>
  </si>
  <si>
    <t>Obs52</t>
  </si>
  <si>
    <t>Obs53</t>
  </si>
  <si>
    <t>Obs54</t>
  </si>
  <si>
    <t>Obs55</t>
  </si>
  <si>
    <t>Obs56</t>
  </si>
  <si>
    <t>Obs57</t>
  </si>
  <si>
    <t>Obs58</t>
  </si>
  <si>
    <t>Obs59</t>
  </si>
  <si>
    <t>Obs60</t>
  </si>
  <si>
    <t>Obs61</t>
  </si>
  <si>
    <t>Obs62</t>
  </si>
  <si>
    <t>Obs63</t>
  </si>
  <si>
    <t>Obs64</t>
  </si>
  <si>
    <t>Obs65</t>
  </si>
  <si>
    <t>Obs66</t>
  </si>
  <si>
    <t>Obs67</t>
  </si>
  <si>
    <t>Obs68</t>
  </si>
  <si>
    <t>Obs69</t>
  </si>
  <si>
    <t>Obs70</t>
  </si>
  <si>
    <t>Obs71</t>
  </si>
  <si>
    <t>Obs72</t>
  </si>
  <si>
    <t>Obs73</t>
  </si>
  <si>
    <t>Obs74</t>
  </si>
  <si>
    <t>Obs75</t>
  </si>
  <si>
    <t>Obs76</t>
  </si>
  <si>
    <t>Obs77</t>
  </si>
  <si>
    <t>Obs78</t>
  </si>
  <si>
    <t>Obs79</t>
  </si>
  <si>
    <t>Obs80</t>
  </si>
  <si>
    <t>Obs81</t>
  </si>
  <si>
    <t>Obs82</t>
  </si>
  <si>
    <t>Obs83</t>
  </si>
  <si>
    <t>Obs84</t>
  </si>
  <si>
    <t>Obs85</t>
  </si>
  <si>
    <t>Obs86</t>
  </si>
  <si>
    <t>Obs87</t>
  </si>
  <si>
    <t>Obs88</t>
  </si>
  <si>
    <t>Obs89</t>
  </si>
  <si>
    <t>Obs90</t>
  </si>
  <si>
    <t>Obs91</t>
  </si>
  <si>
    <t>Obs92</t>
  </si>
  <si>
    <t>Obs93</t>
  </si>
  <si>
    <t>Obs94</t>
  </si>
  <si>
    <t>Obs95</t>
  </si>
  <si>
    <t>Obs96</t>
  </si>
  <si>
    <t>Obs97</t>
  </si>
  <si>
    <t>Obs98</t>
  </si>
  <si>
    <t>Obs99</t>
  </si>
  <si>
    <t>Obs100</t>
  </si>
  <si>
    <t>Obs101</t>
  </si>
  <si>
    <t>Obs102</t>
  </si>
  <si>
    <t>Obs103</t>
  </si>
  <si>
    <t>Obs104</t>
  </si>
  <si>
    <t>Obs105</t>
  </si>
  <si>
    <t>Obs106</t>
  </si>
  <si>
    <t>Obs107</t>
  </si>
  <si>
    <t>Obs108</t>
  </si>
  <si>
    <t>Obs109</t>
  </si>
  <si>
    <t>Obs110</t>
  </si>
  <si>
    <t>Obs111</t>
  </si>
  <si>
    <t>Obs112</t>
  </si>
  <si>
    <t>Obs113</t>
  </si>
  <si>
    <t>Obs114</t>
  </si>
  <si>
    <t>Obs115</t>
  </si>
  <si>
    <t>Obs116</t>
  </si>
  <si>
    <t>Obs117</t>
  </si>
  <si>
    <t>Obs118</t>
  </si>
  <si>
    <t>Obs119</t>
  </si>
  <si>
    <t>Obs120</t>
  </si>
  <si>
    <t>Obs121</t>
  </si>
  <si>
    <t>Obs122</t>
  </si>
  <si>
    <t>Obs123</t>
  </si>
  <si>
    <t>Obs124</t>
  </si>
  <si>
    <t>Obs125</t>
  </si>
  <si>
    <t>Obs126</t>
  </si>
  <si>
    <t>Obs127</t>
  </si>
  <si>
    <t>Obs128</t>
  </si>
  <si>
    <t>Obs129</t>
  </si>
  <si>
    <t>Obs130</t>
  </si>
  <si>
    <t>Obs131</t>
  </si>
  <si>
    <t>Obs132</t>
  </si>
  <si>
    <t>Obs133</t>
  </si>
  <si>
    <t>Obs134</t>
  </si>
  <si>
    <t>Obs135</t>
  </si>
  <si>
    <t>Obs136</t>
  </si>
  <si>
    <t>Obs137</t>
  </si>
  <si>
    <t>Obs138</t>
  </si>
  <si>
    <t>Obs139</t>
  </si>
  <si>
    <t>Obs140</t>
  </si>
  <si>
    <t>Obs141</t>
  </si>
  <si>
    <t>Obs142</t>
  </si>
  <si>
    <t>Obs143</t>
  </si>
  <si>
    <t>Obs144</t>
  </si>
  <si>
    <t>Obs145</t>
  </si>
  <si>
    <t>Obs146</t>
  </si>
  <si>
    <t>Obs147</t>
  </si>
  <si>
    <t>Obs148</t>
  </si>
  <si>
    <t>Obs149</t>
  </si>
  <si>
    <t>Obs150</t>
  </si>
  <si>
    <t>Obs151</t>
  </si>
  <si>
    <t>Obs152</t>
  </si>
  <si>
    <t>Obs153</t>
  </si>
  <si>
    <t>Obs154</t>
  </si>
  <si>
    <t>Obs155</t>
  </si>
  <si>
    <t>Obs156</t>
  </si>
  <si>
    <t>Obs157</t>
  </si>
  <si>
    <t>Obs158</t>
  </si>
  <si>
    <t>Obs159</t>
  </si>
  <si>
    <t>Obs160</t>
  </si>
  <si>
    <t>Obs161</t>
  </si>
  <si>
    <t>Obs162</t>
  </si>
  <si>
    <t>Obs163</t>
  </si>
  <si>
    <t>Obs164</t>
  </si>
  <si>
    <t>Obs165</t>
  </si>
  <si>
    <t>Obs166</t>
  </si>
  <si>
    <t>Obs167</t>
  </si>
  <si>
    <t>Obs168</t>
  </si>
  <si>
    <t>Obs169</t>
  </si>
  <si>
    <t>Obs170</t>
  </si>
  <si>
    <t>Obs171</t>
  </si>
  <si>
    <t>Obs172</t>
  </si>
  <si>
    <t>Obs173</t>
  </si>
  <si>
    <t>Obs174</t>
  </si>
  <si>
    <t>Obs175</t>
  </si>
  <si>
    <t>Obs176</t>
  </si>
  <si>
    <t>Obs177</t>
  </si>
  <si>
    <t>Obs178</t>
  </si>
  <si>
    <t>Obs179</t>
  </si>
  <si>
    <t>Obs180</t>
  </si>
  <si>
    <t>Obs181</t>
  </si>
  <si>
    <t>Obs182</t>
  </si>
  <si>
    <t>Obs183</t>
  </si>
  <si>
    <t>Obs184</t>
  </si>
  <si>
    <t>Obs185</t>
  </si>
  <si>
    <t>Obs186</t>
  </si>
  <si>
    <t>Obs187</t>
  </si>
  <si>
    <t>Obs188</t>
  </si>
  <si>
    <t>Obs189</t>
  </si>
  <si>
    <t>Obs190</t>
  </si>
  <si>
    <t>Obs191</t>
  </si>
  <si>
    <t>Obs192</t>
  </si>
  <si>
    <t>Obs193</t>
  </si>
  <si>
    <t>Obs194</t>
  </si>
  <si>
    <t>Obs195</t>
  </si>
  <si>
    <t>Obs196</t>
  </si>
  <si>
    <t>Obs197</t>
  </si>
  <si>
    <t>Obs198</t>
  </si>
  <si>
    <t>Obs199</t>
  </si>
  <si>
    <t>Obs200</t>
  </si>
  <si>
    <t>Obs201</t>
  </si>
  <si>
    <t>Obs202</t>
  </si>
  <si>
    <t>Obs203</t>
  </si>
  <si>
    <t>Obs204</t>
  </si>
  <si>
    <t>Obs205</t>
  </si>
  <si>
    <t>Obs206</t>
  </si>
  <si>
    <t>Obs207</t>
  </si>
  <si>
    <t>Obs208</t>
  </si>
  <si>
    <t>Obs209</t>
  </si>
  <si>
    <t>Obs210</t>
  </si>
  <si>
    <t>Obs211</t>
  </si>
  <si>
    <t>Obs212</t>
  </si>
  <si>
    <t>Obs213</t>
  </si>
  <si>
    <t>Obs214</t>
  </si>
  <si>
    <t>Obs215</t>
  </si>
  <si>
    <t>Obs216</t>
  </si>
  <si>
    <t>Obs217</t>
  </si>
  <si>
    <t>Obs218</t>
  </si>
  <si>
    <t>Obs219</t>
  </si>
  <si>
    <t>Obs220</t>
  </si>
  <si>
    <t>Obs221</t>
  </si>
  <si>
    <t>Obs222</t>
  </si>
  <si>
    <t>Obs223</t>
  </si>
  <si>
    <t>Obs224</t>
  </si>
  <si>
    <t>Obs225</t>
  </si>
  <si>
    <t>Obs226</t>
  </si>
  <si>
    <t>Obs227</t>
  </si>
  <si>
    <t>Obs228</t>
  </si>
  <si>
    <t>Obs229</t>
  </si>
  <si>
    <t>Obs230</t>
  </si>
  <si>
    <t>Obs231</t>
  </si>
  <si>
    <t>Obs232</t>
  </si>
  <si>
    <t>Obs233</t>
  </si>
  <si>
    <t>Obs234</t>
  </si>
  <si>
    <t>Obs235</t>
  </si>
  <si>
    <t>Obs236</t>
  </si>
  <si>
    <t>Obs237</t>
  </si>
  <si>
    <t>Obs238</t>
  </si>
  <si>
    <t>Obs239</t>
  </si>
  <si>
    <t>Obs240</t>
  </si>
  <si>
    <t>Obs241</t>
  </si>
  <si>
    <t>Obs242</t>
  </si>
  <si>
    <t>Obs243</t>
  </si>
  <si>
    <t>Obs244</t>
  </si>
  <si>
    <t>Obs245</t>
  </si>
  <si>
    <t>Obs246</t>
  </si>
  <si>
    <t>Obs247</t>
  </si>
  <si>
    <t>Obs248</t>
  </si>
  <si>
    <t>Obs249</t>
  </si>
  <si>
    <t>Obs250</t>
  </si>
  <si>
    <t>Obs251</t>
  </si>
  <si>
    <t>Obs252</t>
  </si>
  <si>
    <t>Obs253</t>
  </si>
  <si>
    <t>Obs254</t>
  </si>
  <si>
    <t>Obs255</t>
  </si>
  <si>
    <t>Obs256</t>
  </si>
  <si>
    <t>Obs257</t>
  </si>
  <si>
    <t>Obs258</t>
  </si>
  <si>
    <t>Obs259</t>
  </si>
  <si>
    <t>Obs260</t>
  </si>
  <si>
    <t>Obs261</t>
  </si>
  <si>
    <t>Obs262</t>
  </si>
  <si>
    <t>Obs263</t>
  </si>
  <si>
    <t>Obs264</t>
  </si>
  <si>
    <t>Obs265</t>
  </si>
  <si>
    <t>Obs266</t>
  </si>
  <si>
    <t>Obs267</t>
  </si>
  <si>
    <t>Obs268</t>
  </si>
  <si>
    <t>Obs269</t>
  </si>
  <si>
    <t>Obs270</t>
  </si>
  <si>
    <t>Obs271</t>
  </si>
  <si>
    <t>Obs272</t>
  </si>
  <si>
    <t>Obs273</t>
  </si>
  <si>
    <t>Obs274</t>
  </si>
  <si>
    <t>Obs275</t>
  </si>
  <si>
    <t>Obs276</t>
  </si>
  <si>
    <t>Obs277</t>
  </si>
  <si>
    <t>Obs278</t>
  </si>
  <si>
    <t>Obs279</t>
  </si>
  <si>
    <t>Obs280</t>
  </si>
  <si>
    <t>Obs281</t>
  </si>
  <si>
    <t>Obs282</t>
  </si>
  <si>
    <t>Obs283</t>
  </si>
  <si>
    <t>Obs284</t>
  </si>
  <si>
    <t>Obs285</t>
  </si>
  <si>
    <t>Obs286</t>
  </si>
  <si>
    <t>Obs287</t>
  </si>
  <si>
    <t>Obs288</t>
  </si>
  <si>
    <t>Obs289</t>
  </si>
  <si>
    <t>Obs290</t>
  </si>
  <si>
    <t>Obs291</t>
  </si>
  <si>
    <t>Obs292</t>
  </si>
  <si>
    <t>Obs293</t>
  </si>
  <si>
    <t>Obs294</t>
  </si>
  <si>
    <t>Obs295</t>
  </si>
  <si>
    <t>Obs296</t>
  </si>
  <si>
    <t>Obs297</t>
  </si>
  <si>
    <t>Obs298</t>
  </si>
  <si>
    <t>Obs299</t>
  </si>
  <si>
    <t>Obs300</t>
  </si>
  <si>
    <t>Obs301</t>
  </si>
  <si>
    <t>Obs302</t>
  </si>
  <si>
    <t>Obs303</t>
  </si>
  <si>
    <t>Obs304</t>
  </si>
  <si>
    <t>Obs305</t>
  </si>
  <si>
    <t>Obs306</t>
  </si>
  <si>
    <t>Obs307</t>
  </si>
  <si>
    <t>Obs308</t>
  </si>
  <si>
    <t>Obs309</t>
  </si>
  <si>
    <t>Obs310</t>
  </si>
  <si>
    <t>Obs311</t>
  </si>
  <si>
    <t>Obs312</t>
  </si>
  <si>
    <t>Obs313</t>
  </si>
  <si>
    <t>Obs314</t>
  </si>
  <si>
    <t>Obs315</t>
  </si>
  <si>
    <t>Obs316</t>
  </si>
  <si>
    <t>Obs317</t>
  </si>
  <si>
    <t>Obs318</t>
  </si>
  <si>
    <t>Obs319</t>
  </si>
  <si>
    <t>Obs320</t>
  </si>
  <si>
    <t>Obs321</t>
  </si>
  <si>
    <t>Obs322</t>
  </si>
  <si>
    <t>Obs323</t>
  </si>
  <si>
    <t>Obs324</t>
  </si>
  <si>
    <t>Obs325</t>
  </si>
  <si>
    <t>Obs326</t>
  </si>
  <si>
    <t>Obs327</t>
  </si>
  <si>
    <t>Obs328</t>
  </si>
  <si>
    <t>Obs329</t>
  </si>
  <si>
    <t>Obs330</t>
  </si>
  <si>
    <t>Obs331</t>
  </si>
  <si>
    <t>Obs332</t>
  </si>
  <si>
    <t>Obs333</t>
  </si>
  <si>
    <t>Obs334</t>
  </si>
  <si>
    <t>Obs335</t>
  </si>
  <si>
    <t>Obs336</t>
  </si>
  <si>
    <t>Obs337</t>
  </si>
  <si>
    <t>Obs338</t>
  </si>
  <si>
    <t>Obs339</t>
  </si>
  <si>
    <t>Obs340</t>
  </si>
  <si>
    <t>Obs341</t>
  </si>
  <si>
    <t>Obs342</t>
  </si>
  <si>
    <t>Obs343</t>
  </si>
  <si>
    <t>Obs344</t>
  </si>
  <si>
    <t>Obs345</t>
  </si>
  <si>
    <t>Obs346</t>
  </si>
  <si>
    <t>Obs347</t>
  </si>
  <si>
    <t>Obs348</t>
  </si>
  <si>
    <t>Obs349</t>
  </si>
  <si>
    <t>Obs350</t>
  </si>
  <si>
    <t>Obs351</t>
  </si>
  <si>
    <t>Obs352</t>
  </si>
  <si>
    <t>Obs353</t>
  </si>
  <si>
    <t>Obs354</t>
  </si>
  <si>
    <t>Obs355</t>
  </si>
  <si>
    <t>Obs356</t>
  </si>
  <si>
    <t>Obs357</t>
  </si>
  <si>
    <t>Obs358</t>
  </si>
  <si>
    <t>Obs359</t>
  </si>
  <si>
    <t>Obs360</t>
  </si>
  <si>
    <t>Obs361</t>
  </si>
  <si>
    <t>Obs362</t>
  </si>
  <si>
    <t>Obs363</t>
  </si>
  <si>
    <t>Obs364</t>
  </si>
  <si>
    <t>Obs365</t>
  </si>
  <si>
    <t>Obs366</t>
  </si>
  <si>
    <t>Obs367</t>
  </si>
  <si>
    <t>Obs368</t>
  </si>
  <si>
    <t>Obs369</t>
  </si>
  <si>
    <t>Obs370</t>
  </si>
  <si>
    <t>Obs371</t>
  </si>
  <si>
    <t>Obs372</t>
  </si>
  <si>
    <t>Obs373</t>
  </si>
  <si>
    <t>Obs374</t>
  </si>
  <si>
    <t>Obs375</t>
  </si>
  <si>
    <t>Obs376</t>
  </si>
  <si>
    <t>Obs377</t>
  </si>
  <si>
    <t>Obs378</t>
  </si>
  <si>
    <t>Obs379</t>
  </si>
  <si>
    <t>Obs380</t>
  </si>
  <si>
    <t>Obs381</t>
  </si>
  <si>
    <t>Obs382</t>
  </si>
  <si>
    <t>Obs383</t>
  </si>
  <si>
    <t>Obs384</t>
  </si>
  <si>
    <t>Obs385</t>
  </si>
  <si>
    <t>Obs386</t>
  </si>
  <si>
    <t>Obs387</t>
  </si>
  <si>
    <t>Obs388</t>
  </si>
  <si>
    <t>Obs389</t>
  </si>
  <si>
    <t>Obs390</t>
  </si>
  <si>
    <t>Obs391</t>
  </si>
  <si>
    <t>Obs392</t>
  </si>
  <si>
    <t>Obs393</t>
  </si>
  <si>
    <t>Obs394</t>
  </si>
  <si>
    <t>Obs395</t>
  </si>
  <si>
    <t>Obs396</t>
  </si>
  <si>
    <t>Obs397</t>
  </si>
  <si>
    <t>Obs398</t>
  </si>
  <si>
    <t>Obs399</t>
  </si>
  <si>
    <t>Obs400</t>
  </si>
  <si>
    <t>Obs401</t>
  </si>
  <si>
    <t>Obs402</t>
  </si>
  <si>
    <t>Obs403</t>
  </si>
  <si>
    <t>Obs404</t>
  </si>
  <si>
    <t>Obs405</t>
  </si>
  <si>
    <t>Obs406</t>
  </si>
  <si>
    <t>Obs407</t>
  </si>
  <si>
    <t>Obs408</t>
  </si>
  <si>
    <t>Obs409</t>
  </si>
  <si>
    <t>Obs410</t>
  </si>
  <si>
    <t>Obs411</t>
  </si>
  <si>
    <t>Obs412</t>
  </si>
  <si>
    <t>Obs413</t>
  </si>
  <si>
    <t>Obs414</t>
  </si>
  <si>
    <t>Obs415</t>
  </si>
  <si>
    <t>Obs416</t>
  </si>
  <si>
    <t>Obs417</t>
  </si>
  <si>
    <t>Obs418</t>
  </si>
  <si>
    <t>Obs419</t>
  </si>
  <si>
    <t>Obs420</t>
  </si>
  <si>
    <t>Obs421</t>
  </si>
  <si>
    <t>Obs422</t>
  </si>
  <si>
    <t>Obs423</t>
  </si>
  <si>
    <t>Obs424</t>
  </si>
  <si>
    <t>Obs425</t>
  </si>
  <si>
    <t>Obs426</t>
  </si>
  <si>
    <t>Obs427</t>
  </si>
  <si>
    <t>Obs428</t>
  </si>
  <si>
    <t>Obs429</t>
  </si>
  <si>
    <t>Obs430</t>
  </si>
  <si>
    <t>Obs431</t>
  </si>
  <si>
    <t>Obs432</t>
  </si>
  <si>
    <t>Obs433</t>
  </si>
  <si>
    <t>Obs434</t>
  </si>
  <si>
    <t>Obs435</t>
  </si>
  <si>
    <t>Obs436</t>
  </si>
  <si>
    <t>Obs437</t>
  </si>
  <si>
    <t>Obs438</t>
  </si>
  <si>
    <t>Obs439</t>
  </si>
  <si>
    <t>Obs440</t>
  </si>
  <si>
    <t>Obs441</t>
  </si>
  <si>
    <t>Obs442</t>
  </si>
  <si>
    <t>Obs443</t>
  </si>
  <si>
    <t>Obs444</t>
  </si>
  <si>
    <t>Obs445</t>
  </si>
  <si>
    <t>Obs446</t>
  </si>
  <si>
    <t>Obs447</t>
  </si>
  <si>
    <t>Obs448</t>
  </si>
  <si>
    <t>Obs449</t>
  </si>
  <si>
    <t>Obs450</t>
  </si>
  <si>
    <t>Obs451</t>
  </si>
  <si>
    <t>Obs452</t>
  </si>
  <si>
    <t>Obs453</t>
  </si>
  <si>
    <t>Obs454</t>
  </si>
  <si>
    <t>Obs455</t>
  </si>
  <si>
    <t>Obs456</t>
  </si>
  <si>
    <t>Obs457</t>
  </si>
  <si>
    <t>Obs458</t>
  </si>
  <si>
    <t>Obs459</t>
  </si>
  <si>
    <t>Obs460</t>
  </si>
  <si>
    <t>Obs461</t>
  </si>
  <si>
    <t>Obs462</t>
  </si>
  <si>
    <t>Obs463</t>
  </si>
  <si>
    <t>Obs464</t>
  </si>
  <si>
    <t>Obs465</t>
  </si>
  <si>
    <t>Obs466</t>
  </si>
  <si>
    <t>Obs467</t>
  </si>
  <si>
    <t>Obs468</t>
  </si>
  <si>
    <t>Obs469</t>
  </si>
  <si>
    <t>Obs470</t>
  </si>
  <si>
    <t>Obs471</t>
  </si>
  <si>
    <t>Obs472</t>
  </si>
  <si>
    <t>Obs473</t>
  </si>
  <si>
    <t>Obs474</t>
  </si>
  <si>
    <t>Obs475</t>
  </si>
  <si>
    <t>Obs476</t>
  </si>
  <si>
    <t>Obs477</t>
  </si>
  <si>
    <t>Obs478</t>
  </si>
  <si>
    <t>Obs479</t>
  </si>
  <si>
    <t>Obs480</t>
  </si>
  <si>
    <t>Obs481</t>
  </si>
  <si>
    <t>Obs482</t>
  </si>
  <si>
    <t>Obs483</t>
  </si>
  <si>
    <t>Obs484</t>
  </si>
  <si>
    <t>Obs485</t>
  </si>
  <si>
    <t>Obs486</t>
  </si>
  <si>
    <t>Obs487</t>
  </si>
  <si>
    <t>Obs488</t>
  </si>
  <si>
    <t>Obs489</t>
  </si>
  <si>
    <t>Obs490</t>
  </si>
  <si>
    <t>Obs491</t>
  </si>
  <si>
    <t>Obs492</t>
  </si>
  <si>
    <t>Obs493</t>
  </si>
  <si>
    <t>Obs494</t>
  </si>
  <si>
    <t>Obs495</t>
  </si>
  <si>
    <t>Obs496</t>
  </si>
  <si>
    <t>Obs497</t>
  </si>
  <si>
    <t>Obs498</t>
  </si>
  <si>
    <t>Obs499</t>
  </si>
  <si>
    <t>Obs500</t>
  </si>
  <si>
    <t>Obs501</t>
  </si>
  <si>
    <t>Obs502</t>
  </si>
  <si>
    <t>Obs503</t>
  </si>
  <si>
    <t>Obs504</t>
  </si>
  <si>
    <t>Obs505</t>
  </si>
  <si>
    <t>Obs506</t>
  </si>
  <si>
    <t>Obs507</t>
  </si>
  <si>
    <t>Obs508</t>
  </si>
  <si>
    <t>Obs509</t>
  </si>
  <si>
    <t>Obs510</t>
  </si>
  <si>
    <t>Obs511</t>
  </si>
  <si>
    <t>Obs512</t>
  </si>
  <si>
    <t>Obs513</t>
  </si>
  <si>
    <t>Obs514</t>
  </si>
  <si>
    <t>Obs515</t>
  </si>
  <si>
    <t>Obs516</t>
  </si>
  <si>
    <t>Obs517</t>
  </si>
  <si>
    <t>Obs518</t>
  </si>
  <si>
    <t>Obs519</t>
  </si>
  <si>
    <t>Obs520</t>
  </si>
  <si>
    <t>Obs521</t>
  </si>
  <si>
    <t>Obs522</t>
  </si>
  <si>
    <t>Obs523</t>
  </si>
  <si>
    <t>Obs524</t>
  </si>
  <si>
    <t>Obs525</t>
  </si>
  <si>
    <t>Obs526</t>
  </si>
  <si>
    <t>Obs527</t>
  </si>
  <si>
    <t>Obs528</t>
  </si>
  <si>
    <t>Obs529</t>
  </si>
  <si>
    <t>Obs530</t>
  </si>
  <si>
    <t>Obs531</t>
  </si>
  <si>
    <t>Obs532</t>
  </si>
  <si>
    <t>Obs533</t>
  </si>
  <si>
    <t>Obs534</t>
  </si>
  <si>
    <t>Obs535</t>
  </si>
  <si>
    <t>Obs536</t>
  </si>
  <si>
    <t>Obs537</t>
  </si>
  <si>
    <t>Obs538</t>
  </si>
  <si>
    <t>Obs539</t>
  </si>
  <si>
    <t>Obs540</t>
  </si>
  <si>
    <t>Obs541</t>
  </si>
  <si>
    <t>Obs542</t>
  </si>
  <si>
    <t>Obs543</t>
  </si>
  <si>
    <t>Obs544</t>
  </si>
  <si>
    <t>Obs545</t>
  </si>
  <si>
    <t>Obs546</t>
  </si>
  <si>
    <t>Obs547</t>
  </si>
  <si>
    <t>Obs548</t>
  </si>
  <si>
    <t>Obs549</t>
  </si>
  <si>
    <t>Obs550</t>
  </si>
  <si>
    <t>Obs551</t>
  </si>
  <si>
    <t>Obs552</t>
  </si>
  <si>
    <t>Obs553</t>
  </si>
  <si>
    <t>Obs554</t>
  </si>
  <si>
    <t>Obs555</t>
  </si>
  <si>
    <t>Obs556</t>
  </si>
  <si>
    <t>Obs557</t>
  </si>
  <si>
    <t>Obs558</t>
  </si>
  <si>
    <t>Obs559</t>
  </si>
  <si>
    <t>Obs560</t>
  </si>
  <si>
    <t>Obs561</t>
  </si>
  <si>
    <t>Obs562</t>
  </si>
  <si>
    <t>Obs563</t>
  </si>
  <si>
    <t>Obs564</t>
  </si>
  <si>
    <t>Obs565</t>
  </si>
  <si>
    <t>Obs566</t>
  </si>
  <si>
    <t>Obs567</t>
  </si>
  <si>
    <t>Obs568</t>
  </si>
  <si>
    <t>Obs569</t>
  </si>
  <si>
    <t>Obs570</t>
  </si>
  <si>
    <t>Obs571</t>
  </si>
  <si>
    <t>Obs572</t>
  </si>
  <si>
    <t>Obs573</t>
  </si>
  <si>
    <t>Obs574</t>
  </si>
  <si>
    <t>Obs575</t>
  </si>
  <si>
    <t>Obs576</t>
  </si>
  <si>
    <t>Obs577</t>
  </si>
  <si>
    <t>Obs578</t>
  </si>
  <si>
    <t>Obs579</t>
  </si>
  <si>
    <t>Obs580</t>
  </si>
  <si>
    <t>Obs581</t>
  </si>
  <si>
    <t>Obs582</t>
  </si>
  <si>
    <t>Obs583</t>
  </si>
  <si>
    <t>Obs584</t>
  </si>
  <si>
    <t>Obs585</t>
  </si>
  <si>
    <t>Obs586</t>
  </si>
  <si>
    <t>Obs587</t>
  </si>
  <si>
    <t>Obs588</t>
  </si>
  <si>
    <t>Obs589</t>
  </si>
  <si>
    <t>Obs590</t>
  </si>
  <si>
    <t>Obs591</t>
  </si>
  <si>
    <t>Obs592</t>
  </si>
  <si>
    <t>Obs593</t>
  </si>
  <si>
    <t>Obs594</t>
  </si>
  <si>
    <t>Obs595</t>
  </si>
  <si>
    <t>Obs596</t>
  </si>
  <si>
    <t>Obs597</t>
  </si>
  <si>
    <t>Obs598</t>
  </si>
  <si>
    <t>Obs599</t>
  </si>
  <si>
    <t>Obs600</t>
  </si>
  <si>
    <t>Obs601</t>
  </si>
  <si>
    <t>Obs602</t>
  </si>
  <si>
    <t>Obs603</t>
  </si>
  <si>
    <t>Obs604</t>
  </si>
  <si>
    <t>Obs605</t>
  </si>
  <si>
    <t>Obs606</t>
  </si>
  <si>
    <t>Obs607</t>
  </si>
  <si>
    <t>Obs608</t>
  </si>
  <si>
    <t>Obs609</t>
  </si>
  <si>
    <t>Obs610</t>
  </si>
  <si>
    <t>Obs611</t>
  </si>
  <si>
    <t>Obs612</t>
  </si>
  <si>
    <t>Obs613</t>
  </si>
  <si>
    <t>Obs614</t>
  </si>
  <si>
    <t>Obs615</t>
  </si>
  <si>
    <t>Obs616</t>
  </si>
  <si>
    <t>Obs617</t>
  </si>
  <si>
    <t>Obs618</t>
  </si>
  <si>
    <t>Obs619</t>
  </si>
  <si>
    <t>Obs620</t>
  </si>
  <si>
    <t>Obs621</t>
  </si>
  <si>
    <t>Obs622</t>
  </si>
  <si>
    <t>Obs623</t>
  </si>
  <si>
    <t>Obs624</t>
  </si>
  <si>
    <t>Obs625</t>
  </si>
  <si>
    <t>Obs626</t>
  </si>
  <si>
    <t>Obs627</t>
  </si>
  <si>
    <t>Obs628</t>
  </si>
  <si>
    <t>Obs629</t>
  </si>
  <si>
    <t>Obs630</t>
  </si>
  <si>
    <t>Obs631</t>
  </si>
  <si>
    <t>Obs632</t>
  </si>
  <si>
    <t>Obs633</t>
  </si>
  <si>
    <t>Obs634</t>
  </si>
  <si>
    <t>Obs635</t>
  </si>
  <si>
    <t>Obs636</t>
  </si>
  <si>
    <t>Obs637</t>
  </si>
  <si>
    <t>Obs638</t>
  </si>
  <si>
    <t>Obs639</t>
  </si>
  <si>
    <t>Obs640</t>
  </si>
  <si>
    <t>Obs641</t>
  </si>
  <si>
    <t>Obs642</t>
  </si>
  <si>
    <t>Obs643</t>
  </si>
  <si>
    <t>Obs644</t>
  </si>
  <si>
    <t>Obs645</t>
  </si>
  <si>
    <t>Obs646</t>
  </si>
  <si>
    <t>Obs647</t>
  </si>
  <si>
    <t>Obs648</t>
  </si>
  <si>
    <t>Obs649</t>
  </si>
  <si>
    <t>Obs650</t>
  </si>
  <si>
    <t>Obs651</t>
  </si>
  <si>
    <t>Obs652</t>
  </si>
  <si>
    <t>Obs653</t>
  </si>
  <si>
    <t>Obs654</t>
  </si>
  <si>
    <t>Obs655</t>
  </si>
  <si>
    <t>Obs656</t>
  </si>
  <si>
    <t>Obs657</t>
  </si>
  <si>
    <t>Obs658</t>
  </si>
  <si>
    <t>Obs659</t>
  </si>
  <si>
    <t>Obs660</t>
  </si>
  <si>
    <t>Obs661</t>
  </si>
  <si>
    <t>Obs662</t>
  </si>
  <si>
    <t>Obs663</t>
  </si>
  <si>
    <t>Obs664</t>
  </si>
  <si>
    <t>Obs665</t>
  </si>
  <si>
    <t>Obs666</t>
  </si>
  <si>
    <t>Obs667</t>
  </si>
  <si>
    <t>Obs668</t>
  </si>
  <si>
    <t>Obs669</t>
  </si>
  <si>
    <t>Obs670</t>
  </si>
  <si>
    <t>Obs671</t>
  </si>
  <si>
    <t>Obs672</t>
  </si>
  <si>
    <t>Obs673</t>
  </si>
  <si>
    <t>Obs674</t>
  </si>
  <si>
    <t>Obs675</t>
  </si>
  <si>
    <t>Obs676</t>
  </si>
  <si>
    <t>Obs677</t>
  </si>
  <si>
    <t>Obs678</t>
  </si>
  <si>
    <t>Obs679</t>
  </si>
  <si>
    <t>Obs680</t>
  </si>
  <si>
    <t>Obs681</t>
  </si>
  <si>
    <t>Obs682</t>
  </si>
  <si>
    <t>Obs683</t>
  </si>
  <si>
    <t>Obs684</t>
  </si>
  <si>
    <t>Obs685</t>
  </si>
  <si>
    <t>Obs686</t>
  </si>
  <si>
    <t>Obs687</t>
  </si>
  <si>
    <t>Obs688</t>
  </si>
  <si>
    <t>Obs689</t>
  </si>
  <si>
    <t>Obs690</t>
  </si>
  <si>
    <t>Obs691</t>
  </si>
  <si>
    <t>Obs692</t>
  </si>
  <si>
    <t>Obs693</t>
  </si>
  <si>
    <t>Obs694</t>
  </si>
  <si>
    <t>Obs695</t>
  </si>
  <si>
    <t>Obs696</t>
  </si>
  <si>
    <t>Obs697</t>
  </si>
  <si>
    <t>Obs698</t>
  </si>
  <si>
    <t>Obs699</t>
  </si>
  <si>
    <t>Obs700</t>
  </si>
  <si>
    <t>Obs701</t>
  </si>
  <si>
    <t>Obs702</t>
  </si>
  <si>
    <t>Obs703</t>
  </si>
  <si>
    <t>Obs704</t>
  </si>
  <si>
    <t>Obs705</t>
  </si>
  <si>
    <t>Obs706</t>
  </si>
  <si>
    <t>Obs707</t>
  </si>
  <si>
    <t>Obs708</t>
  </si>
  <si>
    <t>Obs709</t>
  </si>
  <si>
    <t>Obs710</t>
  </si>
  <si>
    <t>Obs711</t>
  </si>
  <si>
    <t>Obs712</t>
  </si>
  <si>
    <t>Obs713</t>
  </si>
  <si>
    <t>Obs714</t>
  </si>
  <si>
    <t>Obs715</t>
  </si>
  <si>
    <t>Obs716</t>
  </si>
  <si>
    <t>Obs717</t>
  </si>
  <si>
    <t>Obs718</t>
  </si>
  <si>
    <t>Obs719</t>
  </si>
  <si>
    <t>Obs720</t>
  </si>
  <si>
    <t>Obs721</t>
  </si>
  <si>
    <t>Obs722</t>
  </si>
  <si>
    <t>Obs723</t>
  </si>
  <si>
    <t>Obs724</t>
  </si>
  <si>
    <t>Obs725</t>
  </si>
  <si>
    <t>Obs726</t>
  </si>
  <si>
    <t>Obs727</t>
  </si>
  <si>
    <t>Obs728</t>
  </si>
  <si>
    <t>Obs729</t>
  </si>
  <si>
    <t>Obs730</t>
  </si>
  <si>
    <t>Obs731</t>
  </si>
  <si>
    <t>Obs732</t>
  </si>
  <si>
    <t>Obs733</t>
  </si>
  <si>
    <t>Obs734</t>
  </si>
  <si>
    <t>Obs735</t>
  </si>
  <si>
    <t>Obs736</t>
  </si>
  <si>
    <t>Obs737</t>
  </si>
  <si>
    <t>Obs738</t>
  </si>
  <si>
    <t>Obs739</t>
  </si>
  <si>
    <t>Obs740</t>
  </si>
  <si>
    <t>Obs741</t>
  </si>
  <si>
    <t>Obs742</t>
  </si>
  <si>
    <t>Obs743</t>
  </si>
  <si>
    <t>Obs744</t>
  </si>
  <si>
    <t>Obs745</t>
  </si>
  <si>
    <t>Obs746</t>
  </si>
  <si>
    <t>Obs747</t>
  </si>
  <si>
    <t>Obs748</t>
  </si>
  <si>
    <t>Obs749</t>
  </si>
  <si>
    <t>Obs750</t>
  </si>
  <si>
    <t>Obs751</t>
  </si>
  <si>
    <t>Obs752</t>
  </si>
  <si>
    <t>Obs753</t>
  </si>
  <si>
    <t>Obs754</t>
  </si>
  <si>
    <t>Obs755</t>
  </si>
  <si>
    <t>Obs756</t>
  </si>
  <si>
    <t>Obs757</t>
  </si>
  <si>
    <t>Obs758</t>
  </si>
  <si>
    <t>Obs759</t>
  </si>
  <si>
    <t>Obs760</t>
  </si>
  <si>
    <t>Obs761</t>
  </si>
  <si>
    <t>Obs762</t>
  </si>
  <si>
    <t>Obs763</t>
  </si>
  <si>
    <t>Obs764</t>
  </si>
  <si>
    <t>Obs765</t>
  </si>
  <si>
    <t>Obs766</t>
  </si>
  <si>
    <t>Obs767</t>
  </si>
  <si>
    <t>Obs768</t>
  </si>
  <si>
    <t>Obs769</t>
  </si>
  <si>
    <t>Obs770</t>
  </si>
  <si>
    <t>Obs771</t>
  </si>
  <si>
    <t>Obs772</t>
  </si>
  <si>
    <t>Obs773</t>
  </si>
  <si>
    <t>Obs774</t>
  </si>
  <si>
    <t>Obs775</t>
  </si>
  <si>
    <t>Obs776</t>
  </si>
  <si>
    <t>Obs777</t>
  </si>
  <si>
    <t>Obs778</t>
  </si>
  <si>
    <t>Obs779</t>
  </si>
  <si>
    <t>Obs780</t>
  </si>
  <si>
    <t>Obs781</t>
  </si>
  <si>
    <t>Obs782</t>
  </si>
  <si>
    <t>Obs783</t>
  </si>
  <si>
    <t>Obs784</t>
  </si>
  <si>
    <t>Obs785</t>
  </si>
  <si>
    <t>Obs786</t>
  </si>
  <si>
    <t>Obs787</t>
  </si>
  <si>
    <t>Obs788</t>
  </si>
  <si>
    <t>Obs789</t>
  </si>
  <si>
    <t>Obs790</t>
  </si>
  <si>
    <t>Obs791</t>
  </si>
  <si>
    <t>Obs792</t>
  </si>
  <si>
    <t>Obs793</t>
  </si>
  <si>
    <t>Obs794</t>
  </si>
  <si>
    <t>Obs795</t>
  </si>
  <si>
    <t>Obs796</t>
  </si>
  <si>
    <t>Obs797</t>
  </si>
  <si>
    <t>Obs798</t>
  </si>
  <si>
    <t>Obs799</t>
  </si>
  <si>
    <t>Obs800</t>
  </si>
  <si>
    <t>Obs801</t>
  </si>
  <si>
    <t>Obs802</t>
  </si>
  <si>
    <t>Obs803</t>
  </si>
  <si>
    <t>Obs804</t>
  </si>
  <si>
    <t>Obs805</t>
  </si>
  <si>
    <t>Obs806</t>
  </si>
  <si>
    <t>Obs807</t>
  </si>
  <si>
    <t>Obs808</t>
  </si>
  <si>
    <t>Obs809</t>
  </si>
  <si>
    <t>Obs810</t>
  </si>
  <si>
    <t>Obs811</t>
  </si>
  <si>
    <t>Obs812</t>
  </si>
  <si>
    <t>Obs813</t>
  </si>
  <si>
    <t>Obs814</t>
  </si>
  <si>
    <t>Obs815</t>
  </si>
  <si>
    <t>Obs816</t>
  </si>
  <si>
    <t>Obs817</t>
  </si>
  <si>
    <t>Obs818</t>
  </si>
  <si>
    <t>Obs819</t>
  </si>
  <si>
    <t>Obs820</t>
  </si>
  <si>
    <t>Obs821</t>
  </si>
  <si>
    <t>Obs822</t>
  </si>
  <si>
    <t>Obs823</t>
  </si>
  <si>
    <t>Obs824</t>
  </si>
  <si>
    <t>Obs825</t>
  </si>
  <si>
    <t>Obs826</t>
  </si>
  <si>
    <t>Obs827</t>
  </si>
  <si>
    <t>Obs828</t>
  </si>
  <si>
    <t>Obs829</t>
  </si>
  <si>
    <t>Obs830</t>
  </si>
  <si>
    <t>Obs831</t>
  </si>
  <si>
    <t>Obs832</t>
  </si>
  <si>
    <t>Obs833</t>
  </si>
  <si>
    <t>Obs834</t>
  </si>
  <si>
    <t>Obs835</t>
  </si>
  <si>
    <t>Obs836</t>
  </si>
  <si>
    <t>Obs837</t>
  </si>
  <si>
    <t>Obs838</t>
  </si>
  <si>
    <t>Obs839</t>
  </si>
  <si>
    <t>Obs840</t>
  </si>
  <si>
    <t>Obs841</t>
  </si>
  <si>
    <t>Obs842</t>
  </si>
  <si>
    <t>Obs843</t>
  </si>
  <si>
    <t>Obs844</t>
  </si>
  <si>
    <t>Obs845</t>
  </si>
  <si>
    <t>Obs846</t>
  </si>
  <si>
    <t>Obs847</t>
  </si>
  <si>
    <t>Obs848</t>
  </si>
  <si>
    <t>Obs849</t>
  </si>
  <si>
    <t>Obs850</t>
  </si>
  <si>
    <t>Obs851</t>
  </si>
  <si>
    <t>Obs852</t>
  </si>
  <si>
    <t>Obs853</t>
  </si>
  <si>
    <t>Obs854</t>
  </si>
  <si>
    <t>Obs855</t>
  </si>
  <si>
    <t>Obs856</t>
  </si>
  <si>
    <t>Obs857</t>
  </si>
  <si>
    <t>Obs858</t>
  </si>
  <si>
    <t>Obs859</t>
  </si>
  <si>
    <t>Obs860</t>
  </si>
  <si>
    <t>Obs861</t>
  </si>
  <si>
    <t>Obs862</t>
  </si>
  <si>
    <t>Obs863</t>
  </si>
  <si>
    <t>Obs864</t>
  </si>
  <si>
    <t>Obs865</t>
  </si>
  <si>
    <t>Obs866</t>
  </si>
  <si>
    <t>Obs867</t>
  </si>
  <si>
    <t>Obs868</t>
  </si>
  <si>
    <t>Obs869</t>
  </si>
  <si>
    <t>Obs870</t>
  </si>
  <si>
    <t>Obs871</t>
  </si>
  <si>
    <t>Obs872</t>
  </si>
  <si>
    <t>Obs873</t>
  </si>
  <si>
    <t>Obs874</t>
  </si>
  <si>
    <t>Obs875</t>
  </si>
  <si>
    <t>Obs876</t>
  </si>
  <si>
    <t>Obs877</t>
  </si>
  <si>
    <t>Obs878</t>
  </si>
  <si>
    <t>Obs879</t>
  </si>
  <si>
    <t>Obs880</t>
  </si>
  <si>
    <t>Obs881</t>
  </si>
  <si>
    <t>Obs882</t>
  </si>
  <si>
    <t>Obs883</t>
  </si>
  <si>
    <t>Obs884</t>
  </si>
  <si>
    <t>Obs885</t>
  </si>
  <si>
    <t>Obs886</t>
  </si>
  <si>
    <t>Obs887</t>
  </si>
  <si>
    <t>Obs888</t>
  </si>
  <si>
    <t>Obs889</t>
  </si>
  <si>
    <t>Obs890</t>
  </si>
  <si>
    <t>Obs891</t>
  </si>
  <si>
    <t>Obs892</t>
  </si>
  <si>
    <t>Obs893</t>
  </si>
  <si>
    <t>Obs894</t>
  </si>
  <si>
    <t>Obs895</t>
  </si>
  <si>
    <t>Obs896</t>
  </si>
  <si>
    <t>Obs897</t>
  </si>
  <si>
    <t>Obs898</t>
  </si>
  <si>
    <t>Obs899</t>
  </si>
  <si>
    <t>Obs900</t>
  </si>
  <si>
    <t>Obs901</t>
  </si>
  <si>
    <t>Obs902</t>
  </si>
  <si>
    <t>Obs903</t>
  </si>
  <si>
    <t>Obs904</t>
  </si>
  <si>
    <t>Obs905</t>
  </si>
  <si>
    <t>Obs906</t>
  </si>
  <si>
    <t>Obs907</t>
  </si>
  <si>
    <t>Obs908</t>
  </si>
  <si>
    <t>Obs909</t>
  </si>
  <si>
    <t>Obs910</t>
  </si>
  <si>
    <t>Obs911</t>
  </si>
  <si>
    <t>Obs912</t>
  </si>
  <si>
    <t>Obs913</t>
  </si>
  <si>
    <t>Obs914</t>
  </si>
  <si>
    <t>Obs915</t>
  </si>
  <si>
    <t>Obs916</t>
  </si>
  <si>
    <t>Obs917</t>
  </si>
  <si>
    <t>Obs918</t>
  </si>
  <si>
    <t>Obs919</t>
  </si>
  <si>
    <t>Obs920</t>
  </si>
  <si>
    <t>Obs921</t>
  </si>
  <si>
    <t>Obs922</t>
  </si>
  <si>
    <t>Obs923</t>
  </si>
  <si>
    <t>Obs924</t>
  </si>
  <si>
    <t>Obs925</t>
  </si>
  <si>
    <t>Obs926</t>
  </si>
  <si>
    <t>Obs927</t>
  </si>
  <si>
    <t>Obs928</t>
  </si>
  <si>
    <t>Obs929</t>
  </si>
  <si>
    <t>Obs930</t>
  </si>
  <si>
    <t>Obs931</t>
  </si>
  <si>
    <t>Obs932</t>
  </si>
  <si>
    <t>Obs933</t>
  </si>
  <si>
    <t>Obs934</t>
  </si>
  <si>
    <t>Obs935</t>
  </si>
  <si>
    <t>Obs936</t>
  </si>
  <si>
    <t>Obs937</t>
  </si>
  <si>
    <t>Obs938</t>
  </si>
  <si>
    <t>Obs939</t>
  </si>
  <si>
    <t>Obs940</t>
  </si>
  <si>
    <t>Obs941</t>
  </si>
  <si>
    <t>Obs942</t>
  </si>
  <si>
    <t>Obs943</t>
  </si>
  <si>
    <t>Obs944</t>
  </si>
  <si>
    <t>Obs945</t>
  </si>
  <si>
    <t>Obs946</t>
  </si>
  <si>
    <t>Obs947</t>
  </si>
  <si>
    <t>Obs948</t>
  </si>
  <si>
    <t>Obs949</t>
  </si>
  <si>
    <t>Obs950</t>
  </si>
  <si>
    <t>Obs951</t>
  </si>
  <si>
    <t>Obs952</t>
  </si>
  <si>
    <t>Obs953</t>
  </si>
  <si>
    <t>Obs954</t>
  </si>
  <si>
    <t>Obs955</t>
  </si>
  <si>
    <t>Obs956</t>
  </si>
  <si>
    <t>Obs957</t>
  </si>
  <si>
    <t>Obs958</t>
  </si>
  <si>
    <t>Obs959</t>
  </si>
  <si>
    <t>Obs960</t>
  </si>
  <si>
    <t>Obs961</t>
  </si>
  <si>
    <t>Obs962</t>
  </si>
  <si>
    <t>Obs963</t>
  </si>
  <si>
    <t>Obs964</t>
  </si>
  <si>
    <t>Obs965</t>
  </si>
  <si>
    <t>Obs966</t>
  </si>
  <si>
    <t>Obs967</t>
  </si>
  <si>
    <t>Obs968</t>
  </si>
  <si>
    <t>Obs969</t>
  </si>
  <si>
    <t>Obs970</t>
  </si>
  <si>
    <t>Obs971</t>
  </si>
  <si>
    <t>Obs972</t>
  </si>
  <si>
    <t>Obs973</t>
  </si>
  <si>
    <t>Obs974</t>
  </si>
  <si>
    <t>Obs975</t>
  </si>
  <si>
    <t>Obs976</t>
  </si>
  <si>
    <t>Obs977</t>
  </si>
  <si>
    <t>Obs978</t>
  </si>
  <si>
    <t>Obs979</t>
  </si>
  <si>
    <t>Obs980</t>
  </si>
  <si>
    <t>Obs981</t>
  </si>
  <si>
    <t>Obs982</t>
  </si>
  <si>
    <t>Obs983</t>
  </si>
  <si>
    <t>Obs984</t>
  </si>
  <si>
    <t>Obs985</t>
  </si>
  <si>
    <t>Obs986</t>
  </si>
  <si>
    <t>Obs987</t>
  </si>
  <si>
    <t>Obs988</t>
  </si>
  <si>
    <t>Obs989</t>
  </si>
  <si>
    <t>Obs990</t>
  </si>
  <si>
    <t>Obs991</t>
  </si>
  <si>
    <t>Obs992</t>
  </si>
  <si>
    <t>Obs993</t>
  </si>
  <si>
    <t>Obs994</t>
  </si>
  <si>
    <t>Obs995</t>
  </si>
  <si>
    <t>Obs996</t>
  </si>
  <si>
    <t>Obs997</t>
  </si>
  <si>
    <t>Obs998</t>
  </si>
  <si>
    <t>Obs999</t>
  </si>
  <si>
    <t>Obs1000</t>
  </si>
  <si>
    <t>Obs1001</t>
  </si>
  <si>
    <t>Obs1002</t>
  </si>
  <si>
    <t>Obs1003</t>
  </si>
  <si>
    <t>Obs1004</t>
  </si>
  <si>
    <t>Obs1005</t>
  </si>
  <si>
    <t>Obs1006</t>
  </si>
  <si>
    <t>Obs1007</t>
  </si>
  <si>
    <t>Obs1008</t>
  </si>
  <si>
    <t>Obs1009</t>
  </si>
  <si>
    <t>Obs1010</t>
  </si>
  <si>
    <t>Obs1011</t>
  </si>
  <si>
    <t>Obs1012</t>
  </si>
  <si>
    <t>Obs1013</t>
  </si>
  <si>
    <t>Obs1014</t>
  </si>
  <si>
    <t>Obs1015</t>
  </si>
  <si>
    <t>Obs1016</t>
  </si>
  <si>
    <t>Obs1017</t>
  </si>
  <si>
    <t>Obs1018</t>
  </si>
  <si>
    <t>Obs1019</t>
  </si>
  <si>
    <t>Obs1020</t>
  </si>
  <si>
    <t>Obs1021</t>
  </si>
  <si>
    <t>Obs1022</t>
  </si>
  <si>
    <t>Obs1023</t>
  </si>
  <si>
    <t>Obs1024</t>
  </si>
  <si>
    <t>Obs1025</t>
  </si>
  <si>
    <t>Obs1026</t>
  </si>
  <si>
    <t>Obs1027</t>
  </si>
  <si>
    <t>Obs1028</t>
  </si>
  <si>
    <t>Obs1029</t>
  </si>
  <si>
    <t>Obs1030</t>
  </si>
  <si>
    <t>Obs1031</t>
  </si>
  <si>
    <t>Obs1032</t>
  </si>
  <si>
    <t>Obs1033</t>
  </si>
  <si>
    <t>Obs1034</t>
  </si>
  <si>
    <t>Obs1035</t>
  </si>
  <si>
    <t>Obs1036</t>
  </si>
  <si>
    <t>Obs1037</t>
  </si>
  <si>
    <t>Obs1038</t>
  </si>
  <si>
    <t>Obs1039</t>
  </si>
  <si>
    <t>Obs1040</t>
  </si>
  <si>
    <t>Obs1041</t>
  </si>
  <si>
    <t>Obs1042</t>
  </si>
  <si>
    <t>Obs1043</t>
  </si>
  <si>
    <t>Obs1044</t>
  </si>
  <si>
    <t>Obs1045</t>
  </si>
  <si>
    <t>Obs1046</t>
  </si>
  <si>
    <t>Obs1047</t>
  </si>
  <si>
    <t>Obs1048</t>
  </si>
  <si>
    <t>Obs1049</t>
  </si>
  <si>
    <t>Obs1050</t>
  </si>
  <si>
    <t>Obs1051</t>
  </si>
  <si>
    <t>Obs1052</t>
  </si>
  <si>
    <t>Obs1053</t>
  </si>
  <si>
    <t>Obs1054</t>
  </si>
  <si>
    <t>Obs1055</t>
  </si>
  <si>
    <t>Obs1056</t>
  </si>
  <si>
    <t>Obs1057</t>
  </si>
  <si>
    <t>Obs1058</t>
  </si>
  <si>
    <t>Obs1059</t>
  </si>
  <si>
    <t>Obs1060</t>
  </si>
  <si>
    <t>Obs1061</t>
  </si>
  <si>
    <t>Obs1062</t>
  </si>
  <si>
    <t>Obs1063</t>
  </si>
  <si>
    <t>Obs1064</t>
  </si>
  <si>
    <t>Obs1065</t>
  </si>
  <si>
    <t>Obs1066</t>
  </si>
  <si>
    <t>Obs1067</t>
  </si>
  <si>
    <t>Obs1068</t>
  </si>
  <si>
    <t>Obs1069</t>
  </si>
  <si>
    <t>Obs1070</t>
  </si>
  <si>
    <t>Obs1071</t>
  </si>
  <si>
    <t>Obs1072</t>
  </si>
  <si>
    <t>Obs1073</t>
  </si>
  <si>
    <t>Obs1074</t>
  </si>
  <si>
    <t>Obs1075</t>
  </si>
  <si>
    <t>Obs1076</t>
  </si>
  <si>
    <t>Obs1077</t>
  </si>
  <si>
    <t>Obs1078</t>
  </si>
  <si>
    <t>Obs1079</t>
  </si>
  <si>
    <t>Obs1080</t>
  </si>
  <si>
    <t>Obs1081</t>
  </si>
  <si>
    <t>Obs1082</t>
  </si>
  <si>
    <t>Obs1083</t>
  </si>
  <si>
    <t>Obs1084</t>
  </si>
  <si>
    <t>Obs1085</t>
  </si>
  <si>
    <t>Obs1086</t>
  </si>
  <si>
    <t>Obs1087</t>
  </si>
  <si>
    <t>Obs1088</t>
  </si>
  <si>
    <t>Obs1089</t>
  </si>
  <si>
    <t>Obs1090</t>
  </si>
  <si>
    <t>Obs1091</t>
  </si>
  <si>
    <t>Obs1092</t>
  </si>
  <si>
    <t>Obs1093</t>
  </si>
  <si>
    <t>Obs1094</t>
  </si>
  <si>
    <t>Obs1095</t>
  </si>
  <si>
    <t>Obs1096</t>
  </si>
  <si>
    <t>Obs1097</t>
  </si>
  <si>
    <t>Obs1098</t>
  </si>
  <si>
    <t>Obs1099</t>
  </si>
  <si>
    <t>Obs1100</t>
  </si>
  <si>
    <t>Obs1101</t>
  </si>
  <si>
    <t>Obs1102</t>
  </si>
  <si>
    <t>Obs1103</t>
  </si>
  <si>
    <t>Obs1104</t>
  </si>
  <si>
    <t>Obs1105</t>
  </si>
  <si>
    <t>Obs1106</t>
  </si>
  <si>
    <t>Obs1107</t>
  </si>
  <si>
    <t>Obs1108</t>
  </si>
  <si>
    <t>Obs1109</t>
  </si>
  <si>
    <t>Obs1110</t>
  </si>
  <si>
    <t>Obs1111</t>
  </si>
  <si>
    <t>Obs1112</t>
  </si>
  <si>
    <t>Obs1113</t>
  </si>
  <si>
    <t>Obs1114</t>
  </si>
  <si>
    <t>Obs1115</t>
  </si>
  <si>
    <t>Obs1116</t>
  </si>
  <si>
    <t>Obs1117</t>
  </si>
  <si>
    <t>Obs1118</t>
  </si>
  <si>
    <t>Obs1119</t>
  </si>
  <si>
    <t>Obs1120</t>
  </si>
  <si>
    <t>Obs1121</t>
  </si>
  <si>
    <t>Obs1122</t>
  </si>
  <si>
    <t>Obs1123</t>
  </si>
  <si>
    <t>Obs1124</t>
  </si>
  <si>
    <t>Obs1125</t>
  </si>
  <si>
    <t>Obs1126</t>
  </si>
  <si>
    <t>Obs1127</t>
  </si>
  <si>
    <t>Obs1128</t>
  </si>
  <si>
    <t>Obs1129</t>
  </si>
  <si>
    <t>Obs1130</t>
  </si>
  <si>
    <t>Obs1131</t>
  </si>
  <si>
    <t>Obs1132</t>
  </si>
  <si>
    <t>Obs1133</t>
  </si>
  <si>
    <t>Obs1134</t>
  </si>
  <si>
    <t>Obs1135</t>
  </si>
  <si>
    <t>Obs1136</t>
  </si>
  <si>
    <t>Obs1137</t>
  </si>
  <si>
    <t>Obs1138</t>
  </si>
  <si>
    <t>Obs1139</t>
  </si>
  <si>
    <t>Obs1140</t>
  </si>
  <si>
    <t>Obs1141</t>
  </si>
  <si>
    <t>Obs1142</t>
  </si>
  <si>
    <t>Obs1143</t>
  </si>
  <si>
    <t>Obs1144</t>
  </si>
  <si>
    <t>Obs1145</t>
  </si>
  <si>
    <t>Obs1146</t>
  </si>
  <si>
    <t>Obs1147</t>
  </si>
  <si>
    <t>Obs1148</t>
  </si>
  <si>
    <t>Obs1149</t>
  </si>
  <si>
    <t>Obs1150</t>
  </si>
  <si>
    <t>Obs1151</t>
  </si>
  <si>
    <t>Obs1152</t>
  </si>
  <si>
    <t>Obs1153</t>
  </si>
  <si>
    <t>Obs1154</t>
  </si>
  <si>
    <t>Obs1155</t>
  </si>
  <si>
    <t>Obs1156</t>
  </si>
  <si>
    <t>Obs1157</t>
  </si>
  <si>
    <t>Obs1158</t>
  </si>
  <si>
    <t>Obs1159</t>
  </si>
  <si>
    <t>Obs1160</t>
  </si>
  <si>
    <t>Obs1161</t>
  </si>
  <si>
    <t>Obs1162</t>
  </si>
  <si>
    <t>Obs1163</t>
  </si>
  <si>
    <t>Obs1164</t>
  </si>
  <si>
    <t>Obs1165</t>
  </si>
  <si>
    <t>Obs1166</t>
  </si>
  <si>
    <t>Obs1167</t>
  </si>
  <si>
    <t>Obs1168</t>
  </si>
  <si>
    <t>Obs1169</t>
  </si>
  <si>
    <t>Obs1170</t>
  </si>
  <si>
    <t>Obs1171</t>
  </si>
  <si>
    <t>Obs1172</t>
  </si>
  <si>
    <t>Obs1173</t>
  </si>
  <si>
    <t>Obs1174</t>
  </si>
  <si>
    <t>Obs1175</t>
  </si>
  <si>
    <t>Obs1176</t>
  </si>
  <si>
    <t>Obs1177</t>
  </si>
  <si>
    <t>Obs1178</t>
  </si>
  <si>
    <t>Obs1179</t>
  </si>
  <si>
    <t>Obs1180</t>
  </si>
  <si>
    <t>Obs1181</t>
  </si>
  <si>
    <t>Obs1182</t>
  </si>
  <si>
    <t>Obs1183</t>
  </si>
  <si>
    <t>Obs1184</t>
  </si>
  <si>
    <t>Obs1185</t>
  </si>
  <si>
    <t>Obs1186</t>
  </si>
  <si>
    <t>Obs1187</t>
  </si>
  <si>
    <t>Obs1188</t>
  </si>
  <si>
    <t>Obs1189</t>
  </si>
  <si>
    <t>Obs1190</t>
  </si>
  <si>
    <t>Obs1191</t>
  </si>
  <si>
    <t>Obs1192</t>
  </si>
  <si>
    <t>Obs1193</t>
  </si>
  <si>
    <t>Obs1194</t>
  </si>
  <si>
    <t>Obs1195</t>
  </si>
  <si>
    <t>Obs1196</t>
  </si>
  <si>
    <t>Obs1197</t>
  </si>
  <si>
    <t>Obs1198</t>
  </si>
  <si>
    <t>Obs1199</t>
  </si>
  <si>
    <t>Obs1200</t>
  </si>
  <si>
    <t>Obs1201</t>
  </si>
  <si>
    <t>Obs1202</t>
  </si>
  <si>
    <t>Obs1203</t>
  </si>
  <si>
    <t>Obs1204</t>
  </si>
  <si>
    <t>Obs1205</t>
  </si>
  <si>
    <t>Obs1206</t>
  </si>
  <si>
    <t>Obs1207</t>
  </si>
  <si>
    <t>Obs1208</t>
  </si>
  <si>
    <t>Obs1209</t>
  </si>
  <si>
    <t>Obs1210</t>
  </si>
  <si>
    <t>Obs1211</t>
  </si>
  <si>
    <t>Obs1212</t>
  </si>
  <si>
    <t>Obs1213</t>
  </si>
  <si>
    <t>Obs1214</t>
  </si>
  <si>
    <t>Obs1215</t>
  </si>
  <si>
    <t>Obs1216</t>
  </si>
  <si>
    <t>Obs1217</t>
  </si>
  <si>
    <t>Obs1218</t>
  </si>
  <si>
    <t>Obs1219</t>
  </si>
  <si>
    <t>Obs1220</t>
  </si>
  <si>
    <t>Obs1221</t>
  </si>
  <si>
    <t>Obs1222</t>
  </si>
  <si>
    <t>Obs1223</t>
  </si>
  <si>
    <t>Obs1224</t>
  </si>
  <si>
    <t>Obs1225</t>
  </si>
  <si>
    <t>Obs1226</t>
  </si>
  <si>
    <t>Obs1227</t>
  </si>
  <si>
    <t>Obs1228</t>
  </si>
  <si>
    <t>Obs1229</t>
  </si>
  <si>
    <t>Obs1230</t>
  </si>
  <si>
    <t>Obs1231</t>
  </si>
  <si>
    <t>Obs1232</t>
  </si>
  <si>
    <t>Obs1233</t>
  </si>
  <si>
    <t>Obs1234</t>
  </si>
  <si>
    <t>Obs1235</t>
  </si>
  <si>
    <t>Obs1236</t>
  </si>
  <si>
    <t>Obs1237</t>
  </si>
  <si>
    <t>Obs1238</t>
  </si>
  <si>
    <t>Obs1239</t>
  </si>
  <si>
    <t>Obs1240</t>
  </si>
  <si>
    <t>Obs1241</t>
  </si>
  <si>
    <t>Obs1242</t>
  </si>
  <si>
    <t>Obs1243</t>
  </si>
  <si>
    <t>Obs1244</t>
  </si>
  <si>
    <t>Obs1245</t>
  </si>
  <si>
    <t>Obs1246</t>
  </si>
  <si>
    <t>Obs1247</t>
  </si>
  <si>
    <t>Obs1248</t>
  </si>
  <si>
    <t>Obs1249</t>
  </si>
  <si>
    <t>Obs1250</t>
  </si>
  <si>
    <t>Obs1251</t>
  </si>
  <si>
    <t>Obs1252</t>
  </si>
  <si>
    <t>Obs1253</t>
  </si>
  <si>
    <t>Obs1254</t>
  </si>
  <si>
    <t>Obs1255</t>
  </si>
  <si>
    <t>Obs1256</t>
  </si>
  <si>
    <t>Obs1257</t>
  </si>
  <si>
    <t>Obs1258</t>
  </si>
  <si>
    <t>Obs1259</t>
  </si>
  <si>
    <t>Obs1260</t>
  </si>
  <si>
    <t>Obs1261</t>
  </si>
  <si>
    <t>Obs1262</t>
  </si>
  <si>
    <t>Obs1263</t>
  </si>
  <si>
    <t>Obs1264</t>
  </si>
  <si>
    <t>Obs1265</t>
  </si>
  <si>
    <t>Obs1266</t>
  </si>
  <si>
    <t>Obs1267</t>
  </si>
  <si>
    <t>Obs1268</t>
  </si>
  <si>
    <t>Obs1269</t>
  </si>
  <si>
    <t>Obs1270</t>
  </si>
  <si>
    <t>Obs1271</t>
  </si>
  <si>
    <t>Obs1272</t>
  </si>
  <si>
    <t>Obs1273</t>
  </si>
  <si>
    <t>Obs1274</t>
  </si>
  <si>
    <t>Obs1275</t>
  </si>
  <si>
    <t>Obs1276</t>
  </si>
  <si>
    <t>Obs1277</t>
  </si>
  <si>
    <t>Obs1278</t>
  </si>
  <si>
    <t>Obs1279</t>
  </si>
  <si>
    <t>Obs1280</t>
  </si>
  <si>
    <t>Obs1281</t>
  </si>
  <si>
    <t>Obs1282</t>
  </si>
  <si>
    <t>Obs1283</t>
  </si>
  <si>
    <t>Obs1284</t>
  </si>
  <si>
    <t>Obs1285</t>
  </si>
  <si>
    <t>Obs1286</t>
  </si>
  <si>
    <t>Obs1287</t>
  </si>
  <si>
    <t>Obs1288</t>
  </si>
  <si>
    <t>Obs1289</t>
  </si>
  <si>
    <t>Obs1290</t>
  </si>
  <si>
    <t>Obs1291</t>
  </si>
  <si>
    <t>Obs1292</t>
  </si>
  <si>
    <t>Obs1293</t>
  </si>
  <si>
    <t>Obs1294</t>
  </si>
  <si>
    <t>Obs1295</t>
  </si>
  <si>
    <t>Obs1296</t>
  </si>
  <si>
    <t>Obs1297</t>
  </si>
  <si>
    <t>Obs1298</t>
  </si>
  <si>
    <t>Obs1299</t>
  </si>
  <si>
    <t>Obs1300</t>
  </si>
  <si>
    <t>Obs1301</t>
  </si>
  <si>
    <t>Obs1302</t>
  </si>
  <si>
    <t>Obs1303</t>
  </si>
  <si>
    <t>Obs1304</t>
  </si>
  <si>
    <t>Obs1305</t>
  </si>
  <si>
    <t>Obs1306</t>
  </si>
  <si>
    <t>Obs1307</t>
  </si>
  <si>
    <t>Obs1308</t>
  </si>
  <si>
    <t>Obs1309</t>
  </si>
  <si>
    <t>Obs1310</t>
  </si>
  <si>
    <t>Obs1311</t>
  </si>
  <si>
    <t>Obs1312</t>
  </si>
  <si>
    <t>Obs1313</t>
  </si>
  <si>
    <t>Obs1314</t>
  </si>
  <si>
    <t>Obs1315</t>
  </si>
  <si>
    <t>Obs1316</t>
  </si>
  <si>
    <t>Obs1317</t>
  </si>
  <si>
    <t>Obs1318</t>
  </si>
  <si>
    <t>Obs1319</t>
  </si>
  <si>
    <t>Obs1320</t>
  </si>
  <si>
    <t>Obs1321</t>
  </si>
  <si>
    <t>Obs1322</t>
  </si>
  <si>
    <t>Obs1323</t>
  </si>
  <si>
    <t>Obs1324</t>
  </si>
  <si>
    <t>Obs1325</t>
  </si>
  <si>
    <t>Obs1326</t>
  </si>
  <si>
    <t>Obs1327</t>
  </si>
  <si>
    <t>Obs1328</t>
  </si>
  <si>
    <t>Obs1329</t>
  </si>
  <si>
    <t>Obs1330</t>
  </si>
  <si>
    <t>Obs1331</t>
  </si>
  <si>
    <t>Obs1332</t>
  </si>
  <si>
    <t>Obs1333</t>
  </si>
  <si>
    <t>Obs1334</t>
  </si>
  <si>
    <t>Obs1335</t>
  </si>
  <si>
    <t>Obs1336</t>
  </si>
  <si>
    <t>Obs1337</t>
  </si>
  <si>
    <t>Obs1338</t>
  </si>
  <si>
    <t>Obs1339</t>
  </si>
  <si>
    <t>Obs1340</t>
  </si>
  <si>
    <t>Obs1341</t>
  </si>
  <si>
    <t>Obs1342</t>
  </si>
  <si>
    <t>Obs1343</t>
  </si>
  <si>
    <t>Obs1344</t>
  </si>
  <si>
    <t>Obs1345</t>
  </si>
  <si>
    <t>Obs1346</t>
  </si>
  <si>
    <t>Obs1347</t>
  </si>
  <si>
    <t>Obs1348</t>
  </si>
  <si>
    <t>Obs1349</t>
  </si>
  <si>
    <t>Obs1350</t>
  </si>
  <si>
    <t>Obs1351</t>
  </si>
  <si>
    <t>Obs1352</t>
  </si>
  <si>
    <t>Obs1353</t>
  </si>
  <si>
    <t>Obs1354</t>
  </si>
  <si>
    <t>Obs1355</t>
  </si>
  <si>
    <t>Obs1356</t>
  </si>
  <si>
    <t>Obs1357</t>
  </si>
  <si>
    <t>Obs1358</t>
  </si>
  <si>
    <t>Obs1359</t>
  </si>
  <si>
    <t>Obs1360</t>
  </si>
  <si>
    <t>Obs1361</t>
  </si>
  <si>
    <t>Obs1362</t>
  </si>
  <si>
    <t>Obs1363</t>
  </si>
  <si>
    <t>Obs1364</t>
  </si>
  <si>
    <t>Obs1365</t>
  </si>
  <si>
    <t>Obs1366</t>
  </si>
  <si>
    <t>Obs1367</t>
  </si>
  <si>
    <t>Obs1368</t>
  </si>
  <si>
    <t>Obs1369</t>
  </si>
  <si>
    <t>Obs1370</t>
  </si>
  <si>
    <t>Obs1371</t>
  </si>
  <si>
    <t>Obs1372</t>
  </si>
  <si>
    <t>Obs1373</t>
  </si>
  <si>
    <t>Obs1374</t>
  </si>
  <si>
    <t>Obs1375</t>
  </si>
  <si>
    <t>Obs1376</t>
  </si>
  <si>
    <t>Obs1377</t>
  </si>
  <si>
    <t>Obs1378</t>
  </si>
  <si>
    <t>Obs1379</t>
  </si>
  <si>
    <t>Obs1380</t>
  </si>
  <si>
    <t>Obs1381</t>
  </si>
  <si>
    <t>Obs1382</t>
  </si>
  <si>
    <t>Obs1383</t>
  </si>
  <si>
    <t>Obs1384</t>
  </si>
  <si>
    <t>Obs1385</t>
  </si>
  <si>
    <t>Obs1386</t>
  </si>
  <si>
    <t>Obs1387</t>
  </si>
  <si>
    <t>Obs1388</t>
  </si>
  <si>
    <t>Obs1389</t>
  </si>
  <si>
    <t>Obs1390</t>
  </si>
  <si>
    <t>Obs1391</t>
  </si>
  <si>
    <t>Obs1392</t>
  </si>
  <si>
    <t>Obs1393</t>
  </si>
  <si>
    <t>Obs1394</t>
  </si>
  <si>
    <t>Obs1395</t>
  </si>
  <si>
    <t>Obs1396</t>
  </si>
  <si>
    <t>Obs1397</t>
  </si>
  <si>
    <t>Obs1398</t>
  </si>
  <si>
    <t>Obs1399</t>
  </si>
  <si>
    <t>Obs1400</t>
  </si>
  <si>
    <t>Obs1401</t>
  </si>
  <si>
    <t>Obs1402</t>
  </si>
  <si>
    <t>Obs1403</t>
  </si>
  <si>
    <t>Obs1404</t>
  </si>
  <si>
    <t>Obs1405</t>
  </si>
  <si>
    <t>Obs1406</t>
  </si>
  <si>
    <t>Obs1407</t>
  </si>
  <si>
    <t>Obs1408</t>
  </si>
  <si>
    <t>Obs1409</t>
  </si>
  <si>
    <t>Obs1410</t>
  </si>
  <si>
    <t>Obs1411</t>
  </si>
  <si>
    <t>Obs1412</t>
  </si>
  <si>
    <t>Obs1413</t>
  </si>
  <si>
    <t>Obs1414</t>
  </si>
  <si>
    <t>Obs1415</t>
  </si>
  <si>
    <t>Obs1416</t>
  </si>
  <si>
    <t>Obs1417</t>
  </si>
  <si>
    <t>Obs1418</t>
  </si>
  <si>
    <t>Obs1419</t>
  </si>
  <si>
    <t>Obs1420</t>
  </si>
  <si>
    <t>Obs1421</t>
  </si>
  <si>
    <t>Obs1422</t>
  </si>
  <si>
    <t>Obs1423</t>
  </si>
  <si>
    <t>Obs1424</t>
  </si>
  <si>
    <t>Obs1425</t>
  </si>
  <si>
    <t>Obs1426</t>
  </si>
  <si>
    <t>Obs1427</t>
  </si>
  <si>
    <t>Obs1428</t>
  </si>
  <si>
    <t>Obs1429</t>
  </si>
  <si>
    <t>Obs1430</t>
  </si>
  <si>
    <t>Obs1431</t>
  </si>
  <si>
    <t>Obs1432</t>
  </si>
  <si>
    <t>Obs1433</t>
  </si>
  <si>
    <t>Obs1434</t>
  </si>
  <si>
    <t>Obs1435</t>
  </si>
  <si>
    <t>Obs1436</t>
  </si>
  <si>
    <t>Obs1437</t>
  </si>
  <si>
    <t>Obs1438</t>
  </si>
  <si>
    <t>Obs1439</t>
  </si>
  <si>
    <t>Obs1440</t>
  </si>
  <si>
    <t>Obs1441</t>
  </si>
  <si>
    <t>Obs1442</t>
  </si>
  <si>
    <t>Obs1443</t>
  </si>
  <si>
    <t>Obs1444</t>
  </si>
  <si>
    <t>Obs1445</t>
  </si>
  <si>
    <t>Obs1446</t>
  </si>
  <si>
    <t>Obs1447</t>
  </si>
  <si>
    <t>Obs1448</t>
  </si>
  <si>
    <t>Obs1449</t>
  </si>
  <si>
    <t>Obs1450</t>
  </si>
  <si>
    <t>Obs1451</t>
  </si>
  <si>
    <t>Obs1452</t>
  </si>
  <si>
    <t>Obs1453</t>
  </si>
  <si>
    <t>Obs1454</t>
  </si>
  <si>
    <t>Obs1455</t>
  </si>
  <si>
    <t>Obs1456</t>
  </si>
  <si>
    <t>Obs1457</t>
  </si>
  <si>
    <t>Obs1458</t>
  </si>
  <si>
    <t>Obs1459</t>
  </si>
  <si>
    <t>Obs1460</t>
  </si>
  <si>
    <t>Obs1461</t>
  </si>
  <si>
    <t>Obs1462</t>
  </si>
  <si>
    <t>Obs1463</t>
  </si>
  <si>
    <t>Obs1464</t>
  </si>
  <si>
    <t>Obs1465</t>
  </si>
  <si>
    <t>Obs1466</t>
  </si>
  <si>
    <t>Obs1467</t>
  </si>
  <si>
    <t>Obs1468</t>
  </si>
  <si>
    <t>Obs1469</t>
  </si>
  <si>
    <t>Obs1470</t>
  </si>
  <si>
    <t>Obs1471</t>
  </si>
  <si>
    <t>Obs1472</t>
  </si>
  <si>
    <t>Obs1473</t>
  </si>
  <si>
    <t>Obs1474</t>
  </si>
  <si>
    <t>Obs1475</t>
  </si>
  <si>
    <t>Obs1476</t>
  </si>
  <si>
    <t>Obs1477</t>
  </si>
  <si>
    <t>Obs1478</t>
  </si>
  <si>
    <t>Obs1479</t>
  </si>
  <si>
    <t>Obs1480</t>
  </si>
  <si>
    <t>Obs1481</t>
  </si>
  <si>
    <t>Obs1482</t>
  </si>
  <si>
    <t>Obs1483</t>
  </si>
  <si>
    <t>Obs1484</t>
  </si>
  <si>
    <t>Obs1485</t>
  </si>
  <si>
    <t>Obs1486</t>
  </si>
  <si>
    <t>Obs1487</t>
  </si>
  <si>
    <t>Obs1488</t>
  </si>
  <si>
    <t>Obs1489</t>
  </si>
  <si>
    <t>Obs1490</t>
  </si>
  <si>
    <t>Obs1491</t>
  </si>
  <si>
    <t>Obs1492</t>
  </si>
  <si>
    <t>Obs1493</t>
  </si>
  <si>
    <t>Obs1494</t>
  </si>
  <si>
    <t>Obs1495</t>
  </si>
  <si>
    <t>Obs1496</t>
  </si>
  <si>
    <t>Obs1497</t>
  </si>
  <si>
    <t>Obs1498</t>
  </si>
  <si>
    <t>Obs1499</t>
  </si>
  <si>
    <t>Obs1500</t>
  </si>
  <si>
    <t>Obs1501</t>
  </si>
  <si>
    <t>Obs1502</t>
  </si>
  <si>
    <t>Obs1503</t>
  </si>
  <si>
    <t>Obs1504</t>
  </si>
  <si>
    <t>Obs1505</t>
  </si>
  <si>
    <t>Obs1506</t>
  </si>
  <si>
    <t>Obs1507</t>
  </si>
  <si>
    <t>Obs1508</t>
  </si>
  <si>
    <t>Obs1509</t>
  </si>
  <si>
    <t>Obs1510</t>
  </si>
  <si>
    <t>Obs1511</t>
  </si>
  <si>
    <t>Obs1512</t>
  </si>
  <si>
    <t>Obs1513</t>
  </si>
  <si>
    <t>Obs1514</t>
  </si>
  <si>
    <t>Obs1515</t>
  </si>
  <si>
    <t>Obs1516</t>
  </si>
  <si>
    <t>Obs1517</t>
  </si>
  <si>
    <t>Obs1518</t>
  </si>
  <si>
    <t>Obs1519</t>
  </si>
  <si>
    <t>Obs1520</t>
  </si>
  <si>
    <t>Obs1521</t>
  </si>
  <si>
    <t>Obs1522</t>
  </si>
  <si>
    <t>Obs1523</t>
  </si>
  <si>
    <t>Obs1524</t>
  </si>
  <si>
    <t>Obs1525</t>
  </si>
  <si>
    <t>Obs1526</t>
  </si>
  <si>
    <t>Obs1527</t>
  </si>
  <si>
    <t>Obs1528</t>
  </si>
  <si>
    <t>Obs1529</t>
  </si>
  <si>
    <t>Obs1530</t>
  </si>
  <si>
    <t>Obs1531</t>
  </si>
  <si>
    <t>Obs1532</t>
  </si>
  <si>
    <t>Obs1533</t>
  </si>
  <si>
    <t>Obs1534</t>
  </si>
  <si>
    <t>Obs1535</t>
  </si>
  <si>
    <t>Obs1536</t>
  </si>
  <si>
    <t>Obs1537</t>
  </si>
  <si>
    <t>Obs1538</t>
  </si>
  <si>
    <t>Obs1539</t>
  </si>
  <si>
    <t>Obs1540</t>
  </si>
  <si>
    <t>Obs1541</t>
  </si>
  <si>
    <t>Obs1542</t>
  </si>
  <si>
    <t>Obs1543</t>
  </si>
  <si>
    <t>Obs1544</t>
  </si>
  <si>
    <t>Obs1545</t>
  </si>
  <si>
    <t>Obs1546</t>
  </si>
  <si>
    <t>Obs1547</t>
  </si>
  <si>
    <t>Obs1548</t>
  </si>
  <si>
    <t>Obs1549</t>
  </si>
  <si>
    <t>Obs1550</t>
  </si>
  <si>
    <t>Obs1551</t>
  </si>
  <si>
    <t>Obs1552</t>
  </si>
  <si>
    <t>Obs1553</t>
  </si>
  <si>
    <t>Obs1554</t>
  </si>
  <si>
    <t>Obs1555</t>
  </si>
  <si>
    <t>Obs1556</t>
  </si>
  <si>
    <t>Obs1557</t>
  </si>
  <si>
    <t>Obs1558</t>
  </si>
  <si>
    <t>Obs1559</t>
  </si>
  <si>
    <t>Obs1560</t>
  </si>
  <si>
    <t>Obs1561</t>
  </si>
  <si>
    <t>Obs1562</t>
  </si>
  <si>
    <t>Obs1563</t>
  </si>
  <si>
    <t>Obs1564</t>
  </si>
  <si>
    <t>Obs1565</t>
  </si>
  <si>
    <t>Obs1566</t>
  </si>
  <si>
    <t>Obs1567</t>
  </si>
  <si>
    <t>Obs1568</t>
  </si>
  <si>
    <t>Obs1569</t>
  </si>
  <si>
    <t>Obs1570</t>
  </si>
  <si>
    <t>Obs1571</t>
  </si>
  <si>
    <t>Obs1572</t>
  </si>
  <si>
    <t>Obs1573</t>
  </si>
  <si>
    <t>Obs1574</t>
  </si>
  <si>
    <t>Obs1575</t>
  </si>
  <si>
    <t>Obs1576</t>
  </si>
  <si>
    <t>Obs1577</t>
  </si>
  <si>
    <t>Obs1578</t>
  </si>
  <si>
    <t>Obs1579</t>
  </si>
  <si>
    <t>Obs1580</t>
  </si>
  <si>
    <t>Obs1581</t>
  </si>
  <si>
    <t>Obs1582</t>
  </si>
  <si>
    <t>Obs1583</t>
  </si>
  <si>
    <t>Obs1584</t>
  </si>
  <si>
    <t>Obs1585</t>
  </si>
  <si>
    <t>Obs1586</t>
  </si>
  <si>
    <t>Obs1587</t>
  </si>
  <si>
    <t>Obs1588</t>
  </si>
  <si>
    <t>Obs1589</t>
  </si>
  <si>
    <t>Obs1590</t>
  </si>
  <si>
    <t>Obs1591</t>
  </si>
  <si>
    <t>Obs1592</t>
  </si>
  <si>
    <t>Obs1593</t>
  </si>
  <si>
    <t>Obs1594</t>
  </si>
  <si>
    <t>Obs1595</t>
  </si>
  <si>
    <t>Obs1596</t>
  </si>
  <si>
    <t>Obs1597</t>
  </si>
  <si>
    <t>Obs1598</t>
  </si>
  <si>
    <t>Obs1599</t>
  </si>
  <si>
    <t>Obs1600</t>
  </si>
  <si>
    <t>Obs1601</t>
  </si>
  <si>
    <t>Obs1602</t>
  </si>
  <si>
    <t>Obs1603</t>
  </si>
  <si>
    <t>Obs1604</t>
  </si>
  <si>
    <t>Obs1605</t>
  </si>
  <si>
    <t>Obs1606</t>
  </si>
  <si>
    <t>Obs1607</t>
  </si>
  <si>
    <t>Obs1608</t>
  </si>
  <si>
    <t>Obs1609</t>
  </si>
  <si>
    <t>Obs1610</t>
  </si>
  <si>
    <t>Obs1611</t>
  </si>
  <si>
    <t>Obs1612</t>
  </si>
  <si>
    <t>Obs1613</t>
  </si>
  <si>
    <t>Obs1614</t>
  </si>
  <si>
    <t>Obs1615</t>
  </si>
  <si>
    <t>Obs1616</t>
  </si>
  <si>
    <t>Obs1617</t>
  </si>
  <si>
    <t>Obs1618</t>
  </si>
  <si>
    <t>Obs1619</t>
  </si>
  <si>
    <t>Obs1620</t>
  </si>
  <si>
    <t>Obs1621</t>
  </si>
  <si>
    <t>Obs1622</t>
  </si>
  <si>
    <t>Obs1623</t>
  </si>
  <si>
    <t>Obs1624</t>
  </si>
  <si>
    <t>Obs1625</t>
  </si>
  <si>
    <t>Obs1626</t>
  </si>
  <si>
    <t>Obs1627</t>
  </si>
  <si>
    <t>Obs1628</t>
  </si>
  <si>
    <t>Obs1629</t>
  </si>
  <si>
    <t>Obs1630</t>
  </si>
  <si>
    <t>Obs1631</t>
  </si>
  <si>
    <t>Obs1632</t>
  </si>
  <si>
    <t>Obs1633</t>
  </si>
  <si>
    <t>Obs1634</t>
  </si>
  <si>
    <t>Obs1635</t>
  </si>
  <si>
    <t>Obs1636</t>
  </si>
  <si>
    <t>Obs1637</t>
  </si>
  <si>
    <t>Obs1638</t>
  </si>
  <si>
    <t>Obs1639</t>
  </si>
  <si>
    <t>Obs1640</t>
  </si>
  <si>
    <t>Obs1641</t>
  </si>
  <si>
    <t>Obs1642</t>
  </si>
  <si>
    <t>Obs1643</t>
  </si>
  <si>
    <t>Obs1644</t>
  </si>
  <si>
    <t>Obs1645</t>
  </si>
  <si>
    <t>Obs1646</t>
  </si>
  <si>
    <t>Obs1647</t>
  </si>
  <si>
    <t>Obs1648</t>
  </si>
  <si>
    <t>Obs1649</t>
  </si>
  <si>
    <t>Obs1650</t>
  </si>
  <si>
    <t>Obs1651</t>
  </si>
  <si>
    <t>Obs1652</t>
  </si>
  <si>
    <t>Obs1653</t>
  </si>
  <si>
    <t>Obs1654</t>
  </si>
  <si>
    <t>Obs1655</t>
  </si>
  <si>
    <t>Obs1656</t>
  </si>
  <si>
    <t>Obs1657</t>
  </si>
  <si>
    <t>Obs1658</t>
  </si>
  <si>
    <t>Obs1659</t>
  </si>
  <si>
    <t>Obs1660</t>
  </si>
  <si>
    <t>Obs1661</t>
  </si>
  <si>
    <t>Obs1662</t>
  </si>
  <si>
    <t>Obs1663</t>
  </si>
  <si>
    <t>Obs1664</t>
  </si>
  <si>
    <t>Obs1665</t>
  </si>
  <si>
    <t>Obs1666</t>
  </si>
  <si>
    <t>Obs1667</t>
  </si>
  <si>
    <t>Obs1668</t>
  </si>
  <si>
    <t>Obs1669</t>
  </si>
  <si>
    <t>Obs1670</t>
  </si>
  <si>
    <t>Obs1671</t>
  </si>
  <si>
    <t>Obs1672</t>
  </si>
  <si>
    <t>Obs1673</t>
  </si>
  <si>
    <t>Obs1674</t>
  </si>
  <si>
    <t>Obs1675</t>
  </si>
  <si>
    <t>Obs1676</t>
  </si>
  <si>
    <t>Obs1677</t>
  </si>
  <si>
    <t>Obs1678</t>
  </si>
  <si>
    <t>Obs1679</t>
  </si>
  <si>
    <t>Obs1680</t>
  </si>
  <si>
    <t>Obs1681</t>
  </si>
  <si>
    <t>Obs1682</t>
  </si>
  <si>
    <t>Obs1683</t>
  </si>
  <si>
    <t>Obs1684</t>
  </si>
  <si>
    <t>Obs1685</t>
  </si>
  <si>
    <t>Obs1686</t>
  </si>
  <si>
    <t>Obs1687</t>
  </si>
  <si>
    <t>Obs1688</t>
  </si>
  <si>
    <t>Obs1689</t>
  </si>
  <si>
    <t>Obs1690</t>
  </si>
  <si>
    <t>Obs1691</t>
  </si>
  <si>
    <t>Obs1692</t>
  </si>
  <si>
    <t>Obs1693</t>
  </si>
  <si>
    <t>Obs1694</t>
  </si>
  <si>
    <t>Obs1695</t>
  </si>
  <si>
    <t>Obs1696</t>
  </si>
  <si>
    <t>Obs1697</t>
  </si>
  <si>
    <t>Obs1698</t>
  </si>
  <si>
    <t>Obs1699</t>
  </si>
  <si>
    <t>Obs1700</t>
  </si>
  <si>
    <t>Obs1701</t>
  </si>
  <si>
    <t>Obs1702</t>
  </si>
  <si>
    <t>Obs1703</t>
  </si>
  <si>
    <t>Obs1704</t>
  </si>
  <si>
    <t>Obs1705</t>
  </si>
  <si>
    <t>Obs1706</t>
  </si>
  <si>
    <t>Obs1707</t>
  </si>
  <si>
    <t>Obs1708</t>
  </si>
  <si>
    <t>Obs1709</t>
  </si>
  <si>
    <t>Obs1710</t>
  </si>
  <si>
    <t>Obs1711</t>
  </si>
  <si>
    <t>Obs1712</t>
  </si>
  <si>
    <t>Obs1713</t>
  </si>
  <si>
    <t>Obs1714</t>
  </si>
  <si>
    <t>Obs1715</t>
  </si>
  <si>
    <t>Obs1716</t>
  </si>
  <si>
    <t>Obs1717</t>
  </si>
  <si>
    <t>Obs1718</t>
  </si>
  <si>
    <t>Obs1719</t>
  </si>
  <si>
    <t>Obs1720</t>
  </si>
  <si>
    <t>Obs1721</t>
  </si>
  <si>
    <t>Obs1722</t>
  </si>
  <si>
    <t>Obs1723</t>
  </si>
  <si>
    <t>Obs1724</t>
  </si>
  <si>
    <t>Obs1725</t>
  </si>
  <si>
    <t>Obs1726</t>
  </si>
  <si>
    <t>Obs1727</t>
  </si>
  <si>
    <t>Obs1728</t>
  </si>
  <si>
    <t>Obs1729</t>
  </si>
  <si>
    <t>Obs1730</t>
  </si>
  <si>
    <t>Obs1731</t>
  </si>
  <si>
    <t>Obs1732</t>
  </si>
  <si>
    <t>Obs1733</t>
  </si>
  <si>
    <t>Obs1734</t>
  </si>
  <si>
    <t>Obs1735</t>
  </si>
  <si>
    <t>Obs1736</t>
  </si>
  <si>
    <t>Obs1737</t>
  </si>
  <si>
    <t>Obs1738</t>
  </si>
  <si>
    <t>Obs1739</t>
  </si>
  <si>
    <t>Obs1740</t>
  </si>
  <si>
    <t>Obs1741</t>
  </si>
  <si>
    <t>Obs1742</t>
  </si>
  <si>
    <t>Obs1743</t>
  </si>
  <si>
    <t>Obs1744</t>
  </si>
  <si>
    <t>Obs1745</t>
  </si>
  <si>
    <t>Obs1746</t>
  </si>
  <si>
    <t>Obs1747</t>
  </si>
  <si>
    <t>Obs1748</t>
  </si>
  <si>
    <t>Obs1749</t>
  </si>
  <si>
    <t>Obs1750</t>
  </si>
  <si>
    <t>Obs1751</t>
  </si>
  <si>
    <t>Obs1752</t>
  </si>
  <si>
    <t>Obs1753</t>
  </si>
  <si>
    <t>Obs1754</t>
  </si>
  <si>
    <t>Obs1755</t>
  </si>
  <si>
    <t>Obs1756</t>
  </si>
  <si>
    <t>Obs1757</t>
  </si>
  <si>
    <t>Obs1758</t>
  </si>
  <si>
    <t>Obs1759</t>
  </si>
  <si>
    <t>Obs1760</t>
  </si>
  <si>
    <t>Obs1761</t>
  </si>
  <si>
    <t>Obs1762</t>
  </si>
  <si>
    <t>Obs1763</t>
  </si>
  <si>
    <t>Obs1764</t>
  </si>
  <si>
    <t>Obs1765</t>
  </si>
  <si>
    <t>Obs1766</t>
  </si>
  <si>
    <t>Obs1767</t>
  </si>
  <si>
    <t>Obs1768</t>
  </si>
  <si>
    <t>Obs1769</t>
  </si>
  <si>
    <t>Obs1770</t>
  </si>
  <si>
    <t>Obs1771</t>
  </si>
  <si>
    <t>Obs1772</t>
  </si>
  <si>
    <t>Obs1773</t>
  </si>
  <si>
    <t>Obs1774</t>
  </si>
  <si>
    <t>Obs1775</t>
  </si>
  <si>
    <t>Obs1776</t>
  </si>
  <si>
    <t>Obs1777</t>
  </si>
  <si>
    <t>Obs1778</t>
  </si>
  <si>
    <t>Obs1779</t>
  </si>
  <si>
    <t>Obs1780</t>
  </si>
  <si>
    <t>Obs1781</t>
  </si>
  <si>
    <t>Obs1782</t>
  </si>
  <si>
    <t>Obs1783</t>
  </si>
  <si>
    <t>Obs1784</t>
  </si>
  <si>
    <t>Obs1785</t>
  </si>
  <si>
    <t>Obs1786</t>
  </si>
  <si>
    <t>Obs1787</t>
  </si>
  <si>
    <t>Obs1788</t>
  </si>
  <si>
    <t>Obs1789</t>
  </si>
  <si>
    <t>Obs1790</t>
  </si>
  <si>
    <t>Obs1791</t>
  </si>
  <si>
    <t>Obs1792</t>
  </si>
  <si>
    <t>Obs1793</t>
  </si>
  <si>
    <t>Obs1794</t>
  </si>
  <si>
    <t>Obs1795</t>
  </si>
  <si>
    <t>Obs1796</t>
  </si>
  <si>
    <t>Obs1797</t>
  </si>
  <si>
    <t>Obs1798</t>
  </si>
  <si>
    <t>Obs1799</t>
  </si>
  <si>
    <t>Obs1800</t>
  </si>
  <si>
    <t>Obs1801</t>
  </si>
  <si>
    <t>Obs1802</t>
  </si>
  <si>
    <t>Obs1803</t>
  </si>
  <si>
    <t>Obs1804</t>
  </si>
  <si>
    <t>Obs1805</t>
  </si>
  <si>
    <t>Obs1806</t>
  </si>
  <si>
    <t>Obs1807</t>
  </si>
  <si>
    <t>Obs1808</t>
  </si>
  <si>
    <t>Obs1809</t>
  </si>
  <si>
    <t>Obs1810</t>
  </si>
  <si>
    <t>Obs1811</t>
  </si>
  <si>
    <t>Obs1812</t>
  </si>
  <si>
    <t>Obs1813</t>
  </si>
  <si>
    <t>Obs1814</t>
  </si>
  <si>
    <t>Obs1815</t>
  </si>
  <si>
    <t>Obs1816</t>
  </si>
  <si>
    <t>Obs1817</t>
  </si>
  <si>
    <t>Obs1818</t>
  </si>
  <si>
    <t>Obs1819</t>
  </si>
  <si>
    <t>Obs1820</t>
  </si>
  <si>
    <t>Obs1821</t>
  </si>
  <si>
    <t>Obs1822</t>
  </si>
  <si>
    <t>Obs1823</t>
  </si>
  <si>
    <t>Obs1824</t>
  </si>
  <si>
    <t>Obs1825</t>
  </si>
  <si>
    <t>Obs1826</t>
  </si>
  <si>
    <t>Obs1827</t>
  </si>
  <si>
    <t>Obs1828</t>
  </si>
  <si>
    <t>Obs1829</t>
  </si>
  <si>
    <t>Obs1830</t>
  </si>
  <si>
    <t>Obs1831</t>
  </si>
  <si>
    <t>Obs1832</t>
  </si>
  <si>
    <t>Obs1833</t>
  </si>
  <si>
    <t>Obs1834</t>
  </si>
  <si>
    <t>Obs1835</t>
  </si>
  <si>
    <t>Obs1836</t>
  </si>
  <si>
    <t>Obs1837</t>
  </si>
  <si>
    <t>Obs1838</t>
  </si>
  <si>
    <t>Obs1839</t>
  </si>
  <si>
    <t>Obs1840</t>
  </si>
  <si>
    <t>Obs1841</t>
  </si>
  <si>
    <t>Obs1842</t>
  </si>
  <si>
    <t>Obs1843</t>
  </si>
  <si>
    <t>Obs1844</t>
  </si>
  <si>
    <t>Obs1845</t>
  </si>
  <si>
    <t>Obs1846</t>
  </si>
  <si>
    <t>Obs1847</t>
  </si>
  <si>
    <t>Obs1848</t>
  </si>
  <si>
    <t>Obs1849</t>
  </si>
  <si>
    <t>Obs1850</t>
  </si>
  <si>
    <t>Obs1851</t>
  </si>
  <si>
    <t>Obs1852</t>
  </si>
  <si>
    <t>Obs1853</t>
  </si>
  <si>
    <t>Obs1854</t>
  </si>
  <si>
    <t>Obs1855</t>
  </si>
  <si>
    <t>Obs1856</t>
  </si>
  <si>
    <t>Obs1857</t>
  </si>
  <si>
    <t>Obs1858</t>
  </si>
  <si>
    <t>Obs1859</t>
  </si>
  <si>
    <t>Obs1860</t>
  </si>
  <si>
    <t>Obs1861</t>
  </si>
  <si>
    <t>Obs1862</t>
  </si>
  <si>
    <t>Obs1863</t>
  </si>
  <si>
    <t>Obs1864</t>
  </si>
  <si>
    <t>Obs1865</t>
  </si>
  <si>
    <t>Obs1866</t>
  </si>
  <si>
    <t>Obs1867</t>
  </si>
  <si>
    <t>Obs1868</t>
  </si>
  <si>
    <t>Obs1869</t>
  </si>
  <si>
    <t>Obs1870</t>
  </si>
  <si>
    <t>Obs1871</t>
  </si>
  <si>
    <t>Obs1872</t>
  </si>
  <si>
    <t>Obs1873</t>
  </si>
  <si>
    <t>Obs1874</t>
  </si>
  <si>
    <t>Obs1875</t>
  </si>
  <si>
    <t>Obs1876</t>
  </si>
  <si>
    <t>Obs1877</t>
  </si>
  <si>
    <t>Obs1878</t>
  </si>
  <si>
    <t>Obs1879</t>
  </si>
  <si>
    <t>Obs1880</t>
  </si>
  <si>
    <t>Obs1881</t>
  </si>
  <si>
    <t>Obs1882</t>
  </si>
  <si>
    <t>Obs1883</t>
  </si>
  <si>
    <t>Obs1884</t>
  </si>
  <si>
    <t>Obs1885</t>
  </si>
  <si>
    <t>Obs1886</t>
  </si>
  <si>
    <t>Obs1887</t>
  </si>
  <si>
    <t>Obs1888</t>
  </si>
  <si>
    <t>Obs1889</t>
  </si>
  <si>
    <t>Obs1890</t>
  </si>
  <si>
    <t>Obs1891</t>
  </si>
  <si>
    <t>Obs1892</t>
  </si>
  <si>
    <t>Obs1893</t>
  </si>
  <si>
    <t>Obs1894</t>
  </si>
  <si>
    <t>Obs1895</t>
  </si>
  <si>
    <t>Obs1896</t>
  </si>
  <si>
    <t>Obs1897</t>
  </si>
  <si>
    <t>Obs1898</t>
  </si>
  <si>
    <t>Obs1899</t>
  </si>
  <si>
    <t>Obs1900</t>
  </si>
  <si>
    <t>Obs1901</t>
  </si>
  <si>
    <t>Obs1902</t>
  </si>
  <si>
    <t>Obs1903</t>
  </si>
  <si>
    <t>Obs1904</t>
  </si>
  <si>
    <t>Obs1905</t>
  </si>
  <si>
    <t>Obs1906</t>
  </si>
  <si>
    <t>Obs1907</t>
  </si>
  <si>
    <t>Obs1908</t>
  </si>
  <si>
    <t>Obs1909</t>
  </si>
  <si>
    <t>Obs1910</t>
  </si>
  <si>
    <t>Obs1911</t>
  </si>
  <si>
    <t>Obs1912</t>
  </si>
  <si>
    <t>Obs1913</t>
  </si>
  <si>
    <t>Obs1914</t>
  </si>
  <si>
    <t>Obs1915</t>
  </si>
  <si>
    <t>Obs1916</t>
  </si>
  <si>
    <t>Obs1917</t>
  </si>
  <si>
    <t>Obs1918</t>
  </si>
  <si>
    <t>Obs1919</t>
  </si>
  <si>
    <t>Obs1920</t>
  </si>
  <si>
    <t>Obs1921</t>
  </si>
  <si>
    <t>Obs1922</t>
  </si>
  <si>
    <t>Obs1923</t>
  </si>
  <si>
    <t>Obs1924</t>
  </si>
  <si>
    <t>Obs1925</t>
  </si>
  <si>
    <t>Obs1926</t>
  </si>
  <si>
    <t>Obs1927</t>
  </si>
  <si>
    <t>Obs1928</t>
  </si>
  <si>
    <t>Obs1929</t>
  </si>
  <si>
    <t>Obs1930</t>
  </si>
  <si>
    <t>Obs1931</t>
  </si>
  <si>
    <t>Obs1932</t>
  </si>
  <si>
    <t>Obs1933</t>
  </si>
  <si>
    <t>Obs1934</t>
  </si>
  <si>
    <t>Obs1935</t>
  </si>
  <si>
    <t>Obs1936</t>
  </si>
  <si>
    <t>Obs1937</t>
  </si>
  <si>
    <t>Obs1938</t>
  </si>
  <si>
    <t>Obs1939</t>
  </si>
  <si>
    <t>Obs1940</t>
  </si>
  <si>
    <t>Obs1941</t>
  </si>
  <si>
    <t>Obs1942</t>
  </si>
  <si>
    <t>Obs1943</t>
  </si>
  <si>
    <t>Obs1944</t>
  </si>
  <si>
    <t>Obs1945</t>
  </si>
  <si>
    <t>Obs1946</t>
  </si>
  <si>
    <t>Obs1947</t>
  </si>
  <si>
    <t>Obs1948</t>
  </si>
  <si>
    <t>Obs1949</t>
  </si>
  <si>
    <t>Obs1950</t>
  </si>
  <si>
    <t>Obs1951</t>
  </si>
  <si>
    <t>Obs1952</t>
  </si>
  <si>
    <t>Obs1953</t>
  </si>
  <si>
    <t>Obs1954</t>
  </si>
  <si>
    <t>Obs1955</t>
  </si>
  <si>
    <t>Obs1956</t>
  </si>
  <si>
    <t>Obs1957</t>
  </si>
  <si>
    <t>Obs1958</t>
  </si>
  <si>
    <t>Obs1959</t>
  </si>
  <si>
    <t>Obs1960</t>
  </si>
  <si>
    <t>Obs1961</t>
  </si>
  <si>
    <t>Obs1962</t>
  </si>
  <si>
    <t>Obs1963</t>
  </si>
  <si>
    <t>Obs1964</t>
  </si>
  <si>
    <t>Obs1965</t>
  </si>
  <si>
    <t>Obs1966</t>
  </si>
  <si>
    <t>Obs1967</t>
  </si>
  <si>
    <t>Obs1968</t>
  </si>
  <si>
    <t>Obs1969</t>
  </si>
  <si>
    <t>Obs1970</t>
  </si>
  <si>
    <t>Obs1971</t>
  </si>
  <si>
    <t>Obs1972</t>
  </si>
  <si>
    <t>Obs1973</t>
  </si>
  <si>
    <t>Obs1974</t>
  </si>
  <si>
    <t>Obs1975</t>
  </si>
  <si>
    <t>Obs1976</t>
  </si>
  <si>
    <t>Obs1977</t>
  </si>
  <si>
    <t>Obs1978</t>
  </si>
  <si>
    <t>Obs1979</t>
  </si>
  <si>
    <t>Obs1980</t>
  </si>
  <si>
    <t>Obs1981</t>
  </si>
  <si>
    <t>Obs1982</t>
  </si>
  <si>
    <t>Obs1983</t>
  </si>
  <si>
    <t>Obs1984</t>
  </si>
  <si>
    <t>Obs1985</t>
  </si>
  <si>
    <t>Obs1986</t>
  </si>
  <si>
    <t>Obs1987</t>
  </si>
  <si>
    <t>Obs1988</t>
  </si>
  <si>
    <t>Obs1989</t>
  </si>
  <si>
    <t>Obs1990</t>
  </si>
  <si>
    <t>Obs1991</t>
  </si>
  <si>
    <t>Obs1992</t>
  </si>
  <si>
    <t>Obs1993</t>
  </si>
  <si>
    <t>Obs1994</t>
  </si>
  <si>
    <t>Obs1995</t>
  </si>
  <si>
    <t>Obs1996</t>
  </si>
  <si>
    <t>Obs1997</t>
  </si>
  <si>
    <t>Obs1998</t>
  </si>
  <si>
    <t>Obs1999</t>
  </si>
  <si>
    <t>Obs2000</t>
  </si>
  <si>
    <t>Obs2001</t>
  </si>
  <si>
    <t>Obs2002</t>
  </si>
  <si>
    <t>Obs2003</t>
  </si>
  <si>
    <t>Obs2004</t>
  </si>
  <si>
    <t>Obs2005</t>
  </si>
  <si>
    <t>Obs2006</t>
  </si>
  <si>
    <t>Obs2007</t>
  </si>
  <si>
    <t>Obs2008</t>
  </si>
  <si>
    <t>Obs2009</t>
  </si>
  <si>
    <t>Obs2010</t>
  </si>
  <si>
    <t>Obs2011</t>
  </si>
  <si>
    <t>Obs2012</t>
  </si>
  <si>
    <t>Obs2013</t>
  </si>
  <si>
    <t>Obs2014</t>
  </si>
  <si>
    <t>Obs2015</t>
  </si>
  <si>
    <t>Obs2016</t>
  </si>
  <si>
    <t>Obs2017</t>
  </si>
  <si>
    <t>Obs2018</t>
  </si>
  <si>
    <t>Obs2019</t>
  </si>
  <si>
    <t>Obs2020</t>
  </si>
  <si>
    <t>Obs2021</t>
  </si>
  <si>
    <t>Obs2022</t>
  </si>
  <si>
    <t>Obs2023</t>
  </si>
  <si>
    <t>Obs2024</t>
  </si>
  <si>
    <t>Obs2025</t>
  </si>
  <si>
    <t>Obs2026</t>
  </si>
  <si>
    <t>Obs2027</t>
  </si>
  <si>
    <t>Obs2028</t>
  </si>
  <si>
    <t>Obs2029</t>
  </si>
  <si>
    <t>Obs2030</t>
  </si>
  <si>
    <t>Obs2031</t>
  </si>
  <si>
    <t>Obs2032</t>
  </si>
  <si>
    <t>Obs2033</t>
  </si>
  <si>
    <t>Obs2034</t>
  </si>
  <si>
    <t>Obs2035</t>
  </si>
  <si>
    <t>Obs2036</t>
  </si>
  <si>
    <t>Obs2037</t>
  </si>
  <si>
    <t>Obs2038</t>
  </si>
  <si>
    <t>Obs2039</t>
  </si>
  <si>
    <t>Obs2040</t>
  </si>
  <si>
    <t>Obs2041</t>
  </si>
  <si>
    <t>Obs2042</t>
  </si>
  <si>
    <t>Obs2043</t>
  </si>
  <si>
    <t>Obs2044</t>
  </si>
  <si>
    <t>Obs2045</t>
  </si>
  <si>
    <t>Obs2046</t>
  </si>
  <si>
    <t>Obs2047</t>
  </si>
  <si>
    <t>Obs2048</t>
  </si>
  <si>
    <t>Obs2049</t>
  </si>
  <si>
    <t>Obs2050</t>
  </si>
  <si>
    <t>Obs2051</t>
  </si>
  <si>
    <t>Obs2052</t>
  </si>
  <si>
    <t>Obs2053</t>
  </si>
  <si>
    <t>Obs2054</t>
  </si>
  <si>
    <t>Obs2055</t>
  </si>
  <si>
    <t>Obs2056</t>
  </si>
  <si>
    <t>Obs2057</t>
  </si>
  <si>
    <t>Obs2058</t>
  </si>
  <si>
    <t>Obs2059</t>
  </si>
  <si>
    <t>Obs2060</t>
  </si>
  <si>
    <t>Obs2061</t>
  </si>
  <si>
    <t>Obs2062</t>
  </si>
  <si>
    <t>Obs2063</t>
  </si>
  <si>
    <t>Obs2064</t>
  </si>
  <si>
    <t>Obs2065</t>
  </si>
  <si>
    <t>Obs2066</t>
  </si>
  <si>
    <t>Obs2067</t>
  </si>
  <si>
    <t>Obs2068</t>
  </si>
  <si>
    <t>Obs2069</t>
  </si>
  <si>
    <t>Obs2070</t>
  </si>
  <si>
    <t>Obs2071</t>
  </si>
  <si>
    <t>Obs2072</t>
  </si>
  <si>
    <t>Obs2073</t>
  </si>
  <si>
    <t>Obs2074</t>
  </si>
  <si>
    <t>Obs2075</t>
  </si>
  <si>
    <t>Obs2076</t>
  </si>
  <si>
    <t>Obs2077</t>
  </si>
  <si>
    <t>Obs2078</t>
  </si>
  <si>
    <t>Obs2079</t>
  </si>
  <si>
    <t>Obs2080</t>
  </si>
  <si>
    <t>Obs2081</t>
  </si>
  <si>
    <t>Obs2082</t>
  </si>
  <si>
    <t>Obs2083</t>
  </si>
  <si>
    <t>Obs2084</t>
  </si>
  <si>
    <t>Obs2085</t>
  </si>
  <si>
    <t>Obs2086</t>
  </si>
  <si>
    <t>Obs2087</t>
  </si>
  <si>
    <t>Obs2088</t>
  </si>
  <si>
    <t>Obs2089</t>
  </si>
  <si>
    <t>Obs2090</t>
  </si>
  <si>
    <t>Obs2091</t>
  </si>
  <si>
    <t>Obs2092</t>
  </si>
  <si>
    <t>Obs2093</t>
  </si>
  <si>
    <t>Obs2094</t>
  </si>
  <si>
    <t>Obs2095</t>
  </si>
  <si>
    <t>Obs2096</t>
  </si>
  <si>
    <t>Obs2097</t>
  </si>
  <si>
    <t>Obs2098</t>
  </si>
  <si>
    <t>Obs2099</t>
  </si>
  <si>
    <t>Obs2100</t>
  </si>
  <si>
    <t>Obs2101</t>
  </si>
  <si>
    <t>Obs2102</t>
  </si>
  <si>
    <t>Obs2103</t>
  </si>
  <si>
    <t>Obs2104</t>
  </si>
  <si>
    <t>Obs2105</t>
  </si>
  <si>
    <t>Obs2106</t>
  </si>
  <si>
    <t>Obs2107</t>
  </si>
  <si>
    <t>Obs2108</t>
  </si>
  <si>
    <t>Obs2109</t>
  </si>
  <si>
    <t>Obs2110</t>
  </si>
  <si>
    <t>Obs2111</t>
  </si>
  <si>
    <t>Obs2112</t>
  </si>
  <si>
    <t>Obs2113</t>
  </si>
  <si>
    <t>Obs2114</t>
  </si>
  <si>
    <t>Obs2115</t>
  </si>
  <si>
    <t>Obs2116</t>
  </si>
  <si>
    <t>Obs2117</t>
  </si>
  <si>
    <t>Obs2118</t>
  </si>
  <si>
    <t>Obs2119</t>
  </si>
  <si>
    <t>Obs2120</t>
  </si>
  <si>
    <t>Obs2121</t>
  </si>
  <si>
    <t>Obs2122</t>
  </si>
  <si>
    <t>Obs2123</t>
  </si>
  <si>
    <t>Obs2124</t>
  </si>
  <si>
    <t>Obs2125</t>
  </si>
  <si>
    <t>Obs2126</t>
  </si>
  <si>
    <t>Obs2127</t>
  </si>
  <si>
    <t>Obs2128</t>
  </si>
  <si>
    <t>Obs2129</t>
  </si>
  <si>
    <t>Obs2130</t>
  </si>
  <si>
    <t>Obs2131</t>
  </si>
  <si>
    <t>Obs2132</t>
  </si>
  <si>
    <t>Obs2133</t>
  </si>
  <si>
    <t>Obs2134</t>
  </si>
  <si>
    <t>Obs2135</t>
  </si>
  <si>
    <t>Obs2136</t>
  </si>
  <si>
    <t>Obs2137</t>
  </si>
  <si>
    <t>Obs2138</t>
  </si>
  <si>
    <t>Obs2139</t>
  </si>
  <si>
    <t>Obs2140</t>
  </si>
  <si>
    <t>Obs2141</t>
  </si>
  <si>
    <t>Obs2142</t>
  </si>
  <si>
    <t>Obs2143</t>
  </si>
  <si>
    <t>Obs2144</t>
  </si>
  <si>
    <t>Obs2145</t>
  </si>
  <si>
    <t>Obs2146</t>
  </si>
  <si>
    <t>Obs2147</t>
  </si>
  <si>
    <t>Obs2148</t>
  </si>
  <si>
    <t>Obs2149</t>
  </si>
  <si>
    <t>Obs2150</t>
  </si>
  <si>
    <t>Obs2151</t>
  </si>
  <si>
    <t>Obs2152</t>
  </si>
  <si>
    <t>Obs2153</t>
  </si>
  <si>
    <t>Obs2154</t>
  </si>
  <si>
    <t>Obs2155</t>
  </si>
  <si>
    <t>Obs2156</t>
  </si>
  <si>
    <t>Obs2157</t>
  </si>
  <si>
    <t>Obs2158</t>
  </si>
  <si>
    <t>Obs2159</t>
  </si>
  <si>
    <t>Obs2160</t>
  </si>
  <si>
    <t>Obs2161</t>
  </si>
  <si>
    <t>Obs2162</t>
  </si>
  <si>
    <t>Obs2163</t>
  </si>
  <si>
    <t>Obs2164</t>
  </si>
  <si>
    <t>Obs2165</t>
  </si>
  <si>
    <t>Obs2166</t>
  </si>
  <si>
    <t>Obs2167</t>
  </si>
  <si>
    <t>Obs2168</t>
  </si>
  <si>
    <t>Obs2169</t>
  </si>
  <si>
    <t>Obs2170</t>
  </si>
  <si>
    <t>Obs2171</t>
  </si>
  <si>
    <t>Obs2172</t>
  </si>
  <si>
    <t>Obs2173</t>
  </si>
  <si>
    <t>Obs2174</t>
  </si>
  <si>
    <t>Obs2175</t>
  </si>
  <si>
    <t>Obs2176</t>
  </si>
  <si>
    <t>Obs2177</t>
  </si>
  <si>
    <t>Obs2178</t>
  </si>
  <si>
    <t>Obs2179</t>
  </si>
  <si>
    <t>Obs2180</t>
  </si>
  <si>
    <t>Obs2181</t>
  </si>
  <si>
    <t>Obs2182</t>
  </si>
  <si>
    <t>Obs2183</t>
  </si>
  <si>
    <t>Obs2184</t>
  </si>
  <si>
    <t>Obs2185</t>
  </si>
  <si>
    <t>Obs2186</t>
  </si>
  <si>
    <t>Obs2187</t>
  </si>
  <si>
    <t>Obs2188</t>
  </si>
  <si>
    <t>Obs2189</t>
  </si>
  <si>
    <t>Obs2190</t>
  </si>
  <si>
    <t>Obs2191</t>
  </si>
  <si>
    <t>Obs2192</t>
  </si>
  <si>
    <t>Obs2193</t>
  </si>
  <si>
    <t>Obs2194</t>
  </si>
  <si>
    <t>Obs2195</t>
  </si>
  <si>
    <t>Obs2196</t>
  </si>
  <si>
    <t>Obs2197</t>
  </si>
  <si>
    <t>Obs2198</t>
  </si>
  <si>
    <t>Obs2199</t>
  </si>
  <si>
    <t>Obs2200</t>
  </si>
  <si>
    <t>Obs2201</t>
  </si>
  <si>
    <t>Obs2202</t>
  </si>
  <si>
    <t>Obs2203</t>
  </si>
  <si>
    <t>Obs2204</t>
  </si>
  <si>
    <t>Obs2205</t>
  </si>
  <si>
    <t>Obs2206</t>
  </si>
  <si>
    <t>Obs2207</t>
  </si>
  <si>
    <t>Obs2208</t>
  </si>
  <si>
    <t>Obs2209</t>
  </si>
  <si>
    <t>Obs2210</t>
  </si>
  <si>
    <t>Obs2211</t>
  </si>
  <si>
    <t>Obs2212</t>
  </si>
  <si>
    <t>Obs2213</t>
  </si>
  <si>
    <t>Obs2214</t>
  </si>
  <si>
    <t>Obs2215</t>
  </si>
  <si>
    <t>Obs2216</t>
  </si>
  <si>
    <t>Obs2217</t>
  </si>
  <si>
    <t>Obs2218</t>
  </si>
  <si>
    <t>Resultados por objeto:</t>
  </si>
  <si>
    <t>Observación</t>
  </si>
  <si>
    <t>Distancia al centroide</t>
  </si>
  <si>
    <t>Clusters de k-means (Número de clases = 2):</t>
  </si>
  <si>
    <t>Porcentaje</t>
  </si>
  <si>
    <t>1 (Obs1352)</t>
  </si>
  <si>
    <t>2 (Obs765)</t>
  </si>
  <si>
    <t>Semilla (números aleatorios): 4619139</t>
  </si>
  <si>
    <r>
      <t>XLSTAT 2021.1.1.1090 - Clusters de k-means - Comienzo: 23/02/2021 a las 19:41:37 / Final: 23/02/2021 a las 19:41:39</t>
    </r>
    <r>
      <rPr>
        <sz val="10"/>
        <color rgb="FFFFFFFF"/>
        <rFont val="Arial"/>
        <family val="2"/>
      </rPr>
      <t xml:space="preserve"> / Microsoft Excel 16.013628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</si>
</sst>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quot;/&quot;mm&quot;/&quot;yyyy&quot; &quot;hh&quot;:&quot;mm"/>
    <numFmt numFmtId="166" formatCode="0.000"/>
  </numFmts>
  <fonts count="14">
    <font>
      <sz val="10"/>
      <color rgb="FF000000"/>
      <name val="Arial"/>
    </font>
    <font>
      <sz val="10"/>
      <color rgb="FFFFFFFF"/>
      <name val="Droid Sans"/>
    </font>
    <font>
      <sz val="8"/>
      <color rgb="FFFFFFFF"/>
      <name val="Droid Sans"/>
    </font>
    <font>
      <sz val="8"/>
      <name val="Droid Sans"/>
    </font>
    <font>
      <u/>
      <sz val="8"/>
      <color rgb="FF0000FF"/>
      <name val="Droid Sans"/>
    </font>
    <font>
      <u/>
      <sz val="8"/>
      <color rgb="FF0000FF"/>
      <name val="Droid Sans"/>
    </font>
    <font>
      <sz val="8"/>
      <color theme="1"/>
      <name val="Droid Sans"/>
    </font>
    <font>
      <u/>
      <sz val="8"/>
      <color rgb="FF0000FF"/>
      <name val="Droid Sans"/>
    </font>
    <font>
      <sz val="10"/>
      <color rgb="FFFFFFFF"/>
      <name val="Arial"/>
    </font>
    <font>
      <b/>
      <sz val="10"/>
      <color rgb="FFFFFFFF"/>
      <name val="Arial"/>
      <family val="2"/>
    </font>
    <font>
      <b/>
      <sz val="10"/>
      <color rgb="FF000000"/>
      <name val="Arial"/>
      <family val="2"/>
    </font>
    <font>
      <b/>
      <sz val="10"/>
      <color rgb="FFEC5B11"/>
      <name val="Arial"/>
      <family val="2"/>
    </font>
    <font>
      <sz val="10"/>
      <color rgb="FF000000"/>
      <name val="Arial"/>
      <family val="2"/>
    </font>
    <font>
      <sz val="10"/>
      <color rgb="FFFFFFFF"/>
      <name val="Arial"/>
      <family val="2"/>
    </font>
  </fonts>
  <fills count="4">
    <fill>
      <patternFill patternType="none"/>
    </fill>
    <fill>
      <patternFill patternType="gray125"/>
    </fill>
    <fill>
      <patternFill patternType="solid">
        <fgColor rgb="FF3C78D8"/>
        <bgColor rgb="FF3C78D8"/>
      </patternFill>
    </fill>
    <fill>
      <patternFill patternType="solid">
        <fgColor rgb="FFED7532"/>
        <bgColor indexed="64"/>
      </patternFill>
    </fill>
  </fills>
  <borders count="5">
    <border>
      <left/>
      <right/>
      <top/>
      <bottom/>
      <diagonal/>
    </border>
    <border>
      <left/>
      <right/>
      <top style="medium">
        <color indexed="64"/>
      </top>
      <bottom/>
      <diagonal/>
    </border>
    <border>
      <left/>
      <right/>
      <top style="thin">
        <color indexed="64"/>
      </top>
      <bottom/>
      <diagonal/>
    </border>
    <border>
      <left/>
      <right/>
      <top/>
      <bottom style="medium">
        <color indexed="64"/>
      </bottom>
      <diagonal/>
    </border>
    <border>
      <left/>
      <right/>
      <top style="thin">
        <color indexed="64"/>
      </top>
      <bottom style="medium">
        <color indexed="64"/>
      </bottom>
      <diagonal/>
    </border>
  </borders>
  <cellStyleXfs count="1">
    <xf numFmtId="0" fontId="0" fillId="0" borderId="0"/>
  </cellStyleXfs>
  <cellXfs count="52">
    <xf numFmtId="0" fontId="0" fillId="0" borderId="0" xfId="0" applyFont="1" applyAlignment="1"/>
    <xf numFmtId="164" fontId="1" fillId="0" borderId="0" xfId="0" applyNumberFormat="1" applyFont="1"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vertical="center"/>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6" fillId="0" borderId="0" xfId="0" applyFont="1" applyAlignment="1">
      <alignment horizontal="center" vertical="center"/>
    </xf>
    <xf numFmtId="14" fontId="3" fillId="0" borderId="0" xfId="0" applyNumberFormat="1" applyFont="1" applyAlignment="1">
      <alignment horizontal="center" vertical="center"/>
    </xf>
    <xf numFmtId="0" fontId="7" fillId="0" borderId="0" xfId="0" applyFont="1" applyAlignment="1">
      <alignment horizontal="center" vertical="center"/>
    </xf>
    <xf numFmtId="0" fontId="3" fillId="0" borderId="0" xfId="0" quotePrefix="1" applyFont="1" applyAlignment="1">
      <alignment vertical="center"/>
    </xf>
    <xf numFmtId="164" fontId="3" fillId="0" borderId="0" xfId="0" applyNumberFormat="1" applyFont="1" applyAlignment="1">
      <alignment horizontal="center" vertical="center"/>
    </xf>
    <xf numFmtId="0" fontId="3" fillId="0" borderId="0" xfId="0" applyFont="1" applyAlignment="1">
      <alignment vertical="center"/>
    </xf>
    <xf numFmtId="0" fontId="3" fillId="0" borderId="0" xfId="0" applyFont="1" applyAlignment="1">
      <alignment horizontal="center" vertical="center"/>
    </xf>
    <xf numFmtId="0" fontId="8" fillId="3" borderId="0" xfId="0" applyFont="1" applyFill="1" applyAlignment="1">
      <alignment vertical="center"/>
    </xf>
    <xf numFmtId="0" fontId="0" fillId="0" borderId="0" xfId="0" applyFont="1" applyAlignment="1">
      <alignment vertical="center" wrapText="1"/>
    </xf>
    <xf numFmtId="0" fontId="9" fillId="3" borderId="0" xfId="0" applyFont="1" applyFill="1" applyAlignment="1">
      <alignment vertical="center" wrapText="1"/>
    </xf>
    <xf numFmtId="0" fontId="10" fillId="0" borderId="0" xfId="0" applyFont="1" applyAlignment="1"/>
    <xf numFmtId="0" fontId="11" fillId="0" borderId="0" xfId="0" applyFont="1" applyAlignment="1"/>
    <xf numFmtId="0" fontId="0" fillId="0" borderId="0" xfId="0" applyFont="1" applyAlignment="1">
      <alignment horizontal="center"/>
    </xf>
    <xf numFmtId="0" fontId="12" fillId="0" borderId="1" xfId="0" applyFont="1" applyBorder="1" applyAlignment="1">
      <alignment horizontal="center"/>
    </xf>
    <xf numFmtId="49" fontId="12" fillId="0" borderId="1" xfId="0" applyNumberFormat="1" applyFont="1" applyBorder="1" applyAlignment="1">
      <alignment horizontal="center"/>
    </xf>
    <xf numFmtId="0" fontId="0" fillId="0" borderId="2" xfId="0" applyFont="1" applyBorder="1" applyAlignment="1"/>
    <xf numFmtId="0" fontId="0" fillId="0" borderId="3" xfId="0" applyFont="1" applyBorder="1" applyAlignment="1"/>
    <xf numFmtId="0" fontId="0" fillId="0" borderId="2" xfId="0" applyNumberFormat="1" applyFont="1" applyBorder="1" applyAlignment="1"/>
    <xf numFmtId="0" fontId="0" fillId="0" borderId="3" xfId="0" applyNumberFormat="1" applyFont="1" applyBorder="1" applyAlignment="1"/>
    <xf numFmtId="166" fontId="0" fillId="0" borderId="2" xfId="0" applyNumberFormat="1" applyFont="1" applyBorder="1" applyAlignment="1"/>
    <xf numFmtId="166" fontId="0" fillId="0" borderId="3" xfId="0" applyNumberFormat="1" applyFont="1" applyBorder="1" applyAlignment="1"/>
    <xf numFmtId="166" fontId="0" fillId="0" borderId="0" xfId="0" applyNumberFormat="1" applyFont="1" applyAlignment="1"/>
    <xf numFmtId="0" fontId="0" fillId="0" borderId="2" xfId="0" applyFont="1" applyBorder="1" applyAlignment="1">
      <alignment horizontal="right"/>
    </xf>
    <xf numFmtId="0" fontId="0" fillId="0" borderId="0" xfId="0" applyFont="1" applyAlignment="1">
      <alignment horizontal="right"/>
    </xf>
    <xf numFmtId="0" fontId="0" fillId="0" borderId="3" xfId="0" applyFont="1" applyBorder="1" applyAlignment="1">
      <alignment horizontal="right"/>
    </xf>
    <xf numFmtId="0" fontId="10" fillId="0" borderId="2" xfId="0" applyFont="1" applyBorder="1" applyAlignment="1">
      <alignment horizontal="right"/>
    </xf>
    <xf numFmtId="166" fontId="0" fillId="0" borderId="2" xfId="0" applyNumberFormat="1" applyFont="1" applyBorder="1" applyAlignment="1">
      <alignment horizontal="right"/>
    </xf>
    <xf numFmtId="166" fontId="0" fillId="0" borderId="3" xfId="0" applyNumberFormat="1" applyFont="1" applyBorder="1" applyAlignment="1">
      <alignment horizontal="right"/>
    </xf>
    <xf numFmtId="0" fontId="0" fillId="0" borderId="2" xfId="0" applyFont="1" applyBorder="1" applyAlignment="1">
      <alignment horizontal="center"/>
    </xf>
    <xf numFmtId="0" fontId="0" fillId="0" borderId="4" xfId="0" applyFont="1" applyBorder="1" applyAlignment="1">
      <alignment horizontal="center"/>
    </xf>
    <xf numFmtId="166" fontId="0" fillId="0" borderId="4" xfId="0" applyNumberFormat="1" applyFont="1" applyBorder="1" applyAlignment="1"/>
    <xf numFmtId="0" fontId="0" fillId="0" borderId="4" xfId="0" applyNumberFormat="1" applyFont="1" applyBorder="1" applyAlignment="1"/>
    <xf numFmtId="0" fontId="0" fillId="0" borderId="0" xfId="0" applyNumberFormat="1" applyFont="1" applyAlignment="1"/>
    <xf numFmtId="0" fontId="0" fillId="0" borderId="0" xfId="0" applyFont="1" applyBorder="1" applyAlignment="1"/>
    <xf numFmtId="166" fontId="0" fillId="0" borderId="0" xfId="0" applyNumberFormat="1" applyFont="1" applyBorder="1" applyAlignment="1"/>
    <xf numFmtId="0" fontId="0" fillId="0" borderId="3" xfId="0" applyFont="1" applyBorder="1" applyAlignment="1">
      <alignment horizontal="center"/>
    </xf>
    <xf numFmtId="0" fontId="0" fillId="0" borderId="2" xfId="0" applyNumberFormat="1" applyFont="1" applyBorder="1" applyAlignment="1">
      <alignment horizontal="center"/>
    </xf>
    <xf numFmtId="0" fontId="0" fillId="0" borderId="0" xfId="0" applyNumberFormat="1" applyFont="1" applyAlignment="1">
      <alignment horizontal="center"/>
    </xf>
    <xf numFmtId="0" fontId="0" fillId="0" borderId="3" xfId="0" applyNumberFormat="1" applyFont="1" applyBorder="1" applyAlignment="1">
      <alignment horizontal="center"/>
    </xf>
    <xf numFmtId="166" fontId="0" fillId="0" borderId="0" xfId="0" applyNumberFormat="1" applyFont="1" applyAlignment="1">
      <alignment horizontal="right"/>
    </xf>
    <xf numFmtId="10" fontId="0" fillId="0" borderId="2" xfId="0" applyNumberFormat="1" applyFont="1" applyBorder="1" applyAlignment="1"/>
    <xf numFmtId="10" fontId="0" fillId="0" borderId="0" xfId="0" applyNumberFormat="1" applyFont="1" applyAlignment="1"/>
    <xf numFmtId="10" fontId="0" fillId="0" borderId="3" xfId="0" applyNumberFormat="1" applyFont="1" applyBorder="1" applyAlignment="1"/>
  </cellXfs>
  <cellStyles count="1">
    <cellStyle name="Normal" xfId="0" builtinId="0"/>
  </cellStyles>
  <dxfs count="9">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E8F0FE"/>
          <bgColor rgb="FFE8F0FE"/>
        </patternFill>
      </fill>
    </dxf>
    <dxf>
      <fill>
        <patternFill patternType="solid">
          <fgColor rgb="FFFFFFFF"/>
          <bgColor rgb="FFFFFFFF"/>
        </patternFill>
      </fill>
    </dxf>
    <dxf>
      <fill>
        <patternFill patternType="solid">
          <fgColor rgb="FF1155CC"/>
          <bgColor rgb="FF1155CC"/>
        </patternFill>
      </fill>
    </dxf>
    <dxf>
      <fill>
        <patternFill patternType="solid">
          <fgColor rgb="FFE8F0FE"/>
          <bgColor rgb="FFE8F0FE"/>
        </patternFill>
      </fill>
    </dxf>
    <dxf>
      <fill>
        <patternFill patternType="solid">
          <fgColor rgb="FFFFFFFF"/>
          <bgColor rgb="FFFFFFFF"/>
        </patternFill>
      </fill>
    </dxf>
    <dxf>
      <fill>
        <patternFill patternType="solid">
          <fgColor rgb="FF1155CC"/>
          <bgColor rgb="FF1155CC"/>
        </patternFill>
      </fill>
    </dxf>
  </dxfs>
  <tableStyles count="3">
    <tableStyle name="#&quot;machinelearning&quot; -filterretwe-style" pivot="0" count="3" xr9:uid="{00000000-0011-0000-FFFF-FFFF00000000}">
      <tableStyleElement type="headerRow" dxfId="8"/>
      <tableStyleElement type="firstRowStripe" dxfId="7"/>
      <tableStyleElement type="secondRowStripe" dxfId="6"/>
    </tableStyle>
    <tableStyle name="#&quot;LooneyTunes&quot; -filterretweets -style" pivot="0" count="3" xr9:uid="{00000000-0011-0000-FFFF-FFFF01000000}">
      <tableStyleElement type="headerRow" dxfId="5"/>
      <tableStyleElement type="firstRowStripe" dxfId="4"/>
      <tableStyleElement type="secondRowStripe" dxfId="3"/>
    </tableStyle>
    <tableStyle name="Twitter Archiver Logs-style" pivot="0" count="3" xr9:uid="{00000000-0011-0000-FFFF-FFFF02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2A7498"/>
              </a:solidFill>
              <a:prstDash val="solid"/>
            </a:ln>
            <a:effectLst/>
          </c:spPr>
          <c:marker>
            <c:symbol val="circle"/>
            <c:size val="4"/>
            <c:spPr>
              <a:solidFill>
                <a:srgbClr val="FFFFFF"/>
              </a:solidFill>
              <a:ln>
                <a:solidFill>
                  <a:srgbClr val="2A7498"/>
                </a:solidFill>
                <a:prstDash val="solid"/>
              </a:ln>
            </c:spPr>
          </c:marker>
          <c:cat>
            <c:strRef>
              <c:f>'k-means'!$C$27:$D$27</c:f>
              <c:strCache>
                <c:ptCount val="2"/>
                <c:pt idx="0">
                  <c:v>1</c:v>
                </c:pt>
                <c:pt idx="1">
                  <c:v>2</c:v>
                </c:pt>
              </c:strCache>
            </c:strRef>
          </c:cat>
          <c:val>
            <c:numRef>
              <c:f>'k-means'!$C$28:$D$28</c:f>
              <c:numCache>
                <c:formatCode>0.000</c:formatCode>
                <c:ptCount val="2"/>
                <c:pt idx="0">
                  <c:v>474065073.67900717</c:v>
                </c:pt>
                <c:pt idx="1">
                  <c:v>114430654.36971386</c:v>
                </c:pt>
              </c:numCache>
            </c:numRef>
          </c:val>
          <c:smooth val="0"/>
          <c:extLst>
            <c:ext xmlns:c16="http://schemas.microsoft.com/office/drawing/2014/chart" uri="{C3380CC4-5D6E-409C-BE32-E72D297353CC}">
              <c16:uniqueId val="{00000001-37F5-48F4-B5BF-BF40E4EFE8C4}"/>
            </c:ext>
          </c:extLst>
        </c:ser>
        <c:dLbls>
          <c:showLegendKey val="0"/>
          <c:showVal val="0"/>
          <c:showCatName val="0"/>
          <c:showSerName val="0"/>
          <c:showPercent val="0"/>
          <c:showBubbleSize val="0"/>
        </c:dLbls>
        <c:marker val="1"/>
        <c:smooth val="0"/>
        <c:axId val="1873366912"/>
        <c:axId val="1873220480"/>
      </c:lineChart>
      <c:catAx>
        <c:axId val="1873366912"/>
        <c:scaling>
          <c:orientation val="minMax"/>
        </c:scaling>
        <c:delete val="0"/>
        <c:axPos val="b"/>
        <c:title>
          <c:tx>
            <c:rich>
              <a:bodyPr/>
              <a:lstStyle/>
              <a:p>
                <a:pPr>
                  <a:defRPr sz="800" b="1">
                    <a:latin typeface="Arial"/>
                    <a:ea typeface="Arial"/>
                    <a:cs typeface="Arial"/>
                  </a:defRPr>
                </a:pPr>
                <a:r>
                  <a:rPr lang="ca-ES"/>
                  <a:t>Número de clases</a:t>
                </a:r>
              </a:p>
            </c:rich>
          </c:tx>
          <c:overlay val="0"/>
        </c:title>
        <c:numFmt formatCode="General" sourceLinked="0"/>
        <c:majorTickMark val="cross"/>
        <c:minorTickMark val="none"/>
        <c:tickLblPos val="nextTo"/>
        <c:txPr>
          <a:bodyPr/>
          <a:lstStyle/>
          <a:p>
            <a:pPr>
              <a:defRPr sz="700"/>
            </a:pPr>
            <a:endParaRPr lang="ca-ES"/>
          </a:p>
        </c:txPr>
        <c:crossAx val="1873220480"/>
        <c:crosses val="autoZero"/>
        <c:auto val="1"/>
        <c:lblAlgn val="ctr"/>
        <c:lblOffset val="100"/>
        <c:noMultiLvlLbl val="0"/>
      </c:catAx>
      <c:valAx>
        <c:axId val="1873220480"/>
        <c:scaling>
          <c:orientation val="minMax"/>
        </c:scaling>
        <c:delete val="0"/>
        <c:axPos val="l"/>
        <c:title>
          <c:tx>
            <c:rich>
              <a:bodyPr/>
              <a:lstStyle/>
              <a:p>
                <a:pPr>
                  <a:defRPr sz="800" b="1">
                    <a:latin typeface="Arial"/>
                    <a:ea typeface="Arial"/>
                    <a:cs typeface="Arial"/>
                  </a:defRPr>
                </a:pPr>
                <a:r>
                  <a:rPr lang="ca-ES"/>
                  <a:t>Varianza intraclase</a:t>
                </a:r>
              </a:p>
            </c:rich>
          </c:tx>
          <c:overlay val="0"/>
        </c:title>
        <c:numFmt formatCode="General" sourceLinked="0"/>
        <c:majorTickMark val="cross"/>
        <c:minorTickMark val="none"/>
        <c:tickLblPos val="nextTo"/>
        <c:txPr>
          <a:bodyPr/>
          <a:lstStyle/>
          <a:p>
            <a:pPr>
              <a:defRPr sz="700"/>
            </a:pPr>
            <a:endParaRPr lang="ca-ES"/>
          </a:p>
        </c:txPr>
        <c:crossAx val="1873366912"/>
        <c:crosses val="autoZero"/>
        <c:crossBetween val="between"/>
      </c:valAx>
      <c:spPr>
        <a:ln>
          <a:solidFill>
            <a:srgbClr val="80808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pPr>
            <a:r>
              <a:rPr lang="en-US"/>
              <a:t>ln(Determinante(W))</a:t>
            </a:r>
          </a:p>
        </c:rich>
      </c:tx>
      <c:overlay val="0"/>
    </c:title>
    <c:autoTitleDeleted val="0"/>
    <c:plotArea>
      <c:layout/>
      <c:scatterChart>
        <c:scatterStyle val="lineMarker"/>
        <c:varyColors val="0"/>
        <c:ser>
          <c:idx val="0"/>
          <c:order val="0"/>
          <c:tx>
            <c:strRef>
              <c:f>'k-means'!$E$4587</c:f>
              <c:strCache>
                <c:ptCount val="1"/>
                <c:pt idx="0">
                  <c:v>ln(Determinante(W))</c:v>
                </c:pt>
              </c:strCache>
            </c:strRef>
          </c:tx>
          <c:spPr>
            <a:ln w="12700">
              <a:solidFill>
                <a:srgbClr val="2A7498"/>
              </a:solidFill>
              <a:prstDash val="solid"/>
            </a:ln>
            <a:effectLst/>
          </c:spPr>
          <c:marker>
            <c:symbol val="circle"/>
            <c:size val="4"/>
            <c:spPr>
              <a:solidFill>
                <a:srgbClr val="FF4A46"/>
              </a:solidFill>
              <a:ln>
                <a:solidFill>
                  <a:srgbClr val="2A7498"/>
                </a:solidFill>
                <a:prstDash val="solid"/>
              </a:ln>
            </c:spPr>
          </c:marker>
          <c:xVal>
            <c:numRef>
              <c:f>'k-means'!$B$4588:$B$4593</c:f>
              <c:numCache>
                <c:formatCode>General</c:formatCode>
                <c:ptCount val="6"/>
                <c:pt idx="0">
                  <c:v>0</c:v>
                </c:pt>
                <c:pt idx="1">
                  <c:v>1</c:v>
                </c:pt>
                <c:pt idx="2">
                  <c:v>2</c:v>
                </c:pt>
                <c:pt idx="3">
                  <c:v>3</c:v>
                </c:pt>
                <c:pt idx="4">
                  <c:v>4</c:v>
                </c:pt>
                <c:pt idx="5">
                  <c:v>5</c:v>
                </c:pt>
              </c:numCache>
            </c:numRef>
          </c:xVal>
          <c:yVal>
            <c:numRef>
              <c:f>'k-means'!$E$4588:$E$4593</c:f>
              <c:numCache>
                <c:formatCode>0.000</c:formatCode>
                <c:ptCount val="6"/>
                <c:pt idx="0">
                  <c:v>49.47320700469345</c:v>
                </c:pt>
                <c:pt idx="1">
                  <c:v>48.757437696361762</c:v>
                </c:pt>
                <c:pt idx="2">
                  <c:v>48.240910807451691</c:v>
                </c:pt>
                <c:pt idx="3">
                  <c:v>48.035038207239673</c:v>
                </c:pt>
                <c:pt idx="4">
                  <c:v>48.028835580239189</c:v>
                </c:pt>
                <c:pt idx="5">
                  <c:v>48.028835580239189</c:v>
                </c:pt>
              </c:numCache>
            </c:numRef>
          </c:yVal>
          <c:smooth val="0"/>
          <c:extLst>
            <c:ext xmlns:c16="http://schemas.microsoft.com/office/drawing/2014/chart" uri="{C3380CC4-5D6E-409C-BE32-E72D297353CC}">
              <c16:uniqueId val="{00000001-F482-48E8-AFD1-0864321B0F51}"/>
            </c:ext>
          </c:extLst>
        </c:ser>
        <c:dLbls>
          <c:showLegendKey val="0"/>
          <c:showVal val="0"/>
          <c:showCatName val="0"/>
          <c:showSerName val="0"/>
          <c:showPercent val="0"/>
          <c:showBubbleSize val="0"/>
        </c:dLbls>
        <c:axId val="190511536"/>
        <c:axId val="190504880"/>
      </c:scatterChart>
      <c:valAx>
        <c:axId val="190511536"/>
        <c:scaling>
          <c:orientation val="minMax"/>
        </c:scaling>
        <c:delete val="0"/>
        <c:axPos val="b"/>
        <c:title>
          <c:tx>
            <c:rich>
              <a:bodyPr/>
              <a:lstStyle/>
              <a:p>
                <a:pPr>
                  <a:defRPr sz="800" b="1">
                    <a:latin typeface="Arial"/>
                    <a:ea typeface="Arial"/>
                    <a:cs typeface="Arial"/>
                  </a:defRPr>
                </a:pPr>
                <a:r>
                  <a:rPr lang="ca-ES"/>
                  <a:t>Iteración</a:t>
                </a:r>
              </a:p>
            </c:rich>
          </c:tx>
          <c:overlay val="0"/>
        </c:title>
        <c:numFmt formatCode="General" sourceLinked="0"/>
        <c:majorTickMark val="cross"/>
        <c:minorTickMark val="none"/>
        <c:tickLblPos val="nextTo"/>
        <c:txPr>
          <a:bodyPr/>
          <a:lstStyle/>
          <a:p>
            <a:pPr>
              <a:defRPr sz="700"/>
            </a:pPr>
            <a:endParaRPr lang="ca-ES"/>
          </a:p>
        </c:txPr>
        <c:crossAx val="190504880"/>
        <c:crosses val="autoZero"/>
        <c:crossBetween val="midCat"/>
        <c:majorUnit val="1"/>
      </c:valAx>
      <c:valAx>
        <c:axId val="190504880"/>
        <c:scaling>
          <c:orientation val="minMax"/>
        </c:scaling>
        <c:delete val="0"/>
        <c:axPos val="l"/>
        <c:title>
          <c:tx>
            <c:rich>
              <a:bodyPr/>
              <a:lstStyle/>
              <a:p>
                <a:pPr>
                  <a:defRPr sz="800" b="1">
                    <a:latin typeface="Arial"/>
                    <a:ea typeface="Arial"/>
                    <a:cs typeface="Arial"/>
                  </a:defRPr>
                </a:pPr>
                <a:r>
                  <a:rPr lang="ca-ES"/>
                  <a:t>ln(Determinante(W))</a:t>
                </a:r>
              </a:p>
            </c:rich>
          </c:tx>
          <c:overlay val="0"/>
        </c:title>
        <c:numFmt formatCode="General" sourceLinked="0"/>
        <c:majorTickMark val="cross"/>
        <c:minorTickMark val="none"/>
        <c:tickLblPos val="nextTo"/>
        <c:txPr>
          <a:bodyPr/>
          <a:lstStyle/>
          <a:p>
            <a:pPr>
              <a:defRPr sz="700"/>
            </a:pPr>
            <a:endParaRPr lang="ca-ES"/>
          </a:p>
        </c:txPr>
        <c:crossAx val="190511536"/>
        <c:crosses val="autoZero"/>
        <c:crossBetween val="midCat"/>
      </c:valAx>
      <c:spPr>
        <a:ln>
          <a:solidFill>
            <a:srgbClr val="80808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Drop" dropStyle="combo" dx="26" sel="1" val="0">
  <itemLst>
    <item val="Estadísticos descriptivos"/>
    <item val="Evolución de las varianzas"/>
    <item val="Clusters de k-means (Número de clases = 1)"/>
    <item val="Resumen de la optimización"/>
    <item val="Estadísticos para cada iteración"/>
    <item val="Descomposición de la variación para la clasificación óptima"/>
    <item val="Centroides iniciales de las clases"/>
    <item val="Centroides de las clases"/>
    <item val="Distancias entre los centroides de las clases"/>
    <item val="Objetos centrales"/>
    <item val="Distancias entre los objetos centrales"/>
    <item val="Resultados por clase"/>
    <item val="Resultados por objeto"/>
    <item val="Clusters de k-means (Número de clases = 2)"/>
    <item val="Resumen de la optimización"/>
    <item val="Estadísticos para cada iteración"/>
    <item val="Descomposición de la variación para la clasificación óptima"/>
    <item val="Centroides iniciales de las clases"/>
    <item val="Centroides de las clases"/>
    <item val="Distancias entre los centroides de las clases"/>
    <item val="Objetos centrales"/>
    <item val="Distancias entre los objetos centrales"/>
    <item val="Resultados por clase"/>
    <item val="Resultados por objeto"/>
  </itemLst>
</formControlPr>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xml"/><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11</xdr:col>
          <xdr:colOff>68580</xdr:colOff>
          <xdr:row>0</xdr:row>
          <xdr:rowOff>83820</xdr:rowOff>
        </xdr:from>
        <xdr:to>
          <xdr:col>12</xdr:col>
          <xdr:colOff>701040</xdr:colOff>
          <xdr:row>1</xdr:row>
          <xdr:rowOff>83820</xdr:rowOff>
        </xdr:to>
        <xdr:sp macro="" textlink="">
          <xdr:nvSpPr>
            <xdr:cNvPr id="6145" name="BT705548" hidden="1">
              <a:extLst>
                <a:ext uri="{63B3BB69-23CF-44E3-9099-C40C66FF867C}">
                  <a14:compatExt spid="_x0000_s6145"/>
                </a:ext>
                <a:ext uri="{FF2B5EF4-FFF2-40B4-BE49-F238E27FC236}">
                  <a16:creationId xmlns:a16="http://schemas.microsoft.com/office/drawing/2014/main" id="{5F712E99-FB85-429A-BC45-2405BDF41D3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ca-ES" sz="1000" b="0" i="0" u="none" strike="noStrike" baseline="0">
                  <a:solidFill>
                    <a:srgbClr val="000000"/>
                  </a:solidFill>
                  <a:latin typeface="Arial"/>
                  <a:cs typeface="Arial"/>
                </a:rPr>
                <a:t>Pedir</a:t>
              </a:r>
            </a:p>
          </xdr:txBody>
        </xdr:sp>
        <xdr:clientData fPrintsWithSheet="0"/>
      </xdr:twoCellAnchor>
    </mc:Choice>
    <mc:Fallback/>
  </mc:AlternateContent>
  <xdr:twoCellAnchor>
    <xdr:from>
      <xdr:col>2</xdr:col>
      <xdr:colOff>12700</xdr:colOff>
      <xdr:row>13</xdr:row>
      <xdr:rowOff>0</xdr:rowOff>
    </xdr:from>
    <xdr:to>
      <xdr:col>2</xdr:col>
      <xdr:colOff>38100</xdr:colOff>
      <xdr:row>13</xdr:row>
      <xdr:rowOff>25400</xdr:rowOff>
    </xdr:to>
    <xdr:sp macro="" textlink="">
      <xdr:nvSpPr>
        <xdr:cNvPr id="2" name="TX40870" hidden="1">
          <a:extLst>
            <a:ext uri="{FF2B5EF4-FFF2-40B4-BE49-F238E27FC236}">
              <a16:creationId xmlns:a16="http://schemas.microsoft.com/office/drawing/2014/main" id="{2B73E29A-373E-4C81-A517-2F1C9B146FDA}"/>
            </a:ext>
          </a:extLst>
        </xdr:cNvPr>
        <xdr:cNvSpPr txBox="1"/>
      </xdr:nvSpPr>
      <xdr:spPr>
        <a:xfrm>
          <a:off x="1231900" y="217932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ca-ES" sz="1100"/>
            <a:t>RunProcKMN
Form16.txt
CheckBoxTrans,CheckBox,False,False,03,False,Trans,False,,,
OptionButton_R,OptionButton,False,True,000000000008_General,True,Rango,False,,,
OptionButton_S,OptionButton,True,True,000000000208_General,True,Hoja,False,,,
OptionButton_W,OptionButton,False,True,000000000308_General,True,Libro,False,,,
RefEdit_R,RefEdit,,True,000000000108_General,True,Rango:,False,,,
RefEditT,RefEdit0,'Hoja2'!$N$1:$O$2218,True,000000000002_General,True,,False,,2218,2
CheckBox_ObsLabels,CheckBox,False,True,000000000010_General,True,Etiquetas de las filas,False,,,
RefEdit_ObsLabels,RefEdit,,True,000000000011_General,True,Etiquetas de las filas:,False,,,
CheckBoxVarLabels,CheckBox,False,True,000000000009_General,True,Etiquetas de las columnas,False,,,
CheckBox_W,CheckBox,False,True,000000000000_General,True,Pesos de las columnas,False,,,
RefEdit_W,RefEdit,,True,000000000003_General,True,Pesos de las columnas:,False,,,
RefEdit_Wr,RefEdit,,True,000000000005_General,True,Pesos de las filas:,False,,,
CheckBox_Wr,CheckBox,False,True,000000000004_General,True,Pesos de las filas,False,,,
ComboBoxClusterCrit,ComboBox,1,True,000000000007_General,True,Seleccione el criterio de clasificación,False,,,
TextBoxMaxClasses,TextBox,2,True,000000000112_General,True,Número de clases:,False,,,
TextBoxMinClasses,TextBox,1,True,000000000012_General,True,,False,,,
CheckBoxDesc,CheckBox,True,True,300000000000_Resultados,True,Estadísticos descriptivos,False,,,
CheckBoxOrigSpace,CheckBox,True,True,300000000100_Resultados,True,Resultados en el espacio original,False,,,
CheckBoxOpt,CheckBox,True,True,300000000200_Resultados,True,Resumen de la optimización,False,,,
CheckBoxCentroids,CheckBox,True,True,300000000300_Resultados,True,Centroides,False,,,
CheckBoxCenters,CheckBox,True,True,300000000400_Resultados,True,Objetos centrales,False,,,
CheckBoxByClass,CheckBox,True,True,300000000001_Resultados,True,Resultados por clase,False,,,
CheckBoxByObs,CheckBox,True,True,300000000101_Resultados,True,Resultados por objeto,False,,,
CheckBoxVarAna,CheckBox,False,True,300000000500_Resultados,True,Contribución (Análisis de varianza),False,,,
TextBoxConv,TextBox,0.00001,True,100000000202_Opciones,True,Convergencia:,False,,,
TextBoxMaxIter,TextBox,500,True,100000000002_Opciones,True,Iteraciones:,False,,,
RefEditStart,RefEdit,,True,100000000403_Opciones,True,,False,,,
ComboBoxStartPart,ComboBox,1,True,100000000003_Opciones,True,Seleccione el método de generación de la partición inicial,False,,,
TextBoxRepetitions,TextBox,10,True,100000000303_Opciones,True,Repeticiones:,False,,,
CheckBoxReduce,CheckBox,False,True,100000000001_Opciones,True,Reducir,False,,,
CheckBoxCenter,CheckBox,False,True,100000000101_Opciones,True,Centrar,False,,,
OptionButtonCRColumns,OptionButton,True,True,100000010201_Opciones,True,Columnas,False,,,
OptionButtonCRRows,OptionButton,False,True,100000000201_Opciones,True,Filas,False,,,
OptionButtonColumns,OptionButton,False,True,100000000100_Opciones,True,Agrupar columnas,False,,,
OptionButtonRows,OptionButton,True,True,100000000000_Opciones,True,Agrupar filas,False,,,
OptionButton_MVRemove,OptionButton,False,True,200000000100_Datos perdidos,True,Eliminar las observaciones,False,,,
OptionButton_MVEstimate,OptionButton,False,True,200000000200_Datos perdidos,True,Estimar los datos perdidos,False,,,
OptionButton_MeanMode,OptionButton,True,True,200000000300_Datos perdidos,True,Media o moda,False,,,
OptionButton_NN,OptionButton,False,True,200000010300_Datos perdidos,True,Vecino más próximo,False,,,
OptionButton_MVRefuse,OptionButton,True,True,200000000000_Datos perdidos,True,No aceptar datos perdidos,False,,,
CheckBoxOptChart,CheckBox,True,True,400000000000_Gráficos,True,Evolución del criterio,False,,,
CheckBoxPara,CheckBox,False,True,400000000100_Gráficos,True,Perfil de las clases,False,,,
CheckBoxObsCorre,CheckBox,False,True,300000000201_Resultados,True,Correlaciones con centroides,False,,,
</a:t>
          </a:r>
        </a:p>
      </xdr:txBody>
    </xdr:sp>
    <xdr:clientData/>
  </xdr:twoCellAnchor>
  <xdr:twoCellAnchor editAs="absolute">
    <xdr:from>
      <xdr:col>1</xdr:col>
      <xdr:colOff>6350</xdr:colOff>
      <xdr:row>13</xdr:row>
      <xdr:rowOff>6350</xdr:rowOff>
    </xdr:from>
    <xdr:to>
      <xdr:col>3</xdr:col>
      <xdr:colOff>100838</xdr:colOff>
      <xdr:row>14</xdr:row>
      <xdr:rowOff>0</xdr:rowOff>
    </xdr:to>
    <xdr:sp macro="" textlink="">
      <xdr:nvSpPr>
        <xdr:cNvPr id="3" name="BK40870">
          <a:extLst>
            <a:ext uri="{FF2B5EF4-FFF2-40B4-BE49-F238E27FC236}">
              <a16:creationId xmlns:a16="http://schemas.microsoft.com/office/drawing/2014/main" id="{0624D7E8-5EC7-42CF-97FE-3C78B7CF49AF}"/>
            </a:ext>
          </a:extLst>
        </xdr:cNvPr>
        <xdr:cNvSpPr/>
      </xdr:nvSpPr>
      <xdr:spPr>
        <a:xfrm>
          <a:off x="433070" y="2185670"/>
          <a:ext cx="1824228" cy="427990"/>
        </a:xfrm>
        <a:prstGeom prst="rect">
          <a:avLst/>
        </a:prstGeom>
        <a:solidFill>
          <a:srgbClr val="F0F0F0"/>
        </a:solidFill>
        <a:ln w="6350">
          <a:solidFill>
            <a:srgbClr val="5A5A5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ca-ES" sz="1100"/>
        </a:p>
      </xdr:txBody>
    </xdr:sp>
    <xdr:clientData/>
  </xdr:twoCellAnchor>
  <xdr:twoCellAnchor editAs="absolute">
    <xdr:from>
      <xdr:col>1</xdr:col>
      <xdr:colOff>72746</xdr:colOff>
      <xdr:row>13</xdr:row>
      <xdr:rowOff>43434</xdr:rowOff>
    </xdr:from>
    <xdr:to>
      <xdr:col>1</xdr:col>
      <xdr:colOff>415646</xdr:colOff>
      <xdr:row>13</xdr:row>
      <xdr:rowOff>386334</xdr:rowOff>
    </xdr:to>
    <xdr:pic macro="[0]!ReRunXLSTAT">
      <xdr:nvPicPr>
        <xdr:cNvPr id="4" name="BT40870">
          <a:extLst>
            <a:ext uri="{FF2B5EF4-FFF2-40B4-BE49-F238E27FC236}">
              <a16:creationId xmlns:a16="http://schemas.microsoft.com/office/drawing/2014/main" id="{3DF2A929-B682-4F87-8662-3977E4E3697B}"/>
            </a:ext>
          </a:extLst>
        </xdr:cNvPr>
        <xdr:cNvPicPr>
          <a:picLocks noChangeAspect="1"/>
        </xdr:cNvPicPr>
      </xdr:nvPicPr>
      <xdr:blipFill>
        <a:blip xmlns:r="http://schemas.openxmlformats.org/officeDocument/2006/relationships" r:embed="rId1"/>
        <a:stretch>
          <a:fillRect/>
        </a:stretch>
      </xdr:blipFill>
      <xdr:spPr>
        <a:xfrm>
          <a:off x="499466" y="2222754"/>
          <a:ext cx="342900" cy="342900"/>
        </a:xfrm>
        <a:prstGeom prst="rect">
          <a:avLst/>
        </a:prstGeom>
      </xdr:spPr>
    </xdr:pic>
    <xdr:clientData/>
  </xdr:twoCellAnchor>
  <xdr:twoCellAnchor editAs="absolute">
    <xdr:from>
      <xdr:col>1</xdr:col>
      <xdr:colOff>521411</xdr:colOff>
      <xdr:row>13</xdr:row>
      <xdr:rowOff>43434</xdr:rowOff>
    </xdr:from>
    <xdr:to>
      <xdr:col>2</xdr:col>
      <xdr:colOff>71831</xdr:colOff>
      <xdr:row>13</xdr:row>
      <xdr:rowOff>386334</xdr:rowOff>
    </xdr:to>
    <xdr:pic macro="[0]!AddRemovGrid">
      <xdr:nvPicPr>
        <xdr:cNvPr id="5" name="RM40870">
          <a:extLst>
            <a:ext uri="{FF2B5EF4-FFF2-40B4-BE49-F238E27FC236}">
              <a16:creationId xmlns:a16="http://schemas.microsoft.com/office/drawing/2014/main" id="{0C2DC273-F75D-4FFE-A9C2-CECB51D91EAE}"/>
            </a:ext>
          </a:extLst>
        </xdr:cNvPr>
        <xdr:cNvPicPr>
          <a:picLocks noChangeAspect="1"/>
        </xdr:cNvPicPr>
      </xdr:nvPicPr>
      <xdr:blipFill>
        <a:blip xmlns:r="http://schemas.openxmlformats.org/officeDocument/2006/relationships" r:embed="rId2"/>
        <a:stretch>
          <a:fillRect/>
        </a:stretch>
      </xdr:blipFill>
      <xdr:spPr>
        <a:xfrm>
          <a:off x="948131" y="2222754"/>
          <a:ext cx="342900" cy="342900"/>
        </a:xfrm>
        <a:prstGeom prst="rect">
          <a:avLst/>
        </a:prstGeom>
      </xdr:spPr>
    </xdr:pic>
    <xdr:clientData/>
  </xdr:twoCellAnchor>
  <xdr:twoCellAnchor editAs="absolute">
    <xdr:from>
      <xdr:col>1</xdr:col>
      <xdr:colOff>521411</xdr:colOff>
      <xdr:row>13</xdr:row>
      <xdr:rowOff>43434</xdr:rowOff>
    </xdr:from>
    <xdr:to>
      <xdr:col>2</xdr:col>
      <xdr:colOff>71831</xdr:colOff>
      <xdr:row>13</xdr:row>
      <xdr:rowOff>386334</xdr:rowOff>
    </xdr:to>
    <xdr:pic macro="[0]!AddRemovGrid">
      <xdr:nvPicPr>
        <xdr:cNvPr id="6" name="AD40870" hidden="1">
          <a:extLst>
            <a:ext uri="{FF2B5EF4-FFF2-40B4-BE49-F238E27FC236}">
              <a16:creationId xmlns:a16="http://schemas.microsoft.com/office/drawing/2014/main" id="{C40B5D30-14C3-425A-B91B-BFFC9D2F5728}"/>
            </a:ext>
          </a:extLst>
        </xdr:cNvPr>
        <xdr:cNvPicPr>
          <a:picLocks noChangeAspect="1"/>
        </xdr:cNvPicPr>
      </xdr:nvPicPr>
      <xdr:blipFill>
        <a:blip xmlns:r="http://schemas.openxmlformats.org/officeDocument/2006/relationships" r:embed="rId3"/>
        <a:stretch>
          <a:fillRect/>
        </a:stretch>
      </xdr:blipFill>
      <xdr:spPr>
        <a:xfrm>
          <a:off x="948131" y="2222754"/>
          <a:ext cx="342900" cy="342900"/>
        </a:xfrm>
        <a:prstGeom prst="rect">
          <a:avLst/>
        </a:prstGeom>
      </xdr:spPr>
    </xdr:pic>
    <xdr:clientData/>
  </xdr:twoCellAnchor>
  <xdr:twoCellAnchor editAs="absolute">
    <xdr:from>
      <xdr:col>2</xdr:col>
      <xdr:colOff>177597</xdr:colOff>
      <xdr:row>13</xdr:row>
      <xdr:rowOff>43434</xdr:rowOff>
    </xdr:from>
    <xdr:to>
      <xdr:col>2</xdr:col>
      <xdr:colOff>520497</xdr:colOff>
      <xdr:row>13</xdr:row>
      <xdr:rowOff>386334</xdr:rowOff>
    </xdr:to>
    <xdr:pic macro="[0]!SendToOfficeLocal">
      <xdr:nvPicPr>
        <xdr:cNvPr id="7" name="WD40870">
          <a:extLst>
            <a:ext uri="{FF2B5EF4-FFF2-40B4-BE49-F238E27FC236}">
              <a16:creationId xmlns:a16="http://schemas.microsoft.com/office/drawing/2014/main" id="{4453058C-884A-4FEB-88B0-4AF3F170DA5E}"/>
            </a:ext>
          </a:extLst>
        </xdr:cNvPr>
        <xdr:cNvPicPr>
          <a:picLocks noChangeAspect="1"/>
        </xdr:cNvPicPr>
      </xdr:nvPicPr>
      <xdr:blipFill>
        <a:blip xmlns:r="http://schemas.openxmlformats.org/officeDocument/2006/relationships" r:embed="rId4"/>
        <a:stretch>
          <a:fillRect/>
        </a:stretch>
      </xdr:blipFill>
      <xdr:spPr>
        <a:xfrm>
          <a:off x="1396797" y="2222754"/>
          <a:ext cx="342900" cy="342900"/>
        </a:xfrm>
        <a:prstGeom prst="rect">
          <a:avLst/>
        </a:prstGeom>
      </xdr:spPr>
    </xdr:pic>
    <xdr:clientData/>
  </xdr:twoCellAnchor>
  <xdr:twoCellAnchor editAs="absolute">
    <xdr:from>
      <xdr:col>2</xdr:col>
      <xdr:colOff>626262</xdr:colOff>
      <xdr:row>13</xdr:row>
      <xdr:rowOff>43434</xdr:rowOff>
    </xdr:from>
    <xdr:to>
      <xdr:col>3</xdr:col>
      <xdr:colOff>31902</xdr:colOff>
      <xdr:row>13</xdr:row>
      <xdr:rowOff>386334</xdr:rowOff>
    </xdr:to>
    <xdr:pic macro="[0]!SendToOfficeLocal">
      <xdr:nvPicPr>
        <xdr:cNvPr id="8" name="PT40870">
          <a:extLst>
            <a:ext uri="{FF2B5EF4-FFF2-40B4-BE49-F238E27FC236}">
              <a16:creationId xmlns:a16="http://schemas.microsoft.com/office/drawing/2014/main" id="{642FE9D9-FF8A-4DBE-A310-519EF284534A}"/>
            </a:ext>
          </a:extLst>
        </xdr:cNvPr>
        <xdr:cNvPicPr>
          <a:picLocks noChangeAspect="1"/>
        </xdr:cNvPicPr>
      </xdr:nvPicPr>
      <xdr:blipFill>
        <a:blip xmlns:r="http://schemas.openxmlformats.org/officeDocument/2006/relationships" r:embed="rId5"/>
        <a:stretch>
          <a:fillRect/>
        </a:stretch>
      </xdr:blipFill>
      <xdr:spPr>
        <a:xfrm>
          <a:off x="1845462" y="2222754"/>
          <a:ext cx="342900" cy="342900"/>
        </a:xfrm>
        <a:prstGeom prst="rect">
          <a:avLst/>
        </a:prstGeom>
      </xdr:spPr>
    </xdr:pic>
    <xdr:clientData/>
  </xdr:twoCellAnchor>
  <xdr:twoCellAnchor>
    <xdr:from>
      <xdr:col>1</xdr:col>
      <xdr:colOff>0</xdr:colOff>
      <xdr:row>32</xdr:row>
      <xdr:rowOff>0</xdr:rowOff>
    </xdr:from>
    <xdr:to>
      <xdr:col>6</xdr:col>
      <xdr:colOff>0</xdr:colOff>
      <xdr:row>51</xdr:row>
      <xdr:rowOff>0</xdr:rowOff>
    </xdr:to>
    <xdr:graphicFrame macro="">
      <xdr:nvGraphicFramePr>
        <xdr:cNvPr id="9" name="Chart 8-XLSTAT">
          <a:extLst>
            <a:ext uri="{FF2B5EF4-FFF2-40B4-BE49-F238E27FC236}">
              <a16:creationId xmlns:a16="http://schemas.microsoft.com/office/drawing/2014/main" id="{F2EB3FBC-3365-46AC-BF17-ED8E2064D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4595</xdr:row>
      <xdr:rowOff>10</xdr:rowOff>
    </xdr:from>
    <xdr:to>
      <xdr:col>6</xdr:col>
      <xdr:colOff>0</xdr:colOff>
      <xdr:row>4614</xdr:row>
      <xdr:rowOff>10</xdr:rowOff>
    </xdr:to>
    <xdr:graphicFrame macro="">
      <xdr:nvGraphicFramePr>
        <xdr:cNvPr id="10" name="Chart 9-XLSTAT">
          <a:extLst>
            <a:ext uri="{FF2B5EF4-FFF2-40B4-BE49-F238E27FC236}">
              <a16:creationId xmlns:a16="http://schemas.microsoft.com/office/drawing/2014/main" id="{2BB194D6-CA6E-41F2-B4E1-7132A1924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0</xdr:colOff>
          <xdr:row>14</xdr:row>
          <xdr:rowOff>0</xdr:rowOff>
        </xdr:from>
        <xdr:to>
          <xdr:col>5</xdr:col>
          <xdr:colOff>7620</xdr:colOff>
          <xdr:row>15</xdr:row>
          <xdr:rowOff>0</xdr:rowOff>
        </xdr:to>
        <xdr:sp macro="" textlink="">
          <xdr:nvSpPr>
            <xdr:cNvPr id="6146" name="DD682180" hidden="1">
              <a:extLst>
                <a:ext uri="{63B3BB69-23CF-44E3-9099-C40C66FF867C}">
                  <a14:compatExt spid="_x0000_s6146"/>
                </a:ext>
                <a:ext uri="{FF2B5EF4-FFF2-40B4-BE49-F238E27FC236}">
                  <a16:creationId xmlns:a16="http://schemas.microsoft.com/office/drawing/2014/main" id="{282F0284-FBDF-4795-9DCC-7B334DCD9C3D}"/>
                </a:ext>
              </a:extLst>
            </xdr:cNvPr>
            <xdr:cNvSpPr/>
          </xdr:nvSpPr>
          <xdr:spPr bwMode="auto">
            <a:xfrm>
              <a:off x="0" y="0"/>
              <a:ext cx="0" cy="0"/>
            </a:xfrm>
            <a:prstGeom prst="rect">
              <a:avLst/>
            </a:prstGeom>
            <a:noFill/>
            <a:ln w="9525">
              <a:prstDash val="solid"/>
              <a:miter lim="800000"/>
              <a:headEnd/>
              <a:tailEnd type="none" w="med" len="med"/>
            </a:ln>
            <a:effectLst/>
            <a:extLst>
              <a:ext uri="{909E8E84-426E-40DD-AFC4-6F175D3DCCD1}">
                <a14:hiddenFill>
                  <a:noFill/>
                </a14:hiddenFill>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5F5FC4-3791-4735-942D-5949D1791588}" name="Table_13" displayName="Table_13" ref="A1:Z3218" headerRowCount="0">
  <tableColumns count="26">
    <tableColumn id="1" xr3:uid="{D89A8173-F891-430E-A1ED-B71C21D967D7}" name="Column1"/>
    <tableColumn id="2" xr3:uid="{0BD21621-F439-4CB2-9776-22279601A21D}" name="Column2"/>
    <tableColumn id="3" xr3:uid="{74BDC088-8DBA-4AAD-BB7B-43F8C8724B15}" name="Column3"/>
    <tableColumn id="4" xr3:uid="{340B7E38-CE7E-47A9-98B4-20A6EEC244B5}" name="Column4"/>
    <tableColumn id="5" xr3:uid="{B892416A-4E6D-4BBA-B3D0-9321CE4F48A7}" name="Column5"/>
    <tableColumn id="6" xr3:uid="{2F41068E-834F-4DA6-A745-2F0848CF6F54}" name="Column6"/>
    <tableColumn id="7" xr3:uid="{FBA93024-7441-4F7D-9548-FC208E1E2813}" name="Column7"/>
    <tableColumn id="8" xr3:uid="{1FDFE67F-1C91-4555-BA9B-D23EF29EBC95}" name="Column8"/>
    <tableColumn id="9" xr3:uid="{2B45A482-71E3-4511-86F8-938823108A95}" name="Column9"/>
    <tableColumn id="10" xr3:uid="{4232E125-3F46-4B5B-B7FB-B87D2328056A}" name="Column10"/>
    <tableColumn id="11" xr3:uid="{878522C0-5F45-4AE6-B032-D2C6DD0D45EA}" name="Column11"/>
    <tableColumn id="12" xr3:uid="{11F6F61C-7112-44C8-A677-89D3162F23F0}" name="Column12"/>
    <tableColumn id="13" xr3:uid="{C2FBED6A-6C9E-40D7-9024-4642F70D8A05}" name="Column13"/>
    <tableColumn id="14" xr3:uid="{E5E300C0-6FE8-43EA-9BFF-D959D9652B9F}" name="Column14"/>
    <tableColumn id="15" xr3:uid="{BDF524B2-200B-4297-9731-AB3C4F93AF54}" name="Column15"/>
    <tableColumn id="16" xr3:uid="{A5DD10BF-CAA5-45EC-908D-0BF0813A6B8A}" name="Column16"/>
    <tableColumn id="17" xr3:uid="{12030B3C-82FE-4768-BC73-04F57212F399}" name="Column17"/>
    <tableColumn id="18" xr3:uid="{5C11E34E-3DEE-4507-8170-E41B3D5B1A3E}" name="Column18"/>
    <tableColumn id="19" xr3:uid="{5E34F253-2A18-4CB7-8736-CD75D76CB111}" name="Column19"/>
    <tableColumn id="20" xr3:uid="{DB16E1E0-304B-46EE-A917-F3DDB8A7974A}" name="Column20"/>
    <tableColumn id="21" xr3:uid="{7D8D641E-D133-4555-8B20-732AC27C1844}" name="Column21"/>
    <tableColumn id="22" xr3:uid="{F96B8E21-1348-4370-B553-D9DE343678D4}" name="Column22"/>
    <tableColumn id="23" xr3:uid="{3066D389-0A0E-4BF2-8119-3D82B2FECAE3}" name="Column23"/>
    <tableColumn id="24" xr3:uid="{F4B98368-190C-4C72-BDCC-8BF13F49D66B}" name="Column24"/>
    <tableColumn id="25" xr3:uid="{093F5CF2-E71E-4825-A237-13030ECD18A2}" name="Column25"/>
    <tableColumn id="26" xr3:uid="{C9C2A4EA-3322-470F-A4FF-345F72B52EEB}" name="Column26"/>
  </tableColumns>
  <tableStyleInfo name="#&quot;machinelearning&quot; -filterretwe-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F7A774-C980-413D-913A-2813D1BCD473}" name="Table_134" displayName="Table_134" ref="A1:Z3214" headerRowCount="0">
  <tableColumns count="26">
    <tableColumn id="1" xr3:uid="{B76CF591-717F-4C1D-A991-AE055EC1F4D5}" name="Column1"/>
    <tableColumn id="2" xr3:uid="{14F8DDCB-7423-422A-9C09-F19CB734F51A}" name="Column2"/>
    <tableColumn id="3" xr3:uid="{77AA2F18-16D7-456F-8A8A-56FFA497BB67}" name="Column3"/>
    <tableColumn id="4" xr3:uid="{4BD85F92-9E40-4D6A-8FA0-4A9E3F990A92}" name="Column4"/>
    <tableColumn id="5" xr3:uid="{774572DF-4D03-43AF-90F6-81F35351A86E}" name="Column5"/>
    <tableColumn id="6" xr3:uid="{0E6C46DB-65A2-49DD-A5D3-5EE68967482C}" name="Column6"/>
    <tableColumn id="7" xr3:uid="{E5977AAA-0881-4276-9C6E-B5186D2AE6C2}" name="Column7"/>
    <tableColumn id="8" xr3:uid="{FD74FAC6-EF7B-44D5-A500-89C0B8712BAA}" name="Column8"/>
    <tableColumn id="9" xr3:uid="{657A5274-8597-4EE6-AA0E-BBE1D751E374}" name="Column9"/>
    <tableColumn id="10" xr3:uid="{0E1A9406-6262-489F-8229-4CD4DB90D6EB}" name="Column10"/>
    <tableColumn id="11" xr3:uid="{221E5A96-3A37-468B-951D-6E03DEC3E951}" name="Column11"/>
    <tableColumn id="12" xr3:uid="{9E1B8606-FF63-4568-A806-470328F2C094}" name="Column12"/>
    <tableColumn id="13" xr3:uid="{6488AA8E-C890-41A2-BE6A-696D157DBE4D}" name="Column13"/>
    <tableColumn id="14" xr3:uid="{4FB5DDA3-FD88-4DC4-980A-1FB2441607DD}" name="Column14"/>
    <tableColumn id="15" xr3:uid="{ACEC279D-ACA8-4660-80BD-E9DE741B4DCB}" name="Column15"/>
    <tableColumn id="16" xr3:uid="{73F5A751-6978-44F6-92D1-6C79D3189BA5}" name="Column16"/>
    <tableColumn id="17" xr3:uid="{78B08DC5-061C-4A5A-8FC3-0F5C1AECC907}" name="Column17"/>
    <tableColumn id="18" xr3:uid="{9ECD6797-6A78-43F6-ABC2-6901B71763E8}" name="Column18"/>
    <tableColumn id="19" xr3:uid="{97361159-4130-416C-8B6D-9014FEC46A8F}" name="Column19"/>
    <tableColumn id="20" xr3:uid="{61EE66EF-3AC6-4B4F-96CB-4828C522EE53}" name="Column20"/>
    <tableColumn id="21" xr3:uid="{15FA1419-EC43-40AF-A4F4-D694BAA29F15}" name="Column21"/>
    <tableColumn id="22" xr3:uid="{9AD63188-5726-4EFE-9F1E-3595C3AD3ACD}" name="Column22"/>
    <tableColumn id="23" xr3:uid="{2F9D47F5-6E69-47B2-B609-A07AA4EEC144}" name="Column23"/>
    <tableColumn id="24" xr3:uid="{60AFCCB9-9093-4F3D-A73C-C645553143C7}" name="Column24"/>
    <tableColumn id="25" xr3:uid="{4F1A8804-AFCE-4464-9E2E-758F4C39DF08}" name="Column25"/>
    <tableColumn id="26" xr3:uid="{C1819D5E-7332-4C7B-B8AD-920B8E83DADF}" name="Column26"/>
  </tableColumns>
  <tableStyleInfo name="#&quot;machinelearning&quot; -filterretwe-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y.si/Mffc372" TargetMode="External"/><Relationship Id="rId3182" Type="http://schemas.openxmlformats.org/officeDocument/2006/relationships/hyperlink" Target="https://ai-summary.com/summary-why-we-need-mass-automation-to-pandemic-proof-the-supply-chain-6f1b42f1/?utm_medium=social-organic&amp;utm_source=twitter" TargetMode="External"/><Relationship Id="rId4233" Type="http://schemas.openxmlformats.org/officeDocument/2006/relationships/hyperlink" Target="https://zpy.io/2979bad3" TargetMode="External"/><Relationship Id="rId3999" Type="http://schemas.openxmlformats.org/officeDocument/2006/relationships/hyperlink" Target="https://lnkd.in/ec3BYVT" TargetMode="External"/><Relationship Id="rId170" Type="http://schemas.openxmlformats.org/officeDocument/2006/relationships/hyperlink" Target="http://ow.ly/gWKw50DHD4s" TargetMode="External"/><Relationship Id="rId987" Type="http://schemas.openxmlformats.org/officeDocument/2006/relationships/hyperlink" Target="https://omdena.com/blog/ai-road-safety/" TargetMode="External"/><Relationship Id="rId2668" Type="http://schemas.openxmlformats.org/officeDocument/2006/relationships/hyperlink" Target="https://pbs.twimg.com/media/Eu5q-OGXIAEDzNS.jpg" TargetMode="External"/><Relationship Id="rId3719" Type="http://schemas.openxmlformats.org/officeDocument/2006/relationships/hyperlink" Target="https://bit.ly/3kbWlxK" TargetMode="External"/><Relationship Id="rId4090" Type="http://schemas.openxmlformats.org/officeDocument/2006/relationships/hyperlink" Target="https://buff.ly/3o6sRlr" TargetMode="External"/><Relationship Id="rId1684" Type="http://schemas.openxmlformats.org/officeDocument/2006/relationships/hyperlink" Target="https://qoo.ly/3avn86" TargetMode="External"/><Relationship Id="rId2735" Type="http://schemas.openxmlformats.org/officeDocument/2006/relationships/hyperlink" Target="https://machinelearningflx.com/" TargetMode="External"/><Relationship Id="rId707" Type="http://schemas.openxmlformats.org/officeDocument/2006/relationships/hyperlink" Target="https://pbs.twimg.com/media/Eu7HyyUWYAIL2a4.jpg" TargetMode="External"/><Relationship Id="rId1337" Type="http://schemas.openxmlformats.org/officeDocument/2006/relationships/hyperlink" Target="http://www.ecopreneurs.in/" TargetMode="External"/><Relationship Id="rId1751" Type="http://schemas.openxmlformats.org/officeDocument/2006/relationships/hyperlink" Target="https://pbs.twimg.com/media/Eu6axj-XYAALhxU.jpg" TargetMode="External"/><Relationship Id="rId2802" Type="http://schemas.openxmlformats.org/officeDocument/2006/relationships/hyperlink" Target="http://www.baobabsoluciones.es/" TargetMode="External"/><Relationship Id="rId43" Type="http://schemas.openxmlformats.org/officeDocument/2006/relationships/hyperlink" Target="https://dld-conference.com/conference/allstars" TargetMode="External"/><Relationship Id="rId1404" Type="http://schemas.openxmlformats.org/officeDocument/2006/relationships/hyperlink" Target="https://www.linkedin.com/in/eric-feuilleaubois-ph-d-43ab0925/" TargetMode="External"/><Relationship Id="rId3576" Type="http://schemas.openxmlformats.org/officeDocument/2006/relationships/hyperlink" Target="http://bottomfishingcharts.com/" TargetMode="External"/><Relationship Id="rId497" Type="http://schemas.openxmlformats.org/officeDocument/2006/relationships/hyperlink" Target="https://www.programming-hero.com/" TargetMode="External"/><Relationship Id="rId2178" Type="http://schemas.openxmlformats.org/officeDocument/2006/relationships/hyperlink" Target="http://www.zegami.com/" TargetMode="External"/><Relationship Id="rId3229" Type="http://schemas.openxmlformats.org/officeDocument/2006/relationships/hyperlink" Target="https://arxiv.org/abs/2102.10952" TargetMode="External"/><Relationship Id="rId3990" Type="http://schemas.openxmlformats.org/officeDocument/2006/relationships/hyperlink" Target="https://paper.li/rautsan/1450884817?edition_id=b147ec00-757b-11eb-9fda-0cc47a0d1609" TargetMode="External"/><Relationship Id="rId1194" Type="http://schemas.openxmlformats.org/officeDocument/2006/relationships/hyperlink" Target="https://github.com/benedekrozemberczki" TargetMode="External"/><Relationship Id="rId2592" Type="http://schemas.openxmlformats.org/officeDocument/2006/relationships/hyperlink" Target="https://www.linkedin.com/in/colinrbristow/" TargetMode="External"/><Relationship Id="rId3643" Type="http://schemas.openxmlformats.org/officeDocument/2006/relationships/hyperlink" Target="http://pic.twitter.com/4JVVFSOsVI" TargetMode="External"/><Relationship Id="rId217" Type="http://schemas.openxmlformats.org/officeDocument/2006/relationships/hyperlink" Target="https://pbs.twimg.com/media/Eu7bRVgWQAI9w42.jpg" TargetMode="External"/><Relationship Id="rId564" Type="http://schemas.openxmlformats.org/officeDocument/2006/relationships/hyperlink" Target="https://pbs.twimg.com/media/Eu7NFctXMAM6F8W.jpg" TargetMode="External"/><Relationship Id="rId2245" Type="http://schemas.openxmlformats.org/officeDocument/2006/relationships/hyperlink" Target="https://www.alveotech.com/company/news/asset-control-rebrands-as-alveo" TargetMode="External"/><Relationship Id="rId3710" Type="http://schemas.openxmlformats.org/officeDocument/2006/relationships/hyperlink" Target="https://bit.ly/3aK8Uxl" TargetMode="External"/><Relationship Id="rId631" Type="http://schemas.openxmlformats.org/officeDocument/2006/relationships/hyperlink" Target="https://www.xcede.com/" TargetMode="External"/><Relationship Id="rId1261" Type="http://schemas.openxmlformats.org/officeDocument/2006/relationships/hyperlink" Target="http://www.bukmedianet.com/2019/12/bayesian-machine-learning-in-python-ab.html" TargetMode="External"/><Relationship Id="rId2312" Type="http://schemas.openxmlformats.org/officeDocument/2006/relationships/hyperlink" Target="https://twitter.com/alvinfoo/status/1364015379282948101" TargetMode="External"/><Relationship Id="rId3086" Type="http://schemas.openxmlformats.org/officeDocument/2006/relationships/hyperlink" Target="https://pbs.twimg.com/media/EunGVSYXUAgB-JR.jpg" TargetMode="External"/><Relationship Id="rId4137" Type="http://schemas.openxmlformats.org/officeDocument/2006/relationships/hyperlink" Target="https://buff.ly/3bwRiUG" TargetMode="External"/><Relationship Id="rId3153" Type="http://schemas.openxmlformats.org/officeDocument/2006/relationships/hyperlink" Target="https://www.reddit.com/r/MediaSynthesis/comments/lo8ggo/we_are_all_the_scatman/" TargetMode="External"/><Relationship Id="rId4204" Type="http://schemas.openxmlformats.org/officeDocument/2006/relationships/hyperlink" Target="https://pbs.twimg.com/media/Eu3wey1VkAc93qL.jpg" TargetMode="External"/><Relationship Id="rId141" Type="http://schemas.openxmlformats.org/officeDocument/2006/relationships/hyperlink" Target="http://bit.ly/2NQZlUl" TargetMode="External"/><Relationship Id="rId3220" Type="http://schemas.openxmlformats.org/officeDocument/2006/relationships/hyperlink" Target="http://ipfconline.fr/contacts-eng.html" TargetMode="External"/><Relationship Id="rId7" Type="http://schemas.openxmlformats.org/officeDocument/2006/relationships/hyperlink" Target="https://thrive.kaiserpermanente.org/" TargetMode="External"/><Relationship Id="rId2986" Type="http://schemas.openxmlformats.org/officeDocument/2006/relationships/hyperlink" Target="https://bit.ly/2MgQvyJ" TargetMode="External"/><Relationship Id="rId958" Type="http://schemas.openxmlformats.org/officeDocument/2006/relationships/hyperlink" Target="http://www.datascientists.fr/" TargetMode="External"/><Relationship Id="rId1588" Type="http://schemas.openxmlformats.org/officeDocument/2006/relationships/hyperlink" Target="https://www.bbntimes.com/technology/5-things-you-didn-t-know-about-artificial-intelligence" TargetMode="External"/><Relationship Id="rId2639" Type="http://schemas.openxmlformats.org/officeDocument/2006/relationships/hyperlink" Target="https://www.reddit.com/r/MachineLearning/comments/lq3bbd/r_realtime_highresolution_background_matting/?utm_source=dlvr.it&amp;utm_medium=twitter" TargetMode="External"/><Relationship Id="rId1655" Type="http://schemas.openxmlformats.org/officeDocument/2006/relationships/hyperlink" Target="https://bit.ly/2KSA9f4" TargetMode="External"/><Relationship Id="rId2706" Type="http://schemas.openxmlformats.org/officeDocument/2006/relationships/hyperlink" Target="http://www.industrial-production.de/" TargetMode="External"/><Relationship Id="rId4061" Type="http://schemas.openxmlformats.org/officeDocument/2006/relationships/hyperlink" Target="http://datatolearningtoaction.com/" TargetMode="External"/><Relationship Id="rId1308" Type="http://schemas.openxmlformats.org/officeDocument/2006/relationships/hyperlink" Target="https://reconshell.com/" TargetMode="External"/><Relationship Id="rId1722" Type="http://schemas.openxmlformats.org/officeDocument/2006/relationships/hyperlink" Target="https://www.digitalinsuranceagenda.com/featured-insurtechs/whats-happening-in-the-dia-community-vol-13/?utm_source=agorapulse&amp;utm_medium=cybercube" TargetMode="External"/><Relationship Id="rId14" Type="http://schemas.openxmlformats.org/officeDocument/2006/relationships/hyperlink" Target="https://pbs.twimg.com/media/Eu7jVAKXUAEa9WJ.jpg" TargetMode="External"/><Relationship Id="rId3894" Type="http://schemas.openxmlformats.org/officeDocument/2006/relationships/hyperlink" Target="https://www.reddit.com/r/MachineLearning/comments/lpskyo/d_cheatsheet_for_is_spacetime_attention_all_you/" TargetMode="External"/><Relationship Id="rId2496" Type="http://schemas.openxmlformats.org/officeDocument/2006/relationships/hyperlink" Target="https://bit.ly/2MfcGVS" TargetMode="External"/><Relationship Id="rId3547" Type="http://schemas.openxmlformats.org/officeDocument/2006/relationships/hyperlink" Target="https://pbs.twimg.com/media/Eu40QEMWgAMvUXk.jpg" TargetMode="External"/><Relationship Id="rId3961" Type="http://schemas.openxmlformats.org/officeDocument/2006/relationships/hyperlink" Target="http://neurons.ai/" TargetMode="External"/><Relationship Id="rId468" Type="http://schemas.openxmlformats.org/officeDocument/2006/relationships/hyperlink" Target="https://www.fiverr.com/ripon_dev?up_rollout=true" TargetMode="External"/><Relationship Id="rId882" Type="http://schemas.openxmlformats.org/officeDocument/2006/relationships/hyperlink" Target="https://ai-summary.com/summary-the-evolution-of-digital-banking-post-covid-19/?utm_medium=social-organic&amp;utm_source=twitter" TargetMode="External"/><Relationship Id="rId1098" Type="http://schemas.openxmlformats.org/officeDocument/2006/relationships/hyperlink" Target="http://www.scality.com/" TargetMode="External"/><Relationship Id="rId2149" Type="http://schemas.openxmlformats.org/officeDocument/2006/relationships/hyperlink" Target="https://medium.com/bluepi-blog/how-ai-is-making-the-fashion-industry-smarter-1d2cad7d0338" TargetMode="External"/><Relationship Id="rId2563" Type="http://schemas.openxmlformats.org/officeDocument/2006/relationships/hyperlink" Target="https://autome.me/" TargetMode="External"/><Relationship Id="rId3614" Type="http://schemas.openxmlformats.org/officeDocument/2006/relationships/hyperlink" Target="https://bit.ly/343RHtA" TargetMode="External"/><Relationship Id="rId535" Type="http://schemas.openxmlformats.org/officeDocument/2006/relationships/hyperlink" Target="http://www.joshuadorkin.com/" TargetMode="External"/><Relationship Id="rId1165" Type="http://schemas.openxmlformats.org/officeDocument/2006/relationships/hyperlink" Target="https://edition.cnn.com/2021/02/16/tech/emotion-recognition-ai-education-spc-intl-hnk/index.html" TargetMode="External"/><Relationship Id="rId2216" Type="http://schemas.openxmlformats.org/officeDocument/2006/relationships/hyperlink" Target="https://geek-inc.fr/" TargetMode="External"/><Relationship Id="rId2630" Type="http://schemas.openxmlformats.org/officeDocument/2006/relationships/hyperlink" Target="https://amzn.to/2ZHMjv6" TargetMode="External"/><Relationship Id="rId602" Type="http://schemas.openxmlformats.org/officeDocument/2006/relationships/hyperlink" Target="http://ipfconline.fr/contacts-eng.html" TargetMode="External"/><Relationship Id="rId1232" Type="http://schemas.openxmlformats.org/officeDocument/2006/relationships/hyperlink" Target="https://venturebeat.com/2021/02/22/googles-voice-ai-accelerator-launches-12-startups/" TargetMode="External"/><Relationship Id="rId3057" Type="http://schemas.openxmlformats.org/officeDocument/2006/relationships/hyperlink" Target="http://etcio.com/" TargetMode="External"/><Relationship Id="rId4108" Type="http://schemas.openxmlformats.org/officeDocument/2006/relationships/hyperlink" Target="https://www.eventbrite.co.uk/e/what-its-like-to-be-a-data-scientist-tickets-136944090461?aff=ebdsoporgprofile" TargetMode="External"/><Relationship Id="rId3471" Type="http://schemas.openxmlformats.org/officeDocument/2006/relationships/hyperlink" Target="https://www.atentec.com/" TargetMode="External"/><Relationship Id="rId392" Type="http://schemas.openxmlformats.org/officeDocument/2006/relationships/hyperlink" Target="https://compunetics.net/blog/2020-12-07-Reaction-Simulation-for-Side-Product-Prediction-II/" TargetMode="External"/><Relationship Id="rId2073" Type="http://schemas.openxmlformats.org/officeDocument/2006/relationships/hyperlink" Target="http://about.me/ajay_ramaseshan" TargetMode="External"/><Relationship Id="rId3124" Type="http://schemas.openxmlformats.org/officeDocument/2006/relationships/hyperlink" Target="https://www.lanl.gov/discover/news-release-archive/2020/June/0608-artificial-brains.php?source=newsroom" TargetMode="External"/><Relationship Id="rId2140" Type="http://schemas.openxmlformats.org/officeDocument/2006/relationships/hyperlink" Target="https://youtu.be/q_ohzm8OcQ0" TargetMode="External"/><Relationship Id="rId112" Type="http://schemas.openxmlformats.org/officeDocument/2006/relationships/hyperlink" Target="http://www.esgi.fr/" TargetMode="External"/><Relationship Id="rId2957" Type="http://schemas.openxmlformats.org/officeDocument/2006/relationships/hyperlink" Target="https://www.preprints.org/manuscript/202102.0488/v1" TargetMode="External"/><Relationship Id="rId929" Type="http://schemas.openxmlformats.org/officeDocument/2006/relationships/hyperlink" Target="https://bit.ly/3bsIHCD" TargetMode="External"/><Relationship Id="rId1559" Type="http://schemas.openxmlformats.org/officeDocument/2006/relationships/hyperlink" Target="http://www.ayokasystems.com/" TargetMode="External"/><Relationship Id="rId1973" Type="http://schemas.openxmlformats.org/officeDocument/2006/relationships/hyperlink" Target="https://www.omologapps.com/whats-ai" TargetMode="External"/><Relationship Id="rId4032" Type="http://schemas.openxmlformats.org/officeDocument/2006/relationships/hyperlink" Target="https://twitter.com/yywwy3/status/1364009579831509003" TargetMode="External"/><Relationship Id="rId1626" Type="http://schemas.openxmlformats.org/officeDocument/2006/relationships/hyperlink" Target="https://pbs.twimg.com/media/Eu6e7qQUUAoOKBj.jpg" TargetMode="External"/><Relationship Id="rId3798" Type="http://schemas.openxmlformats.org/officeDocument/2006/relationships/hyperlink" Target="https://pbs.twimg.com/media/Eu4eaZhWQAElUyV.jpg" TargetMode="External"/><Relationship Id="rId3865" Type="http://schemas.openxmlformats.org/officeDocument/2006/relationships/hyperlink" Target="https://pbs.twimg.com/media/Eu4TqBHXcAA5fDi.jpg" TargetMode="External"/><Relationship Id="rId786" Type="http://schemas.openxmlformats.org/officeDocument/2006/relationships/hyperlink" Target="https://pbs.twimg.com/media/Eu7EZHBXEAEEypq.jpg" TargetMode="External"/><Relationship Id="rId2467" Type="http://schemas.openxmlformats.org/officeDocument/2006/relationships/hyperlink" Target="http://www.actomedia.com/" TargetMode="External"/><Relationship Id="rId3518" Type="http://schemas.openxmlformats.org/officeDocument/2006/relationships/hyperlink" Target="http://www.bacancytechnology.com/" TargetMode="External"/><Relationship Id="rId439" Type="http://schemas.openxmlformats.org/officeDocument/2006/relationships/hyperlink" Target="http://dlvr.it/RtKQgN" TargetMode="External"/><Relationship Id="rId1069" Type="http://schemas.openxmlformats.org/officeDocument/2006/relationships/hyperlink" Target="http://www.whitehallmedia.co.uk/" TargetMode="External"/><Relationship Id="rId1483" Type="http://schemas.openxmlformats.org/officeDocument/2006/relationships/hyperlink" Target="http://www.datascientists.fr/" TargetMode="External"/><Relationship Id="rId2881" Type="http://schemas.openxmlformats.org/officeDocument/2006/relationships/hyperlink" Target="http://www.corizance.com/" TargetMode="External"/><Relationship Id="rId3932" Type="http://schemas.openxmlformats.org/officeDocument/2006/relationships/hyperlink" Target="https://hubs.ly/H0GQSf00" TargetMode="External"/><Relationship Id="rId506" Type="http://schemas.openxmlformats.org/officeDocument/2006/relationships/hyperlink" Target="https://pbs.twimg.com/media/Erud-cLWMAI0ecY.jpg" TargetMode="External"/><Relationship Id="rId853" Type="http://schemas.openxmlformats.org/officeDocument/2006/relationships/hyperlink" Target="http://www.robofied.com/" TargetMode="External"/><Relationship Id="rId1136" Type="http://schemas.openxmlformats.org/officeDocument/2006/relationships/hyperlink" Target="https://pbs.twimg.com/media/Eu61u4fUcAoJZhm.jpg" TargetMode="External"/><Relationship Id="rId2534" Type="http://schemas.openxmlformats.org/officeDocument/2006/relationships/hyperlink" Target="http://pic.twitter.com/y6DnmrUXY5" TargetMode="External"/><Relationship Id="rId920" Type="http://schemas.openxmlformats.org/officeDocument/2006/relationships/hyperlink" Target="https://www.raywang.org/" TargetMode="External"/><Relationship Id="rId1550" Type="http://schemas.openxmlformats.org/officeDocument/2006/relationships/hyperlink" Target="https://youtu.be/Peccbcj8Ibs" TargetMode="External"/><Relationship Id="rId2601" Type="http://schemas.openxmlformats.org/officeDocument/2006/relationships/hyperlink" Target="http://cognitivetoday.com/" TargetMode="External"/><Relationship Id="rId1203" Type="http://schemas.openxmlformats.org/officeDocument/2006/relationships/hyperlink" Target="http://competinginadiverseandevolvingmarketplace.readyforthenet.org/" TargetMode="External"/><Relationship Id="rId3375" Type="http://schemas.openxmlformats.org/officeDocument/2006/relationships/hyperlink" Target="https://anoushk.substack.com/" TargetMode="External"/><Relationship Id="rId296" Type="http://schemas.openxmlformats.org/officeDocument/2006/relationships/hyperlink" Target="https://bit.ly/37DurWr" TargetMode="External"/><Relationship Id="rId2391" Type="http://schemas.openxmlformats.org/officeDocument/2006/relationships/hyperlink" Target="https://pub.towardsai.net/tensorflow-accelerate-numpy-with-gpus-964e9087fdab?source=social.tw" TargetMode="External"/><Relationship Id="rId3028" Type="http://schemas.openxmlformats.org/officeDocument/2006/relationships/hyperlink" Target="https://pbs.twimg.com/media/Eu5b20qVgAQlS2F.jpg" TargetMode="External"/><Relationship Id="rId3442" Type="http://schemas.openxmlformats.org/officeDocument/2006/relationships/hyperlink" Target="http://pic.twitter.com/qYkwgtCiuJ" TargetMode="External"/><Relationship Id="rId156" Type="http://schemas.openxmlformats.org/officeDocument/2006/relationships/hyperlink" Target="http://www.markoinsights.com/" TargetMode="External"/><Relationship Id="rId363" Type="http://schemas.openxmlformats.org/officeDocument/2006/relationships/hyperlink" Target="https://technative.io/five-things-on-our-data-and-ai-radar-for-2021/" TargetMode="External"/><Relationship Id="rId570" Type="http://schemas.openxmlformats.org/officeDocument/2006/relationships/hyperlink" Target="https://pbs.twimg.com/media/EuhAtZzXIAQ6Crb.jpg" TargetMode="External"/><Relationship Id="rId2044" Type="http://schemas.openxmlformats.org/officeDocument/2006/relationships/hyperlink" Target="https://www.ipsmea.com/" TargetMode="External"/><Relationship Id="rId2251" Type="http://schemas.openxmlformats.org/officeDocument/2006/relationships/hyperlink" Target="https://pbs.twimg.com/media/Eu6A1_iWYAAn9uO.jpg" TargetMode="External"/><Relationship Id="rId3302" Type="http://schemas.openxmlformats.org/officeDocument/2006/relationships/hyperlink" Target="http://pic.twitter.com/3rSLD9jDM6" TargetMode="External"/><Relationship Id="rId223" Type="http://schemas.openxmlformats.org/officeDocument/2006/relationships/hyperlink" Target="https://www.nytimes.com/2021/02/23/technology/ai-innovation-privacy-seniors-education.html" TargetMode="External"/><Relationship Id="rId430" Type="http://schemas.openxmlformats.org/officeDocument/2006/relationships/hyperlink" Target="https://techflx.com/product-category/books/" TargetMode="External"/><Relationship Id="rId1060" Type="http://schemas.openxmlformats.org/officeDocument/2006/relationships/hyperlink" Target="http://bit.ly/3skehJl" TargetMode="External"/><Relationship Id="rId2111" Type="http://schemas.openxmlformats.org/officeDocument/2006/relationships/hyperlink" Target="https://www.linkedin.com/in/colinrbristow/" TargetMode="External"/><Relationship Id="rId4076" Type="http://schemas.openxmlformats.org/officeDocument/2006/relationships/hyperlink" Target="https://machinelearningmastery.com/introduction-to-bayesian-belief-networks/" TargetMode="External"/><Relationship Id="rId1877" Type="http://schemas.openxmlformats.org/officeDocument/2006/relationships/hyperlink" Target="http://leadsbrandconnect.com/" TargetMode="External"/><Relationship Id="rId2928" Type="http://schemas.openxmlformats.org/officeDocument/2006/relationships/hyperlink" Target="https://pbs.twimg.com/media/Eu5fyqZVcAI-p9y.jpg" TargetMode="External"/><Relationship Id="rId1737" Type="http://schemas.openxmlformats.org/officeDocument/2006/relationships/hyperlink" Target="https://pbs.twimg.com/media/Eu6bJyzXIAE1x0c.jpg" TargetMode="External"/><Relationship Id="rId1944" Type="http://schemas.openxmlformats.org/officeDocument/2006/relationships/hyperlink" Target="https://www.instagram.com/p/CLolDfiHsQ2/" TargetMode="External"/><Relationship Id="rId3092" Type="http://schemas.openxmlformats.org/officeDocument/2006/relationships/hyperlink" Target="https://bit.ly/2NM2Qv7" TargetMode="External"/><Relationship Id="rId4143" Type="http://schemas.openxmlformats.org/officeDocument/2006/relationships/hyperlink" Target="https://arxiv.org/pdf/2102.09896.pdf" TargetMode="External"/><Relationship Id="rId29" Type="http://schemas.openxmlformats.org/officeDocument/2006/relationships/hyperlink" Target="https://pbs.twimg.com/media/Eu7jRCGXMAAUC8O.jpg" TargetMode="External"/><Relationship Id="rId4003" Type="http://schemas.openxmlformats.org/officeDocument/2006/relationships/hyperlink" Target="http://ipfconline.fr/contacts-eng.html" TargetMode="External"/><Relationship Id="rId4210" Type="http://schemas.openxmlformats.org/officeDocument/2006/relationships/hyperlink" Target="http://www.aiaustralia.org/" TargetMode="External"/><Relationship Id="rId1804" Type="http://schemas.openxmlformats.org/officeDocument/2006/relationships/hyperlink" Target="http://datategy.net/fr/accueil/" TargetMode="External"/><Relationship Id="rId3769" Type="http://schemas.openxmlformats.org/officeDocument/2006/relationships/hyperlink" Target="https://pbs.twimg.com/media/Eu4gP1hXMAEA1Ib.png" TargetMode="External"/><Relationship Id="rId3976" Type="http://schemas.openxmlformats.org/officeDocument/2006/relationships/hyperlink" Target="https://about.me/pawan.somanchi" TargetMode="External"/><Relationship Id="rId897" Type="http://schemas.openxmlformats.org/officeDocument/2006/relationships/hyperlink" Target="https://medium.com/@guidaautonoma" TargetMode="External"/><Relationship Id="rId2578" Type="http://schemas.openxmlformats.org/officeDocument/2006/relationships/hyperlink" Target="http://swisscognitive.ch/" TargetMode="External"/><Relationship Id="rId2785" Type="http://schemas.openxmlformats.org/officeDocument/2006/relationships/hyperlink" Target="https://via.socxo.net/RxojtPAteQ8Id" TargetMode="External"/><Relationship Id="rId2992" Type="http://schemas.openxmlformats.org/officeDocument/2006/relationships/hyperlink" Target="https://qualitastech.com/" TargetMode="External"/><Relationship Id="rId3629" Type="http://schemas.openxmlformats.org/officeDocument/2006/relationships/hyperlink" Target="http://marktechpost.com/" TargetMode="External"/><Relationship Id="rId3836" Type="http://schemas.openxmlformats.org/officeDocument/2006/relationships/hyperlink" Target="https://zcu.io/R9lh" TargetMode="External"/><Relationship Id="rId757" Type="http://schemas.openxmlformats.org/officeDocument/2006/relationships/hyperlink" Target="https://www.information-age.com/" TargetMode="External"/><Relationship Id="rId964" Type="http://schemas.openxmlformats.org/officeDocument/2006/relationships/hyperlink" Target="http://www.stardust-testing.com/" TargetMode="External"/><Relationship Id="rId1387" Type="http://schemas.openxmlformats.org/officeDocument/2006/relationships/hyperlink" Target="http://psi-k.net/" TargetMode="External"/><Relationship Id="rId1594" Type="http://schemas.openxmlformats.org/officeDocument/2006/relationships/hyperlink" Target="https://lovecht.com/" TargetMode="External"/><Relationship Id="rId2438" Type="http://schemas.openxmlformats.org/officeDocument/2006/relationships/hyperlink" Target="http://writex.today/" TargetMode="External"/><Relationship Id="rId2645" Type="http://schemas.openxmlformats.org/officeDocument/2006/relationships/hyperlink" Target="http://www.corizance.com/" TargetMode="External"/><Relationship Id="rId2852" Type="http://schemas.openxmlformats.org/officeDocument/2006/relationships/hyperlink" Target="https://pbs.twimg.com/media/Eu5jFKVWQAM0cmF.jpg" TargetMode="External"/><Relationship Id="rId3903" Type="http://schemas.openxmlformats.org/officeDocument/2006/relationships/hyperlink" Target="https://www.analytikus.com/post/the-coronavirus-and-online-learning-an-alternate-perspective" TargetMode="External"/><Relationship Id="rId93" Type="http://schemas.openxmlformats.org/officeDocument/2006/relationships/hyperlink" Target="https://atlassystems.com/blog/machine-learning-how-it-works/" TargetMode="External"/><Relationship Id="rId617" Type="http://schemas.openxmlformats.org/officeDocument/2006/relationships/hyperlink" Target="https://pbs.twimg.com/media/Eu7LXNiWYAAmI1h.jpg" TargetMode="External"/><Relationship Id="rId824" Type="http://schemas.openxmlformats.org/officeDocument/2006/relationships/hyperlink" Target="http://neurons.ai/" TargetMode="External"/><Relationship Id="rId1247" Type="http://schemas.openxmlformats.org/officeDocument/2006/relationships/hyperlink" Target="https://ai4.io/finance/" TargetMode="External"/><Relationship Id="rId1454" Type="http://schemas.openxmlformats.org/officeDocument/2006/relationships/hyperlink" Target="https://ift.tt/3dIAgpl" TargetMode="External"/><Relationship Id="rId1661" Type="http://schemas.openxmlformats.org/officeDocument/2006/relationships/hyperlink" Target="http://www.nordicaiinstitute.com/" TargetMode="External"/><Relationship Id="rId2505" Type="http://schemas.openxmlformats.org/officeDocument/2006/relationships/hyperlink" Target="https://autome.me/" TargetMode="External"/><Relationship Id="rId2712" Type="http://schemas.openxmlformats.org/officeDocument/2006/relationships/hyperlink" Target="http://pic.twitter.com/dWtiYsJJCL" TargetMode="External"/><Relationship Id="rId1107" Type="http://schemas.openxmlformats.org/officeDocument/2006/relationships/hyperlink" Target="https://pbs.twimg.com/media/Eu62tWfUYAEj1B5.jpg" TargetMode="External"/><Relationship Id="rId1314" Type="http://schemas.openxmlformats.org/officeDocument/2006/relationships/hyperlink" Target="https://ptyleraul.medium.com/building-artificial-intelligence-bf1d8eb4b4ac" TargetMode="External"/><Relationship Id="rId1521" Type="http://schemas.openxmlformats.org/officeDocument/2006/relationships/hyperlink" Target="https://pbs.twimg.com/media/Eu6kH6lVcAEuzcS.jpg" TargetMode="External"/><Relationship Id="rId3279" Type="http://schemas.openxmlformats.org/officeDocument/2006/relationships/hyperlink" Target="https://pbs.twimg.com/media/Eu5Me3zUUAQxX3W.jpg" TargetMode="External"/><Relationship Id="rId3486" Type="http://schemas.openxmlformats.org/officeDocument/2006/relationships/hyperlink" Target="https://bdtechtalks.com/2021/02/22/reinforcement-learning-ad-optimization/" TargetMode="External"/><Relationship Id="rId3693" Type="http://schemas.openxmlformats.org/officeDocument/2006/relationships/hyperlink" Target="https://pbs.twimg.com/media/Eu4nZ5xVgAETrDg.jpg" TargetMode="External"/><Relationship Id="rId20" Type="http://schemas.openxmlformats.org/officeDocument/2006/relationships/hyperlink" Target="https://goo.gl/3TFrjv" TargetMode="External"/><Relationship Id="rId2088" Type="http://schemas.openxmlformats.org/officeDocument/2006/relationships/hyperlink" Target="https://twitter.com/@Harry_Robots" TargetMode="External"/><Relationship Id="rId2295" Type="http://schemas.openxmlformats.org/officeDocument/2006/relationships/hyperlink" Target="https://lnkd.in/gZT37cN" TargetMode="External"/><Relationship Id="rId3139" Type="http://schemas.openxmlformats.org/officeDocument/2006/relationships/hyperlink" Target="https://pbs.twimg.com/media/Eu5Wf1_XAAE8uhO.png" TargetMode="External"/><Relationship Id="rId3346" Type="http://schemas.openxmlformats.org/officeDocument/2006/relationships/hyperlink" Target="https://zpy.io/06f8348a" TargetMode="External"/><Relationship Id="rId267" Type="http://schemas.openxmlformats.org/officeDocument/2006/relationships/hyperlink" Target="https://github.com/akshitagupta15june" TargetMode="External"/><Relationship Id="rId474" Type="http://schemas.openxmlformats.org/officeDocument/2006/relationships/hyperlink" Target="https://arxiv.org/ftp/arxiv/papers/2102/2102.10140.pdf" TargetMode="External"/><Relationship Id="rId2155" Type="http://schemas.openxmlformats.org/officeDocument/2006/relationships/hyperlink" Target="https://pbs.twimg.com/media/Eu5a9ZWXIAEjurD.png" TargetMode="External"/><Relationship Id="rId3553" Type="http://schemas.openxmlformats.org/officeDocument/2006/relationships/hyperlink" Target="https://www.datatrained.com/" TargetMode="External"/><Relationship Id="rId3760" Type="http://schemas.openxmlformats.org/officeDocument/2006/relationships/hyperlink" Target="https://cstu.io/6d95d5" TargetMode="External"/><Relationship Id="rId127" Type="http://schemas.openxmlformats.org/officeDocument/2006/relationships/hyperlink" Target="https://pbs.twimg.com/media/Eu7f2M0XUAQJGdL.jpg" TargetMode="External"/><Relationship Id="rId681" Type="http://schemas.openxmlformats.org/officeDocument/2006/relationships/hyperlink" Target="https://pbs.twimg.com/media/Eu5U3-DXAAEbs1O.png" TargetMode="External"/><Relationship Id="rId2362" Type="http://schemas.openxmlformats.org/officeDocument/2006/relationships/hyperlink" Target="https://twitter.com/nowthisnews/status/1364083314311585793" TargetMode="External"/><Relationship Id="rId3206" Type="http://schemas.openxmlformats.org/officeDocument/2006/relationships/hyperlink" Target="https://docs.google.com/forms/d/e/1FAIpQLSfe6BQNAd8KBHup7Kpju6-dcbJOnkNJ4CMxMhtQPKzmnV4HYg/viewform" TargetMode="External"/><Relationship Id="rId3413" Type="http://schemas.openxmlformats.org/officeDocument/2006/relationships/hyperlink" Target="https://www.allsoftsolutions.in/" TargetMode="External"/><Relationship Id="rId3620" Type="http://schemas.openxmlformats.org/officeDocument/2006/relationships/hyperlink" Target="https://machinelearningflx.com/" TargetMode="External"/><Relationship Id="rId334" Type="http://schemas.openxmlformats.org/officeDocument/2006/relationships/hyperlink" Target="https://www.digitalinsuranceagenda.com/featured-insurtechs/whats-happening-in-the-dia-community-vol-13/?utm_source=agorapulse&amp;utm_medium=cybercube" TargetMode="External"/><Relationship Id="rId541" Type="http://schemas.openxmlformats.org/officeDocument/2006/relationships/hyperlink" Target="http://www.syncedreview.com/" TargetMode="External"/><Relationship Id="rId1171" Type="http://schemas.openxmlformats.org/officeDocument/2006/relationships/hyperlink" Target="https://www.vumc.org/dbmi" TargetMode="External"/><Relationship Id="rId2015" Type="http://schemas.openxmlformats.org/officeDocument/2006/relationships/hyperlink" Target="https://pbs.twimg.com/media/Eu6Nt8xXcAETIru.jpg" TargetMode="External"/><Relationship Id="rId2222" Type="http://schemas.openxmlformats.org/officeDocument/2006/relationships/hyperlink" Target="https://lutech.group/" TargetMode="External"/><Relationship Id="rId401" Type="http://schemas.openxmlformats.org/officeDocument/2006/relationships/hyperlink" Target="http://www.thatneedle.com/" TargetMode="External"/><Relationship Id="rId1031" Type="http://schemas.openxmlformats.org/officeDocument/2006/relationships/hyperlink" Target="https://pbs.twimg.com/media/Eu65rVJVEAUkQOG.png" TargetMode="External"/><Relationship Id="rId1988" Type="http://schemas.openxmlformats.org/officeDocument/2006/relationships/hyperlink" Target="https://bit.ly/2JPgonC" TargetMode="External"/><Relationship Id="rId4187" Type="http://schemas.openxmlformats.org/officeDocument/2006/relationships/hyperlink" Target="http://pic.twitter.com/F8BAZxx7vx" TargetMode="External"/><Relationship Id="rId4047" Type="http://schemas.openxmlformats.org/officeDocument/2006/relationships/hyperlink" Target="https://github.com/anilmshanbhag" TargetMode="External"/><Relationship Id="rId4254" Type="http://schemas.openxmlformats.org/officeDocument/2006/relationships/hyperlink" Target="https://pbs.twimg.com/media/Eu3rfQ3VgAEB8ek.jpg" TargetMode="External"/><Relationship Id="rId1848" Type="http://schemas.openxmlformats.org/officeDocument/2006/relationships/hyperlink" Target="https://opensea.io/collection/ai-generated" TargetMode="External"/><Relationship Id="rId3063" Type="http://schemas.openxmlformats.org/officeDocument/2006/relationships/hyperlink" Target="https://bit.ly/3aJQL2A" TargetMode="External"/><Relationship Id="rId3270" Type="http://schemas.openxmlformats.org/officeDocument/2006/relationships/hyperlink" Target="https://zpy.io/6c953772" TargetMode="External"/><Relationship Id="rId4114" Type="http://schemas.openxmlformats.org/officeDocument/2006/relationships/hyperlink" Target="https://buff.ly/3uqtRVC" TargetMode="External"/><Relationship Id="rId191" Type="http://schemas.openxmlformats.org/officeDocument/2006/relationships/hyperlink" Target="http://ow.ly/OUt130ry3fu" TargetMode="External"/><Relationship Id="rId1708" Type="http://schemas.openxmlformats.org/officeDocument/2006/relationships/hyperlink" Target="https://qymatix.de/de/kuenstlichen-intelligenz-b2b-vertrieb/" TargetMode="External"/><Relationship Id="rId1915" Type="http://schemas.openxmlformats.org/officeDocument/2006/relationships/hyperlink" Target="https://www.onelink.to/programminghero" TargetMode="External"/><Relationship Id="rId3130" Type="http://schemas.openxmlformats.org/officeDocument/2006/relationships/hyperlink" Target="http://www.sqli.com/" TargetMode="External"/><Relationship Id="rId2689" Type="http://schemas.openxmlformats.org/officeDocument/2006/relationships/hyperlink" Target="https://mljar.com/" TargetMode="External"/><Relationship Id="rId2896" Type="http://schemas.openxmlformats.org/officeDocument/2006/relationships/hyperlink" Target="https://twitter.com/Theslimevids/status/1359909785957638146" TargetMode="External"/><Relationship Id="rId3947" Type="http://schemas.openxmlformats.org/officeDocument/2006/relationships/hyperlink" Target="https://paper.li/rautsan/1450695271?edition_id=7ea4a2e0-757e-11eb-9bb6-0cc47a0d1605" TargetMode="External"/><Relationship Id="rId868" Type="http://schemas.openxmlformats.org/officeDocument/2006/relationships/hyperlink" Target="http://linkd.in/1ELhUIE" TargetMode="External"/><Relationship Id="rId1498" Type="http://schemas.openxmlformats.org/officeDocument/2006/relationships/hyperlink" Target="https://freehipwee.blogspot.com/2020/10/datadrivenscience-machinelearning.html" TargetMode="External"/><Relationship Id="rId2549" Type="http://schemas.openxmlformats.org/officeDocument/2006/relationships/hyperlink" Target="https://autome.me/" TargetMode="External"/><Relationship Id="rId2756" Type="http://schemas.openxmlformats.org/officeDocument/2006/relationships/hyperlink" Target="https://pbs.twimg.com/media/Eu5mgrXXMAA5jWm.jpg" TargetMode="External"/><Relationship Id="rId2963" Type="http://schemas.openxmlformats.org/officeDocument/2006/relationships/hyperlink" Target="https://contributing.today/" TargetMode="External"/><Relationship Id="rId3807" Type="http://schemas.openxmlformats.org/officeDocument/2006/relationships/hyperlink" Target="https://machinelearningflx.com/" TargetMode="External"/><Relationship Id="rId728" Type="http://schemas.openxmlformats.org/officeDocument/2006/relationships/hyperlink" Target="http://www.futurefacts.nl/" TargetMode="External"/><Relationship Id="rId935" Type="http://schemas.openxmlformats.org/officeDocument/2006/relationships/hyperlink" Target="https://pbs.twimg.com/media/Eu6-L4MWQAEjTBI.jpg" TargetMode="External"/><Relationship Id="rId1358" Type="http://schemas.openxmlformats.org/officeDocument/2006/relationships/hyperlink" Target="https://www.treadstone71.com/" TargetMode="External"/><Relationship Id="rId1565" Type="http://schemas.openxmlformats.org/officeDocument/2006/relationships/hyperlink" Target="https://www.finextra.com/newsarticle/37516/bbva-taps-google-cloud-chronicle-to-build-ai-security-platform" TargetMode="External"/><Relationship Id="rId1772" Type="http://schemas.openxmlformats.org/officeDocument/2006/relationships/hyperlink" Target="http://bit.ly/3qO4DhN" TargetMode="External"/><Relationship Id="rId2409" Type="http://schemas.openxmlformats.org/officeDocument/2006/relationships/hyperlink" Target="https://pbs.twimg.com/media/Eu55BCDWQAIbmws.jpg" TargetMode="External"/><Relationship Id="rId2616" Type="http://schemas.openxmlformats.org/officeDocument/2006/relationships/hyperlink" Target="https://www.seldon.io/" TargetMode="External"/><Relationship Id="rId64" Type="http://schemas.openxmlformats.org/officeDocument/2006/relationships/hyperlink" Target="https://pbs.twimg.com/media/Eu7hZ6sXIAUNUq0.jpg" TargetMode="External"/><Relationship Id="rId1218" Type="http://schemas.openxmlformats.org/officeDocument/2006/relationships/hyperlink" Target="http://digitusdaily.com/?edition_id=36a5acc0-75e5-11eb-ae29-002590a5ba2d" TargetMode="External"/><Relationship Id="rId1425" Type="http://schemas.openxmlformats.org/officeDocument/2006/relationships/hyperlink" Target="https://modelzoo.co/model/packnet" TargetMode="External"/><Relationship Id="rId2823" Type="http://schemas.openxmlformats.org/officeDocument/2006/relationships/hyperlink" Target="https://www.reddit.com/r/MachineLearning/comments/lqb7le/rcstr_a_classification_perspective_on_scene_text/" TargetMode="External"/><Relationship Id="rId1632" Type="http://schemas.openxmlformats.org/officeDocument/2006/relationships/hyperlink" Target="https://pbs.twimg.com/media/Eu6enlwVkAAxWjn.jpg" TargetMode="External"/><Relationship Id="rId2199" Type="http://schemas.openxmlformats.org/officeDocument/2006/relationships/hyperlink" Target="https://pbs.twimg.com/media/Eu6DnapWYAAa1PW.jpg" TargetMode="External"/><Relationship Id="rId3597" Type="http://schemas.openxmlformats.org/officeDocument/2006/relationships/hyperlink" Target="https://www.linkedin.com/in/idris-olasunkanmi-9364401a5" TargetMode="External"/><Relationship Id="rId3457" Type="http://schemas.openxmlformats.org/officeDocument/2006/relationships/hyperlink" Target="https://exonomousid.com/" TargetMode="External"/><Relationship Id="rId3664" Type="http://schemas.openxmlformats.org/officeDocument/2006/relationships/hyperlink" Target="http://cardano.mx/" TargetMode="External"/><Relationship Id="rId3871" Type="http://schemas.openxmlformats.org/officeDocument/2006/relationships/hyperlink" Target="https://via.socxo.net/ApeJfvYfm8BCP" TargetMode="External"/><Relationship Id="rId378" Type="http://schemas.openxmlformats.org/officeDocument/2006/relationships/hyperlink" Target="https://www.cs.jhu.edu/events/homewood-algorithms-systems-and-machine-learning-in-finance/?instance_id=1876498" TargetMode="External"/><Relationship Id="rId585" Type="http://schemas.openxmlformats.org/officeDocument/2006/relationships/hyperlink" Target="https://www.onlinecouponcourses.com/" TargetMode="External"/><Relationship Id="rId792" Type="http://schemas.openxmlformats.org/officeDocument/2006/relationships/hyperlink" Target="https://pbs.twimg.com/media/Eu604F1VgAwwF2O.jpg" TargetMode="External"/><Relationship Id="rId2059" Type="http://schemas.openxmlformats.org/officeDocument/2006/relationships/hyperlink" Target="https://de.linkedin.com/in/grosch" TargetMode="External"/><Relationship Id="rId2266" Type="http://schemas.openxmlformats.org/officeDocument/2006/relationships/hyperlink" Target="http://dlvr.it/RtJ6C8" TargetMode="External"/><Relationship Id="rId2473" Type="http://schemas.openxmlformats.org/officeDocument/2006/relationships/hyperlink" Target="https://www.youtube.com/channel/UC8BWSX1ofnMXZgmD5a2RvZg" TargetMode="External"/><Relationship Id="rId2680" Type="http://schemas.openxmlformats.org/officeDocument/2006/relationships/hyperlink" Target="https://ift.tt/37Ab1Sn" TargetMode="External"/><Relationship Id="rId3317" Type="http://schemas.openxmlformats.org/officeDocument/2006/relationships/hyperlink" Target="https://www.linkedin.com/in/mmasensi/" TargetMode="External"/><Relationship Id="rId3524" Type="http://schemas.openxmlformats.org/officeDocument/2006/relationships/hyperlink" Target="https://pbs.twimg.com/media/Eu41pRpXMAEl2o8.jpg" TargetMode="External"/><Relationship Id="rId3731" Type="http://schemas.openxmlformats.org/officeDocument/2006/relationships/hyperlink" Target="https://www.engadget.com/apple-music-quiz-ios-14-214046620.html" TargetMode="External"/><Relationship Id="rId238" Type="http://schemas.openxmlformats.org/officeDocument/2006/relationships/hyperlink" Target="https://pbs.twimg.com/media/Eu7M0twXMAIdqec.png" TargetMode="External"/><Relationship Id="rId445" Type="http://schemas.openxmlformats.org/officeDocument/2006/relationships/hyperlink" Target="https://pbs.twimg.com/media/Eu7SLvHXMAE6r3V.png" TargetMode="External"/><Relationship Id="rId652" Type="http://schemas.openxmlformats.org/officeDocument/2006/relationships/hyperlink" Target="http://www.vikez.com/" TargetMode="External"/><Relationship Id="rId1075" Type="http://schemas.openxmlformats.org/officeDocument/2006/relationships/hyperlink" Target="https://via.socxo.net/WMyQf74fLkjIj" TargetMode="External"/><Relationship Id="rId1282" Type="http://schemas.openxmlformats.org/officeDocument/2006/relationships/hyperlink" Target="https://github.com/Sayantan-world" TargetMode="External"/><Relationship Id="rId2126" Type="http://schemas.openxmlformats.org/officeDocument/2006/relationships/hyperlink" Target="http://www.primehookllc.com/about-us.html" TargetMode="External"/><Relationship Id="rId2333" Type="http://schemas.openxmlformats.org/officeDocument/2006/relationships/hyperlink" Target="https://pbs.twimg.com/media/Eu59186UcAMTUAf.jpg" TargetMode="External"/><Relationship Id="rId2540" Type="http://schemas.openxmlformats.org/officeDocument/2006/relationships/hyperlink" Target="https://www.analyticsinsight.net/artificial-intelligence-and-bias-the-buck-stops-where/" TargetMode="External"/><Relationship Id="rId305" Type="http://schemas.openxmlformats.org/officeDocument/2006/relationships/hyperlink" Target="https://lnkd.in/dM2Tfup" TargetMode="External"/><Relationship Id="rId512" Type="http://schemas.openxmlformats.org/officeDocument/2006/relationships/hyperlink" Target="https://pbs.twimg.com/media/Eu7PVo7UcAMcq_Y.jpg" TargetMode="External"/><Relationship Id="rId1142" Type="http://schemas.openxmlformats.org/officeDocument/2006/relationships/hyperlink" Target="https://www.linkedin.com/in/iainljbrown/" TargetMode="External"/><Relationship Id="rId2400" Type="http://schemas.openxmlformats.org/officeDocument/2006/relationships/hyperlink" Target="https://babin-business-consulting.com/blog" TargetMode="External"/><Relationship Id="rId1002" Type="http://schemas.openxmlformats.org/officeDocument/2006/relationships/hyperlink" Target="http://ow.ly/BeSs30ry3ed" TargetMode="External"/><Relationship Id="rId4158" Type="http://schemas.openxmlformats.org/officeDocument/2006/relationships/hyperlink" Target="https://pbs.twimg.com/media/Eu32W1sXUAE4cAk.jpg" TargetMode="External"/><Relationship Id="rId1959" Type="http://schemas.openxmlformats.org/officeDocument/2006/relationships/hyperlink" Target="https://pbs.twimg.com/media/Eu6QvW7UcAoRjws.jpg" TargetMode="External"/><Relationship Id="rId3174" Type="http://schemas.openxmlformats.org/officeDocument/2006/relationships/hyperlink" Target="https://hackernoon.com/interview-with-the-worlds-most-advanced-ai-4o5m331z" TargetMode="External"/><Relationship Id="rId4018" Type="http://schemas.openxmlformats.org/officeDocument/2006/relationships/hyperlink" Target="http://lei-egypt.com/" TargetMode="External"/><Relationship Id="rId1819" Type="http://schemas.openxmlformats.org/officeDocument/2006/relationships/hyperlink" Target="https://vrscout.com/news/watson-ibm-ai-vr-ar-audio-interactive-environments/" TargetMode="External"/><Relationship Id="rId3381" Type="http://schemas.openxmlformats.org/officeDocument/2006/relationships/hyperlink" Target="https://pbs.twimg.com/media/Eu5DbJkVIAEJl4F.png" TargetMode="External"/><Relationship Id="rId4225" Type="http://schemas.openxmlformats.org/officeDocument/2006/relationships/hyperlink" Target="http://vallumsoftware.com/" TargetMode="External"/><Relationship Id="rId2190" Type="http://schemas.openxmlformats.org/officeDocument/2006/relationships/hyperlink" Target="https://pbs.twimg.com/media/Eu6D48EXUAAudoi.jpg" TargetMode="External"/><Relationship Id="rId3034" Type="http://schemas.openxmlformats.org/officeDocument/2006/relationships/hyperlink" Target="https://youtu.be/fetvTuLIrDk" TargetMode="External"/><Relationship Id="rId3241" Type="http://schemas.openxmlformats.org/officeDocument/2006/relationships/hyperlink" Target="https://pbs.twimg.com/media/Eu5Oh1BUYAgUuJ4.jpg" TargetMode="External"/><Relationship Id="rId162" Type="http://schemas.openxmlformats.org/officeDocument/2006/relationships/hyperlink" Target="https://pbs.twimg.com/media/Eu7cJmeXMAUZNV5.jpg" TargetMode="External"/><Relationship Id="rId2050" Type="http://schemas.openxmlformats.org/officeDocument/2006/relationships/hyperlink" Target="https://asterisminfosoft.com/" TargetMode="External"/><Relationship Id="rId3101" Type="http://schemas.openxmlformats.org/officeDocument/2006/relationships/hyperlink" Target="https://pbs.twimg.com/media/Eu5X5pDU4Ag_6Lh.jpg" TargetMode="External"/><Relationship Id="rId979" Type="http://schemas.openxmlformats.org/officeDocument/2006/relationships/hyperlink" Target="http://datafying.com.au/" TargetMode="External"/><Relationship Id="rId839" Type="http://schemas.openxmlformats.org/officeDocument/2006/relationships/hyperlink" Target="https://ecptonline.com/" TargetMode="External"/><Relationship Id="rId1469" Type="http://schemas.openxmlformats.org/officeDocument/2006/relationships/hyperlink" Target="https://www.informationweek.com/big-data/ai-machine-learning/ibms-hernandez-discusses-future-of-aiops-and-measuring-roi/a/d-id/1340219?_mc=rss_x_iwr_edt_aud_iw_x_x-rss-simple" TargetMode="External"/><Relationship Id="rId2867" Type="http://schemas.openxmlformats.org/officeDocument/2006/relationships/hyperlink" Target="https://ift.tt/37DWeWQ" TargetMode="External"/><Relationship Id="rId3918" Type="http://schemas.openxmlformats.org/officeDocument/2006/relationships/hyperlink" Target="https://pbs.twimg.com/media/Eu4OWUQVEAQjr0Z.jpg" TargetMode="External"/><Relationship Id="rId4082" Type="http://schemas.openxmlformats.org/officeDocument/2006/relationships/hyperlink" Target="http://www.gppulipaka.org/" TargetMode="External"/><Relationship Id="rId1676" Type="http://schemas.openxmlformats.org/officeDocument/2006/relationships/hyperlink" Target="https://bit.ly/3uqu3V6" TargetMode="External"/><Relationship Id="rId1883" Type="http://schemas.openxmlformats.org/officeDocument/2006/relationships/hyperlink" Target="https://ptyleraul.medium.com/building-artificial-intelligence-bf1d8eb4b4ac" TargetMode="External"/><Relationship Id="rId2727" Type="http://schemas.openxmlformats.org/officeDocument/2006/relationships/hyperlink" Target="http://www.awakenai.org/" TargetMode="External"/><Relationship Id="rId2934" Type="http://schemas.openxmlformats.org/officeDocument/2006/relationships/hyperlink" Target="https://go.aws/3aHoQAs" TargetMode="External"/><Relationship Id="rId906" Type="http://schemas.openxmlformats.org/officeDocument/2006/relationships/hyperlink" Target="https://pbs.twimg.com/media/Eu7APUaWgAMPObQ.jpg" TargetMode="External"/><Relationship Id="rId1329" Type="http://schemas.openxmlformats.org/officeDocument/2006/relationships/hyperlink" Target="https://linktr.ee/RonaldvanLoon" TargetMode="External"/><Relationship Id="rId1536" Type="http://schemas.openxmlformats.org/officeDocument/2006/relationships/hyperlink" Target="https://pbs.twimg.com/media/Eu6jBkNXAAMGO1e.png" TargetMode="External"/><Relationship Id="rId1743" Type="http://schemas.openxmlformats.org/officeDocument/2006/relationships/hyperlink" Target="https://pbs.twimg.com/media/Eu6MWZ5XAAEiF2T.jpg" TargetMode="External"/><Relationship Id="rId1950" Type="http://schemas.openxmlformats.org/officeDocument/2006/relationships/hyperlink" Target="http://ow.ly/5hAP30rxYrF" TargetMode="External"/><Relationship Id="rId35" Type="http://schemas.openxmlformats.org/officeDocument/2006/relationships/hyperlink" Target="https://www.bbc.com/news/business-55932977" TargetMode="External"/><Relationship Id="rId1603" Type="http://schemas.openxmlformats.org/officeDocument/2006/relationships/hyperlink" Target="http://cariindata.id/" TargetMode="External"/><Relationship Id="rId1810" Type="http://schemas.openxmlformats.org/officeDocument/2006/relationships/hyperlink" Target="https://pbs.twimg.com/media/Eu6Xve7XMAIh3hY.jpg" TargetMode="External"/><Relationship Id="rId3568" Type="http://schemas.openxmlformats.org/officeDocument/2006/relationships/hyperlink" Target="https://pbs.twimg.com/media/Eu4zaCbVcAI7JGr.jpg" TargetMode="External"/><Relationship Id="rId3775" Type="http://schemas.openxmlformats.org/officeDocument/2006/relationships/hyperlink" Target="https://pbs.twimg.com/media/Eu4f-sxWQAIZat-.jpg" TargetMode="External"/><Relationship Id="rId3982" Type="http://schemas.openxmlformats.org/officeDocument/2006/relationships/hyperlink" Target="http://www.sima.ai/" TargetMode="External"/><Relationship Id="rId489" Type="http://schemas.openxmlformats.org/officeDocument/2006/relationships/hyperlink" Target="https://www.programming-hero.com/" TargetMode="External"/><Relationship Id="rId696" Type="http://schemas.openxmlformats.org/officeDocument/2006/relationships/hyperlink" Target="https://pbs.twimg.com/media/Eu7H060XUAAZp3T.jpg" TargetMode="External"/><Relationship Id="rId2377" Type="http://schemas.openxmlformats.org/officeDocument/2006/relationships/hyperlink" Target="https://ai.stanford.edu/blog/weak-supervision/" TargetMode="External"/><Relationship Id="rId2584" Type="http://schemas.openxmlformats.org/officeDocument/2006/relationships/hyperlink" Target="https://www.hindustantimes.com/ht-school/ai-and-robots-now-and-future-of-tech-101614063835866.html" TargetMode="External"/><Relationship Id="rId2791" Type="http://schemas.openxmlformats.org/officeDocument/2006/relationships/hyperlink" Target="https://twitter.com/Theslimevids/status/1337986145586581505" TargetMode="External"/><Relationship Id="rId3428" Type="http://schemas.openxmlformats.org/officeDocument/2006/relationships/hyperlink" Target="https://itvibes.com.au/6-ai-myths-debunked/" TargetMode="External"/><Relationship Id="rId3635" Type="http://schemas.openxmlformats.org/officeDocument/2006/relationships/hyperlink" Target="https://thedatascientist.com/about-dr-stylianos-stelios-kampakis/" TargetMode="External"/><Relationship Id="rId349" Type="http://schemas.openxmlformats.org/officeDocument/2006/relationships/hyperlink" Target="http://ow.ly/pgbS50DAbyO" TargetMode="External"/><Relationship Id="rId556" Type="http://schemas.openxmlformats.org/officeDocument/2006/relationships/hyperlink" Target="http://www.linkedin.com/in/francescalazzeri/" TargetMode="External"/><Relationship Id="rId763" Type="http://schemas.openxmlformats.org/officeDocument/2006/relationships/hyperlink" Target="https://deepai.org/" TargetMode="External"/><Relationship Id="rId1186" Type="http://schemas.openxmlformats.org/officeDocument/2006/relationships/hyperlink" Target="https://www.tern.org.au/news-bareearthdata/" TargetMode="External"/><Relationship Id="rId1393" Type="http://schemas.openxmlformats.org/officeDocument/2006/relationships/hyperlink" Target="https://buff.ly/2ZuyEHB" TargetMode="External"/><Relationship Id="rId2237" Type="http://schemas.openxmlformats.org/officeDocument/2006/relationships/hyperlink" Target="http://www.roboadvisor4u.io/" TargetMode="External"/><Relationship Id="rId2444" Type="http://schemas.openxmlformats.org/officeDocument/2006/relationships/hyperlink" Target="https://pbs.twimg.com/media/Eu53otAWQAATMXU.jpg" TargetMode="External"/><Relationship Id="rId3842" Type="http://schemas.openxmlformats.org/officeDocument/2006/relationships/hyperlink" Target="https://pbs.twimg.com/media/Eu4YtRyXAAIGlH2.jpg" TargetMode="External"/><Relationship Id="rId209" Type="http://schemas.openxmlformats.org/officeDocument/2006/relationships/hyperlink" Target="https://pbs.twimg.com/media/Eu7cKcvXEAI5Run.jpg" TargetMode="External"/><Relationship Id="rId416" Type="http://schemas.openxmlformats.org/officeDocument/2006/relationships/hyperlink" Target="http://ieducando.com/" TargetMode="External"/><Relationship Id="rId970" Type="http://schemas.openxmlformats.org/officeDocument/2006/relationships/hyperlink" Target="http://ssidecisions.com/" TargetMode="External"/><Relationship Id="rId1046" Type="http://schemas.openxmlformats.org/officeDocument/2006/relationships/hyperlink" Target="http://bit.ly/2JjIuWx" TargetMode="External"/><Relationship Id="rId1253" Type="http://schemas.openxmlformats.org/officeDocument/2006/relationships/hyperlink" Target="https://pbs.twimg.com/media/Eu6vjn-VcA0Zl9O.jpg" TargetMode="External"/><Relationship Id="rId2651" Type="http://schemas.openxmlformats.org/officeDocument/2006/relationships/hyperlink" Target="https://www.jucktion.com/" TargetMode="External"/><Relationship Id="rId3702" Type="http://schemas.openxmlformats.org/officeDocument/2006/relationships/hyperlink" Target="http://ipfconline.fr/contacts-eng.html" TargetMode="External"/><Relationship Id="rId623" Type="http://schemas.openxmlformats.org/officeDocument/2006/relationships/hyperlink" Target="https://bit.ly/37Fl0Wt" TargetMode="External"/><Relationship Id="rId830" Type="http://schemas.openxmlformats.org/officeDocument/2006/relationships/hyperlink" Target="http://neurons.ai/" TargetMode="External"/><Relationship Id="rId1460" Type="http://schemas.openxmlformats.org/officeDocument/2006/relationships/hyperlink" Target="https://pub.towardsai.net/understanding-functions-in-ai-d2fd52c72b37?source=rss----98111c9905da---4?source=social.tw" TargetMode="External"/><Relationship Id="rId2304" Type="http://schemas.openxmlformats.org/officeDocument/2006/relationships/hyperlink" Target="https://twitter.com/jblefevre60/status/1364102146879332355" TargetMode="External"/><Relationship Id="rId2511" Type="http://schemas.openxmlformats.org/officeDocument/2006/relationships/hyperlink" Target="https://paper.li/UK_CIF/1494252160?edition_id=93049840-75be-11eb-9fda-0cc47a0d1609" TargetMode="External"/><Relationship Id="rId1113" Type="http://schemas.openxmlformats.org/officeDocument/2006/relationships/hyperlink" Target="https://radiosheit.home.blog/" TargetMode="External"/><Relationship Id="rId1320" Type="http://schemas.openxmlformats.org/officeDocument/2006/relationships/hyperlink" Target="https://www.linkedin.com/in/rafaelmarquescv" TargetMode="External"/><Relationship Id="rId4269" Type="http://schemas.openxmlformats.org/officeDocument/2006/relationships/hyperlink" Target="http://pic.twitter.com/6KXaosmAvp" TargetMode="External"/><Relationship Id="rId3078" Type="http://schemas.openxmlformats.org/officeDocument/2006/relationships/hyperlink" Target="https://buff.ly/3klEc0z" TargetMode="External"/><Relationship Id="rId3285" Type="http://schemas.openxmlformats.org/officeDocument/2006/relationships/hyperlink" Target="http://www.adrowitzer.com/" TargetMode="External"/><Relationship Id="rId3492" Type="http://schemas.openxmlformats.org/officeDocument/2006/relationships/hyperlink" Target="https://community-z.com/communities/theappliedaicommunity" TargetMode="External"/><Relationship Id="rId4129" Type="http://schemas.openxmlformats.org/officeDocument/2006/relationships/hyperlink" Target="https://hubs.ly/H0GVvV30" TargetMode="External"/><Relationship Id="rId2094" Type="http://schemas.openxmlformats.org/officeDocument/2006/relationships/hyperlink" Target="http://neurons.ai/" TargetMode="External"/><Relationship Id="rId3145" Type="http://schemas.openxmlformats.org/officeDocument/2006/relationships/hyperlink" Target="https://lnkd.in/gfWiKuc" TargetMode="External"/><Relationship Id="rId3352" Type="http://schemas.openxmlformats.org/officeDocument/2006/relationships/hyperlink" Target="https://pbs.twimg.com/media/Eu5HCl6XYAEyk6D.jpg" TargetMode="External"/><Relationship Id="rId273" Type="http://schemas.openxmlformats.org/officeDocument/2006/relationships/hyperlink" Target="http://crossminds.ai/" TargetMode="External"/><Relationship Id="rId480" Type="http://schemas.openxmlformats.org/officeDocument/2006/relationships/hyperlink" Target="https://pbs.twimg.com/media/Eu7EiZPWgAQVerX.jpg" TargetMode="External"/><Relationship Id="rId2161" Type="http://schemas.openxmlformats.org/officeDocument/2006/relationships/hyperlink" Target="http://bit.ly/3khbCh2" TargetMode="External"/><Relationship Id="rId3005" Type="http://schemas.openxmlformats.org/officeDocument/2006/relationships/hyperlink" Target="https://ift.tt/3pTdQV3" TargetMode="External"/><Relationship Id="rId3212" Type="http://schemas.openxmlformats.org/officeDocument/2006/relationships/hyperlink" Target="http://kaggle.com/simranjain17" TargetMode="External"/><Relationship Id="rId133" Type="http://schemas.openxmlformats.org/officeDocument/2006/relationships/hyperlink" Target="http://pic.twitter.com/2JUlDc6v91" TargetMode="External"/><Relationship Id="rId340" Type="http://schemas.openxmlformats.org/officeDocument/2006/relationships/hyperlink" Target="https://www.it-soft.com/" TargetMode="External"/><Relationship Id="rId2021" Type="http://schemas.openxmlformats.org/officeDocument/2006/relationships/hyperlink" Target="http://bit.ly/37zMzR5" TargetMode="External"/><Relationship Id="rId200" Type="http://schemas.openxmlformats.org/officeDocument/2006/relationships/hyperlink" Target="https://bit.ly/3sa6EFs" TargetMode="External"/><Relationship Id="rId2978" Type="http://schemas.openxmlformats.org/officeDocument/2006/relationships/hyperlink" Target="http://bbdu.ac.in/" TargetMode="External"/><Relationship Id="rId4193" Type="http://schemas.openxmlformats.org/officeDocument/2006/relationships/hyperlink" Target="https://pbs.twimg.com/media/Eu2XkzoXMAMD9r7.jpg" TargetMode="External"/><Relationship Id="rId1787" Type="http://schemas.openxmlformats.org/officeDocument/2006/relationships/hyperlink" Target="https://researchgate.net/publication/342134613_The_emerging_need_for_touchless_interaction_technologies" TargetMode="External"/><Relationship Id="rId1994" Type="http://schemas.openxmlformats.org/officeDocument/2006/relationships/hyperlink" Target="https://zpy.io/17556f54" TargetMode="External"/><Relationship Id="rId2838" Type="http://schemas.openxmlformats.org/officeDocument/2006/relationships/hyperlink" Target="https://pbs.twimg.com/media/Eu5jiJWXIAAJiF3.jpg" TargetMode="External"/><Relationship Id="rId79" Type="http://schemas.openxmlformats.org/officeDocument/2006/relationships/hyperlink" Target="http://www.jancavelle.co.uk/" TargetMode="External"/><Relationship Id="rId1647" Type="http://schemas.openxmlformats.org/officeDocument/2006/relationships/hyperlink" Target="https://medium.com/@guidaautonoma" TargetMode="External"/><Relationship Id="rId1854" Type="http://schemas.openxmlformats.org/officeDocument/2006/relationships/hyperlink" Target="https://towardsdatascience.com/how-to-break-a-model-in-20-days-a-tutorial-on-production-model-analytics-25497e2eab9c" TargetMode="External"/><Relationship Id="rId2905" Type="http://schemas.openxmlformats.org/officeDocument/2006/relationships/hyperlink" Target="http://pic.twitter.com/xAsp2dtbnf" TargetMode="External"/><Relationship Id="rId4053" Type="http://schemas.openxmlformats.org/officeDocument/2006/relationships/hyperlink" Target="http://www.heliosantos.org/" TargetMode="External"/><Relationship Id="rId4260" Type="http://schemas.openxmlformats.org/officeDocument/2006/relationships/hyperlink" Target="https://twitter.com/tonyhawk/status/1289640310465691648" TargetMode="External"/><Relationship Id="rId1507" Type="http://schemas.openxmlformats.org/officeDocument/2006/relationships/hyperlink" Target="https://pbs.twimg.com/media/Eu6kbKNXYAAh5Op.png" TargetMode="External"/><Relationship Id="rId1714" Type="http://schemas.openxmlformats.org/officeDocument/2006/relationships/hyperlink" Target="https://www.teldat.com/blog/es/centralizacion-logs-microservicios-fluent-bit/" TargetMode="External"/><Relationship Id="rId4120" Type="http://schemas.openxmlformats.org/officeDocument/2006/relationships/hyperlink" Target="http://byyouhealth.co/" TargetMode="External"/><Relationship Id="rId1921" Type="http://schemas.openxmlformats.org/officeDocument/2006/relationships/hyperlink" Target="https://www.programming-hero.com/blog/web-development-from-scratch.html" TargetMode="External"/><Relationship Id="rId3679" Type="http://schemas.openxmlformats.org/officeDocument/2006/relationships/hyperlink" Target="https://openstatistics.org/" TargetMode="External"/><Relationship Id="rId2488" Type="http://schemas.openxmlformats.org/officeDocument/2006/relationships/hyperlink" Target="https://analyticsindiamag.com/machine-learning-indian-social-medias-biggest-challenge-yet/" TargetMode="External"/><Relationship Id="rId3886" Type="http://schemas.openxmlformats.org/officeDocument/2006/relationships/hyperlink" Target="https://linktr.ee/arthurguttilla" TargetMode="External"/><Relationship Id="rId1297" Type="http://schemas.openxmlformats.org/officeDocument/2006/relationships/hyperlink" Target="http://www.couponfree.uk/2020/12/deployment-of-machine-learning-models.html" TargetMode="External"/><Relationship Id="rId2695" Type="http://schemas.openxmlformats.org/officeDocument/2006/relationships/hyperlink" Target="http://www.quantumanalytics.ch/" TargetMode="External"/><Relationship Id="rId3539" Type="http://schemas.openxmlformats.org/officeDocument/2006/relationships/hyperlink" Target="https://www.predictly.co/2020/10/14/dataset-for-intent-classification/" TargetMode="External"/><Relationship Id="rId3746" Type="http://schemas.openxmlformats.org/officeDocument/2006/relationships/hyperlink" Target="https://www.revinfotech.com/" TargetMode="External"/><Relationship Id="rId3953" Type="http://schemas.openxmlformats.org/officeDocument/2006/relationships/hyperlink" Target="http://wellthatsinteresting.tech/" TargetMode="External"/><Relationship Id="rId667" Type="http://schemas.openxmlformats.org/officeDocument/2006/relationships/hyperlink" Target="https://pbs.twimg.com/media/Eu7JpUTXIAQjhMw.jpg" TargetMode="External"/><Relationship Id="rId874" Type="http://schemas.openxmlformats.org/officeDocument/2006/relationships/hyperlink" Target="https://event.on24.com/eventRegistration/EventLobbyServlet?target=reg20.jsp&amp;partnerref=ACBM&amp;eventid=2978609&amp;sessionid=1&amp;key=81CFF5D9836DCD32D9E16DFC9F5B6EC8&amp;regTag=20" TargetMode="External"/><Relationship Id="rId2348" Type="http://schemas.openxmlformats.org/officeDocument/2006/relationships/hyperlink" Target="https://www.socialpath.co.za/" TargetMode="External"/><Relationship Id="rId2555" Type="http://schemas.openxmlformats.org/officeDocument/2006/relationships/hyperlink" Target="https://www.freecodecamp.org/news/building-a-data-science-curriculum-with-advanced-math-and-machine-learning/" TargetMode="External"/><Relationship Id="rId2762" Type="http://schemas.openxmlformats.org/officeDocument/2006/relationships/hyperlink" Target="https://twitter.com/Theslimevids/status/1331637910811025408" TargetMode="External"/><Relationship Id="rId3606" Type="http://schemas.openxmlformats.org/officeDocument/2006/relationships/hyperlink" Target="http://www.acceptanceoflegitimacy.com/" TargetMode="External"/><Relationship Id="rId3813" Type="http://schemas.openxmlformats.org/officeDocument/2006/relationships/hyperlink" Target="https://pbs.twimg.com/media/Eu4cH_nXUAEPYmF.jpg" TargetMode="External"/><Relationship Id="rId527" Type="http://schemas.openxmlformats.org/officeDocument/2006/relationships/hyperlink" Target="https://themlrebellion.com/" TargetMode="External"/><Relationship Id="rId734" Type="http://schemas.openxmlformats.org/officeDocument/2006/relationships/hyperlink" Target="http://sstech.us/" TargetMode="External"/><Relationship Id="rId941" Type="http://schemas.openxmlformats.org/officeDocument/2006/relationships/hyperlink" Target="https://www.marketingmasterminds.org/2020/01/pros-cons-ai-pharma-industry.html" TargetMode="External"/><Relationship Id="rId1157" Type="http://schemas.openxmlformats.org/officeDocument/2006/relationships/hyperlink" Target="https://contribute.towardsai.net/" TargetMode="External"/><Relationship Id="rId1364" Type="http://schemas.openxmlformats.org/officeDocument/2006/relationships/hyperlink" Target="https://strathprints.strath.ac.uk/75420/" TargetMode="External"/><Relationship Id="rId1571" Type="http://schemas.openxmlformats.org/officeDocument/2006/relationships/hyperlink" Target="https://pbs.twimg.com/media/Eu6iA7IWgAIEFpt.jpg" TargetMode="External"/><Relationship Id="rId2208" Type="http://schemas.openxmlformats.org/officeDocument/2006/relationships/hyperlink" Target="https://google.smh.re/1uX" TargetMode="External"/><Relationship Id="rId2415" Type="http://schemas.openxmlformats.org/officeDocument/2006/relationships/hyperlink" Target="https://www.visive.ai/" TargetMode="External"/><Relationship Id="rId2622" Type="http://schemas.openxmlformats.org/officeDocument/2006/relationships/hyperlink" Target="https://pbs.twimg.com/media/Eu5ukNTUUAEwytp.jpg" TargetMode="External"/><Relationship Id="rId70" Type="http://schemas.openxmlformats.org/officeDocument/2006/relationships/hyperlink" Target="https://pbs.twimg.com/media/Eu7hURFWYAMwiFR.jpg" TargetMode="External"/><Relationship Id="rId801" Type="http://schemas.openxmlformats.org/officeDocument/2006/relationships/hyperlink" Target="http://successanalytix.blogspot.com/" TargetMode="External"/><Relationship Id="rId1017" Type="http://schemas.openxmlformats.org/officeDocument/2006/relationships/hyperlink" Target="https://bit.ly/2ZK6uIy" TargetMode="External"/><Relationship Id="rId1224" Type="http://schemas.openxmlformats.org/officeDocument/2006/relationships/hyperlink" Target="https://www.youtube.com/watch?app=desktop&amp;v=9rfe5nXL05Q&amp;feature=youtu.be" TargetMode="External"/><Relationship Id="rId1431" Type="http://schemas.openxmlformats.org/officeDocument/2006/relationships/hyperlink" Target="https://buff.ly/2ZIMcPU" TargetMode="External"/><Relationship Id="rId3189" Type="http://schemas.openxmlformats.org/officeDocument/2006/relationships/hyperlink" Target="http://pic.twitter.com/HZ8rDPvm2t" TargetMode="External"/><Relationship Id="rId3396" Type="http://schemas.openxmlformats.org/officeDocument/2006/relationships/hyperlink" Target="https://neurons.ai/blog/news-stories/master-machine-learning-simple-linear-regression-from-scratch-with-python-by-dario-radecic/" TargetMode="External"/><Relationship Id="rId3049" Type="http://schemas.openxmlformats.org/officeDocument/2006/relationships/hyperlink" Target="https://contempediacom.blogspot.com/2021/02/deployment-of-machine-learning-models.html" TargetMode="External"/><Relationship Id="rId3256" Type="http://schemas.openxmlformats.org/officeDocument/2006/relationships/hyperlink" Target="http://pic.twitter.com/1DFfvP91VV" TargetMode="External"/><Relationship Id="rId3463" Type="http://schemas.openxmlformats.org/officeDocument/2006/relationships/hyperlink" Target="http://ipfconline.fr/contacts-eng.html" TargetMode="External"/><Relationship Id="rId177" Type="http://schemas.openxmlformats.org/officeDocument/2006/relationships/hyperlink" Target="https://twitter.com/tsuname/status/1362261057050353666" TargetMode="External"/><Relationship Id="rId384" Type="http://schemas.openxmlformats.org/officeDocument/2006/relationships/hyperlink" Target="https://pbs.twimg.com/media/Eu7UUf2WgAgVkrg.jpg" TargetMode="External"/><Relationship Id="rId591" Type="http://schemas.openxmlformats.org/officeDocument/2006/relationships/hyperlink" Target="https://www.gamuts.net/" TargetMode="External"/><Relationship Id="rId2065" Type="http://schemas.openxmlformats.org/officeDocument/2006/relationships/hyperlink" Target="https://www.journeyhero.net/technology/" TargetMode="External"/><Relationship Id="rId2272" Type="http://schemas.openxmlformats.org/officeDocument/2006/relationships/hyperlink" Target="http://myrest.ai/" TargetMode="External"/><Relationship Id="rId3116" Type="http://schemas.openxmlformats.org/officeDocument/2006/relationships/hyperlink" Target="http://www.awakenai.org/" TargetMode="External"/><Relationship Id="rId3670" Type="http://schemas.openxmlformats.org/officeDocument/2006/relationships/hyperlink" Target="https://stuf.in/b54xy5" TargetMode="External"/><Relationship Id="rId244" Type="http://schemas.openxmlformats.org/officeDocument/2006/relationships/hyperlink" Target="https://bit.ly/3keV4G4" TargetMode="External"/><Relationship Id="rId1081" Type="http://schemas.openxmlformats.org/officeDocument/2006/relationships/hyperlink" Target="https://medium.com/zetane-blog/newly-patented-method-to-make-ai-development-more-efficient-using-new-format-to-represent-data-23e6e9090b11" TargetMode="External"/><Relationship Id="rId3323" Type="http://schemas.openxmlformats.org/officeDocument/2006/relationships/hyperlink" Target="https://fluxinsights.co.uk/" TargetMode="External"/><Relationship Id="rId3530" Type="http://schemas.openxmlformats.org/officeDocument/2006/relationships/hyperlink" Target="https://bit.ly/3unEjx7" TargetMode="External"/><Relationship Id="rId451" Type="http://schemas.openxmlformats.org/officeDocument/2006/relationships/hyperlink" Target="https://ca.linkedin.com/in/mikedewaal" TargetMode="External"/><Relationship Id="rId2132" Type="http://schemas.openxmlformats.org/officeDocument/2006/relationships/hyperlink" Target="https://pbs.twimg.com/media/Eu6HDGVXcAAC8ds.jpg" TargetMode="External"/><Relationship Id="rId104" Type="http://schemas.openxmlformats.org/officeDocument/2006/relationships/hyperlink" Target="https://pbs.twimg.com/media/Eu7gEngXMAQR6cH.jpg" TargetMode="External"/><Relationship Id="rId311" Type="http://schemas.openxmlformats.org/officeDocument/2006/relationships/hyperlink" Target="http://www.neuzida.com/" TargetMode="External"/><Relationship Id="rId1898" Type="http://schemas.openxmlformats.org/officeDocument/2006/relationships/hyperlink" Target="https://www.linkedin.com/in/pratimdas/" TargetMode="External"/><Relationship Id="rId2949" Type="http://schemas.openxmlformats.org/officeDocument/2006/relationships/hyperlink" Target="https://www.deposy.org/en/" TargetMode="External"/><Relationship Id="rId4097" Type="http://schemas.openxmlformats.org/officeDocument/2006/relationships/hyperlink" Target="http://linkedin.com/in/travissari" TargetMode="External"/><Relationship Id="rId1758" Type="http://schemas.openxmlformats.org/officeDocument/2006/relationships/hyperlink" Target="http://catedratelefonica.unex.es/" TargetMode="External"/><Relationship Id="rId2809" Type="http://schemas.openxmlformats.org/officeDocument/2006/relationships/hyperlink" Target="http://www.mbitschool.com/" TargetMode="External"/><Relationship Id="rId4164" Type="http://schemas.openxmlformats.org/officeDocument/2006/relationships/hyperlink" Target="http://pic.twitter.com/QUwGcNxBlp" TargetMode="External"/><Relationship Id="rId1965" Type="http://schemas.openxmlformats.org/officeDocument/2006/relationships/hyperlink" Target="https://www.meetup.com/Fintech_AI_in_Finance/events/276536449/?isFirstPublish=true" TargetMode="External"/><Relationship Id="rId3180" Type="http://schemas.openxmlformats.org/officeDocument/2006/relationships/hyperlink" Target="https://choyou.com/" TargetMode="External"/><Relationship Id="rId4024" Type="http://schemas.openxmlformats.org/officeDocument/2006/relationships/hyperlink" Target="http://www.heliosantos.org/" TargetMode="External"/><Relationship Id="rId4231" Type="http://schemas.openxmlformats.org/officeDocument/2006/relationships/hyperlink" Target="https://opsmtrs.com/3hcuomY" TargetMode="External"/><Relationship Id="rId1618" Type="http://schemas.openxmlformats.org/officeDocument/2006/relationships/hyperlink" Target="https://linktr.ee/RonaldvanLoon" TargetMode="External"/><Relationship Id="rId1825" Type="http://schemas.openxmlformats.org/officeDocument/2006/relationships/hyperlink" Target="https://venturebeat.com/2021/02/23/sciencelogic-raises-105-million-to-grow-its-aiops-platform/?utm_source=dlvr.it&amp;utm_medium=twitter" TargetMode="External"/><Relationship Id="rId3040" Type="http://schemas.openxmlformats.org/officeDocument/2006/relationships/hyperlink" Target="https://bit.ly/37DurWr" TargetMode="External"/><Relationship Id="rId3997" Type="http://schemas.openxmlformats.org/officeDocument/2006/relationships/hyperlink" Target="https://zpy.io/52685620" TargetMode="External"/><Relationship Id="rId2599" Type="http://schemas.openxmlformats.org/officeDocument/2006/relationships/hyperlink" Target="https://www.weforum.org/agenda/2021/02/we-need-to-talk-about-artificial-intelligence/" TargetMode="External"/><Relationship Id="rId3857" Type="http://schemas.openxmlformats.org/officeDocument/2006/relationships/hyperlink" Target="https://lnkd.in/gyzRiTe" TargetMode="External"/><Relationship Id="rId778" Type="http://schemas.openxmlformats.org/officeDocument/2006/relationships/hyperlink" Target="https://www.labellerr.com/" TargetMode="External"/><Relationship Id="rId985" Type="http://schemas.openxmlformats.org/officeDocument/2006/relationships/hyperlink" Target="https://pbs.twimg.com/media/Eu68XWzWYAAPlgs.jpg" TargetMode="External"/><Relationship Id="rId2459" Type="http://schemas.openxmlformats.org/officeDocument/2006/relationships/hyperlink" Target="http://neurons.ai/" TargetMode="External"/><Relationship Id="rId2666" Type="http://schemas.openxmlformats.org/officeDocument/2006/relationships/hyperlink" Target="http://www.jadirectives.com/" TargetMode="External"/><Relationship Id="rId2873" Type="http://schemas.openxmlformats.org/officeDocument/2006/relationships/hyperlink" Target="https://twitter.com/Theslimevids/status/1359545720898945030" TargetMode="External"/><Relationship Id="rId3717" Type="http://schemas.openxmlformats.org/officeDocument/2006/relationships/hyperlink" Target="https://pbs.twimg.com/media/Eu4lHZnUcAkkORD.jpg" TargetMode="External"/><Relationship Id="rId3924" Type="http://schemas.openxmlformats.org/officeDocument/2006/relationships/hyperlink" Target="https://pbs.twimg.com/media/Eu4EdwLUUAgNM_m.jpg" TargetMode="External"/><Relationship Id="rId638" Type="http://schemas.openxmlformats.org/officeDocument/2006/relationships/hyperlink" Target="https://buff.ly/3qs1NyT" TargetMode="External"/><Relationship Id="rId845" Type="http://schemas.openxmlformats.org/officeDocument/2006/relationships/hyperlink" Target="https://amzn.to/3bwcCtp" TargetMode="External"/><Relationship Id="rId1268" Type="http://schemas.openxmlformats.org/officeDocument/2006/relationships/hyperlink" Target="https://link.medium.com/VrjNtsE26db" TargetMode="External"/><Relationship Id="rId1475" Type="http://schemas.openxmlformats.org/officeDocument/2006/relationships/hyperlink" Target="https://www.jucktion.com/" TargetMode="External"/><Relationship Id="rId1682" Type="http://schemas.openxmlformats.org/officeDocument/2006/relationships/hyperlink" Target="https://buff.ly/38LWILy" TargetMode="External"/><Relationship Id="rId2319" Type="http://schemas.openxmlformats.org/officeDocument/2006/relationships/hyperlink" Target="https://www.geospatialworld.net/blogs/challenges-of-using-machine-learning-on-earth-observation-data/" TargetMode="External"/><Relationship Id="rId2526" Type="http://schemas.openxmlformats.org/officeDocument/2006/relationships/hyperlink" Target="https://bit.ly/37rxJvM" TargetMode="External"/><Relationship Id="rId2733" Type="http://schemas.openxmlformats.org/officeDocument/2006/relationships/hyperlink" Target="http://successanalytix.blogspot.com/" TargetMode="External"/><Relationship Id="rId705" Type="http://schemas.openxmlformats.org/officeDocument/2006/relationships/hyperlink" Target="https://lityx.com/" TargetMode="External"/><Relationship Id="rId1128" Type="http://schemas.openxmlformats.org/officeDocument/2006/relationships/hyperlink" Target="http://www.linkedin.com/in/kirkdborne" TargetMode="External"/><Relationship Id="rId1335" Type="http://schemas.openxmlformats.org/officeDocument/2006/relationships/hyperlink" Target="https://youtu.be/DNK58fP1C3Q" TargetMode="External"/><Relationship Id="rId1542" Type="http://schemas.openxmlformats.org/officeDocument/2006/relationships/hyperlink" Target="http://bit.ly/2IeFGbc" TargetMode="External"/><Relationship Id="rId2940" Type="http://schemas.openxmlformats.org/officeDocument/2006/relationships/hyperlink" Target="https://zcu.io/e0XO" TargetMode="External"/><Relationship Id="rId912" Type="http://schemas.openxmlformats.org/officeDocument/2006/relationships/hyperlink" Target="https://babin-business-consulting.com/blog" TargetMode="External"/><Relationship Id="rId2800" Type="http://schemas.openxmlformats.org/officeDocument/2006/relationships/hyperlink" Target="https://openinnovation.bbva.com/" TargetMode="External"/><Relationship Id="rId41" Type="http://schemas.openxmlformats.org/officeDocument/2006/relationships/hyperlink" Target="https://pbs.twimg.com/media/Eu7iyxiWYAEc5tl.png" TargetMode="External"/><Relationship Id="rId1402" Type="http://schemas.openxmlformats.org/officeDocument/2006/relationships/hyperlink" Target="http://www.efipylarinou.com/" TargetMode="External"/><Relationship Id="rId288" Type="http://schemas.openxmlformats.org/officeDocument/2006/relationships/hyperlink" Target="http://pic.twitter.com/8mqslBmYa9" TargetMode="External"/><Relationship Id="rId3367" Type="http://schemas.openxmlformats.org/officeDocument/2006/relationships/hyperlink" Target="https://www.techved.com/tv/" TargetMode="External"/><Relationship Id="rId3574" Type="http://schemas.openxmlformats.org/officeDocument/2006/relationships/hyperlink" Target="http://pic.twitter.com/aaHwBGQcgm" TargetMode="External"/><Relationship Id="rId3781" Type="http://schemas.openxmlformats.org/officeDocument/2006/relationships/hyperlink" Target="http://pic.twitter.com/oxihw2s79v" TargetMode="External"/><Relationship Id="rId495" Type="http://schemas.openxmlformats.org/officeDocument/2006/relationships/hyperlink" Target="https://www.improvethenews.org/index.php" TargetMode="External"/><Relationship Id="rId2176" Type="http://schemas.openxmlformats.org/officeDocument/2006/relationships/hyperlink" Target="https://zegami.com/blog/nhs-accountable-ai-lifecycle-management" TargetMode="External"/><Relationship Id="rId2383" Type="http://schemas.openxmlformats.org/officeDocument/2006/relationships/hyperlink" Target="http://www.eduonix.com/" TargetMode="External"/><Relationship Id="rId2590" Type="http://schemas.openxmlformats.org/officeDocument/2006/relationships/hyperlink" Target="https://www.reddit.com/r/MachineLearning/comments/lqdzzo/how_to_control_emotions_when_doing_research_d/" TargetMode="External"/><Relationship Id="rId3227" Type="http://schemas.openxmlformats.org/officeDocument/2006/relationships/hyperlink" Target="https://pbs.twimg.com/media/Eu5PHPLVcAAwON8.jpg" TargetMode="External"/><Relationship Id="rId3434" Type="http://schemas.openxmlformats.org/officeDocument/2006/relationships/hyperlink" Target="http://beyond-machine.com/" TargetMode="External"/><Relationship Id="rId3641" Type="http://schemas.openxmlformats.org/officeDocument/2006/relationships/hyperlink" Target="https://ift.tt/2ZE3oWr" TargetMode="External"/><Relationship Id="rId148" Type="http://schemas.openxmlformats.org/officeDocument/2006/relationships/hyperlink" Target="http://www.awakenai.org/" TargetMode="External"/><Relationship Id="rId355" Type="http://schemas.openxmlformats.org/officeDocument/2006/relationships/hyperlink" Target="http://www.measimba.ac.in/" TargetMode="External"/><Relationship Id="rId562" Type="http://schemas.openxmlformats.org/officeDocument/2006/relationships/hyperlink" Target="https://rt.guru/i/v/hf0g87jv1N" TargetMode="External"/><Relationship Id="rId1192" Type="http://schemas.openxmlformats.org/officeDocument/2006/relationships/hyperlink" Target="https://github.com/benedekrozemberczki/pytorch_geometric_temporal" TargetMode="External"/><Relationship Id="rId2036" Type="http://schemas.openxmlformats.org/officeDocument/2006/relationships/hyperlink" Target="https://lnkd.in/e-zHzJT" TargetMode="External"/><Relationship Id="rId2243" Type="http://schemas.openxmlformats.org/officeDocument/2006/relationships/hyperlink" Target="https://openstatistics.org/" TargetMode="External"/><Relationship Id="rId2450" Type="http://schemas.openxmlformats.org/officeDocument/2006/relationships/hyperlink" Target="https://neurons.ai/blog/news-stories/machine-learning-data-catalog-software-market-by-top-key-players-such-as-ibm-alation-oracle/" TargetMode="External"/><Relationship Id="rId3501" Type="http://schemas.openxmlformats.org/officeDocument/2006/relationships/hyperlink" Target="https://deepai.org/this-week-in-ai" TargetMode="External"/><Relationship Id="rId215" Type="http://schemas.openxmlformats.org/officeDocument/2006/relationships/hyperlink" Target="https://www.royalvoxpost.com/" TargetMode="External"/><Relationship Id="rId422" Type="http://schemas.openxmlformats.org/officeDocument/2006/relationships/hyperlink" Target="https://venturebeat.com/2021/02/23/saltmine-raises-20-million-to-automate-office-space-design/" TargetMode="External"/><Relationship Id="rId1052" Type="http://schemas.openxmlformats.org/officeDocument/2006/relationships/hyperlink" Target="http://lindsaywarrenburg.com/" TargetMode="External"/><Relationship Id="rId2103" Type="http://schemas.openxmlformats.org/officeDocument/2006/relationships/hyperlink" Target="https://pbs.twimg.com/media/Eu6JHlsU4AMkILl.jpg" TargetMode="External"/><Relationship Id="rId2310" Type="http://schemas.openxmlformats.org/officeDocument/2006/relationships/hyperlink" Target="https://pbs.twimg.com/media/Eu5-2nhVkAEQZb6.jpg" TargetMode="External"/><Relationship Id="rId4068" Type="http://schemas.openxmlformats.org/officeDocument/2006/relationships/hyperlink" Target="http://www.qs2point.com/" TargetMode="External"/><Relationship Id="rId4275" Type="http://schemas.openxmlformats.org/officeDocument/2006/relationships/hyperlink" Target="https://pbs.twimg.com/media/Eu3pyJCVkAAU9Mf.png" TargetMode="External"/><Relationship Id="rId1869" Type="http://schemas.openxmlformats.org/officeDocument/2006/relationships/hyperlink" Target="https://pbs.twimg.com/media/Eu6UXUHXcAg7Hq5.jpg" TargetMode="External"/><Relationship Id="rId3084" Type="http://schemas.openxmlformats.org/officeDocument/2006/relationships/hyperlink" Target="http://www.awakenai.org/" TargetMode="External"/><Relationship Id="rId3291" Type="http://schemas.openxmlformats.org/officeDocument/2006/relationships/hyperlink" Target="https://bit.ly/3swB9FV" TargetMode="External"/><Relationship Id="rId4135" Type="http://schemas.openxmlformats.org/officeDocument/2006/relationships/hyperlink" Target="http://ow.ly/OJtp50DFWS0" TargetMode="External"/><Relationship Id="rId1729" Type="http://schemas.openxmlformats.org/officeDocument/2006/relationships/hyperlink" Target="https://pbs.twimg.com/media/Eu6bMNWXUAEVjSr.jpg" TargetMode="External"/><Relationship Id="rId1936" Type="http://schemas.openxmlformats.org/officeDocument/2006/relationships/hyperlink" Target="https://techflx.com/product-category/books/" TargetMode="External"/><Relationship Id="rId3151" Type="http://schemas.openxmlformats.org/officeDocument/2006/relationships/hyperlink" Target="https://www.bbi.fi/" TargetMode="External"/><Relationship Id="rId4202" Type="http://schemas.openxmlformats.org/officeDocument/2006/relationships/hyperlink" Target="https://publichealth.berkeley.edu/academics/online/online-mph/" TargetMode="External"/><Relationship Id="rId3011" Type="http://schemas.openxmlformats.org/officeDocument/2006/relationships/hyperlink" Target="https://bit.ly/2Zxqn5M" TargetMode="External"/><Relationship Id="rId3968" Type="http://schemas.openxmlformats.org/officeDocument/2006/relationships/hyperlink" Target="https://aviationbusinessconsultants.com/free-aviation-marketing-tip-sheets/" TargetMode="External"/><Relationship Id="rId5" Type="http://schemas.openxmlformats.org/officeDocument/2006/relationships/hyperlink" Target="https://bit.ly/3aH8dEW" TargetMode="External"/><Relationship Id="rId889" Type="http://schemas.openxmlformats.org/officeDocument/2006/relationships/hyperlink" Target="http://www.revistabyte.es/" TargetMode="External"/><Relationship Id="rId2777" Type="http://schemas.openxmlformats.org/officeDocument/2006/relationships/hyperlink" Target="https://pbs.twimg.com/media/Eu5lXenXUAAhc94.jpg" TargetMode="External"/><Relationship Id="rId749" Type="http://schemas.openxmlformats.org/officeDocument/2006/relationships/hyperlink" Target="https://bit.ly/37FDqGB" TargetMode="External"/><Relationship Id="rId1379" Type="http://schemas.openxmlformats.org/officeDocument/2006/relationships/hyperlink" Target="https://www.nexsoftsys.com/articles/reduce-time-complexity-using-joblib-in-python.html" TargetMode="External"/><Relationship Id="rId1586" Type="http://schemas.openxmlformats.org/officeDocument/2006/relationships/hyperlink" Target="https://www.information-age.com/" TargetMode="External"/><Relationship Id="rId2984" Type="http://schemas.openxmlformats.org/officeDocument/2006/relationships/hyperlink" Target="https://bit.ly/37Cqq4I" TargetMode="External"/><Relationship Id="rId3828" Type="http://schemas.openxmlformats.org/officeDocument/2006/relationships/hyperlink" Target="https://pbs.twimg.com/media/Eu4Z4LvWQAEoH-7.jpg" TargetMode="External"/><Relationship Id="rId609" Type="http://schemas.openxmlformats.org/officeDocument/2006/relationships/hyperlink" Target="https://www.bluetrain.co.uk/" TargetMode="External"/><Relationship Id="rId956" Type="http://schemas.openxmlformats.org/officeDocument/2006/relationships/hyperlink" Target="http://alerttrade.us/" TargetMode="External"/><Relationship Id="rId1239" Type="http://schemas.openxmlformats.org/officeDocument/2006/relationships/hyperlink" Target="https://pbs.twimg.com/media/Eu6xV4dVcAQZsaA.jpg" TargetMode="External"/><Relationship Id="rId1793" Type="http://schemas.openxmlformats.org/officeDocument/2006/relationships/hyperlink" Target="https://brianthomas.me/" TargetMode="External"/><Relationship Id="rId2637" Type="http://schemas.openxmlformats.org/officeDocument/2006/relationships/hyperlink" Target="https://www.reddit.com/r/MachineLearning/comments/lq3bbd/r_realtime_highresolution_background_matting/?utm_source=dlvr.it&amp;utm_medium=twitter" TargetMode="External"/><Relationship Id="rId2844" Type="http://schemas.openxmlformats.org/officeDocument/2006/relationships/hyperlink" Target="https://pubs.acs.org/doi/10.1021/acs.jcim.9b01057" TargetMode="External"/><Relationship Id="rId85" Type="http://schemas.openxmlformats.org/officeDocument/2006/relationships/hyperlink" Target="https://bit.ly/3umoSFE" TargetMode="External"/><Relationship Id="rId816" Type="http://schemas.openxmlformats.org/officeDocument/2006/relationships/hyperlink" Target="http://neurons.ai/" TargetMode="External"/><Relationship Id="rId1446" Type="http://schemas.openxmlformats.org/officeDocument/2006/relationships/hyperlink" Target="https://www.facebook.com/couponn" TargetMode="External"/><Relationship Id="rId1653" Type="http://schemas.openxmlformats.org/officeDocument/2006/relationships/hyperlink" Target="http://www.epistasis.org/" TargetMode="External"/><Relationship Id="rId1860" Type="http://schemas.openxmlformats.org/officeDocument/2006/relationships/hyperlink" Target="https://pbs.twimg.com/media/Eu6Ug6MXAAI_JkB.png" TargetMode="External"/><Relationship Id="rId2704" Type="http://schemas.openxmlformats.org/officeDocument/2006/relationships/hyperlink" Target="https://tnw.to/8Au8i" TargetMode="External"/><Relationship Id="rId2911" Type="http://schemas.openxmlformats.org/officeDocument/2006/relationships/hyperlink" Target="https://pub.towardsai.net/tensorflow-accelerate-numpy-with-gpus-964e9087fdab" TargetMode="External"/><Relationship Id="rId1306" Type="http://schemas.openxmlformats.org/officeDocument/2006/relationships/hyperlink" Target="https://reconshell.com/best-chatbot-frameworks-to-build-powerful-ai-bots/" TargetMode="External"/><Relationship Id="rId1513" Type="http://schemas.openxmlformats.org/officeDocument/2006/relationships/hyperlink" Target="http://7wdata.be/" TargetMode="External"/><Relationship Id="rId1720" Type="http://schemas.openxmlformats.org/officeDocument/2006/relationships/hyperlink" Target="https://pbs.twimg.com/media/Eu6bOrIWYAYCxkh.jpg" TargetMode="External"/><Relationship Id="rId12" Type="http://schemas.openxmlformats.org/officeDocument/2006/relationships/hyperlink" Target="http://www.marktechpost.com/" TargetMode="External"/><Relationship Id="rId3478" Type="http://schemas.openxmlformats.org/officeDocument/2006/relationships/hyperlink" Target="https://www.kdnuggets.com/2021/02/dont-need-data-scientists-need-data-engineers.html" TargetMode="External"/><Relationship Id="rId3685" Type="http://schemas.openxmlformats.org/officeDocument/2006/relationships/hyperlink" Target="https://pbs.twimg.com/media/Eu4nvt6VgAQvr6E.jpg" TargetMode="External"/><Relationship Id="rId3892" Type="http://schemas.openxmlformats.org/officeDocument/2006/relationships/hyperlink" Target="https://pbs.twimg.com/media/Eu4R1aHXAAkdrD8.jpg" TargetMode="External"/><Relationship Id="rId399" Type="http://schemas.openxmlformats.org/officeDocument/2006/relationships/hyperlink" Target="https://www.theinsaneapp.com/2021/02/types-of-machine-learning-algorithms.html" TargetMode="External"/><Relationship Id="rId2287" Type="http://schemas.openxmlformats.org/officeDocument/2006/relationships/hyperlink" Target="http://ow.ly/SsDZ50DD6R8" TargetMode="External"/><Relationship Id="rId2494" Type="http://schemas.openxmlformats.org/officeDocument/2006/relationships/hyperlink" Target="https://pbs.twimg.com/media/Eu5zqiaXAAQH3X1.jpg" TargetMode="External"/><Relationship Id="rId3338" Type="http://schemas.openxmlformats.org/officeDocument/2006/relationships/hyperlink" Target="http://www.heptagon.in/" TargetMode="External"/><Relationship Id="rId3545" Type="http://schemas.openxmlformats.org/officeDocument/2006/relationships/hyperlink" Target="https://pbs.twimg.com/media/Eu40eudWgAEysTc.jpg" TargetMode="External"/><Relationship Id="rId3752" Type="http://schemas.openxmlformats.org/officeDocument/2006/relationships/hyperlink" Target="http://ecptonline.com/" TargetMode="External"/><Relationship Id="rId259" Type="http://schemas.openxmlformats.org/officeDocument/2006/relationships/hyperlink" Target="https://paullopez.ai/" TargetMode="External"/><Relationship Id="rId466" Type="http://schemas.openxmlformats.org/officeDocument/2006/relationships/hyperlink" Target="https://www.fiverr.com/share/AYW5vR" TargetMode="External"/><Relationship Id="rId673" Type="http://schemas.openxmlformats.org/officeDocument/2006/relationships/hyperlink" Target="https://pbs.twimg.com/media/Eu7Jj3YXMAMpR8i.jpg" TargetMode="External"/><Relationship Id="rId880" Type="http://schemas.openxmlformats.org/officeDocument/2006/relationships/hyperlink" Target="https://morioh.com/p/8e9d9d4161c5?f=5c21fb01c16e2556b555ab32" TargetMode="External"/><Relationship Id="rId1096" Type="http://schemas.openxmlformats.org/officeDocument/2006/relationships/hyperlink" Target="http://www.cancerletter.com/" TargetMode="External"/><Relationship Id="rId2147" Type="http://schemas.openxmlformats.org/officeDocument/2006/relationships/hyperlink" Target="http://www.smebook.eu/" TargetMode="External"/><Relationship Id="rId2354" Type="http://schemas.openxmlformats.org/officeDocument/2006/relationships/hyperlink" Target="http://bva-group.com/" TargetMode="External"/><Relationship Id="rId2561" Type="http://schemas.openxmlformats.org/officeDocument/2006/relationships/hyperlink" Target="http://technative.io/" TargetMode="External"/><Relationship Id="rId3405" Type="http://schemas.openxmlformats.org/officeDocument/2006/relationships/hyperlink" Target="https://bit.ly/2LG3fhC" TargetMode="External"/><Relationship Id="rId119" Type="http://schemas.openxmlformats.org/officeDocument/2006/relationships/hyperlink" Target="https://pbs.twimg.com/media/Eu7f8T1XcAgicSv.jpg" TargetMode="External"/><Relationship Id="rId326" Type="http://schemas.openxmlformats.org/officeDocument/2006/relationships/hyperlink" Target="https://codewithmosh.com/?affcode=146684_8qgz9mhy" TargetMode="External"/><Relationship Id="rId533" Type="http://schemas.openxmlformats.org/officeDocument/2006/relationships/hyperlink" Target="https://twitter.com/fayezsalka/status/1362784193458147330" TargetMode="External"/><Relationship Id="rId1163" Type="http://schemas.openxmlformats.org/officeDocument/2006/relationships/hyperlink" Target="https://www.netcarreiras.com.br/curriculo-suprimentos-114295" TargetMode="External"/><Relationship Id="rId1370" Type="http://schemas.openxmlformats.org/officeDocument/2006/relationships/hyperlink" Target="https://www.flyingeze.com/" TargetMode="External"/><Relationship Id="rId2007" Type="http://schemas.openxmlformats.org/officeDocument/2006/relationships/hyperlink" Target="https://pbs.twimg.com/media/Eu6N1tbUYAc-byM.jpg" TargetMode="External"/><Relationship Id="rId2214" Type="http://schemas.openxmlformats.org/officeDocument/2006/relationships/hyperlink" Target="https://www.radwell.co.uk/" TargetMode="External"/><Relationship Id="rId3612" Type="http://schemas.openxmlformats.org/officeDocument/2006/relationships/hyperlink" Target="http://bigml.com/" TargetMode="External"/><Relationship Id="rId740" Type="http://schemas.openxmlformats.org/officeDocument/2006/relationships/hyperlink" Target="https://pbs.twimg.com/media/Eu7GbUvVEAQu23q.jpg" TargetMode="External"/><Relationship Id="rId1023" Type="http://schemas.openxmlformats.org/officeDocument/2006/relationships/hyperlink" Target="http://pic.twitter.com/zMvbOFMDqk" TargetMode="External"/><Relationship Id="rId2421" Type="http://schemas.openxmlformats.org/officeDocument/2006/relationships/hyperlink" Target="http://www.decidesoluciones.es/" TargetMode="External"/><Relationship Id="rId4179" Type="http://schemas.openxmlformats.org/officeDocument/2006/relationships/hyperlink" Target="https://ai-summary.com/summary-a-quick-guide-to-managing-machine-learning-experiments/?utm_medium=social-organic&amp;utm_source=twitter" TargetMode="External"/><Relationship Id="rId600" Type="http://schemas.openxmlformats.org/officeDocument/2006/relationships/hyperlink" Target="https://singularityhub.com/2021/01/12/meet-assembloids-mini-human-brains-with-muscles-attached" TargetMode="External"/><Relationship Id="rId1230" Type="http://schemas.openxmlformats.org/officeDocument/2006/relationships/hyperlink" Target="https://dy.si/PUaHZ" TargetMode="External"/><Relationship Id="rId3195" Type="http://schemas.openxmlformats.org/officeDocument/2006/relationships/hyperlink" Target="http://dlvr.it/RtHVD3" TargetMode="External"/><Relationship Id="rId4039" Type="http://schemas.openxmlformats.org/officeDocument/2006/relationships/hyperlink" Target="https://superdigital.agency/" TargetMode="External"/><Relationship Id="rId4246" Type="http://schemas.openxmlformats.org/officeDocument/2006/relationships/hyperlink" Target="http://pic.twitter.com/hfPk9nRBoi" TargetMode="External"/><Relationship Id="rId3055" Type="http://schemas.openxmlformats.org/officeDocument/2006/relationships/hyperlink" Target="http://bit.ly/2NVxbrh" TargetMode="External"/><Relationship Id="rId3262" Type="http://schemas.openxmlformats.org/officeDocument/2006/relationships/hyperlink" Target="https://pbs.twimg.com/media/Eu5NOPOUcAENyVc.jpg" TargetMode="External"/><Relationship Id="rId4106" Type="http://schemas.openxmlformats.org/officeDocument/2006/relationships/hyperlink" Target="http://pic.twitter.com/FUwV27Stil" TargetMode="External"/><Relationship Id="rId183" Type="http://schemas.openxmlformats.org/officeDocument/2006/relationships/hyperlink" Target="https://buff.ly/3k91dDM" TargetMode="External"/><Relationship Id="rId390" Type="http://schemas.openxmlformats.org/officeDocument/2006/relationships/hyperlink" Target="https://pub.towardsai.net/roi-based-hybrid-lossy-and-lossless-image-compression-a73ce6f9d2ea?source=rss----98111c9905da---4?source=social.tw" TargetMode="External"/><Relationship Id="rId1907" Type="http://schemas.openxmlformats.org/officeDocument/2006/relationships/hyperlink" Target="https://pbs.twimg.com/media/Eu6TBthXUAADA3i.jpg" TargetMode="External"/><Relationship Id="rId2071" Type="http://schemas.openxmlformats.org/officeDocument/2006/relationships/hyperlink" Target="http://www.metia.com/" TargetMode="External"/><Relationship Id="rId3122" Type="http://schemas.openxmlformats.org/officeDocument/2006/relationships/hyperlink" Target="https://arxiv.org/abs/2102.10556v1" TargetMode="External"/><Relationship Id="rId250" Type="http://schemas.openxmlformats.org/officeDocument/2006/relationships/hyperlink" Target="https://datascienceplus.com/find-the-best-predictive-model-using-r-caret-package-modelgrid/" TargetMode="External"/><Relationship Id="rId110" Type="http://schemas.openxmlformats.org/officeDocument/2006/relationships/hyperlink" Target="http://www.parolaanalytics.com/" TargetMode="External"/><Relationship Id="rId2888" Type="http://schemas.openxmlformats.org/officeDocument/2006/relationships/hyperlink" Target="https://pbs.twimg.com/media/Eu5h_jmXEAACdq4.jpg" TargetMode="External"/><Relationship Id="rId3939" Type="http://schemas.openxmlformats.org/officeDocument/2006/relationships/hyperlink" Target="https://www.netcarreiras.com.br/" TargetMode="External"/><Relationship Id="rId1697" Type="http://schemas.openxmlformats.org/officeDocument/2006/relationships/hyperlink" Target="https://internetofthingsagenda.techtarget.com/tip/How-to-implement-edge-computing-in-5-steps" TargetMode="External"/><Relationship Id="rId2748" Type="http://schemas.openxmlformats.org/officeDocument/2006/relationships/hyperlink" Target="http://pic.twitter.com/kJakfAdmoY" TargetMode="External"/><Relationship Id="rId2955" Type="http://schemas.openxmlformats.org/officeDocument/2006/relationships/hyperlink" Target="https://pbs.twimg.com/media/Eu5fJGwXcAATGDK.jpg" TargetMode="External"/><Relationship Id="rId927" Type="http://schemas.openxmlformats.org/officeDocument/2006/relationships/hyperlink" Target="http://ow.ly/6eSw50DHjbl" TargetMode="External"/><Relationship Id="rId1557" Type="http://schemas.openxmlformats.org/officeDocument/2006/relationships/hyperlink" Target="https://www.quytech.com/on-demand-mobile-app/food-delivery-app-development.php" TargetMode="External"/><Relationship Id="rId1764" Type="http://schemas.openxmlformats.org/officeDocument/2006/relationships/hyperlink" Target="https://ift.tt/3pGfLMo" TargetMode="External"/><Relationship Id="rId1971" Type="http://schemas.openxmlformats.org/officeDocument/2006/relationships/hyperlink" Target="http://ai-kernel.com/" TargetMode="External"/><Relationship Id="rId2608" Type="http://schemas.openxmlformats.org/officeDocument/2006/relationships/hyperlink" Target="https://buff.ly/3qtoLFH" TargetMode="External"/><Relationship Id="rId2815" Type="http://schemas.openxmlformats.org/officeDocument/2006/relationships/hyperlink" Target="https://pbs.twimg.com/media/Eu5kQW6WgAM0kDT.jpg" TargetMode="External"/><Relationship Id="rId4170" Type="http://schemas.openxmlformats.org/officeDocument/2006/relationships/hyperlink" Target="https://bit.ly/2NOyd8v" TargetMode="External"/><Relationship Id="rId56" Type="http://schemas.openxmlformats.org/officeDocument/2006/relationships/hyperlink" Target="http://www.awakenai.org/" TargetMode="External"/><Relationship Id="rId1417" Type="http://schemas.openxmlformats.org/officeDocument/2006/relationships/hyperlink" Target="https://www.ai2s.it/" TargetMode="External"/><Relationship Id="rId1624" Type="http://schemas.openxmlformats.org/officeDocument/2006/relationships/hyperlink" Target="https://www.linkedin.com/in/colinrbristow/" TargetMode="External"/><Relationship Id="rId1831" Type="http://schemas.openxmlformats.org/officeDocument/2006/relationships/hyperlink" Target="http://pic.twitter.com/DTw4PsgLED" TargetMode="External"/><Relationship Id="rId4030" Type="http://schemas.openxmlformats.org/officeDocument/2006/relationships/hyperlink" Target="https://machinelearningflx.com/" TargetMode="External"/><Relationship Id="rId3589" Type="http://schemas.openxmlformats.org/officeDocument/2006/relationships/hyperlink" Target="http://www.aiaustralia.org/" TargetMode="External"/><Relationship Id="rId3796" Type="http://schemas.openxmlformats.org/officeDocument/2006/relationships/hyperlink" Target="https://www.udemy.com/course/apache-spark-project-world-development-indicators-analytics/?couponCode=E5D9B6A233839E79CD4E" TargetMode="External"/><Relationship Id="rId2398" Type="http://schemas.openxmlformats.org/officeDocument/2006/relationships/hyperlink" Target="http://mentor.astonphotonics.uk/" TargetMode="External"/><Relationship Id="rId3449" Type="http://schemas.openxmlformats.org/officeDocument/2006/relationships/hyperlink" Target="https://pbs.twimg.com/media/Eu48dEkVIAAQsU-.jpg" TargetMode="External"/><Relationship Id="rId577" Type="http://schemas.openxmlformats.org/officeDocument/2006/relationships/hyperlink" Target="https://www.programming-hero.com/blog/index.html" TargetMode="External"/><Relationship Id="rId2258" Type="http://schemas.openxmlformats.org/officeDocument/2006/relationships/hyperlink" Target="https://pbs.twimg.com/media/Eu6AmnDU4AYRLn1.jpg" TargetMode="External"/><Relationship Id="rId3656" Type="http://schemas.openxmlformats.org/officeDocument/2006/relationships/hyperlink" Target="https://techflx.com/product-category/books/" TargetMode="External"/><Relationship Id="rId3863" Type="http://schemas.openxmlformats.org/officeDocument/2006/relationships/hyperlink" Target="https://www.linkedin.com/in/mpyllan/" TargetMode="External"/><Relationship Id="rId784" Type="http://schemas.openxmlformats.org/officeDocument/2006/relationships/hyperlink" Target="https://www.linkedin.com/in/eric-feuilleaubois-ph-d-43ab0925/" TargetMode="External"/><Relationship Id="rId991" Type="http://schemas.openxmlformats.org/officeDocument/2006/relationships/hyperlink" Target="https://linktr.ee/RonaldvanLoon" TargetMode="External"/><Relationship Id="rId1067" Type="http://schemas.openxmlformats.org/officeDocument/2006/relationships/hyperlink" Target="https://bit.ly/39jTHCJ" TargetMode="External"/><Relationship Id="rId2465" Type="http://schemas.openxmlformats.org/officeDocument/2006/relationships/hyperlink" Target="https://roboticsandautomationnews.com/2021/02/22/can-you-hack-ai-yes-and-deep-learning-is-being-used-to-both-attack-and-defend/40906/" TargetMode="External"/><Relationship Id="rId2672" Type="http://schemas.openxmlformats.org/officeDocument/2006/relationships/hyperlink" Target="http://pic.twitter.com/D16abAWtvJ" TargetMode="External"/><Relationship Id="rId3309" Type="http://schemas.openxmlformats.org/officeDocument/2006/relationships/hyperlink" Target="https://buff.ly/2ORGIjH" TargetMode="External"/><Relationship Id="rId3516" Type="http://schemas.openxmlformats.org/officeDocument/2006/relationships/hyperlink" Target="https://www.facebook.com/karry.watson.353" TargetMode="External"/><Relationship Id="rId3723" Type="http://schemas.openxmlformats.org/officeDocument/2006/relationships/hyperlink" Target="https://medium.com/nerd-for-tech/please-human-can-you-teach-me-how-to-ai-9b272920f16f?source=rss-------8-----------------artificial_intelligence" TargetMode="External"/><Relationship Id="rId3930" Type="http://schemas.openxmlformats.org/officeDocument/2006/relationships/hyperlink" Target="https://mindsdb.com/webinar-machine-learning-database/" TargetMode="External"/><Relationship Id="rId437" Type="http://schemas.openxmlformats.org/officeDocument/2006/relationships/hyperlink" Target="https://pbs.twimg.com/media/Eu7SPwTWgAcSeDk.jpg" TargetMode="External"/><Relationship Id="rId644" Type="http://schemas.openxmlformats.org/officeDocument/2006/relationships/hyperlink" Target="https://buff.ly/3q2EF9R" TargetMode="External"/><Relationship Id="rId851" Type="http://schemas.openxmlformats.org/officeDocument/2006/relationships/hyperlink" Target="https://towardsai.net/p" TargetMode="External"/><Relationship Id="rId1274" Type="http://schemas.openxmlformats.org/officeDocument/2006/relationships/hyperlink" Target="https://goo.gl/3TFrjv" TargetMode="External"/><Relationship Id="rId1481" Type="http://schemas.openxmlformats.org/officeDocument/2006/relationships/hyperlink" Target="http://www.newsfilecorp.com/" TargetMode="External"/><Relationship Id="rId2118" Type="http://schemas.openxmlformats.org/officeDocument/2006/relationships/hyperlink" Target="https://hindustantimes.com/ht-school/ai-and-robots-now-and-future-of-tech-101614063835866.html" TargetMode="External"/><Relationship Id="rId2325" Type="http://schemas.openxmlformats.org/officeDocument/2006/relationships/hyperlink" Target="http://pic.twitter.com/E583ZuPOEa" TargetMode="External"/><Relationship Id="rId2532" Type="http://schemas.openxmlformats.org/officeDocument/2006/relationships/hyperlink" Target="https://towardsdatascience.com/10-best-free-websites-to-learn-more-about-data-science-and-machine-learning-f2c6d7387b8d" TargetMode="External"/><Relationship Id="rId504" Type="http://schemas.openxmlformats.org/officeDocument/2006/relationships/hyperlink" Target="https://www.diggernaut.com/" TargetMode="External"/><Relationship Id="rId711" Type="http://schemas.openxmlformats.org/officeDocument/2006/relationships/hyperlink" Target="http://www.techvisor.nl/" TargetMode="External"/><Relationship Id="rId1134" Type="http://schemas.openxmlformats.org/officeDocument/2006/relationships/hyperlink" Target="https://srthespectator.wordpress.com/" TargetMode="External"/><Relationship Id="rId1341" Type="http://schemas.openxmlformats.org/officeDocument/2006/relationships/hyperlink" Target="https://narrasoft.com/how-will-augmented-reality-change-the-future-of-art/" TargetMode="External"/><Relationship Id="rId1201" Type="http://schemas.openxmlformats.org/officeDocument/2006/relationships/hyperlink" Target="https://dy.si/BCqkzX" TargetMode="External"/><Relationship Id="rId3099" Type="http://schemas.openxmlformats.org/officeDocument/2006/relationships/hyperlink" Target="https://catherinescareercorner.com/" TargetMode="External"/><Relationship Id="rId3166" Type="http://schemas.openxmlformats.org/officeDocument/2006/relationships/hyperlink" Target="https://neurons.ai/blog/news-stories/four-university-students-recognized-by-outstanding-undergraduate-researcher-awards/" TargetMode="External"/><Relationship Id="rId3373" Type="http://schemas.openxmlformats.org/officeDocument/2006/relationships/hyperlink" Target="http://www.kevinderman.com/" TargetMode="External"/><Relationship Id="rId3580" Type="http://schemas.openxmlformats.org/officeDocument/2006/relationships/hyperlink" Target="https://pbs.twimg.com/media/Eu4yV44VkAMSryV.jpg" TargetMode="External"/><Relationship Id="rId4217" Type="http://schemas.openxmlformats.org/officeDocument/2006/relationships/hyperlink" Target="https://buff.ly/36Jco0v" TargetMode="External"/><Relationship Id="rId294" Type="http://schemas.openxmlformats.org/officeDocument/2006/relationships/hyperlink" Target="https://tesseract.academy/7-tips-for-selecting-the-right-ai-vendor-for-your-business/" TargetMode="External"/><Relationship Id="rId2182" Type="http://schemas.openxmlformats.org/officeDocument/2006/relationships/hyperlink" Target="https://contentsimplicity.com/" TargetMode="External"/><Relationship Id="rId3026" Type="http://schemas.openxmlformats.org/officeDocument/2006/relationships/hyperlink" Target="https://youtu.be/mvKVyEihASc" TargetMode="External"/><Relationship Id="rId3233" Type="http://schemas.openxmlformats.org/officeDocument/2006/relationships/hyperlink" Target="http://www.camera-module.com/" TargetMode="External"/><Relationship Id="rId154" Type="http://schemas.openxmlformats.org/officeDocument/2006/relationships/hyperlink" Target="https://sites.google.com/view/21enohpi/home" TargetMode="External"/><Relationship Id="rId361" Type="http://schemas.openxmlformats.org/officeDocument/2006/relationships/hyperlink" Target="https://pbs.twimg.com/media/Eu7VCIJXIAAQquI.jpg" TargetMode="External"/><Relationship Id="rId2042" Type="http://schemas.openxmlformats.org/officeDocument/2006/relationships/hyperlink" Target="http://www.linkedin.com/in/sajid-mirza1" TargetMode="External"/><Relationship Id="rId3440" Type="http://schemas.openxmlformats.org/officeDocument/2006/relationships/hyperlink" Target="https://spectrum.ieee.org/automaton/robotics/drones/folding-drone-can-drop-into-inaccessible-mines" TargetMode="External"/><Relationship Id="rId2999" Type="http://schemas.openxmlformats.org/officeDocument/2006/relationships/hyperlink" Target="http://designnation.in/" TargetMode="External"/><Relationship Id="rId3300" Type="http://schemas.openxmlformats.org/officeDocument/2006/relationships/hyperlink" Target="https://choyou.com/" TargetMode="External"/><Relationship Id="rId221" Type="http://schemas.openxmlformats.org/officeDocument/2006/relationships/hyperlink" Target="http://pic.twitter.com/84R8CP39nu" TargetMode="External"/><Relationship Id="rId2859" Type="http://schemas.openxmlformats.org/officeDocument/2006/relationships/hyperlink" Target="https://www.linkedin.com/in/iainljbrown/" TargetMode="External"/><Relationship Id="rId1668" Type="http://schemas.openxmlformats.org/officeDocument/2006/relationships/hyperlink" Target="https://pub.towardsai.net/" TargetMode="External"/><Relationship Id="rId1875" Type="http://schemas.openxmlformats.org/officeDocument/2006/relationships/hyperlink" Target="http://wiselywise.com/" TargetMode="External"/><Relationship Id="rId2719" Type="http://schemas.openxmlformats.org/officeDocument/2006/relationships/hyperlink" Target="https://searcherp.techtarget.com/feature/The-future-of-supply-chains-is-here" TargetMode="External"/><Relationship Id="rId4074" Type="http://schemas.openxmlformats.org/officeDocument/2006/relationships/hyperlink" Target="https://couponos.me/coupon/algorithms-in-python-design-techniques-and-approach/" TargetMode="External"/><Relationship Id="rId1528" Type="http://schemas.openxmlformats.org/officeDocument/2006/relationships/hyperlink" Target="https://buff.ly/2NuUrMI" TargetMode="External"/><Relationship Id="rId2926" Type="http://schemas.openxmlformats.org/officeDocument/2006/relationships/hyperlink" Target="https://pbs.twimg.com/media/Eu2-kDeUcAAj1ZG.jpg" TargetMode="External"/><Relationship Id="rId3090" Type="http://schemas.openxmlformats.org/officeDocument/2006/relationships/hyperlink" Target="https://bit.ly/3dEdHSQ" TargetMode="External"/><Relationship Id="rId4141" Type="http://schemas.openxmlformats.org/officeDocument/2006/relationships/hyperlink" Target="https://paullopez.ai/" TargetMode="External"/><Relationship Id="rId1735" Type="http://schemas.openxmlformats.org/officeDocument/2006/relationships/hyperlink" Target="http://3cloudsolutions.com/" TargetMode="External"/><Relationship Id="rId1942" Type="http://schemas.openxmlformats.org/officeDocument/2006/relationships/hyperlink" Target="https://pbs.twimg.com/media/Eu6RT7yUUAA1uoH.png" TargetMode="External"/><Relationship Id="rId4001" Type="http://schemas.openxmlformats.org/officeDocument/2006/relationships/hyperlink" Target="https://www.aitrends.com/ai-insider/complexities-when-ai-autonomous-cars-attempt-zipper-merging" TargetMode="External"/><Relationship Id="rId27" Type="http://schemas.openxmlformats.org/officeDocument/2006/relationships/hyperlink" Target="https://www.linkedin.com/in/ivanfemia/" TargetMode="External"/><Relationship Id="rId1802" Type="http://schemas.openxmlformats.org/officeDocument/2006/relationships/hyperlink" Target="http://github.com/ehuntober" TargetMode="External"/><Relationship Id="rId3767" Type="http://schemas.openxmlformats.org/officeDocument/2006/relationships/hyperlink" Target="https://www.etsy.com/shop/AdPositive" TargetMode="External"/><Relationship Id="rId3974" Type="http://schemas.openxmlformats.org/officeDocument/2006/relationships/hyperlink" Target="http://pic.twitter.com/0TRK6s4KxQ" TargetMode="External"/><Relationship Id="rId688" Type="http://schemas.openxmlformats.org/officeDocument/2006/relationships/hyperlink" Target="https://nanohub.org/tools/mseml" TargetMode="External"/><Relationship Id="rId895" Type="http://schemas.openxmlformats.org/officeDocument/2006/relationships/hyperlink" Target="https://www.mekkographics.com/driverless-car-testing-in-california/" TargetMode="External"/><Relationship Id="rId2369" Type="http://schemas.openxmlformats.org/officeDocument/2006/relationships/hyperlink" Target="http://ow.ly/SvXb50DHoyW" TargetMode="External"/><Relationship Id="rId2576" Type="http://schemas.openxmlformats.org/officeDocument/2006/relationships/hyperlink" Target="http://j-onetechnology.com/" TargetMode="External"/><Relationship Id="rId2783" Type="http://schemas.openxmlformats.org/officeDocument/2006/relationships/hyperlink" Target="https://pbs.twimg.com/media/Eu5j_ngXcAIpEJm.jpg" TargetMode="External"/><Relationship Id="rId2990" Type="http://schemas.openxmlformats.org/officeDocument/2006/relationships/hyperlink" Target="https://bit.ly/3pLMXlM" TargetMode="External"/><Relationship Id="rId3627" Type="http://schemas.openxmlformats.org/officeDocument/2006/relationships/hyperlink" Target="https://neurons.ai/blog/news-stories/machine-learning-market-dynamics-forces-new-market-opportunities-by-players-fair-isaac/" TargetMode="External"/><Relationship Id="rId3834" Type="http://schemas.openxmlformats.org/officeDocument/2006/relationships/hyperlink" Target="https://pbs.twimg.com/media/Eu4ZYS3WYAEsuMe.png" TargetMode="External"/><Relationship Id="rId548" Type="http://schemas.openxmlformats.org/officeDocument/2006/relationships/hyperlink" Target="https://hubs.ly/H0H45gG0" TargetMode="External"/><Relationship Id="rId755" Type="http://schemas.openxmlformats.org/officeDocument/2006/relationships/hyperlink" Target="https://www.information-age.com/training-machine-learning-models-future-ready-123493865/" TargetMode="External"/><Relationship Id="rId962" Type="http://schemas.openxmlformats.org/officeDocument/2006/relationships/hyperlink" Target="http://www.linkedin.com/in/jamesg2006" TargetMode="External"/><Relationship Id="rId1178" Type="http://schemas.openxmlformats.org/officeDocument/2006/relationships/hyperlink" Target="https://www.linkedin.com/in/nicolaspinto1/" TargetMode="External"/><Relationship Id="rId1385" Type="http://schemas.openxmlformats.org/officeDocument/2006/relationships/hyperlink" Target="http://psi-k.net/jobs/postdoc-position-at-mpie-exploration-of-high-entr/" TargetMode="External"/><Relationship Id="rId1592" Type="http://schemas.openxmlformats.org/officeDocument/2006/relationships/hyperlink" Target="http://www.linkedin.com/in/kirkdborne" TargetMode="External"/><Relationship Id="rId2229" Type="http://schemas.openxmlformats.org/officeDocument/2006/relationships/hyperlink" Target="https://aplicaciones.campusbigdata.com/" TargetMode="External"/><Relationship Id="rId2436" Type="http://schemas.openxmlformats.org/officeDocument/2006/relationships/hyperlink" Target="http://groundlimo.com/" TargetMode="External"/><Relationship Id="rId2643" Type="http://schemas.openxmlformats.org/officeDocument/2006/relationships/hyperlink" Target="https://pbs.twimg.com/media/Eu5sk0UXEAAYxF8.jpg" TargetMode="External"/><Relationship Id="rId2850" Type="http://schemas.openxmlformats.org/officeDocument/2006/relationships/hyperlink" Target="https://buff.ly/33HxURU" TargetMode="External"/><Relationship Id="rId91" Type="http://schemas.openxmlformats.org/officeDocument/2006/relationships/hyperlink" Target="https://www.digitalscouting.de/" TargetMode="External"/><Relationship Id="rId408" Type="http://schemas.openxmlformats.org/officeDocument/2006/relationships/hyperlink" Target="https://www.linkedin.com/pub/william-ramarques/25/175/1a0" TargetMode="External"/><Relationship Id="rId615" Type="http://schemas.openxmlformats.org/officeDocument/2006/relationships/hyperlink" Target="https://pbs.twimg.com/media/Eu7KsBNUYAUYzK_.jpg" TargetMode="External"/><Relationship Id="rId822" Type="http://schemas.openxmlformats.org/officeDocument/2006/relationships/hyperlink" Target="http://neurons.ai/" TargetMode="External"/><Relationship Id="rId1038" Type="http://schemas.openxmlformats.org/officeDocument/2006/relationships/hyperlink" Target="https://pbs.twimg.com/media/Eu63P6nWYAUPtGC.jpg" TargetMode="External"/><Relationship Id="rId1245" Type="http://schemas.openxmlformats.org/officeDocument/2006/relationships/hyperlink" Target="https://searchenterpriseai.techtarget.com/quiz/Do-you-have-competitive-data-science-key-skills" TargetMode="External"/><Relationship Id="rId1452" Type="http://schemas.openxmlformats.org/officeDocument/2006/relationships/hyperlink" Target="https://ift.tt/2ZET94r" TargetMode="External"/><Relationship Id="rId2503" Type="http://schemas.openxmlformats.org/officeDocument/2006/relationships/hyperlink" Target="http://www.actico.com/" TargetMode="External"/><Relationship Id="rId3901" Type="http://schemas.openxmlformats.org/officeDocument/2006/relationships/hyperlink" Target="https://www.healthcareitnews.com/news/ai-enabled-radiomics-next-frontier-oncology" TargetMode="External"/><Relationship Id="rId1105" Type="http://schemas.openxmlformats.org/officeDocument/2006/relationships/hyperlink" Target="http://aws.amazon.com/es" TargetMode="External"/><Relationship Id="rId1312" Type="http://schemas.openxmlformats.org/officeDocument/2006/relationships/hyperlink" Target="https://machinelearningflx.com/" TargetMode="External"/><Relationship Id="rId2710" Type="http://schemas.openxmlformats.org/officeDocument/2006/relationships/hyperlink" Target="http://www.ai-adam.com/ai-job-application" TargetMode="External"/><Relationship Id="rId3277" Type="http://schemas.openxmlformats.org/officeDocument/2006/relationships/hyperlink" Target="https://bit.ly/3dpP4sY" TargetMode="External"/><Relationship Id="rId198" Type="http://schemas.openxmlformats.org/officeDocument/2006/relationships/hyperlink" Target="https://pbs.twimg.com/media/Eu7cZyMWQAMpdqz.png" TargetMode="External"/><Relationship Id="rId2086" Type="http://schemas.openxmlformats.org/officeDocument/2006/relationships/hyperlink" Target="https://www.cnet.com/news/get-an-echo-dot-kids-edition-and-echo-glow-for-40-off/" TargetMode="External"/><Relationship Id="rId3484" Type="http://schemas.openxmlformats.org/officeDocument/2006/relationships/hyperlink" Target="https://pbs.twimg.com/media/Eu41iCLVgAA_b4x.jpg" TargetMode="External"/><Relationship Id="rId3691" Type="http://schemas.openxmlformats.org/officeDocument/2006/relationships/hyperlink" Target="http://adnanhashmi.co/" TargetMode="External"/><Relationship Id="rId2293" Type="http://schemas.openxmlformats.org/officeDocument/2006/relationships/hyperlink" Target="https://pbs.twimg.com/media/Eu5_sNfVgAIdabI.jpg" TargetMode="External"/><Relationship Id="rId3137" Type="http://schemas.openxmlformats.org/officeDocument/2006/relationships/hyperlink" Target="https://buff.ly/3upZNK0" TargetMode="External"/><Relationship Id="rId3344" Type="http://schemas.openxmlformats.org/officeDocument/2006/relationships/hyperlink" Target="https://bit.ly/3kaTaXf" TargetMode="External"/><Relationship Id="rId3551" Type="http://schemas.openxmlformats.org/officeDocument/2006/relationships/hyperlink" Target="https://thrive.kaiserpermanente.org/" TargetMode="External"/><Relationship Id="rId265" Type="http://schemas.openxmlformats.org/officeDocument/2006/relationships/hyperlink" Target="https://www.instagram.com/p/CLnnys1AwMr/?utm_source=ig_web_button_share_sheet" TargetMode="External"/><Relationship Id="rId472" Type="http://schemas.openxmlformats.org/officeDocument/2006/relationships/hyperlink" Target="https://dy.si/B9zn" TargetMode="External"/><Relationship Id="rId2153" Type="http://schemas.openxmlformats.org/officeDocument/2006/relationships/hyperlink" Target="http://designnation.in/" TargetMode="External"/><Relationship Id="rId2360" Type="http://schemas.openxmlformats.org/officeDocument/2006/relationships/hyperlink" Target="http://www.qavalley.com/" TargetMode="External"/><Relationship Id="rId3204" Type="http://schemas.openxmlformats.org/officeDocument/2006/relationships/hyperlink" Target="https://pbs.twimg.com/media/Eu5QkgfVcAcIJT5.jpg" TargetMode="External"/><Relationship Id="rId3411" Type="http://schemas.openxmlformats.org/officeDocument/2006/relationships/hyperlink" Target="https://zpy.io/4c2249b4" TargetMode="External"/><Relationship Id="rId125" Type="http://schemas.openxmlformats.org/officeDocument/2006/relationships/hyperlink" Target="http://www.awakenai.org/" TargetMode="External"/><Relationship Id="rId332" Type="http://schemas.openxmlformats.org/officeDocument/2006/relationships/hyperlink" Target="https://pbs.twimg.com/media/Eu7WnMRXMAIOxkY.png" TargetMode="External"/><Relationship Id="rId2013" Type="http://schemas.openxmlformats.org/officeDocument/2006/relationships/hyperlink" Target="http://www.verifyrecruitment.com/" TargetMode="External"/><Relationship Id="rId2220" Type="http://schemas.openxmlformats.org/officeDocument/2006/relationships/hyperlink" Target="http://bit.ly/3aQdk4D" TargetMode="External"/><Relationship Id="rId4185" Type="http://schemas.openxmlformats.org/officeDocument/2006/relationships/hyperlink" Target="http://pic.twitter.com/fpy3NUHPhC" TargetMode="External"/><Relationship Id="rId1779" Type="http://schemas.openxmlformats.org/officeDocument/2006/relationships/hyperlink" Target="https://contribute.towardsai.net/" TargetMode="External"/><Relationship Id="rId1986" Type="http://schemas.openxmlformats.org/officeDocument/2006/relationships/hyperlink" Target="https://buff.ly/3s8UpsN" TargetMode="External"/><Relationship Id="rId4045" Type="http://schemas.openxmlformats.org/officeDocument/2006/relationships/hyperlink" Target="https://twitter.com/anilmshanbhag/status/1364026423116255239" TargetMode="External"/><Relationship Id="rId4252" Type="http://schemas.openxmlformats.org/officeDocument/2006/relationships/hyperlink" Target="http://pic.twitter.com/FvvtA6X5zN" TargetMode="External"/><Relationship Id="rId1639" Type="http://schemas.openxmlformats.org/officeDocument/2006/relationships/hyperlink" Target="http://financemoney.net/" TargetMode="External"/><Relationship Id="rId1846" Type="http://schemas.openxmlformats.org/officeDocument/2006/relationships/hyperlink" Target="https://uptec.up.pt/nau21-entre-as-10-melhores-empresas-de-insurtech-da-europa/" TargetMode="External"/><Relationship Id="rId3061" Type="http://schemas.openxmlformats.org/officeDocument/2006/relationships/hyperlink" Target="http://www.elevenpaths.com/" TargetMode="External"/><Relationship Id="rId1706" Type="http://schemas.openxmlformats.org/officeDocument/2006/relationships/hyperlink" Target="http://successanalytix.blogspot.com/" TargetMode="External"/><Relationship Id="rId1913" Type="http://schemas.openxmlformats.org/officeDocument/2006/relationships/hyperlink" Target="https://www.programming-hero.com/blog/20-most-frequently-asked-google-interview-questions.html" TargetMode="External"/><Relationship Id="rId4112" Type="http://schemas.openxmlformats.org/officeDocument/2006/relationships/hyperlink" Target="https://www.pharmacypracticenews.com/Pharmacy-Technology-Report/Article/02-21/Machine-Learning-May-Bolster-Opioid-Stewardship-Efforts/62398" TargetMode="External"/><Relationship Id="rId3878" Type="http://schemas.openxmlformats.org/officeDocument/2006/relationships/hyperlink" Target="https://go.aws/2ZmwJVy" TargetMode="External"/><Relationship Id="rId799" Type="http://schemas.openxmlformats.org/officeDocument/2006/relationships/hyperlink" Target="http://www.thelondontree.com/" TargetMode="External"/><Relationship Id="rId2687" Type="http://schemas.openxmlformats.org/officeDocument/2006/relationships/hyperlink" Target="https://pbs.twimg.com/media/Eu5p0rnWgAU6SaD.jpg" TargetMode="External"/><Relationship Id="rId2894" Type="http://schemas.openxmlformats.org/officeDocument/2006/relationships/hyperlink" Target="http://www.livconsulting.co.za/" TargetMode="External"/><Relationship Id="rId3738" Type="http://schemas.openxmlformats.org/officeDocument/2006/relationships/hyperlink" Target="http://www.acolab.org/" TargetMode="External"/><Relationship Id="rId659" Type="http://schemas.openxmlformats.org/officeDocument/2006/relationships/hyperlink" Target="https://pbs.twimg.com/media/Eu7Kc5GWgAIPqGq.jpg" TargetMode="External"/><Relationship Id="rId866" Type="http://schemas.openxmlformats.org/officeDocument/2006/relationships/hyperlink" Target="http://bva-group.com/" TargetMode="External"/><Relationship Id="rId1289" Type="http://schemas.openxmlformats.org/officeDocument/2006/relationships/hyperlink" Target="https://neurons.ai/blog/news-stories/mission-launches-data-analytics-machine-learning-practice-for-businesses-on-aws/" TargetMode="External"/><Relationship Id="rId1496" Type="http://schemas.openxmlformats.org/officeDocument/2006/relationships/hyperlink" Target="http://garryjenkin.brandyourself.com/" TargetMode="External"/><Relationship Id="rId2547" Type="http://schemas.openxmlformats.org/officeDocument/2006/relationships/hyperlink" Target="http://www.linkedin.com/in/haroldsinnott/" TargetMode="External"/><Relationship Id="rId3945" Type="http://schemas.openxmlformats.org/officeDocument/2006/relationships/hyperlink" Target="http://www.heliosantos.org/" TargetMode="External"/><Relationship Id="rId519" Type="http://schemas.openxmlformats.org/officeDocument/2006/relationships/hyperlink" Target="https://pbs.twimg.com/media/Eu7OwHmWYAI99wg.jpg" TargetMode="External"/><Relationship Id="rId1149" Type="http://schemas.openxmlformats.org/officeDocument/2006/relationships/hyperlink" Target="http://www.azuleducationservices.com/" TargetMode="External"/><Relationship Id="rId1356" Type="http://schemas.openxmlformats.org/officeDocument/2006/relationships/hyperlink" Target="https://www.quantuityanalytics.com/" TargetMode="External"/><Relationship Id="rId2754" Type="http://schemas.openxmlformats.org/officeDocument/2006/relationships/hyperlink" Target="https://pbs.twimg.com/media/Eu5mhGmXYAE1sc6.jpg" TargetMode="External"/><Relationship Id="rId2961" Type="http://schemas.openxmlformats.org/officeDocument/2006/relationships/hyperlink" Target="https://pbs.twimg.com/media/Eu5epgwUUAAvYPc.jpg" TargetMode="External"/><Relationship Id="rId3805" Type="http://schemas.openxmlformats.org/officeDocument/2006/relationships/hyperlink" Target="https://www.fiverr.com/razu95/professional-modern-minimalist-logo-design-24-hrs" TargetMode="External"/><Relationship Id="rId726" Type="http://schemas.openxmlformats.org/officeDocument/2006/relationships/hyperlink" Target="https://bit.ly/3aphL7o" TargetMode="External"/><Relationship Id="rId933" Type="http://schemas.openxmlformats.org/officeDocument/2006/relationships/hyperlink" Target="https://morioh.com/p/f1ad9e5b96e6?f=5c21fb01c16e2556b555ab32" TargetMode="External"/><Relationship Id="rId1009" Type="http://schemas.openxmlformats.org/officeDocument/2006/relationships/hyperlink" Target="https://www.begellhouse.com/journals/journal-of-machine-learning-for-modeling-and-computing.html" TargetMode="External"/><Relationship Id="rId1563" Type="http://schemas.openxmlformats.org/officeDocument/2006/relationships/hyperlink" Target="http://www.orbit-rri.org/" TargetMode="External"/><Relationship Id="rId1770" Type="http://schemas.openxmlformats.org/officeDocument/2006/relationships/hyperlink" Target="https://www.reddit.com/r/MachineLearning/comments/lqejbj/d_can_we_use_gan_to_create_a_dataset_to_train/?utm_source=dlvr.it&amp;utm_medium=twitter" TargetMode="External"/><Relationship Id="rId2407" Type="http://schemas.openxmlformats.org/officeDocument/2006/relationships/hyperlink" Target="http://www.datascientists.fr/" TargetMode="External"/><Relationship Id="rId2614" Type="http://schemas.openxmlformats.org/officeDocument/2006/relationships/hyperlink" Target="https://www.linkedin.com/in/colinrbristow/" TargetMode="External"/><Relationship Id="rId2821" Type="http://schemas.openxmlformats.org/officeDocument/2006/relationships/hyperlink" Target="https://pbs.twimg.com/media/Eu5kOgCXIAEzQ2y.jpg" TargetMode="External"/><Relationship Id="rId62" Type="http://schemas.openxmlformats.org/officeDocument/2006/relationships/hyperlink" Target="https://twitter.com/ATTBusiness/status/1364274577237491712" TargetMode="External"/><Relationship Id="rId1216" Type="http://schemas.openxmlformats.org/officeDocument/2006/relationships/hyperlink" Target="http://pic.twitter.com/ioN6w0yAUr" TargetMode="External"/><Relationship Id="rId1423" Type="http://schemas.openxmlformats.org/officeDocument/2006/relationships/hyperlink" Target="https://pbs.twimg.com/media/Eu6o4WJXcAEuqHu.jpg" TargetMode="External"/><Relationship Id="rId1630" Type="http://schemas.openxmlformats.org/officeDocument/2006/relationships/hyperlink" Target="http://www.e-medtools.com/Medicare_Coding_Tool.html" TargetMode="External"/><Relationship Id="rId3388" Type="http://schemas.openxmlformats.org/officeDocument/2006/relationships/hyperlink" Target="https://pbs.twimg.com/media/Eu5CzmXWQAEuAxq.jpg" TargetMode="External"/><Relationship Id="rId3595" Type="http://schemas.openxmlformats.org/officeDocument/2006/relationships/hyperlink" Target="https://www.linkedin.com/in/2morrowknight/" TargetMode="External"/><Relationship Id="rId2197" Type="http://schemas.openxmlformats.org/officeDocument/2006/relationships/hyperlink" Target="https://www.finextra.com/newsarticle/37516/bbva-taps-google-cloud-chronicle-to-build-ai-security-platform" TargetMode="External"/><Relationship Id="rId3248" Type="http://schemas.openxmlformats.org/officeDocument/2006/relationships/hyperlink" Target="https://pbs.twimg.com/media/Eu5OVcxVEAM4VMe.jpg" TargetMode="External"/><Relationship Id="rId3455" Type="http://schemas.openxmlformats.org/officeDocument/2006/relationships/hyperlink" Target="https://www.ubuntupit.com/best-python-libraries-and-packages-for-beginners/" TargetMode="External"/><Relationship Id="rId3662" Type="http://schemas.openxmlformats.org/officeDocument/2006/relationships/hyperlink" Target="https://ai-summary.com/summary-study-only-18-of-data-science-students-are-learning-about-ai-ethics/?utm_medium=social-organic&amp;utm_source=twitter" TargetMode="External"/><Relationship Id="rId169" Type="http://schemas.openxmlformats.org/officeDocument/2006/relationships/hyperlink" Target="http://www.awakenai.org/" TargetMode="External"/><Relationship Id="rId376" Type="http://schemas.openxmlformats.org/officeDocument/2006/relationships/hyperlink" Target="https://lnkd.in/giiuT4b" TargetMode="External"/><Relationship Id="rId583" Type="http://schemas.openxmlformats.org/officeDocument/2006/relationships/hyperlink" Target="https://onlinecouponcourses.com/machine-learning-nanodegree-in-arabic" TargetMode="External"/><Relationship Id="rId790" Type="http://schemas.openxmlformats.org/officeDocument/2006/relationships/hyperlink" Target="https://freehipwee.blogspot.com/2021/02/advanced-computer-vision-transfer-learning-with-tensorflow.html" TargetMode="External"/><Relationship Id="rId2057" Type="http://schemas.openxmlformats.org/officeDocument/2006/relationships/hyperlink" Target="http://www.mdpi.com/journal/remotesensing" TargetMode="External"/><Relationship Id="rId2264" Type="http://schemas.openxmlformats.org/officeDocument/2006/relationships/hyperlink" Target="http://pic.twitter.com/HrMIznw1qa" TargetMode="External"/><Relationship Id="rId2471" Type="http://schemas.openxmlformats.org/officeDocument/2006/relationships/hyperlink" Target="https://www.bacancytechnology.com/blog/python-libraries-for-machine-learning" TargetMode="External"/><Relationship Id="rId3108" Type="http://schemas.openxmlformats.org/officeDocument/2006/relationships/hyperlink" Target="http://bit.ly/3qKTlLb" TargetMode="External"/><Relationship Id="rId3315" Type="http://schemas.openxmlformats.org/officeDocument/2006/relationships/hyperlink" Target="http://aithority.com/" TargetMode="External"/><Relationship Id="rId3522" Type="http://schemas.openxmlformats.org/officeDocument/2006/relationships/hyperlink" Target="http://www.vittiai.com/" TargetMode="External"/><Relationship Id="rId236" Type="http://schemas.openxmlformats.org/officeDocument/2006/relationships/hyperlink" Target="https://pbs.twimg.com/media/Eu7Eb1FXMAALs7J.jpg" TargetMode="External"/><Relationship Id="rId443" Type="http://schemas.openxmlformats.org/officeDocument/2006/relationships/hyperlink" Target="https://www.intelligencenode.com/" TargetMode="External"/><Relationship Id="rId650" Type="http://schemas.openxmlformats.org/officeDocument/2006/relationships/hyperlink" Target="https://bigdataanalyticsnews.com/facial-recognition-model/?utm_source=rss&amp;utm_medium=Sendible&amp;utm_campaign=RSS" TargetMode="External"/><Relationship Id="rId1073" Type="http://schemas.openxmlformats.org/officeDocument/2006/relationships/hyperlink" Target="https://www.searchenginewatch.com/2021/02/12/five-ways-to-use-machine-learning-in-digital-marketing/" TargetMode="External"/><Relationship Id="rId1280" Type="http://schemas.openxmlformats.org/officeDocument/2006/relationships/hyperlink" Target="http://essentials.news/future-of-hacking" TargetMode="External"/><Relationship Id="rId2124" Type="http://schemas.openxmlformats.org/officeDocument/2006/relationships/hyperlink" Target="https://towardsdatascience.com/10-best-free-websites-to-learn-more-about-data-science-and-machine-learning-f2c6d7387b8d" TargetMode="External"/><Relationship Id="rId2331" Type="http://schemas.openxmlformats.org/officeDocument/2006/relationships/hyperlink" Target="https://www.linkedin.com/in/iainljbrown/" TargetMode="External"/><Relationship Id="rId303" Type="http://schemas.openxmlformats.org/officeDocument/2006/relationships/hyperlink" Target="https://pbs.twimg.com/media/Eu7W-1ZWYAEp1hr.png" TargetMode="External"/><Relationship Id="rId1140" Type="http://schemas.openxmlformats.org/officeDocument/2006/relationships/hyperlink" Target="https://machinelearningflx.com/" TargetMode="External"/><Relationship Id="rId4089" Type="http://schemas.openxmlformats.org/officeDocument/2006/relationships/hyperlink" Target="http://bby.kim/" TargetMode="External"/><Relationship Id="rId510" Type="http://schemas.openxmlformats.org/officeDocument/2006/relationships/hyperlink" Target="https://machinelearningflx.com/" TargetMode="External"/><Relationship Id="rId1000" Type="http://schemas.openxmlformats.org/officeDocument/2006/relationships/hyperlink" Target="https://twitter.com/FoxBigdata/status/1364212486715695109" TargetMode="External"/><Relationship Id="rId1957" Type="http://schemas.openxmlformats.org/officeDocument/2006/relationships/hyperlink" Target="https://www.itviconsultants.com/" TargetMode="External"/><Relationship Id="rId4156" Type="http://schemas.openxmlformats.org/officeDocument/2006/relationships/hyperlink" Target="https://www.reddit.com/r/MachineLearning/" TargetMode="External"/><Relationship Id="rId1817" Type="http://schemas.openxmlformats.org/officeDocument/2006/relationships/hyperlink" Target="http://www.linkedin.com/in/bkornell" TargetMode="External"/><Relationship Id="rId3172" Type="http://schemas.openxmlformats.org/officeDocument/2006/relationships/hyperlink" Target="https://medium.com/towards-artificial-intelligence/emerging-careers-in-ai-project-management-4d724427e58c" TargetMode="External"/><Relationship Id="rId4016" Type="http://schemas.openxmlformats.org/officeDocument/2006/relationships/hyperlink" Target="http://pythonwebconference.com/" TargetMode="External"/><Relationship Id="rId4223" Type="http://schemas.openxmlformats.org/officeDocument/2006/relationships/hyperlink" Target="https://buff.ly/3abfHP6" TargetMode="External"/><Relationship Id="rId3032" Type="http://schemas.openxmlformats.org/officeDocument/2006/relationships/hyperlink" Target="https://www.youtube.com/juliensimonfr" TargetMode="External"/><Relationship Id="rId160" Type="http://schemas.openxmlformats.org/officeDocument/2006/relationships/hyperlink" Target="https://choyou.com/" TargetMode="External"/><Relationship Id="rId3989" Type="http://schemas.openxmlformats.org/officeDocument/2006/relationships/hyperlink" Target="http://www.avolutionsoftware.com/" TargetMode="External"/><Relationship Id="rId2798" Type="http://schemas.openxmlformats.org/officeDocument/2006/relationships/hyperlink" Target="http://bbva.info/3bujveN" TargetMode="External"/><Relationship Id="rId3849" Type="http://schemas.openxmlformats.org/officeDocument/2006/relationships/hyperlink" Target="http://www.vision33.com/" TargetMode="External"/><Relationship Id="rId977" Type="http://schemas.openxmlformats.org/officeDocument/2006/relationships/hyperlink" Target="http://linkedin.com/in/sidheshwar-pandhare-0a47b7110" TargetMode="External"/><Relationship Id="rId2658" Type="http://schemas.openxmlformats.org/officeDocument/2006/relationships/hyperlink" Target="http://aws.amazon.com/" TargetMode="External"/><Relationship Id="rId2865" Type="http://schemas.openxmlformats.org/officeDocument/2006/relationships/hyperlink" Target="https://ift.tt/3upKuAQ" TargetMode="External"/><Relationship Id="rId3709" Type="http://schemas.openxmlformats.org/officeDocument/2006/relationships/hyperlink" Target="https://www.arkinfosoft.com/" TargetMode="External"/><Relationship Id="rId3916" Type="http://schemas.openxmlformats.org/officeDocument/2006/relationships/hyperlink" Target="https://machinelearningflx.com/" TargetMode="External"/><Relationship Id="rId4080" Type="http://schemas.openxmlformats.org/officeDocument/2006/relationships/hyperlink" Target="https://bit.ly/37GohF7" TargetMode="External"/><Relationship Id="rId837" Type="http://schemas.openxmlformats.org/officeDocument/2006/relationships/hyperlink" Target="http://ecptonline.com/" TargetMode="External"/><Relationship Id="rId1467" Type="http://schemas.openxmlformats.org/officeDocument/2006/relationships/hyperlink" Target="https://pbs.twimg.com/media/Eu6mF9QXAAMS6mc.png" TargetMode="External"/><Relationship Id="rId1674" Type="http://schemas.openxmlformats.org/officeDocument/2006/relationships/hyperlink" Target="https://pbs.twimg.com/media/Eu6crYsXAAA3Nvb.jpg" TargetMode="External"/><Relationship Id="rId1881" Type="http://schemas.openxmlformats.org/officeDocument/2006/relationships/hyperlink" Target="https://pbs.twimg.com/media/Eu6TLOBWgAA0F0i.jpg" TargetMode="External"/><Relationship Id="rId2518" Type="http://schemas.openxmlformats.org/officeDocument/2006/relationships/hyperlink" Target="http://www.corizance.com/" TargetMode="External"/><Relationship Id="rId2725" Type="http://schemas.openxmlformats.org/officeDocument/2006/relationships/hyperlink" Target="https://bit.ly/3aITUj3" TargetMode="External"/><Relationship Id="rId2932" Type="http://schemas.openxmlformats.org/officeDocument/2006/relationships/hyperlink" Target="https://pbs.twimg.com/media/Eu5fpZ3XcAEaWl-.jpg" TargetMode="External"/><Relationship Id="rId904" Type="http://schemas.openxmlformats.org/officeDocument/2006/relationships/hyperlink" Target="https://www.youtube.com/juliensimonfr" TargetMode="External"/><Relationship Id="rId1327" Type="http://schemas.openxmlformats.org/officeDocument/2006/relationships/hyperlink" Target="https://bit.ly/2yjfLxa" TargetMode="External"/><Relationship Id="rId1534" Type="http://schemas.openxmlformats.org/officeDocument/2006/relationships/hyperlink" Target="http://www.marktechpost.com/" TargetMode="External"/><Relationship Id="rId1741" Type="http://schemas.openxmlformats.org/officeDocument/2006/relationships/hyperlink" Target="https://e.gv6.co/twfhXC" TargetMode="External"/><Relationship Id="rId33" Type="http://schemas.openxmlformats.org/officeDocument/2006/relationships/hyperlink" Target="http://www.la-forge.ai/" TargetMode="External"/><Relationship Id="rId1601" Type="http://schemas.openxmlformats.org/officeDocument/2006/relationships/hyperlink" Target="https://www.betterworld.bmnxt.com/artificial-intelligence/ai-tools-can-drive-big-efficiencies-in-oil-and-gas/" TargetMode="External"/><Relationship Id="rId3499" Type="http://schemas.openxmlformats.org/officeDocument/2006/relationships/hyperlink" Target="https://pbs.twimg.com/media/Eu44LU6WYAkkkHC.jpg" TargetMode="External"/><Relationship Id="rId3359" Type="http://schemas.openxmlformats.org/officeDocument/2006/relationships/hyperlink" Target="https://www.cretech.com/directory/company/propertyquants/press-release/seminar-what-you-need-to-know-to-successfully-lead-a-data-science-data-analytics-or-digital-transfor" TargetMode="External"/><Relationship Id="rId3566" Type="http://schemas.openxmlformats.org/officeDocument/2006/relationships/hyperlink" Target="https://pbs.twimg.com/media/Eu4zNbaUUAYGJWL.jpg" TargetMode="External"/><Relationship Id="rId487" Type="http://schemas.openxmlformats.org/officeDocument/2006/relationships/hyperlink" Target="https://pbs.twimg.com/media/Eu7Q9UBXAAgbd3v.png" TargetMode="External"/><Relationship Id="rId694" Type="http://schemas.openxmlformats.org/officeDocument/2006/relationships/hyperlink" Target="https://ailab.mti-vietnam.vn/blog/2021/02/22/aws-architecture-batch-processing-and-data-analytics/" TargetMode="External"/><Relationship Id="rId2168" Type="http://schemas.openxmlformats.org/officeDocument/2006/relationships/hyperlink" Target="http://pic.twitter.com/iJhA62v4Jw" TargetMode="External"/><Relationship Id="rId2375" Type="http://schemas.openxmlformats.org/officeDocument/2006/relationships/hyperlink" Target="https://www.eletimes.com/future-of-robotics-in-india-in-the-post-covid-era" TargetMode="External"/><Relationship Id="rId3219" Type="http://schemas.openxmlformats.org/officeDocument/2006/relationships/hyperlink" Target="https://pbs.twimg.com/media/Eu5PoT9WQAAvcpE.jpg" TargetMode="External"/><Relationship Id="rId3773" Type="http://schemas.openxmlformats.org/officeDocument/2006/relationships/hyperlink" Target="http://ipfconline.fr/contacts-eng.html" TargetMode="External"/><Relationship Id="rId3980" Type="http://schemas.openxmlformats.org/officeDocument/2006/relationships/hyperlink" Target="http://www.heliosantos.org/" TargetMode="External"/><Relationship Id="rId347" Type="http://schemas.openxmlformats.org/officeDocument/2006/relationships/hyperlink" Target="http://www.tipscuatropuntocero.com/" TargetMode="External"/><Relationship Id="rId1184" Type="http://schemas.openxmlformats.org/officeDocument/2006/relationships/hyperlink" Target="https://www.technologynetworks.com/cancer-research/news/exposing-hidden-tumors-with-near-infrared-imaging-and-machine-learning-345181" TargetMode="External"/><Relationship Id="rId2028" Type="http://schemas.openxmlformats.org/officeDocument/2006/relationships/hyperlink" Target="https://www.linkedin.com/in/juanfdezortega" TargetMode="External"/><Relationship Id="rId2582" Type="http://schemas.openxmlformats.org/officeDocument/2006/relationships/hyperlink" Target="https://ift.tt/2NvLHGg" TargetMode="External"/><Relationship Id="rId3426" Type="http://schemas.openxmlformats.org/officeDocument/2006/relationships/hyperlink" Target="http://demetrius.dev/" TargetMode="External"/><Relationship Id="rId3633" Type="http://schemas.openxmlformats.org/officeDocument/2006/relationships/hyperlink" Target="https://pbs.twimg.com/media/Eu4tUIjWQAYF6u9.jpg" TargetMode="External"/><Relationship Id="rId3840" Type="http://schemas.openxmlformats.org/officeDocument/2006/relationships/hyperlink" Target="http://neurons.ai/" TargetMode="External"/><Relationship Id="rId554" Type="http://schemas.openxmlformats.org/officeDocument/2006/relationships/hyperlink" Target="http://arxiv.org/abs/2101.03286v1" TargetMode="External"/><Relationship Id="rId761" Type="http://schemas.openxmlformats.org/officeDocument/2006/relationships/hyperlink" Target="http://www.youtube.com/c/CodingPerspective" TargetMode="External"/><Relationship Id="rId1391" Type="http://schemas.openxmlformats.org/officeDocument/2006/relationships/hyperlink" Target="http://pic.twitter.com/btbPjHT5fv" TargetMode="External"/><Relationship Id="rId2235" Type="http://schemas.openxmlformats.org/officeDocument/2006/relationships/hyperlink" Target="https://pbs.twimg.com/media/Eu6COIvVIAcre22.jpg" TargetMode="External"/><Relationship Id="rId2442" Type="http://schemas.openxmlformats.org/officeDocument/2006/relationships/hyperlink" Target="http://www.ukras.org/" TargetMode="External"/><Relationship Id="rId3700" Type="http://schemas.openxmlformats.org/officeDocument/2006/relationships/hyperlink" Target="http://ow.ly/6pKz30rx1ic" TargetMode="External"/><Relationship Id="rId207" Type="http://schemas.openxmlformats.org/officeDocument/2006/relationships/hyperlink" Target="https://liwaiwai.com/2021/02/24/early-bird-makes-training-ai-greener/" TargetMode="External"/><Relationship Id="rId414" Type="http://schemas.openxmlformats.org/officeDocument/2006/relationships/hyperlink" Target="http://alerttrade.us/" TargetMode="External"/><Relationship Id="rId621" Type="http://schemas.openxmlformats.org/officeDocument/2006/relationships/hyperlink" Target="https://pbs.twimg.com/media/Eu7LS4iXAAAsAOr.jpg" TargetMode="External"/><Relationship Id="rId1044" Type="http://schemas.openxmlformats.org/officeDocument/2006/relationships/hyperlink" Target="http://bit.ly/3dqDX2M" TargetMode="External"/><Relationship Id="rId1251" Type="http://schemas.openxmlformats.org/officeDocument/2006/relationships/hyperlink" Target="https://pbs.twimg.com/media/Eu6wYk1UUAA5st6.jpg" TargetMode="External"/><Relationship Id="rId2302" Type="http://schemas.openxmlformats.org/officeDocument/2006/relationships/hyperlink" Target="https://amzn.to/3kh19Sp" TargetMode="External"/><Relationship Id="rId1111" Type="http://schemas.openxmlformats.org/officeDocument/2006/relationships/hyperlink" Target="http://bennettdatascience.com/" TargetMode="External"/><Relationship Id="rId4267" Type="http://schemas.openxmlformats.org/officeDocument/2006/relationships/hyperlink" Target="https://www.datamation.com/artificial-intelligence/artificial-intelligence-use-cases/" TargetMode="External"/><Relationship Id="rId3076" Type="http://schemas.openxmlformats.org/officeDocument/2006/relationships/hyperlink" Target="http://www.corizance.com/" TargetMode="External"/><Relationship Id="rId3283" Type="http://schemas.openxmlformats.org/officeDocument/2006/relationships/hyperlink" Target="http://uk.linkedin.com/in/amitchampaneri" TargetMode="External"/><Relationship Id="rId3490" Type="http://schemas.openxmlformats.org/officeDocument/2006/relationships/hyperlink" Target="https://hbr.org/2021/02/when-should-you-use-ai-to-solve-problems" TargetMode="External"/><Relationship Id="rId4127" Type="http://schemas.openxmlformats.org/officeDocument/2006/relationships/hyperlink" Target="http://dailynews.teachtechu.com/?edition_id=2f861fa0-7573-11eb-ae29-002590a5ba2d" TargetMode="External"/><Relationship Id="rId1928" Type="http://schemas.openxmlformats.org/officeDocument/2006/relationships/hyperlink" Target="https://pbs.twimg.com/media/Esk-HokXIAAkIqH.jpg" TargetMode="External"/><Relationship Id="rId2092" Type="http://schemas.openxmlformats.org/officeDocument/2006/relationships/hyperlink" Target="http://www.corizance.com/" TargetMode="External"/><Relationship Id="rId3143" Type="http://schemas.openxmlformats.org/officeDocument/2006/relationships/hyperlink" Target="https://pbs.twimg.com/media/Eu5WfCnXcAE1UdM.jpg" TargetMode="External"/><Relationship Id="rId3350" Type="http://schemas.openxmlformats.org/officeDocument/2006/relationships/hyperlink" Target="https://exonomousid.com/" TargetMode="External"/><Relationship Id="rId271" Type="http://schemas.openxmlformats.org/officeDocument/2006/relationships/hyperlink" Target="http://www.marktechpost.com/" TargetMode="External"/><Relationship Id="rId3003" Type="http://schemas.openxmlformats.org/officeDocument/2006/relationships/hyperlink" Target="https://ift.tt/3qUC3eA" TargetMode="External"/><Relationship Id="rId131" Type="http://schemas.openxmlformats.org/officeDocument/2006/relationships/hyperlink" Target="https://aiml.events/" TargetMode="External"/><Relationship Id="rId3210" Type="http://schemas.openxmlformats.org/officeDocument/2006/relationships/hyperlink" Target="http://datastudies.co.in/" TargetMode="External"/><Relationship Id="rId2769" Type="http://schemas.openxmlformats.org/officeDocument/2006/relationships/hyperlink" Target="https://pbs.twimg.com/media/Eu5lWufXEAQBPLW.jpg" TargetMode="External"/><Relationship Id="rId2976" Type="http://schemas.openxmlformats.org/officeDocument/2006/relationships/hyperlink" Target="http://www.linkedin.com/in/bavirisetty" TargetMode="External"/><Relationship Id="rId948" Type="http://schemas.openxmlformats.org/officeDocument/2006/relationships/hyperlink" Target="http://pic.twitter.com/va2Teg6hqX" TargetMode="External"/><Relationship Id="rId1578" Type="http://schemas.openxmlformats.org/officeDocument/2006/relationships/hyperlink" Target="https://pbs.twimg.com/media/Eu6hacDU4AM1C2w.jpg" TargetMode="External"/><Relationship Id="rId1785" Type="http://schemas.openxmlformats.org/officeDocument/2006/relationships/hyperlink" Target="http://hello.creativemf.com/?edition_id=afa56cb0-75d5-11eb-9bb6-0cc47a0d1605" TargetMode="External"/><Relationship Id="rId1992" Type="http://schemas.openxmlformats.org/officeDocument/2006/relationships/hyperlink" Target="https://www.flexgigzz.com/globalupdates/lifestyles/how-to-become-a-freelance-artificial-intelligence-engineer/" TargetMode="External"/><Relationship Id="rId2629" Type="http://schemas.openxmlformats.org/officeDocument/2006/relationships/hyperlink" Target="http://www.linkedin.com/in/ErikKnol" TargetMode="External"/><Relationship Id="rId2836" Type="http://schemas.openxmlformats.org/officeDocument/2006/relationships/hyperlink" Target="http://pic.twitter.com/bzL6ZUhUAD" TargetMode="External"/><Relationship Id="rId4191" Type="http://schemas.openxmlformats.org/officeDocument/2006/relationships/hyperlink" Target="http://pic.twitter.com/RFPXErQ7aj" TargetMode="External"/><Relationship Id="rId77" Type="http://schemas.openxmlformats.org/officeDocument/2006/relationships/hyperlink" Target="https://aiplus.odsc.com/" TargetMode="External"/><Relationship Id="rId808" Type="http://schemas.openxmlformats.org/officeDocument/2006/relationships/hyperlink" Target="https://pbs.twimg.com/media/Eu7DUBcVEAAJzGN.jpg" TargetMode="External"/><Relationship Id="rId1438" Type="http://schemas.openxmlformats.org/officeDocument/2006/relationships/hyperlink" Target="http://www.lucient.com/" TargetMode="External"/><Relationship Id="rId1645" Type="http://schemas.openxmlformats.org/officeDocument/2006/relationships/hyperlink" Target="https://www.autoconnectedcar.com/2021/02/lucid-motors-goes-public-to-raise-for-casa-grande-factory/" TargetMode="External"/><Relationship Id="rId4051" Type="http://schemas.openxmlformats.org/officeDocument/2006/relationships/hyperlink" Target="https://www.etsy.com/shop/AdPositive" TargetMode="External"/><Relationship Id="rId1852" Type="http://schemas.openxmlformats.org/officeDocument/2006/relationships/hyperlink" Target="https://ecdc.europa.eu/" TargetMode="External"/><Relationship Id="rId2903" Type="http://schemas.openxmlformats.org/officeDocument/2006/relationships/hyperlink" Target="http://pic.twitter.com/UFp66kSme7" TargetMode="External"/><Relationship Id="rId1505" Type="http://schemas.openxmlformats.org/officeDocument/2006/relationships/hyperlink" Target="https://pbs.twimg.com/media/Eu6kxkJXAAIJFrn.jpg" TargetMode="External"/><Relationship Id="rId1712" Type="http://schemas.openxmlformats.org/officeDocument/2006/relationships/hyperlink" Target="https://pbs.twimg.com/media/Eu6bS1sUYAM7Zsf.jpg" TargetMode="External"/><Relationship Id="rId3677" Type="http://schemas.openxmlformats.org/officeDocument/2006/relationships/hyperlink" Target="http://www.diverseinai.org/" TargetMode="External"/><Relationship Id="rId3884" Type="http://schemas.openxmlformats.org/officeDocument/2006/relationships/hyperlink" Target="https://go.aws/2ZmwJVy" TargetMode="External"/><Relationship Id="rId598" Type="http://schemas.openxmlformats.org/officeDocument/2006/relationships/hyperlink" Target="https://pbs.twimg.com/media/EuhTI_CWYAIaltk.jpg" TargetMode="External"/><Relationship Id="rId2279" Type="http://schemas.openxmlformats.org/officeDocument/2006/relationships/hyperlink" Target="https://pbs.twimg.com/media/Eu59wrQVcAAxApS.jpg" TargetMode="External"/><Relationship Id="rId2486" Type="http://schemas.openxmlformats.org/officeDocument/2006/relationships/hyperlink" Target="http://savvydatacloudconsulting.com/" TargetMode="External"/><Relationship Id="rId2693" Type="http://schemas.openxmlformats.org/officeDocument/2006/relationships/hyperlink" Target="http://quantumanalytics.ch/" TargetMode="External"/><Relationship Id="rId3537" Type="http://schemas.openxmlformats.org/officeDocument/2006/relationships/hyperlink" Target="https://lnkd.in/gCbd_tn" TargetMode="External"/><Relationship Id="rId3744" Type="http://schemas.openxmlformats.org/officeDocument/2006/relationships/hyperlink" Target="http://bit.ly/3dCm3u4" TargetMode="External"/><Relationship Id="rId3951" Type="http://schemas.openxmlformats.org/officeDocument/2006/relationships/hyperlink" Target="https://www.itviconsultants.com/" TargetMode="External"/><Relationship Id="rId458" Type="http://schemas.openxmlformats.org/officeDocument/2006/relationships/hyperlink" Target="https://pbs.twimg.com/media/Eu7SFPHXIAIljlK.jpg" TargetMode="External"/><Relationship Id="rId665" Type="http://schemas.openxmlformats.org/officeDocument/2006/relationships/hyperlink" Target="http://www.godatpro.com/" TargetMode="External"/><Relationship Id="rId872" Type="http://schemas.openxmlformats.org/officeDocument/2006/relationships/hyperlink" Target="https://www.appcoll.com/" TargetMode="External"/><Relationship Id="rId1088" Type="http://schemas.openxmlformats.org/officeDocument/2006/relationships/hyperlink" Target="http://ow.ly/Ef8w50DHeCP" TargetMode="External"/><Relationship Id="rId1295" Type="http://schemas.openxmlformats.org/officeDocument/2006/relationships/hyperlink" Target="https://www.unite.ai/vr-helps-rehabilitate-individuals-with-motor-dysfunctions/" TargetMode="External"/><Relationship Id="rId2139" Type="http://schemas.openxmlformats.org/officeDocument/2006/relationships/hyperlink" Target="http://www.dice.com/" TargetMode="External"/><Relationship Id="rId2346" Type="http://schemas.openxmlformats.org/officeDocument/2006/relationships/hyperlink" Target="http://www.rovco.com/" TargetMode="External"/><Relationship Id="rId2553" Type="http://schemas.openxmlformats.org/officeDocument/2006/relationships/hyperlink" Target="https://ift.tt/2MiRE8Y" TargetMode="External"/><Relationship Id="rId2760" Type="http://schemas.openxmlformats.org/officeDocument/2006/relationships/hyperlink" Target="http://www.analyticsinsight.net/" TargetMode="External"/><Relationship Id="rId3604" Type="http://schemas.openxmlformats.org/officeDocument/2006/relationships/hyperlink" Target="https://techbytes.page/" TargetMode="External"/><Relationship Id="rId3811" Type="http://schemas.openxmlformats.org/officeDocument/2006/relationships/hyperlink" Target="http://dataprius.com/" TargetMode="External"/><Relationship Id="rId318" Type="http://schemas.openxmlformats.org/officeDocument/2006/relationships/hyperlink" Target="https://github.com/anilmshanbhag" TargetMode="External"/><Relationship Id="rId525" Type="http://schemas.openxmlformats.org/officeDocument/2006/relationships/hyperlink" Target="http://pic.twitter.com/xEHrN6nxW8" TargetMode="External"/><Relationship Id="rId732" Type="http://schemas.openxmlformats.org/officeDocument/2006/relationships/hyperlink" Target="https://pbs.twimg.com/media/Eu7Gl3FXIAUudVP.jpg" TargetMode="External"/><Relationship Id="rId1155" Type="http://schemas.openxmlformats.org/officeDocument/2006/relationships/hyperlink" Target="https://www.sabrepc.com/" TargetMode="External"/><Relationship Id="rId1362" Type="http://schemas.openxmlformats.org/officeDocument/2006/relationships/hyperlink" Target="https://deepai.org/publication/a-theory-of-label-propagation-for-subpopulation-shift" TargetMode="External"/><Relationship Id="rId2206" Type="http://schemas.openxmlformats.org/officeDocument/2006/relationships/hyperlink" Target="https://byp.ee/bgk2Sg" TargetMode="External"/><Relationship Id="rId2413" Type="http://schemas.openxmlformats.org/officeDocument/2006/relationships/hyperlink" Target="https://www.henryharvin.com/" TargetMode="External"/><Relationship Id="rId2620" Type="http://schemas.openxmlformats.org/officeDocument/2006/relationships/hyperlink" Target="https://dsf-kotaro.hatenablog.com/" TargetMode="External"/><Relationship Id="rId1015" Type="http://schemas.openxmlformats.org/officeDocument/2006/relationships/hyperlink" Target="https://dy.si/7ULSF" TargetMode="External"/><Relationship Id="rId1222" Type="http://schemas.openxmlformats.org/officeDocument/2006/relationships/hyperlink" Target="https://www.linkedin.com/in/davenisarg/" TargetMode="External"/><Relationship Id="rId3187" Type="http://schemas.openxmlformats.org/officeDocument/2006/relationships/hyperlink" Target="https://pbs.twimg.com/media/Eu5SYRPXUAApd5i.jpg" TargetMode="External"/><Relationship Id="rId3394" Type="http://schemas.openxmlformats.org/officeDocument/2006/relationships/hyperlink" Target="https://neurons.ai/blog/news-stories/feature-importance-in-machine-learning-models-by-zito-relova-feb-2021-towards-data-science/" TargetMode="External"/><Relationship Id="rId4238" Type="http://schemas.openxmlformats.org/officeDocument/2006/relationships/hyperlink" Target="http://bit.ly/3r2dOLu" TargetMode="External"/><Relationship Id="rId3047" Type="http://schemas.openxmlformats.org/officeDocument/2006/relationships/hyperlink" Target="https://techflx.com/product-category/books/" TargetMode="External"/><Relationship Id="rId175" Type="http://schemas.openxmlformats.org/officeDocument/2006/relationships/hyperlink" Target="https://statquest.org/video-index/" TargetMode="External"/><Relationship Id="rId3254" Type="http://schemas.openxmlformats.org/officeDocument/2006/relationships/hyperlink" Target="https://pbs.twimg.com/media/Eu5N2uJWQAElHJo.jpg" TargetMode="External"/><Relationship Id="rId3461" Type="http://schemas.openxmlformats.org/officeDocument/2006/relationships/hyperlink" Target="https://democraticrobots.substack.com/p/technological-navet-the-abyss-and" TargetMode="External"/><Relationship Id="rId382" Type="http://schemas.openxmlformats.org/officeDocument/2006/relationships/hyperlink" Target="http://www.awakenai.org/" TargetMode="External"/><Relationship Id="rId2063" Type="http://schemas.openxmlformats.org/officeDocument/2006/relationships/hyperlink" Target="https://twitter.com/MotorcycleTwitt" TargetMode="External"/><Relationship Id="rId2270" Type="http://schemas.openxmlformats.org/officeDocument/2006/relationships/hyperlink" Target="http://pic.twitter.com/6FwqgjEt21" TargetMode="External"/><Relationship Id="rId3114" Type="http://schemas.openxmlformats.org/officeDocument/2006/relationships/hyperlink" Target="https://bit.ly/3dDq5CG" TargetMode="External"/><Relationship Id="rId3321" Type="http://schemas.openxmlformats.org/officeDocument/2006/relationships/hyperlink" Target="http://bit.ly/2OrG8sD" TargetMode="External"/><Relationship Id="rId242" Type="http://schemas.openxmlformats.org/officeDocument/2006/relationships/hyperlink" Target="https://bit.ly/3aHPYPD" TargetMode="External"/><Relationship Id="rId2130" Type="http://schemas.openxmlformats.org/officeDocument/2006/relationships/hyperlink" Target="https://youtu.be/q_ohzm8OcQ0" TargetMode="External"/><Relationship Id="rId102" Type="http://schemas.openxmlformats.org/officeDocument/2006/relationships/hyperlink" Target="https://www.analyticsinsight.net/unravelling-transfer-learning-to-make-machines-more-advanced/" TargetMode="External"/><Relationship Id="rId1689" Type="http://schemas.openxmlformats.org/officeDocument/2006/relationships/hyperlink" Target="https://pbs.twimg.com/media/Eu6cFEaWYAMIMbY.png" TargetMode="External"/><Relationship Id="rId4095" Type="http://schemas.openxmlformats.org/officeDocument/2006/relationships/hyperlink" Target="http://www.domesticatedbrain.com/" TargetMode="External"/><Relationship Id="rId1896" Type="http://schemas.openxmlformats.org/officeDocument/2006/relationships/hyperlink" Target="http://bit.ly/N8pLrp" TargetMode="External"/><Relationship Id="rId2947" Type="http://schemas.openxmlformats.org/officeDocument/2006/relationships/hyperlink" Target="https://www.project-consult.de/impressum" TargetMode="External"/><Relationship Id="rId4162" Type="http://schemas.openxmlformats.org/officeDocument/2006/relationships/hyperlink" Target="http://dlvr.it/RtGd33" TargetMode="External"/><Relationship Id="rId919" Type="http://schemas.openxmlformats.org/officeDocument/2006/relationships/hyperlink" Target="https://paper.li/rwang0/1328150054?edition_id=db146290-75ec-11eb-9bb6-0cc47a0d1605" TargetMode="External"/><Relationship Id="rId1549" Type="http://schemas.openxmlformats.org/officeDocument/2006/relationships/hyperlink" Target="http://www.ai3sd.org/" TargetMode="External"/><Relationship Id="rId1756" Type="http://schemas.openxmlformats.org/officeDocument/2006/relationships/hyperlink" Target="https://pbs.twimg.com/media/Eu6aRaLVcAQWh4Q.jpg" TargetMode="External"/><Relationship Id="rId1963" Type="http://schemas.openxmlformats.org/officeDocument/2006/relationships/hyperlink" Target="https://africadataschool.com/" TargetMode="External"/><Relationship Id="rId2807" Type="http://schemas.openxmlformats.org/officeDocument/2006/relationships/hyperlink" Target="https://docs.google.com/forms/d/e/1FAIpQLSd3YL48BtAVFFjfyfiZggdGGCuWLxhPjfzPit4sJClb_eRmYg/viewform" TargetMode="External"/><Relationship Id="rId4022" Type="http://schemas.openxmlformats.org/officeDocument/2006/relationships/hyperlink" Target="https://techflx.com/product-category/books/" TargetMode="External"/><Relationship Id="rId48" Type="http://schemas.openxmlformats.org/officeDocument/2006/relationships/hyperlink" Target="http://datamining24.com/" TargetMode="External"/><Relationship Id="rId1409" Type="http://schemas.openxmlformats.org/officeDocument/2006/relationships/hyperlink" Target="https://pbs.twimg.com/media/Eu6o7FbXIAMJnvr.jpg" TargetMode="External"/><Relationship Id="rId1616" Type="http://schemas.openxmlformats.org/officeDocument/2006/relationships/hyperlink" Target="https://bit.ly/3cPBewH" TargetMode="External"/><Relationship Id="rId1823" Type="http://schemas.openxmlformats.org/officeDocument/2006/relationships/hyperlink" Target="http://www.qlucore.com/" TargetMode="External"/><Relationship Id="rId3788" Type="http://schemas.openxmlformats.org/officeDocument/2006/relationships/hyperlink" Target="https://www.reddit.com/r/MachineLearning/comments/kh2b81/d_simple_questions_thread_december_20_2020/" TargetMode="External"/><Relationship Id="rId3995" Type="http://schemas.openxmlformats.org/officeDocument/2006/relationships/hyperlink" Target="https://rubikscode.net/2021/02/03/25-ways-ai-machine-learning-helps-businesses/" TargetMode="External"/><Relationship Id="rId2597" Type="http://schemas.openxmlformats.org/officeDocument/2006/relationships/hyperlink" Target="https://www.wired.com/story/new-artificial-intelligence-mistakes-purpose-chess/" TargetMode="External"/><Relationship Id="rId3648" Type="http://schemas.openxmlformats.org/officeDocument/2006/relationships/hyperlink" Target="https://ca.linkedin.com/in/mikedewaal" TargetMode="External"/><Relationship Id="rId3855" Type="http://schemas.openxmlformats.org/officeDocument/2006/relationships/hyperlink" Target="https://pbs.twimg.com/media/Eu4VQyrXMAIRTAD.jpg" TargetMode="External"/><Relationship Id="rId569" Type="http://schemas.openxmlformats.org/officeDocument/2006/relationships/hyperlink" Target="https://programming-hero.com/" TargetMode="External"/><Relationship Id="rId776" Type="http://schemas.openxmlformats.org/officeDocument/2006/relationships/hyperlink" Target="http://www.garp.org/" TargetMode="External"/><Relationship Id="rId983" Type="http://schemas.openxmlformats.org/officeDocument/2006/relationships/hyperlink" Target="http://www.icloudseven.com/" TargetMode="External"/><Relationship Id="rId1199" Type="http://schemas.openxmlformats.org/officeDocument/2006/relationships/hyperlink" Target="http://phri.ca/" TargetMode="External"/><Relationship Id="rId2457" Type="http://schemas.openxmlformats.org/officeDocument/2006/relationships/hyperlink" Target="http://neurons.ai/" TargetMode="External"/><Relationship Id="rId2664" Type="http://schemas.openxmlformats.org/officeDocument/2006/relationships/hyperlink" Target="http://ipfconline.fr/contacts-eng.html" TargetMode="External"/><Relationship Id="rId3508" Type="http://schemas.openxmlformats.org/officeDocument/2006/relationships/hyperlink" Target="https://pbs.twimg.com/media/Eu43dlSVcAIA77F.jpg" TargetMode="External"/><Relationship Id="rId429" Type="http://schemas.openxmlformats.org/officeDocument/2006/relationships/hyperlink" Target="https://prathamprasoon.codes/a-list-of-the-tools-you-will-need-for-machine-learning-in-python" TargetMode="External"/><Relationship Id="rId636" Type="http://schemas.openxmlformats.org/officeDocument/2006/relationships/hyperlink" Target="https://pbs.twimg.com/media/Eu7KW9uXAAcAlb2.jpg" TargetMode="External"/><Relationship Id="rId1059" Type="http://schemas.openxmlformats.org/officeDocument/2006/relationships/hyperlink" Target="https://medium.com/@guidaautonoma" TargetMode="External"/><Relationship Id="rId1266" Type="http://schemas.openxmlformats.org/officeDocument/2006/relationships/hyperlink" Target="https://www.buymeacoffee.com/Yuganshjain" TargetMode="External"/><Relationship Id="rId1473" Type="http://schemas.openxmlformats.org/officeDocument/2006/relationships/hyperlink" Target="http://www.accelebrate.com/" TargetMode="External"/><Relationship Id="rId2317" Type="http://schemas.openxmlformats.org/officeDocument/2006/relationships/hyperlink" Target="https://bit.ly/37jmgOP" TargetMode="External"/><Relationship Id="rId2871" Type="http://schemas.openxmlformats.org/officeDocument/2006/relationships/hyperlink" Target="https://ift.tt/3dCq8yh" TargetMode="External"/><Relationship Id="rId3715" Type="http://schemas.openxmlformats.org/officeDocument/2006/relationships/hyperlink" Target="https://linktr.ee/kdmdelhincr" TargetMode="External"/><Relationship Id="rId3922" Type="http://schemas.openxmlformats.org/officeDocument/2006/relationships/hyperlink" Target="http://pic.twitter.com/VnYyivsXqa" TargetMode="External"/><Relationship Id="rId843" Type="http://schemas.openxmlformats.org/officeDocument/2006/relationships/hyperlink" Target="https://pbs.twimg.com/media/Eu7B0LcWYAEG5Wz.png" TargetMode="External"/><Relationship Id="rId1126" Type="http://schemas.openxmlformats.org/officeDocument/2006/relationships/hyperlink" Target="https://www.aineurocare.com/junaidkalia" TargetMode="External"/><Relationship Id="rId1680" Type="http://schemas.openxmlformats.org/officeDocument/2006/relationships/hyperlink" Target="https://pbs.twimg.com/media/Eu6cUXgXcAc3nEq.jpg" TargetMode="External"/><Relationship Id="rId2524" Type="http://schemas.openxmlformats.org/officeDocument/2006/relationships/hyperlink" Target="https://autome.me/" TargetMode="External"/><Relationship Id="rId2731" Type="http://schemas.openxmlformats.org/officeDocument/2006/relationships/hyperlink" Target="https://www.facebook.com/couponn" TargetMode="External"/><Relationship Id="rId703" Type="http://schemas.openxmlformats.org/officeDocument/2006/relationships/hyperlink" Target="https://rapidminer.com/" TargetMode="External"/><Relationship Id="rId910" Type="http://schemas.openxmlformats.org/officeDocument/2006/relationships/hyperlink" Target="http://www.orobix.com/" TargetMode="External"/><Relationship Id="rId1333" Type="http://schemas.openxmlformats.org/officeDocument/2006/relationships/hyperlink" Target="https://www.usu.edu/today/story/usu-biologist-uses-machine-learning-approach-to-track-disease-carrying-mosquitoes" TargetMode="External"/><Relationship Id="rId1540" Type="http://schemas.openxmlformats.org/officeDocument/2006/relationships/hyperlink" Target="https://www.techradar.com/news/new-nest-thermostat-is-googles-most-affordable-smart-home-heat-monitor-yet/" TargetMode="External"/><Relationship Id="rId1400" Type="http://schemas.openxmlformats.org/officeDocument/2006/relationships/hyperlink" Target="https://www.programmerweekly.com/" TargetMode="External"/><Relationship Id="rId3298" Type="http://schemas.openxmlformats.org/officeDocument/2006/relationships/hyperlink" Target="https://www.linkedin.com/in/santrainephil" TargetMode="External"/><Relationship Id="rId3158" Type="http://schemas.openxmlformats.org/officeDocument/2006/relationships/hyperlink" Target="http://www.eshgro.nl/" TargetMode="External"/><Relationship Id="rId3365" Type="http://schemas.openxmlformats.org/officeDocument/2006/relationships/hyperlink" Target="https://bit.ly/3bvYdNZ" TargetMode="External"/><Relationship Id="rId3572" Type="http://schemas.openxmlformats.org/officeDocument/2006/relationships/hyperlink" Target="https://www.midliferswebbusiness.com/" TargetMode="External"/><Relationship Id="rId4209" Type="http://schemas.openxmlformats.org/officeDocument/2006/relationships/hyperlink" Target="http://pic.twitter.com/RKKho4Xmql" TargetMode="External"/><Relationship Id="rId286" Type="http://schemas.openxmlformats.org/officeDocument/2006/relationships/hyperlink" Target="https://www.nytimes.com/2021/02/23/technology/ai-innovation-privacy-seniors-education.html" TargetMode="External"/><Relationship Id="rId493" Type="http://schemas.openxmlformats.org/officeDocument/2006/relationships/hyperlink" Target="https://dreampostt.blogspot.com/" TargetMode="External"/><Relationship Id="rId2174" Type="http://schemas.openxmlformats.org/officeDocument/2006/relationships/hyperlink" Target="https://pbs.twimg.com/media/Eu6FYlMVoAQ6YZW.jpg" TargetMode="External"/><Relationship Id="rId2381" Type="http://schemas.openxmlformats.org/officeDocument/2006/relationships/hyperlink" Target="https://youtu.be/DZVuIOVXcOQ" TargetMode="External"/><Relationship Id="rId3018" Type="http://schemas.openxmlformats.org/officeDocument/2006/relationships/hyperlink" Target="https://networks.imdea.org/whatsnew/events-agenda/on-three-research-problems/" TargetMode="External"/><Relationship Id="rId3225" Type="http://schemas.openxmlformats.org/officeDocument/2006/relationships/hyperlink" Target="https://www.youtube.com/channel/UCklYFlwYOxUPougzY1ck4uA?sub_confirmation=1" TargetMode="External"/><Relationship Id="rId3432" Type="http://schemas.openxmlformats.org/officeDocument/2006/relationships/hyperlink" Target="https://about.me/pawan.somanchi" TargetMode="External"/><Relationship Id="rId146" Type="http://schemas.openxmlformats.org/officeDocument/2006/relationships/hyperlink" Target="https://bit.ly/3uhkWWJ" TargetMode="External"/><Relationship Id="rId353" Type="http://schemas.openxmlformats.org/officeDocument/2006/relationships/hyperlink" Target="http://www.awakenai.org/" TargetMode="External"/><Relationship Id="rId560" Type="http://schemas.openxmlformats.org/officeDocument/2006/relationships/hyperlink" Target="https://link.medium.com/04L9w1Zw6db" TargetMode="External"/><Relationship Id="rId1190" Type="http://schemas.openxmlformats.org/officeDocument/2006/relationships/hyperlink" Target="https://pbs.twimg.com/media/Eu6zMfDUUAUL3Bb.jpg" TargetMode="External"/><Relationship Id="rId2034" Type="http://schemas.openxmlformats.org/officeDocument/2006/relationships/hyperlink" Target="http://pic.twitter.com/Dbv48l8hru" TargetMode="External"/><Relationship Id="rId2241" Type="http://schemas.openxmlformats.org/officeDocument/2006/relationships/hyperlink" Target="http://www.roboadvisor4u.io/" TargetMode="External"/><Relationship Id="rId213" Type="http://schemas.openxmlformats.org/officeDocument/2006/relationships/hyperlink" Target="https://www.nature.com/articles/s41467-021-21376-0" TargetMode="External"/><Relationship Id="rId420" Type="http://schemas.openxmlformats.org/officeDocument/2006/relationships/hyperlink" Target="https://pbs.twimg.com/media/Eu6fuznXEAg9nVJ.jpg" TargetMode="External"/><Relationship Id="rId1050" Type="http://schemas.openxmlformats.org/officeDocument/2006/relationships/hyperlink" Target="http://www.asuun.com/" TargetMode="External"/><Relationship Id="rId2101" Type="http://schemas.openxmlformats.org/officeDocument/2006/relationships/hyperlink" Target="https://jobhunt.ai/machinelearning-ml-ai-job-mw-Remote-Machine-Learning-Engineer-Resemble-AI-remotework.html" TargetMode="External"/><Relationship Id="rId4066" Type="http://schemas.openxmlformats.org/officeDocument/2006/relationships/hyperlink" Target="https://buff.ly/2Uuxj1l" TargetMode="External"/><Relationship Id="rId1867" Type="http://schemas.openxmlformats.org/officeDocument/2006/relationships/hyperlink" Target="http://www.growcode.com/" TargetMode="External"/><Relationship Id="rId2918" Type="http://schemas.openxmlformats.org/officeDocument/2006/relationships/hyperlink" Target="https://www.hgsdigital.com/" TargetMode="External"/><Relationship Id="rId4273" Type="http://schemas.openxmlformats.org/officeDocument/2006/relationships/hyperlink" Target="http://pic.twitter.com/c4N4ReA3st" TargetMode="External"/><Relationship Id="rId1727" Type="http://schemas.openxmlformats.org/officeDocument/2006/relationships/hyperlink" Target="https://machinecurve.com/" TargetMode="External"/><Relationship Id="rId1934" Type="http://schemas.openxmlformats.org/officeDocument/2006/relationships/hyperlink" Target="https://www.onelink.to/programminghero" TargetMode="External"/><Relationship Id="rId3082" Type="http://schemas.openxmlformats.org/officeDocument/2006/relationships/hyperlink" Target="https://bit.ly/2NQoSN8" TargetMode="External"/><Relationship Id="rId4133" Type="http://schemas.openxmlformats.org/officeDocument/2006/relationships/hyperlink" Target="https://www.instagram.com/p/CLnWyPJjDvZ/?utm_source=ig_web_copy_link" TargetMode="External"/><Relationship Id="rId19" Type="http://schemas.openxmlformats.org/officeDocument/2006/relationships/hyperlink" Target="http://ow.ly/WsL430ry4tR" TargetMode="External"/><Relationship Id="rId3899" Type="http://schemas.openxmlformats.org/officeDocument/2006/relationships/hyperlink" Target="https://paper.li/e-1513738567?edition_id=04a48af0-7583-11eb-9bb6-0cc47a0d1605" TargetMode="External"/><Relationship Id="rId4200" Type="http://schemas.openxmlformats.org/officeDocument/2006/relationships/hyperlink" Target="http://sph.berkeley.edu/" TargetMode="External"/><Relationship Id="rId3759" Type="http://schemas.openxmlformats.org/officeDocument/2006/relationships/hyperlink" Target="https://pbs.twimg.com/media/Eu4hLBOWgAA1Pk8.jpg" TargetMode="External"/><Relationship Id="rId3966" Type="http://schemas.openxmlformats.org/officeDocument/2006/relationships/hyperlink" Target="https://aviationbusinessconsultants.com/2021/02/ten-creepy-ai-tools-for-aviation-marketing/" TargetMode="External"/><Relationship Id="rId3" Type="http://schemas.openxmlformats.org/officeDocument/2006/relationships/hyperlink" Target="http://pic.twitter.com/Ow32hX3hyQ" TargetMode="External"/><Relationship Id="rId887" Type="http://schemas.openxmlformats.org/officeDocument/2006/relationships/hyperlink" Target="https://buff.ly/3qJqs2c" TargetMode="External"/><Relationship Id="rId2568" Type="http://schemas.openxmlformats.org/officeDocument/2006/relationships/hyperlink" Target="http://www.mindbreeze.com/" TargetMode="External"/><Relationship Id="rId2775" Type="http://schemas.openxmlformats.org/officeDocument/2006/relationships/hyperlink" Target="http://www.graphcore.ai/" TargetMode="External"/><Relationship Id="rId2982" Type="http://schemas.openxmlformats.org/officeDocument/2006/relationships/hyperlink" Target="https://pbs.twimg.com/media/Eu5dzDrXUAM7fv4.jpg" TargetMode="External"/><Relationship Id="rId3619" Type="http://schemas.openxmlformats.org/officeDocument/2006/relationships/hyperlink" Target="https://zpy.io/efb95532" TargetMode="External"/><Relationship Id="rId3826" Type="http://schemas.openxmlformats.org/officeDocument/2006/relationships/hyperlink" Target="https://www.linkedin.com/in/mmallari" TargetMode="External"/><Relationship Id="rId747" Type="http://schemas.openxmlformats.org/officeDocument/2006/relationships/hyperlink" Target="https://hubs.li/H0H3GFX0" TargetMode="External"/><Relationship Id="rId954" Type="http://schemas.openxmlformats.org/officeDocument/2006/relationships/hyperlink" Target="https://buff.ly/2CNPlW9" TargetMode="External"/><Relationship Id="rId1377" Type="http://schemas.openxmlformats.org/officeDocument/2006/relationships/hyperlink" Target="https://pbs.twimg.com/media/EtJWj3KW8AEgH_0.jpg" TargetMode="External"/><Relationship Id="rId1584" Type="http://schemas.openxmlformats.org/officeDocument/2006/relationships/hyperlink" Target="http://www.packtpub.com/" TargetMode="External"/><Relationship Id="rId1791" Type="http://schemas.openxmlformats.org/officeDocument/2006/relationships/hyperlink" Target="https://soulpageit.com/" TargetMode="External"/><Relationship Id="rId2428" Type="http://schemas.openxmlformats.org/officeDocument/2006/relationships/hyperlink" Target="https://twitter.com/smarthelioIOT/status/1364114656810332162" TargetMode="External"/><Relationship Id="rId2635" Type="http://schemas.openxmlformats.org/officeDocument/2006/relationships/hyperlink" Target="https://bit.ly/3unbeSH" TargetMode="External"/><Relationship Id="rId2842" Type="http://schemas.openxmlformats.org/officeDocument/2006/relationships/hyperlink" Target="https://twitter.com/Theslimevids/status/1350037134317477890" TargetMode="External"/><Relationship Id="rId83" Type="http://schemas.openxmlformats.org/officeDocument/2006/relationships/hyperlink" Target="https://pbs.twimg.com/media/Eu7g9g-XYAwFtxe.jpg" TargetMode="External"/><Relationship Id="rId607" Type="http://schemas.openxmlformats.org/officeDocument/2006/relationships/hyperlink" Target="http://ow.ly/9eyg50DHMZY" TargetMode="External"/><Relationship Id="rId814" Type="http://schemas.openxmlformats.org/officeDocument/2006/relationships/hyperlink" Target="https://blogs.technet.microsoft.com/techlazy" TargetMode="External"/><Relationship Id="rId1237" Type="http://schemas.openxmlformats.org/officeDocument/2006/relationships/hyperlink" Target="http://www.vicentegilpalop.com/" TargetMode="External"/><Relationship Id="rId1444" Type="http://schemas.openxmlformats.org/officeDocument/2006/relationships/hyperlink" Target="https://tcairem.utoronto.ca/" TargetMode="External"/><Relationship Id="rId1651" Type="http://schemas.openxmlformats.org/officeDocument/2006/relationships/hyperlink" Target="https://pbs.twimg.com/media/Eu6eJYBWQAgiPpZ.jpg" TargetMode="External"/><Relationship Id="rId2702" Type="http://schemas.openxmlformats.org/officeDocument/2006/relationships/hyperlink" Target="http://ow.ly/91vN50DHmxu" TargetMode="External"/><Relationship Id="rId1304" Type="http://schemas.openxmlformats.org/officeDocument/2006/relationships/hyperlink" Target="https://thesequence.substack.com/p/edge65?r=2g8vk&amp;utm_campaign=post&amp;utm_medium=web&amp;utm_source=copy" TargetMode="External"/><Relationship Id="rId1511" Type="http://schemas.openxmlformats.org/officeDocument/2006/relationships/hyperlink" Target="https://bit.ly/3usGhwy" TargetMode="External"/><Relationship Id="rId3269" Type="http://schemas.openxmlformats.org/officeDocument/2006/relationships/hyperlink" Target="https://pbs.twimg.com/media/Eu5NEsoVoAEqv2L.jpg" TargetMode="External"/><Relationship Id="rId3476" Type="http://schemas.openxmlformats.org/officeDocument/2006/relationships/hyperlink" Target="https://pbs.twimg.com/media/Euw-BBLXIAMa9fN.png" TargetMode="External"/><Relationship Id="rId3683" Type="http://schemas.openxmlformats.org/officeDocument/2006/relationships/hyperlink" Target="http://cognitivetoday.com/" TargetMode="External"/><Relationship Id="rId10" Type="http://schemas.openxmlformats.org/officeDocument/2006/relationships/hyperlink" Target="https://www.youtube.com/watch?v=2dCz3oL2rTw" TargetMode="External"/><Relationship Id="rId397" Type="http://schemas.openxmlformats.org/officeDocument/2006/relationships/hyperlink" Target="http://pic.twitter.com/9TMl2D7IpJ" TargetMode="External"/><Relationship Id="rId2078" Type="http://schemas.openxmlformats.org/officeDocument/2006/relationships/hyperlink" Target="https://liwaiwai.com/2021/02/10/advanced-materials-in-a-snap-machine-learning-could-lop-a-year-off-technology-design-cycle/" TargetMode="External"/><Relationship Id="rId2285" Type="http://schemas.openxmlformats.org/officeDocument/2006/relationships/hyperlink" Target="https://pbs.twimg.com/media/Eu5_6YXXIAALegF.jpg" TargetMode="External"/><Relationship Id="rId2492" Type="http://schemas.openxmlformats.org/officeDocument/2006/relationships/hyperlink" Target="https://www.youtube.com/channel/UChyDkl0l6W4VebsaKSW2sDw" TargetMode="External"/><Relationship Id="rId3129" Type="http://schemas.openxmlformats.org/officeDocument/2006/relationships/hyperlink" Target="https://pbs.twimg.com/media/Eu5WrWlXAAMLEil.jpg" TargetMode="External"/><Relationship Id="rId3336" Type="http://schemas.openxmlformats.org/officeDocument/2006/relationships/hyperlink" Target="https://bit.ly/399RTuv" TargetMode="External"/><Relationship Id="rId3890" Type="http://schemas.openxmlformats.org/officeDocument/2006/relationships/hyperlink" Target="http://www.marktechpost.com/" TargetMode="External"/><Relationship Id="rId257" Type="http://schemas.openxmlformats.org/officeDocument/2006/relationships/hyperlink" Target="http://dlvr.it/RtKXXb" TargetMode="External"/><Relationship Id="rId464" Type="http://schemas.openxmlformats.org/officeDocument/2006/relationships/hyperlink" Target="https://hbr.org/2021/02/how-midsize-companies-can-use-data-to-compete-with-digital-giants?utm_medium=email&amp;utm_source=newsletter_daily&amp;utm_campaign=dailyalert_notactsubs&amp;deliveryName=DM120222" TargetMode="External"/><Relationship Id="rId1094" Type="http://schemas.openxmlformats.org/officeDocument/2006/relationships/hyperlink" Target="http://cancerletter.com/articles/20210219_1/" TargetMode="External"/><Relationship Id="rId2145" Type="http://schemas.openxmlformats.org/officeDocument/2006/relationships/hyperlink" Target="http://www.vekia.fr/" TargetMode="External"/><Relationship Id="rId3543" Type="http://schemas.openxmlformats.org/officeDocument/2006/relationships/hyperlink" Target="https://teespring.com/stores/ai-apparel-3" TargetMode="External"/><Relationship Id="rId3750" Type="http://schemas.openxmlformats.org/officeDocument/2006/relationships/hyperlink" Target="https://github.community/t/community-ama-featuring-mike-mcquaid-2021-02-26-2pm-utc/157900?u=hipstersantos" TargetMode="External"/><Relationship Id="rId117" Type="http://schemas.openxmlformats.org/officeDocument/2006/relationships/hyperlink" Target="http://www.datascientists.fr/" TargetMode="External"/><Relationship Id="rId671" Type="http://schemas.openxmlformats.org/officeDocument/2006/relationships/hyperlink" Target="https://www.linkedin.com/in/itaiy/" TargetMode="External"/><Relationship Id="rId2352" Type="http://schemas.openxmlformats.org/officeDocument/2006/relationships/hyperlink" Target="https://buff.ly/3aKLFmB" TargetMode="External"/><Relationship Id="rId3403" Type="http://schemas.openxmlformats.org/officeDocument/2006/relationships/hyperlink" Target="https://pbs.twimg.com/media/Eu5B53IXEAAMMss.png" TargetMode="External"/><Relationship Id="rId3610" Type="http://schemas.openxmlformats.org/officeDocument/2006/relationships/hyperlink" Target="https://bigml.com/gallery/scripts" TargetMode="External"/><Relationship Id="rId324" Type="http://schemas.openxmlformats.org/officeDocument/2006/relationships/hyperlink" Target="https://www.eventbrite.co.uk/e/the-ai-and-data-science-clinic-a-free-workshop-for-decision-makers-tickets-138758206531?aff=ebdsoporgprofile" TargetMode="External"/><Relationship Id="rId531" Type="http://schemas.openxmlformats.org/officeDocument/2006/relationships/hyperlink" Target="https://bit.ly/2NQTiiD" TargetMode="External"/><Relationship Id="rId1161" Type="http://schemas.openxmlformats.org/officeDocument/2006/relationships/hyperlink" Target="https://bit.ly/3pHN01L" TargetMode="External"/><Relationship Id="rId2005" Type="http://schemas.openxmlformats.org/officeDocument/2006/relationships/hyperlink" Target="http://scn.sap.com/community/high-tech" TargetMode="External"/><Relationship Id="rId2212" Type="http://schemas.openxmlformats.org/officeDocument/2006/relationships/hyperlink" Target="http://ipfconline.fr/contacts-eng.html" TargetMode="External"/><Relationship Id="rId1021" Type="http://schemas.openxmlformats.org/officeDocument/2006/relationships/hyperlink" Target="https://pbs.twimg.com/media/Eu66Cv5XYAUEN-W.jpg" TargetMode="External"/><Relationship Id="rId1978" Type="http://schemas.openxmlformats.org/officeDocument/2006/relationships/hyperlink" Target="http://essentials.news/future-of-ai" TargetMode="External"/><Relationship Id="rId4177" Type="http://schemas.openxmlformats.org/officeDocument/2006/relationships/hyperlink" Target="http://pic.twitter.com/LolnhDInaT" TargetMode="External"/><Relationship Id="rId3193" Type="http://schemas.openxmlformats.org/officeDocument/2006/relationships/hyperlink" Target="https://edition.cnn.com/2021/02/16/world/vein-hands-identify-intl-scli-scn/index.html" TargetMode="External"/><Relationship Id="rId4037" Type="http://schemas.openxmlformats.org/officeDocument/2006/relationships/hyperlink" Target="https://ml.auckland.ac.nz/machine-learning-seminar-of-dr-kin-lung-chan-what-machine-learning-cant-learn-2/" TargetMode="External"/><Relationship Id="rId4244" Type="http://schemas.openxmlformats.org/officeDocument/2006/relationships/hyperlink" Target="http://pic.twitter.com/xzRIwb2Lfx" TargetMode="External"/><Relationship Id="rId1838" Type="http://schemas.openxmlformats.org/officeDocument/2006/relationships/hyperlink" Target="https://superdigital.agency/" TargetMode="External"/><Relationship Id="rId3053" Type="http://schemas.openxmlformats.org/officeDocument/2006/relationships/hyperlink" Target="https://bit.ly/3ulyKzm" TargetMode="External"/><Relationship Id="rId3260" Type="http://schemas.openxmlformats.org/officeDocument/2006/relationships/hyperlink" Target="http://www.qavalley.com/" TargetMode="External"/><Relationship Id="rId4104" Type="http://schemas.openxmlformats.org/officeDocument/2006/relationships/hyperlink" Target="https://pub.towardsai.net/tensorflow-accelerate-numpy-with-gpus-964e9087fdab?source=rss----98111c9905da---4?source=social.tw" TargetMode="External"/><Relationship Id="rId181" Type="http://schemas.openxmlformats.org/officeDocument/2006/relationships/hyperlink" Target="http://dataseer.digital/" TargetMode="External"/><Relationship Id="rId1905" Type="http://schemas.openxmlformats.org/officeDocument/2006/relationships/hyperlink" Target="https://twitter.com/miya_drawing/status/1360522183529754627" TargetMode="External"/><Relationship Id="rId3120" Type="http://schemas.openxmlformats.org/officeDocument/2006/relationships/hyperlink" Target="https://pbs.twimg.com/media/Eu5W4OLVkAAPHGV.jpg" TargetMode="External"/><Relationship Id="rId998" Type="http://schemas.openxmlformats.org/officeDocument/2006/relationships/hyperlink" Target="https://www.thecoderworld.com/everything-you-need-to-know-about-computer-vision/" TargetMode="External"/><Relationship Id="rId2679" Type="http://schemas.openxmlformats.org/officeDocument/2006/relationships/hyperlink" Target="https://bloggingguide.org/" TargetMode="External"/><Relationship Id="rId2886" Type="http://schemas.openxmlformats.org/officeDocument/2006/relationships/hyperlink" Target="http://www.velmie.com/" TargetMode="External"/><Relationship Id="rId3937" Type="http://schemas.openxmlformats.org/officeDocument/2006/relationships/hyperlink" Target="https://hashnode.com/" TargetMode="External"/><Relationship Id="rId858" Type="http://schemas.openxmlformats.org/officeDocument/2006/relationships/hyperlink" Target="https://bit.ly/3keHbrw" TargetMode="External"/><Relationship Id="rId1488" Type="http://schemas.openxmlformats.org/officeDocument/2006/relationships/hyperlink" Target="http://www.traderslog.com/" TargetMode="External"/><Relationship Id="rId1695" Type="http://schemas.openxmlformats.org/officeDocument/2006/relationships/hyperlink" Target="https://pbs.twimg.com/media/Eu6b-jgUYAsP0sX.jpg" TargetMode="External"/><Relationship Id="rId2539" Type="http://schemas.openxmlformats.org/officeDocument/2006/relationships/hyperlink" Target="https://www.linkedin.com/in/pinakilaskar/" TargetMode="External"/><Relationship Id="rId2746" Type="http://schemas.openxmlformats.org/officeDocument/2006/relationships/hyperlink" Target="http://cxportal.com/" TargetMode="External"/><Relationship Id="rId2953" Type="http://schemas.openxmlformats.org/officeDocument/2006/relationships/hyperlink" Target="http://essentials.news/future-of-hacking" TargetMode="External"/><Relationship Id="rId718" Type="http://schemas.openxmlformats.org/officeDocument/2006/relationships/hyperlink" Target="http://www.studentsuccessdata.com/" TargetMode="External"/><Relationship Id="rId925" Type="http://schemas.openxmlformats.org/officeDocument/2006/relationships/hyperlink" Target="https://medium.com/ai-in-plain-english/visualising-data-part-2-6fc80a802299" TargetMode="External"/><Relationship Id="rId1348" Type="http://schemas.openxmlformats.org/officeDocument/2006/relationships/hyperlink" Target="https://www.linkedin.com/company/alexandernetworks" TargetMode="External"/><Relationship Id="rId1555" Type="http://schemas.openxmlformats.org/officeDocument/2006/relationships/hyperlink" Target="http://mlwhiz.com/" TargetMode="External"/><Relationship Id="rId1762" Type="http://schemas.openxmlformats.org/officeDocument/2006/relationships/hyperlink" Target="https://ift.tt/3bm69RG" TargetMode="External"/><Relationship Id="rId2606" Type="http://schemas.openxmlformats.org/officeDocument/2006/relationships/hyperlink" Target="https://pbs.twimg.com/media/Eu5vakiVEAgDcD5.jpg" TargetMode="External"/><Relationship Id="rId1208" Type="http://schemas.openxmlformats.org/officeDocument/2006/relationships/hyperlink" Target="https://pbs.twimg.com/media/Eu6v8dRUUAsJ-nE.jpg" TargetMode="External"/><Relationship Id="rId1415" Type="http://schemas.openxmlformats.org/officeDocument/2006/relationships/hyperlink" Target="http://ipfconline.fr/contacts-eng.html" TargetMode="External"/><Relationship Id="rId2813" Type="http://schemas.openxmlformats.org/officeDocument/2006/relationships/hyperlink" Target="http://www.secureredact.co.uk/" TargetMode="External"/><Relationship Id="rId54" Type="http://schemas.openxmlformats.org/officeDocument/2006/relationships/hyperlink" Target="https://bit.ly/3umvaVA" TargetMode="External"/><Relationship Id="rId1622" Type="http://schemas.openxmlformats.org/officeDocument/2006/relationships/hyperlink" Target="https://h3tech.dev/" TargetMode="External"/><Relationship Id="rId2189" Type="http://schemas.openxmlformats.org/officeDocument/2006/relationships/hyperlink" Target="https://bit.ly/HMLE-Presentations" TargetMode="External"/><Relationship Id="rId3587" Type="http://schemas.openxmlformats.org/officeDocument/2006/relationships/hyperlink" Target="https://pbs.twimg.com/media/Eu4xRjPVgAAzZ_c.jpg" TargetMode="External"/><Relationship Id="rId3794" Type="http://schemas.openxmlformats.org/officeDocument/2006/relationships/hyperlink" Target="https://www.fiverr.com/razu95/professional-modern-minimalist-logo-design-24-hrs" TargetMode="External"/><Relationship Id="rId2396" Type="http://schemas.openxmlformats.org/officeDocument/2006/relationships/hyperlink" Target="http://bit.ly/2NSYnqo" TargetMode="External"/><Relationship Id="rId3447" Type="http://schemas.openxmlformats.org/officeDocument/2006/relationships/hyperlink" Target="http://teksands.ai/" TargetMode="External"/><Relationship Id="rId3654" Type="http://schemas.openxmlformats.org/officeDocument/2006/relationships/hyperlink" Target="http://www.linkcxo.com/" TargetMode="External"/><Relationship Id="rId3861" Type="http://schemas.openxmlformats.org/officeDocument/2006/relationships/hyperlink" Target="https://www.facebook.com/retailnz/" TargetMode="External"/><Relationship Id="rId368" Type="http://schemas.openxmlformats.org/officeDocument/2006/relationships/hyperlink" Target="https://pbs.twimg.com/media/EtU5qjAWYAMDELN.png" TargetMode="External"/><Relationship Id="rId575" Type="http://schemas.openxmlformats.org/officeDocument/2006/relationships/hyperlink" Target="https://pbs.twimg.com/media/Eu7M3ixWQAE55mq.jpg" TargetMode="External"/><Relationship Id="rId782" Type="http://schemas.openxmlformats.org/officeDocument/2006/relationships/hyperlink" Target="https://bit.ly/2NPey8g" TargetMode="External"/><Relationship Id="rId2049" Type="http://schemas.openxmlformats.org/officeDocument/2006/relationships/hyperlink" Target="https://pbs.twimg.com/media/Eu6MzsBVIAM95mQ.jpg" TargetMode="External"/><Relationship Id="rId2256" Type="http://schemas.openxmlformats.org/officeDocument/2006/relationships/hyperlink" Target="https://www.linkedin.com/in/thomasharrer/" TargetMode="External"/><Relationship Id="rId2463" Type="http://schemas.openxmlformats.org/officeDocument/2006/relationships/hyperlink" Target="https://pbs.twimg.com/media/Eu52_CzXUAEB2Zw.jpg" TargetMode="External"/><Relationship Id="rId2670" Type="http://schemas.openxmlformats.org/officeDocument/2006/relationships/hyperlink" Target="https://www.forbes.com/sites/christinemoorman/2020/02/04/smart-marketing-how-corporate-marketers-deploy-ai/?sh=2f777fda3383" TargetMode="External"/><Relationship Id="rId3307" Type="http://schemas.openxmlformats.org/officeDocument/2006/relationships/hyperlink" Target="https://www.intelrealsense.com/using-tensorflow-with-depth/" TargetMode="External"/><Relationship Id="rId3514" Type="http://schemas.openxmlformats.org/officeDocument/2006/relationships/hyperlink" Target="https://www.bacancytechnology.com/" TargetMode="External"/><Relationship Id="rId3721" Type="http://schemas.openxmlformats.org/officeDocument/2006/relationships/hyperlink" Target="https://analyticsindiamag.com/" TargetMode="External"/><Relationship Id="rId228" Type="http://schemas.openxmlformats.org/officeDocument/2006/relationships/hyperlink" Target="https://www.h2o.ai/" TargetMode="External"/><Relationship Id="rId435" Type="http://schemas.openxmlformats.org/officeDocument/2006/relationships/hyperlink" Target="https://pbs.twimg.com/media/Eu7STevWYAktiWB.jpg" TargetMode="External"/><Relationship Id="rId642" Type="http://schemas.openxmlformats.org/officeDocument/2006/relationships/hyperlink" Target="https://dy.si/GXLH2" TargetMode="External"/><Relationship Id="rId1065" Type="http://schemas.openxmlformats.org/officeDocument/2006/relationships/hyperlink" Target="http://www.linkedin.com/in/jamesg2006" TargetMode="External"/><Relationship Id="rId1272" Type="http://schemas.openxmlformats.org/officeDocument/2006/relationships/hyperlink" Target="http://ow.ly/YEho30ry3e7" TargetMode="External"/><Relationship Id="rId2116" Type="http://schemas.openxmlformats.org/officeDocument/2006/relationships/hyperlink" Target="https://pbs.twimg.com/media/Eu6IcnDXMAY2BPM.jpg" TargetMode="External"/><Relationship Id="rId2323" Type="http://schemas.openxmlformats.org/officeDocument/2006/relationships/hyperlink" Target="http://pic.twitter.com/MpNDno8xLL" TargetMode="External"/><Relationship Id="rId2530" Type="http://schemas.openxmlformats.org/officeDocument/2006/relationships/hyperlink" Target="https://pbs.twimg.com/media/Eu5ySL2WgAEq8QH.jpg" TargetMode="External"/><Relationship Id="rId502" Type="http://schemas.openxmlformats.org/officeDocument/2006/relationships/hyperlink" Target="http://www.globalbigdataconference.com/santa-clara/global-artificial-intelligence-virtual-bootcamp/s" TargetMode="External"/><Relationship Id="rId1132" Type="http://schemas.openxmlformats.org/officeDocument/2006/relationships/hyperlink" Target="https://dy.si/qH92K" TargetMode="External"/><Relationship Id="rId3097" Type="http://schemas.openxmlformats.org/officeDocument/2006/relationships/hyperlink" Target="https://bit.ly/3pLcDyS" TargetMode="External"/><Relationship Id="rId4148" Type="http://schemas.openxmlformats.org/officeDocument/2006/relationships/hyperlink" Target="https://pbs.twimg.com/media/Eu32bP-XYAILoZ4.jpg" TargetMode="External"/><Relationship Id="rId1949" Type="http://schemas.openxmlformats.org/officeDocument/2006/relationships/hyperlink" Target="http://about.me/paulhector" TargetMode="External"/><Relationship Id="rId3164" Type="http://schemas.openxmlformats.org/officeDocument/2006/relationships/hyperlink" Target="https://neurons.ai/blog/news-stories/oracle-launches-construction-ai-advisor-for-its-cloud-services/" TargetMode="External"/><Relationship Id="rId4008" Type="http://schemas.openxmlformats.org/officeDocument/2006/relationships/hyperlink" Target="https://bit.ly/3hKsk6k" TargetMode="External"/><Relationship Id="rId292" Type="http://schemas.openxmlformats.org/officeDocument/2006/relationships/hyperlink" Target="https://www.information-age.com/training-machine-learning-models-future-ready-123493865/" TargetMode="External"/><Relationship Id="rId1809" Type="http://schemas.openxmlformats.org/officeDocument/2006/relationships/hyperlink" Target="http://www.fiverr.com/topgallery" TargetMode="External"/><Relationship Id="rId3371" Type="http://schemas.openxmlformats.org/officeDocument/2006/relationships/hyperlink" Target="https://pbs.twimg.com/media/Eu5EWhDWQAEuCi_.jpg" TargetMode="External"/><Relationship Id="rId4215" Type="http://schemas.openxmlformats.org/officeDocument/2006/relationships/hyperlink" Target="http://www.la-forge.ai/" TargetMode="External"/><Relationship Id="rId2180" Type="http://schemas.openxmlformats.org/officeDocument/2006/relationships/hyperlink" Target="https://blog.onesaitplatform.com/" TargetMode="External"/><Relationship Id="rId3024" Type="http://schemas.openxmlformats.org/officeDocument/2006/relationships/hyperlink" Target="https://pbs.twimg.com/media/Eu5cNgXXIAAGOAj.jpg" TargetMode="External"/><Relationship Id="rId3231" Type="http://schemas.openxmlformats.org/officeDocument/2006/relationships/hyperlink" Target="https://github.com/cair/TsetlinMachine" TargetMode="External"/><Relationship Id="rId152" Type="http://schemas.openxmlformats.org/officeDocument/2006/relationships/hyperlink" Target="https://pbs.twimg.com/media/Eu7edKDXEAEFsXS.jpg" TargetMode="External"/><Relationship Id="rId2040" Type="http://schemas.openxmlformats.org/officeDocument/2006/relationships/hyperlink" Target="https://pbs.twimg.com/media/Eu4jdNAXUAQm1do.jpg" TargetMode="External"/><Relationship Id="rId2997" Type="http://schemas.openxmlformats.org/officeDocument/2006/relationships/hyperlink" Target="http://www.awakenai.org/" TargetMode="External"/><Relationship Id="rId969" Type="http://schemas.openxmlformats.org/officeDocument/2006/relationships/hyperlink" Target="https://pbs.twimg.com/media/Eu5mcsnVcAMibx4.jpg" TargetMode="External"/><Relationship Id="rId1599" Type="http://schemas.openxmlformats.org/officeDocument/2006/relationships/hyperlink" Target="https://zpy.io/b25d1e4e" TargetMode="External"/><Relationship Id="rId1459" Type="http://schemas.openxmlformats.org/officeDocument/2006/relationships/hyperlink" Target="https://www.journeyhero.net/technology/" TargetMode="External"/><Relationship Id="rId2857" Type="http://schemas.openxmlformats.org/officeDocument/2006/relationships/hyperlink" Target="http://pic.twitter.com/WxM4AjOHg4" TargetMode="External"/><Relationship Id="rId3908" Type="http://schemas.openxmlformats.org/officeDocument/2006/relationships/hyperlink" Target="http://www.corizance.com/" TargetMode="External"/><Relationship Id="rId4072" Type="http://schemas.openxmlformats.org/officeDocument/2006/relationships/hyperlink" Target="https://pbs.twimg.com/media/Eu3-mlPUYAMivfg.jpg" TargetMode="External"/><Relationship Id="rId98" Type="http://schemas.openxmlformats.org/officeDocument/2006/relationships/hyperlink" Target="http://essentials.news/future-of-ai" TargetMode="External"/><Relationship Id="rId829" Type="http://schemas.openxmlformats.org/officeDocument/2006/relationships/hyperlink" Target="https://neurons.ai/blog/news-stories/machine-learning-model-analysis-using-tensorboard/" TargetMode="External"/><Relationship Id="rId1666" Type="http://schemas.openxmlformats.org/officeDocument/2006/relationships/hyperlink" Target="https://deepai.org/research" TargetMode="External"/><Relationship Id="rId1873" Type="http://schemas.openxmlformats.org/officeDocument/2006/relationships/hyperlink" Target="https://zcu.io/T03Y" TargetMode="External"/><Relationship Id="rId2717" Type="http://schemas.openxmlformats.org/officeDocument/2006/relationships/hyperlink" Target="http://www.desfufor.es/" TargetMode="External"/><Relationship Id="rId2924" Type="http://schemas.openxmlformats.org/officeDocument/2006/relationships/hyperlink" Target="https://pbs.twimg.com/media/Eu5f6VJUUAA8Zrs.jpg" TargetMode="External"/><Relationship Id="rId1319" Type="http://schemas.openxmlformats.org/officeDocument/2006/relationships/hyperlink" Target="https://www.dqindia.com/women-in-data-science-changing-the-rules-of-the-game/" TargetMode="External"/><Relationship Id="rId1526" Type="http://schemas.openxmlformats.org/officeDocument/2006/relationships/hyperlink" Target="https://pbs.twimg.com/media/Eu6jZlnWYAAV70T.jpg" TargetMode="External"/><Relationship Id="rId1733" Type="http://schemas.openxmlformats.org/officeDocument/2006/relationships/hyperlink" Target="http://www.linkedin.com/in/haroldsinnott/" TargetMode="External"/><Relationship Id="rId1940" Type="http://schemas.openxmlformats.org/officeDocument/2006/relationships/hyperlink" Target="http://www.awsugsp.com/" TargetMode="External"/><Relationship Id="rId25" Type="http://schemas.openxmlformats.org/officeDocument/2006/relationships/hyperlink" Target="http://asgard-data.com/" TargetMode="External"/><Relationship Id="rId1800" Type="http://schemas.openxmlformats.org/officeDocument/2006/relationships/hyperlink" Target="https://techgdpr.com/" TargetMode="External"/><Relationship Id="rId3698" Type="http://schemas.openxmlformats.org/officeDocument/2006/relationships/hyperlink" Target="https://pbs.twimg.com/media/Eu4mdh8WQAM2Wm1.jpg" TargetMode="External"/><Relationship Id="rId3558" Type="http://schemas.openxmlformats.org/officeDocument/2006/relationships/hyperlink" Target="https://vonage.dev/3pDA1OQ" TargetMode="External"/><Relationship Id="rId3765" Type="http://schemas.openxmlformats.org/officeDocument/2006/relationships/hyperlink" Target="https://pbs.twimg.com/media/Eu4gdsIXMAY0wns.jpg" TargetMode="External"/><Relationship Id="rId3972" Type="http://schemas.openxmlformats.org/officeDocument/2006/relationships/hyperlink" Target="https://pbs.twimg.com/media/Eu4H-5tXYAQrDxb.jpg" TargetMode="External"/><Relationship Id="rId479" Type="http://schemas.openxmlformats.org/officeDocument/2006/relationships/hyperlink" Target="https://twitter.com/GARP_Risk/status/1364243835916865545" TargetMode="External"/><Relationship Id="rId686" Type="http://schemas.openxmlformats.org/officeDocument/2006/relationships/hyperlink" Target="https://pbs.twimg.com/media/Eu7IeJDXAAIoR31.jpg" TargetMode="External"/><Relationship Id="rId893" Type="http://schemas.openxmlformats.org/officeDocument/2006/relationships/hyperlink" Target="https://bit.ly/3aLaQ8I" TargetMode="External"/><Relationship Id="rId2367" Type="http://schemas.openxmlformats.org/officeDocument/2006/relationships/hyperlink" Target="https://pbs.twimg.com/media/Eu58QvoXAAITLiw.jpg" TargetMode="External"/><Relationship Id="rId2574" Type="http://schemas.openxmlformats.org/officeDocument/2006/relationships/hyperlink" Target="https://lnkd.in/gayU7f4" TargetMode="External"/><Relationship Id="rId2781" Type="http://schemas.openxmlformats.org/officeDocument/2006/relationships/hyperlink" Target="https://techrando.com/2019/08/14/a-brief-introduction-to-change-point-detection-using-python/" TargetMode="External"/><Relationship Id="rId3418" Type="http://schemas.openxmlformats.org/officeDocument/2006/relationships/hyperlink" Target="https://pbs.twimg.com/media/Eu5AP61VkAQZcFi.jpg" TargetMode="External"/><Relationship Id="rId3625" Type="http://schemas.openxmlformats.org/officeDocument/2006/relationships/hyperlink" Target="https://neurons.ai/blog/news-stories/hurry-this-13-inch-macbook-pro-is-100-off-at-amazon/" TargetMode="External"/><Relationship Id="rId339" Type="http://schemas.openxmlformats.org/officeDocument/2006/relationships/hyperlink" Target="https://flip.it/OMSXl1" TargetMode="External"/><Relationship Id="rId546" Type="http://schemas.openxmlformats.org/officeDocument/2006/relationships/hyperlink" Target="http://www.datamovesme.com/" TargetMode="External"/><Relationship Id="rId753" Type="http://schemas.openxmlformats.org/officeDocument/2006/relationships/hyperlink" Target="https://medium.com/analytics-vidhya/how-big-tech-use-machine-learning-446d2d3bf686" TargetMode="External"/><Relationship Id="rId1176" Type="http://schemas.openxmlformats.org/officeDocument/2006/relationships/hyperlink" Target="https://bit.ly/2P3NjYj" TargetMode="External"/><Relationship Id="rId1383" Type="http://schemas.openxmlformats.org/officeDocument/2006/relationships/hyperlink" Target="https://pbs.twimg.com/media/Eu6plh5VIAUCUZZ.jpg" TargetMode="External"/><Relationship Id="rId2227" Type="http://schemas.openxmlformats.org/officeDocument/2006/relationships/hyperlink" Target="https://pbs.twimg.com/media/Eu6BdKWWYAATkhk.jpg" TargetMode="External"/><Relationship Id="rId2434" Type="http://schemas.openxmlformats.org/officeDocument/2006/relationships/hyperlink" Target="http://groundlimo.com/" TargetMode="External"/><Relationship Id="rId3832" Type="http://schemas.openxmlformats.org/officeDocument/2006/relationships/hyperlink" Target="https://enetwork.ai/" TargetMode="External"/><Relationship Id="rId406" Type="http://schemas.openxmlformats.org/officeDocument/2006/relationships/hyperlink" Target="https://www.linkedin.com/pub/william-ramarques/25/175/1a0" TargetMode="External"/><Relationship Id="rId960" Type="http://schemas.openxmlformats.org/officeDocument/2006/relationships/hyperlink" Target="https://buff.ly/3qJMJwO" TargetMode="External"/><Relationship Id="rId1036" Type="http://schemas.openxmlformats.org/officeDocument/2006/relationships/hyperlink" Target="https://www.itviconsultants.com/" TargetMode="External"/><Relationship Id="rId1243" Type="http://schemas.openxmlformats.org/officeDocument/2006/relationships/hyperlink" Target="https://siliconcanals.com/crowdfunding/noise-cancelling-app-krisp-raises-7-4m/" TargetMode="External"/><Relationship Id="rId1590" Type="http://schemas.openxmlformats.org/officeDocument/2006/relationships/hyperlink" Target="https://dy.si/H1TPn" TargetMode="External"/><Relationship Id="rId2641" Type="http://schemas.openxmlformats.org/officeDocument/2006/relationships/hyperlink" Target="http://technative.io/" TargetMode="External"/><Relationship Id="rId613" Type="http://schemas.openxmlformats.org/officeDocument/2006/relationships/hyperlink" Target="http://www.datamlconsultancy.nl/" TargetMode="External"/><Relationship Id="rId820" Type="http://schemas.openxmlformats.org/officeDocument/2006/relationships/hyperlink" Target="http://www.artiba.org/" TargetMode="External"/><Relationship Id="rId1450" Type="http://schemas.openxmlformats.org/officeDocument/2006/relationships/hyperlink" Target="https://pbs.twimg.com/media/EqLcSTDW8AQe1pY.jpg" TargetMode="External"/><Relationship Id="rId2501" Type="http://schemas.openxmlformats.org/officeDocument/2006/relationships/hyperlink" Target="https://www.alvascience.com/" TargetMode="External"/><Relationship Id="rId1103" Type="http://schemas.openxmlformats.org/officeDocument/2006/relationships/hyperlink" Target="https://go.aws/2KChqEb" TargetMode="External"/><Relationship Id="rId1310" Type="http://schemas.openxmlformats.org/officeDocument/2006/relationships/hyperlink" Target="https://pbs.twimg.com/media/Eu6s0gIUYAUikIG.jpg" TargetMode="External"/><Relationship Id="rId4259" Type="http://schemas.openxmlformats.org/officeDocument/2006/relationships/hyperlink" Target="https://teespring.com/stores/ai-apparel-3" TargetMode="External"/><Relationship Id="rId3068" Type="http://schemas.openxmlformats.org/officeDocument/2006/relationships/hyperlink" Target="https://pbs.twimg.com/media/Eu5Z7ibXcAMZ8J6.jpg" TargetMode="External"/><Relationship Id="rId3275" Type="http://schemas.openxmlformats.org/officeDocument/2006/relationships/hyperlink" Target="http://dragonweaver.net/" TargetMode="External"/><Relationship Id="rId3482" Type="http://schemas.openxmlformats.org/officeDocument/2006/relationships/hyperlink" Target="http://www.margarisventures.com/" TargetMode="External"/><Relationship Id="rId4119" Type="http://schemas.openxmlformats.org/officeDocument/2006/relationships/hyperlink" Target="https://lnkd.in/eJNcMrc" TargetMode="External"/><Relationship Id="rId196" Type="http://schemas.openxmlformats.org/officeDocument/2006/relationships/hyperlink" Target="http://www.la-forge.ai/" TargetMode="External"/><Relationship Id="rId2084" Type="http://schemas.openxmlformats.org/officeDocument/2006/relationships/hyperlink" Target="https://pbs.twimg.com/media/Eu6KKjjXMAECO0q.jpg" TargetMode="External"/><Relationship Id="rId2291" Type="http://schemas.openxmlformats.org/officeDocument/2006/relationships/hyperlink" Target="http://www.teldat.com/" TargetMode="External"/><Relationship Id="rId3135" Type="http://schemas.openxmlformats.org/officeDocument/2006/relationships/hyperlink" Target="https://pbs.twimg.com/media/Eu5Wh10XYAA9AdG.jpg" TargetMode="External"/><Relationship Id="rId3342" Type="http://schemas.openxmlformats.org/officeDocument/2006/relationships/hyperlink" Target="https://pbs.twimg.com/media/Eu5IlefWQAIymeA.jpg" TargetMode="External"/><Relationship Id="rId263" Type="http://schemas.openxmlformats.org/officeDocument/2006/relationships/hyperlink" Target="https://pbs.twimg.com/media/Eu7ZaiKWgAAXrfq.png" TargetMode="External"/><Relationship Id="rId470" Type="http://schemas.openxmlformats.org/officeDocument/2006/relationships/hyperlink" Target="https://pbs.twimg.com/media/Eu7RsLTXcAY6Ddi.jpg" TargetMode="External"/><Relationship Id="rId2151" Type="http://schemas.openxmlformats.org/officeDocument/2006/relationships/hyperlink" Target="https://www.bluepiit.com/" TargetMode="External"/><Relationship Id="rId3202" Type="http://schemas.openxmlformats.org/officeDocument/2006/relationships/hyperlink" Target="http://aditics.com/" TargetMode="External"/><Relationship Id="rId123" Type="http://schemas.openxmlformats.org/officeDocument/2006/relationships/hyperlink" Target="https://bit.ly/3aKMvA1" TargetMode="External"/><Relationship Id="rId330" Type="http://schemas.openxmlformats.org/officeDocument/2006/relationships/hyperlink" Target="https://github.com/anilmshanbhag" TargetMode="External"/><Relationship Id="rId2011" Type="http://schemas.openxmlformats.org/officeDocument/2006/relationships/hyperlink" Target="http://bit.ly/3pxilVr" TargetMode="External"/><Relationship Id="rId2968" Type="http://schemas.openxmlformats.org/officeDocument/2006/relationships/hyperlink" Target="https://bit.ly/3keCZId" TargetMode="External"/><Relationship Id="rId4183" Type="http://schemas.openxmlformats.org/officeDocument/2006/relationships/hyperlink" Target="https://www.reddit.com/r/MachineLearning/comments/lozys9/p_i_made_communities_a_library_of_clustering/" TargetMode="External"/><Relationship Id="rId1777" Type="http://schemas.openxmlformats.org/officeDocument/2006/relationships/hyperlink" Target="https://superdigital.agency/" TargetMode="External"/><Relationship Id="rId1984" Type="http://schemas.openxmlformats.org/officeDocument/2006/relationships/hyperlink" Target="https://pbs.twimg.com/media/Eu6PiwgVoAY1vit.jpg" TargetMode="External"/><Relationship Id="rId2828" Type="http://schemas.openxmlformats.org/officeDocument/2006/relationships/hyperlink" Target="https://twitter.com/Theslimevids/status/1343186907056861184" TargetMode="External"/><Relationship Id="rId69" Type="http://schemas.openxmlformats.org/officeDocument/2006/relationships/hyperlink" Target="https://hubs.ly/H0GS6z20" TargetMode="External"/><Relationship Id="rId1637" Type="http://schemas.openxmlformats.org/officeDocument/2006/relationships/hyperlink" Target="https://cricheal.com/" TargetMode="External"/><Relationship Id="rId1844" Type="http://schemas.openxmlformats.org/officeDocument/2006/relationships/hyperlink" Target="https://linktr.ee/livewithscientists" TargetMode="External"/><Relationship Id="rId4043" Type="http://schemas.openxmlformats.org/officeDocument/2006/relationships/hyperlink" Target="https://towardsai.net/p" TargetMode="External"/><Relationship Id="rId4250" Type="http://schemas.openxmlformats.org/officeDocument/2006/relationships/hyperlink" Target="http://pic.twitter.com/roSN1kAJPX" TargetMode="External"/><Relationship Id="rId1704" Type="http://schemas.openxmlformats.org/officeDocument/2006/relationships/hyperlink" Target="https://pbs.twimg.com/media/Eu6bgp7WYAANqey.jpg" TargetMode="External"/><Relationship Id="rId4110" Type="http://schemas.openxmlformats.org/officeDocument/2006/relationships/hyperlink" Target="https://paper.li/rwang0/1518398166?edition_id=0f752150-7575-11eb-ae29-002590a5ba2d" TargetMode="External"/><Relationship Id="rId1911" Type="http://schemas.openxmlformats.org/officeDocument/2006/relationships/hyperlink" Target="http://www.datascientists.fr/" TargetMode="External"/><Relationship Id="rId3669" Type="http://schemas.openxmlformats.org/officeDocument/2006/relationships/hyperlink" Target="http://www.classcat.com/" TargetMode="External"/><Relationship Id="rId797" Type="http://schemas.openxmlformats.org/officeDocument/2006/relationships/hyperlink" Target="https://ift.tt/3uro0iU" TargetMode="External"/><Relationship Id="rId2478" Type="http://schemas.openxmlformats.org/officeDocument/2006/relationships/hyperlink" Target="https://www.linkedin.com/in/dr-salahideen-alhaj-1551b812/" TargetMode="External"/><Relationship Id="rId3876" Type="http://schemas.openxmlformats.org/officeDocument/2006/relationships/hyperlink" Target="http://www.blackwomeninai.com/" TargetMode="External"/><Relationship Id="rId1287" Type="http://schemas.openxmlformats.org/officeDocument/2006/relationships/hyperlink" Target="https://neurons.ai/blog/news-stories/t-cell-screening-test-launched-to-detect-prior-covid-infections/" TargetMode="External"/><Relationship Id="rId2685" Type="http://schemas.openxmlformats.org/officeDocument/2006/relationships/hyperlink" Target="https://goo.gl/3TFrjv" TargetMode="External"/><Relationship Id="rId2892" Type="http://schemas.openxmlformats.org/officeDocument/2006/relationships/hyperlink" Target="https://buff.ly/3dDnUyX" TargetMode="External"/><Relationship Id="rId3529" Type="http://schemas.openxmlformats.org/officeDocument/2006/relationships/hyperlink" Target="http://about.me/paulhector" TargetMode="External"/><Relationship Id="rId3736" Type="http://schemas.openxmlformats.org/officeDocument/2006/relationships/hyperlink" Target="https://github.com/HipsterSantos" TargetMode="External"/><Relationship Id="rId3943" Type="http://schemas.openxmlformats.org/officeDocument/2006/relationships/hyperlink" Target="http://www.jadirectives.com/" TargetMode="External"/><Relationship Id="rId657" Type="http://schemas.openxmlformats.org/officeDocument/2006/relationships/hyperlink" Target="https://atg-abhishek.github.io/" TargetMode="External"/><Relationship Id="rId864" Type="http://schemas.openxmlformats.org/officeDocument/2006/relationships/hyperlink" Target="https://buff.ly/3pL2S3H" TargetMode="External"/><Relationship Id="rId1494" Type="http://schemas.openxmlformats.org/officeDocument/2006/relationships/hyperlink" Target="https://pbs.twimg.com/media/Eu6lceDXYAEVwo1.jpg" TargetMode="External"/><Relationship Id="rId2338" Type="http://schemas.openxmlformats.org/officeDocument/2006/relationships/hyperlink" Target="https://contribute.towardsai.net/" TargetMode="External"/><Relationship Id="rId2545" Type="http://schemas.openxmlformats.org/officeDocument/2006/relationships/hyperlink" Target="https://towardsdatascience.com/10-best-free-websites-to-learn-more-about-data-science-and-machine-learning-f2c6d7387b8d" TargetMode="External"/><Relationship Id="rId2752" Type="http://schemas.openxmlformats.org/officeDocument/2006/relationships/hyperlink" Target="https://google.smh.re/1tA" TargetMode="External"/><Relationship Id="rId3803" Type="http://schemas.openxmlformats.org/officeDocument/2006/relationships/hyperlink" Target="http://www.thatneedle.com/" TargetMode="External"/><Relationship Id="rId517" Type="http://schemas.openxmlformats.org/officeDocument/2006/relationships/hyperlink" Target="http://www.linkedin.com/in/christianmcmahon" TargetMode="External"/><Relationship Id="rId724" Type="http://schemas.openxmlformats.org/officeDocument/2006/relationships/hyperlink" Target="https://pbs.twimg.com/media/Eu6qRemWQAgH_kX.jpg" TargetMode="External"/><Relationship Id="rId931" Type="http://schemas.openxmlformats.org/officeDocument/2006/relationships/hyperlink" Target="https://www.youtube.com/watch?v=-rkZG_i4S2g" TargetMode="External"/><Relationship Id="rId1147" Type="http://schemas.openxmlformats.org/officeDocument/2006/relationships/hyperlink" Target="https://pbs.twimg.com/media/Eu60v21VIAMOYo4.png" TargetMode="External"/><Relationship Id="rId1354" Type="http://schemas.openxmlformats.org/officeDocument/2006/relationships/hyperlink" Target="https://www.nytimes.com/2021/02/23/technology/ai-innovation-privacy-seniors-education.html" TargetMode="External"/><Relationship Id="rId1561" Type="http://schemas.openxmlformats.org/officeDocument/2006/relationships/hyperlink" Target="https://pbs.twimg.com/media/Eu6iDh_VoAEiL0c.jpg" TargetMode="External"/><Relationship Id="rId2405" Type="http://schemas.openxmlformats.org/officeDocument/2006/relationships/hyperlink" Target="http://ipfconline.fr/contacts-eng.html" TargetMode="External"/><Relationship Id="rId2612" Type="http://schemas.openxmlformats.org/officeDocument/2006/relationships/hyperlink" Target="https://www.theallyance.one/" TargetMode="External"/><Relationship Id="rId60" Type="http://schemas.openxmlformats.org/officeDocument/2006/relationships/hyperlink" Target="http://www.arshadaman.tech/" TargetMode="External"/><Relationship Id="rId1007" Type="http://schemas.openxmlformats.org/officeDocument/2006/relationships/hyperlink" Target="https://ai4bd.com/" TargetMode="External"/><Relationship Id="rId1214" Type="http://schemas.openxmlformats.org/officeDocument/2006/relationships/hyperlink" Target="https://www.reddit.com/r/MachineLearning/comments/lqh9br/d_a_good_title_is_all_you_need/" TargetMode="External"/><Relationship Id="rId1421" Type="http://schemas.openxmlformats.org/officeDocument/2006/relationships/hyperlink" Target="http://www.jasonmpittman.com/" TargetMode="External"/><Relationship Id="rId3179" Type="http://schemas.openxmlformats.org/officeDocument/2006/relationships/hyperlink" Target="http://pic.twitter.com/4fOFTrZNB7" TargetMode="External"/><Relationship Id="rId3386" Type="http://schemas.openxmlformats.org/officeDocument/2006/relationships/hyperlink" Target="https://ai.plainenglish.io/" TargetMode="External"/><Relationship Id="rId3593" Type="http://schemas.openxmlformats.org/officeDocument/2006/relationships/hyperlink" Target="https://www.panorays.com/" TargetMode="External"/><Relationship Id="rId2195" Type="http://schemas.openxmlformats.org/officeDocument/2006/relationships/hyperlink" Target="https://www.kdnuggets.com/2021/02/feature-store-foundation-machine-learning.html" TargetMode="External"/><Relationship Id="rId3039" Type="http://schemas.openxmlformats.org/officeDocument/2006/relationships/hyperlink" Target="https://pbs.twimg.com/media/Eu5bEyLVkAExCl6.jpg" TargetMode="External"/><Relationship Id="rId3246" Type="http://schemas.openxmlformats.org/officeDocument/2006/relationships/hyperlink" Target="http://pic.twitter.com/YHpsY4FtFo" TargetMode="External"/><Relationship Id="rId3453" Type="http://schemas.openxmlformats.org/officeDocument/2006/relationships/hyperlink" Target="http://www.margarisventures.com/" TargetMode="External"/><Relationship Id="rId167" Type="http://schemas.openxmlformats.org/officeDocument/2006/relationships/hyperlink" Target="https://bit.ly/3qNtTor" TargetMode="External"/><Relationship Id="rId374" Type="http://schemas.openxmlformats.org/officeDocument/2006/relationships/hyperlink" Target="https://paper.li/enREDo?edition_id=1e1cf4a0-75fa-11eb-ae29-002590a5ba2d" TargetMode="External"/><Relationship Id="rId581" Type="http://schemas.openxmlformats.org/officeDocument/2006/relationships/hyperlink" Target="https://pbs.twimg.com/media/Eu7M0twXMAIdqec.png" TargetMode="External"/><Relationship Id="rId2055" Type="http://schemas.openxmlformats.org/officeDocument/2006/relationships/hyperlink" Target="https://www.mdpi.com/2072-4292/12/15/2355/htm" TargetMode="External"/><Relationship Id="rId2262" Type="http://schemas.openxmlformats.org/officeDocument/2006/relationships/hyperlink" Target="http://viso.ai/" TargetMode="External"/><Relationship Id="rId3106" Type="http://schemas.openxmlformats.org/officeDocument/2006/relationships/hyperlink" Target="https://recodeminds.com/blog/why-artificial-intelligence-and-machine-learning-are-important-for-autonomous-enterprises" TargetMode="External"/><Relationship Id="rId3660" Type="http://schemas.openxmlformats.org/officeDocument/2006/relationships/hyperlink" Target="http://pic.twitter.com/OTa3niJjLW" TargetMode="External"/><Relationship Id="rId234" Type="http://schemas.openxmlformats.org/officeDocument/2006/relationships/hyperlink" Target="https://pbs.twimg.com/media/Eu7aUK9XAAMRPiD.jpg" TargetMode="External"/><Relationship Id="rId3313" Type="http://schemas.openxmlformats.org/officeDocument/2006/relationships/hyperlink" Target="http://aithority.com/" TargetMode="External"/><Relationship Id="rId3520" Type="http://schemas.openxmlformats.org/officeDocument/2006/relationships/hyperlink" Target="http://www.ps9-conseil.com/" TargetMode="External"/><Relationship Id="rId441" Type="http://schemas.openxmlformats.org/officeDocument/2006/relationships/hyperlink" Target="https://paullopez.ai/" TargetMode="External"/><Relationship Id="rId1071" Type="http://schemas.openxmlformats.org/officeDocument/2006/relationships/hyperlink" Target="https://pbs.twimg.com/media/Eu634MhWQAE2QM8.jpg" TargetMode="External"/><Relationship Id="rId2122" Type="http://schemas.openxmlformats.org/officeDocument/2006/relationships/hyperlink" Target="https://academic.oup.com/nargab/article/2/3/lqaa061/5901065" TargetMode="External"/><Relationship Id="rId301" Type="http://schemas.openxmlformats.org/officeDocument/2006/relationships/hyperlink" Target="https://pbs.twimg.com/media/Eu5etQmXMAEK-GU.jpg" TargetMode="External"/><Relationship Id="rId1888" Type="http://schemas.openxmlformats.org/officeDocument/2006/relationships/hyperlink" Target="https://machinelearningflx.com/" TargetMode="External"/><Relationship Id="rId2939" Type="http://schemas.openxmlformats.org/officeDocument/2006/relationships/hyperlink" Target="http://www.jumpingbean.co.za/" TargetMode="External"/><Relationship Id="rId4087" Type="http://schemas.openxmlformats.org/officeDocument/2006/relationships/hyperlink" Target="https://pbs.twimg.com/media/Eu2ZwGbUYAMvyiA.jpg" TargetMode="External"/><Relationship Id="rId1748" Type="http://schemas.openxmlformats.org/officeDocument/2006/relationships/hyperlink" Target="https://www.researchgate.net/publication/349179679_On_Clustering_Categories_of_Categorical_Predictors_in_Generalized_Linear_Models" TargetMode="External"/><Relationship Id="rId4154" Type="http://schemas.openxmlformats.org/officeDocument/2006/relationships/hyperlink" Target="http://rsna.org/ai" TargetMode="External"/><Relationship Id="rId1955" Type="http://schemas.openxmlformats.org/officeDocument/2006/relationships/hyperlink" Target="http://www.segmentive.ai/" TargetMode="External"/><Relationship Id="rId3170" Type="http://schemas.openxmlformats.org/officeDocument/2006/relationships/hyperlink" Target="http://neurons.ai/" TargetMode="External"/><Relationship Id="rId4014" Type="http://schemas.openxmlformats.org/officeDocument/2006/relationships/hyperlink" Target="https://loom.ly/SrJNeJk" TargetMode="External"/><Relationship Id="rId4221" Type="http://schemas.openxmlformats.org/officeDocument/2006/relationships/hyperlink" Target="https://youtu.be/XOCW9kkTn8U" TargetMode="External"/><Relationship Id="rId1608" Type="http://schemas.openxmlformats.org/officeDocument/2006/relationships/hyperlink" Target="http://social.cn1699.com/" TargetMode="External"/><Relationship Id="rId1815" Type="http://schemas.openxmlformats.org/officeDocument/2006/relationships/hyperlink" Target="https://citadeladvantage.blogspot.com/" TargetMode="External"/><Relationship Id="rId3030" Type="http://schemas.openxmlformats.org/officeDocument/2006/relationships/hyperlink" Target="https://aws.amazon.com/events/aws-innovate/machine-learning/online/emea/" TargetMode="External"/><Relationship Id="rId3987" Type="http://schemas.openxmlformats.org/officeDocument/2006/relationships/hyperlink" Target="https://pbs.twimg.com/media/Eu4GJrfXAAIyDpd.jpg" TargetMode="External"/><Relationship Id="rId2589" Type="http://schemas.openxmlformats.org/officeDocument/2006/relationships/hyperlink" Target="http://www.hhi.fraunhofer.de/" TargetMode="External"/><Relationship Id="rId2796" Type="http://schemas.openxmlformats.org/officeDocument/2006/relationships/hyperlink" Target="https://twitter.com/Theslimevids/status/1340643653585260544" TargetMode="External"/><Relationship Id="rId3847" Type="http://schemas.openxmlformats.org/officeDocument/2006/relationships/hyperlink" Target="https://bit.ly/2ZELN0T" TargetMode="External"/><Relationship Id="rId768" Type="http://schemas.openxmlformats.org/officeDocument/2006/relationships/hyperlink" Target="http://ow.ly/GSXq50DtfVS" TargetMode="External"/><Relationship Id="rId975" Type="http://schemas.openxmlformats.org/officeDocument/2006/relationships/hyperlink" Target="https://www.ienupm.com/pdd/machine-learning-y-su-impacto-en-la-economia/" TargetMode="External"/><Relationship Id="rId1398" Type="http://schemas.openxmlformats.org/officeDocument/2006/relationships/hyperlink" Target="https://buff.ly/3rmRcFx" TargetMode="External"/><Relationship Id="rId2449" Type="http://schemas.openxmlformats.org/officeDocument/2006/relationships/hyperlink" Target="https://cloudofboobs.com/" TargetMode="External"/><Relationship Id="rId2656" Type="http://schemas.openxmlformats.org/officeDocument/2006/relationships/hyperlink" Target="https://go.aws/3dBq1mQ" TargetMode="External"/><Relationship Id="rId2863" Type="http://schemas.openxmlformats.org/officeDocument/2006/relationships/hyperlink" Target="https://ift.tt/3aItT3j" TargetMode="External"/><Relationship Id="rId3707" Type="http://schemas.openxmlformats.org/officeDocument/2006/relationships/hyperlink" Target="https://nareshit.com/" TargetMode="External"/><Relationship Id="rId3914" Type="http://schemas.openxmlformats.org/officeDocument/2006/relationships/hyperlink" Target="https://pbs.twimg.com/media/Eu4PAwmVEAkcUtJ.jpg" TargetMode="External"/><Relationship Id="rId628" Type="http://schemas.openxmlformats.org/officeDocument/2006/relationships/hyperlink" Target="http://punkpos.com/" TargetMode="External"/><Relationship Id="rId835" Type="http://schemas.openxmlformats.org/officeDocument/2006/relationships/hyperlink" Target="http://neurons.ai/" TargetMode="External"/><Relationship Id="rId1258" Type="http://schemas.openxmlformats.org/officeDocument/2006/relationships/hyperlink" Target="https://www.hindustantimes.com/ht-school/ai-and-robots-now-and-future-of-tech-101614063835866.html" TargetMode="External"/><Relationship Id="rId1465" Type="http://schemas.openxmlformats.org/officeDocument/2006/relationships/hyperlink" Target="http://www.talentminded.ca/" TargetMode="External"/><Relationship Id="rId1672" Type="http://schemas.openxmlformats.org/officeDocument/2006/relationships/hyperlink" Target="https://brianthomas.me/" TargetMode="External"/><Relationship Id="rId2309" Type="http://schemas.openxmlformats.org/officeDocument/2006/relationships/hyperlink" Target="http://www.fisheyebox.com/" TargetMode="External"/><Relationship Id="rId2516" Type="http://schemas.openxmlformats.org/officeDocument/2006/relationships/hyperlink" Target="https://pbs.twimg.com/media/Eu5y3k7VcAYTQ39.jpg" TargetMode="External"/><Relationship Id="rId2723" Type="http://schemas.openxmlformats.org/officeDocument/2006/relationships/hyperlink" Target="https://pbs.twimg.com/media/Eu5nfdjXIAAzfUq.jpg" TargetMode="External"/><Relationship Id="rId1118" Type="http://schemas.openxmlformats.org/officeDocument/2006/relationships/hyperlink" Target="http://rsna.org/ai" TargetMode="External"/><Relationship Id="rId1325" Type="http://schemas.openxmlformats.org/officeDocument/2006/relationships/hyperlink" Target="https://youtu.be/o5EG_ztzW1w" TargetMode="External"/><Relationship Id="rId1532" Type="http://schemas.openxmlformats.org/officeDocument/2006/relationships/hyperlink" Target="http://zetane.com/" TargetMode="External"/><Relationship Id="rId2930" Type="http://schemas.openxmlformats.org/officeDocument/2006/relationships/hyperlink" Target="http://www.bewgle.com/" TargetMode="External"/><Relationship Id="rId902" Type="http://schemas.openxmlformats.org/officeDocument/2006/relationships/hyperlink" Target="http://www.eustan.com/" TargetMode="External"/><Relationship Id="rId3497" Type="http://schemas.openxmlformats.org/officeDocument/2006/relationships/hyperlink" Target="http://smartrin.com/" TargetMode="External"/><Relationship Id="rId31" Type="http://schemas.openxmlformats.org/officeDocument/2006/relationships/hyperlink" Target="https://www.datasciencecentral.com/profiles/blogs/the-internet-of-things-data-science-and-big-data" TargetMode="External"/><Relationship Id="rId2099" Type="http://schemas.openxmlformats.org/officeDocument/2006/relationships/hyperlink" Target="https://pbs.twimg.com/media/Eu6IxhyVoAYwqIm.jpg" TargetMode="External"/><Relationship Id="rId278" Type="http://schemas.openxmlformats.org/officeDocument/2006/relationships/hyperlink" Target="https://bit.ly/3keBIRr" TargetMode="External"/><Relationship Id="rId3357" Type="http://schemas.openxmlformats.org/officeDocument/2006/relationships/hyperlink" Target="https://pbs.twimg.com/media/Eu5Fv3pVEAIaczq.jpg" TargetMode="External"/><Relationship Id="rId3564" Type="http://schemas.openxmlformats.org/officeDocument/2006/relationships/hyperlink" Target="https://zpy.io/8e6bfc24" TargetMode="External"/><Relationship Id="rId3771" Type="http://schemas.openxmlformats.org/officeDocument/2006/relationships/hyperlink" Target="https://www.forbes.com/sites/esri/2021/01/22/the-new-analyst-the-rise-of-location-in-advanced-analytics" TargetMode="External"/><Relationship Id="rId485" Type="http://schemas.openxmlformats.org/officeDocument/2006/relationships/hyperlink" Target="http://www.datamonsters.com/" TargetMode="External"/><Relationship Id="rId692" Type="http://schemas.openxmlformats.org/officeDocument/2006/relationships/hyperlink" Target="https://buff.ly/3bBEn46" TargetMode="External"/><Relationship Id="rId2166" Type="http://schemas.openxmlformats.org/officeDocument/2006/relationships/hyperlink" Target="https://minutearticle.com/" TargetMode="External"/><Relationship Id="rId2373" Type="http://schemas.openxmlformats.org/officeDocument/2006/relationships/hyperlink" Target="http://polkadot24.com/" TargetMode="External"/><Relationship Id="rId2580" Type="http://schemas.openxmlformats.org/officeDocument/2006/relationships/hyperlink" Target="http://pic.twitter.com/0l1BM4AGwX" TargetMode="External"/><Relationship Id="rId3217" Type="http://schemas.openxmlformats.org/officeDocument/2006/relationships/hyperlink" Target="https://pbs.twimg.com/media/Eu5PuSwWgAEXSfK.jpg" TargetMode="External"/><Relationship Id="rId3424" Type="http://schemas.openxmlformats.org/officeDocument/2006/relationships/hyperlink" Target="https://pbs.twimg.com/media/Eu4_1D1XYAExB5g.jpg" TargetMode="External"/><Relationship Id="rId3631" Type="http://schemas.openxmlformats.org/officeDocument/2006/relationships/hyperlink" Target="https://pbs.twimg.com/media/Eu4tYEqXIAEvc36.png" TargetMode="External"/><Relationship Id="rId138" Type="http://schemas.openxmlformats.org/officeDocument/2006/relationships/hyperlink" Target="https://ift.tt/2OV0gDw" TargetMode="External"/><Relationship Id="rId345" Type="http://schemas.openxmlformats.org/officeDocument/2006/relationships/hyperlink" Target="http://www.tipscuatropuntocero.com/" TargetMode="External"/><Relationship Id="rId552" Type="http://schemas.openxmlformats.org/officeDocument/2006/relationships/hyperlink" Target="http://vine.co/VV24KVV" TargetMode="External"/><Relationship Id="rId1182" Type="http://schemas.openxmlformats.org/officeDocument/2006/relationships/hyperlink" Target="http://about.me/bahati" TargetMode="External"/><Relationship Id="rId2026" Type="http://schemas.openxmlformats.org/officeDocument/2006/relationships/hyperlink" Target="https://buff.ly/3pGN9mi" TargetMode="External"/><Relationship Id="rId2233" Type="http://schemas.openxmlformats.org/officeDocument/2006/relationships/hyperlink" Target="https://pbs.twimg.com/media/Eu6CY1KVoAU3CU4.jpg" TargetMode="External"/><Relationship Id="rId2440" Type="http://schemas.openxmlformats.org/officeDocument/2006/relationships/hyperlink" Target="https://medium.com/@guidaautonoma" TargetMode="External"/><Relationship Id="rId205" Type="http://schemas.openxmlformats.org/officeDocument/2006/relationships/hyperlink" Target="http://intel.ly/3jOxeB2" TargetMode="External"/><Relationship Id="rId412" Type="http://schemas.openxmlformats.org/officeDocument/2006/relationships/hyperlink" Target="https://buff.ly/2CNPlW9" TargetMode="External"/><Relationship Id="rId1042" Type="http://schemas.openxmlformats.org/officeDocument/2006/relationships/hyperlink" Target="https://pbs.twimg.com/media/Eu65ZXcXUAIEsjz.png" TargetMode="External"/><Relationship Id="rId2300" Type="http://schemas.openxmlformats.org/officeDocument/2006/relationships/hyperlink" Target="https://pbs.twimg.com/media/Eu5-0RzUYAktXw1.jpg" TargetMode="External"/><Relationship Id="rId4198" Type="http://schemas.openxmlformats.org/officeDocument/2006/relationships/hyperlink" Target="http://ow.ly/MG2350DGMPq" TargetMode="External"/><Relationship Id="rId1999" Type="http://schemas.openxmlformats.org/officeDocument/2006/relationships/hyperlink" Target="https://bit.ly/384aZTq" TargetMode="External"/><Relationship Id="rId4058" Type="http://schemas.openxmlformats.org/officeDocument/2006/relationships/hyperlink" Target="https://byp.ee/bgk2Sg" TargetMode="External"/><Relationship Id="rId4265" Type="http://schemas.openxmlformats.org/officeDocument/2006/relationships/hyperlink" Target="https://www.feasible.io/" TargetMode="External"/><Relationship Id="rId1859" Type="http://schemas.openxmlformats.org/officeDocument/2006/relationships/hyperlink" Target="https://www.aitrends.com/2021-ai-predictions/2021-predictions-ml-automation-k-anonymity-hyperautomation-semantic-graphs" TargetMode="External"/><Relationship Id="rId3074" Type="http://schemas.openxmlformats.org/officeDocument/2006/relationships/hyperlink" Target="https://blog.clairvoyantsoft.com/adding-value-with-ai-ml-in-payments-2a1fada3ba82" TargetMode="External"/><Relationship Id="rId4125" Type="http://schemas.openxmlformats.org/officeDocument/2006/relationships/hyperlink" Target="https://pbs.twimg.com/media/Eu338IKWQAoHeoZ.png" TargetMode="External"/><Relationship Id="rId1719" Type="http://schemas.openxmlformats.org/officeDocument/2006/relationships/hyperlink" Target="https://bit.ly/3aD3m7E" TargetMode="External"/><Relationship Id="rId1926" Type="http://schemas.openxmlformats.org/officeDocument/2006/relationships/hyperlink" Target="https://www.onelink.to/programminghero" TargetMode="External"/><Relationship Id="rId3281" Type="http://schemas.openxmlformats.org/officeDocument/2006/relationships/hyperlink" Target="https://twitter.com/ingliguori/status/1363901383779495938" TargetMode="External"/><Relationship Id="rId2090" Type="http://schemas.openxmlformats.org/officeDocument/2006/relationships/hyperlink" Target="https://youtu.be/q_ohzm8OcQ0" TargetMode="External"/><Relationship Id="rId3141" Type="http://schemas.openxmlformats.org/officeDocument/2006/relationships/hyperlink" Target="https://lnkd.in/gU7Qdwi" TargetMode="External"/><Relationship Id="rId3001" Type="http://schemas.openxmlformats.org/officeDocument/2006/relationships/hyperlink" Target="http://www.todobi.com/" TargetMode="External"/><Relationship Id="rId3958" Type="http://schemas.openxmlformats.org/officeDocument/2006/relationships/hyperlink" Target="https://neurons.ai/blog/news-stories/israels-iai-and-matrix-partner-for-ai-center-focused-on-automatic-target-detection/" TargetMode="External"/><Relationship Id="rId879" Type="http://schemas.openxmlformats.org/officeDocument/2006/relationships/hyperlink" Target="http://datarishi.in/" TargetMode="External"/><Relationship Id="rId2767" Type="http://schemas.openxmlformats.org/officeDocument/2006/relationships/hyperlink" Target="https://business-analytics-info.fr/" TargetMode="External"/><Relationship Id="rId739" Type="http://schemas.openxmlformats.org/officeDocument/2006/relationships/hyperlink" Target="https://elink.io/999b4e6" TargetMode="External"/><Relationship Id="rId1369" Type="http://schemas.openxmlformats.org/officeDocument/2006/relationships/hyperlink" Target="https://www.flyingeze.com/p/ag-monitoring-startup-flurostat-merges-with-soil-carbon-expert-dagan-to-form-regrow" TargetMode="External"/><Relationship Id="rId1576" Type="http://schemas.openxmlformats.org/officeDocument/2006/relationships/hyperlink" Target="https://cousesites.blogspot.com/2021/02/linear-regression-and-logistic.html" TargetMode="External"/><Relationship Id="rId2974" Type="http://schemas.openxmlformats.org/officeDocument/2006/relationships/hyperlink" Target="https://bdtechtalks.com/2021/02/22/reinforcement-learning-ad-optimization/" TargetMode="External"/><Relationship Id="rId3818" Type="http://schemas.openxmlformats.org/officeDocument/2006/relationships/hyperlink" Target="http://linkedin.com/in/gulshanyadav" TargetMode="External"/><Relationship Id="rId946" Type="http://schemas.openxmlformats.org/officeDocument/2006/relationships/hyperlink" Target="https://linktr.ee/mlearning" TargetMode="External"/><Relationship Id="rId1229" Type="http://schemas.openxmlformats.org/officeDocument/2006/relationships/hyperlink" Target="http://www.ecopreneurs.in/" TargetMode="External"/><Relationship Id="rId1783" Type="http://schemas.openxmlformats.org/officeDocument/2006/relationships/hyperlink" Target="https://pbs.twimg.com/media/Eu6YvawUcAILEGI.jpg" TargetMode="External"/><Relationship Id="rId1990" Type="http://schemas.openxmlformats.org/officeDocument/2006/relationships/hyperlink" Target="https://iopscience.org/mlst" TargetMode="External"/><Relationship Id="rId2627" Type="http://schemas.openxmlformats.org/officeDocument/2006/relationships/hyperlink" Target="http://uk.linkedin.com/pub/arden-manning/4/a13/98a/" TargetMode="External"/><Relationship Id="rId2834" Type="http://schemas.openxmlformats.org/officeDocument/2006/relationships/hyperlink" Target="http://pic.twitter.com/YxnaVBSakY" TargetMode="External"/><Relationship Id="rId75" Type="http://schemas.openxmlformats.org/officeDocument/2006/relationships/hyperlink" Target="https://hubs.ly/H0GVtd50" TargetMode="External"/><Relationship Id="rId806" Type="http://schemas.openxmlformats.org/officeDocument/2006/relationships/hyperlink" Target="http://www.xfund.com/" TargetMode="External"/><Relationship Id="rId1436" Type="http://schemas.openxmlformats.org/officeDocument/2006/relationships/hyperlink" Target="https://bitly.com/3bAEXig" TargetMode="External"/><Relationship Id="rId1643" Type="http://schemas.openxmlformats.org/officeDocument/2006/relationships/hyperlink" Target="https://zpy.io/ff9273cb" TargetMode="External"/><Relationship Id="rId1850" Type="http://schemas.openxmlformats.org/officeDocument/2006/relationships/hyperlink" Target="https://opensea.io/collection/ai-generated" TargetMode="External"/><Relationship Id="rId2901" Type="http://schemas.openxmlformats.org/officeDocument/2006/relationships/hyperlink" Target="http://www.globaldigitalfashion.com/" TargetMode="External"/><Relationship Id="rId1503" Type="http://schemas.openxmlformats.org/officeDocument/2006/relationships/hyperlink" Target="https://taneemishere.github.io/" TargetMode="External"/><Relationship Id="rId1710" Type="http://schemas.openxmlformats.org/officeDocument/2006/relationships/hyperlink" Target="https://qymatix.de/" TargetMode="External"/><Relationship Id="rId3468" Type="http://schemas.openxmlformats.org/officeDocument/2006/relationships/hyperlink" Target="http://verinite.com/" TargetMode="External"/><Relationship Id="rId3675" Type="http://schemas.openxmlformats.org/officeDocument/2006/relationships/hyperlink" Target="https://www.wevolver.com/" TargetMode="External"/><Relationship Id="rId3882" Type="http://schemas.openxmlformats.org/officeDocument/2006/relationships/hyperlink" Target="https://pbs.twimg.com/media/Eu4SDV0XEAcmwV5.jpg" TargetMode="External"/><Relationship Id="rId389" Type="http://schemas.openxmlformats.org/officeDocument/2006/relationships/hyperlink" Target="http://pages.jh.edu/~trayanova/website/about.html" TargetMode="External"/><Relationship Id="rId596" Type="http://schemas.openxmlformats.org/officeDocument/2006/relationships/hyperlink" Target="https://pbs.twimg.com/media/Eu7LtsiVkAEHUqC.jpg" TargetMode="External"/><Relationship Id="rId2277" Type="http://schemas.openxmlformats.org/officeDocument/2006/relationships/hyperlink" Target="http://pythonwebconference.com/" TargetMode="External"/><Relationship Id="rId2484" Type="http://schemas.openxmlformats.org/officeDocument/2006/relationships/hyperlink" Target="http://www.botosynthesis.com/" TargetMode="External"/><Relationship Id="rId2691" Type="http://schemas.openxmlformats.org/officeDocument/2006/relationships/hyperlink" Target="http://pic.twitter.com/MKVCHKSaNg" TargetMode="External"/><Relationship Id="rId3328" Type="http://schemas.openxmlformats.org/officeDocument/2006/relationships/hyperlink" Target="http://www.youtube.com/c/CodingPerspective" TargetMode="External"/><Relationship Id="rId3535" Type="http://schemas.openxmlformats.org/officeDocument/2006/relationships/hyperlink" Target="http://writex.today/" TargetMode="External"/><Relationship Id="rId3742" Type="http://schemas.openxmlformats.org/officeDocument/2006/relationships/hyperlink" Target="https://pbs.twimg.com/media/Eu4jFcKXAAQdSct.jpg" TargetMode="External"/><Relationship Id="rId249" Type="http://schemas.openxmlformats.org/officeDocument/2006/relationships/hyperlink" Target="http://ssidecisions.com/" TargetMode="External"/><Relationship Id="rId456" Type="http://schemas.openxmlformats.org/officeDocument/2006/relationships/hyperlink" Target="https://lnkd.in/gr3Vk9u" TargetMode="External"/><Relationship Id="rId663" Type="http://schemas.openxmlformats.org/officeDocument/2006/relationships/hyperlink" Target="http://www.bitvore.com/" TargetMode="External"/><Relationship Id="rId870" Type="http://schemas.openxmlformats.org/officeDocument/2006/relationships/hyperlink" Target="http://appcoll.com/" TargetMode="External"/><Relationship Id="rId1086" Type="http://schemas.openxmlformats.org/officeDocument/2006/relationships/hyperlink" Target="http://www.empiricaldata.org/" TargetMode="External"/><Relationship Id="rId1293" Type="http://schemas.openxmlformats.org/officeDocument/2006/relationships/hyperlink" Target="https://pharmb.io/blog/cim2021/" TargetMode="External"/><Relationship Id="rId2137" Type="http://schemas.openxmlformats.org/officeDocument/2006/relationships/hyperlink" Target="https://bit.ly/2OP68hJ" TargetMode="External"/><Relationship Id="rId2344" Type="http://schemas.openxmlformats.org/officeDocument/2006/relationships/hyperlink" Target="http://tesseract.academy/" TargetMode="External"/><Relationship Id="rId2551" Type="http://schemas.openxmlformats.org/officeDocument/2006/relationships/hyperlink" Target="https://pbs.twimg.com/media/Eu5x1SvUcAACkgo.jpg" TargetMode="External"/><Relationship Id="rId109" Type="http://schemas.openxmlformats.org/officeDocument/2006/relationships/hyperlink" Target="https://pbs.twimg.com/media/Eu7gAP-WQAIgVs4.jpg" TargetMode="External"/><Relationship Id="rId316" Type="http://schemas.openxmlformats.org/officeDocument/2006/relationships/hyperlink" Target="https://bit.ly/3u4zadd" TargetMode="External"/><Relationship Id="rId523" Type="http://schemas.openxmlformats.org/officeDocument/2006/relationships/hyperlink" Target="https://dreampostt.blogspot.com/" TargetMode="External"/><Relationship Id="rId1153" Type="http://schemas.openxmlformats.org/officeDocument/2006/relationships/hyperlink" Target="https://twitter.com/ingliguori/status/1363946674230550529" TargetMode="External"/><Relationship Id="rId2204" Type="http://schemas.openxmlformats.org/officeDocument/2006/relationships/hyperlink" Target="http://www.parallels.com/ras" TargetMode="External"/><Relationship Id="rId3602" Type="http://schemas.openxmlformats.org/officeDocument/2006/relationships/hyperlink" Target="https://www.gamuts.net/" TargetMode="External"/><Relationship Id="rId730" Type="http://schemas.openxmlformats.org/officeDocument/2006/relationships/hyperlink" Target="http://www.youtube.com/channel/UCxsSHt_xJriRkYNv2LoiCyw" TargetMode="External"/><Relationship Id="rId1013" Type="http://schemas.openxmlformats.org/officeDocument/2006/relationships/hyperlink" Target="https://pbs.twimg.com/media/Eu66HtjXYAAjqin.jpg" TargetMode="External"/><Relationship Id="rId1360" Type="http://schemas.openxmlformats.org/officeDocument/2006/relationships/hyperlink" Target="http://pic.twitter.com/c2NJmD6G0S" TargetMode="External"/><Relationship Id="rId2411" Type="http://schemas.openxmlformats.org/officeDocument/2006/relationships/hyperlink" Target="https://pbs.twimg.com/media/Eu5443OWYAMxXlb.jpg" TargetMode="External"/><Relationship Id="rId4169" Type="http://schemas.openxmlformats.org/officeDocument/2006/relationships/hyperlink" Target="https://holo.host/" TargetMode="External"/><Relationship Id="rId1220" Type="http://schemas.openxmlformats.org/officeDocument/2006/relationships/hyperlink" Target="https://www.cmswire.com/information-management/we-need-ethical-artificial-intelligence/" TargetMode="External"/><Relationship Id="rId3185" Type="http://schemas.openxmlformats.org/officeDocument/2006/relationships/hyperlink" Target="https://zpy.io/46dac527" TargetMode="External"/><Relationship Id="rId3392" Type="http://schemas.openxmlformats.org/officeDocument/2006/relationships/hyperlink" Target="https://neurons.ai/blog/news-stories/iiit-hyderabad-offers-certificate-online-course-on-artificial-intelligence-and-machine-learning/" TargetMode="External"/><Relationship Id="rId4029" Type="http://schemas.openxmlformats.org/officeDocument/2006/relationships/hyperlink" Target="https://zpy.io/57ada324" TargetMode="External"/><Relationship Id="rId4236" Type="http://schemas.openxmlformats.org/officeDocument/2006/relationships/hyperlink" Target="https://www.eventbrite.co.uk/e/what-its-like-to-be-a-data-scientist-tickets-136944090461?aff=ebdsoporgprofile" TargetMode="External"/><Relationship Id="rId3045" Type="http://schemas.openxmlformats.org/officeDocument/2006/relationships/hyperlink" Target="http://tampalini.net/?edition_id=eb73e620-75af-11eb-a51d-0cc47a0d164b" TargetMode="External"/><Relationship Id="rId3252" Type="http://schemas.openxmlformats.org/officeDocument/2006/relationships/hyperlink" Target="https://www.vvdntech.com/" TargetMode="External"/><Relationship Id="rId173" Type="http://schemas.openxmlformats.org/officeDocument/2006/relationships/hyperlink" Target="https://pbs.twimg.com/media/Eu7dh5DXcAEgWwK.jpg" TargetMode="External"/><Relationship Id="rId380" Type="http://schemas.openxmlformats.org/officeDocument/2006/relationships/hyperlink" Target="https://bit.ly/3dDq5CG" TargetMode="External"/><Relationship Id="rId2061" Type="http://schemas.openxmlformats.org/officeDocument/2006/relationships/hyperlink" Target="http://visualcapitalist.com/the-crazy-worl" TargetMode="External"/><Relationship Id="rId3112" Type="http://schemas.openxmlformats.org/officeDocument/2006/relationships/hyperlink" Target="https://paullopez.ai/" TargetMode="External"/><Relationship Id="rId240" Type="http://schemas.openxmlformats.org/officeDocument/2006/relationships/hyperlink" Target="https://buff.ly/3keLhQq" TargetMode="External"/><Relationship Id="rId100" Type="http://schemas.openxmlformats.org/officeDocument/2006/relationships/hyperlink" Target="http://www.cascadedefense.com/" TargetMode="External"/><Relationship Id="rId2878" Type="http://schemas.openxmlformats.org/officeDocument/2006/relationships/hyperlink" Target="https://www.linkedin.com/in/bobcarver/detail/recent-activity/posts/" TargetMode="External"/><Relationship Id="rId3929" Type="http://schemas.openxmlformats.org/officeDocument/2006/relationships/hyperlink" Target="http://www.corizance.com/" TargetMode="External"/><Relationship Id="rId4093" Type="http://schemas.openxmlformats.org/officeDocument/2006/relationships/hyperlink" Target="http://www.corizance.com/" TargetMode="External"/><Relationship Id="rId1687" Type="http://schemas.openxmlformats.org/officeDocument/2006/relationships/hyperlink" Target="http://www.youtube.com/c/CodingPerspective" TargetMode="External"/><Relationship Id="rId1894" Type="http://schemas.openxmlformats.org/officeDocument/2006/relationships/hyperlink" Target="https://valeriapettorino.com/" TargetMode="External"/><Relationship Id="rId2738" Type="http://schemas.openxmlformats.org/officeDocument/2006/relationships/hyperlink" Target="https://www.thelancet.com/digital-health" TargetMode="External"/><Relationship Id="rId2945" Type="http://schemas.openxmlformats.org/officeDocument/2006/relationships/hyperlink" Target="https://www.deposy.org/en/" TargetMode="External"/><Relationship Id="rId917" Type="http://schemas.openxmlformats.org/officeDocument/2006/relationships/hyperlink" Target="https://goforthsci.com/" TargetMode="External"/><Relationship Id="rId1547" Type="http://schemas.openxmlformats.org/officeDocument/2006/relationships/hyperlink" Target="https://www.ai3sd.org/ai4proteins2021/sponsors/" TargetMode="External"/><Relationship Id="rId1754" Type="http://schemas.openxmlformats.org/officeDocument/2006/relationships/hyperlink" Target="https://ptyleraul.medium.com/building-artificial-intelligence-bf1d8eb4b4ac" TargetMode="External"/><Relationship Id="rId1961" Type="http://schemas.openxmlformats.org/officeDocument/2006/relationships/hyperlink" Target="https://pbs.twimg.com/media/Eu6QrmPVkAgxlwb.jpg" TargetMode="External"/><Relationship Id="rId2805" Type="http://schemas.openxmlformats.org/officeDocument/2006/relationships/hyperlink" Target="https://sdx.io/DWAP" TargetMode="External"/><Relationship Id="rId4160" Type="http://schemas.openxmlformats.org/officeDocument/2006/relationships/hyperlink" Target="https://twitter.com/Serchs3D/status/1363922160721494024" TargetMode="External"/><Relationship Id="rId46" Type="http://schemas.openxmlformats.org/officeDocument/2006/relationships/hyperlink" Target="https://hbr.org/2021/02/software-testing-is-tedious-ai-can-help" TargetMode="External"/><Relationship Id="rId1407" Type="http://schemas.openxmlformats.org/officeDocument/2006/relationships/hyperlink" Target="http://www.diyotta.com/" TargetMode="External"/><Relationship Id="rId1614" Type="http://schemas.openxmlformats.org/officeDocument/2006/relationships/hyperlink" Target="https://towardsdatascience.com/forgetful-pandas-98b50c1193a9" TargetMode="External"/><Relationship Id="rId1821" Type="http://schemas.openxmlformats.org/officeDocument/2006/relationships/hyperlink" Target="https://lnkd.in/eqSRUT4" TargetMode="External"/><Relationship Id="rId4020" Type="http://schemas.openxmlformats.org/officeDocument/2006/relationships/hyperlink" Target="https://www.linkedin.com/in/eric-feuilleaubois-ph-d-43ab0925/" TargetMode="External"/><Relationship Id="rId3579" Type="http://schemas.openxmlformats.org/officeDocument/2006/relationships/hyperlink" Target="https://thrive.kaiserpermanente.org/" TargetMode="External"/><Relationship Id="rId3786" Type="http://schemas.openxmlformats.org/officeDocument/2006/relationships/hyperlink" Target="https://buff.ly/3pH4RWz" TargetMode="External"/><Relationship Id="rId2388" Type="http://schemas.openxmlformats.org/officeDocument/2006/relationships/hyperlink" Target="https://www.sevenpeakssoftware.com/" TargetMode="External"/><Relationship Id="rId2595" Type="http://schemas.openxmlformats.org/officeDocument/2006/relationships/hyperlink" Target="https://medium.com/@guidaautonoma" TargetMode="External"/><Relationship Id="rId3439" Type="http://schemas.openxmlformats.org/officeDocument/2006/relationships/hyperlink" Target="http://www.vittiai.com/" TargetMode="External"/><Relationship Id="rId3993" Type="http://schemas.openxmlformats.org/officeDocument/2006/relationships/hyperlink" Target="https://pbs.twimg.com/media/Eu4FdvzUYAIC205.jpg" TargetMode="External"/><Relationship Id="rId567" Type="http://schemas.openxmlformats.org/officeDocument/2006/relationships/hyperlink" Target="http://www.linkedin.com/in/subhanali" TargetMode="External"/><Relationship Id="rId1197" Type="http://schemas.openxmlformats.org/officeDocument/2006/relationships/hyperlink" Target="http://teckpert.com/" TargetMode="External"/><Relationship Id="rId2248" Type="http://schemas.openxmlformats.org/officeDocument/2006/relationships/hyperlink" Target="https://via.socxo.net/jm6AuD7HMV7sW" TargetMode="External"/><Relationship Id="rId3646" Type="http://schemas.openxmlformats.org/officeDocument/2006/relationships/hyperlink" Target="https://buff.ly/3puuhH2" TargetMode="External"/><Relationship Id="rId3853" Type="http://schemas.openxmlformats.org/officeDocument/2006/relationships/hyperlink" Target="https://techae.000webhostapp.com/" TargetMode="External"/><Relationship Id="rId774" Type="http://schemas.openxmlformats.org/officeDocument/2006/relationships/hyperlink" Target="http://www.arjenvanberkum.com/" TargetMode="External"/><Relationship Id="rId981" Type="http://schemas.openxmlformats.org/officeDocument/2006/relationships/hyperlink" Target="http://w3layouts.com/" TargetMode="External"/><Relationship Id="rId1057" Type="http://schemas.openxmlformats.org/officeDocument/2006/relationships/hyperlink" Target="https://www.hindustantimes.com/ht-school/ai-and-robots-now-and-future-of-tech-101614063835866.html" TargetMode="External"/><Relationship Id="rId2455" Type="http://schemas.openxmlformats.org/officeDocument/2006/relationships/hyperlink" Target="http://neurons.ai/" TargetMode="External"/><Relationship Id="rId2662" Type="http://schemas.openxmlformats.org/officeDocument/2006/relationships/hyperlink" Target="https://buff.ly/3o4BDAk" TargetMode="External"/><Relationship Id="rId3506" Type="http://schemas.openxmlformats.org/officeDocument/2006/relationships/hyperlink" Target="https://es.linkedin.com/in/mariafreiria" TargetMode="External"/><Relationship Id="rId3713" Type="http://schemas.openxmlformats.org/officeDocument/2006/relationships/hyperlink" Target="http://bit.ly/FinFeb" TargetMode="External"/><Relationship Id="rId3920" Type="http://schemas.openxmlformats.org/officeDocument/2006/relationships/hyperlink" Target="https://towardsdatascience.com/from-text-to-knowledge-the-information-extraction-pipeline-b65e7e30273e" TargetMode="External"/><Relationship Id="rId427" Type="http://schemas.openxmlformats.org/officeDocument/2006/relationships/hyperlink" Target="http://www.marktechpost.com/" TargetMode="External"/><Relationship Id="rId634" Type="http://schemas.openxmlformats.org/officeDocument/2006/relationships/hyperlink" Target="http://pic.twitter.com/6Z5BuEvXKr" TargetMode="External"/><Relationship Id="rId841" Type="http://schemas.openxmlformats.org/officeDocument/2006/relationships/hyperlink" Target="https://pbs.twimg.com/media/Eutn28JXUAo4ZVs.jpg" TargetMode="External"/><Relationship Id="rId1264" Type="http://schemas.openxmlformats.org/officeDocument/2006/relationships/hyperlink" Target="http://leadsbrandconnect.com/" TargetMode="External"/><Relationship Id="rId1471" Type="http://schemas.openxmlformats.org/officeDocument/2006/relationships/hyperlink" Target="https://www.accelebrate.com/machine-learning-training" TargetMode="External"/><Relationship Id="rId2108" Type="http://schemas.openxmlformats.org/officeDocument/2006/relationships/hyperlink" Target="https://www.tfcertification.com/" TargetMode="External"/><Relationship Id="rId2315" Type="http://schemas.openxmlformats.org/officeDocument/2006/relationships/hyperlink" Target="https://pbs.twimg.com/media/Eu5-ttUXUAANLd_.jpg" TargetMode="External"/><Relationship Id="rId2522" Type="http://schemas.openxmlformats.org/officeDocument/2006/relationships/hyperlink" Target="https://pbs.twimg.com/media/Eu5ymS2WQAEce5b.jpg" TargetMode="External"/><Relationship Id="rId701" Type="http://schemas.openxmlformats.org/officeDocument/2006/relationships/hyperlink" Target="https://sbmi.uth.edu/applynow/" TargetMode="External"/><Relationship Id="rId1124" Type="http://schemas.openxmlformats.org/officeDocument/2006/relationships/hyperlink" Target="https://ift.tt/3sgK8uy" TargetMode="External"/><Relationship Id="rId1331" Type="http://schemas.openxmlformats.org/officeDocument/2006/relationships/hyperlink" Target="https://www.globaltechoutlook.com/" TargetMode="External"/><Relationship Id="rId3089" Type="http://schemas.openxmlformats.org/officeDocument/2006/relationships/hyperlink" Target="https://innovationincubator.com/" TargetMode="External"/><Relationship Id="rId3296" Type="http://schemas.openxmlformats.org/officeDocument/2006/relationships/hyperlink" Target="http://uk.linkedin.com/in/amitchampaneri" TargetMode="External"/><Relationship Id="rId3156" Type="http://schemas.openxmlformats.org/officeDocument/2006/relationships/hyperlink" Target="https://pbs.twimg.com/media/Eu5V1UzXMAAcOjK.jpg" TargetMode="External"/><Relationship Id="rId3363" Type="http://schemas.openxmlformats.org/officeDocument/2006/relationships/hyperlink" Target="https://www.cloudcreations.com/integration/ibm-watson-machine-learning/" TargetMode="External"/><Relationship Id="rId4207" Type="http://schemas.openxmlformats.org/officeDocument/2006/relationships/hyperlink" Target="http://www.techjunkieblog.com/" TargetMode="External"/><Relationship Id="rId284" Type="http://schemas.openxmlformats.org/officeDocument/2006/relationships/hyperlink" Target="http://dlvr.it/RtKX0J" TargetMode="External"/><Relationship Id="rId491" Type="http://schemas.openxmlformats.org/officeDocument/2006/relationships/hyperlink" Target="https://www.programming-hero.com/" TargetMode="External"/><Relationship Id="rId2172" Type="http://schemas.openxmlformats.org/officeDocument/2006/relationships/hyperlink" Target="https://www.analyticsinsight.net/intelligent-present-future-artificial-intelligence-is-changing-our-daily-lives-for-the-better/" TargetMode="External"/><Relationship Id="rId3016" Type="http://schemas.openxmlformats.org/officeDocument/2006/relationships/hyperlink" Target="https://bit.ly/3aIjwMX" TargetMode="External"/><Relationship Id="rId3223" Type="http://schemas.openxmlformats.org/officeDocument/2006/relationships/hyperlink" Target="https://pbs.twimg.com/media/Eu5PZfrVkAI_VC6.jpg" TargetMode="External"/><Relationship Id="rId3570" Type="http://schemas.openxmlformats.org/officeDocument/2006/relationships/hyperlink" Target="https://nzzl.us/srn5uqA" TargetMode="External"/><Relationship Id="rId144" Type="http://schemas.openxmlformats.org/officeDocument/2006/relationships/hyperlink" Target="http://medicalxpress.com/" TargetMode="External"/><Relationship Id="rId3430" Type="http://schemas.openxmlformats.org/officeDocument/2006/relationships/hyperlink" Target="http://pic.twitter.com/1nPDmqItsl" TargetMode="External"/><Relationship Id="rId351" Type="http://schemas.openxmlformats.org/officeDocument/2006/relationships/hyperlink" Target="https://bit.ly/2NQoSN8" TargetMode="External"/><Relationship Id="rId2032" Type="http://schemas.openxmlformats.org/officeDocument/2006/relationships/hyperlink" Target="https://pbs.twimg.com/media/Eu6Nb3UXMAESNq-.png" TargetMode="External"/><Relationship Id="rId2989" Type="http://schemas.openxmlformats.org/officeDocument/2006/relationships/hyperlink" Target="https://bit.ly/3soOj7L" TargetMode="External"/><Relationship Id="rId211" Type="http://schemas.openxmlformats.org/officeDocument/2006/relationships/hyperlink" Target="https://bit.ly/37Bv8j5" TargetMode="External"/><Relationship Id="rId1798" Type="http://schemas.openxmlformats.org/officeDocument/2006/relationships/hyperlink" Target="https://www.pendragonai.com/" TargetMode="External"/><Relationship Id="rId2849" Type="http://schemas.openxmlformats.org/officeDocument/2006/relationships/hyperlink" Target="https://pbs.twimg.com/media/Eu5jFRUXcAEZimE.png" TargetMode="External"/><Relationship Id="rId1658" Type="http://schemas.openxmlformats.org/officeDocument/2006/relationships/hyperlink" Target="https://lnkd.in/g_JWiEY" TargetMode="External"/><Relationship Id="rId1865" Type="http://schemas.openxmlformats.org/officeDocument/2006/relationships/hyperlink" Target="https://buff.ly/2MfX9Fk" TargetMode="External"/><Relationship Id="rId2709" Type="http://schemas.openxmlformats.org/officeDocument/2006/relationships/hyperlink" Target="https://www.ai-adam.com/ai-news" TargetMode="External"/><Relationship Id="rId4064" Type="http://schemas.openxmlformats.org/officeDocument/2006/relationships/hyperlink" Target="https://pbs.twimg.com/media/Eu3_iYEVkAILOcC.jpg" TargetMode="External"/><Relationship Id="rId4271" Type="http://schemas.openxmlformats.org/officeDocument/2006/relationships/hyperlink" Target="http://vision33.com/" TargetMode="External"/><Relationship Id="rId1518" Type="http://schemas.openxmlformats.org/officeDocument/2006/relationships/hyperlink" Target="http://johannesdrooghaag.com/" TargetMode="External"/><Relationship Id="rId2916" Type="http://schemas.openxmlformats.org/officeDocument/2006/relationships/hyperlink" Target="http://bit.ly/38Afra4" TargetMode="External"/><Relationship Id="rId3080" Type="http://schemas.openxmlformats.org/officeDocument/2006/relationships/hyperlink" Target="https://pbs.twimg.com/media/Euy4lq0XYAAGpUt.jpg" TargetMode="External"/><Relationship Id="rId4131" Type="http://schemas.openxmlformats.org/officeDocument/2006/relationships/hyperlink" Target="https://aiplus.odsc.com/" TargetMode="External"/><Relationship Id="rId1725" Type="http://schemas.openxmlformats.org/officeDocument/2006/relationships/hyperlink" Target="http://machinecurve.com/" TargetMode="External"/><Relationship Id="rId1932" Type="http://schemas.openxmlformats.org/officeDocument/2006/relationships/hyperlink" Target="https://www.programming-hero.com/blog/20-python-tips-and-tricks-for-new-python-developers.html" TargetMode="External"/><Relationship Id="rId17" Type="http://schemas.openxmlformats.org/officeDocument/2006/relationships/hyperlink" Target="http://pic.twitter.com/g2VOxVGggG" TargetMode="External"/><Relationship Id="rId3897" Type="http://schemas.openxmlformats.org/officeDocument/2006/relationships/hyperlink" Target="https://www.reddit.com/r/MachineLearning/" TargetMode="External"/><Relationship Id="rId2499" Type="http://schemas.openxmlformats.org/officeDocument/2006/relationships/hyperlink" Target="https://pbs.twimg.com/media/Eu5yoQJWQAMdHvP.jpg" TargetMode="External"/><Relationship Id="rId3757" Type="http://schemas.openxmlformats.org/officeDocument/2006/relationships/hyperlink" Target="https://www.linkedin.com/in/mpyllan/" TargetMode="External"/><Relationship Id="rId3964" Type="http://schemas.openxmlformats.org/officeDocument/2006/relationships/hyperlink" Target="https://contempediacom.blogspot.com/2021/02/deployment-of-machine-learning-models.html" TargetMode="External"/><Relationship Id="rId1" Type="http://schemas.openxmlformats.org/officeDocument/2006/relationships/hyperlink" Target="https://youtu.be/GGDFURzhaCQ" TargetMode="External"/><Relationship Id="rId678" Type="http://schemas.openxmlformats.org/officeDocument/2006/relationships/hyperlink" Target="http://www.pioneeringminds.com/" TargetMode="External"/><Relationship Id="rId885" Type="http://schemas.openxmlformats.org/officeDocument/2006/relationships/hyperlink" Target="https://youtu.be/N4UWeTbYdOY" TargetMode="External"/><Relationship Id="rId2359" Type="http://schemas.openxmlformats.org/officeDocument/2006/relationships/hyperlink" Target="https://pbs.twimg.com/media/Eu5FlcIVcAMDWzS.png" TargetMode="External"/><Relationship Id="rId2566" Type="http://schemas.openxmlformats.org/officeDocument/2006/relationships/hyperlink" Target="https://www.weforum.org/agenda/2021/02/heres-what-you-need-to-know-about-the-new-ai-arms-race/" TargetMode="External"/><Relationship Id="rId2773" Type="http://schemas.openxmlformats.org/officeDocument/2006/relationships/hyperlink" Target="https://hubs.ly/H0GZ_Zk0" TargetMode="External"/><Relationship Id="rId2980" Type="http://schemas.openxmlformats.org/officeDocument/2006/relationships/hyperlink" Target="https://pbs.twimg.com/media/Eu5eFp8XEAMDYDC.jpg" TargetMode="External"/><Relationship Id="rId3617" Type="http://schemas.openxmlformats.org/officeDocument/2006/relationships/hyperlink" Target="https://pbs.twimg.com/media/Eu4uqpfUcAEwCwp.jpg" TargetMode="External"/><Relationship Id="rId3824" Type="http://schemas.openxmlformats.org/officeDocument/2006/relationships/hyperlink" Target="http://linkedin.com/in/gulshanyadav" TargetMode="External"/><Relationship Id="rId538" Type="http://schemas.openxmlformats.org/officeDocument/2006/relationships/hyperlink" Target="https://www.nytimes.com/2021/02/23/technology/ai-innovation-privacy-seniors-education.html" TargetMode="External"/><Relationship Id="rId745" Type="http://schemas.openxmlformats.org/officeDocument/2006/relationships/hyperlink" Target="http://cern.ch/adavid" TargetMode="External"/><Relationship Id="rId952" Type="http://schemas.openxmlformats.org/officeDocument/2006/relationships/hyperlink" Target="https://pbs.twimg.com/media/Eu69lKtXYAARjYJ.jpg" TargetMode="External"/><Relationship Id="rId1168" Type="http://schemas.openxmlformats.org/officeDocument/2006/relationships/hyperlink" Target="http://www.math.wm.edu/~leemis/chart/UDR/UDR.html" TargetMode="External"/><Relationship Id="rId1375" Type="http://schemas.openxmlformats.org/officeDocument/2006/relationships/hyperlink" Target="https://qualetics.com/movie-review-challenge/" TargetMode="External"/><Relationship Id="rId1582" Type="http://schemas.openxmlformats.org/officeDocument/2006/relationships/hyperlink" Target="http://bit.ly/1mltfTwi" TargetMode="External"/><Relationship Id="rId2219" Type="http://schemas.openxmlformats.org/officeDocument/2006/relationships/hyperlink" Target="https://pbs.twimg.com/media/Eu6C3vrXEAQle1O.jpg" TargetMode="External"/><Relationship Id="rId2426" Type="http://schemas.openxmlformats.org/officeDocument/2006/relationships/hyperlink" Target="https://pbs.twimg.com/media/Eu24GlgXAAgff9v.jpg" TargetMode="External"/><Relationship Id="rId2633" Type="http://schemas.openxmlformats.org/officeDocument/2006/relationships/hyperlink" Target="https://medium.com/theymakedesign/best-web-design-inspiration-marketing-websites-91-1c4a150f80bf" TargetMode="External"/><Relationship Id="rId81" Type="http://schemas.openxmlformats.org/officeDocument/2006/relationships/hyperlink" Target="https://pbs.twimg.com/media/Eu7hFwkUUAEsU2_.jpg" TargetMode="External"/><Relationship Id="rId605" Type="http://schemas.openxmlformats.org/officeDocument/2006/relationships/hyperlink" Target="https://pbs.twimg.com/media/Eu7LdeKXYAArHDN.jpg" TargetMode="External"/><Relationship Id="rId812" Type="http://schemas.openxmlformats.org/officeDocument/2006/relationships/hyperlink" Target="http://neurons.ai/" TargetMode="External"/><Relationship Id="rId1028" Type="http://schemas.openxmlformats.org/officeDocument/2006/relationships/hyperlink" Target="https://pub.towardsai.net/%E2%84%82-%E2%84%9D-62efb53acc8a?source=rss----98111c9905da---4?source=social.tw" TargetMode="External"/><Relationship Id="rId1235" Type="http://schemas.openxmlformats.org/officeDocument/2006/relationships/hyperlink" Target="https://buff.ly/3boem8d" TargetMode="External"/><Relationship Id="rId1442" Type="http://schemas.openxmlformats.org/officeDocument/2006/relationships/hyperlink" Target="https://lnkd.in/gWCY6hx" TargetMode="External"/><Relationship Id="rId2840" Type="http://schemas.openxmlformats.org/officeDocument/2006/relationships/hyperlink" Target="https://pbs.twimg.com/media/Eu5MBxHXIAAP_93.jpg" TargetMode="External"/><Relationship Id="rId1302" Type="http://schemas.openxmlformats.org/officeDocument/2006/relationships/hyperlink" Target="https://pbs.twimg.com/media/Eu6tNzuVoAANW5x.jpg" TargetMode="External"/><Relationship Id="rId2700" Type="http://schemas.openxmlformats.org/officeDocument/2006/relationships/hyperlink" Target="http://bit.ly/3bvEsGe" TargetMode="External"/><Relationship Id="rId3267" Type="http://schemas.openxmlformats.org/officeDocument/2006/relationships/hyperlink" Target="https://www.itviconsultants.com/" TargetMode="External"/><Relationship Id="rId188" Type="http://schemas.openxmlformats.org/officeDocument/2006/relationships/hyperlink" Target="https://ai-summary.com/summary-an-ai-tool-that-helps-you-qualify-and-nurture-every-lead/?utm_medium=social-organic&amp;utm_source=twitter" TargetMode="External"/><Relationship Id="rId395" Type="http://schemas.openxmlformats.org/officeDocument/2006/relationships/hyperlink" Target="https://pbs.twimg.com/media/Eu7T6p_WYAMPgtr.jpg" TargetMode="External"/><Relationship Id="rId2076" Type="http://schemas.openxmlformats.org/officeDocument/2006/relationships/hyperlink" Target="https://liwaiwai.com/2021/02/09/ai-facts-every-dev-should-know-artificial-intelligence-is-older-than-you-probably/" TargetMode="External"/><Relationship Id="rId3474" Type="http://schemas.openxmlformats.org/officeDocument/2006/relationships/hyperlink" Target="http://pic.twitter.com/7SWnLJSof0" TargetMode="External"/><Relationship Id="rId3681" Type="http://schemas.openxmlformats.org/officeDocument/2006/relationships/hyperlink" Target="http://www.mistralsolutions.com/" TargetMode="External"/><Relationship Id="rId2283" Type="http://schemas.openxmlformats.org/officeDocument/2006/relationships/hyperlink" Target="https://rss.org.uk/" TargetMode="External"/><Relationship Id="rId2490" Type="http://schemas.openxmlformats.org/officeDocument/2006/relationships/hyperlink" Target="http://bit.ly/2Hqvfhl" TargetMode="External"/><Relationship Id="rId3127" Type="http://schemas.openxmlformats.org/officeDocument/2006/relationships/hyperlink" Target="https://www.linkedin.com/in/colinrbristow/" TargetMode="External"/><Relationship Id="rId3334" Type="http://schemas.openxmlformats.org/officeDocument/2006/relationships/hyperlink" Target="https://roaringelephant.org/" TargetMode="External"/><Relationship Id="rId3541" Type="http://schemas.openxmlformats.org/officeDocument/2006/relationships/hyperlink" Target="https://pbs.twimg.com/media/Eu40lNmUcAIJbJG.jpg" TargetMode="External"/><Relationship Id="rId255" Type="http://schemas.openxmlformats.org/officeDocument/2006/relationships/hyperlink" Target="http://customerinsightleader.com/" TargetMode="External"/><Relationship Id="rId462" Type="http://schemas.openxmlformats.org/officeDocument/2006/relationships/hyperlink" Target="https://go.aws/2KChqEb" TargetMode="External"/><Relationship Id="rId1092" Type="http://schemas.openxmlformats.org/officeDocument/2006/relationships/hyperlink" Target="https://pbs.twimg.com/media/Eu628HeXEAIJZNm.jpg" TargetMode="External"/><Relationship Id="rId2143" Type="http://schemas.openxmlformats.org/officeDocument/2006/relationships/hyperlink" Target="http://www.latentview.com/" TargetMode="External"/><Relationship Id="rId2350" Type="http://schemas.openxmlformats.org/officeDocument/2006/relationships/hyperlink" Target="https://pbs.twimg.com/media/Eu588owXIAAgM0S.jpg" TargetMode="External"/><Relationship Id="rId3401" Type="http://schemas.openxmlformats.org/officeDocument/2006/relationships/hyperlink" Target="http://www.seeingmachines.com/" TargetMode="External"/><Relationship Id="rId115" Type="http://schemas.openxmlformats.org/officeDocument/2006/relationships/hyperlink" Target="https://www.zdnet.com/article/data-meets-science-open-access-code-datasets-and-knowledge-graphs-for-machine-learning-research-and-beyond/" TargetMode="External"/><Relationship Id="rId322" Type="http://schemas.openxmlformats.org/officeDocument/2006/relationships/hyperlink" Target="https://pbs.twimg.com/media/Eu7WrU_XAAcLT9h.png" TargetMode="External"/><Relationship Id="rId2003" Type="http://schemas.openxmlformats.org/officeDocument/2006/relationships/hyperlink" Target="http://sap.to/6013Himy5" TargetMode="External"/><Relationship Id="rId2210" Type="http://schemas.openxmlformats.org/officeDocument/2006/relationships/hyperlink" Target="https://www.forbes.com/sites/kenrickcai/2021/01/04/forbes-ai-awards-2020-meet-gpt-3-the-computer-program-that-can-write-an-op-ed" TargetMode="External"/><Relationship Id="rId4175" Type="http://schemas.openxmlformats.org/officeDocument/2006/relationships/hyperlink" Target="https://amzn.to/3pK5DCg" TargetMode="External"/><Relationship Id="rId1769" Type="http://schemas.openxmlformats.org/officeDocument/2006/relationships/hyperlink" Target="https://www.reddit.com/r/MachineLearning/comments/lqejbj/d_can_we_use_gan_to_create_a_dataset_to_train/?utm_source=dlvr.it&amp;utm_medium=twitter" TargetMode="External"/><Relationship Id="rId1976" Type="http://schemas.openxmlformats.org/officeDocument/2006/relationships/hyperlink" Target="http://fin-ai.eu/" TargetMode="External"/><Relationship Id="rId3191" Type="http://schemas.openxmlformats.org/officeDocument/2006/relationships/hyperlink" Target="https://bit.ly/3pN782F" TargetMode="External"/><Relationship Id="rId4035" Type="http://schemas.openxmlformats.org/officeDocument/2006/relationships/hyperlink" Target="https://morioh.com/p/1b1dfe0c032c?f=5ece1a68f0e6056e36305f65" TargetMode="External"/><Relationship Id="rId4242" Type="http://schemas.openxmlformats.org/officeDocument/2006/relationships/hyperlink" Target="https://redspotseo.com/" TargetMode="External"/><Relationship Id="rId1629" Type="http://schemas.openxmlformats.org/officeDocument/2006/relationships/hyperlink" Target="https://www.topprofessionalrecruits.com/" TargetMode="External"/><Relationship Id="rId1836" Type="http://schemas.openxmlformats.org/officeDocument/2006/relationships/hyperlink" Target="https://pbs.twimg.com/media/Eu6VnwtVIAEfgIa.jpg" TargetMode="External"/><Relationship Id="rId1903" Type="http://schemas.openxmlformats.org/officeDocument/2006/relationships/hyperlink" Target="https://pbs.twimg.com/media/Eu6TJXOVEAMgg-3.png" TargetMode="External"/><Relationship Id="rId3051" Type="http://schemas.openxmlformats.org/officeDocument/2006/relationships/hyperlink" Target="https://buff.ly/3k9PVPT" TargetMode="External"/><Relationship Id="rId4102" Type="http://schemas.openxmlformats.org/officeDocument/2006/relationships/hyperlink" Target="https://www.news-medical.net/" TargetMode="External"/><Relationship Id="rId3868" Type="http://schemas.openxmlformats.org/officeDocument/2006/relationships/hyperlink" Target="http://www.blackwomeninai.com/" TargetMode="External"/><Relationship Id="rId789" Type="http://schemas.openxmlformats.org/officeDocument/2006/relationships/hyperlink" Target="http://www.aiaustralia.org/" TargetMode="External"/><Relationship Id="rId996" Type="http://schemas.openxmlformats.org/officeDocument/2006/relationships/hyperlink" Target="https://catanacapital.com/blog/alternative-financial-data-how-fund-managers-use-alternative-data/" TargetMode="External"/><Relationship Id="rId2677" Type="http://schemas.openxmlformats.org/officeDocument/2006/relationships/hyperlink" Target="https://buff.ly/3pLdwaw" TargetMode="External"/><Relationship Id="rId2884" Type="http://schemas.openxmlformats.org/officeDocument/2006/relationships/hyperlink" Target="https://contribute.towardsai.net/" TargetMode="External"/><Relationship Id="rId3728" Type="http://schemas.openxmlformats.org/officeDocument/2006/relationships/hyperlink" Target="http://pic.twitter.com/fZg0r6m6uJ" TargetMode="External"/><Relationship Id="rId649" Type="http://schemas.openxmlformats.org/officeDocument/2006/relationships/hyperlink" Target="http://mlcards.xpertup.com/" TargetMode="External"/><Relationship Id="rId856" Type="http://schemas.openxmlformats.org/officeDocument/2006/relationships/hyperlink" Target="https://lnkd.in/d7KzUsP" TargetMode="External"/><Relationship Id="rId1279" Type="http://schemas.openxmlformats.org/officeDocument/2006/relationships/hyperlink" Target="https://buff.ly/3klEg0j" TargetMode="External"/><Relationship Id="rId1486" Type="http://schemas.openxmlformats.org/officeDocument/2006/relationships/hyperlink" Target="http://traderslog.com/" TargetMode="External"/><Relationship Id="rId2537" Type="http://schemas.openxmlformats.org/officeDocument/2006/relationships/hyperlink" Target="http://ment.at/" TargetMode="External"/><Relationship Id="rId3935" Type="http://schemas.openxmlformats.org/officeDocument/2006/relationships/hyperlink" Target="http://ipfconline.fr/contacts-eng.html" TargetMode="External"/><Relationship Id="rId509" Type="http://schemas.openxmlformats.org/officeDocument/2006/relationships/hyperlink" Target="https://zpy.io/129ce024" TargetMode="External"/><Relationship Id="rId1139" Type="http://schemas.openxmlformats.org/officeDocument/2006/relationships/hyperlink" Target="https://zpy.io/b505cfed" TargetMode="External"/><Relationship Id="rId1346" Type="http://schemas.openxmlformats.org/officeDocument/2006/relationships/hyperlink" Target="https://www.linkedin.com/in/danieluriol/" TargetMode="External"/><Relationship Id="rId1693" Type="http://schemas.openxmlformats.org/officeDocument/2006/relationships/hyperlink" Target="https://pbs.twimg.com/media/Eu6cCIpXEAUbqqZ.jpg" TargetMode="External"/><Relationship Id="rId2744" Type="http://schemas.openxmlformats.org/officeDocument/2006/relationships/hyperlink" Target="https://www.linkedin.com/in/nicolaspinto1/" TargetMode="External"/><Relationship Id="rId2951" Type="http://schemas.openxmlformats.org/officeDocument/2006/relationships/hyperlink" Target="https://www.project-consult.de/impressum" TargetMode="External"/><Relationship Id="rId716" Type="http://schemas.openxmlformats.org/officeDocument/2006/relationships/hyperlink" Target="https://www.fiverr.com/shahtech88?up_rollout=true" TargetMode="External"/><Relationship Id="rId923" Type="http://schemas.openxmlformats.org/officeDocument/2006/relationships/hyperlink" Target="http://ow.ly/CZMs30rxQpK" TargetMode="External"/><Relationship Id="rId1553" Type="http://schemas.openxmlformats.org/officeDocument/2006/relationships/hyperlink" Target="https://bit.ly/2ZH5CWe" TargetMode="External"/><Relationship Id="rId1760" Type="http://schemas.openxmlformats.org/officeDocument/2006/relationships/hyperlink" Target="https://thecybersecurityplace.com/artificial-intelligence-in-cybersecurity/" TargetMode="External"/><Relationship Id="rId2604" Type="http://schemas.openxmlformats.org/officeDocument/2006/relationships/hyperlink" Target="http://www.expertsystem.com/" TargetMode="External"/><Relationship Id="rId2811" Type="http://schemas.openxmlformats.org/officeDocument/2006/relationships/hyperlink" Target="http://pimloc.com/" TargetMode="External"/><Relationship Id="rId52" Type="http://schemas.openxmlformats.org/officeDocument/2006/relationships/hyperlink" Target="https://www.geldinstitute.de/it-itk/2021/die-vorteile-von-machine-learning-fuer-banken.html" TargetMode="External"/><Relationship Id="rId1206" Type="http://schemas.openxmlformats.org/officeDocument/2006/relationships/hyperlink" Target="http://www.globalknowledge.es/" TargetMode="External"/><Relationship Id="rId1413" Type="http://schemas.openxmlformats.org/officeDocument/2006/relationships/hyperlink" Target="https://techxplore.com/news/2021-01-bio-inspired-robotics-dragonflies.html" TargetMode="External"/><Relationship Id="rId1620" Type="http://schemas.openxmlformats.org/officeDocument/2006/relationships/hyperlink" Target="https://www.venkatramakrishnan.com/" TargetMode="External"/><Relationship Id="rId3378" Type="http://schemas.openxmlformats.org/officeDocument/2006/relationships/hyperlink" Target="http://pic.twitter.com/mAhqMNxdkI" TargetMode="External"/><Relationship Id="rId3585" Type="http://schemas.openxmlformats.org/officeDocument/2006/relationships/hyperlink" Target="http://katonic.ai/" TargetMode="External"/><Relationship Id="rId3792" Type="http://schemas.openxmlformats.org/officeDocument/2006/relationships/hyperlink" Target="https://sites.google.com/view/widspune2019/about" TargetMode="External"/><Relationship Id="rId299" Type="http://schemas.openxmlformats.org/officeDocument/2006/relationships/hyperlink" Target="https://heartbeat.fritz.ai/heartbeat-newsletter-volume-27-fdde395116fb?source=rss----680eee12c50d---4&amp;utm_source=dlvr.it&amp;utm_medium=twitter" TargetMode="External"/><Relationship Id="rId2187" Type="http://schemas.openxmlformats.org/officeDocument/2006/relationships/hyperlink" Target="http://civictechdaily.us/?edition_id=e2bfed30-75c8-11eb-a5c8-0cc47a0d15fd" TargetMode="External"/><Relationship Id="rId2394" Type="http://schemas.openxmlformats.org/officeDocument/2006/relationships/hyperlink" Target="https://www.gamuts.net/" TargetMode="External"/><Relationship Id="rId3238" Type="http://schemas.openxmlformats.org/officeDocument/2006/relationships/hyperlink" Target="http://www.camera-module.com/" TargetMode="External"/><Relationship Id="rId3445" Type="http://schemas.openxmlformats.org/officeDocument/2006/relationships/hyperlink" Target="https://pbs.twimg.com/media/Eu48DshVgAAhVTA.jpg" TargetMode="External"/><Relationship Id="rId3652" Type="http://schemas.openxmlformats.org/officeDocument/2006/relationships/hyperlink" Target="https://blogs.technet.microsoft.com/techlazy" TargetMode="External"/><Relationship Id="rId159" Type="http://schemas.openxmlformats.org/officeDocument/2006/relationships/hyperlink" Target="http://pic.twitter.com/qgLDDQHsdd" TargetMode="External"/><Relationship Id="rId366" Type="http://schemas.openxmlformats.org/officeDocument/2006/relationships/hyperlink" Target="https://pbs.twimg.com/media/Eu7U_5QWgAAmPex.jpg" TargetMode="External"/><Relationship Id="rId573" Type="http://schemas.openxmlformats.org/officeDocument/2006/relationships/hyperlink" Target="http://safety-line.fr/" TargetMode="External"/><Relationship Id="rId780" Type="http://schemas.openxmlformats.org/officeDocument/2006/relationships/hyperlink" Target="https://pbs.twimg.com/media/Eu7EeFfXYAcKxP6.jpg" TargetMode="External"/><Relationship Id="rId2047" Type="http://schemas.openxmlformats.org/officeDocument/2006/relationships/hyperlink" Target="https://tinyurl.com/y7g2jk8c" TargetMode="External"/><Relationship Id="rId2254" Type="http://schemas.openxmlformats.org/officeDocument/2006/relationships/hyperlink" Target="http://www.roboadvisor4u.io/" TargetMode="External"/><Relationship Id="rId2461" Type="http://schemas.openxmlformats.org/officeDocument/2006/relationships/hyperlink" Target="http://neurons.ai/" TargetMode="External"/><Relationship Id="rId3305" Type="http://schemas.openxmlformats.org/officeDocument/2006/relationships/hyperlink" Target="https://pbs.twimg.com/media/Eu5KrL0VEAYHPUU.jpg" TargetMode="External"/><Relationship Id="rId3512" Type="http://schemas.openxmlformats.org/officeDocument/2006/relationships/hyperlink" Target="http://kloudq.com/" TargetMode="External"/><Relationship Id="rId226" Type="http://schemas.openxmlformats.org/officeDocument/2006/relationships/hyperlink" Target="http://h2o.ai/" TargetMode="External"/><Relationship Id="rId433" Type="http://schemas.openxmlformats.org/officeDocument/2006/relationships/hyperlink" Target="http://www.linkedin.com/in/jamesg2006" TargetMode="External"/><Relationship Id="rId1063" Type="http://schemas.openxmlformats.org/officeDocument/2006/relationships/hyperlink" Target="https://www.expeflow.com/" TargetMode="External"/><Relationship Id="rId1270" Type="http://schemas.openxmlformats.org/officeDocument/2006/relationships/hyperlink" Target="https://pbs.twimg.com/media/Eu5l7sTUUAYGF5k.jpg" TargetMode="External"/><Relationship Id="rId2114" Type="http://schemas.openxmlformats.org/officeDocument/2006/relationships/hyperlink" Target="http://successanalytix.blogspot.com/" TargetMode="External"/><Relationship Id="rId640" Type="http://schemas.openxmlformats.org/officeDocument/2006/relationships/hyperlink" Target="https://buff.ly/3qFNK9t" TargetMode="External"/><Relationship Id="rId2321" Type="http://schemas.openxmlformats.org/officeDocument/2006/relationships/hyperlink" Target="http://www.extentia.com/contact-us" TargetMode="External"/><Relationship Id="rId4079" Type="http://schemas.openxmlformats.org/officeDocument/2006/relationships/hyperlink" Target="https://twitter.com/worldtrendsinfo" TargetMode="External"/><Relationship Id="rId500" Type="http://schemas.openxmlformats.org/officeDocument/2006/relationships/hyperlink" Target="https://www.bluecloudt.com/" TargetMode="External"/><Relationship Id="rId1130" Type="http://schemas.openxmlformats.org/officeDocument/2006/relationships/hyperlink" Target="https://pbs.twimg.com/media/Eu6wlQ2WgAEU7SY.jpg" TargetMode="External"/><Relationship Id="rId1947" Type="http://schemas.openxmlformats.org/officeDocument/2006/relationships/hyperlink" Target="https://www.youtube.com/watch?v=7yqt2aK6MzQ&amp;feature=youtu.be" TargetMode="External"/><Relationship Id="rId3095" Type="http://schemas.openxmlformats.org/officeDocument/2006/relationships/hyperlink" Target="https://bit.ly/3bzvWpR" TargetMode="External"/><Relationship Id="rId4146" Type="http://schemas.openxmlformats.org/officeDocument/2006/relationships/hyperlink" Target="https://mostreviewednet.blogspot.com/2021/02/spark-streaming-30-with-scala-rock-jvm.html" TargetMode="External"/><Relationship Id="rId1807" Type="http://schemas.openxmlformats.org/officeDocument/2006/relationships/hyperlink" Target="http://rb.gy/gdgtco" TargetMode="External"/><Relationship Id="rId3162" Type="http://schemas.openxmlformats.org/officeDocument/2006/relationships/hyperlink" Target="https://openstatistics.org/" TargetMode="External"/><Relationship Id="rId4006" Type="http://schemas.openxmlformats.org/officeDocument/2006/relationships/hyperlink" Target="https://anoortech.com/" TargetMode="External"/><Relationship Id="rId4213" Type="http://schemas.openxmlformats.org/officeDocument/2006/relationships/hyperlink" Target="https://www.datamation.com/artificial-intelligence/artificial-intelligence-use-cases/" TargetMode="External"/><Relationship Id="rId290" Type="http://schemas.openxmlformats.org/officeDocument/2006/relationships/hyperlink" Target="http://essentials.news/future-of-ai" TargetMode="External"/><Relationship Id="rId3022" Type="http://schemas.openxmlformats.org/officeDocument/2006/relationships/hyperlink" Target="https://www.techtalkcorner.com/" TargetMode="External"/><Relationship Id="rId150" Type="http://schemas.openxmlformats.org/officeDocument/2006/relationships/hyperlink" Target="https://www.linkedin.com/in/jimmy-godard-pmp-mba-itil-a72b9a3/" TargetMode="External"/><Relationship Id="rId3979" Type="http://schemas.openxmlformats.org/officeDocument/2006/relationships/hyperlink" Target="https://pbs.twimg.com/media/Eu4HbYAUYAIW5hk.jpg" TargetMode="External"/><Relationship Id="rId2788" Type="http://schemas.openxmlformats.org/officeDocument/2006/relationships/hyperlink" Target="https://www.informationweek.com/big-data/ai-machine-learning/what-lawyers-want-everyone-to-know-about-ai-liability/a/d-id/1340211" TargetMode="External"/><Relationship Id="rId2995" Type="http://schemas.openxmlformats.org/officeDocument/2006/relationships/hyperlink" Target="https://bit.ly/3keV4G4" TargetMode="External"/><Relationship Id="rId3839" Type="http://schemas.openxmlformats.org/officeDocument/2006/relationships/hyperlink" Target="https://neurons.ai/blog/news-stories/tookitaki-powers-ai-driven-anti-money-laundering-solution-using-hpe-greenlake-2/" TargetMode="External"/><Relationship Id="rId967" Type="http://schemas.openxmlformats.org/officeDocument/2006/relationships/hyperlink" Target="https://www.dailystar.co.uk/news/weird-news/creepy-ai-sex-doll-tells-23548053" TargetMode="External"/><Relationship Id="rId1597" Type="http://schemas.openxmlformats.org/officeDocument/2006/relationships/hyperlink" Target="http://bit.ly/2OVYZfu" TargetMode="External"/><Relationship Id="rId2648" Type="http://schemas.openxmlformats.org/officeDocument/2006/relationships/hyperlink" Target="https://www.sciencedirect.com/science/article/pii/S2666546821000021" TargetMode="External"/><Relationship Id="rId2855" Type="http://schemas.openxmlformats.org/officeDocument/2006/relationships/hyperlink" Target="http://pic.twitter.com/66HAbN0rc0" TargetMode="External"/><Relationship Id="rId3906" Type="http://schemas.openxmlformats.org/officeDocument/2006/relationships/hyperlink" Target="https://pbs.twimg.com/media/EuhA1r-XIAI5jXd.jpg" TargetMode="External"/><Relationship Id="rId96" Type="http://schemas.openxmlformats.org/officeDocument/2006/relationships/hyperlink" Target="https://machinelearningflx.com/" TargetMode="External"/><Relationship Id="rId827" Type="http://schemas.openxmlformats.org/officeDocument/2006/relationships/hyperlink" Target="https://neurons.ai/blog/news-stories/machine-learning-market-2021-to-2025-growing-application-in-industry-presents-opportunities/" TargetMode="External"/><Relationship Id="rId1457" Type="http://schemas.openxmlformats.org/officeDocument/2006/relationships/hyperlink" Target="http://www.e-medtools.com/Medicare_Coding_Tool.html" TargetMode="External"/><Relationship Id="rId1664" Type="http://schemas.openxmlformats.org/officeDocument/2006/relationships/hyperlink" Target="https://bit.ly/2Xxiv3c" TargetMode="External"/><Relationship Id="rId1871" Type="http://schemas.openxmlformats.org/officeDocument/2006/relationships/hyperlink" Target="https://buff.ly/3jydcdG" TargetMode="External"/><Relationship Id="rId2508" Type="http://schemas.openxmlformats.org/officeDocument/2006/relationships/hyperlink" Target="https://www.finextra.com/the-long-read/96/five-predictions-for-the-use-of-ai-in-fintech" TargetMode="External"/><Relationship Id="rId2715" Type="http://schemas.openxmlformats.org/officeDocument/2006/relationships/hyperlink" Target="http://www.karunadutechnologies.com/" TargetMode="External"/><Relationship Id="rId2922" Type="http://schemas.openxmlformats.org/officeDocument/2006/relationships/hyperlink" Target="https://chatbotslife.com/how-intelligent-and-automated-conversational-systems-are-driving-b2c-revenue-and-growth-e5af82f3432e?source=rss----a49517e4c30b---4" TargetMode="External"/><Relationship Id="rId4070" Type="http://schemas.openxmlformats.org/officeDocument/2006/relationships/hyperlink" Target="https://pbs.twimg.com/media/Eu3-1y8VcAAEN0l.jpg" TargetMode="External"/><Relationship Id="rId1317" Type="http://schemas.openxmlformats.org/officeDocument/2006/relationships/hyperlink" Target="https://www.digitaltrends.com/features/ai-genetic-code/" TargetMode="External"/><Relationship Id="rId1524" Type="http://schemas.openxmlformats.org/officeDocument/2006/relationships/hyperlink" Target="https://pbs.twimg.com/media/Eu6j_JmXAAYO4av.png" TargetMode="External"/><Relationship Id="rId1731" Type="http://schemas.openxmlformats.org/officeDocument/2006/relationships/hyperlink" Target="http://bit.ly/31pFzTC" TargetMode="External"/><Relationship Id="rId23" Type="http://schemas.openxmlformats.org/officeDocument/2006/relationships/hyperlink" Target="https://techbullion.com/data-quality-why-it-matters-in-machine-learning/" TargetMode="External"/><Relationship Id="rId3489" Type="http://schemas.openxmlformats.org/officeDocument/2006/relationships/hyperlink" Target="https://machinelearningflx.com/" TargetMode="External"/><Relationship Id="rId3696" Type="http://schemas.openxmlformats.org/officeDocument/2006/relationships/hyperlink" Target="http://adnanhashmi.co/" TargetMode="External"/><Relationship Id="rId2298" Type="http://schemas.openxmlformats.org/officeDocument/2006/relationships/hyperlink" Target="https://www.intellis.io/request-demo" TargetMode="External"/><Relationship Id="rId3349" Type="http://schemas.openxmlformats.org/officeDocument/2006/relationships/hyperlink" Target="https://pbs.twimg.com/media/Eu5H49-WgAE2d8i.png" TargetMode="External"/><Relationship Id="rId3556" Type="http://schemas.openxmlformats.org/officeDocument/2006/relationships/hyperlink" Target="http://pic.twitter.com/jYAsGdYgbK" TargetMode="External"/><Relationship Id="rId477" Type="http://schemas.openxmlformats.org/officeDocument/2006/relationships/hyperlink" Target="https://pbs.twimg.com/media/Eu7D69iWgAcUlln.png" TargetMode="External"/><Relationship Id="rId684" Type="http://schemas.openxmlformats.org/officeDocument/2006/relationships/hyperlink" Target="https://www.linkedin.com/in/francoronconi/" TargetMode="External"/><Relationship Id="rId2158" Type="http://schemas.openxmlformats.org/officeDocument/2006/relationships/hyperlink" Target="https://pbs.twimg.com/media/Eu6GTeaWQAIocpJ.jpg" TargetMode="External"/><Relationship Id="rId2365" Type="http://schemas.openxmlformats.org/officeDocument/2006/relationships/hyperlink" Target="http://isds.tugraz.at/codis" TargetMode="External"/><Relationship Id="rId3209" Type="http://schemas.openxmlformats.org/officeDocument/2006/relationships/hyperlink" Target="https://bit.ly/3jxyNTB" TargetMode="External"/><Relationship Id="rId3763" Type="http://schemas.openxmlformats.org/officeDocument/2006/relationships/hyperlink" Target="https://www.linkedin.com/in/mpyllan/" TargetMode="External"/><Relationship Id="rId3970" Type="http://schemas.openxmlformats.org/officeDocument/2006/relationships/hyperlink" Target="https://machinelearningflx.com/" TargetMode="External"/><Relationship Id="rId337" Type="http://schemas.openxmlformats.org/officeDocument/2006/relationships/hyperlink" Target="https://www.forbes.com/sites/charliefink/2021/02/23/qualcomm-accelerates-ar-with-new-smart-viewer/?sh=f4567572737f" TargetMode="External"/><Relationship Id="rId891" Type="http://schemas.openxmlformats.org/officeDocument/2006/relationships/hyperlink" Target="https://zpy.io/08df06bd" TargetMode="External"/><Relationship Id="rId2018" Type="http://schemas.openxmlformats.org/officeDocument/2006/relationships/hyperlink" Target="http://www.alertboot.com/" TargetMode="External"/><Relationship Id="rId2572" Type="http://schemas.openxmlformats.org/officeDocument/2006/relationships/hyperlink" Target="https://pbs.twimg.com/media/Eu5xEr5WYAEH5Mq.jpg" TargetMode="External"/><Relationship Id="rId3416" Type="http://schemas.openxmlformats.org/officeDocument/2006/relationships/hyperlink" Target="https://amzn.to/2ZGcySn" TargetMode="External"/><Relationship Id="rId3623" Type="http://schemas.openxmlformats.org/officeDocument/2006/relationships/hyperlink" Target="https://www.visibleman.org/" TargetMode="External"/><Relationship Id="rId3830" Type="http://schemas.openxmlformats.org/officeDocument/2006/relationships/hyperlink" Target="http://enetwork.ai/" TargetMode="External"/><Relationship Id="rId544" Type="http://schemas.openxmlformats.org/officeDocument/2006/relationships/hyperlink" Target="http://controlengineering.pl/" TargetMode="External"/><Relationship Id="rId751" Type="http://schemas.openxmlformats.org/officeDocument/2006/relationships/hyperlink" Target="https://medium.com/ai-in-plain-english/predictive-modeling-1ec1246f5376" TargetMode="External"/><Relationship Id="rId1174" Type="http://schemas.openxmlformats.org/officeDocument/2006/relationships/hyperlink" Target="https://pbs.twimg.com/media/Eu6z360WQAIVe2s.jpg" TargetMode="External"/><Relationship Id="rId1381" Type="http://schemas.openxmlformats.org/officeDocument/2006/relationships/hyperlink" Target="http://www.corizance.com/" TargetMode="External"/><Relationship Id="rId2225" Type="http://schemas.openxmlformats.org/officeDocument/2006/relationships/hyperlink" Target="https://linktr.ee/RonaldvanLoon" TargetMode="External"/><Relationship Id="rId2432" Type="http://schemas.openxmlformats.org/officeDocument/2006/relationships/hyperlink" Target="https://ift.tt/3pTUkrv" TargetMode="External"/><Relationship Id="rId404" Type="http://schemas.openxmlformats.org/officeDocument/2006/relationships/hyperlink" Target="https://bit.ly/37FWFjq" TargetMode="External"/><Relationship Id="rId611" Type="http://schemas.openxmlformats.org/officeDocument/2006/relationships/hyperlink" Target="https://wrf.cl/" TargetMode="External"/><Relationship Id="rId1034" Type="http://schemas.openxmlformats.org/officeDocument/2006/relationships/hyperlink" Target="http://dlvr.it/RtK1gm" TargetMode="External"/><Relationship Id="rId1241" Type="http://schemas.openxmlformats.org/officeDocument/2006/relationships/hyperlink" Target="https://link.medium.com/M5Tt5dWw6db" TargetMode="External"/><Relationship Id="rId1101" Type="http://schemas.openxmlformats.org/officeDocument/2006/relationships/hyperlink" Target="http://www.linkedin.com/in/EdKwedar" TargetMode="External"/><Relationship Id="rId4257" Type="http://schemas.openxmlformats.org/officeDocument/2006/relationships/hyperlink" Target="http://pic.twitter.com/ieDspnxmTb" TargetMode="External"/><Relationship Id="rId3066" Type="http://schemas.openxmlformats.org/officeDocument/2006/relationships/hyperlink" Target="http://www.thecloudgen.com/" TargetMode="External"/><Relationship Id="rId3273" Type="http://schemas.openxmlformats.org/officeDocument/2006/relationships/hyperlink" Target="https://byp.ee/bgk2Sg" TargetMode="External"/><Relationship Id="rId3480" Type="http://schemas.openxmlformats.org/officeDocument/2006/relationships/hyperlink" Target="https://buff.ly/2ZEkCTR" TargetMode="External"/><Relationship Id="rId4117" Type="http://schemas.openxmlformats.org/officeDocument/2006/relationships/hyperlink" Target="https://pbs.twimg.com/media/Eu2vaz9VoAAQrjh.jpg" TargetMode="External"/><Relationship Id="rId194" Type="http://schemas.openxmlformats.org/officeDocument/2006/relationships/hyperlink" Target="https://www.nytimes.com/2021/02/23/technology/ai-innovation-privacy-seniors-education.html" TargetMode="External"/><Relationship Id="rId1918" Type="http://schemas.openxmlformats.org/officeDocument/2006/relationships/hyperlink" Target="https://www.onelink.to/programminghero" TargetMode="External"/><Relationship Id="rId2082" Type="http://schemas.openxmlformats.org/officeDocument/2006/relationships/hyperlink" Target="https://pbs.twimg.com/media/Eu6KO_cVkAUtp9e.jpg" TargetMode="External"/><Relationship Id="rId3133" Type="http://schemas.openxmlformats.org/officeDocument/2006/relationships/hyperlink" Target="https://hernan.rodriguezmartinez.com/social-media" TargetMode="External"/><Relationship Id="rId261" Type="http://schemas.openxmlformats.org/officeDocument/2006/relationships/hyperlink" Target="http://howtolearnmachinelearning.com/" TargetMode="External"/><Relationship Id="rId3340" Type="http://schemas.openxmlformats.org/officeDocument/2006/relationships/hyperlink" Target="https://www.reddit.com/r/MachineLearning/" TargetMode="External"/><Relationship Id="rId2899" Type="http://schemas.openxmlformats.org/officeDocument/2006/relationships/hyperlink" Target="https://pbs.twimg.com/media/Eu5h7xVXYAACFTe.jpg" TargetMode="External"/><Relationship Id="rId3200" Type="http://schemas.openxmlformats.org/officeDocument/2006/relationships/hyperlink" Target="https://hubs.ly/H0GQSmV0" TargetMode="External"/><Relationship Id="rId121" Type="http://schemas.openxmlformats.org/officeDocument/2006/relationships/hyperlink" Target="https://pbs.twimg.com/media/Eu7f62NXcAcqrJL.jpg" TargetMode="External"/><Relationship Id="rId2759" Type="http://schemas.openxmlformats.org/officeDocument/2006/relationships/hyperlink" Target="https://pbs.twimg.com/media/Eu5ma7kVEAAecIp.jpg" TargetMode="External"/><Relationship Id="rId2966" Type="http://schemas.openxmlformats.org/officeDocument/2006/relationships/hyperlink" Target="https://pbs.twimg.com/media/Eu5epHBXAAQtQ52.jpg" TargetMode="External"/><Relationship Id="rId938" Type="http://schemas.openxmlformats.org/officeDocument/2006/relationships/hyperlink" Target="https://buff.ly/3qCtHZg" TargetMode="External"/><Relationship Id="rId1568" Type="http://schemas.openxmlformats.org/officeDocument/2006/relationships/hyperlink" Target="http://www.omron.ch/" TargetMode="External"/><Relationship Id="rId1775" Type="http://schemas.openxmlformats.org/officeDocument/2006/relationships/hyperlink" Target="https://www.linkedin.com/feed/update/urn:li:activity:6769961458286514176/" TargetMode="External"/><Relationship Id="rId2619" Type="http://schemas.openxmlformats.org/officeDocument/2006/relationships/hyperlink" Target="https://dsf-kotaro.hatenablog.com/entry/2021/02/23/182503" TargetMode="External"/><Relationship Id="rId2826" Type="http://schemas.openxmlformats.org/officeDocument/2006/relationships/hyperlink" Target="http://www.jasonmpittman.com/" TargetMode="External"/><Relationship Id="rId4181" Type="http://schemas.openxmlformats.org/officeDocument/2006/relationships/hyperlink" Target="https://pbs.twimg.com/media/Eu3y7oFXIAc1VoB.png" TargetMode="External"/><Relationship Id="rId67" Type="http://schemas.openxmlformats.org/officeDocument/2006/relationships/hyperlink" Target="https://twitter.com/svpino/status/1364253528143847438" TargetMode="External"/><Relationship Id="rId1428" Type="http://schemas.openxmlformats.org/officeDocument/2006/relationships/hyperlink" Target="https://ift.tt/3aMbzqo" TargetMode="External"/><Relationship Id="rId1635" Type="http://schemas.openxmlformats.org/officeDocument/2006/relationships/hyperlink" Target="https://pbs.twimg.com/media/Eu6em_NXcAQ_xRB.png" TargetMode="External"/><Relationship Id="rId1982" Type="http://schemas.openxmlformats.org/officeDocument/2006/relationships/hyperlink" Target="https://pbs.twimg.com/media/Eu6PvRNWYAMKs6A.jpg" TargetMode="External"/><Relationship Id="rId4041" Type="http://schemas.openxmlformats.org/officeDocument/2006/relationships/hyperlink" Target="http://buff.ly/2NKBPbA" TargetMode="External"/><Relationship Id="rId1842" Type="http://schemas.openxmlformats.org/officeDocument/2006/relationships/hyperlink" Target="https://medium.com/ai-in-plain-english/an-introduction-to-artificial-intelligence-and-machine-learning-1b7da8a76f34" TargetMode="External"/><Relationship Id="rId1702" Type="http://schemas.openxmlformats.org/officeDocument/2006/relationships/hyperlink" Target="http://www.jadbio.com/" TargetMode="External"/><Relationship Id="rId3667" Type="http://schemas.openxmlformats.org/officeDocument/2006/relationships/hyperlink" Target="https://techaffinityconsulting.com/" TargetMode="External"/><Relationship Id="rId3874" Type="http://schemas.openxmlformats.org/officeDocument/2006/relationships/hyperlink" Target="https://datasciencedojo.com/" TargetMode="External"/><Relationship Id="rId588" Type="http://schemas.openxmlformats.org/officeDocument/2006/relationships/hyperlink" Target="http://www.garp.org/" TargetMode="External"/><Relationship Id="rId795" Type="http://schemas.openxmlformats.org/officeDocument/2006/relationships/hyperlink" Target="https://pbs.twimg.com/media/Eu7ES68WYAAqcuZ.jpg" TargetMode="External"/><Relationship Id="rId2269" Type="http://schemas.openxmlformats.org/officeDocument/2006/relationships/hyperlink" Target="https://ibm.co/2OT7hoo" TargetMode="External"/><Relationship Id="rId2476" Type="http://schemas.openxmlformats.org/officeDocument/2006/relationships/hyperlink" Target="https://www.analyticsinsight.net/unravelling-transfer-learning-to-make-machines-more-advanced/" TargetMode="External"/><Relationship Id="rId2683" Type="http://schemas.openxmlformats.org/officeDocument/2006/relationships/hyperlink" Target="http://ow.ly/yYH130rxY8R" TargetMode="External"/><Relationship Id="rId2890" Type="http://schemas.openxmlformats.org/officeDocument/2006/relationships/hyperlink" Target="https://pbs.twimg.com/media/Eu4YX4gUYAMABPz.jpg" TargetMode="External"/><Relationship Id="rId3527" Type="http://schemas.openxmlformats.org/officeDocument/2006/relationships/hyperlink" Target="https://www.forbes.com/sites/bernardmarr/2021/02/22/the-4-biggest-trends-in-big-data-and-analytics-right-for-2021/" TargetMode="External"/><Relationship Id="rId3734" Type="http://schemas.openxmlformats.org/officeDocument/2006/relationships/hyperlink" Target="https://datasciencevault.com/" TargetMode="External"/><Relationship Id="rId3941" Type="http://schemas.openxmlformats.org/officeDocument/2006/relationships/hyperlink" Target="https://supersalo.herokuapp.com/" TargetMode="External"/><Relationship Id="rId448" Type="http://schemas.openxmlformats.org/officeDocument/2006/relationships/hyperlink" Target="https://www.programmerweekly.com/" TargetMode="External"/><Relationship Id="rId655" Type="http://schemas.openxmlformats.org/officeDocument/2006/relationships/hyperlink" Target="http://ulster.ac.uk/ges/" TargetMode="External"/><Relationship Id="rId862" Type="http://schemas.openxmlformats.org/officeDocument/2006/relationships/hyperlink" Target="http://pic.twitter.com/6uW902Xk5e" TargetMode="External"/><Relationship Id="rId1078" Type="http://schemas.openxmlformats.org/officeDocument/2006/relationships/hyperlink" Target="http://ieducando.com/" TargetMode="External"/><Relationship Id="rId1285" Type="http://schemas.openxmlformats.org/officeDocument/2006/relationships/hyperlink" Target="https://neurons.ai/blog/news-stories/training-machine-learning-models-to-be-future-ready/" TargetMode="External"/><Relationship Id="rId1492" Type="http://schemas.openxmlformats.org/officeDocument/2006/relationships/hyperlink" Target="https://www.eventbrite.co.uk/e/ai-clinic-special-edition-data-science-culture-and-team-dynamics-tickets-138153726515?aff=ebdsoporgprofile" TargetMode="External"/><Relationship Id="rId2129" Type="http://schemas.openxmlformats.org/officeDocument/2006/relationships/hyperlink" Target="https://roboticsindia.live/" TargetMode="External"/><Relationship Id="rId2336" Type="http://schemas.openxmlformats.org/officeDocument/2006/relationships/hyperlink" Target="http://aditics.com/" TargetMode="External"/><Relationship Id="rId2543" Type="http://schemas.openxmlformats.org/officeDocument/2006/relationships/hyperlink" Target="https://bit.ly/3unXKGg" TargetMode="External"/><Relationship Id="rId2750" Type="http://schemas.openxmlformats.org/officeDocument/2006/relationships/hyperlink" Target="https://sdx.io/DWAP" TargetMode="External"/><Relationship Id="rId3801" Type="http://schemas.openxmlformats.org/officeDocument/2006/relationships/hyperlink" Target="https://pbs.twimg.com/media/Eu4eWr-UcAAWlUc.jpg" TargetMode="External"/><Relationship Id="rId308" Type="http://schemas.openxmlformats.org/officeDocument/2006/relationships/hyperlink" Target="https://lnkd.in/gY-GcvD" TargetMode="External"/><Relationship Id="rId515" Type="http://schemas.openxmlformats.org/officeDocument/2006/relationships/hyperlink" Target="http://www.equitus.us/" TargetMode="External"/><Relationship Id="rId722" Type="http://schemas.openxmlformats.org/officeDocument/2006/relationships/hyperlink" Target="https://www.prnewswire.com/news-releases/rokk3r-acquires-admobilize-and-matrix-labs-to-grow-aiiot-holdings-301233644.html" TargetMode="External"/><Relationship Id="rId1145" Type="http://schemas.openxmlformats.org/officeDocument/2006/relationships/hyperlink" Target="http://www.ddn-news.com/" TargetMode="External"/><Relationship Id="rId1352" Type="http://schemas.openxmlformats.org/officeDocument/2006/relationships/hyperlink" Target="https://medium.com/@guidaautonoma" TargetMode="External"/><Relationship Id="rId2403" Type="http://schemas.openxmlformats.org/officeDocument/2006/relationships/hyperlink" Target="https://buff.ly/3sXRPXV" TargetMode="External"/><Relationship Id="rId1005" Type="http://schemas.openxmlformats.org/officeDocument/2006/relationships/hyperlink" Target="https://pbs.twimg.com/media/Eu66yzYXYAE0q3U.jpg" TargetMode="External"/><Relationship Id="rId1212" Type="http://schemas.openxmlformats.org/officeDocument/2006/relationships/hyperlink" Target="https://ailab.mti-vietnam.vn/vietnam-ai-lab-video-data-scientist/" TargetMode="External"/><Relationship Id="rId2610" Type="http://schemas.openxmlformats.org/officeDocument/2006/relationships/hyperlink" Target="http://www.xors.com/" TargetMode="External"/><Relationship Id="rId3177" Type="http://schemas.openxmlformats.org/officeDocument/2006/relationships/hyperlink" Target="https://pbs.twimg.com/media/Eu5TaaVXAAIpfNA.jpg" TargetMode="External"/><Relationship Id="rId4228" Type="http://schemas.openxmlformats.org/officeDocument/2006/relationships/hyperlink" Target="https://twitter.com/@hudson_chatbots" TargetMode="External"/><Relationship Id="rId3037" Type="http://schemas.openxmlformats.org/officeDocument/2006/relationships/hyperlink" Target="https://bimser.com/" TargetMode="External"/><Relationship Id="rId3384" Type="http://schemas.openxmlformats.org/officeDocument/2006/relationships/hyperlink" Target="https://machinelearningflx.com/" TargetMode="External"/><Relationship Id="rId3591" Type="http://schemas.openxmlformats.org/officeDocument/2006/relationships/hyperlink" Target="http://www.aiaustralia.org/" TargetMode="External"/><Relationship Id="rId2193" Type="http://schemas.openxmlformats.org/officeDocument/2006/relationships/hyperlink" Target="https://medium.com/@guidaautonoma" TargetMode="External"/><Relationship Id="rId3244" Type="http://schemas.openxmlformats.org/officeDocument/2006/relationships/hyperlink" Target="https://pbs.twimg.com/media/Eu5EFoUU4AIH5QG.png" TargetMode="External"/><Relationship Id="rId3451" Type="http://schemas.openxmlformats.org/officeDocument/2006/relationships/hyperlink" Target="https://buff.ly/3umXaZp" TargetMode="External"/><Relationship Id="rId165" Type="http://schemas.openxmlformats.org/officeDocument/2006/relationships/hyperlink" Target="https://towardsai.net/p" TargetMode="External"/><Relationship Id="rId372" Type="http://schemas.openxmlformats.org/officeDocument/2006/relationships/hyperlink" Target="https://www.gci.cam.ac.uk/" TargetMode="External"/><Relationship Id="rId2053" Type="http://schemas.openxmlformats.org/officeDocument/2006/relationships/hyperlink" Target="https://ift.tt/37FLJ5k" TargetMode="External"/><Relationship Id="rId2260" Type="http://schemas.openxmlformats.org/officeDocument/2006/relationships/hyperlink" Target="https://inno3.it/2021/02/22/piedi-per-terra-servono-competenze-per-il-lavoro-al-2030-linkedin-ey-mckinsey/" TargetMode="External"/><Relationship Id="rId3104" Type="http://schemas.openxmlformats.org/officeDocument/2006/relationships/hyperlink" Target="https://venturebeat.com/2021/02/22/eu-report-warns-that-ai-makes-autonomous-vehicles-highly-vulnerable-to-attack/" TargetMode="External"/><Relationship Id="rId3311" Type="http://schemas.openxmlformats.org/officeDocument/2006/relationships/hyperlink" Target="https://bit.ly/3tIg7oU" TargetMode="External"/><Relationship Id="rId232" Type="http://schemas.openxmlformats.org/officeDocument/2006/relationships/hyperlink" Target="https://www.couponed12.com/" TargetMode="External"/><Relationship Id="rId2120" Type="http://schemas.openxmlformats.org/officeDocument/2006/relationships/hyperlink" Target="http://www.inria.fr/centre/paris" TargetMode="External"/><Relationship Id="rId1679" Type="http://schemas.openxmlformats.org/officeDocument/2006/relationships/hyperlink" Target="https://pbs.twimg.com/media/Eu6bd9ZXMAIPl1q.jpg" TargetMode="External"/><Relationship Id="rId4085" Type="http://schemas.openxmlformats.org/officeDocument/2006/relationships/hyperlink" Target="http://www.daimlas.com/" TargetMode="External"/><Relationship Id="rId1886" Type="http://schemas.openxmlformats.org/officeDocument/2006/relationships/hyperlink" Target="http://pic.twitter.com/PbWdsuRdn6" TargetMode="External"/><Relationship Id="rId2937" Type="http://schemas.openxmlformats.org/officeDocument/2006/relationships/hyperlink" Target="https://bigdata.co.za/" TargetMode="External"/><Relationship Id="rId4152" Type="http://schemas.openxmlformats.org/officeDocument/2006/relationships/hyperlink" Target="https://doi.org/10.1148/ryai.2021190228" TargetMode="External"/><Relationship Id="rId909" Type="http://schemas.openxmlformats.org/officeDocument/2006/relationships/hyperlink" Target="https://pbs.twimg.com/media/Eu6-AkmXEAEu4qF.jpg" TargetMode="External"/><Relationship Id="rId1539" Type="http://schemas.openxmlformats.org/officeDocument/2006/relationships/hyperlink" Target="http://www.e-medtools.com/Medicare_Coding_Tool.html" TargetMode="External"/><Relationship Id="rId1746" Type="http://schemas.openxmlformats.org/officeDocument/2006/relationships/hyperlink" Target="https://pbs.twimg.com/media/Euxw8wzXUAMa65O.jpg" TargetMode="External"/><Relationship Id="rId1953" Type="http://schemas.openxmlformats.org/officeDocument/2006/relationships/hyperlink" Target="http://ow.ly/JmxQ50DGlch" TargetMode="External"/><Relationship Id="rId38" Type="http://schemas.openxmlformats.org/officeDocument/2006/relationships/hyperlink" Target="https://datamakespossible.westerndigital.com/ai-and-5g-convergence-internet-of-context/" TargetMode="External"/><Relationship Id="rId1606" Type="http://schemas.openxmlformats.org/officeDocument/2006/relationships/hyperlink" Target="https://buff.ly/2ZET80p" TargetMode="External"/><Relationship Id="rId1813" Type="http://schemas.openxmlformats.org/officeDocument/2006/relationships/hyperlink" Target="https://citadeladvantage.blogspot.com/2019/10/the-danger-of-ai-is-weirder-than-you.html?spref=tw" TargetMode="External"/><Relationship Id="rId4012" Type="http://schemas.openxmlformats.org/officeDocument/2006/relationships/hyperlink" Target="https://pbs.twimg.com/media/Eu4EUgEXIAIQQyT.jpg" TargetMode="External"/><Relationship Id="rId3778" Type="http://schemas.openxmlformats.org/officeDocument/2006/relationships/hyperlink" Target="https://pbs.twimg.com/media/Eu4foAKXMAIIK_B.jpg" TargetMode="External"/><Relationship Id="rId3985" Type="http://schemas.openxmlformats.org/officeDocument/2006/relationships/hyperlink" Target="http://www.mtechpro.com/" TargetMode="External"/><Relationship Id="rId699" Type="http://schemas.openxmlformats.org/officeDocument/2006/relationships/hyperlink" Target="http://fortressiq.com/" TargetMode="External"/><Relationship Id="rId2587" Type="http://schemas.openxmlformats.org/officeDocument/2006/relationships/hyperlink" Target="https://www.hhi.fraunhofer.de/en/press-media/news/2021/fraunhofer-hhi-tu-berlin-and-university-of-oslo-researchers-jointly-receive-pattern-recognition-best-paper-award.html" TargetMode="External"/><Relationship Id="rId2794" Type="http://schemas.openxmlformats.org/officeDocument/2006/relationships/hyperlink" Target="https://pbs.twimg.com/media/Eu5k4jnUYAETaLN.jpg" TargetMode="External"/><Relationship Id="rId3638" Type="http://schemas.openxmlformats.org/officeDocument/2006/relationships/hyperlink" Target="http://rsna.org/ai" TargetMode="External"/><Relationship Id="rId3845" Type="http://schemas.openxmlformats.org/officeDocument/2006/relationships/hyperlink" Target="http://ehsanmkermani.com/" TargetMode="External"/><Relationship Id="rId559" Type="http://schemas.openxmlformats.org/officeDocument/2006/relationships/hyperlink" Target="https://wizzcad.com/" TargetMode="External"/><Relationship Id="rId766" Type="http://schemas.openxmlformats.org/officeDocument/2006/relationships/hyperlink" Target="https://www.jadbio.com/covid-19-research/" TargetMode="External"/><Relationship Id="rId1189" Type="http://schemas.openxmlformats.org/officeDocument/2006/relationships/hyperlink" Target="https://theconversation.com/not-just-complacency-why-people-are-reluctant-to-use-covid-19-contact-tracing-apps-152085" TargetMode="External"/><Relationship Id="rId1396" Type="http://schemas.openxmlformats.org/officeDocument/2006/relationships/hyperlink" Target="https://bit.ly/3aKSG71" TargetMode="External"/><Relationship Id="rId2447" Type="http://schemas.openxmlformats.org/officeDocument/2006/relationships/hyperlink" Target="http://www.letstalk-biz.com/" TargetMode="External"/><Relationship Id="rId419" Type="http://schemas.openxmlformats.org/officeDocument/2006/relationships/hyperlink" Target="http://henon.io/" TargetMode="External"/><Relationship Id="rId626" Type="http://schemas.openxmlformats.org/officeDocument/2006/relationships/hyperlink" Target="http://www.botosynthesis.com/" TargetMode="External"/><Relationship Id="rId973" Type="http://schemas.openxmlformats.org/officeDocument/2006/relationships/hyperlink" Target="http://zeveigen.com/" TargetMode="External"/><Relationship Id="rId1049" Type="http://schemas.openxmlformats.org/officeDocument/2006/relationships/hyperlink" Target="https://thenextweb.com/neural/2021/02/22/microsoft-word-launching-ai-text-predictions-spelling-grammar/" TargetMode="External"/><Relationship Id="rId1256" Type="http://schemas.openxmlformats.org/officeDocument/2006/relationships/hyperlink" Target="https://pbs.twimg.com/media/Eu6uNhPXUAgWSmH.png" TargetMode="External"/><Relationship Id="rId2307" Type="http://schemas.openxmlformats.org/officeDocument/2006/relationships/hyperlink" Target="https://pbs.twimg.com/media/Eu5-xB0VoAEU8jx.jpg" TargetMode="External"/><Relationship Id="rId2654" Type="http://schemas.openxmlformats.org/officeDocument/2006/relationships/hyperlink" Target="https://zcu.io/XsHA" TargetMode="External"/><Relationship Id="rId2861" Type="http://schemas.openxmlformats.org/officeDocument/2006/relationships/hyperlink" Target="https://ift.tt/3dxG598" TargetMode="External"/><Relationship Id="rId3705" Type="http://schemas.openxmlformats.org/officeDocument/2006/relationships/hyperlink" Target="http://www.linkedin.com/in/sajid-mirza1" TargetMode="External"/><Relationship Id="rId3912" Type="http://schemas.openxmlformats.org/officeDocument/2006/relationships/hyperlink" Target="https://towardsdatascience.com/handling-data-scarcity-while-building-machine-learning-applications-e6c243b284b0" TargetMode="External"/><Relationship Id="rId833" Type="http://schemas.openxmlformats.org/officeDocument/2006/relationships/hyperlink" Target="https://www.linkedin.com/posts/tkrajesh_mathematical-foundations-of-machine-learning-activity-6769676599236341761-gcsW" TargetMode="External"/><Relationship Id="rId1116" Type="http://schemas.openxmlformats.org/officeDocument/2006/relationships/hyperlink" Target="https://doi.org/10.1148/ryai.2020200021" TargetMode="External"/><Relationship Id="rId1463" Type="http://schemas.openxmlformats.org/officeDocument/2006/relationships/hyperlink" Target="http://beyond-machine.com/" TargetMode="External"/><Relationship Id="rId1670" Type="http://schemas.openxmlformats.org/officeDocument/2006/relationships/hyperlink" Target="http://technative.io/" TargetMode="External"/><Relationship Id="rId2514" Type="http://schemas.openxmlformats.org/officeDocument/2006/relationships/hyperlink" Target="http://www.youtube.com/c/CodingPerspective" TargetMode="External"/><Relationship Id="rId2721" Type="http://schemas.openxmlformats.org/officeDocument/2006/relationships/hyperlink" Target="http://pic.twitter.com/UDiVHoyAO5" TargetMode="External"/><Relationship Id="rId900" Type="http://schemas.openxmlformats.org/officeDocument/2006/relationships/hyperlink" Target="http://dlvr.it/RtK7hJ" TargetMode="External"/><Relationship Id="rId1323" Type="http://schemas.openxmlformats.org/officeDocument/2006/relationships/hyperlink" Target="https://pbs.twimg.com/media/Eu6sTZHXYAINnzx.jpg" TargetMode="External"/><Relationship Id="rId1530" Type="http://schemas.openxmlformats.org/officeDocument/2006/relationships/hyperlink" Target="http://www.margarisventures.com/" TargetMode="External"/><Relationship Id="rId3288" Type="http://schemas.openxmlformats.org/officeDocument/2006/relationships/hyperlink" Target="https://exonomousid.com/" TargetMode="External"/><Relationship Id="rId3495" Type="http://schemas.openxmlformats.org/officeDocument/2006/relationships/hyperlink" Target="https://tinyurl.com/y7q2trdu" TargetMode="External"/><Relationship Id="rId2097" Type="http://schemas.openxmlformats.org/officeDocument/2006/relationships/hyperlink" Target="https://neurons.ai/blog/news-stories/machine-learning-in-communication-market-outlook-2020-technology-development-company/" TargetMode="External"/><Relationship Id="rId3148" Type="http://schemas.openxmlformats.org/officeDocument/2006/relationships/hyperlink" Target="http://www.mirai-innovation-lab.com/" TargetMode="External"/><Relationship Id="rId3355" Type="http://schemas.openxmlformats.org/officeDocument/2006/relationships/hyperlink" Target="http://sebastienbourguignon.com/" TargetMode="External"/><Relationship Id="rId3562" Type="http://schemas.openxmlformats.org/officeDocument/2006/relationships/hyperlink" Target="https://pbs.twimg.com/media/Eu4z1ShXMAMLhSC.jpg" TargetMode="External"/><Relationship Id="rId276" Type="http://schemas.openxmlformats.org/officeDocument/2006/relationships/hyperlink" Target="https://github.com/akshitagupta15june" TargetMode="External"/><Relationship Id="rId483" Type="http://schemas.openxmlformats.org/officeDocument/2006/relationships/hyperlink" Target="http://www.birmingham.ac.uk/wiebke-arlt" TargetMode="External"/><Relationship Id="rId690" Type="http://schemas.openxmlformats.org/officeDocument/2006/relationships/hyperlink" Target="http://nanohub.org/" TargetMode="External"/><Relationship Id="rId2164" Type="http://schemas.openxmlformats.org/officeDocument/2006/relationships/hyperlink" Target="http://pic.twitter.com/fzmkZVxafm" TargetMode="External"/><Relationship Id="rId2371" Type="http://schemas.openxmlformats.org/officeDocument/2006/relationships/hyperlink" Target="http://www.agendaempresa.com/" TargetMode="External"/><Relationship Id="rId3008" Type="http://schemas.openxmlformats.org/officeDocument/2006/relationships/hyperlink" Target="https://ift.tt/3pIDVWr" TargetMode="External"/><Relationship Id="rId3215" Type="http://schemas.openxmlformats.org/officeDocument/2006/relationships/hyperlink" Target="https://decision.substack.com/?utm_medium=web&amp;utm_campaign=pss" TargetMode="External"/><Relationship Id="rId3422" Type="http://schemas.openxmlformats.org/officeDocument/2006/relationships/hyperlink" Target="http://dlvr.it/RtHHQ8" TargetMode="External"/><Relationship Id="rId136" Type="http://schemas.openxmlformats.org/officeDocument/2006/relationships/hyperlink" Target="https://pbs.twimg.com/media/Eu7ftYOUUAIW58U.jpg" TargetMode="External"/><Relationship Id="rId343" Type="http://schemas.openxmlformats.org/officeDocument/2006/relationships/hyperlink" Target="http://technative.io/" TargetMode="External"/><Relationship Id="rId550" Type="http://schemas.openxmlformats.org/officeDocument/2006/relationships/hyperlink" Target="https://www.linkedin.com/in/lucian-andrei-119a3130/" TargetMode="External"/><Relationship Id="rId1180" Type="http://schemas.openxmlformats.org/officeDocument/2006/relationships/hyperlink" Target="https://machinelearningflx.com/" TargetMode="External"/><Relationship Id="rId2024" Type="http://schemas.openxmlformats.org/officeDocument/2006/relationships/hyperlink" Target="https://www.kdnuggets.com/?p=122763" TargetMode="External"/><Relationship Id="rId2231" Type="http://schemas.openxmlformats.org/officeDocument/2006/relationships/hyperlink" Target="https://www.campusbigdata.com/" TargetMode="External"/><Relationship Id="rId203" Type="http://schemas.openxmlformats.org/officeDocument/2006/relationships/hyperlink" Target="http://intosaijournal.org/auditing-machine-learning-algorithms/" TargetMode="External"/><Relationship Id="rId1040" Type="http://schemas.openxmlformats.org/officeDocument/2006/relationships/hyperlink" Target="http://www.wjbmattingly.com/" TargetMode="External"/><Relationship Id="rId4196" Type="http://schemas.openxmlformats.org/officeDocument/2006/relationships/hyperlink" Target="https://medium.com/ai-in-plain-english/predictive-modeling-part-2-ecabf64060e7" TargetMode="External"/><Relationship Id="rId410" Type="http://schemas.openxmlformats.org/officeDocument/2006/relationships/hyperlink" Target="http://www.petuum.com/" TargetMode="External"/><Relationship Id="rId1997" Type="http://schemas.openxmlformats.org/officeDocument/2006/relationships/hyperlink" Target="https://twitter.com/jblefevre60/status/1361218241952120833" TargetMode="External"/><Relationship Id="rId4056" Type="http://schemas.openxmlformats.org/officeDocument/2006/relationships/hyperlink" Target="https://pbs.twimg.com/media/Eu4ADHBXcAA04Av.jpg" TargetMode="External"/><Relationship Id="rId1857" Type="http://schemas.openxmlformats.org/officeDocument/2006/relationships/hyperlink" Target="https://twitter.com/TerenceLeungSF/status/1364078710048002056" TargetMode="External"/><Relationship Id="rId2908" Type="http://schemas.openxmlformats.org/officeDocument/2006/relationships/hyperlink" Target="https://bit.ly/2Xjt7CB" TargetMode="External"/><Relationship Id="rId4263" Type="http://schemas.openxmlformats.org/officeDocument/2006/relationships/hyperlink" Target="https://pbs.twimg.com/media/EunFynPXYAAp5Ay.jpg" TargetMode="External"/><Relationship Id="rId1717" Type="http://schemas.openxmlformats.org/officeDocument/2006/relationships/hyperlink" Target="https://www.prolego.com/blog/a-smarter-approach-to-model-governance" TargetMode="External"/><Relationship Id="rId1924" Type="http://schemas.openxmlformats.org/officeDocument/2006/relationships/hyperlink" Target="https://www.programming-hero.com/blog/Learn-and-Master-Python-in-a-Month.html" TargetMode="External"/><Relationship Id="rId3072" Type="http://schemas.openxmlformats.org/officeDocument/2006/relationships/hyperlink" Target="https://pbs.twimg.com/media/Eu5Zn4qWgAUPpVL.jpg" TargetMode="External"/><Relationship Id="rId4123" Type="http://schemas.openxmlformats.org/officeDocument/2006/relationships/hyperlink" Target="http://www.nordicaiinstitute.com/" TargetMode="External"/><Relationship Id="rId3889" Type="http://schemas.openxmlformats.org/officeDocument/2006/relationships/hyperlink" Target="https://pbs.twimg.com/media/Eu4R707XMAMPABY.png" TargetMode="External"/><Relationship Id="rId2698" Type="http://schemas.openxmlformats.org/officeDocument/2006/relationships/hyperlink" Target="https://pbs.twimg.com/media/Eu5pERuXcAIJm5U.png" TargetMode="External"/><Relationship Id="rId3749" Type="http://schemas.openxmlformats.org/officeDocument/2006/relationships/hyperlink" Target="http://www.nordicaiinstitute.com/" TargetMode="External"/><Relationship Id="rId3956" Type="http://schemas.openxmlformats.org/officeDocument/2006/relationships/hyperlink" Target="https://neurons.ai/blog/news-stories/apple-goes-on-hiring-spree-for-its-seattle-siri-and-ai-teams-2/" TargetMode="External"/><Relationship Id="rId877" Type="http://schemas.openxmlformats.org/officeDocument/2006/relationships/hyperlink" Target="http://www.masonwake.com/" TargetMode="External"/><Relationship Id="rId2558" Type="http://schemas.openxmlformats.org/officeDocument/2006/relationships/hyperlink" Target="https://autome.me/" TargetMode="External"/><Relationship Id="rId2765" Type="http://schemas.openxmlformats.org/officeDocument/2006/relationships/hyperlink" Target="http://pic.twitter.com/MqCnDCdL5V" TargetMode="External"/><Relationship Id="rId2972" Type="http://schemas.openxmlformats.org/officeDocument/2006/relationships/hyperlink" Target="http://ow.ly/S2yQ30ry26g" TargetMode="External"/><Relationship Id="rId3609" Type="http://schemas.openxmlformats.org/officeDocument/2006/relationships/hyperlink" Target="https://pbs.twimg.com/media/Eu4wFxpWYAEtGKu.jpg" TargetMode="External"/><Relationship Id="rId3816" Type="http://schemas.openxmlformats.org/officeDocument/2006/relationships/hyperlink" Target="https://bit.ly/3pRzH03" TargetMode="External"/><Relationship Id="rId737" Type="http://schemas.openxmlformats.org/officeDocument/2006/relationships/hyperlink" Target="http://www.dld.co/" TargetMode="External"/><Relationship Id="rId944" Type="http://schemas.openxmlformats.org/officeDocument/2006/relationships/hyperlink" Target="https://www.youtube.com/watch?v=kKVLrslta6k" TargetMode="External"/><Relationship Id="rId1367" Type="http://schemas.openxmlformats.org/officeDocument/2006/relationships/hyperlink" Target="https://hubs.ly/H0H2MJd0" TargetMode="External"/><Relationship Id="rId1574" Type="http://schemas.openxmlformats.org/officeDocument/2006/relationships/hyperlink" Target="https://www.researchgate.net/profile/Chen-Gafni/publication/348432435_Studying_Emotive_Effects_in_Poetry_by_Quantifying_Open-Ended_Impressions/links/5ffed7e7299bf140888ffd9a/Studying-Emotive-Effects-in-Poetry-by-Quantifying-Open-Ended-Impressions.pdf" TargetMode="External"/><Relationship Id="rId1781" Type="http://schemas.openxmlformats.org/officeDocument/2006/relationships/hyperlink" Target="https://contribute.towardsai.net/" TargetMode="External"/><Relationship Id="rId2418" Type="http://schemas.openxmlformats.org/officeDocument/2006/relationships/hyperlink" Target="https://amzn.to/3bApzCu" TargetMode="External"/><Relationship Id="rId2625" Type="http://schemas.openxmlformats.org/officeDocument/2006/relationships/hyperlink" Target="https://pbs.twimg.com/media/Eu5uScVVgAI1k-P.jpg" TargetMode="External"/><Relationship Id="rId2832" Type="http://schemas.openxmlformats.org/officeDocument/2006/relationships/hyperlink" Target="http://aws.amazon.com/" TargetMode="External"/><Relationship Id="rId73" Type="http://schemas.openxmlformats.org/officeDocument/2006/relationships/hyperlink" Target="https://pbs.twimg.com/media/Eu7hTndUUAMtFxr.png" TargetMode="External"/><Relationship Id="rId804" Type="http://schemas.openxmlformats.org/officeDocument/2006/relationships/hyperlink" Target="https://zimmerman.team/" TargetMode="External"/><Relationship Id="rId1227" Type="http://schemas.openxmlformats.org/officeDocument/2006/relationships/hyperlink" Target="https://youtu.be/lhyXifriNyk" TargetMode="External"/><Relationship Id="rId1434" Type="http://schemas.openxmlformats.org/officeDocument/2006/relationships/hyperlink" Target="http://www.apolloenergiesinc.com/" TargetMode="External"/><Relationship Id="rId1641" Type="http://schemas.openxmlformats.org/officeDocument/2006/relationships/hyperlink" Target="https://pbs.twimg.com/media/Eu6eXEQUYAMmwlC.jpg" TargetMode="External"/><Relationship Id="rId1501" Type="http://schemas.openxmlformats.org/officeDocument/2006/relationships/hyperlink" Target="http://www.everyday-mba.com/" TargetMode="External"/><Relationship Id="rId3399" Type="http://schemas.openxmlformats.org/officeDocument/2006/relationships/hyperlink" Target="http://www.engineeringbigdata.com/" TargetMode="External"/><Relationship Id="rId3259" Type="http://schemas.openxmlformats.org/officeDocument/2006/relationships/hyperlink" Target="https://pbs.twimg.com/media/Eu5D24ZUUAIIvjB.png" TargetMode="External"/><Relationship Id="rId3466" Type="http://schemas.openxmlformats.org/officeDocument/2006/relationships/hyperlink" Target="https://bit.ly/39NegX0" TargetMode="External"/><Relationship Id="rId387" Type="http://schemas.openxmlformats.org/officeDocument/2006/relationships/hyperlink" Target="https://linktr.ee/BVCPA" TargetMode="External"/><Relationship Id="rId594" Type="http://schemas.openxmlformats.org/officeDocument/2006/relationships/hyperlink" Target="https://pbs.twimg.com/media/Eu5ng8zUYAYL8ai.jpg" TargetMode="External"/><Relationship Id="rId2068" Type="http://schemas.openxmlformats.org/officeDocument/2006/relationships/hyperlink" Target="https://pbs.twimg.com/media/Eu6K4-GUUAMK9hX.jpg" TargetMode="External"/><Relationship Id="rId2275" Type="http://schemas.openxmlformats.org/officeDocument/2006/relationships/hyperlink" Target="https://loom.ly/SrJNeJk" TargetMode="External"/><Relationship Id="rId3119" Type="http://schemas.openxmlformats.org/officeDocument/2006/relationships/hyperlink" Target="http://www.topnetwork.it/" TargetMode="External"/><Relationship Id="rId3326" Type="http://schemas.openxmlformats.org/officeDocument/2006/relationships/hyperlink" Target="http://talentsprint.com/" TargetMode="External"/><Relationship Id="rId3673" Type="http://schemas.openxmlformats.org/officeDocument/2006/relationships/hyperlink" Target="http://isstechnologies.in/" TargetMode="External"/><Relationship Id="rId3880" Type="http://schemas.openxmlformats.org/officeDocument/2006/relationships/hyperlink" Target="https://linktr.ee/arthurguttilla" TargetMode="External"/><Relationship Id="rId247" Type="http://schemas.openxmlformats.org/officeDocument/2006/relationships/hyperlink" Target="https://link.medium.com/RltotpMPzdb" TargetMode="External"/><Relationship Id="rId1084" Type="http://schemas.openxmlformats.org/officeDocument/2006/relationships/hyperlink" Target="http://www.shashi.co/" TargetMode="External"/><Relationship Id="rId2482" Type="http://schemas.openxmlformats.org/officeDocument/2006/relationships/hyperlink" Target="http://bit.ly/botosynthesis" TargetMode="External"/><Relationship Id="rId3533" Type="http://schemas.openxmlformats.org/officeDocument/2006/relationships/hyperlink" Target="http://shorturl.at/diCFG" TargetMode="External"/><Relationship Id="rId3740" Type="http://schemas.openxmlformats.org/officeDocument/2006/relationships/hyperlink" Target="https://www.acolab.org/" TargetMode="External"/><Relationship Id="rId107" Type="http://schemas.openxmlformats.org/officeDocument/2006/relationships/hyperlink" Target="https://www.linkedin.com/in/eric-feuilleaubois-ph-d-43ab0925/" TargetMode="External"/><Relationship Id="rId454" Type="http://schemas.openxmlformats.org/officeDocument/2006/relationships/hyperlink" Target="http://ipfconline.fr/contacts-eng.html" TargetMode="External"/><Relationship Id="rId661" Type="http://schemas.openxmlformats.org/officeDocument/2006/relationships/hyperlink" Target="https://ankitrathi.com/" TargetMode="External"/><Relationship Id="rId1291" Type="http://schemas.openxmlformats.org/officeDocument/2006/relationships/hyperlink" Target="https://neurons.ai/blog/news-stories/panalgo-releases-industry-benchmarking-report-exploring-data-analytics-and-machine-learning/" TargetMode="External"/><Relationship Id="rId2135" Type="http://schemas.openxmlformats.org/officeDocument/2006/relationships/hyperlink" Target="http://technative.io/" TargetMode="External"/><Relationship Id="rId2342" Type="http://schemas.openxmlformats.org/officeDocument/2006/relationships/hyperlink" Target="http://pic.twitter.com/EFVUMUYOhq" TargetMode="External"/><Relationship Id="rId3600" Type="http://schemas.openxmlformats.org/officeDocument/2006/relationships/hyperlink" Target="http://ipfconline.fr/contacts-eng.html" TargetMode="External"/><Relationship Id="rId314" Type="http://schemas.openxmlformats.org/officeDocument/2006/relationships/hyperlink" Target="https://google.smh.re/1-q" TargetMode="External"/><Relationship Id="rId521" Type="http://schemas.openxmlformats.org/officeDocument/2006/relationships/hyperlink" Target="https://dreampostt.blogspot.com/2020/09/what-end-to-end-encryption-is-and-why.html?spref=twKids" TargetMode="External"/><Relationship Id="rId1151" Type="http://schemas.openxmlformats.org/officeDocument/2006/relationships/hyperlink" Target="https://pbs.twimg.com/media/Eu60ldiVoAE3V0p.jpg" TargetMode="External"/><Relationship Id="rId2202" Type="http://schemas.openxmlformats.org/officeDocument/2006/relationships/hyperlink" Target="https://amzn.to/2Nxgt1t" TargetMode="External"/><Relationship Id="rId1011" Type="http://schemas.openxmlformats.org/officeDocument/2006/relationships/hyperlink" Target="https://aisear.ch/" TargetMode="External"/><Relationship Id="rId1968" Type="http://schemas.openxmlformats.org/officeDocument/2006/relationships/hyperlink" Target="http://pic.twitter.com/I9Cf0k6ihw" TargetMode="External"/><Relationship Id="rId4167" Type="http://schemas.openxmlformats.org/officeDocument/2006/relationships/hyperlink" Target="https://www.youtube.com/channel/UCq4rE6ASeDC_IV2O-ngzAbQ" TargetMode="External"/><Relationship Id="rId3183" Type="http://schemas.openxmlformats.org/officeDocument/2006/relationships/hyperlink" Target="https://www.thieme-connect.de/products/ejournals/abstract/10.1055/s-0040-1721791" TargetMode="External"/><Relationship Id="rId3390" Type="http://schemas.openxmlformats.org/officeDocument/2006/relationships/hyperlink" Target="https://neurons.ai/blog/news-stories/machine-learning-courses-market-comprehensive-insights-and-future-growth-potential-by/" TargetMode="External"/><Relationship Id="rId4027" Type="http://schemas.openxmlformats.org/officeDocument/2006/relationships/hyperlink" Target="https://pbs.twimg.com/media/Eu4DoycXcAMM1RH.jpg" TargetMode="External"/><Relationship Id="rId4234" Type="http://schemas.openxmlformats.org/officeDocument/2006/relationships/hyperlink" Target="https://machinelearningflx.com/" TargetMode="External"/><Relationship Id="rId1828" Type="http://schemas.openxmlformats.org/officeDocument/2006/relationships/hyperlink" Target="https://pbs.twimg.com/media/Eu6V5QXU4AEPGYq.png" TargetMode="External"/><Relationship Id="rId3043" Type="http://schemas.openxmlformats.org/officeDocument/2006/relationships/hyperlink" Target="https://pbs.twimg.com/media/Eu5bEP2XIAIxkcB.jpg" TargetMode="External"/><Relationship Id="rId3250" Type="http://schemas.openxmlformats.org/officeDocument/2006/relationships/hyperlink" Target="http://bit.ly/3buBkuh" TargetMode="External"/><Relationship Id="rId171" Type="http://schemas.openxmlformats.org/officeDocument/2006/relationships/hyperlink" Target="http://www.metal-am.com/" TargetMode="External"/><Relationship Id="rId3110" Type="http://schemas.openxmlformats.org/officeDocument/2006/relationships/hyperlink" Target="http://dlvr.it/RtHYsy" TargetMode="External"/><Relationship Id="rId988" Type="http://schemas.openxmlformats.org/officeDocument/2006/relationships/hyperlink" Target="http://www.omdena.com/" TargetMode="External"/><Relationship Id="rId2669" Type="http://schemas.openxmlformats.org/officeDocument/2006/relationships/hyperlink" Target="https://www.gstic.org/" TargetMode="External"/><Relationship Id="rId2876" Type="http://schemas.openxmlformats.org/officeDocument/2006/relationships/hyperlink" Target="http://neurons.ai/" TargetMode="External"/><Relationship Id="rId3927" Type="http://schemas.openxmlformats.org/officeDocument/2006/relationships/hyperlink" Target="https://www.biometricupdate.com/201910/nvidia-adds-safr-facial-recognition-to-smart-city-partner-program" TargetMode="External"/><Relationship Id="rId848" Type="http://schemas.openxmlformats.org/officeDocument/2006/relationships/hyperlink" Target="https://pbs.twimg.com/media/Eu7A37mWgAM0WXX.jpg" TargetMode="External"/><Relationship Id="rId1478" Type="http://schemas.openxmlformats.org/officeDocument/2006/relationships/hyperlink" Target="https://bit.ly/3pKvutR" TargetMode="External"/><Relationship Id="rId1685" Type="http://schemas.openxmlformats.org/officeDocument/2006/relationships/hyperlink" Target="http://www.relx.com/" TargetMode="External"/><Relationship Id="rId1892" Type="http://schemas.openxmlformats.org/officeDocument/2006/relationships/hyperlink" Target="https://www.fiverr.com/s2/d1a5306b0f" TargetMode="External"/><Relationship Id="rId2529" Type="http://schemas.openxmlformats.org/officeDocument/2006/relationships/hyperlink" Target="http://bit.ly/Web2502" TargetMode="External"/><Relationship Id="rId2736" Type="http://schemas.openxmlformats.org/officeDocument/2006/relationships/hyperlink" Target="https://bit.ly/3uofrW2" TargetMode="External"/><Relationship Id="rId4091" Type="http://schemas.openxmlformats.org/officeDocument/2006/relationships/hyperlink" Target="https://pbs.twimg.com/media/Eu39O4DXMAci0si.png" TargetMode="External"/><Relationship Id="rId708" Type="http://schemas.openxmlformats.org/officeDocument/2006/relationships/hyperlink" Target="http://www.exxactcorp.com/" TargetMode="External"/><Relationship Id="rId915" Type="http://schemas.openxmlformats.org/officeDocument/2006/relationships/hyperlink" Target="https://www.greatlearning.in/" TargetMode="External"/><Relationship Id="rId1338" Type="http://schemas.openxmlformats.org/officeDocument/2006/relationships/hyperlink" Target="http://dlvr.it/RtJpWp" TargetMode="External"/><Relationship Id="rId1545" Type="http://schemas.openxmlformats.org/officeDocument/2006/relationships/hyperlink" Target="https://zpy.io/32101f3e" TargetMode="External"/><Relationship Id="rId2943" Type="http://schemas.openxmlformats.org/officeDocument/2006/relationships/hyperlink" Target="https://techflx.com/product-category/books/" TargetMode="External"/><Relationship Id="rId1405" Type="http://schemas.openxmlformats.org/officeDocument/2006/relationships/hyperlink" Target="https://zcu.io/87NG" TargetMode="External"/><Relationship Id="rId1752" Type="http://schemas.openxmlformats.org/officeDocument/2006/relationships/hyperlink" Target="https://evolvous.com/" TargetMode="External"/><Relationship Id="rId2803" Type="http://schemas.openxmlformats.org/officeDocument/2006/relationships/hyperlink" Target="https://www.the-next-tech.com/?p=32525&amp;utm_source=twitter&amp;utm_medium=social&amp;utm_campaign=TNT" TargetMode="External"/><Relationship Id="rId44" Type="http://schemas.openxmlformats.org/officeDocument/2006/relationships/hyperlink" Target="https://pbs.twimg.com/media/Eu7iqosXUAQP2Qn.jpg" TargetMode="External"/><Relationship Id="rId1612" Type="http://schemas.openxmlformats.org/officeDocument/2006/relationships/hyperlink" Target="https://thenextweb.com/neural/2021/02/22/microsoft-word-launching-ai-text-predictions-spelling-grammar/" TargetMode="External"/><Relationship Id="rId498" Type="http://schemas.openxmlformats.org/officeDocument/2006/relationships/hyperlink" Target="https://cutt.ly/NlxO5MM" TargetMode="External"/><Relationship Id="rId2179" Type="http://schemas.openxmlformats.org/officeDocument/2006/relationships/hyperlink" Target="https://pbs.twimg.com/media/Eu4EUmfWQAYN7Qy.jpg" TargetMode="External"/><Relationship Id="rId3577" Type="http://schemas.openxmlformats.org/officeDocument/2006/relationships/hyperlink" Target="https://bit.ly/3uraQ5o" TargetMode="External"/><Relationship Id="rId3784" Type="http://schemas.openxmlformats.org/officeDocument/2006/relationships/hyperlink" Target="https://pbs.twimg.com/media/Eu4fkuuXEAk0EoZ.jpg" TargetMode="External"/><Relationship Id="rId3991" Type="http://schemas.openxmlformats.org/officeDocument/2006/relationships/hyperlink" Target="https://www.goingdigital.in/" TargetMode="External"/><Relationship Id="rId2386" Type="http://schemas.openxmlformats.org/officeDocument/2006/relationships/hyperlink" Target="https://www.couponed12.com/" TargetMode="External"/><Relationship Id="rId2593" Type="http://schemas.openxmlformats.org/officeDocument/2006/relationships/hyperlink" Target="https://www.analyticsinsight.net/global-cooperation-guidelines-will-let-countries-use-ai-for-good/" TargetMode="External"/><Relationship Id="rId3437" Type="http://schemas.openxmlformats.org/officeDocument/2006/relationships/hyperlink" Target="http://facebook.com/alvaro.sebastian.macias" TargetMode="External"/><Relationship Id="rId3644" Type="http://schemas.openxmlformats.org/officeDocument/2006/relationships/hyperlink" Target="https://www.smeclabs.com/" TargetMode="External"/><Relationship Id="rId3851" Type="http://schemas.openxmlformats.org/officeDocument/2006/relationships/hyperlink" Target="https://machinelearningflx.com/" TargetMode="External"/><Relationship Id="rId358" Type="http://schemas.openxmlformats.org/officeDocument/2006/relationships/hyperlink" Target="https://pbs.twimg.com/media/Eu7SbpWXMAUUq6W.png" TargetMode="External"/><Relationship Id="rId565" Type="http://schemas.openxmlformats.org/officeDocument/2006/relationships/hyperlink" Target="https://about.me/the.michael.h" TargetMode="External"/><Relationship Id="rId772" Type="http://schemas.openxmlformats.org/officeDocument/2006/relationships/hyperlink" Target="http://www.matthewrenze.com/" TargetMode="External"/><Relationship Id="rId1195" Type="http://schemas.openxmlformats.org/officeDocument/2006/relationships/hyperlink" Target="https://hbr.org/2021/02/is-china-emerging-as-the-global-leader-in-ai?ab=hero-subleft-3" TargetMode="External"/><Relationship Id="rId2039" Type="http://schemas.openxmlformats.org/officeDocument/2006/relationships/hyperlink" Target="https://www.reddit.com/r/MachineLearning/" TargetMode="External"/><Relationship Id="rId2246" Type="http://schemas.openxmlformats.org/officeDocument/2006/relationships/hyperlink" Target="https://hubs.la/H0H0Jhc0" TargetMode="External"/><Relationship Id="rId2453" Type="http://schemas.openxmlformats.org/officeDocument/2006/relationships/hyperlink" Target="http://neurons.ai/" TargetMode="External"/><Relationship Id="rId2660" Type="http://schemas.openxmlformats.org/officeDocument/2006/relationships/hyperlink" Target="https://www.grupocmc.es/blog/machine-learning-5-ventajas-para-tu-negocio/" TargetMode="External"/><Relationship Id="rId3504" Type="http://schemas.openxmlformats.org/officeDocument/2006/relationships/hyperlink" Target="http://analyticsinsight.net/are-psychologi" TargetMode="External"/><Relationship Id="rId3711" Type="http://schemas.openxmlformats.org/officeDocument/2006/relationships/hyperlink" Target="https://pbs.twimg.com/media/Eu4layaXUAIJnS-.png" TargetMode="External"/><Relationship Id="rId218" Type="http://schemas.openxmlformats.org/officeDocument/2006/relationships/hyperlink" Target="http://www.awakenai.org/" TargetMode="External"/><Relationship Id="rId425" Type="http://schemas.openxmlformats.org/officeDocument/2006/relationships/hyperlink" Target="https://arxiv.org/pdf/2102.11274.pdf" TargetMode="External"/><Relationship Id="rId632" Type="http://schemas.openxmlformats.org/officeDocument/2006/relationships/hyperlink" Target="http://pic.twitter.com/xrIag2CWOX" TargetMode="External"/><Relationship Id="rId1055" Type="http://schemas.openxmlformats.org/officeDocument/2006/relationships/hyperlink" Target="http://grokstream.com/" TargetMode="External"/><Relationship Id="rId1262" Type="http://schemas.openxmlformats.org/officeDocument/2006/relationships/hyperlink" Target="http://scanta.io/" TargetMode="External"/><Relationship Id="rId2106" Type="http://schemas.openxmlformats.org/officeDocument/2006/relationships/hyperlink" Target="https://ptyleraul.medium.com/building-artificial-intelligence-bf1d8eb4b4ac" TargetMode="External"/><Relationship Id="rId2313" Type="http://schemas.openxmlformats.org/officeDocument/2006/relationships/hyperlink" Target="http://pic.twitter.com/SxYJUSmXfd" TargetMode="External"/><Relationship Id="rId2520" Type="http://schemas.openxmlformats.org/officeDocument/2006/relationships/hyperlink" Target="http://www.botpenguin.com/" TargetMode="External"/><Relationship Id="rId1122" Type="http://schemas.openxmlformats.org/officeDocument/2006/relationships/hyperlink" Target="https://www.reddit.com/r/MachineLearning/comments/lqg3z9/r_tensorflow_functional_implementation_of/" TargetMode="External"/><Relationship Id="rId3087" Type="http://schemas.openxmlformats.org/officeDocument/2006/relationships/hyperlink" Target="http://tamaramccleary.com/" TargetMode="External"/><Relationship Id="rId3294" Type="http://schemas.openxmlformats.org/officeDocument/2006/relationships/hyperlink" Target="https://twitter.com/Nicochan33/status/1363755262583197700" TargetMode="External"/><Relationship Id="rId4138" Type="http://schemas.openxmlformats.org/officeDocument/2006/relationships/hyperlink" Target="https://pbs.twimg.com/media/Eu32lwJWYAEYTIs.jpg" TargetMode="External"/><Relationship Id="rId1939" Type="http://schemas.openxmlformats.org/officeDocument/2006/relationships/hyperlink" Target="https://cloud-atlas-br.github.io/2021-02-20-ml-discovery-s1e1/" TargetMode="External"/><Relationship Id="rId3154" Type="http://schemas.openxmlformats.org/officeDocument/2006/relationships/hyperlink" Target="http://pic.twitter.com/OQDsV53e4A" TargetMode="External"/><Relationship Id="rId3361" Type="http://schemas.openxmlformats.org/officeDocument/2006/relationships/hyperlink" Target="http://pic.twitter.com/qYkwgtCiuJ" TargetMode="External"/><Relationship Id="rId4205" Type="http://schemas.openxmlformats.org/officeDocument/2006/relationships/hyperlink" Target="https://bit.ly/2HAfhYl" TargetMode="External"/><Relationship Id="rId282" Type="http://schemas.openxmlformats.org/officeDocument/2006/relationships/hyperlink" Target="https://pbs.twimg.com/media/Eu7Y80uXAAEhQI9.jpg" TargetMode="External"/><Relationship Id="rId2170" Type="http://schemas.openxmlformats.org/officeDocument/2006/relationships/hyperlink" Target="https://ptyleraul.medium.com/building-artificial-intelligence-bf1d8eb4b4ac" TargetMode="External"/><Relationship Id="rId3014" Type="http://schemas.openxmlformats.org/officeDocument/2006/relationships/hyperlink" Target="https://pbs.twimg.com/media/Eu5cnzPWYAMlRCl.jpg" TargetMode="External"/><Relationship Id="rId3221" Type="http://schemas.openxmlformats.org/officeDocument/2006/relationships/hyperlink" Target="http://bit.ly/2ZEcd0V" TargetMode="External"/><Relationship Id="rId8" Type="http://schemas.openxmlformats.org/officeDocument/2006/relationships/hyperlink" Target="http://www.hempel-joel.at/" TargetMode="External"/><Relationship Id="rId142" Type="http://schemas.openxmlformats.org/officeDocument/2006/relationships/hyperlink" Target="https://www.nerdsshop.us/" TargetMode="External"/><Relationship Id="rId2030" Type="http://schemas.openxmlformats.org/officeDocument/2006/relationships/hyperlink" Target="http://www.iot-worx.com/" TargetMode="External"/><Relationship Id="rId2987" Type="http://schemas.openxmlformats.org/officeDocument/2006/relationships/hyperlink" Target="https://bit.ly/3qQnfhe" TargetMode="External"/><Relationship Id="rId959" Type="http://schemas.openxmlformats.org/officeDocument/2006/relationships/hyperlink" Target="http://scanta.io/" TargetMode="External"/><Relationship Id="rId1589" Type="http://schemas.openxmlformats.org/officeDocument/2006/relationships/hyperlink" Target="https://pbs.twimg.com/media/Eu6fyYvWgAEXckz.jpg" TargetMode="External"/><Relationship Id="rId1449" Type="http://schemas.openxmlformats.org/officeDocument/2006/relationships/hyperlink" Target="https://buff.ly/37KUefG" TargetMode="External"/><Relationship Id="rId1796" Type="http://schemas.openxmlformats.org/officeDocument/2006/relationships/hyperlink" Target="https://numenta.com/company/careers-and-team/careers/machine-learning-research-scientist/" TargetMode="External"/><Relationship Id="rId2847" Type="http://schemas.openxmlformats.org/officeDocument/2006/relationships/hyperlink" Target="http://pic.twitter.com/Ssahd8gpEI" TargetMode="External"/><Relationship Id="rId4062" Type="http://schemas.openxmlformats.org/officeDocument/2006/relationships/hyperlink" Target="https://pbs.twimg.com/media/Eu3_h45VEAYcoae.jpg" TargetMode="External"/><Relationship Id="rId88" Type="http://schemas.openxmlformats.org/officeDocument/2006/relationships/hyperlink" Target="https://www.youtube.com/watch?v=VaJ6auzRJEQ" TargetMode="External"/><Relationship Id="rId819" Type="http://schemas.openxmlformats.org/officeDocument/2006/relationships/hyperlink" Target="http://bit.ly/2P0GJSd" TargetMode="External"/><Relationship Id="rId1656" Type="http://schemas.openxmlformats.org/officeDocument/2006/relationships/hyperlink" Target="https://www.newsfilecorp.com/release/75118/Mobi724-Announces-Strategic-Alliance-Agreement-Across-Central-America-with-Compania-de-Procesamiento-de-Medios-Pago-de-Guatemala-Operating-as-VisaNet-Guatemala" TargetMode="External"/><Relationship Id="rId1863" Type="http://schemas.openxmlformats.org/officeDocument/2006/relationships/hyperlink" Target="https://hr.economictimes.indiatimes.com/news/workplace-4-0/recruitment/it-company-appinventiv-to-hire-150-people-add-new-business-units/81169619" TargetMode="External"/><Relationship Id="rId2707" Type="http://schemas.openxmlformats.org/officeDocument/2006/relationships/hyperlink" Target="https://tudip.com/blog-post/artificial-intelligence-building-blocks" TargetMode="External"/><Relationship Id="rId2914" Type="http://schemas.openxmlformats.org/officeDocument/2006/relationships/hyperlink" Target="https://pbs.twimg.com/media/Eu5gyr8XEAIt6li.jpg" TargetMode="External"/><Relationship Id="rId1309" Type="http://schemas.openxmlformats.org/officeDocument/2006/relationships/hyperlink" Target="http://dragonweaver.net/" TargetMode="External"/><Relationship Id="rId1516" Type="http://schemas.openxmlformats.org/officeDocument/2006/relationships/hyperlink" Target="http://socialmediasandy.wordpress.com/" TargetMode="External"/><Relationship Id="rId1723" Type="http://schemas.openxmlformats.org/officeDocument/2006/relationships/hyperlink" Target="https://pbs.twimg.com/media/Eu6bOBNWQAUb7a3.png" TargetMode="External"/><Relationship Id="rId1930" Type="http://schemas.openxmlformats.org/officeDocument/2006/relationships/hyperlink" Target="https://www.bsc.es/join-us/job-opportunities/1621lscbr2" TargetMode="External"/><Relationship Id="rId15" Type="http://schemas.openxmlformats.org/officeDocument/2006/relationships/hyperlink" Target="https://www.microfocus.com/en-us/partners" TargetMode="External"/><Relationship Id="rId3688" Type="http://schemas.openxmlformats.org/officeDocument/2006/relationships/hyperlink" Target="https://pbs.twimg.com/media/Eu4nkVxWYAEIYbo.jpg" TargetMode="External"/><Relationship Id="rId3895" Type="http://schemas.openxmlformats.org/officeDocument/2006/relationships/hyperlink" Target="https://www.reddit.com/r/MachineLearning/" TargetMode="External"/><Relationship Id="rId2497" Type="http://schemas.openxmlformats.org/officeDocument/2006/relationships/hyperlink" Target="http://pic.twitter.com/YxkSeXGUm7" TargetMode="External"/><Relationship Id="rId3548" Type="http://schemas.openxmlformats.org/officeDocument/2006/relationships/hyperlink" Target="http://www.gppulipaka.org/" TargetMode="External"/><Relationship Id="rId3755" Type="http://schemas.openxmlformats.org/officeDocument/2006/relationships/hyperlink" Target="http://designnation.in/" TargetMode="External"/><Relationship Id="rId469" Type="http://schemas.openxmlformats.org/officeDocument/2006/relationships/hyperlink" Target="https://bit.ly/3kE5ejt" TargetMode="External"/><Relationship Id="rId676" Type="http://schemas.openxmlformats.org/officeDocument/2006/relationships/hyperlink" Target="http://www.ifatticapitali.it/" TargetMode="External"/><Relationship Id="rId883" Type="http://schemas.openxmlformats.org/officeDocument/2006/relationships/hyperlink" Target="https://www.techradar.com/news/fortnite-now-has-video-chat-heres-how-to-use-it" TargetMode="External"/><Relationship Id="rId1099" Type="http://schemas.openxmlformats.org/officeDocument/2006/relationships/hyperlink" Target="https://buff.ly/2LL46hi" TargetMode="External"/><Relationship Id="rId2357" Type="http://schemas.openxmlformats.org/officeDocument/2006/relationships/hyperlink" Target="https://citadeladvantage.blogspot.com/" TargetMode="External"/><Relationship Id="rId2564" Type="http://schemas.openxmlformats.org/officeDocument/2006/relationships/hyperlink" Target="https://medium.com/nerd-for-tech/please-human-can-you-teach-me-how-to-ai-9b272920f16f" TargetMode="External"/><Relationship Id="rId3408" Type="http://schemas.openxmlformats.org/officeDocument/2006/relationships/hyperlink" Target="https://www.hopsworks.ai/feature-store" TargetMode="External"/><Relationship Id="rId3615" Type="http://schemas.openxmlformats.org/officeDocument/2006/relationships/hyperlink" Target="https://pbs.twimg.com/media/Eu4u5DnXEAE53VU.jpg" TargetMode="External"/><Relationship Id="rId3962" Type="http://schemas.openxmlformats.org/officeDocument/2006/relationships/hyperlink" Target="https://neurons.ai/blog/news-stories/global-machine-learning-courses-market-2021-industry-demand-insight-forecast-by-2025/" TargetMode="External"/><Relationship Id="rId329" Type="http://schemas.openxmlformats.org/officeDocument/2006/relationships/hyperlink" Target="https://pbs.twimg.com/media/Eu7Uc_4VoAEIb9y.jpg" TargetMode="External"/><Relationship Id="rId536" Type="http://schemas.openxmlformats.org/officeDocument/2006/relationships/hyperlink" Target="https://www.betterworld.bmnxt.com/artificial-intelligence/ai-tools-can-drive-big-efficiencies-in-oil-and-gas/" TargetMode="External"/><Relationship Id="rId1166" Type="http://schemas.openxmlformats.org/officeDocument/2006/relationships/hyperlink" Target="https://www.argosmultilingual.com/real-time-machine-translation" TargetMode="External"/><Relationship Id="rId1373" Type="http://schemas.openxmlformats.org/officeDocument/2006/relationships/hyperlink" Target="https://buff.ly/39gpeW2" TargetMode="External"/><Relationship Id="rId2217" Type="http://schemas.openxmlformats.org/officeDocument/2006/relationships/hyperlink" Target="http://www.itnumeric.com/?p=46346" TargetMode="External"/><Relationship Id="rId2771" Type="http://schemas.openxmlformats.org/officeDocument/2006/relationships/hyperlink" Target="http://pic.twitter.com/0G5GJn20IJ" TargetMode="External"/><Relationship Id="rId3822" Type="http://schemas.openxmlformats.org/officeDocument/2006/relationships/hyperlink" Target="https://buff.ly/3aKTmb9" TargetMode="External"/><Relationship Id="rId743" Type="http://schemas.openxmlformats.org/officeDocument/2006/relationships/hyperlink" Target="http://www.helixa.ai/" TargetMode="External"/><Relationship Id="rId950" Type="http://schemas.openxmlformats.org/officeDocument/2006/relationships/hyperlink" Target="https://pbs.twimg.com/media/Eu69oBwWYAYpXEN.jpg" TargetMode="External"/><Relationship Id="rId1026" Type="http://schemas.openxmlformats.org/officeDocument/2006/relationships/hyperlink" Target="http://big-data-fr.com/recrutement-datascientist/promo/bd" TargetMode="External"/><Relationship Id="rId1580" Type="http://schemas.openxmlformats.org/officeDocument/2006/relationships/hyperlink" Target="https://www.unsaid.fr/" TargetMode="External"/><Relationship Id="rId2424" Type="http://schemas.openxmlformats.org/officeDocument/2006/relationships/hyperlink" Target="http://marketsandmarkets.com/" TargetMode="External"/><Relationship Id="rId2631" Type="http://schemas.openxmlformats.org/officeDocument/2006/relationships/hyperlink" Target="https://pbs.twimg.com/media/Eu5t-fCXYAI2HCd.jpg" TargetMode="External"/><Relationship Id="rId603" Type="http://schemas.openxmlformats.org/officeDocument/2006/relationships/hyperlink" Target="https://venturebeat.com/2021/02/23/perimeterx-raises-57-million-to-fight-bots-and-web-app-attacks/?utm_source=dlvr.it&amp;utm_medium=twitter" TargetMode="External"/><Relationship Id="rId810" Type="http://schemas.openxmlformats.org/officeDocument/2006/relationships/hyperlink" Target="http://ow.ly/OZqO50DHJpA" TargetMode="External"/><Relationship Id="rId1233" Type="http://schemas.openxmlformats.org/officeDocument/2006/relationships/hyperlink" Target="http://hitlab.org/" TargetMode="External"/><Relationship Id="rId1440" Type="http://schemas.openxmlformats.org/officeDocument/2006/relationships/hyperlink" Target="http://ow.ly/BI3o50Dufwo" TargetMode="External"/><Relationship Id="rId1300" Type="http://schemas.openxmlformats.org/officeDocument/2006/relationships/hyperlink" Target="http://aws.amazon.com/pt/" TargetMode="External"/><Relationship Id="rId3198" Type="http://schemas.openxmlformats.org/officeDocument/2006/relationships/hyperlink" Target="https://pbs.twimg.com/media/Eu5RBHYUUAE-etP.jpg" TargetMode="External"/><Relationship Id="rId4249" Type="http://schemas.openxmlformats.org/officeDocument/2006/relationships/hyperlink" Target="https://twitter.com/zachking/status/1264669826124922880" TargetMode="External"/><Relationship Id="rId3058" Type="http://schemas.openxmlformats.org/officeDocument/2006/relationships/hyperlink" Target="https://pbs.twimg.com/media/Eu5a13aUUAElQkF.png" TargetMode="External"/><Relationship Id="rId3265" Type="http://schemas.openxmlformats.org/officeDocument/2006/relationships/hyperlink" Target="https://pbs.twimg.com/media/Eu5NMFGXcAMY-dC.png" TargetMode="External"/><Relationship Id="rId3472" Type="http://schemas.openxmlformats.org/officeDocument/2006/relationships/hyperlink" Target="http://pic.twitter.com/gFrEmloiCK" TargetMode="External"/><Relationship Id="rId4109" Type="http://schemas.openxmlformats.org/officeDocument/2006/relationships/hyperlink" Target="https://thedatascientist.com/about-dr-stylianos-stelios-kampakis/" TargetMode="External"/><Relationship Id="rId186" Type="http://schemas.openxmlformats.org/officeDocument/2006/relationships/hyperlink" Target="https://liwaiwai.com/2021/02/22/machine-learning-blazes-path-to-reliable-near-term-quantum-computers/" TargetMode="External"/><Relationship Id="rId393" Type="http://schemas.openxmlformats.org/officeDocument/2006/relationships/hyperlink" Target="http://www.compunetics.net/" TargetMode="External"/><Relationship Id="rId2074" Type="http://schemas.openxmlformats.org/officeDocument/2006/relationships/hyperlink" Target="https://www.analyticsinsight.net/unravelling-transfer-learning-to-make-machines-more-advanced/" TargetMode="External"/><Relationship Id="rId2281" Type="http://schemas.openxmlformats.org/officeDocument/2006/relationships/hyperlink" Target="http://rss.org.uk/Machine-Learning-in-r-March-2021" TargetMode="External"/><Relationship Id="rId3125" Type="http://schemas.openxmlformats.org/officeDocument/2006/relationships/hyperlink" Target="https://www.paypal.me/Torilove82.com" TargetMode="External"/><Relationship Id="rId3332" Type="http://schemas.openxmlformats.org/officeDocument/2006/relationships/hyperlink" Target="http://world2digits.blogspot.com/" TargetMode="External"/><Relationship Id="rId253" Type="http://schemas.openxmlformats.org/officeDocument/2006/relationships/hyperlink" Target="http://essentials.news/future-of-ai" TargetMode="External"/><Relationship Id="rId460" Type="http://schemas.openxmlformats.org/officeDocument/2006/relationships/hyperlink" Target="http://successanalytix.blogspot.com/" TargetMode="External"/><Relationship Id="rId1090" Type="http://schemas.openxmlformats.org/officeDocument/2006/relationships/hyperlink" Target="http://www.aspneph.org/" TargetMode="External"/><Relationship Id="rId2141" Type="http://schemas.openxmlformats.org/officeDocument/2006/relationships/hyperlink" Target="https://youtu.be/Xc4SiHE2_gs" TargetMode="External"/><Relationship Id="rId113" Type="http://schemas.openxmlformats.org/officeDocument/2006/relationships/hyperlink" Target="http://pic.twitter.com/nYXywz48PV" TargetMode="External"/><Relationship Id="rId320" Type="http://schemas.openxmlformats.org/officeDocument/2006/relationships/hyperlink" Target="https://pbs.twimg.com/media/Eu7Wrj_XUAc31-X.jpg" TargetMode="External"/><Relationship Id="rId2001" Type="http://schemas.openxmlformats.org/officeDocument/2006/relationships/hyperlink" Target="https://iopscience.org/mlst" TargetMode="External"/><Relationship Id="rId2958" Type="http://schemas.openxmlformats.org/officeDocument/2006/relationships/hyperlink" Target="https://zpy.io/70351f1c" TargetMode="External"/><Relationship Id="rId1767" Type="http://schemas.openxmlformats.org/officeDocument/2006/relationships/hyperlink" Target="https://pbs.twimg.com/media/Eu6Zk1PXUAwhz3g.jpg" TargetMode="External"/><Relationship Id="rId1974" Type="http://schemas.openxmlformats.org/officeDocument/2006/relationships/hyperlink" Target="https://www.meetup.com/Fintech_AI_in_Finance/events/276536219/" TargetMode="External"/><Relationship Id="rId2818" Type="http://schemas.openxmlformats.org/officeDocument/2006/relationships/hyperlink" Target="https://pbs.twimg.com/media/Eu5kPI9XUAY4si6.jpg" TargetMode="External"/><Relationship Id="rId4173" Type="http://schemas.openxmlformats.org/officeDocument/2006/relationships/hyperlink" Target="https://neurons.ai/blog/news-stories/powering-deep-learning-and-inference-analysis-in-heavy-industrial-applications-2/" TargetMode="External"/><Relationship Id="rId59" Type="http://schemas.openxmlformats.org/officeDocument/2006/relationships/hyperlink" Target="https://www.vubblepop.com/" TargetMode="External"/><Relationship Id="rId1627" Type="http://schemas.openxmlformats.org/officeDocument/2006/relationships/hyperlink" Target="http://www.cognilytica.com/" TargetMode="External"/><Relationship Id="rId1834" Type="http://schemas.openxmlformats.org/officeDocument/2006/relationships/hyperlink" Target="https://www.behance.net/dantemetaphor" TargetMode="External"/><Relationship Id="rId4033" Type="http://schemas.openxmlformats.org/officeDocument/2006/relationships/hyperlink" Target="http://pic.twitter.com/Iupj8RCfH4" TargetMode="External"/><Relationship Id="rId4240" Type="http://schemas.openxmlformats.org/officeDocument/2006/relationships/hyperlink" Target="https://pbs.twimg.com/media/Eu3s8avVcAIyvAb.jpg" TargetMode="External"/><Relationship Id="rId3799" Type="http://schemas.openxmlformats.org/officeDocument/2006/relationships/hyperlink" Target="http://www.diginxthlt.com/" TargetMode="External"/><Relationship Id="rId4100" Type="http://schemas.openxmlformats.org/officeDocument/2006/relationships/hyperlink" Target="https://www.news-medical.net/news/20210222/Applications-of-Artificial-Intelligence-in-COVID-19-ICU-and-ER-situations.aspx" TargetMode="External"/><Relationship Id="rId1901" Type="http://schemas.openxmlformats.org/officeDocument/2006/relationships/hyperlink" Target="http://alerttrade.us/" TargetMode="External"/><Relationship Id="rId3659" Type="http://schemas.openxmlformats.org/officeDocument/2006/relationships/hyperlink" Target="https://fcld.ly/9uvkjbi" TargetMode="External"/><Relationship Id="rId3866" Type="http://schemas.openxmlformats.org/officeDocument/2006/relationships/hyperlink" Target="https://techae.000webhostapp.com/" TargetMode="External"/><Relationship Id="rId787" Type="http://schemas.openxmlformats.org/officeDocument/2006/relationships/hyperlink" Target="http://ipfconline.fr/contacts-eng.html" TargetMode="External"/><Relationship Id="rId994" Type="http://schemas.openxmlformats.org/officeDocument/2006/relationships/hyperlink" Target="https://www.computerweekly.com/news/252496333/How-computer-vision-can-protect-coral-reefs" TargetMode="External"/><Relationship Id="rId2468" Type="http://schemas.openxmlformats.org/officeDocument/2006/relationships/hyperlink" Target="https://www.marktechpost.com/2021/02/21/deepmind-and-university-college-london-introduce-alchemy-a-novel-open-source-benchmark-for-meta-reinforcement-learning-rl-research/" TargetMode="External"/><Relationship Id="rId2675" Type="http://schemas.openxmlformats.org/officeDocument/2006/relationships/hyperlink" Target="https://paper.li/DFTGames/1400577980?edition_id=86abd5e0-75b9-11eb-ae29-002590a5ba2d" TargetMode="External"/><Relationship Id="rId2882" Type="http://schemas.openxmlformats.org/officeDocument/2006/relationships/hyperlink" Target="https://contribute.towardsai.net/" TargetMode="External"/><Relationship Id="rId3519" Type="http://schemas.openxmlformats.org/officeDocument/2006/relationships/hyperlink" Target="https://pbs.twimg.com/media/Eu1vIZeXEAY5b2c.jpg" TargetMode="External"/><Relationship Id="rId3726" Type="http://schemas.openxmlformats.org/officeDocument/2006/relationships/hyperlink" Target="https://pbs.twimg.com/media/Eu4kmAOXMAAoDrX.jpg" TargetMode="External"/><Relationship Id="rId3933" Type="http://schemas.openxmlformats.org/officeDocument/2006/relationships/hyperlink" Target="http://odsc.com/" TargetMode="External"/><Relationship Id="rId647" Type="http://schemas.openxmlformats.org/officeDocument/2006/relationships/hyperlink" Target="https://pbs.twimg.com/media/Eu2CetmXUAQj3wa.png" TargetMode="External"/><Relationship Id="rId854" Type="http://schemas.openxmlformats.org/officeDocument/2006/relationships/hyperlink" Target="https://pub.towardsai.net/deep-understanding-of-confusion-matrix-6ab1f88a267e?source=rss----98111c9905da---4?source=social.tw" TargetMode="External"/><Relationship Id="rId1277" Type="http://schemas.openxmlformats.org/officeDocument/2006/relationships/hyperlink" Target="http://www.cyberseer.net/" TargetMode="External"/><Relationship Id="rId1484" Type="http://schemas.openxmlformats.org/officeDocument/2006/relationships/hyperlink" Target="https://bit.ly/3aMDOVL" TargetMode="External"/><Relationship Id="rId1691" Type="http://schemas.openxmlformats.org/officeDocument/2006/relationships/hyperlink" Target="https://davidbugger.hashnode.dev/" TargetMode="External"/><Relationship Id="rId2328" Type="http://schemas.openxmlformats.org/officeDocument/2006/relationships/hyperlink" Target="https://ift.tt/2P7Tef3" TargetMode="External"/><Relationship Id="rId2535" Type="http://schemas.openxmlformats.org/officeDocument/2006/relationships/hyperlink" Target="https://buff.ly/3o7lGL3" TargetMode="External"/><Relationship Id="rId2742" Type="http://schemas.openxmlformats.org/officeDocument/2006/relationships/hyperlink" Target="https://bit.ly/3umKD85" TargetMode="External"/><Relationship Id="rId507" Type="http://schemas.openxmlformats.org/officeDocument/2006/relationships/hyperlink" Target="http://www.linkedin.com/in/kirkdborne" TargetMode="External"/><Relationship Id="rId714" Type="http://schemas.openxmlformats.org/officeDocument/2006/relationships/hyperlink" Target="https://cutt.ly/FlhN1ho" TargetMode="External"/><Relationship Id="rId921" Type="http://schemas.openxmlformats.org/officeDocument/2006/relationships/hyperlink" Target="https://syncedreview.com/2021/02/22/bendr-for-bci-utorontos-bert-inspired-dnn-training-approach-learns-from-unlabelled-eeg-data/?utm_source=dlvr.it&amp;utm_medium=twitter" TargetMode="External"/><Relationship Id="rId1137" Type="http://schemas.openxmlformats.org/officeDocument/2006/relationships/hyperlink" Target="http://www.amasol.de/" TargetMode="External"/><Relationship Id="rId1344" Type="http://schemas.openxmlformats.org/officeDocument/2006/relationships/hyperlink" Target="https://buff.ly/3p74m82" TargetMode="External"/><Relationship Id="rId1551" Type="http://schemas.openxmlformats.org/officeDocument/2006/relationships/hyperlink" Target="https://pbs.twimg.com/media/Eu6iez2WYAYrQZR.jpg" TargetMode="External"/><Relationship Id="rId2602" Type="http://schemas.openxmlformats.org/officeDocument/2006/relationships/hyperlink" Target="https://www.cnet.com/news/mortal-kombat-trailer-reveals-movies-gore-filled-fatalities-klassic-characters/" TargetMode="External"/><Relationship Id="rId50" Type="http://schemas.openxmlformats.org/officeDocument/2006/relationships/hyperlink" Target="https://data-mining.philippe-fournier-viger.com/what-is-the-difference-between-data-mining-and-machine-learning/" TargetMode="External"/><Relationship Id="rId1204" Type="http://schemas.openxmlformats.org/officeDocument/2006/relationships/hyperlink" Target="https://www.globalknowledge.com/es-es/resources/articles/machine-learning-aws" TargetMode="External"/><Relationship Id="rId1411" Type="http://schemas.openxmlformats.org/officeDocument/2006/relationships/hyperlink" Target="http://pic.twitter.com/8mqslBmYa9" TargetMode="External"/><Relationship Id="rId3169" Type="http://schemas.openxmlformats.org/officeDocument/2006/relationships/hyperlink" Target="https://neurons.ai/blog/news-stories/fall-2021-honors-college-forums-to-explore-topics-ranging-from-ancient-artifacts-to-blockchains/" TargetMode="External"/><Relationship Id="rId3376" Type="http://schemas.openxmlformats.org/officeDocument/2006/relationships/hyperlink" Target="http://pic.twitter.com/YBuwiR8nto" TargetMode="External"/><Relationship Id="rId3583" Type="http://schemas.openxmlformats.org/officeDocument/2006/relationships/hyperlink" Target="https://pbs.twimg.com/media/Eu4yB9FVgAAQSxU.jpg" TargetMode="External"/><Relationship Id="rId297" Type="http://schemas.openxmlformats.org/officeDocument/2006/relationships/hyperlink" Target="https://pbs.twimg.com/media/Eu7Xz8YXUAE6amc.jpg" TargetMode="External"/><Relationship Id="rId2185" Type="http://schemas.openxmlformats.org/officeDocument/2006/relationships/hyperlink" Target="https://bit.ly/3pRBIs8" TargetMode="External"/><Relationship Id="rId2392" Type="http://schemas.openxmlformats.org/officeDocument/2006/relationships/hyperlink" Target="http://doi.org/10.1016/S2589-7500(20)30085-6" TargetMode="External"/><Relationship Id="rId3029" Type="http://schemas.openxmlformats.org/officeDocument/2006/relationships/hyperlink" Target="http://writex.today/" TargetMode="External"/><Relationship Id="rId3236" Type="http://schemas.openxmlformats.org/officeDocument/2006/relationships/hyperlink" Target="https://www.meetup.com/cncf-uae/events/276516764/" TargetMode="External"/><Relationship Id="rId3790" Type="http://schemas.openxmlformats.org/officeDocument/2006/relationships/hyperlink" Target="https://widspune.com/" TargetMode="External"/><Relationship Id="rId157" Type="http://schemas.openxmlformats.org/officeDocument/2006/relationships/hyperlink" Target="https://pbs.twimg.com/media/Eu7eGhlXcAgDU6F.jpg" TargetMode="External"/><Relationship Id="rId364" Type="http://schemas.openxmlformats.org/officeDocument/2006/relationships/hyperlink" Target="https://dataka.globalunderdog.com/" TargetMode="External"/><Relationship Id="rId2045" Type="http://schemas.openxmlformats.org/officeDocument/2006/relationships/hyperlink" Target="https://www.campusbigdata.com/big-data-blog/item/123-machine-deep-learning-e-inteligencia-artificial" TargetMode="External"/><Relationship Id="rId3443" Type="http://schemas.openxmlformats.org/officeDocument/2006/relationships/hyperlink" Target="http://facebook.com/alvaro.sebastian.macias" TargetMode="External"/><Relationship Id="rId3650" Type="http://schemas.openxmlformats.org/officeDocument/2006/relationships/hyperlink" Target="https://linktr.ee/PiyushRaj714" TargetMode="External"/><Relationship Id="rId571" Type="http://schemas.openxmlformats.org/officeDocument/2006/relationships/hyperlink" Target="http://onelink.to/programminghero" TargetMode="External"/><Relationship Id="rId2252" Type="http://schemas.openxmlformats.org/officeDocument/2006/relationships/hyperlink" Target="http://bbk.ac.uk/business" TargetMode="External"/><Relationship Id="rId3303" Type="http://schemas.openxmlformats.org/officeDocument/2006/relationships/hyperlink" Target="https://asterisminfosoft.com/" TargetMode="External"/><Relationship Id="rId3510" Type="http://schemas.openxmlformats.org/officeDocument/2006/relationships/hyperlink" Target="https://www.i2tutorials.com/top-6-classic-open-source-computer-vision-projects/" TargetMode="External"/><Relationship Id="rId224" Type="http://schemas.openxmlformats.org/officeDocument/2006/relationships/hyperlink" Target="https://pbs.twimg.com/media/Eu7bBcaXIAkPqxI.jpg" TargetMode="External"/><Relationship Id="rId431" Type="http://schemas.openxmlformats.org/officeDocument/2006/relationships/hyperlink" Target="https://buff.ly/3dFCvcY" TargetMode="External"/><Relationship Id="rId1061" Type="http://schemas.openxmlformats.org/officeDocument/2006/relationships/hyperlink" Target="https://pbs.twimg.com/media/Eu64TXfU4AMEL1l.jpg" TargetMode="External"/><Relationship Id="rId2112" Type="http://schemas.openxmlformats.org/officeDocument/2006/relationships/hyperlink" Target="https://buff.ly/37FwIR0" TargetMode="External"/><Relationship Id="rId1878" Type="http://schemas.openxmlformats.org/officeDocument/2006/relationships/hyperlink" Target="https://machinelearning.conferenceseries.com/registration.php" TargetMode="External"/><Relationship Id="rId2929" Type="http://schemas.openxmlformats.org/officeDocument/2006/relationships/hyperlink" Target="https://customerthink.com/digital-transformation-and-the-role-of-the-customer-data-platform-cdp/" TargetMode="External"/><Relationship Id="rId4077" Type="http://schemas.openxmlformats.org/officeDocument/2006/relationships/hyperlink" Target="https://www.techradar.com/news/ipad-mini-6" TargetMode="External"/><Relationship Id="rId1738" Type="http://schemas.openxmlformats.org/officeDocument/2006/relationships/hyperlink" Target="http://www.la-forge.ai/" TargetMode="External"/><Relationship Id="rId3093" Type="http://schemas.openxmlformats.org/officeDocument/2006/relationships/hyperlink" Target="https://bit.ly/2MgQvyJ" TargetMode="External"/><Relationship Id="rId4144" Type="http://schemas.openxmlformats.org/officeDocument/2006/relationships/hyperlink" Target="https://pbs.twimg.com/media/Eu32kMlXMAAjv8p.jpg" TargetMode="External"/><Relationship Id="rId1945" Type="http://schemas.openxmlformats.org/officeDocument/2006/relationships/hyperlink" Target="https://pbs.twimg.com/media/Eu6RLyLXcAISl_I.jpg" TargetMode="External"/><Relationship Id="rId3160" Type="http://schemas.openxmlformats.org/officeDocument/2006/relationships/hyperlink" Target="https://catherinescareercorner.com/" TargetMode="External"/><Relationship Id="rId4004" Type="http://schemas.openxmlformats.org/officeDocument/2006/relationships/hyperlink" Target="https://pbs.twimg.com/media/Eu2o9_-VoAEiOku.jpg" TargetMode="External"/><Relationship Id="rId4211" Type="http://schemas.openxmlformats.org/officeDocument/2006/relationships/hyperlink" Target="https://bit.ly/3pRqmV3" TargetMode="External"/><Relationship Id="rId1805" Type="http://schemas.openxmlformats.org/officeDocument/2006/relationships/hyperlink" Target="https://lnkd.in/dqP27zw" TargetMode="External"/><Relationship Id="rId3020" Type="http://schemas.openxmlformats.org/officeDocument/2006/relationships/hyperlink" Target="https://buff.ly/37Ec3wI" TargetMode="External"/><Relationship Id="rId3977" Type="http://schemas.openxmlformats.org/officeDocument/2006/relationships/hyperlink" Target="https://aisear.ch/" TargetMode="External"/><Relationship Id="rId898" Type="http://schemas.openxmlformats.org/officeDocument/2006/relationships/hyperlink" Target="https://pbs.twimg.com/media/Eu7AfKQUcAYXZ7s.jpg" TargetMode="External"/><Relationship Id="rId2579" Type="http://schemas.openxmlformats.org/officeDocument/2006/relationships/hyperlink" Target="https://www.analyticsinsight.net/make-way-for-cloud-based-ai-mobile-applications/" TargetMode="External"/><Relationship Id="rId2786" Type="http://schemas.openxmlformats.org/officeDocument/2006/relationships/hyperlink" Target="http://bit.ly/2FViDUB" TargetMode="External"/><Relationship Id="rId2993" Type="http://schemas.openxmlformats.org/officeDocument/2006/relationships/hyperlink" Target="http://pic.twitter.com/n9OTWTvuwf" TargetMode="External"/><Relationship Id="rId3837" Type="http://schemas.openxmlformats.org/officeDocument/2006/relationships/hyperlink" Target="http://pic.twitter.com/TGzUzxd7qs" TargetMode="External"/><Relationship Id="rId758" Type="http://schemas.openxmlformats.org/officeDocument/2006/relationships/hyperlink" Target="https://youtu.be/kIc3rO5afxg" TargetMode="External"/><Relationship Id="rId965" Type="http://schemas.openxmlformats.org/officeDocument/2006/relationships/hyperlink" Target="https://today.uconn.edu/2021/02/uconn-startup-stemify-improves-math-education-with-ai/" TargetMode="External"/><Relationship Id="rId1388" Type="http://schemas.openxmlformats.org/officeDocument/2006/relationships/hyperlink" Target="https://pbs.twimg.com/media/Eu6pWMBWYAE5_n4.png" TargetMode="External"/><Relationship Id="rId1595" Type="http://schemas.openxmlformats.org/officeDocument/2006/relationships/hyperlink" Target="https://pbs.twimg.com/media/Eu6gL9QXMAE5L49.jpg" TargetMode="External"/><Relationship Id="rId2439" Type="http://schemas.openxmlformats.org/officeDocument/2006/relationships/hyperlink" Target="http://www.digitaljournal.com/tech-and-science/science/essential-science-autonomous-cars-edge-to-the-future/article/585739" TargetMode="External"/><Relationship Id="rId2646" Type="http://schemas.openxmlformats.org/officeDocument/2006/relationships/hyperlink" Target="https://www.raspberrypi.org/blog/machine-learning-and-depth-estimation-using-raspberry-pi/" TargetMode="External"/><Relationship Id="rId2853" Type="http://schemas.openxmlformats.org/officeDocument/2006/relationships/hyperlink" Target="http://www.awakenai.org/" TargetMode="External"/><Relationship Id="rId3904" Type="http://schemas.openxmlformats.org/officeDocument/2006/relationships/hyperlink" Target="http://www.analytikus.com/" TargetMode="External"/><Relationship Id="rId94" Type="http://schemas.openxmlformats.org/officeDocument/2006/relationships/hyperlink" Target="http://www.tomtaulli.com/" TargetMode="External"/><Relationship Id="rId618" Type="http://schemas.openxmlformats.org/officeDocument/2006/relationships/hyperlink" Target="http://www.micropole.be/" TargetMode="External"/><Relationship Id="rId825" Type="http://schemas.openxmlformats.org/officeDocument/2006/relationships/hyperlink" Target="https://neurons.ai/blog/news-stories/ontario-systems-acquires-pairity-to-embed-the-power-of-machine-learning-in-its-industry-leading/" TargetMode="External"/><Relationship Id="rId1248" Type="http://schemas.openxmlformats.org/officeDocument/2006/relationships/hyperlink" Target="http://www.tfi.ca/" TargetMode="External"/><Relationship Id="rId1455" Type="http://schemas.openxmlformats.org/officeDocument/2006/relationships/hyperlink" Target="https://www.linkedin.com/in/iainljbrown/" TargetMode="External"/><Relationship Id="rId1662" Type="http://schemas.openxmlformats.org/officeDocument/2006/relationships/hyperlink" Target="http://pic.twitter.com/5ZeJms0f3h" TargetMode="External"/><Relationship Id="rId2506" Type="http://schemas.openxmlformats.org/officeDocument/2006/relationships/hyperlink" Target="https://analyticsindiamag.com/what-is-geometric-deep-learning/" TargetMode="External"/><Relationship Id="rId1108" Type="http://schemas.openxmlformats.org/officeDocument/2006/relationships/hyperlink" Target="https://www.linkedin.com/in/paulapiccard/" TargetMode="External"/><Relationship Id="rId1315" Type="http://schemas.openxmlformats.org/officeDocument/2006/relationships/hyperlink" Target="https://buff.ly/3dHjFCx" TargetMode="External"/><Relationship Id="rId2713" Type="http://schemas.openxmlformats.org/officeDocument/2006/relationships/hyperlink" Target="https://bit.ly/35KbXSi" TargetMode="External"/><Relationship Id="rId2920" Type="http://schemas.openxmlformats.org/officeDocument/2006/relationships/hyperlink" Target="https://bit.ly/3aJQL2A" TargetMode="External"/><Relationship Id="rId1522" Type="http://schemas.openxmlformats.org/officeDocument/2006/relationships/hyperlink" Target="https://balavenkatesh.com/" TargetMode="External"/><Relationship Id="rId21" Type="http://schemas.openxmlformats.org/officeDocument/2006/relationships/hyperlink" Target="https://buff.ly/2OUjlpp" TargetMode="External"/><Relationship Id="rId2089" Type="http://schemas.openxmlformats.org/officeDocument/2006/relationships/hyperlink" Target="https://ai-summary.com/summary-machine-learning-toolbox/?utm_medium=social-organic&amp;utm_source=twitter" TargetMode="External"/><Relationship Id="rId3487" Type="http://schemas.openxmlformats.org/officeDocument/2006/relationships/hyperlink" Target="https://community-z.com/communities/theappliedaicommunity" TargetMode="External"/><Relationship Id="rId3694" Type="http://schemas.openxmlformats.org/officeDocument/2006/relationships/hyperlink" Target="https://bit.ly/3pMboj1" TargetMode="External"/><Relationship Id="rId2296" Type="http://schemas.openxmlformats.org/officeDocument/2006/relationships/hyperlink" Target="https://pbs.twimg.com/media/Eu0WvZ2UUAEC0sP.jpg" TargetMode="External"/><Relationship Id="rId3347" Type="http://schemas.openxmlformats.org/officeDocument/2006/relationships/hyperlink" Target="https://machinelearningflx.com/" TargetMode="External"/><Relationship Id="rId3554" Type="http://schemas.openxmlformats.org/officeDocument/2006/relationships/hyperlink" Target="http://mightydutchman.net/?edition_id=2e2c5c30-7598-11eb-a5c8-0cc47a0d15fd" TargetMode="External"/><Relationship Id="rId3761" Type="http://schemas.openxmlformats.org/officeDocument/2006/relationships/hyperlink" Target="http://www.otechtalks.tv/" TargetMode="External"/><Relationship Id="rId268" Type="http://schemas.openxmlformats.org/officeDocument/2006/relationships/hyperlink" Target="https://pbs.twimg.com/media/Eu7ZPbRUYAADrAB.jpg" TargetMode="External"/><Relationship Id="rId475" Type="http://schemas.openxmlformats.org/officeDocument/2006/relationships/hyperlink" Target="https://pbs.twimg.com/media/Eu7RIQcXAAMKQRa.jpg" TargetMode="External"/><Relationship Id="rId682" Type="http://schemas.openxmlformats.org/officeDocument/2006/relationships/hyperlink" Target="http://www.manifexto.com/" TargetMode="External"/><Relationship Id="rId2156" Type="http://schemas.openxmlformats.org/officeDocument/2006/relationships/hyperlink" Target="https://www.linkedin.com/in/enrico-molinari/" TargetMode="External"/><Relationship Id="rId2363" Type="http://schemas.openxmlformats.org/officeDocument/2006/relationships/hyperlink" Target="http://pic.twitter.com/BMxZI7uCpy" TargetMode="External"/><Relationship Id="rId2570" Type="http://schemas.openxmlformats.org/officeDocument/2006/relationships/hyperlink" Target="http://www.domesticatedbrain.com/" TargetMode="External"/><Relationship Id="rId3207" Type="http://schemas.openxmlformats.org/officeDocument/2006/relationships/hyperlink" Target="https://pbs.twimg.com/media/Eu5P3c2VcAIovIf.jpg" TargetMode="External"/><Relationship Id="rId3414" Type="http://schemas.openxmlformats.org/officeDocument/2006/relationships/hyperlink" Target="https://pbs.twimg.com/media/Eu4_0yRUYAQUaQv.jpg" TargetMode="External"/><Relationship Id="rId3621" Type="http://schemas.openxmlformats.org/officeDocument/2006/relationships/hyperlink" Target="https://mindmatters.ai/2021/02/researchers-disappointed-by-efforts-to-teach-ai-common-sense/" TargetMode="External"/><Relationship Id="rId128" Type="http://schemas.openxmlformats.org/officeDocument/2006/relationships/hyperlink" Target="http://www.vircourses.com/" TargetMode="External"/><Relationship Id="rId335" Type="http://schemas.openxmlformats.org/officeDocument/2006/relationships/hyperlink" Target="https://pbs.twimg.com/media/Eu7WdP-XUAcnmEM.png" TargetMode="External"/><Relationship Id="rId542" Type="http://schemas.openxmlformats.org/officeDocument/2006/relationships/hyperlink" Target="https://buff.ly/3bQBx9k" TargetMode="External"/><Relationship Id="rId1172" Type="http://schemas.openxmlformats.org/officeDocument/2006/relationships/hyperlink" Target="https://edition.cnn.com/2021/02/16/world/vein-hands-identify-intl-scli-scn/index.html" TargetMode="External"/><Relationship Id="rId2016" Type="http://schemas.openxmlformats.org/officeDocument/2006/relationships/hyperlink" Target="http://streamanalytix.com/" TargetMode="External"/><Relationship Id="rId2223" Type="http://schemas.openxmlformats.org/officeDocument/2006/relationships/hyperlink" Target="https://bit.ly/2KzUzZG" TargetMode="External"/><Relationship Id="rId2430" Type="http://schemas.openxmlformats.org/officeDocument/2006/relationships/hyperlink" Target="https://pbs.twimg.com/media/Eu5WrW7WYAEPa9Y.jpg" TargetMode="External"/><Relationship Id="rId402" Type="http://schemas.openxmlformats.org/officeDocument/2006/relationships/hyperlink" Target="https://github.com/vaaaaanquish/Awasome-Rust-MachineLearning" TargetMode="External"/><Relationship Id="rId1032" Type="http://schemas.openxmlformats.org/officeDocument/2006/relationships/hyperlink" Target="https://pub.towardsai.net/deep-understanding-of-confusion-matrix-6ab1f88a267e?source=rss----98111c9905da---4?source=social.tw" TargetMode="External"/><Relationship Id="rId4188" Type="http://schemas.openxmlformats.org/officeDocument/2006/relationships/hyperlink" Target="https://towardsdatascience.com/a-summary-of-the-basic-machine-learning-models-e0a65627ecbe" TargetMode="External"/><Relationship Id="rId1989" Type="http://schemas.openxmlformats.org/officeDocument/2006/relationships/hyperlink" Target="https://pbs.twimg.com/media/Eu6PYAuXIAULwUr.png" TargetMode="External"/><Relationship Id="rId4048" Type="http://schemas.openxmlformats.org/officeDocument/2006/relationships/hyperlink" Target="https://buff.ly/2ZITumo" TargetMode="External"/><Relationship Id="rId4255" Type="http://schemas.openxmlformats.org/officeDocument/2006/relationships/hyperlink" Target="https://paullopez.ai/" TargetMode="External"/><Relationship Id="rId1849" Type="http://schemas.openxmlformats.org/officeDocument/2006/relationships/hyperlink" Target="https://pbs.twimg.com/media/Eu6VHwPWQAMjhuO.jpg" TargetMode="External"/><Relationship Id="rId3064" Type="http://schemas.openxmlformats.org/officeDocument/2006/relationships/hyperlink" Target="https://alexey0202.com/" TargetMode="External"/><Relationship Id="rId192" Type="http://schemas.openxmlformats.org/officeDocument/2006/relationships/hyperlink" Target="https://pbs.twimg.com/media/Eu7cbQFXcAADBoH.jpg" TargetMode="External"/><Relationship Id="rId1709" Type="http://schemas.openxmlformats.org/officeDocument/2006/relationships/hyperlink" Target="https://pbs.twimg.com/media/Eu6bci8WgAAInx1.jpg" TargetMode="External"/><Relationship Id="rId1916" Type="http://schemas.openxmlformats.org/officeDocument/2006/relationships/hyperlink" Target="https://www.programming-hero.com/blog/the-simplest-path-to-become-a-successful-software-engineer-or-developer-in-2021.html" TargetMode="External"/><Relationship Id="rId3271" Type="http://schemas.openxmlformats.org/officeDocument/2006/relationships/hyperlink" Target="https://machinelearningflx.com/" TargetMode="External"/><Relationship Id="rId4115" Type="http://schemas.openxmlformats.org/officeDocument/2006/relationships/hyperlink" Target="https://pbs.twimg.com/media/Eu35zvrWYAAtwx0.png" TargetMode="External"/><Relationship Id="rId2080" Type="http://schemas.openxmlformats.org/officeDocument/2006/relationships/hyperlink" Target="https://globalcloudplatforms.com/2021/02/10/google-cloud-ai-leaders-share-tips-for-getting-started-with-ai/" TargetMode="External"/><Relationship Id="rId3131" Type="http://schemas.openxmlformats.org/officeDocument/2006/relationships/hyperlink" Target="https://bit.ly/3uqdpoA?utm_source=hootsuite&amp;utm_medium=twitter&amp;utm_term=&amp;utm_content=&amp;utm_campaign=" TargetMode="External"/><Relationship Id="rId2897" Type="http://schemas.openxmlformats.org/officeDocument/2006/relationships/hyperlink" Target="http://pic.twitter.com/sz0ESWpp0C" TargetMode="External"/><Relationship Id="rId3948" Type="http://schemas.openxmlformats.org/officeDocument/2006/relationships/hyperlink" Target="https://www.goingdigital.in/" TargetMode="External"/><Relationship Id="rId869" Type="http://schemas.openxmlformats.org/officeDocument/2006/relationships/hyperlink" Target="http://noorahalhasan.com/" TargetMode="External"/><Relationship Id="rId1499" Type="http://schemas.openxmlformats.org/officeDocument/2006/relationships/hyperlink" Target="https://bit.ly/2Mh94mh" TargetMode="External"/><Relationship Id="rId729" Type="http://schemas.openxmlformats.org/officeDocument/2006/relationships/hyperlink" Target="https://pbs.twimg.com/media/Eu7GrGOXEAAiMfy.jpg" TargetMode="External"/><Relationship Id="rId1359" Type="http://schemas.openxmlformats.org/officeDocument/2006/relationships/hyperlink" Target="https://mailchi.mp/1c92b15220b0/you-need-to-see-these-superstar-candidates-4216169" TargetMode="External"/><Relationship Id="rId2757" Type="http://schemas.openxmlformats.org/officeDocument/2006/relationships/hyperlink" Target="http://www.awakenai.org/" TargetMode="External"/><Relationship Id="rId2964" Type="http://schemas.openxmlformats.org/officeDocument/2006/relationships/hyperlink" Target="https://pbs.twimg.com/media/Eu5drNGWgAYqosF.jpg" TargetMode="External"/><Relationship Id="rId3808" Type="http://schemas.openxmlformats.org/officeDocument/2006/relationships/hyperlink" Target="https://zpy.io/b2dac647" TargetMode="External"/><Relationship Id="rId936" Type="http://schemas.openxmlformats.org/officeDocument/2006/relationships/hyperlink" Target="https://bit.ly/3pKelAE" TargetMode="External"/><Relationship Id="rId1219" Type="http://schemas.openxmlformats.org/officeDocument/2006/relationships/hyperlink" Target="http://www.paisnel.com/" TargetMode="External"/><Relationship Id="rId1566" Type="http://schemas.openxmlformats.org/officeDocument/2006/relationships/hyperlink" Target="https://fintechcircle.com/" TargetMode="External"/><Relationship Id="rId1773" Type="http://schemas.openxmlformats.org/officeDocument/2006/relationships/hyperlink" Target="https://pbs.twimg.com/media/Eu6ZU4cXEAQZ92D.jpg" TargetMode="External"/><Relationship Id="rId1980" Type="http://schemas.openxmlformats.org/officeDocument/2006/relationships/hyperlink" Target="https://choyou.com/" TargetMode="External"/><Relationship Id="rId2617" Type="http://schemas.openxmlformats.org/officeDocument/2006/relationships/hyperlink" Target="https://zpy.io/b978ad6b" TargetMode="External"/><Relationship Id="rId2824" Type="http://schemas.openxmlformats.org/officeDocument/2006/relationships/hyperlink" Target="https://www.reddit.com/r/MachineLearning/" TargetMode="External"/><Relationship Id="rId65" Type="http://schemas.openxmlformats.org/officeDocument/2006/relationships/hyperlink" Target="http://smarte-conseil.fr/" TargetMode="External"/><Relationship Id="rId1426" Type="http://schemas.openxmlformats.org/officeDocument/2006/relationships/hyperlink" Target="https://modelzoo.co/" TargetMode="External"/><Relationship Id="rId1633" Type="http://schemas.openxmlformats.org/officeDocument/2006/relationships/hyperlink" Target="http://neuvays.com/" TargetMode="External"/><Relationship Id="rId1840" Type="http://schemas.openxmlformats.org/officeDocument/2006/relationships/hyperlink" Target="https://www.militaryaerospace.com/unmanned/article/14195641/unmanned-jet-fighter-machinelearning?utm_source=MAE+Unmanned+Vehicle&amp;utm_medium=email&amp;utm_campaign=CPS210215025&amp;o_eid=2046E3688590F6V&amp;rdx.ident%5Bpull%5D=omeda%7C2046E3688590F6V&amp;oly_enc_id=2046E3688590F6V" TargetMode="External"/><Relationship Id="rId1700" Type="http://schemas.openxmlformats.org/officeDocument/2006/relationships/hyperlink" Target="https://www.jadbio.com/case-studies/monitoring-parkinsons-progression-regression/" TargetMode="External"/><Relationship Id="rId3598" Type="http://schemas.openxmlformats.org/officeDocument/2006/relationships/hyperlink" Target="https://amitness.com/regex" TargetMode="External"/><Relationship Id="rId3458" Type="http://schemas.openxmlformats.org/officeDocument/2006/relationships/hyperlink" Target="https://zpy.io/26895e2e" TargetMode="External"/><Relationship Id="rId3665" Type="http://schemas.openxmlformats.org/officeDocument/2006/relationships/hyperlink" Target="http://www.techaffinityconsulting.com/" TargetMode="External"/><Relationship Id="rId3872" Type="http://schemas.openxmlformats.org/officeDocument/2006/relationships/hyperlink" Target="https://www.linkedin.com/in/mmasensi/" TargetMode="External"/><Relationship Id="rId379" Type="http://schemas.openxmlformats.org/officeDocument/2006/relationships/hyperlink" Target="https://openstatistics.org/" TargetMode="External"/><Relationship Id="rId586" Type="http://schemas.openxmlformats.org/officeDocument/2006/relationships/hyperlink" Target="https://pbs.twimg.com/media/Eu3HkmhXMAAg4zx.jpg" TargetMode="External"/><Relationship Id="rId793" Type="http://schemas.openxmlformats.org/officeDocument/2006/relationships/hyperlink" Target="https://www.fishinnovationlab.msstate.edu/" TargetMode="External"/><Relationship Id="rId2267" Type="http://schemas.openxmlformats.org/officeDocument/2006/relationships/hyperlink" Target="https://pbs.twimg.com/media/Eu6AYUFUUAM48LX.jpg" TargetMode="External"/><Relationship Id="rId2474" Type="http://schemas.openxmlformats.org/officeDocument/2006/relationships/hyperlink" Target="https://pbs.twimg.com/media/Eu511orWgAEbRaV.jpg" TargetMode="External"/><Relationship Id="rId2681" Type="http://schemas.openxmlformats.org/officeDocument/2006/relationships/hyperlink" Target="https://medium.com/nerd-for-tech/please-human-can-you-teach-me-how-to-ai-9b272920f16f" TargetMode="External"/><Relationship Id="rId3318" Type="http://schemas.openxmlformats.org/officeDocument/2006/relationships/hyperlink" Target="https://lionbridge.ai/datasets/tensorflow-datasets-machine-learning/" TargetMode="External"/><Relationship Id="rId3525" Type="http://schemas.openxmlformats.org/officeDocument/2006/relationships/hyperlink" Target="https://kerzenmadl.de/" TargetMode="External"/><Relationship Id="rId239" Type="http://schemas.openxmlformats.org/officeDocument/2006/relationships/hyperlink" Target="https://www.linkedin.com/in/mmallari" TargetMode="External"/><Relationship Id="rId446" Type="http://schemas.openxmlformats.org/officeDocument/2006/relationships/hyperlink" Target="https://www.linkedin.com/in/paulapiccard/" TargetMode="External"/><Relationship Id="rId653" Type="http://schemas.openxmlformats.org/officeDocument/2006/relationships/hyperlink" Target="https://bit.ly/3skDd3E" TargetMode="External"/><Relationship Id="rId1076" Type="http://schemas.openxmlformats.org/officeDocument/2006/relationships/hyperlink" Target="https://www.linkedin.com/in/mmasensi/" TargetMode="External"/><Relationship Id="rId1283" Type="http://schemas.openxmlformats.org/officeDocument/2006/relationships/hyperlink" Target="https://www.bbva.com/es/bbva-y-google-cloud-establecen-una-alianza-para-promover-la-innovacion-en-la-seguridad-de-los-servicios-financieros/" TargetMode="External"/><Relationship Id="rId1490" Type="http://schemas.openxmlformats.org/officeDocument/2006/relationships/hyperlink" Target="https://pbs.twimg.com/media/Eu6lenNXcAAlC32.jpg" TargetMode="External"/><Relationship Id="rId2127" Type="http://schemas.openxmlformats.org/officeDocument/2006/relationships/hyperlink" Target="https://autome.me/artificial-intelligenceai-algorithms-and-its-types-explained/" TargetMode="External"/><Relationship Id="rId2334" Type="http://schemas.openxmlformats.org/officeDocument/2006/relationships/hyperlink" Target="https://blog.f-secure.com/how-smarter-machine-learning-reduces-churn/" TargetMode="External"/><Relationship Id="rId3732" Type="http://schemas.openxmlformats.org/officeDocument/2006/relationships/hyperlink" Target="https://pbs.twimg.com/media/Eu4kD_BXIAkes7V.jpg" TargetMode="External"/><Relationship Id="rId306" Type="http://schemas.openxmlformats.org/officeDocument/2006/relationships/hyperlink" Target="https://www.linkedin.com/in/lorenzogomezvargas" TargetMode="External"/><Relationship Id="rId860" Type="http://schemas.openxmlformats.org/officeDocument/2006/relationships/hyperlink" Target="https://pbs.twimg.com/media/Eu7AD_BVEAUWz8E.jpg" TargetMode="External"/><Relationship Id="rId1143" Type="http://schemas.openxmlformats.org/officeDocument/2006/relationships/hyperlink" Target="https://doi.org/10.1093/bioinformatics/btaa799" TargetMode="External"/><Relationship Id="rId2541" Type="http://schemas.openxmlformats.org/officeDocument/2006/relationships/hyperlink" Target="https://buff.ly/3ur8jbo" TargetMode="External"/><Relationship Id="rId513" Type="http://schemas.openxmlformats.org/officeDocument/2006/relationships/hyperlink" Target="https://udemy-free-coupons.blogspot.com/" TargetMode="External"/><Relationship Id="rId720" Type="http://schemas.openxmlformats.org/officeDocument/2006/relationships/hyperlink" Target="https://pbs.twimg.com/media/Eu7G_MNUcAQFlLV.jpg" TargetMode="External"/><Relationship Id="rId1350" Type="http://schemas.openxmlformats.org/officeDocument/2006/relationships/hyperlink" Target="http://www.youtube.com/channel/UCxsSHt_xJriRkYNv2LoiCyw" TargetMode="External"/><Relationship Id="rId2401" Type="http://schemas.openxmlformats.org/officeDocument/2006/relationships/hyperlink" Target="http://bit.ly/2ZxdH09" TargetMode="External"/><Relationship Id="rId4159" Type="http://schemas.openxmlformats.org/officeDocument/2006/relationships/hyperlink" Target="http://www.la-forge.ai/" TargetMode="External"/><Relationship Id="rId1003" Type="http://schemas.openxmlformats.org/officeDocument/2006/relationships/hyperlink" Target="https://goo.gl/3TFrjv" TargetMode="External"/><Relationship Id="rId1210" Type="http://schemas.openxmlformats.org/officeDocument/2006/relationships/hyperlink" Target="http://pic.twitter.com/gMJNRpox2a" TargetMode="External"/><Relationship Id="rId3175" Type="http://schemas.openxmlformats.org/officeDocument/2006/relationships/hyperlink" Target="https://pbs.twimg.com/media/Eu2Ph8MWYAAdx0H.png" TargetMode="External"/><Relationship Id="rId3382" Type="http://schemas.openxmlformats.org/officeDocument/2006/relationships/hyperlink" Target="http://www.qavalley.com/" TargetMode="External"/><Relationship Id="rId4019" Type="http://schemas.openxmlformats.org/officeDocument/2006/relationships/hyperlink" Target="https://buff.ly/3kf8UbB" TargetMode="External"/><Relationship Id="rId4226" Type="http://schemas.openxmlformats.org/officeDocument/2006/relationships/hyperlink" Target="https://www.techradar.com/news/leinster-vs-munster-live-stream-how-to-watch-the-pro14-rugby-semi-final-online-today" TargetMode="External"/><Relationship Id="rId2191" Type="http://schemas.openxmlformats.org/officeDocument/2006/relationships/hyperlink" Target="https://hamoye.com/social" TargetMode="External"/><Relationship Id="rId3035" Type="http://schemas.openxmlformats.org/officeDocument/2006/relationships/hyperlink" Target="http://gdiyaduniovi.blogspot.com.es/" TargetMode="External"/><Relationship Id="rId3242" Type="http://schemas.openxmlformats.org/officeDocument/2006/relationships/hyperlink" Target="http://www.camera-module.com/" TargetMode="External"/><Relationship Id="rId163" Type="http://schemas.openxmlformats.org/officeDocument/2006/relationships/hyperlink" Target="https://dagshub.com/" TargetMode="External"/><Relationship Id="rId370" Type="http://schemas.openxmlformats.org/officeDocument/2006/relationships/hyperlink" Target="http://bit.ly/2ZKDFvQ" TargetMode="External"/><Relationship Id="rId2051" Type="http://schemas.openxmlformats.org/officeDocument/2006/relationships/hyperlink" Target="http://ow.ly/D4I250DHtDy" TargetMode="External"/><Relationship Id="rId3102" Type="http://schemas.openxmlformats.org/officeDocument/2006/relationships/hyperlink" Target="http://www.calibraint.com/" TargetMode="External"/><Relationship Id="rId230" Type="http://schemas.openxmlformats.org/officeDocument/2006/relationships/hyperlink" Target="https://bit.ly/3qYPw5J" TargetMode="External"/><Relationship Id="rId2868" Type="http://schemas.openxmlformats.org/officeDocument/2006/relationships/hyperlink" Target="https://www.linkedin.com/in/iainljbrown/" TargetMode="External"/><Relationship Id="rId3919" Type="http://schemas.openxmlformats.org/officeDocument/2006/relationships/hyperlink" Target="http://www.heliosantos.org/" TargetMode="External"/><Relationship Id="rId4083" Type="http://schemas.openxmlformats.org/officeDocument/2006/relationships/hyperlink" Target="https://pbs.twimg.com/media/Eu39QWIVoAANuLg.jpg" TargetMode="External"/><Relationship Id="rId1677" Type="http://schemas.openxmlformats.org/officeDocument/2006/relationships/hyperlink" Target="https://pbs.twimg.com/media/Eu6ciVaXIAMK1HM.jpg" TargetMode="External"/><Relationship Id="rId1884" Type="http://schemas.openxmlformats.org/officeDocument/2006/relationships/hyperlink" Target="https://twinybots.ch/" TargetMode="External"/><Relationship Id="rId2728" Type="http://schemas.openxmlformats.org/officeDocument/2006/relationships/hyperlink" Target="https://twitter.com/Theslimevids/status/1325443487622336512" TargetMode="External"/><Relationship Id="rId2935" Type="http://schemas.openxmlformats.org/officeDocument/2006/relationships/hyperlink" Target="https://pbs.twimg.com/media/Eu5flVZXMAE_c2L.png" TargetMode="External"/><Relationship Id="rId907" Type="http://schemas.openxmlformats.org/officeDocument/2006/relationships/hyperlink" Target="http://www.gppulipaka.org/" TargetMode="External"/><Relationship Id="rId1537" Type="http://schemas.openxmlformats.org/officeDocument/2006/relationships/hyperlink" Target="http://www.mambo.co.ke/" TargetMode="External"/><Relationship Id="rId1744" Type="http://schemas.openxmlformats.org/officeDocument/2006/relationships/hyperlink" Target="http://www.lanalabs.com/" TargetMode="External"/><Relationship Id="rId1951" Type="http://schemas.openxmlformats.org/officeDocument/2006/relationships/hyperlink" Target="https://goo.gl/3TFrjv" TargetMode="External"/><Relationship Id="rId4150" Type="http://schemas.openxmlformats.org/officeDocument/2006/relationships/hyperlink" Target="https://pbs.twimg.com/media/Eu32YQ0WgAYQTws.jpg" TargetMode="External"/><Relationship Id="rId36" Type="http://schemas.openxmlformats.org/officeDocument/2006/relationships/hyperlink" Target="https://medium.com/jovianml/apply-deep-neural-network-on-the-animal-faces-dataset-f573cb732e63" TargetMode="External"/><Relationship Id="rId1604" Type="http://schemas.openxmlformats.org/officeDocument/2006/relationships/hyperlink" Target="https://pbs.twimg.com/media/Eu6f3uCUcAAjv2u.jpg" TargetMode="External"/><Relationship Id="rId4010" Type="http://schemas.openxmlformats.org/officeDocument/2006/relationships/hyperlink" Target="http://fakerfact.org/" TargetMode="External"/><Relationship Id="rId1811" Type="http://schemas.openxmlformats.org/officeDocument/2006/relationships/hyperlink" Target="https://hubs.li/H0H2Pgr0" TargetMode="External"/><Relationship Id="rId3569" Type="http://schemas.openxmlformats.org/officeDocument/2006/relationships/hyperlink" Target="http://edure.in/" TargetMode="External"/><Relationship Id="rId697" Type="http://schemas.openxmlformats.org/officeDocument/2006/relationships/hyperlink" Target="https://www.linkedin.com/in/sayandey01/" TargetMode="External"/><Relationship Id="rId2378" Type="http://schemas.openxmlformats.org/officeDocument/2006/relationships/hyperlink" Target="https://openstatistics.org/" TargetMode="External"/><Relationship Id="rId3429" Type="http://schemas.openxmlformats.org/officeDocument/2006/relationships/hyperlink" Target="https://www.itvibes.com.au/" TargetMode="External"/><Relationship Id="rId3776" Type="http://schemas.openxmlformats.org/officeDocument/2006/relationships/hyperlink" Target="http://wimlds.org/" TargetMode="External"/><Relationship Id="rId3983" Type="http://schemas.openxmlformats.org/officeDocument/2006/relationships/hyperlink" Target="http://bit.ly/3p6vKD8" TargetMode="External"/><Relationship Id="rId1187" Type="http://schemas.openxmlformats.org/officeDocument/2006/relationships/hyperlink" Target="https://pbs.twimg.com/media/Eu6yWCkVgAUc7rr.png" TargetMode="External"/><Relationship Id="rId2585" Type="http://schemas.openxmlformats.org/officeDocument/2006/relationships/hyperlink" Target="https://www.getrevue.co/profile/olivier-salomon" TargetMode="External"/><Relationship Id="rId2792" Type="http://schemas.openxmlformats.org/officeDocument/2006/relationships/hyperlink" Target="http://pic.twitter.com/sDoOefOHA3" TargetMode="External"/><Relationship Id="rId3636" Type="http://schemas.openxmlformats.org/officeDocument/2006/relationships/hyperlink" Target="https://doi.org/10.1148/ryai.2021200078" TargetMode="External"/><Relationship Id="rId3843" Type="http://schemas.openxmlformats.org/officeDocument/2006/relationships/hyperlink" Target="http://www.dreamsplus.in/" TargetMode="External"/><Relationship Id="rId557" Type="http://schemas.openxmlformats.org/officeDocument/2006/relationships/hyperlink" Target="https://hubs.ly/H0H4cl-0" TargetMode="External"/><Relationship Id="rId764" Type="http://schemas.openxmlformats.org/officeDocument/2006/relationships/hyperlink" Target="https://pbs.twimg.com/media/Eu7FCxgVgAUw7xm.jpg" TargetMode="External"/><Relationship Id="rId971" Type="http://schemas.openxmlformats.org/officeDocument/2006/relationships/hyperlink" Target="https://pbs.twimg.com/media/Eu0QNw4XcAEgkfD.jpg" TargetMode="External"/><Relationship Id="rId1394" Type="http://schemas.openxmlformats.org/officeDocument/2006/relationships/hyperlink" Target="https://pbs.twimg.com/media/Eu6pJ3-XUAMA_Xl.jpg" TargetMode="External"/><Relationship Id="rId2238" Type="http://schemas.openxmlformats.org/officeDocument/2006/relationships/hyperlink" Target="https://lnkd.in/gaT64df" TargetMode="External"/><Relationship Id="rId2445" Type="http://schemas.openxmlformats.org/officeDocument/2006/relationships/hyperlink" Target="https://mebankingai.com/" TargetMode="External"/><Relationship Id="rId2652" Type="http://schemas.openxmlformats.org/officeDocument/2006/relationships/hyperlink" Target="https://buff.ly/2No3gYF" TargetMode="External"/><Relationship Id="rId3703" Type="http://schemas.openxmlformats.org/officeDocument/2006/relationships/hyperlink" Target="http://pic.twitter.com/hYIB3JixgW" TargetMode="External"/><Relationship Id="rId3910" Type="http://schemas.openxmlformats.org/officeDocument/2006/relationships/hyperlink" Target="https://bit.ly/2IV2dJy" TargetMode="External"/><Relationship Id="rId417" Type="http://schemas.openxmlformats.org/officeDocument/2006/relationships/hyperlink" Target="http://henon.io/" TargetMode="External"/><Relationship Id="rId624" Type="http://schemas.openxmlformats.org/officeDocument/2006/relationships/hyperlink" Target="http://pic.twitter.com/ZYY1xKaq55" TargetMode="External"/><Relationship Id="rId831" Type="http://schemas.openxmlformats.org/officeDocument/2006/relationships/hyperlink" Target="https://neurons.ai/blog/news-stories/machine-learning-method-identifies-precancerous-colon-polyps/" TargetMode="External"/><Relationship Id="rId1047" Type="http://schemas.openxmlformats.org/officeDocument/2006/relationships/hyperlink" Target="https://medium.com/mlearning-ai/build-your-own-facial-recognition-system-to-work-even-with-a-face-mask-b240539222f6" TargetMode="External"/><Relationship Id="rId1254" Type="http://schemas.openxmlformats.org/officeDocument/2006/relationships/hyperlink" Target="http://www.diegonogare.net/" TargetMode="External"/><Relationship Id="rId1461" Type="http://schemas.openxmlformats.org/officeDocument/2006/relationships/hyperlink" Target="https://towardsai.net/p" TargetMode="External"/><Relationship Id="rId2305" Type="http://schemas.openxmlformats.org/officeDocument/2006/relationships/hyperlink" Target="http://pic.twitter.com/YBuwiR8nto" TargetMode="External"/><Relationship Id="rId2512" Type="http://schemas.openxmlformats.org/officeDocument/2006/relationships/hyperlink" Target="https://www.cloudindustryforum.org/content/cif-membership-0" TargetMode="External"/><Relationship Id="rId1114" Type="http://schemas.openxmlformats.org/officeDocument/2006/relationships/hyperlink" Target="https://pbs.twimg.com/media/Eu62owfXEAAA_Ob.jpg" TargetMode="External"/><Relationship Id="rId1321" Type="http://schemas.openxmlformats.org/officeDocument/2006/relationships/hyperlink" Target="http://www.couponfree.uk/2020/03/advanced-web-scraping-with-python-using.html" TargetMode="External"/><Relationship Id="rId3079" Type="http://schemas.openxmlformats.org/officeDocument/2006/relationships/hyperlink" Target="http://essentials.news/future-of-hacking" TargetMode="External"/><Relationship Id="rId3286" Type="http://schemas.openxmlformats.org/officeDocument/2006/relationships/hyperlink" Target="https://builtin.com/data-science/deep-learning-python" TargetMode="External"/><Relationship Id="rId3493" Type="http://schemas.openxmlformats.org/officeDocument/2006/relationships/hyperlink" Target="http://ow.ly/vu7Z50DCenX" TargetMode="External"/><Relationship Id="rId2095" Type="http://schemas.openxmlformats.org/officeDocument/2006/relationships/hyperlink" Target="https://neurons.ai/blog/news-stories/how-insurers-can-unlock-data-enabled-business-growth/" TargetMode="External"/><Relationship Id="rId3146" Type="http://schemas.openxmlformats.org/officeDocument/2006/relationships/hyperlink" Target="https://www.microsoft.com/en-us/" TargetMode="External"/><Relationship Id="rId3353" Type="http://schemas.openxmlformats.org/officeDocument/2006/relationships/hyperlink" Target="https://exonomousid.com/" TargetMode="External"/><Relationship Id="rId274" Type="http://schemas.openxmlformats.org/officeDocument/2006/relationships/hyperlink" Target="https://bit.ly/3sdGq4I" TargetMode="External"/><Relationship Id="rId481" Type="http://schemas.openxmlformats.org/officeDocument/2006/relationships/hyperlink" Target="https://www.govloop.com/author/eriphar/" TargetMode="External"/><Relationship Id="rId2162" Type="http://schemas.openxmlformats.org/officeDocument/2006/relationships/hyperlink" Target="https://pbs.twimg.com/media/Eu6FPicXcAMI3v3.jpg" TargetMode="External"/><Relationship Id="rId3006" Type="http://schemas.openxmlformats.org/officeDocument/2006/relationships/hyperlink" Target="https://ift.tt/2NSRWUf" TargetMode="External"/><Relationship Id="rId3560" Type="http://schemas.openxmlformats.org/officeDocument/2006/relationships/hyperlink" Target="https://www.geektime.com/israeli-startup-torii-scores-10m-to-automate-saas-management/" TargetMode="External"/><Relationship Id="rId134" Type="http://schemas.openxmlformats.org/officeDocument/2006/relationships/hyperlink" Target="http://scanta.io/" TargetMode="External"/><Relationship Id="rId3213" Type="http://schemas.openxmlformats.org/officeDocument/2006/relationships/hyperlink" Target="https://rubikscode.net/2021/02/22/machine-learning-with-ml-net-guide-to-decision-trees/" TargetMode="External"/><Relationship Id="rId3420" Type="http://schemas.openxmlformats.org/officeDocument/2006/relationships/hyperlink" Target="https://lnkd.in/gNRKXP8" TargetMode="External"/><Relationship Id="rId341" Type="http://schemas.openxmlformats.org/officeDocument/2006/relationships/hyperlink" Target="https://pbs.twimg.com/media/Eu7WGgPVEAArY2S.jpg" TargetMode="External"/><Relationship Id="rId2022" Type="http://schemas.openxmlformats.org/officeDocument/2006/relationships/hyperlink" Target="https://buff.ly/2NnHzs1" TargetMode="External"/><Relationship Id="rId2979" Type="http://schemas.openxmlformats.org/officeDocument/2006/relationships/hyperlink" Target="https://aspira.ie/how-does-machine-learning-work/" TargetMode="External"/><Relationship Id="rId201" Type="http://schemas.openxmlformats.org/officeDocument/2006/relationships/hyperlink" Target="https://pbs.twimg.com/media/Eu7cZffXUAgDPzl.jpg" TargetMode="External"/><Relationship Id="rId1788" Type="http://schemas.openxmlformats.org/officeDocument/2006/relationships/hyperlink" Target="https://pbs.twimg.com/media/Eu6Y3jAXEAAfpWZ.jpg" TargetMode="External"/><Relationship Id="rId1995" Type="http://schemas.openxmlformats.org/officeDocument/2006/relationships/hyperlink" Target="https://machinelearningflx.com/" TargetMode="External"/><Relationship Id="rId2839" Type="http://schemas.openxmlformats.org/officeDocument/2006/relationships/hyperlink" Target="http://www.techjunkieblog.com/" TargetMode="External"/><Relationship Id="rId4194" Type="http://schemas.openxmlformats.org/officeDocument/2006/relationships/hyperlink" Target="https://stuf.in/b54p47" TargetMode="External"/><Relationship Id="rId1648" Type="http://schemas.openxmlformats.org/officeDocument/2006/relationships/hyperlink" Target="https://pbs.twimg.com/media/Eu6eMe5U4AE_5Vl.jpg" TargetMode="External"/><Relationship Id="rId4054" Type="http://schemas.openxmlformats.org/officeDocument/2006/relationships/hyperlink" Target="https://bit.ly/3pIOlWb" TargetMode="External"/><Relationship Id="rId4261" Type="http://schemas.openxmlformats.org/officeDocument/2006/relationships/hyperlink" Target="http://pic.twitter.com/Bwt9EZCBga" TargetMode="External"/><Relationship Id="rId1508" Type="http://schemas.openxmlformats.org/officeDocument/2006/relationships/hyperlink" Target="https://mambo.co.ke/design/web-design" TargetMode="External"/><Relationship Id="rId1855" Type="http://schemas.openxmlformats.org/officeDocument/2006/relationships/hyperlink" Target="https://pbs.twimg.com/media/Eu6Us-JXMAE2y8Y.jpg" TargetMode="External"/><Relationship Id="rId2906" Type="http://schemas.openxmlformats.org/officeDocument/2006/relationships/hyperlink" Target="https://lnkd.in/dvFka-a" TargetMode="External"/><Relationship Id="rId3070" Type="http://schemas.openxmlformats.org/officeDocument/2006/relationships/hyperlink" Target="http://swll.to/dcuab" TargetMode="External"/><Relationship Id="rId4121" Type="http://schemas.openxmlformats.org/officeDocument/2006/relationships/hyperlink" Target="http://www.corizance.com/" TargetMode="External"/><Relationship Id="rId1715" Type="http://schemas.openxmlformats.org/officeDocument/2006/relationships/hyperlink" Target="https://pbs.twimg.com/media/Eu6bPgLWYAIgnqp.jpg" TargetMode="External"/><Relationship Id="rId1922" Type="http://schemas.openxmlformats.org/officeDocument/2006/relationships/hyperlink" Target="https://pbs.twimg.com/media/EnG4zDIVEAAH2qR.jpg" TargetMode="External"/><Relationship Id="rId3887" Type="http://schemas.openxmlformats.org/officeDocument/2006/relationships/hyperlink" Target="http://marktechpost.com/" TargetMode="External"/><Relationship Id="rId2489" Type="http://schemas.openxmlformats.org/officeDocument/2006/relationships/hyperlink" Target="http://bit.ly/2DS9M16" TargetMode="External"/><Relationship Id="rId2696" Type="http://schemas.openxmlformats.org/officeDocument/2006/relationships/hyperlink" Target="https://www.crypto-news-flash.com/german-government-considers-ubirchs-digital-vaccination-passport-based-on-iota/" TargetMode="External"/><Relationship Id="rId3747" Type="http://schemas.openxmlformats.org/officeDocument/2006/relationships/hyperlink" Target="https://youtu.be/h4Lvz29DFHc" TargetMode="External"/><Relationship Id="rId3954" Type="http://schemas.openxmlformats.org/officeDocument/2006/relationships/hyperlink" Target="https://neurons.ai/blog/news-stories/heres-our-first-real-look-at-android-12s-new-conversation-widget/" TargetMode="External"/><Relationship Id="rId668" Type="http://schemas.openxmlformats.org/officeDocument/2006/relationships/hyperlink" Target="http://www.linkedin.com/in/kirkdborne" TargetMode="External"/><Relationship Id="rId875" Type="http://schemas.openxmlformats.org/officeDocument/2006/relationships/hyperlink" Target="https://tinyurl.com/y97mawr9" TargetMode="External"/><Relationship Id="rId1298" Type="http://schemas.openxmlformats.org/officeDocument/2006/relationships/hyperlink" Target="https://go.aws/3scFuhc" TargetMode="External"/><Relationship Id="rId2349" Type="http://schemas.openxmlformats.org/officeDocument/2006/relationships/hyperlink" Target="https://convit.de/newsmind" TargetMode="External"/><Relationship Id="rId2556" Type="http://schemas.openxmlformats.org/officeDocument/2006/relationships/hyperlink" Target="https://techflx.com/product-category/books/" TargetMode="External"/><Relationship Id="rId2763" Type="http://schemas.openxmlformats.org/officeDocument/2006/relationships/hyperlink" Target="http://pic.twitter.com/CSGydvIxmq" TargetMode="External"/><Relationship Id="rId2970" Type="http://schemas.openxmlformats.org/officeDocument/2006/relationships/hyperlink" Target="http://www.awakenai.org/" TargetMode="External"/><Relationship Id="rId3607" Type="http://schemas.openxmlformats.org/officeDocument/2006/relationships/hyperlink" Target="http://bit.ly/37Ef5B2" TargetMode="External"/><Relationship Id="rId3814" Type="http://schemas.openxmlformats.org/officeDocument/2006/relationships/hyperlink" Target="http://www.simple2trade.com/" TargetMode="External"/><Relationship Id="rId528" Type="http://schemas.openxmlformats.org/officeDocument/2006/relationships/hyperlink" Target="http://about.me/paulhector" TargetMode="External"/><Relationship Id="rId735" Type="http://schemas.openxmlformats.org/officeDocument/2006/relationships/hyperlink" Target="https://dld-conference.com/conference/allstars" TargetMode="External"/><Relationship Id="rId942" Type="http://schemas.openxmlformats.org/officeDocument/2006/relationships/hyperlink" Target="https://pbs.twimg.com/media/EPTdg3MWoAMvqVP.jpg" TargetMode="External"/><Relationship Id="rId1158" Type="http://schemas.openxmlformats.org/officeDocument/2006/relationships/hyperlink" Target="https://journals.plos.org/plosone/article?id=10.1371/journal.pone.0247203" TargetMode="External"/><Relationship Id="rId1365" Type="http://schemas.openxmlformats.org/officeDocument/2006/relationships/hyperlink" Target="https://pbs.twimg.com/media/Eugax6JXIAEnbBT.jpg" TargetMode="External"/><Relationship Id="rId1572" Type="http://schemas.openxmlformats.org/officeDocument/2006/relationships/hyperlink" Target="https://pbs.twimg.com/media/Eu6h5AuVgAEghlT.jpg" TargetMode="External"/><Relationship Id="rId2209" Type="http://schemas.openxmlformats.org/officeDocument/2006/relationships/hyperlink" Target="https://www.paulinefrancois.net/" TargetMode="External"/><Relationship Id="rId2416" Type="http://schemas.openxmlformats.org/officeDocument/2006/relationships/hyperlink" Target="https://aud.al/3aKcdo8" TargetMode="External"/><Relationship Id="rId2623" Type="http://schemas.openxmlformats.org/officeDocument/2006/relationships/hyperlink" Target="https://dataly.st/blog-post/b2c-startup-you-need-a-recommender-system/" TargetMode="External"/><Relationship Id="rId1018" Type="http://schemas.openxmlformats.org/officeDocument/2006/relationships/hyperlink" Target="https://pbs.twimg.com/media/Eu66EAlWgAApQb6.jpg" TargetMode="External"/><Relationship Id="rId1225" Type="http://schemas.openxmlformats.org/officeDocument/2006/relationships/hyperlink" Target="https://pbs.twimg.com/media/Eu26W0eVoAM_CLe.jpg" TargetMode="External"/><Relationship Id="rId1432" Type="http://schemas.openxmlformats.org/officeDocument/2006/relationships/hyperlink" Target="http://essentials.news/future-of-hacking" TargetMode="External"/><Relationship Id="rId2830" Type="http://schemas.openxmlformats.org/officeDocument/2006/relationships/hyperlink" Target="https://go.aws/3jZTFDf" TargetMode="External"/><Relationship Id="rId71" Type="http://schemas.openxmlformats.org/officeDocument/2006/relationships/hyperlink" Target="http://odsc.com/" TargetMode="External"/><Relationship Id="rId802" Type="http://schemas.openxmlformats.org/officeDocument/2006/relationships/hyperlink" Target="http://successanalytix.blogspot.com/" TargetMode="External"/><Relationship Id="rId3397" Type="http://schemas.openxmlformats.org/officeDocument/2006/relationships/hyperlink" Target="http://neurons.ai/" TargetMode="External"/><Relationship Id="rId178" Type="http://schemas.openxmlformats.org/officeDocument/2006/relationships/hyperlink" Target="https://santosh-shevade.medium.com/" TargetMode="External"/><Relationship Id="rId3257" Type="http://schemas.openxmlformats.org/officeDocument/2006/relationships/hyperlink" Target="https://byp.ee/bgk2Sg" TargetMode="External"/><Relationship Id="rId3464" Type="http://schemas.openxmlformats.org/officeDocument/2006/relationships/hyperlink" Target="https://buff.ly/3jZjwLA" TargetMode="External"/><Relationship Id="rId3671" Type="http://schemas.openxmlformats.org/officeDocument/2006/relationships/hyperlink" Target="http://isstechnologies.in/" TargetMode="External"/><Relationship Id="rId385" Type="http://schemas.openxmlformats.org/officeDocument/2006/relationships/hyperlink" Target="https://pbs.twimg.com/media/Eu7UPaWVIAIKyU_.jpg" TargetMode="External"/><Relationship Id="rId592" Type="http://schemas.openxmlformats.org/officeDocument/2006/relationships/hyperlink" Target="https://www.information-age.com/improving-understanding-machine-learning-end-users-123493789/" TargetMode="External"/><Relationship Id="rId2066" Type="http://schemas.openxmlformats.org/officeDocument/2006/relationships/hyperlink" Target="https://zpy.io/3fd078dc" TargetMode="External"/><Relationship Id="rId2273" Type="http://schemas.openxmlformats.org/officeDocument/2006/relationships/hyperlink" Target="https://pbs.twimg.com/media/Eu5_5FPXcAAcrgH.jpg" TargetMode="External"/><Relationship Id="rId2480" Type="http://schemas.openxmlformats.org/officeDocument/2006/relationships/hyperlink" Target="https://pbs.twimg.com/media/Eu508yYXAAMcopW.jpg" TargetMode="External"/><Relationship Id="rId3117" Type="http://schemas.openxmlformats.org/officeDocument/2006/relationships/hyperlink" Target="https://about.me/pawan.somanchi" TargetMode="External"/><Relationship Id="rId3324" Type="http://schemas.openxmlformats.org/officeDocument/2006/relationships/hyperlink" Target="https://zcu.io/RVrY" TargetMode="External"/><Relationship Id="rId3531" Type="http://schemas.openxmlformats.org/officeDocument/2006/relationships/hyperlink" Target="https://amzn.to/3qRKJCQ" TargetMode="External"/><Relationship Id="rId245" Type="http://schemas.openxmlformats.org/officeDocument/2006/relationships/hyperlink" Target="https://pbs.twimg.com/media/Eu7aGJVXcAUGy2H.jpg" TargetMode="External"/><Relationship Id="rId452" Type="http://schemas.openxmlformats.org/officeDocument/2006/relationships/hyperlink" Target="https://youtu.be/5LTvyzvPQRM" TargetMode="External"/><Relationship Id="rId1082" Type="http://schemas.openxmlformats.org/officeDocument/2006/relationships/hyperlink" Target="http://ca.linkedin.com/in/jasonbehrmann/" TargetMode="External"/><Relationship Id="rId2133" Type="http://schemas.openxmlformats.org/officeDocument/2006/relationships/hyperlink" Target="http://h2c.de/legal-notice" TargetMode="External"/><Relationship Id="rId2340" Type="http://schemas.openxmlformats.org/officeDocument/2006/relationships/hyperlink" Target="https://contribute.towardsai.net/" TargetMode="External"/><Relationship Id="rId105" Type="http://schemas.openxmlformats.org/officeDocument/2006/relationships/hyperlink" Target="https://ca.linkedin.com/in/mikedewaal" TargetMode="External"/><Relationship Id="rId312" Type="http://schemas.openxmlformats.org/officeDocument/2006/relationships/hyperlink" Target="https://zpy.io/f8820913" TargetMode="External"/><Relationship Id="rId2200" Type="http://schemas.openxmlformats.org/officeDocument/2006/relationships/hyperlink" Target="https://medium.com/nerd-for-tech/please-human-can-you-teach-me-how-to-ai-9b272920f16f?source=rss-------8-----------------artificial_intelligence" TargetMode="External"/><Relationship Id="rId4098" Type="http://schemas.openxmlformats.org/officeDocument/2006/relationships/hyperlink" Target="https://zpy.io/3d404455" TargetMode="External"/><Relationship Id="rId1899" Type="http://schemas.openxmlformats.org/officeDocument/2006/relationships/hyperlink" Target="http://lddy.no/mmah" TargetMode="External"/><Relationship Id="rId4165" Type="http://schemas.openxmlformats.org/officeDocument/2006/relationships/hyperlink" Target="https://youtu.be/yuBEhotFRwg" TargetMode="External"/><Relationship Id="rId1759" Type="http://schemas.openxmlformats.org/officeDocument/2006/relationships/hyperlink" Target="https://buff.ly/3smw6Ya" TargetMode="External"/><Relationship Id="rId1966" Type="http://schemas.openxmlformats.org/officeDocument/2006/relationships/hyperlink" Target="https://pbs.twimg.com/media/Eu6QDbXXYAAKhDb.jpg" TargetMode="External"/><Relationship Id="rId3181" Type="http://schemas.openxmlformats.org/officeDocument/2006/relationships/hyperlink" Target="https://pbs.twimg.com/media/Eu2YkrMXcAEqWM4.jpg" TargetMode="External"/><Relationship Id="rId4025" Type="http://schemas.openxmlformats.org/officeDocument/2006/relationships/hyperlink" Target="http://bit.ly/3tQ4SL5" TargetMode="External"/><Relationship Id="rId1619" Type="http://schemas.openxmlformats.org/officeDocument/2006/relationships/hyperlink" Target="https://lnkd.in/gwy6Sey" TargetMode="External"/><Relationship Id="rId1826" Type="http://schemas.openxmlformats.org/officeDocument/2006/relationships/hyperlink" Target="http://www.marktechpost.com/" TargetMode="External"/><Relationship Id="rId4232" Type="http://schemas.openxmlformats.org/officeDocument/2006/relationships/hyperlink" Target="https://opsmatters.com/" TargetMode="External"/><Relationship Id="rId3041" Type="http://schemas.openxmlformats.org/officeDocument/2006/relationships/hyperlink" Target="https://pbs.twimg.com/media/Eu5bEoLWQAE7dr2.jpg" TargetMode="External"/><Relationship Id="rId3998" Type="http://schemas.openxmlformats.org/officeDocument/2006/relationships/hyperlink" Target="https://machinelearningflx.com/" TargetMode="External"/><Relationship Id="rId3858" Type="http://schemas.openxmlformats.org/officeDocument/2006/relationships/hyperlink" Target="https://datascienceonaws.com/" TargetMode="External"/><Relationship Id="rId779" Type="http://schemas.openxmlformats.org/officeDocument/2006/relationships/hyperlink" Target="https://bit.ly/3aauvyD" TargetMode="External"/><Relationship Id="rId986" Type="http://schemas.openxmlformats.org/officeDocument/2006/relationships/hyperlink" Target="http://swisscognitive.ch/" TargetMode="External"/><Relationship Id="rId2667" Type="http://schemas.openxmlformats.org/officeDocument/2006/relationships/hyperlink" Target="http://www.gstic.org/news/" TargetMode="External"/><Relationship Id="rId3718" Type="http://schemas.openxmlformats.org/officeDocument/2006/relationships/hyperlink" Target="http://writex.today/" TargetMode="External"/><Relationship Id="rId639" Type="http://schemas.openxmlformats.org/officeDocument/2006/relationships/hyperlink" Target="http://www.jaisonjacob.com/" TargetMode="External"/><Relationship Id="rId1269" Type="http://schemas.openxmlformats.org/officeDocument/2006/relationships/hyperlink" Target="https://jp.linkedin.com/in/mryelameli" TargetMode="External"/><Relationship Id="rId1476" Type="http://schemas.openxmlformats.org/officeDocument/2006/relationships/hyperlink" Target="https://bit.ly/3qOgBrJ" TargetMode="External"/><Relationship Id="rId2874" Type="http://schemas.openxmlformats.org/officeDocument/2006/relationships/hyperlink" Target="http://pic.twitter.com/4TX6Lfqcz9" TargetMode="External"/><Relationship Id="rId3925" Type="http://schemas.openxmlformats.org/officeDocument/2006/relationships/hyperlink" Target="https://www.usu.edu/today/story/usu-biologist-uses-machine-learning-approach-to-track-disease-carrying-mosquitoes" TargetMode="External"/><Relationship Id="rId846" Type="http://schemas.openxmlformats.org/officeDocument/2006/relationships/hyperlink" Target="https://pbs.twimg.com/media/Eu7CMxTWgAEyo-D.jpg" TargetMode="External"/><Relationship Id="rId1129" Type="http://schemas.openxmlformats.org/officeDocument/2006/relationships/hyperlink" Target="https://dfdnews.com/2021/02/18/restaurant-guests-remain-hyper-focused-on-cleanliness-and-safety/" TargetMode="External"/><Relationship Id="rId1683" Type="http://schemas.openxmlformats.org/officeDocument/2006/relationships/hyperlink" Target="https://brianthomas.me/" TargetMode="External"/><Relationship Id="rId1890" Type="http://schemas.openxmlformats.org/officeDocument/2006/relationships/hyperlink" Target="https://bit.ly/34U56a0" TargetMode="External"/><Relationship Id="rId2527" Type="http://schemas.openxmlformats.org/officeDocument/2006/relationships/hyperlink" Target="https://jt.ghostwriter.ai/website" TargetMode="External"/><Relationship Id="rId2734" Type="http://schemas.openxmlformats.org/officeDocument/2006/relationships/hyperlink" Target="https://medium.com/analytics-vidhya/which-machine-learning-algorithm-should-you-use-by-problem-type-a53967326566" TargetMode="External"/><Relationship Id="rId2941" Type="http://schemas.openxmlformats.org/officeDocument/2006/relationships/hyperlink" Target="https://analyticsindiamag.com/" TargetMode="External"/><Relationship Id="rId706" Type="http://schemas.openxmlformats.org/officeDocument/2006/relationships/hyperlink" Target="https://hbr.org/2021/02/is-china-emerging-as-the-global-leader-in-ai" TargetMode="External"/><Relationship Id="rId913" Type="http://schemas.openxmlformats.org/officeDocument/2006/relationships/hyperlink" Target="https://bit.ly/2NQFdBN" TargetMode="External"/><Relationship Id="rId1336" Type="http://schemas.openxmlformats.org/officeDocument/2006/relationships/hyperlink" Target="http://pic.twitter.com/ySlRUAw7DD" TargetMode="External"/><Relationship Id="rId1543" Type="http://schemas.openxmlformats.org/officeDocument/2006/relationships/hyperlink" Target="https://pbs.twimg.com/media/Eu6VbKXWQAM-RTs.jpg" TargetMode="External"/><Relationship Id="rId1750" Type="http://schemas.openxmlformats.org/officeDocument/2006/relationships/hyperlink" Target="http://www.doloresromero.com/" TargetMode="External"/><Relationship Id="rId2801" Type="http://schemas.openxmlformats.org/officeDocument/2006/relationships/hyperlink" Target="https://chainstoreage.com/amazon-seeks-human-touch-delivery-optimization" TargetMode="External"/><Relationship Id="rId42" Type="http://schemas.openxmlformats.org/officeDocument/2006/relationships/hyperlink" Target="http://gradeconf.org/" TargetMode="External"/><Relationship Id="rId1403" Type="http://schemas.openxmlformats.org/officeDocument/2006/relationships/hyperlink" Target="https://buff.ly/3pvO20J" TargetMode="External"/><Relationship Id="rId1610" Type="http://schemas.openxmlformats.org/officeDocument/2006/relationships/hyperlink" Target="https://github.com/ogrecio" TargetMode="External"/><Relationship Id="rId3368" Type="http://schemas.openxmlformats.org/officeDocument/2006/relationships/hyperlink" Target="https://amzn.to/3kqwFxL" TargetMode="External"/><Relationship Id="rId3575" Type="http://schemas.openxmlformats.org/officeDocument/2006/relationships/hyperlink" Target="https://www.selfdrivingcars360.com/" TargetMode="External"/><Relationship Id="rId3782" Type="http://schemas.openxmlformats.org/officeDocument/2006/relationships/hyperlink" Target="http://www.sciencemag.org/" TargetMode="External"/><Relationship Id="rId289" Type="http://schemas.openxmlformats.org/officeDocument/2006/relationships/hyperlink" Target="https://buff.ly/3dF2Fg2" TargetMode="External"/><Relationship Id="rId496" Type="http://schemas.openxmlformats.org/officeDocument/2006/relationships/hyperlink" Target="http://www.powerandpridepodcast.com/" TargetMode="External"/><Relationship Id="rId2177" Type="http://schemas.openxmlformats.org/officeDocument/2006/relationships/hyperlink" Target="https://pbs.twimg.com/media/Eu6FFy8XEAMUWEH.jpg" TargetMode="External"/><Relationship Id="rId2384" Type="http://schemas.openxmlformats.org/officeDocument/2006/relationships/hyperlink" Target="http://bit.ly/3qLkHRn" TargetMode="External"/><Relationship Id="rId2591" Type="http://schemas.openxmlformats.org/officeDocument/2006/relationships/hyperlink" Target="https://bit.ly/2Mh7iSh" TargetMode="External"/><Relationship Id="rId3228" Type="http://schemas.openxmlformats.org/officeDocument/2006/relationships/hyperlink" Target="http://www.camera-module.com/" TargetMode="External"/><Relationship Id="rId3435" Type="http://schemas.openxmlformats.org/officeDocument/2006/relationships/hyperlink" Target="https://twitter.com/SourabhSKatoch/status/1360146876121583617" TargetMode="External"/><Relationship Id="rId3642" Type="http://schemas.openxmlformats.org/officeDocument/2006/relationships/hyperlink" Target="https://twitter.com/Ronald_vanLoon/status/1360634654844465153" TargetMode="External"/><Relationship Id="rId149" Type="http://schemas.openxmlformats.org/officeDocument/2006/relationships/hyperlink" Target="http://pic.twitter.com/dgpIZwIXiY" TargetMode="External"/><Relationship Id="rId356" Type="http://schemas.openxmlformats.org/officeDocument/2006/relationships/hyperlink" Target="http://www.opensysmedia.com/" TargetMode="External"/><Relationship Id="rId563" Type="http://schemas.openxmlformats.org/officeDocument/2006/relationships/hyperlink" Target="http://information-age.com/ai-startup-fou" TargetMode="External"/><Relationship Id="rId770" Type="http://schemas.openxmlformats.org/officeDocument/2006/relationships/hyperlink" Target="http://www.datamente.es/?utm_source=twitter&amp;utm_medium=profile&amp;utm_campaign=website" TargetMode="External"/><Relationship Id="rId1193" Type="http://schemas.openxmlformats.org/officeDocument/2006/relationships/hyperlink" Target="https://pbs.twimg.com/media/Eu6xxC9VIAAoYWZ.jpg" TargetMode="External"/><Relationship Id="rId2037" Type="http://schemas.openxmlformats.org/officeDocument/2006/relationships/hyperlink" Target="http://elsevier.com/books-and-journals" TargetMode="External"/><Relationship Id="rId2244" Type="http://schemas.openxmlformats.org/officeDocument/2006/relationships/hyperlink" Target="https://hubs.la/H0G-4y70" TargetMode="External"/><Relationship Id="rId2451" Type="http://schemas.openxmlformats.org/officeDocument/2006/relationships/hyperlink" Target="http://neurons.ai/" TargetMode="External"/><Relationship Id="rId216" Type="http://schemas.openxmlformats.org/officeDocument/2006/relationships/hyperlink" Target="https://bit.ly/3keCZId" TargetMode="External"/><Relationship Id="rId423" Type="http://schemas.openxmlformats.org/officeDocument/2006/relationships/hyperlink" Target="https://gamer-geek-news.com/" TargetMode="External"/><Relationship Id="rId1053" Type="http://schemas.openxmlformats.org/officeDocument/2006/relationships/hyperlink" Target="https://event.grokstream.com/grokwebinar-sign-up/" TargetMode="External"/><Relationship Id="rId1260" Type="http://schemas.openxmlformats.org/officeDocument/2006/relationships/hyperlink" Target="http://www.la-forge.ai/" TargetMode="External"/><Relationship Id="rId2104" Type="http://schemas.openxmlformats.org/officeDocument/2006/relationships/hyperlink" Target="https://www.slainstitute.com/" TargetMode="External"/><Relationship Id="rId3502" Type="http://schemas.openxmlformats.org/officeDocument/2006/relationships/hyperlink" Target="https://deepai.org/" TargetMode="External"/><Relationship Id="rId630" Type="http://schemas.openxmlformats.org/officeDocument/2006/relationships/hyperlink" Target="https://pbs.twimg.com/media/Eu7LOTSXcAI9CmI.jpg" TargetMode="External"/><Relationship Id="rId2311" Type="http://schemas.openxmlformats.org/officeDocument/2006/relationships/hyperlink" Target="https://www.genisights.com/" TargetMode="External"/><Relationship Id="rId4069" Type="http://schemas.openxmlformats.org/officeDocument/2006/relationships/hyperlink" Target="https://www.engadget.com/engadget-ces-2021-virtual-stage-235031332.html" TargetMode="External"/><Relationship Id="rId1120" Type="http://schemas.openxmlformats.org/officeDocument/2006/relationships/hyperlink" Target="http://www.schoox.com/" TargetMode="External"/><Relationship Id="rId4276" Type="http://schemas.openxmlformats.org/officeDocument/2006/relationships/hyperlink" Target="http://alerttrade.us/" TargetMode="External"/><Relationship Id="rId1937" Type="http://schemas.openxmlformats.org/officeDocument/2006/relationships/hyperlink" Target="https://pbs.twimg.com/media/Eu6Rd60XYAE3XYO.png" TargetMode="External"/><Relationship Id="rId3085" Type="http://schemas.openxmlformats.org/officeDocument/2006/relationships/hyperlink" Target="https://www.forbes.com/sites/forbestechcouncil/2021/02/10/using-ai-and-machine-learning-to-break-past-the-constraints-of-the-new-normal/?sh=378f26085840" TargetMode="External"/><Relationship Id="rId3292" Type="http://schemas.openxmlformats.org/officeDocument/2006/relationships/hyperlink" Target="https://pbs.twimg.com/media/Eu5L2o0XUAMH0P3.jpg" TargetMode="External"/><Relationship Id="rId4136" Type="http://schemas.openxmlformats.org/officeDocument/2006/relationships/hyperlink" Target="http://www.inteligenciafutura.mx/" TargetMode="External"/><Relationship Id="rId3152" Type="http://schemas.openxmlformats.org/officeDocument/2006/relationships/hyperlink" Target="https://catherinescareercorner.com/" TargetMode="External"/><Relationship Id="rId4203" Type="http://schemas.openxmlformats.org/officeDocument/2006/relationships/hyperlink" Target="https://bit.ly/3bKuQb1" TargetMode="External"/><Relationship Id="rId280" Type="http://schemas.openxmlformats.org/officeDocument/2006/relationships/hyperlink" Target="http://www.awakenai.org/" TargetMode="External"/><Relationship Id="rId3012" Type="http://schemas.openxmlformats.org/officeDocument/2006/relationships/hyperlink" Target="https://www.knime.com/" TargetMode="External"/><Relationship Id="rId140" Type="http://schemas.openxmlformats.org/officeDocument/2006/relationships/hyperlink" Target="http://itnumeric.com/" TargetMode="External"/><Relationship Id="rId3969" Type="http://schemas.openxmlformats.org/officeDocument/2006/relationships/hyperlink" Target="https://zpy.io/61c0bbab" TargetMode="External"/><Relationship Id="rId6" Type="http://schemas.openxmlformats.org/officeDocument/2006/relationships/hyperlink" Target="https://pbs.twimg.com/media/Eu7jvzyUcAA9BL3.jpg" TargetMode="External"/><Relationship Id="rId2778" Type="http://schemas.openxmlformats.org/officeDocument/2006/relationships/hyperlink" Target="http://www.awakenai.org/" TargetMode="External"/><Relationship Id="rId2985" Type="http://schemas.openxmlformats.org/officeDocument/2006/relationships/hyperlink" Target="https://bit.ly/2NM2Qv7" TargetMode="External"/><Relationship Id="rId3829" Type="http://schemas.openxmlformats.org/officeDocument/2006/relationships/hyperlink" Target="https://aisydney.com.au/" TargetMode="External"/><Relationship Id="rId957" Type="http://schemas.openxmlformats.org/officeDocument/2006/relationships/hyperlink" Target="https://bit.ly/3pM0IAS" TargetMode="External"/><Relationship Id="rId1587" Type="http://schemas.openxmlformats.org/officeDocument/2006/relationships/hyperlink" Target="https://bit.ly/37FLzuA" TargetMode="External"/><Relationship Id="rId1794" Type="http://schemas.openxmlformats.org/officeDocument/2006/relationships/hyperlink" Target="https://redd.it/lqhk88" TargetMode="External"/><Relationship Id="rId2638" Type="http://schemas.openxmlformats.org/officeDocument/2006/relationships/hyperlink" Target="https://goo.gl/1TEwic" TargetMode="External"/><Relationship Id="rId2845" Type="http://schemas.openxmlformats.org/officeDocument/2006/relationships/hyperlink" Target="http://www.michem.unimib.it/" TargetMode="External"/><Relationship Id="rId86" Type="http://schemas.openxmlformats.org/officeDocument/2006/relationships/hyperlink" Target="https://pbs.twimg.com/media/Eu7g-fpXEAYYdJr.jpg" TargetMode="External"/><Relationship Id="rId817" Type="http://schemas.openxmlformats.org/officeDocument/2006/relationships/hyperlink" Target="https://neurons.ai/blog/news-stories/ai-here-there-everywhere-2/" TargetMode="External"/><Relationship Id="rId1447" Type="http://schemas.openxmlformats.org/officeDocument/2006/relationships/hyperlink" Target="https://blog.madana.io/federated-learning-confidential-computing-e70a4844bcc5" TargetMode="External"/><Relationship Id="rId1654" Type="http://schemas.openxmlformats.org/officeDocument/2006/relationships/hyperlink" Target="http://pic.twitter.com/ce3PpTYewi" TargetMode="External"/><Relationship Id="rId1861" Type="http://schemas.openxmlformats.org/officeDocument/2006/relationships/hyperlink" Target="http://ipfconline.fr/contacts-eng.html" TargetMode="External"/><Relationship Id="rId2705" Type="http://schemas.openxmlformats.org/officeDocument/2006/relationships/hyperlink" Target="https://www.industrial-production.de/grundlagenwissen/roboter-mit-ki-programmieren.htm" TargetMode="External"/><Relationship Id="rId2912" Type="http://schemas.openxmlformats.org/officeDocument/2006/relationships/hyperlink" Target="https://www.jucktion.com/forum/udemy-coupon/fundamentals-of-machine-learning-19-99-to-free-artificialintelligence-100daysofc/" TargetMode="External"/><Relationship Id="rId4060" Type="http://schemas.openxmlformats.org/officeDocument/2006/relationships/hyperlink" Target="https://pbs.twimg.com/media/Eu3_sJ1VEAELYuO.jpg" TargetMode="External"/><Relationship Id="rId1307" Type="http://schemas.openxmlformats.org/officeDocument/2006/relationships/hyperlink" Target="https://t.me/reconshell" TargetMode="External"/><Relationship Id="rId1514" Type="http://schemas.openxmlformats.org/officeDocument/2006/relationships/hyperlink" Target="http://ow.ly/xoSa50DHa4I" TargetMode="External"/><Relationship Id="rId1721" Type="http://schemas.openxmlformats.org/officeDocument/2006/relationships/hyperlink" Target="https://www.linkedin.com/in/paulapiccard/" TargetMode="External"/><Relationship Id="rId13" Type="http://schemas.openxmlformats.org/officeDocument/2006/relationships/hyperlink" Target="https://bit.ly/2NlF1dL" TargetMode="External"/><Relationship Id="rId3479" Type="http://schemas.openxmlformats.org/officeDocument/2006/relationships/hyperlink" Target="https://apachekafkabook.com/" TargetMode="External"/><Relationship Id="rId3686" Type="http://schemas.openxmlformats.org/officeDocument/2006/relationships/hyperlink" Target="http://www.sw4c.org/" TargetMode="External"/><Relationship Id="rId2288" Type="http://schemas.openxmlformats.org/officeDocument/2006/relationships/hyperlink" Target="http://www.arraystudiogroup.com/" TargetMode="External"/><Relationship Id="rId2495" Type="http://schemas.openxmlformats.org/officeDocument/2006/relationships/hyperlink" Target="https://www.visagetechnologies.com/" TargetMode="External"/><Relationship Id="rId3339" Type="http://schemas.openxmlformats.org/officeDocument/2006/relationships/hyperlink" Target="https://www.reddit.com/r/MachineLearning/comments/lpyfwe/d_kaggle_titanic_challenge_maximum_legit/" TargetMode="External"/><Relationship Id="rId3893" Type="http://schemas.openxmlformats.org/officeDocument/2006/relationships/hyperlink" Target="http://ipfconline.fr/contacts-eng.html" TargetMode="External"/><Relationship Id="rId467" Type="http://schemas.openxmlformats.org/officeDocument/2006/relationships/hyperlink" Target="http://pic.twitter.com/0OGj6WmTYY" TargetMode="External"/><Relationship Id="rId1097" Type="http://schemas.openxmlformats.org/officeDocument/2006/relationships/hyperlink" Target="https://searchcio.techtarget.com/tip/4-tips-on-how-to-reduce-IT-infrastructure-costs?utm_campaign=coschedule&amp;utm_source=twitter&amp;utm_medium=scality" TargetMode="External"/><Relationship Id="rId2148" Type="http://schemas.openxmlformats.org/officeDocument/2006/relationships/hyperlink" Target="http://equations.work/" TargetMode="External"/><Relationship Id="rId3546" Type="http://schemas.openxmlformats.org/officeDocument/2006/relationships/hyperlink" Target="https://bit.ly/3pxilVr" TargetMode="External"/><Relationship Id="rId3753" Type="http://schemas.openxmlformats.org/officeDocument/2006/relationships/hyperlink" Target="https://pbs.twimg.com/media/Eu4h1bOWYAEqe-r.jpg" TargetMode="External"/><Relationship Id="rId3960" Type="http://schemas.openxmlformats.org/officeDocument/2006/relationships/hyperlink" Target="https://neurons.ai/blog/news-stories/applications-of-artificial-intelligence-in-covid-19-icu-and-er-situations/" TargetMode="External"/><Relationship Id="rId674" Type="http://schemas.openxmlformats.org/officeDocument/2006/relationships/hyperlink" Target="https://www.youtube.com/user/viniciuscarida" TargetMode="External"/><Relationship Id="rId881" Type="http://schemas.openxmlformats.org/officeDocument/2006/relationships/hyperlink" Target="https://morioh.com/" TargetMode="External"/><Relationship Id="rId2355" Type="http://schemas.openxmlformats.org/officeDocument/2006/relationships/hyperlink" Target="https://zpy.io/44ec2b13" TargetMode="External"/><Relationship Id="rId2562" Type="http://schemas.openxmlformats.org/officeDocument/2006/relationships/hyperlink" Target="https://hindustantimes.com/ht-school/ai-and-robots-now-and-future-of-tech-101614063835866.html" TargetMode="External"/><Relationship Id="rId3406" Type="http://schemas.openxmlformats.org/officeDocument/2006/relationships/hyperlink" Target="http://www.lemagit.fr/" TargetMode="External"/><Relationship Id="rId3613" Type="http://schemas.openxmlformats.org/officeDocument/2006/relationships/hyperlink" Target="https://onezero.medium.com/the-shoddy-science-behind-emotional-recognition-tech-2e847fc526a0" TargetMode="External"/><Relationship Id="rId3820" Type="http://schemas.openxmlformats.org/officeDocument/2006/relationships/hyperlink" Target="https://towardsdatascience.com/visualizing-twitter-statistics-with-python-and-pandas-956125b369e5" TargetMode="External"/><Relationship Id="rId327" Type="http://schemas.openxmlformats.org/officeDocument/2006/relationships/hyperlink" Target="https://www.buymeacoffee.com/Yuganshjain" TargetMode="External"/><Relationship Id="rId534" Type="http://schemas.openxmlformats.org/officeDocument/2006/relationships/hyperlink" Target="http://pic.twitter.com/xU0wWqZxuA" TargetMode="External"/><Relationship Id="rId741" Type="http://schemas.openxmlformats.org/officeDocument/2006/relationships/hyperlink" Target="https://deftboxsolutions.com/" TargetMode="External"/><Relationship Id="rId1164" Type="http://schemas.openxmlformats.org/officeDocument/2006/relationships/hyperlink" Target="https://www.netcarreiras.com.br/" TargetMode="External"/><Relationship Id="rId1371" Type="http://schemas.openxmlformats.org/officeDocument/2006/relationships/hyperlink" Target="https://pbs.twimg.com/media/Eu6qRJ4UYAUd5uV.jpg" TargetMode="External"/><Relationship Id="rId2008" Type="http://schemas.openxmlformats.org/officeDocument/2006/relationships/hyperlink" Target="http://www.mdpi.com/journal/remotesensing" TargetMode="External"/><Relationship Id="rId2215" Type="http://schemas.openxmlformats.org/officeDocument/2006/relationships/hyperlink" Target="https://stuf.in/b554r8" TargetMode="External"/><Relationship Id="rId2422" Type="http://schemas.openxmlformats.org/officeDocument/2006/relationships/hyperlink" Target="https://bit.ly/3sg4Men" TargetMode="External"/><Relationship Id="rId601" Type="http://schemas.openxmlformats.org/officeDocument/2006/relationships/hyperlink" Target="https://pbs.twimg.com/media/Eu7LrmDXMAEEcNj.jpg" TargetMode="External"/><Relationship Id="rId1024" Type="http://schemas.openxmlformats.org/officeDocument/2006/relationships/hyperlink" Target="https://finance.yahoo.com/news/satellite-company-blacksky-gets-backing-164756326.html" TargetMode="External"/><Relationship Id="rId1231" Type="http://schemas.openxmlformats.org/officeDocument/2006/relationships/hyperlink" Target="https://pbs.twimg.com/media/Eu6x01PVkA834zh.png" TargetMode="External"/><Relationship Id="rId3196" Type="http://schemas.openxmlformats.org/officeDocument/2006/relationships/hyperlink" Target="https://www.analyticsinsight.net/artificial-intelligence-in-archaeology-can-it-be-the-next-indiana-jones/" TargetMode="External"/><Relationship Id="rId4247" Type="http://schemas.openxmlformats.org/officeDocument/2006/relationships/hyperlink" Target="https://twitter.com/zachking/status/1261336860057460736" TargetMode="External"/><Relationship Id="rId3056" Type="http://schemas.openxmlformats.org/officeDocument/2006/relationships/hyperlink" Target="https://pbs.twimg.com/media/Eu5ZT7EVoAMLfrk.jpg" TargetMode="External"/><Relationship Id="rId3263" Type="http://schemas.openxmlformats.org/officeDocument/2006/relationships/hyperlink" Target="https://twitter.com/worldtrendsinfo" TargetMode="External"/><Relationship Id="rId3470" Type="http://schemas.openxmlformats.org/officeDocument/2006/relationships/hyperlink" Target="https://pbs.twimg.com/media/EuhXQTuXEAEkGNf.jpg" TargetMode="External"/><Relationship Id="rId4107" Type="http://schemas.openxmlformats.org/officeDocument/2006/relationships/hyperlink" Target="https://linktr.ee/RonaldvanLoon" TargetMode="External"/><Relationship Id="rId184" Type="http://schemas.openxmlformats.org/officeDocument/2006/relationships/hyperlink" Target="https://pbs.twimg.com/media/Eu7c19DWYAQW0xN.jpg" TargetMode="External"/><Relationship Id="rId391" Type="http://schemas.openxmlformats.org/officeDocument/2006/relationships/hyperlink" Target="https://pub.towardsai.net/" TargetMode="External"/><Relationship Id="rId1908" Type="http://schemas.openxmlformats.org/officeDocument/2006/relationships/hyperlink" Target="https://africadataschool.com/" TargetMode="External"/><Relationship Id="rId2072" Type="http://schemas.openxmlformats.org/officeDocument/2006/relationships/hyperlink" Target="https://www.analyticsvidhya.com/blog/2020/10/10-questions-asked-data-science-beginner/" TargetMode="External"/><Relationship Id="rId3123" Type="http://schemas.openxmlformats.org/officeDocument/2006/relationships/hyperlink" Target="http://www.glc.us.es/~jalonso/vestigium" TargetMode="External"/><Relationship Id="rId251" Type="http://schemas.openxmlformats.org/officeDocument/2006/relationships/hyperlink" Target="https://www.researchgate.net/profile/Scott_Coffin" TargetMode="External"/><Relationship Id="rId3330" Type="http://schemas.openxmlformats.org/officeDocument/2006/relationships/hyperlink" Target="https://deepai.org/" TargetMode="External"/><Relationship Id="rId2889" Type="http://schemas.openxmlformats.org/officeDocument/2006/relationships/hyperlink" Target="http://www.irits.org/" TargetMode="External"/><Relationship Id="rId111" Type="http://schemas.openxmlformats.org/officeDocument/2006/relationships/hyperlink" Target="http://ow.ly/1cHn50DHpFw" TargetMode="External"/><Relationship Id="rId1698" Type="http://schemas.openxmlformats.org/officeDocument/2006/relationships/hyperlink" Target="https://pbs.twimg.com/media/Eu3MyqEXAAYJbSj.png" TargetMode="External"/><Relationship Id="rId2749" Type="http://schemas.openxmlformats.org/officeDocument/2006/relationships/hyperlink" Target="http://www.wsi-emarketing.com/" TargetMode="External"/><Relationship Id="rId2956" Type="http://schemas.openxmlformats.org/officeDocument/2006/relationships/hyperlink" Target="https://goo.gle/3pxBsOu" TargetMode="External"/><Relationship Id="rId928" Type="http://schemas.openxmlformats.org/officeDocument/2006/relationships/hyperlink" Target="http://engineering.asu.edu/" TargetMode="External"/><Relationship Id="rId1558" Type="http://schemas.openxmlformats.org/officeDocument/2006/relationships/hyperlink" Target="https://techcrunch.com/2021/02/22/nanit-raises-another-25m-for-its-ai-powered-baby-monitor/" TargetMode="External"/><Relationship Id="rId1765" Type="http://schemas.openxmlformats.org/officeDocument/2006/relationships/hyperlink" Target="https://www.linkedin.com/in/iainljbrown/" TargetMode="External"/><Relationship Id="rId2609" Type="http://schemas.openxmlformats.org/officeDocument/2006/relationships/hyperlink" Target="https://pbs.twimg.com/media/Eu5vb-EWQAAwMUo.jpg" TargetMode="External"/><Relationship Id="rId4171" Type="http://schemas.openxmlformats.org/officeDocument/2006/relationships/hyperlink" Target="https://pbs.twimg.com/media/Eu30B7hXAAoDWgQ.jpg" TargetMode="External"/><Relationship Id="rId57" Type="http://schemas.openxmlformats.org/officeDocument/2006/relationships/hyperlink" Target="https://www.nytimes.com/2021/02/23/technology/ai-innovation-privacy-seniors-education.html?smid=tw-share" TargetMode="External"/><Relationship Id="rId1418" Type="http://schemas.openxmlformats.org/officeDocument/2006/relationships/hyperlink" Target="https://pbs.twimg.com/media/Eu6hQi0XMAYiOzn.jpg" TargetMode="External"/><Relationship Id="rId1972" Type="http://schemas.openxmlformats.org/officeDocument/2006/relationships/hyperlink" Target="https://pbs.twimg.com/media/Eu6QBRzWQAkfB2O.jpg" TargetMode="External"/><Relationship Id="rId2816" Type="http://schemas.openxmlformats.org/officeDocument/2006/relationships/hyperlink" Target="http://www.awakenai.org/" TargetMode="External"/><Relationship Id="rId4031" Type="http://schemas.openxmlformats.org/officeDocument/2006/relationships/hyperlink" Target="http://bit.ly/3kbmZqH" TargetMode="External"/><Relationship Id="rId1625" Type="http://schemas.openxmlformats.org/officeDocument/2006/relationships/hyperlink" Target="http://dlvr.it/RtJbyW" TargetMode="External"/><Relationship Id="rId1832" Type="http://schemas.openxmlformats.org/officeDocument/2006/relationships/hyperlink" Target="https://byp.ee/bgk2Sg" TargetMode="External"/><Relationship Id="rId3797" Type="http://schemas.openxmlformats.org/officeDocument/2006/relationships/hyperlink" Target="https://bit.ly/2Z6qbdo" TargetMode="External"/><Relationship Id="rId2399" Type="http://schemas.openxmlformats.org/officeDocument/2006/relationships/hyperlink" Target="https://essentials.news/cybersecurity/innovations-and-trends/article" TargetMode="External"/><Relationship Id="rId3657" Type="http://schemas.openxmlformats.org/officeDocument/2006/relationships/hyperlink" Target="http://ecptonline.com/" TargetMode="External"/><Relationship Id="rId3864" Type="http://schemas.openxmlformats.org/officeDocument/2006/relationships/hyperlink" Target="https://youtu.be/Lzhr_-aK7sM" TargetMode="External"/><Relationship Id="rId578" Type="http://schemas.openxmlformats.org/officeDocument/2006/relationships/hyperlink" Target="https://pbs.twimg.com/media/EpX5s5BVoAAbfel.jpg" TargetMode="External"/><Relationship Id="rId785" Type="http://schemas.openxmlformats.org/officeDocument/2006/relationships/hyperlink" Target="https://hackernoon.com/5-papers-on-face-recognition-every-data-scientist-should-read-2n4o34g7" TargetMode="External"/><Relationship Id="rId992" Type="http://schemas.openxmlformats.org/officeDocument/2006/relationships/hyperlink" Target="https://arxiv.org/abs/2102.10326" TargetMode="External"/><Relationship Id="rId2259" Type="http://schemas.openxmlformats.org/officeDocument/2006/relationships/hyperlink" Target="http://www.linkedin.com/pub/frank-vullers/3/503/51a" TargetMode="External"/><Relationship Id="rId2466" Type="http://schemas.openxmlformats.org/officeDocument/2006/relationships/hyperlink" Target="https://www.hownormalami.eu/" TargetMode="External"/><Relationship Id="rId2673" Type="http://schemas.openxmlformats.org/officeDocument/2006/relationships/hyperlink" Target="https://www.hindustantimes.com/ht-school/ai-and-robots-now-and-future-of-tech-101614063835866.html" TargetMode="External"/><Relationship Id="rId2880" Type="http://schemas.openxmlformats.org/officeDocument/2006/relationships/hyperlink" Target="http://neurons.ai/" TargetMode="External"/><Relationship Id="rId3517" Type="http://schemas.openxmlformats.org/officeDocument/2006/relationships/hyperlink" Target="https://www.bacancytechnology.com/blog/python-libraries-for-machine-learning" TargetMode="External"/><Relationship Id="rId3724" Type="http://schemas.openxmlformats.org/officeDocument/2006/relationships/hyperlink" Target="http://www.necio.ch/" TargetMode="External"/><Relationship Id="rId3931" Type="http://schemas.openxmlformats.org/officeDocument/2006/relationships/hyperlink" Target="https://techflx.com/product-category/books/" TargetMode="External"/><Relationship Id="rId438" Type="http://schemas.openxmlformats.org/officeDocument/2006/relationships/hyperlink" Target="http://www.hrconsulting.at/" TargetMode="External"/><Relationship Id="rId645" Type="http://schemas.openxmlformats.org/officeDocument/2006/relationships/hyperlink" Target="https://pbs.twimg.com/media/Eu7KwpKWQAUooQ8.jpg" TargetMode="External"/><Relationship Id="rId852" Type="http://schemas.openxmlformats.org/officeDocument/2006/relationships/hyperlink" Target="https://pbs.twimg.com/media/Eu7CH2QVIAM62ro.jpg" TargetMode="External"/><Relationship Id="rId1068" Type="http://schemas.openxmlformats.org/officeDocument/2006/relationships/hyperlink" Target="https://pbs.twimg.com/media/Eu63_5jXMAIZrxy.jpg" TargetMode="External"/><Relationship Id="rId1275" Type="http://schemas.openxmlformats.org/officeDocument/2006/relationships/hyperlink" Target="http://www.couponfree.uk/2020/12/modern-reinforcement-learning-actor.html" TargetMode="External"/><Relationship Id="rId1482" Type="http://schemas.openxmlformats.org/officeDocument/2006/relationships/hyperlink" Target="https://bit.ly/3dEGwyr" TargetMode="External"/><Relationship Id="rId2119" Type="http://schemas.openxmlformats.org/officeDocument/2006/relationships/hyperlink" Target="https://www.inria.fr/fr/lapprentissage-machine-cognitif-pour-leveil-des-enfants-la-startup-gazouyi-prend-son-envol" TargetMode="External"/><Relationship Id="rId2326" Type="http://schemas.openxmlformats.org/officeDocument/2006/relationships/hyperlink" Target="https://twitter.com/segundoatdell/status/1364149368786456576" TargetMode="External"/><Relationship Id="rId2533" Type="http://schemas.openxmlformats.org/officeDocument/2006/relationships/hyperlink" Target="https://autome.me/" TargetMode="External"/><Relationship Id="rId2740" Type="http://schemas.openxmlformats.org/officeDocument/2006/relationships/hyperlink" Target="https://pbs.twimg.com/media/Eu5nBhtXIAQchbD.jpg" TargetMode="External"/><Relationship Id="rId505" Type="http://schemas.openxmlformats.org/officeDocument/2006/relationships/hyperlink" Target="https://hubs.ly/H0CDWly0" TargetMode="External"/><Relationship Id="rId712" Type="http://schemas.openxmlformats.org/officeDocument/2006/relationships/hyperlink" Target="https://pbs.twimg.com/media/Eu7CboCXYAItaS8.png" TargetMode="External"/><Relationship Id="rId1135" Type="http://schemas.openxmlformats.org/officeDocument/2006/relationships/hyperlink" Target="http://bit.ly/3aJmjpm" TargetMode="External"/><Relationship Id="rId1342" Type="http://schemas.openxmlformats.org/officeDocument/2006/relationships/hyperlink" Target="https://pbs.twimg.com/media/Eu6gxyPVgAURBox.jpg" TargetMode="External"/><Relationship Id="rId1202" Type="http://schemas.openxmlformats.org/officeDocument/2006/relationships/hyperlink" Target="https://pbs.twimg.com/media/Eu6yt5lVEAMxTIS.png" TargetMode="External"/><Relationship Id="rId2600" Type="http://schemas.openxmlformats.org/officeDocument/2006/relationships/hyperlink" Target="https://bgr.com/2021/02/22/microsoft-word-text-prediction/?bgr-partner=flipboard" TargetMode="External"/><Relationship Id="rId3167" Type="http://schemas.openxmlformats.org/officeDocument/2006/relationships/hyperlink" Target="http://neurons.ai/" TargetMode="External"/><Relationship Id="rId295" Type="http://schemas.openxmlformats.org/officeDocument/2006/relationships/hyperlink" Target="http://tesseract.academy/" TargetMode="External"/><Relationship Id="rId3374" Type="http://schemas.openxmlformats.org/officeDocument/2006/relationships/hyperlink" Target="https://pbs.twimg.com/media/Eu5D8dlXUAUKV6V.jpg" TargetMode="External"/><Relationship Id="rId3581" Type="http://schemas.openxmlformats.org/officeDocument/2006/relationships/hyperlink" Target="http://arpit-ml.blogspot.com/" TargetMode="External"/><Relationship Id="rId4218" Type="http://schemas.openxmlformats.org/officeDocument/2006/relationships/hyperlink" Target="https://pbs.twimg.com/media/Eu3vQ8hXIAg_YmR.png" TargetMode="External"/><Relationship Id="rId2183" Type="http://schemas.openxmlformats.org/officeDocument/2006/relationships/hyperlink" Target="https://www.surveymonkey.co.uk/r/BCKNRZ5" TargetMode="External"/><Relationship Id="rId2390" Type="http://schemas.openxmlformats.org/officeDocument/2006/relationships/hyperlink" Target="http://datacoast.in/" TargetMode="External"/><Relationship Id="rId3027" Type="http://schemas.openxmlformats.org/officeDocument/2006/relationships/hyperlink" Target="https://cutt.ly/jllCL7p" TargetMode="External"/><Relationship Id="rId3234" Type="http://schemas.openxmlformats.org/officeDocument/2006/relationships/hyperlink" Target="https://pbs.twimg.com/media/Eu5O3VpVIAE43s-.jpg" TargetMode="External"/><Relationship Id="rId3441" Type="http://schemas.openxmlformats.org/officeDocument/2006/relationships/hyperlink" Target="https://pbs.twimg.com/media/Eu49dqjXcAAycXM.jpg" TargetMode="External"/><Relationship Id="rId155" Type="http://schemas.openxmlformats.org/officeDocument/2006/relationships/hyperlink" Target="https://pbs.twimg.com/media/Eu7eeIjXMAMxtf9.jpg" TargetMode="External"/><Relationship Id="rId362" Type="http://schemas.openxmlformats.org/officeDocument/2006/relationships/hyperlink" Target="http://www.npxinnovation.ca/" TargetMode="External"/><Relationship Id="rId2043" Type="http://schemas.openxmlformats.org/officeDocument/2006/relationships/hyperlink" Target="https://pbs.twimg.com/media/Eu6NMe3XEAI-aO0.jpg" TargetMode="External"/><Relationship Id="rId2250" Type="http://schemas.openxmlformats.org/officeDocument/2006/relationships/hyperlink" Target="http://ow.ly/Iy2T50DDvoh" TargetMode="External"/><Relationship Id="rId3301" Type="http://schemas.openxmlformats.org/officeDocument/2006/relationships/hyperlink" Target="http://www.corizance.com/" TargetMode="External"/><Relationship Id="rId222" Type="http://schemas.openxmlformats.org/officeDocument/2006/relationships/hyperlink" Target="https://linktr.ee/jayxanaya" TargetMode="External"/><Relationship Id="rId2110" Type="http://schemas.openxmlformats.org/officeDocument/2006/relationships/hyperlink" Target="http://pic.twitter.com/YUSQJRjIxO" TargetMode="External"/><Relationship Id="rId4075" Type="http://schemas.openxmlformats.org/officeDocument/2006/relationships/hyperlink" Target="https://couponos.me/" TargetMode="External"/><Relationship Id="rId1669" Type="http://schemas.openxmlformats.org/officeDocument/2006/relationships/hyperlink" Target="https://technative.io/five-things-on-our-data-and-ai-radar-for-2021/" TargetMode="External"/><Relationship Id="rId1876" Type="http://schemas.openxmlformats.org/officeDocument/2006/relationships/hyperlink" Target="https://pbs.twimg.com/media/Eu5AlaxVEAUScoT.jpg" TargetMode="External"/><Relationship Id="rId2927" Type="http://schemas.openxmlformats.org/officeDocument/2006/relationships/hyperlink" Target="https://www.techradar.com/news/ps5-restock-for-saturday-how-to-track-the-new-console-stock-on-twitter/" TargetMode="External"/><Relationship Id="rId3091" Type="http://schemas.openxmlformats.org/officeDocument/2006/relationships/hyperlink" Target="https://bit.ly/37Cqq4I" TargetMode="External"/><Relationship Id="rId4142" Type="http://schemas.openxmlformats.org/officeDocument/2006/relationships/hyperlink" Target="http://marktechpost.com/" TargetMode="External"/><Relationship Id="rId1529" Type="http://schemas.openxmlformats.org/officeDocument/2006/relationships/hyperlink" Target="https://pbs.twimg.com/media/Eu6jol_WgAIV59q.jpg" TargetMode="External"/><Relationship Id="rId1736" Type="http://schemas.openxmlformats.org/officeDocument/2006/relationships/hyperlink" Target="https://roboticsandautomationnews.com/2021/02/22/can-you-hack-ai-yes-and-deep-learning-is-being-used-to-both-attack-and-defend/40906/" TargetMode="External"/><Relationship Id="rId1943" Type="http://schemas.openxmlformats.org/officeDocument/2006/relationships/hyperlink" Target="https://www.linkedin.com/in/colinrbristow/" TargetMode="External"/><Relationship Id="rId28" Type="http://schemas.openxmlformats.org/officeDocument/2006/relationships/hyperlink" Target="https://bit.ly/3dyxnYh" TargetMode="External"/><Relationship Id="rId1803" Type="http://schemas.openxmlformats.org/officeDocument/2006/relationships/hyperlink" Target="https://www.youtube.com/watch?v=96jDlqHgWWQ&amp;t=2s" TargetMode="External"/><Relationship Id="rId4002" Type="http://schemas.openxmlformats.org/officeDocument/2006/relationships/hyperlink" Target="https://pbs.twimg.com/media/Eu4FPl5WgAEMHTW.jpg" TargetMode="External"/><Relationship Id="rId3768" Type="http://schemas.openxmlformats.org/officeDocument/2006/relationships/hyperlink" Target="https://buff.ly/2HkTLDz" TargetMode="External"/><Relationship Id="rId3975" Type="http://schemas.openxmlformats.org/officeDocument/2006/relationships/hyperlink" Target="http://www.itrucker.com/" TargetMode="External"/><Relationship Id="rId689" Type="http://schemas.openxmlformats.org/officeDocument/2006/relationships/hyperlink" Target="http://pic.twitter.com/WTCTjZ6ZsQ" TargetMode="External"/><Relationship Id="rId896" Type="http://schemas.openxmlformats.org/officeDocument/2006/relationships/hyperlink" Target="https://pbs.twimg.com/media/Eu7AgazXIAYgK5_.jpg" TargetMode="External"/><Relationship Id="rId2577" Type="http://schemas.openxmlformats.org/officeDocument/2006/relationships/hyperlink" Target="http://ow.ly/Ndo230rxVCh" TargetMode="External"/><Relationship Id="rId2784" Type="http://schemas.openxmlformats.org/officeDocument/2006/relationships/hyperlink" Target="http://www.kopjes-kattenoppas.nl/" TargetMode="External"/><Relationship Id="rId3628" Type="http://schemas.openxmlformats.org/officeDocument/2006/relationships/hyperlink" Target="http://neurons.ai/" TargetMode="External"/><Relationship Id="rId549" Type="http://schemas.openxmlformats.org/officeDocument/2006/relationships/hyperlink" Target="http://bolcer.org/" TargetMode="External"/><Relationship Id="rId756" Type="http://schemas.openxmlformats.org/officeDocument/2006/relationships/hyperlink" Target="https://pbs.twimg.com/media/Eu7FgHDXIAAgewN.jpg" TargetMode="External"/><Relationship Id="rId1179" Type="http://schemas.openxmlformats.org/officeDocument/2006/relationships/hyperlink" Target="https://phys.org/news/2021-02-machine-tool-disease-related-genes-functions.html" TargetMode="External"/><Relationship Id="rId1386" Type="http://schemas.openxmlformats.org/officeDocument/2006/relationships/hyperlink" Target="https://pbs.twimg.com/media/Eu6pdioWQAM6Wi-.jpg" TargetMode="External"/><Relationship Id="rId1593" Type="http://schemas.openxmlformats.org/officeDocument/2006/relationships/hyperlink" Target="http://bit.ly/3jEf4BJ" TargetMode="External"/><Relationship Id="rId2437" Type="http://schemas.openxmlformats.org/officeDocument/2006/relationships/hyperlink" Target="https://anchor.fm/writex-official" TargetMode="External"/><Relationship Id="rId2991" Type="http://schemas.openxmlformats.org/officeDocument/2006/relationships/hyperlink" Target="https://pbs.twimg.com/media/Eu5d6zsUcAIG3ws.jpg" TargetMode="External"/><Relationship Id="rId3835" Type="http://schemas.openxmlformats.org/officeDocument/2006/relationships/hyperlink" Target="http://ipfconline.fr/contacts-eng.html" TargetMode="External"/><Relationship Id="rId409" Type="http://schemas.openxmlformats.org/officeDocument/2006/relationships/hyperlink" Target="https://hubs.ly/H0H4zKS0" TargetMode="External"/><Relationship Id="rId963" Type="http://schemas.openxmlformats.org/officeDocument/2006/relationships/hyperlink" Target="https://hubs.ly/H0H2L2t0" TargetMode="External"/><Relationship Id="rId1039" Type="http://schemas.openxmlformats.org/officeDocument/2006/relationships/hyperlink" Target="https://astraea.earth/" TargetMode="External"/><Relationship Id="rId1246" Type="http://schemas.openxmlformats.org/officeDocument/2006/relationships/hyperlink" Target="http://www.empiricaldata.org/" TargetMode="External"/><Relationship Id="rId2644" Type="http://schemas.openxmlformats.org/officeDocument/2006/relationships/hyperlink" Target="http://psi-k.net/" TargetMode="External"/><Relationship Id="rId2851" Type="http://schemas.openxmlformats.org/officeDocument/2006/relationships/hyperlink" Target="https://bit.ly/3aKMvA1" TargetMode="External"/><Relationship Id="rId3902" Type="http://schemas.openxmlformats.org/officeDocument/2006/relationships/hyperlink" Target="http://jyotisahai.wordpress.com/" TargetMode="External"/><Relationship Id="rId92" Type="http://schemas.openxmlformats.org/officeDocument/2006/relationships/hyperlink" Target="http://www.e-medtools.com/Medicare_Coding_Tool.html" TargetMode="External"/><Relationship Id="rId616" Type="http://schemas.openxmlformats.org/officeDocument/2006/relationships/hyperlink" Target="https://aster.cloud/" TargetMode="External"/><Relationship Id="rId823" Type="http://schemas.openxmlformats.org/officeDocument/2006/relationships/hyperlink" Target="https://neurons.ai/blog/news-stories/ibms-hernandez-discusses-future-of-aiops-and-measuring-roi/" TargetMode="External"/><Relationship Id="rId1453" Type="http://schemas.openxmlformats.org/officeDocument/2006/relationships/hyperlink" Target="https://www.linkedin.com/in/iainljbrown/" TargetMode="External"/><Relationship Id="rId1660" Type="http://schemas.openxmlformats.org/officeDocument/2006/relationships/hyperlink" Target="https://www.globenewswire.com/news-release/2021/02/23/2180349/0/en/GZ6G-Technologies-Announces-Development-of-Innovative-Artificial-Intelligence-Analytics-platform-VenuTrax-for-launch-by-Green-Zebra-Smart-Labs.html" TargetMode="External"/><Relationship Id="rId2504" Type="http://schemas.openxmlformats.org/officeDocument/2006/relationships/hyperlink" Target="https://autome.me/artificial-intelligenceai-algorithms-and-its-types-explained/" TargetMode="External"/><Relationship Id="rId2711" Type="http://schemas.openxmlformats.org/officeDocument/2006/relationships/hyperlink" Target="https://twitter.com/Theslimevids/status/1318068072536633344" TargetMode="External"/><Relationship Id="rId1106" Type="http://schemas.openxmlformats.org/officeDocument/2006/relationships/hyperlink" Target="https://bit.ly/2ZEXDru" TargetMode="External"/><Relationship Id="rId1313" Type="http://schemas.openxmlformats.org/officeDocument/2006/relationships/hyperlink" Target="https://www.cxotoday.com/big-data/whats-keeping-women-out-of-data-science/" TargetMode="External"/><Relationship Id="rId1520" Type="http://schemas.openxmlformats.org/officeDocument/2006/relationships/hyperlink" Target="https://twitter.com/@Harry_Robots" TargetMode="External"/><Relationship Id="rId3278" Type="http://schemas.openxmlformats.org/officeDocument/2006/relationships/hyperlink" Target="https://neptune.ai/" TargetMode="External"/><Relationship Id="rId3485" Type="http://schemas.openxmlformats.org/officeDocument/2006/relationships/hyperlink" Target="http://www.ispma.org/india" TargetMode="External"/><Relationship Id="rId3692" Type="http://schemas.openxmlformats.org/officeDocument/2006/relationships/hyperlink" Target="https://www.theverge.com/2020/10/21/21527236/mank-secret-websitetrent-reznor-atticus-ross-score-david-fincher-movie-netflix" TargetMode="External"/><Relationship Id="rId199" Type="http://schemas.openxmlformats.org/officeDocument/2006/relationships/hyperlink" Target="https://artificialtwin.com/" TargetMode="External"/><Relationship Id="rId2087" Type="http://schemas.openxmlformats.org/officeDocument/2006/relationships/hyperlink" Target="https://pbs.twimg.com/media/Eu6KGaqWgAYiBw0.jpg" TargetMode="External"/><Relationship Id="rId2294" Type="http://schemas.openxmlformats.org/officeDocument/2006/relationships/hyperlink" Target="https://www.couponed12.com/" TargetMode="External"/><Relationship Id="rId3138" Type="http://schemas.openxmlformats.org/officeDocument/2006/relationships/hyperlink" Target="https://www.linkedin.com/in/eric-feuilleaubois-ph-d-43ab0925/" TargetMode="External"/><Relationship Id="rId3345" Type="http://schemas.openxmlformats.org/officeDocument/2006/relationships/hyperlink" Target="http://www.datascientists.fr/" TargetMode="External"/><Relationship Id="rId3552" Type="http://schemas.openxmlformats.org/officeDocument/2006/relationships/hyperlink" Target="https://pbs.twimg.com/media/Eu40LeqWYAExrn9.jpg" TargetMode="External"/><Relationship Id="rId266" Type="http://schemas.openxmlformats.org/officeDocument/2006/relationships/hyperlink" Target="https://pbs.twimg.com/media/Eu7ZZ7ZXEAUQEbk.png" TargetMode="External"/><Relationship Id="rId473" Type="http://schemas.openxmlformats.org/officeDocument/2006/relationships/hyperlink" Target="https://pbs.twimg.com/media/Eu7RnxKVoAIfhYW.png" TargetMode="External"/><Relationship Id="rId680" Type="http://schemas.openxmlformats.org/officeDocument/2006/relationships/hyperlink" Target="http://www.linkedin.com/in/subhanali" TargetMode="External"/><Relationship Id="rId2154" Type="http://schemas.openxmlformats.org/officeDocument/2006/relationships/hyperlink" Target="https://bit.ly/3bnnZUy" TargetMode="External"/><Relationship Id="rId2361" Type="http://schemas.openxmlformats.org/officeDocument/2006/relationships/hyperlink" Target="https://pbs.twimg.com/media/Eu58qbMVoAQmFSS.jpg" TargetMode="External"/><Relationship Id="rId3205" Type="http://schemas.openxmlformats.org/officeDocument/2006/relationships/hyperlink" Target="http://www.camera-module.com/" TargetMode="External"/><Relationship Id="rId3412" Type="http://schemas.openxmlformats.org/officeDocument/2006/relationships/hyperlink" Target="https://machinelearningflx.com/" TargetMode="External"/><Relationship Id="rId126" Type="http://schemas.openxmlformats.org/officeDocument/2006/relationships/hyperlink" Target="https://buff.ly/2MlSRMO" TargetMode="External"/><Relationship Id="rId333" Type="http://schemas.openxmlformats.org/officeDocument/2006/relationships/hyperlink" Target="http://jelvix.com/" TargetMode="External"/><Relationship Id="rId540" Type="http://schemas.openxmlformats.org/officeDocument/2006/relationships/hyperlink" Target="https://pbs.twimg.com/media/Eu7OUabVEAMAPIx.png" TargetMode="External"/><Relationship Id="rId1170" Type="http://schemas.openxmlformats.org/officeDocument/2006/relationships/hyperlink" Target="https://pbs.twimg.com/media/Eu6zu6EVkAkm5Dm.jpg" TargetMode="External"/><Relationship Id="rId2014" Type="http://schemas.openxmlformats.org/officeDocument/2006/relationships/hyperlink" Target="https://bit.ly/2tJIKEG" TargetMode="External"/><Relationship Id="rId2221" Type="http://schemas.openxmlformats.org/officeDocument/2006/relationships/hyperlink" Target="https://pbs.twimg.com/media/Eu6CxCeWYAEsbjf.jpg" TargetMode="External"/><Relationship Id="rId1030" Type="http://schemas.openxmlformats.org/officeDocument/2006/relationships/hyperlink" Target="https://dy.si/vRxHD" TargetMode="External"/><Relationship Id="rId4186" Type="http://schemas.openxmlformats.org/officeDocument/2006/relationships/hyperlink" Target="https://twitter.com/DigitalTrends/status/1363866145082789890" TargetMode="External"/><Relationship Id="rId400" Type="http://schemas.openxmlformats.org/officeDocument/2006/relationships/hyperlink" Target="https://machinelearningflx.com/" TargetMode="External"/><Relationship Id="rId1987" Type="http://schemas.openxmlformats.org/officeDocument/2006/relationships/hyperlink" Target="https://brianthomas.me/" TargetMode="External"/><Relationship Id="rId1847" Type="http://schemas.openxmlformats.org/officeDocument/2006/relationships/hyperlink" Target="http://uptec.up.pt/" TargetMode="External"/><Relationship Id="rId4046" Type="http://schemas.openxmlformats.org/officeDocument/2006/relationships/hyperlink" Target="https://pbs.twimg.com/media/Eu3zWPEWQAE37DM.jpg" TargetMode="External"/><Relationship Id="rId4253" Type="http://schemas.openxmlformats.org/officeDocument/2006/relationships/hyperlink" Target="http://dlvr.it/RtGXbs" TargetMode="External"/><Relationship Id="rId1707" Type="http://schemas.openxmlformats.org/officeDocument/2006/relationships/hyperlink" Target="http://successanalytix.blogspot.com/" TargetMode="External"/><Relationship Id="rId3062" Type="http://schemas.openxmlformats.org/officeDocument/2006/relationships/hyperlink" Target="https://www.bbva.com/es/" TargetMode="External"/><Relationship Id="rId4113" Type="http://schemas.openxmlformats.org/officeDocument/2006/relationships/hyperlink" Target="http://endpainstigma.org/" TargetMode="External"/><Relationship Id="rId190" Type="http://schemas.openxmlformats.org/officeDocument/2006/relationships/hyperlink" Target="http://bit.ly/SaugaTalks" TargetMode="External"/><Relationship Id="rId1914" Type="http://schemas.openxmlformats.org/officeDocument/2006/relationships/hyperlink" Target="https://pbs.twimg.com/media/Eo3VdaDU8AMYtFa.jpg" TargetMode="External"/><Relationship Id="rId3879" Type="http://schemas.openxmlformats.org/officeDocument/2006/relationships/hyperlink" Target="https://pbs.twimg.com/media/Eu4SDYzXcAMUSzd.jpg" TargetMode="External"/><Relationship Id="rId2688" Type="http://schemas.openxmlformats.org/officeDocument/2006/relationships/hyperlink" Target="https://github.com/mljar/mljar-supervised" TargetMode="External"/><Relationship Id="rId2895" Type="http://schemas.openxmlformats.org/officeDocument/2006/relationships/hyperlink" Target="https://www.forbes.com/sites/jenniferhicks/2021/02/22/take-a-look-at-how-artificial-intelligence-can-improve-your-pets-health/" TargetMode="External"/><Relationship Id="rId3739" Type="http://schemas.openxmlformats.org/officeDocument/2006/relationships/hyperlink" Target="https://pbs.twimg.com/media/Eu4jO1tVoAIKCtm.jpg" TargetMode="External"/><Relationship Id="rId3946" Type="http://schemas.openxmlformats.org/officeDocument/2006/relationships/hyperlink" Target="http://www.corizance.com/" TargetMode="External"/><Relationship Id="rId867" Type="http://schemas.openxmlformats.org/officeDocument/2006/relationships/hyperlink" Target="https://blogs.oracle.com/machinelearning/introducing-oracle-machine-learning-for-python-v2" TargetMode="External"/><Relationship Id="rId1497" Type="http://schemas.openxmlformats.org/officeDocument/2006/relationships/hyperlink" Target="https://pbs.twimg.com/media/Eu6iTXmXIAcoDNC.jpg" TargetMode="External"/><Relationship Id="rId2548" Type="http://schemas.openxmlformats.org/officeDocument/2006/relationships/hyperlink" Target="https://techxplore.com/news/2021-02-algorithm-healthy-behaviors-social-network.html" TargetMode="External"/><Relationship Id="rId2755" Type="http://schemas.openxmlformats.org/officeDocument/2006/relationships/hyperlink" Target="https://bit.ly/3dyxnYh" TargetMode="External"/><Relationship Id="rId2962" Type="http://schemas.openxmlformats.org/officeDocument/2006/relationships/hyperlink" Target="https://www.arthonsys.com/" TargetMode="External"/><Relationship Id="rId3806" Type="http://schemas.openxmlformats.org/officeDocument/2006/relationships/hyperlink" Target="https://www.infoworld.com/article/3606736/use-directml-to-add-machine-learning-to-c-code.html" TargetMode="External"/><Relationship Id="rId727" Type="http://schemas.openxmlformats.org/officeDocument/2006/relationships/hyperlink" Target="https://pbs.twimg.com/media/Eu7G3uxXMAgRIz7.jpg" TargetMode="External"/><Relationship Id="rId934" Type="http://schemas.openxmlformats.org/officeDocument/2006/relationships/hyperlink" Target="http://morioh.com/" TargetMode="External"/><Relationship Id="rId1357" Type="http://schemas.openxmlformats.org/officeDocument/2006/relationships/hyperlink" Target="http://www.voigt-kampffanalyzer.com/?edition_id=b08fcbb0-75e0-11eb-9fda-0cc47a0d1609" TargetMode="External"/><Relationship Id="rId1564" Type="http://schemas.openxmlformats.org/officeDocument/2006/relationships/hyperlink" Target="https://www.analyticsjobs.in/" TargetMode="External"/><Relationship Id="rId1771" Type="http://schemas.openxmlformats.org/officeDocument/2006/relationships/hyperlink" Target="https://goo.gl/1TEwic" TargetMode="External"/><Relationship Id="rId2408" Type="http://schemas.openxmlformats.org/officeDocument/2006/relationships/hyperlink" Target="https://amzn.to/3dKhCxz" TargetMode="External"/><Relationship Id="rId2615" Type="http://schemas.openxmlformats.org/officeDocument/2006/relationships/hyperlink" Target="https://pbs.twimg.com/media/Eu5o6q6XUAAAvtg.jpg" TargetMode="External"/><Relationship Id="rId2822" Type="http://schemas.openxmlformats.org/officeDocument/2006/relationships/hyperlink" Target="http://teraflow.ai/" TargetMode="External"/><Relationship Id="rId63" Type="http://schemas.openxmlformats.org/officeDocument/2006/relationships/hyperlink" Target="https://www.linkedin.com/in/theodoralau/" TargetMode="External"/><Relationship Id="rId1217" Type="http://schemas.openxmlformats.org/officeDocument/2006/relationships/hyperlink" Target="http://www.zarplabs.com/" TargetMode="External"/><Relationship Id="rId1424" Type="http://schemas.openxmlformats.org/officeDocument/2006/relationships/hyperlink" Target="http://www.studentsuccessdata.com/" TargetMode="External"/><Relationship Id="rId1631" Type="http://schemas.openxmlformats.org/officeDocument/2006/relationships/hyperlink" Target="https://pbs.twimg.com/media/Eu6epwsXIAEd-Bl.jpg" TargetMode="External"/><Relationship Id="rId3389" Type="http://schemas.openxmlformats.org/officeDocument/2006/relationships/hyperlink" Target="http://www.gppulipaka.org/" TargetMode="External"/><Relationship Id="rId3596" Type="http://schemas.openxmlformats.org/officeDocument/2006/relationships/hyperlink" Target="http://etc-indonesia.com/" TargetMode="External"/><Relationship Id="rId2198" Type="http://schemas.openxmlformats.org/officeDocument/2006/relationships/hyperlink" Target="https://fintechcircle.com/ai-book/" TargetMode="External"/><Relationship Id="rId3249" Type="http://schemas.openxmlformats.org/officeDocument/2006/relationships/hyperlink" Target="http://www.camera-module.com/" TargetMode="External"/><Relationship Id="rId3456" Type="http://schemas.openxmlformats.org/officeDocument/2006/relationships/hyperlink" Target="http://pic.twitter.com/BCRXv00aW3" TargetMode="External"/><Relationship Id="rId377" Type="http://schemas.openxmlformats.org/officeDocument/2006/relationships/hyperlink" Target="https://fr.linkedin.com/in/hervemicollet" TargetMode="External"/><Relationship Id="rId584" Type="http://schemas.openxmlformats.org/officeDocument/2006/relationships/hyperlink" Target="https://pbs.twimg.com/media/Eu7MwJRUUAIHMUc.jpg" TargetMode="External"/><Relationship Id="rId2058" Type="http://schemas.openxmlformats.org/officeDocument/2006/relationships/hyperlink" Target="https://google.smh.re/1vD" TargetMode="External"/><Relationship Id="rId2265" Type="http://schemas.openxmlformats.org/officeDocument/2006/relationships/hyperlink" Target="https://viso.ai/" TargetMode="External"/><Relationship Id="rId3109" Type="http://schemas.openxmlformats.org/officeDocument/2006/relationships/hyperlink" Target="https://analyticsindiamag.com/" TargetMode="External"/><Relationship Id="rId3663" Type="http://schemas.openxmlformats.org/officeDocument/2006/relationships/hyperlink" Target="https://pbs.twimg.com/media/Eu4pVNfVkAM-ZRH.jpg" TargetMode="External"/><Relationship Id="rId3870" Type="http://schemas.openxmlformats.org/officeDocument/2006/relationships/hyperlink" Target="http://pic.twitter.com/0TRK6s4KxQ" TargetMode="External"/><Relationship Id="rId237" Type="http://schemas.openxmlformats.org/officeDocument/2006/relationships/hyperlink" Target="http://www.linkedin.com/in/kirkdborne" TargetMode="External"/><Relationship Id="rId791" Type="http://schemas.openxmlformats.org/officeDocument/2006/relationships/hyperlink" Target="https://www.fishinnovationlab.msstate.edu/newsroom/2021/02/emerging-technologies-improve-aquaculture-data-systems-bangladesh" TargetMode="External"/><Relationship Id="rId1074" Type="http://schemas.openxmlformats.org/officeDocument/2006/relationships/hyperlink" Target="http://blindspot-advisors.com/" TargetMode="External"/><Relationship Id="rId2472" Type="http://schemas.openxmlformats.org/officeDocument/2006/relationships/hyperlink" Target="https://www.youtube.com/watch?v=Rym9_F2GWhs" TargetMode="External"/><Relationship Id="rId3316" Type="http://schemas.openxmlformats.org/officeDocument/2006/relationships/hyperlink" Target="https://via.socxo.net/1Prqt1ZfLZ5Sa" TargetMode="External"/><Relationship Id="rId3523" Type="http://schemas.openxmlformats.org/officeDocument/2006/relationships/hyperlink" Target="https://github.com/instance01/qubo-nn" TargetMode="External"/><Relationship Id="rId3730" Type="http://schemas.openxmlformats.org/officeDocument/2006/relationships/hyperlink" Target="http://www.pranjalsharma.com/" TargetMode="External"/><Relationship Id="rId444" Type="http://schemas.openxmlformats.org/officeDocument/2006/relationships/hyperlink" Target="https://bit.ly/3ufFpLD" TargetMode="External"/><Relationship Id="rId651" Type="http://schemas.openxmlformats.org/officeDocument/2006/relationships/hyperlink" Target="https://pbs.twimg.com/media/Eu7KoxQVEAAkkcT.jpg" TargetMode="External"/><Relationship Id="rId1281" Type="http://schemas.openxmlformats.org/officeDocument/2006/relationships/hyperlink" Target="https://pbs.twimg.com/media/Eu6rs0VUcAEiaHl.jpg" TargetMode="External"/><Relationship Id="rId2125" Type="http://schemas.openxmlformats.org/officeDocument/2006/relationships/hyperlink" Target="https://lnkd.in/eJQx-cS" TargetMode="External"/><Relationship Id="rId2332" Type="http://schemas.openxmlformats.org/officeDocument/2006/relationships/hyperlink" Target="https://lnkd.in/dZaYz7G" TargetMode="External"/><Relationship Id="rId304" Type="http://schemas.openxmlformats.org/officeDocument/2006/relationships/hyperlink" Target="http://kevinmusgrave.com/" TargetMode="External"/><Relationship Id="rId511" Type="http://schemas.openxmlformats.org/officeDocument/2006/relationships/hyperlink" Target="https://udemy-free-coupons.blogspot.com/2021/02/sap-analytics-cloudcsac2021-exam.html" TargetMode="External"/><Relationship Id="rId1141" Type="http://schemas.openxmlformats.org/officeDocument/2006/relationships/hyperlink" Target="https://ift.tt/3bm69RG" TargetMode="External"/><Relationship Id="rId1001" Type="http://schemas.openxmlformats.org/officeDocument/2006/relationships/hyperlink" Target="https://www.linkedin.com/in/michael-cavaretta-ph-d-795a965" TargetMode="External"/><Relationship Id="rId4157" Type="http://schemas.openxmlformats.org/officeDocument/2006/relationships/hyperlink" Target="https://pub.towardsai.net/shapash-making-ml-models-understandable-by-everyone-8f96ad469eb3" TargetMode="External"/><Relationship Id="rId1958" Type="http://schemas.openxmlformats.org/officeDocument/2006/relationships/hyperlink" Target="http://www.huawei.com/en/news/2021/2/5gdn-architecture-whitepaper-released?utm_source=dlvr.it&amp;utm_medium=twitter" TargetMode="External"/><Relationship Id="rId3173" Type="http://schemas.openxmlformats.org/officeDocument/2006/relationships/hyperlink" Target="https://www.amanciobouza.com/" TargetMode="External"/><Relationship Id="rId3380" Type="http://schemas.openxmlformats.org/officeDocument/2006/relationships/hyperlink" Target="https://bit.ly/32fscGg" TargetMode="External"/><Relationship Id="rId4017" Type="http://schemas.openxmlformats.org/officeDocument/2006/relationships/hyperlink" Target="https://lnkd.in/d_HCCUc" TargetMode="External"/><Relationship Id="rId4224" Type="http://schemas.openxmlformats.org/officeDocument/2006/relationships/hyperlink" Target="https://pbs.twimg.com/media/Eu3uzmfWgAQNKMd.jpg" TargetMode="External"/><Relationship Id="rId1818" Type="http://schemas.openxmlformats.org/officeDocument/2006/relationships/hyperlink" Target="http://facespace.ai/" TargetMode="External"/><Relationship Id="rId3033" Type="http://schemas.openxmlformats.org/officeDocument/2006/relationships/hyperlink" Target="http://www.climatechange.ai/" TargetMode="External"/><Relationship Id="rId3240" Type="http://schemas.openxmlformats.org/officeDocument/2006/relationships/hyperlink" Target="http://www.inixindosurabaya.id/" TargetMode="External"/><Relationship Id="rId161" Type="http://schemas.openxmlformats.org/officeDocument/2006/relationships/hyperlink" Target="http://shorturl.at/qGU16" TargetMode="External"/><Relationship Id="rId2799" Type="http://schemas.openxmlformats.org/officeDocument/2006/relationships/hyperlink" Target="http://pic.twitter.com/69KuBJtywa" TargetMode="External"/><Relationship Id="rId3100" Type="http://schemas.openxmlformats.org/officeDocument/2006/relationships/hyperlink" Target="https://www.calibraint.com/services/blockchain-services" TargetMode="External"/><Relationship Id="rId978" Type="http://schemas.openxmlformats.org/officeDocument/2006/relationships/hyperlink" Target="https://www.datacamp.com/courses/practicing-machine-learning-interview-questions-in-r?tap_a=5644-dce66f&amp;tap_s=411670-1f1ebc" TargetMode="External"/><Relationship Id="rId2659" Type="http://schemas.openxmlformats.org/officeDocument/2006/relationships/hyperlink" Target="https://pbs.twimg.com/media/Eu5rheSWQAcNd7H.png" TargetMode="External"/><Relationship Id="rId2866" Type="http://schemas.openxmlformats.org/officeDocument/2006/relationships/hyperlink" Target="https://www.linkedin.com/in/iainljbrown/" TargetMode="External"/><Relationship Id="rId3917" Type="http://schemas.openxmlformats.org/officeDocument/2006/relationships/hyperlink" Target="https://darsa.ai/" TargetMode="External"/><Relationship Id="rId838" Type="http://schemas.openxmlformats.org/officeDocument/2006/relationships/hyperlink" Target="https://pbs.twimg.com/media/Eu7CXCOVoAADWtN.jpg" TargetMode="External"/><Relationship Id="rId1468" Type="http://schemas.openxmlformats.org/officeDocument/2006/relationships/hyperlink" Target="https://www.globaltechcouncil.org/" TargetMode="External"/><Relationship Id="rId1675" Type="http://schemas.openxmlformats.org/officeDocument/2006/relationships/hyperlink" Target="http://odsc.com/" TargetMode="External"/><Relationship Id="rId1882" Type="http://schemas.openxmlformats.org/officeDocument/2006/relationships/hyperlink" Target="https://www.ralphstraumann.ch/" TargetMode="External"/><Relationship Id="rId2519" Type="http://schemas.openxmlformats.org/officeDocument/2006/relationships/hyperlink" Target="http://pic.twitter.com/4n8zyqXLxw" TargetMode="External"/><Relationship Id="rId2726" Type="http://schemas.openxmlformats.org/officeDocument/2006/relationships/hyperlink" Target="https://pbs.twimg.com/media/Eu5nqfKWQAAtrqv.jpg" TargetMode="External"/><Relationship Id="rId4081" Type="http://schemas.openxmlformats.org/officeDocument/2006/relationships/hyperlink" Target="https://pbs.twimg.com/media/Eu36QYrVcAA7ymU.jpg" TargetMode="External"/><Relationship Id="rId1328" Type="http://schemas.openxmlformats.org/officeDocument/2006/relationships/hyperlink" Target="https://pbs.twimg.com/media/Eu6sO_4WQAAM3iJ.jpg" TargetMode="External"/><Relationship Id="rId1535" Type="http://schemas.openxmlformats.org/officeDocument/2006/relationships/hyperlink" Target="https://portal.mambo.co.ke/index.php?rp=/store/ssl-certificates" TargetMode="External"/><Relationship Id="rId2933" Type="http://schemas.openxmlformats.org/officeDocument/2006/relationships/hyperlink" Target="http://www.awakenai.org/" TargetMode="External"/><Relationship Id="rId905" Type="http://schemas.openxmlformats.org/officeDocument/2006/relationships/hyperlink" Target="https://bit.ly/2HcgPpG" TargetMode="External"/><Relationship Id="rId1742" Type="http://schemas.openxmlformats.org/officeDocument/2006/relationships/hyperlink" Target="https://bit.ly/2NvCmhH" TargetMode="External"/><Relationship Id="rId34" Type="http://schemas.openxmlformats.org/officeDocument/2006/relationships/hyperlink" Target="https://pbs.twimg.com/media/Eu7g-fpXEAYYdJr.jpg" TargetMode="External"/><Relationship Id="rId1602" Type="http://schemas.openxmlformats.org/officeDocument/2006/relationships/hyperlink" Target="http://www.thebetterworld.asia/" TargetMode="External"/><Relationship Id="rId3567" Type="http://schemas.openxmlformats.org/officeDocument/2006/relationships/hyperlink" Target="http://www.blackwomeninai.com/" TargetMode="External"/><Relationship Id="rId3774" Type="http://schemas.openxmlformats.org/officeDocument/2006/relationships/hyperlink" Target="https://widspune.com/" TargetMode="External"/><Relationship Id="rId3981" Type="http://schemas.openxmlformats.org/officeDocument/2006/relationships/hyperlink" Target="http://sima.ai/" TargetMode="External"/><Relationship Id="rId488" Type="http://schemas.openxmlformats.org/officeDocument/2006/relationships/hyperlink" Target="https://tcairem.utoronto.ca/" TargetMode="External"/><Relationship Id="rId695" Type="http://schemas.openxmlformats.org/officeDocument/2006/relationships/hyperlink" Target="https://ailab.mti-vietnam.vn/" TargetMode="External"/><Relationship Id="rId2169" Type="http://schemas.openxmlformats.org/officeDocument/2006/relationships/hyperlink" Target="http://about.me/paulhector" TargetMode="External"/><Relationship Id="rId2376" Type="http://schemas.openxmlformats.org/officeDocument/2006/relationships/hyperlink" Target="http://datacoast.in/" TargetMode="External"/><Relationship Id="rId2583" Type="http://schemas.openxmlformats.org/officeDocument/2006/relationships/hyperlink" Target="https://www.linkedin.com/in/iainljbrown/" TargetMode="External"/><Relationship Id="rId2790" Type="http://schemas.openxmlformats.org/officeDocument/2006/relationships/hyperlink" Target="https://www.digitalscouting.de/" TargetMode="External"/><Relationship Id="rId3427" Type="http://schemas.openxmlformats.org/officeDocument/2006/relationships/hyperlink" Target="http://itvibes.com.au/" TargetMode="External"/><Relationship Id="rId3634" Type="http://schemas.openxmlformats.org/officeDocument/2006/relationships/hyperlink" Target="https://dataly.st/blog-post/how-can-i-become-a-data-scientist/" TargetMode="External"/><Relationship Id="rId3841" Type="http://schemas.openxmlformats.org/officeDocument/2006/relationships/hyperlink" Target="http://www.dreamsplus.in/all-events/" TargetMode="External"/><Relationship Id="rId348" Type="http://schemas.openxmlformats.org/officeDocument/2006/relationships/hyperlink" Target="https://smallfirmforum.com/" TargetMode="External"/><Relationship Id="rId555" Type="http://schemas.openxmlformats.org/officeDocument/2006/relationships/hyperlink" Target="https://alphasignal.ai/" TargetMode="External"/><Relationship Id="rId762" Type="http://schemas.openxmlformats.org/officeDocument/2006/relationships/hyperlink" Target="https://deepai.org/machine-learning-glossary-and-terms/beta-distribution" TargetMode="External"/><Relationship Id="rId1185" Type="http://schemas.openxmlformats.org/officeDocument/2006/relationships/hyperlink" Target="https://ai-summary.com/summary-dont-ask-if-artificial-intelligence-is-good-or-fair-ask-how-it-shifts-po/?utm_medium=social-organic&amp;utm_source=twitter" TargetMode="External"/><Relationship Id="rId1392" Type="http://schemas.openxmlformats.org/officeDocument/2006/relationships/hyperlink" Target="http://notreal.ai/" TargetMode="External"/><Relationship Id="rId2029" Type="http://schemas.openxmlformats.org/officeDocument/2006/relationships/hyperlink" Target="http://ow.ly/Soxc50DGm2N" TargetMode="External"/><Relationship Id="rId2236" Type="http://schemas.openxmlformats.org/officeDocument/2006/relationships/hyperlink" Target="https://pbs.twimg.com/media/Eu6B5yXXYAAs-DV.jpg" TargetMode="External"/><Relationship Id="rId2443" Type="http://schemas.openxmlformats.org/officeDocument/2006/relationships/hyperlink" Target="https://amzn.to/3unvTpJ" TargetMode="External"/><Relationship Id="rId2650" Type="http://schemas.openxmlformats.org/officeDocument/2006/relationships/hyperlink" Target="http://amp.gs/Qj1M" TargetMode="External"/><Relationship Id="rId3701" Type="http://schemas.openxmlformats.org/officeDocument/2006/relationships/hyperlink" Target="https://www.pcmag.com/news/in-2020-people-looked-to-algorithms-and-asked-what-should-i-do" TargetMode="External"/><Relationship Id="rId208" Type="http://schemas.openxmlformats.org/officeDocument/2006/relationships/hyperlink" Target="https://liwaiwai.com/" TargetMode="External"/><Relationship Id="rId415" Type="http://schemas.openxmlformats.org/officeDocument/2006/relationships/hyperlink" Target="https://pbs.twimg.com/media/Eu6qRemWQAgH_kX.jpg" TargetMode="External"/><Relationship Id="rId622" Type="http://schemas.openxmlformats.org/officeDocument/2006/relationships/hyperlink" Target="https://www.linkedin.com/in/paulapiccard/" TargetMode="External"/><Relationship Id="rId1045" Type="http://schemas.openxmlformats.org/officeDocument/2006/relationships/hyperlink" Target="https://pbs.twimg.com/media/Eu65YnNWYAEOvgx.jpg" TargetMode="External"/><Relationship Id="rId1252" Type="http://schemas.openxmlformats.org/officeDocument/2006/relationships/hyperlink" Target="http://www.wissenakademie.com/" TargetMode="External"/><Relationship Id="rId2303" Type="http://schemas.openxmlformats.org/officeDocument/2006/relationships/hyperlink" Target="https://pbs.twimg.com/media/Eu5_Yu4XEAAqeUK.jpg" TargetMode="External"/><Relationship Id="rId2510" Type="http://schemas.openxmlformats.org/officeDocument/2006/relationships/hyperlink" Target="http://ipfconline.fr/contacts-eng.html" TargetMode="External"/><Relationship Id="rId1112" Type="http://schemas.openxmlformats.org/officeDocument/2006/relationships/hyperlink" Target="https://pbs.twimg.com/media/Eu2or_tVkAEdNZk.jpg" TargetMode="External"/><Relationship Id="rId4268" Type="http://schemas.openxmlformats.org/officeDocument/2006/relationships/hyperlink" Target="https://twitter.com/zachking/status/1322544425281626115" TargetMode="External"/><Relationship Id="rId3077" Type="http://schemas.openxmlformats.org/officeDocument/2006/relationships/hyperlink" Target="https://builtin.com/data-science/deep-learning-python" TargetMode="External"/><Relationship Id="rId3284" Type="http://schemas.openxmlformats.org/officeDocument/2006/relationships/hyperlink" Target="https://www.analyticsvidhya.com/blog/2021/02/why-programming-is-essential-for-data-science/?utm_source=feedburner&amp;utm_medium=email&amp;utm_campaign=Feed%3A+AnalyticsVidhya+%28Analytics+Vidhya%29" TargetMode="External"/><Relationship Id="rId4128" Type="http://schemas.openxmlformats.org/officeDocument/2006/relationships/hyperlink" Target="https://teachtechu.com/" TargetMode="External"/><Relationship Id="rId1929" Type="http://schemas.openxmlformats.org/officeDocument/2006/relationships/hyperlink" Target="https://www.onelink.to/programminghero" TargetMode="External"/><Relationship Id="rId2093" Type="http://schemas.openxmlformats.org/officeDocument/2006/relationships/hyperlink" Target="https://neurons.ai/blog/news-stories/machine-learning-chip-market-size-competitive-landscape-regional-outlook-and-covid-19-2/" TargetMode="External"/><Relationship Id="rId3491" Type="http://schemas.openxmlformats.org/officeDocument/2006/relationships/hyperlink" Target="https://thenextweb.com/neural/2021/02/22/microsoft-word-launching-ai-text-predictions-spelling-grammar/" TargetMode="External"/><Relationship Id="rId3144" Type="http://schemas.openxmlformats.org/officeDocument/2006/relationships/hyperlink" Target="https://tegeria.com/" TargetMode="External"/><Relationship Id="rId3351" Type="http://schemas.openxmlformats.org/officeDocument/2006/relationships/hyperlink" Target="https://www.datacamp.com/community/tutorials/deep-learning-python" TargetMode="External"/><Relationship Id="rId272" Type="http://schemas.openxmlformats.org/officeDocument/2006/relationships/hyperlink" Target="https://pbs.twimg.com/media/Eu7ZDfKXMAMGk1O.jpg" TargetMode="External"/><Relationship Id="rId2160" Type="http://schemas.openxmlformats.org/officeDocument/2006/relationships/hyperlink" Target="https://www.linkedin.com/in/francoronconi/" TargetMode="External"/><Relationship Id="rId3004" Type="http://schemas.openxmlformats.org/officeDocument/2006/relationships/hyperlink" Target="https://ift.tt/2NoHowA" TargetMode="External"/><Relationship Id="rId3211" Type="http://schemas.openxmlformats.org/officeDocument/2006/relationships/hyperlink" Target="https://pbs.twimg.com/media/Eu5QNZ7VcAMXMZR.jpg" TargetMode="External"/><Relationship Id="rId132" Type="http://schemas.openxmlformats.org/officeDocument/2006/relationships/hyperlink" Target="https://thecloudgirl.dev/" TargetMode="External"/><Relationship Id="rId2020" Type="http://schemas.openxmlformats.org/officeDocument/2006/relationships/hyperlink" Target="http://bigml.com/" TargetMode="External"/><Relationship Id="rId1579" Type="http://schemas.openxmlformats.org/officeDocument/2006/relationships/hyperlink" Target="http://pic.twitter.com/d1jVBeUTvZ" TargetMode="External"/><Relationship Id="rId2977" Type="http://schemas.openxmlformats.org/officeDocument/2006/relationships/hyperlink" Target="https://pbs.twimg.com/media/Eu5eBJnXcAkjZ45.jpg" TargetMode="External"/><Relationship Id="rId4192" Type="http://schemas.openxmlformats.org/officeDocument/2006/relationships/hyperlink" Target="https://twitter.com/lexfridman/status/1363912996595118080" TargetMode="External"/><Relationship Id="rId949" Type="http://schemas.openxmlformats.org/officeDocument/2006/relationships/hyperlink" Target="http://www.bbva.es/" TargetMode="External"/><Relationship Id="rId1786" Type="http://schemas.openxmlformats.org/officeDocument/2006/relationships/hyperlink" Target="http://bkltd.creativemf.com/twitter" TargetMode="External"/><Relationship Id="rId1993" Type="http://schemas.openxmlformats.org/officeDocument/2006/relationships/hyperlink" Target="https://www.flexgigzz.com/" TargetMode="External"/><Relationship Id="rId2837" Type="http://schemas.openxmlformats.org/officeDocument/2006/relationships/hyperlink" Target="https://bit.ly/3aauvyD" TargetMode="External"/><Relationship Id="rId4052" Type="http://schemas.openxmlformats.org/officeDocument/2006/relationships/hyperlink" Target="https://pbs.twimg.com/media/Eu4Ag30UUAAZPb_.jpg" TargetMode="External"/><Relationship Id="rId78" Type="http://schemas.openxmlformats.org/officeDocument/2006/relationships/hyperlink" Target="https://pbs.twimg.com/media/Euqws74XEAAwhf_.jpg" TargetMode="External"/><Relationship Id="rId809" Type="http://schemas.openxmlformats.org/officeDocument/2006/relationships/hyperlink" Target="https://diagnostics.roche.com/" TargetMode="External"/><Relationship Id="rId1439" Type="http://schemas.openxmlformats.org/officeDocument/2006/relationships/hyperlink" Target="https://www.linkedin.com/in/bill-fox-j-d-m-a-03ba40b/" TargetMode="External"/><Relationship Id="rId1646" Type="http://schemas.openxmlformats.org/officeDocument/2006/relationships/hyperlink" Target="https://pbs.twimg.com/media/Eu6ePRiWYAEQaMA.jpg" TargetMode="External"/><Relationship Id="rId1853" Type="http://schemas.openxmlformats.org/officeDocument/2006/relationships/hyperlink" Target="https://crimacode.com/" TargetMode="External"/><Relationship Id="rId2904" Type="http://schemas.openxmlformats.org/officeDocument/2006/relationships/hyperlink" Target="https://twitter.com/Theslimevids/status/1320884791013568512" TargetMode="External"/><Relationship Id="rId1506" Type="http://schemas.openxmlformats.org/officeDocument/2006/relationships/hyperlink" Target="http://www.margarisventures.com/" TargetMode="External"/><Relationship Id="rId1713" Type="http://schemas.openxmlformats.org/officeDocument/2006/relationships/hyperlink" Target="https://www.send2press.com/" TargetMode="External"/><Relationship Id="rId1920" Type="http://schemas.openxmlformats.org/officeDocument/2006/relationships/hyperlink" Target="https://brianthomas.me/" TargetMode="External"/><Relationship Id="rId3678" Type="http://schemas.openxmlformats.org/officeDocument/2006/relationships/hyperlink" Target="https://www.hsph.harvard.edu/news/hsph-in-the-news/machine-learning-sheds-new-light-on-how-walnuts-benefit-health/" TargetMode="External"/><Relationship Id="rId3885" Type="http://schemas.openxmlformats.org/officeDocument/2006/relationships/hyperlink" Target="https://pbs.twimg.com/media/Eu4SDSnXYAYoZiK.jpg" TargetMode="External"/><Relationship Id="rId599" Type="http://schemas.openxmlformats.org/officeDocument/2006/relationships/hyperlink" Target="http://mhdodick.com/" TargetMode="External"/><Relationship Id="rId2487" Type="http://schemas.openxmlformats.org/officeDocument/2006/relationships/hyperlink" Target="http://www.ai3sd.org/" TargetMode="External"/><Relationship Id="rId2694" Type="http://schemas.openxmlformats.org/officeDocument/2006/relationships/hyperlink" Target="https://pbs.twimg.com/media/Eu5pfhuXMAA6fLc.jpg" TargetMode="External"/><Relationship Id="rId3538" Type="http://schemas.openxmlformats.org/officeDocument/2006/relationships/hyperlink" Target="https://pbs.twimg.com/media/Eu40y7_VcAYsj3q.jpg" TargetMode="External"/><Relationship Id="rId3745" Type="http://schemas.openxmlformats.org/officeDocument/2006/relationships/hyperlink" Target="https://pbs.twimg.com/media/Eu4iTjnVkAEonEd.jpg" TargetMode="External"/><Relationship Id="rId459" Type="http://schemas.openxmlformats.org/officeDocument/2006/relationships/hyperlink" Target="http://nvda.ws/2LgJ1Ga" TargetMode="External"/><Relationship Id="rId666" Type="http://schemas.openxmlformats.org/officeDocument/2006/relationships/hyperlink" Target="https://go.logianalytics.com/webinar-maximizing-business-impact-of-data.html?utm_medium=email&amp;utm_source=logi&amp;utm_campaign=weekly-content" TargetMode="External"/><Relationship Id="rId873" Type="http://schemas.openxmlformats.org/officeDocument/2006/relationships/hyperlink" Target="https://twitter.com/HarmanManchanda/status/1364165340796657670" TargetMode="External"/><Relationship Id="rId1089" Type="http://schemas.openxmlformats.org/officeDocument/2006/relationships/hyperlink" Target="https://pbs.twimg.com/media/Eu63IJ7XYAYi2-q.jpg" TargetMode="External"/><Relationship Id="rId1296" Type="http://schemas.openxmlformats.org/officeDocument/2006/relationships/hyperlink" Target="http://pic.twitter.com/euGN58T02d" TargetMode="External"/><Relationship Id="rId2347" Type="http://schemas.openxmlformats.org/officeDocument/2006/relationships/hyperlink" Target="https://paper.li/socialpathZA/1539082009?edition_id=c2a057a0-75c4-11eb-a5c8-0cc47a0d15fd" TargetMode="External"/><Relationship Id="rId2554" Type="http://schemas.openxmlformats.org/officeDocument/2006/relationships/hyperlink" Target="http://www.linkedin.com/in/sajid-mirza1" TargetMode="External"/><Relationship Id="rId3952" Type="http://schemas.openxmlformats.org/officeDocument/2006/relationships/hyperlink" Target="https://www.reddit.com/r/MachineLearning/comments/lq5epz/people_report_flops_but_actually_use_macc_r/" TargetMode="External"/><Relationship Id="rId319" Type="http://schemas.openxmlformats.org/officeDocument/2006/relationships/hyperlink" Target="https://bit.ly/3siMF7o" TargetMode="External"/><Relationship Id="rId526" Type="http://schemas.openxmlformats.org/officeDocument/2006/relationships/hyperlink" Target="http://crossinvalidation.com/" TargetMode="External"/><Relationship Id="rId1156" Type="http://schemas.openxmlformats.org/officeDocument/2006/relationships/hyperlink" Target="https://bit.ly/3bvutAW" TargetMode="External"/><Relationship Id="rId1363" Type="http://schemas.openxmlformats.org/officeDocument/2006/relationships/hyperlink" Target="https://deepai.org/research" TargetMode="External"/><Relationship Id="rId2207" Type="http://schemas.openxmlformats.org/officeDocument/2006/relationships/hyperlink" Target="https://pbs.twimg.com/media/Eu6DVa6XYAQGUfq.jpg" TargetMode="External"/><Relationship Id="rId2761" Type="http://schemas.openxmlformats.org/officeDocument/2006/relationships/hyperlink" Target="https://analyticsindiamag.com/what-is-geometric-deep-learning/" TargetMode="External"/><Relationship Id="rId3605" Type="http://schemas.openxmlformats.org/officeDocument/2006/relationships/hyperlink" Target="https://lnkd.in/gvVnpcm" TargetMode="External"/><Relationship Id="rId3812" Type="http://schemas.openxmlformats.org/officeDocument/2006/relationships/hyperlink" Target="https://www.analyticsvidhya.com/blog/2021/02/introduction-to-machine-learning-for-absolute-beginners/" TargetMode="External"/><Relationship Id="rId733" Type="http://schemas.openxmlformats.org/officeDocument/2006/relationships/hyperlink" Target="https://hubs.li/H0H235F0" TargetMode="External"/><Relationship Id="rId940" Type="http://schemas.openxmlformats.org/officeDocument/2006/relationships/hyperlink" Target="http://www.edmontoncfa.ca/" TargetMode="External"/><Relationship Id="rId1016" Type="http://schemas.openxmlformats.org/officeDocument/2006/relationships/hyperlink" Target="https://pbs.twimg.com/media/Eu66EouVkAAfQ4K.png" TargetMode="External"/><Relationship Id="rId1570" Type="http://schemas.openxmlformats.org/officeDocument/2006/relationships/hyperlink" Target="http://www.emt.ae/" TargetMode="External"/><Relationship Id="rId2414" Type="http://schemas.openxmlformats.org/officeDocument/2006/relationships/hyperlink" Target="http://pic.twitter.com/nQk7bG8TKx" TargetMode="External"/><Relationship Id="rId2621" Type="http://schemas.openxmlformats.org/officeDocument/2006/relationships/hyperlink" Target="https://www.techradar.com/news/this-72-hour-hp-flash-sale-is-slashing-prices-on-a-massive-range-of-laptop-deals/" TargetMode="External"/><Relationship Id="rId800" Type="http://schemas.openxmlformats.org/officeDocument/2006/relationships/hyperlink" Target="https://pbs.twimg.com/media/Eu7D8mdXIAUo7jD.jpg" TargetMode="External"/><Relationship Id="rId1223" Type="http://schemas.openxmlformats.org/officeDocument/2006/relationships/hyperlink" Target="https://pbs.twimg.com/media/Eu6yOsfVEAMjE-3.jpg" TargetMode="External"/><Relationship Id="rId1430" Type="http://schemas.openxmlformats.org/officeDocument/2006/relationships/hyperlink" Target="https://github.com/davidrpugh" TargetMode="External"/><Relationship Id="rId3188" Type="http://schemas.openxmlformats.org/officeDocument/2006/relationships/hyperlink" Target="https://linktr.ee/mlearning" TargetMode="External"/><Relationship Id="rId3395" Type="http://schemas.openxmlformats.org/officeDocument/2006/relationships/hyperlink" Target="http://neurons.ai/" TargetMode="External"/><Relationship Id="rId4239" Type="http://schemas.openxmlformats.org/officeDocument/2006/relationships/hyperlink" Target="https://datasciencevault.com/" TargetMode="External"/><Relationship Id="rId3048" Type="http://schemas.openxmlformats.org/officeDocument/2006/relationships/hyperlink" Target="https://datasciencevault.com/" TargetMode="External"/><Relationship Id="rId3255" Type="http://schemas.openxmlformats.org/officeDocument/2006/relationships/hyperlink" Target="http://www.brainial.com/" TargetMode="External"/><Relationship Id="rId3462" Type="http://schemas.openxmlformats.org/officeDocument/2006/relationships/hyperlink" Target="https://pbs.twimg.com/media/Eu47QRCXEAAUhzN.jpg" TargetMode="External"/><Relationship Id="rId176" Type="http://schemas.openxmlformats.org/officeDocument/2006/relationships/hyperlink" Target="http://www.linkedin.com/in/gauravj49" TargetMode="External"/><Relationship Id="rId383" Type="http://schemas.openxmlformats.org/officeDocument/2006/relationships/hyperlink" Target="https://bit.ly/3aJilgr" TargetMode="External"/><Relationship Id="rId590" Type="http://schemas.openxmlformats.org/officeDocument/2006/relationships/hyperlink" Target="https://pbs.twimg.com/media/Eu7MXkTVkAM6cJk.png" TargetMode="External"/><Relationship Id="rId2064" Type="http://schemas.openxmlformats.org/officeDocument/2006/relationships/hyperlink" Target="http://pic.twitter.com/VCOiflonEO" TargetMode="External"/><Relationship Id="rId2271" Type="http://schemas.openxmlformats.org/officeDocument/2006/relationships/hyperlink" Target="https://www.linkedin.com/in/ludmilamorozova/" TargetMode="External"/><Relationship Id="rId3115" Type="http://schemas.openxmlformats.org/officeDocument/2006/relationships/hyperlink" Target="https://pbs.twimg.com/media/Eu5Xoo9XEAEjbPe.jpg" TargetMode="External"/><Relationship Id="rId3322" Type="http://schemas.openxmlformats.org/officeDocument/2006/relationships/hyperlink" Target="https://pbs.twimg.com/media/Eu5J53iXEAASQc4.png" TargetMode="External"/><Relationship Id="rId243" Type="http://schemas.openxmlformats.org/officeDocument/2006/relationships/hyperlink" Target="https://the-tech-trend.com/" TargetMode="External"/><Relationship Id="rId450" Type="http://schemas.openxmlformats.org/officeDocument/2006/relationships/hyperlink" Target="https://pbs.twimg.com/media/Eu7SJKEXEAYWvAs.jpg" TargetMode="External"/><Relationship Id="rId1080" Type="http://schemas.openxmlformats.org/officeDocument/2006/relationships/hyperlink" Target="http://www.synapps.it/" TargetMode="External"/><Relationship Id="rId2131" Type="http://schemas.openxmlformats.org/officeDocument/2006/relationships/hyperlink" Target="https://bit.ly/3bAVbYZ" TargetMode="External"/><Relationship Id="rId103" Type="http://schemas.openxmlformats.org/officeDocument/2006/relationships/hyperlink" Target="https://buff.ly/3azOFlO" TargetMode="External"/><Relationship Id="rId310" Type="http://schemas.openxmlformats.org/officeDocument/2006/relationships/hyperlink" Target="https://www.forbes.com/sites/charliefink/2021/02/23/qualcomm-accelerates-ar-with-new-smart-viewer/?sh=f4567572737f" TargetMode="External"/><Relationship Id="rId4096" Type="http://schemas.openxmlformats.org/officeDocument/2006/relationships/hyperlink" Target="https://www.kdnuggets.com/2021/02/approaching-almost-any-machine-learning-problem.html" TargetMode="External"/><Relationship Id="rId1897" Type="http://schemas.openxmlformats.org/officeDocument/2006/relationships/hyperlink" Target="https://lnkd.in/ddWabXv" TargetMode="External"/><Relationship Id="rId2948" Type="http://schemas.openxmlformats.org/officeDocument/2006/relationships/hyperlink" Target="https://www.youtube.com/watch?v=EaMkUDVR21Y" TargetMode="External"/><Relationship Id="rId1757" Type="http://schemas.openxmlformats.org/officeDocument/2006/relationships/hyperlink" Target="http://ow.ly/BGrz30ry2hI" TargetMode="External"/><Relationship Id="rId1964" Type="http://schemas.openxmlformats.org/officeDocument/2006/relationships/hyperlink" Target="https://via.socxo.net/m5NjSmzFvKpu3" TargetMode="External"/><Relationship Id="rId2808" Type="http://schemas.openxmlformats.org/officeDocument/2006/relationships/hyperlink" Target="https://pbs.twimg.com/media/Eu5kUXcXIAEkAbx.jpg" TargetMode="External"/><Relationship Id="rId4163" Type="http://schemas.openxmlformats.org/officeDocument/2006/relationships/hyperlink" Target="https://twitter.com/joaoleitao/status/1363769125722554372" TargetMode="External"/><Relationship Id="rId49" Type="http://schemas.openxmlformats.org/officeDocument/2006/relationships/hyperlink" Target="http://yield-farm.com/" TargetMode="External"/><Relationship Id="rId1617" Type="http://schemas.openxmlformats.org/officeDocument/2006/relationships/hyperlink" Target="https://pbs.twimg.com/media/Eu6fdPKXAAE92lz.jpg" TargetMode="External"/><Relationship Id="rId1824" Type="http://schemas.openxmlformats.org/officeDocument/2006/relationships/hyperlink" Target="https://www.linkedin.com/in/michael-cavaretta-ph-d-795a965" TargetMode="External"/><Relationship Id="rId4023" Type="http://schemas.openxmlformats.org/officeDocument/2006/relationships/hyperlink" Target="https://pbs.twimg.com/media/Eu4D-KjVEAQ8o7U.jpg" TargetMode="External"/><Relationship Id="rId4230" Type="http://schemas.openxmlformats.org/officeDocument/2006/relationships/hyperlink" Target="https://www.itviconsultants.com/" TargetMode="External"/><Relationship Id="rId3789" Type="http://schemas.openxmlformats.org/officeDocument/2006/relationships/hyperlink" Target="http://www.jasonmpittman.com/" TargetMode="External"/><Relationship Id="rId2598" Type="http://schemas.openxmlformats.org/officeDocument/2006/relationships/hyperlink" Target="http://www.lyrium.co/" TargetMode="External"/><Relationship Id="rId3996" Type="http://schemas.openxmlformats.org/officeDocument/2006/relationships/hyperlink" Target="http://frankvtaylor.com/" TargetMode="External"/><Relationship Id="rId3649" Type="http://schemas.openxmlformats.org/officeDocument/2006/relationships/hyperlink" Target="https://pbs.twimg.com/media/Eu4q_-cUYAIiZNA.png" TargetMode="External"/><Relationship Id="rId3856" Type="http://schemas.openxmlformats.org/officeDocument/2006/relationships/hyperlink" Target="http://www.margarisventures.com/" TargetMode="External"/><Relationship Id="rId777" Type="http://schemas.openxmlformats.org/officeDocument/2006/relationships/hyperlink" Target="https://bit.ly/3aMyDVY" TargetMode="External"/><Relationship Id="rId984" Type="http://schemas.openxmlformats.org/officeDocument/2006/relationships/hyperlink" Target="http://ow.ly/ET0730rxVI5" TargetMode="External"/><Relationship Id="rId2458" Type="http://schemas.openxmlformats.org/officeDocument/2006/relationships/hyperlink" Target="https://neurons.ai/blog/news-stories/data-digest-explaining-streamlining-and-selecting-machine-learning-models/" TargetMode="External"/><Relationship Id="rId2665" Type="http://schemas.openxmlformats.org/officeDocument/2006/relationships/hyperlink" Target="http://bit.ly/2Zw6sFU" TargetMode="External"/><Relationship Id="rId2872" Type="http://schemas.openxmlformats.org/officeDocument/2006/relationships/hyperlink" Target="https://www.linkedin.com/in/iainljbrown/" TargetMode="External"/><Relationship Id="rId3509" Type="http://schemas.openxmlformats.org/officeDocument/2006/relationships/hyperlink" Target="https://www.monash.edu/it/dsai/machine-learning/research-projects/analysis-of-social-media-for-socia" TargetMode="External"/><Relationship Id="rId3716" Type="http://schemas.openxmlformats.org/officeDocument/2006/relationships/hyperlink" Target="https://bit.ly/3buEkqr" TargetMode="External"/><Relationship Id="rId3923" Type="http://schemas.openxmlformats.org/officeDocument/2006/relationships/hyperlink" Target="https://www.youtube.com/channel/UCWCR-8Dphul-9zp2feRVIlQ" TargetMode="External"/><Relationship Id="rId637" Type="http://schemas.openxmlformats.org/officeDocument/2006/relationships/hyperlink" Target="http://jimczuprynski.wordpress.com/" TargetMode="External"/><Relationship Id="rId844" Type="http://schemas.openxmlformats.org/officeDocument/2006/relationships/hyperlink" Target="https://khalil-o.medium.com/machine-learning-iris-data-set-27aefe52a665" TargetMode="External"/><Relationship Id="rId1267" Type="http://schemas.openxmlformats.org/officeDocument/2006/relationships/hyperlink" Target="https://www.weforum.org/agenda/2021/02/study-robots-service-sector-japan/" TargetMode="External"/><Relationship Id="rId1474" Type="http://schemas.openxmlformats.org/officeDocument/2006/relationships/hyperlink" Target="http://amp.gs/QjFE" TargetMode="External"/><Relationship Id="rId1681" Type="http://schemas.openxmlformats.org/officeDocument/2006/relationships/hyperlink" Target="http://www.zerone-consulting.com/" TargetMode="External"/><Relationship Id="rId2318" Type="http://schemas.openxmlformats.org/officeDocument/2006/relationships/hyperlink" Target="http://www.fisheyebox.com/" TargetMode="External"/><Relationship Id="rId2525" Type="http://schemas.openxmlformats.org/officeDocument/2006/relationships/hyperlink" Target="http://ghostwriter.ai/" TargetMode="External"/><Relationship Id="rId2732" Type="http://schemas.openxmlformats.org/officeDocument/2006/relationships/hyperlink" Target="http://racpro.blogspot.com/" TargetMode="External"/><Relationship Id="rId704" Type="http://schemas.openxmlformats.org/officeDocument/2006/relationships/hyperlink" Target="http://ow.ly/tQZP50DHbYb" TargetMode="External"/><Relationship Id="rId911" Type="http://schemas.openxmlformats.org/officeDocument/2006/relationships/hyperlink" Target="https://www.sciencedaily.com/releases/2021/02/210212094120.htm" TargetMode="External"/><Relationship Id="rId1127" Type="http://schemas.openxmlformats.org/officeDocument/2006/relationships/hyperlink" Target="https://pbs.twimg.com/media/Eu62aADXEAMu-s2.jpg" TargetMode="External"/><Relationship Id="rId1334" Type="http://schemas.openxmlformats.org/officeDocument/2006/relationships/hyperlink" Target="https://hyspeedcomputing.com/" TargetMode="External"/><Relationship Id="rId1541" Type="http://schemas.openxmlformats.org/officeDocument/2006/relationships/hyperlink" Target="https://pbs.twimg.com/media/Eu6jJi3UUAI-XAU.jpg" TargetMode="External"/><Relationship Id="rId40" Type="http://schemas.openxmlformats.org/officeDocument/2006/relationships/hyperlink" Target="https://buff.ly/3t5UPS4" TargetMode="External"/><Relationship Id="rId1401" Type="http://schemas.openxmlformats.org/officeDocument/2006/relationships/hyperlink" Target="http://ow.ly/DaKh50DHk6z" TargetMode="External"/><Relationship Id="rId3299" Type="http://schemas.openxmlformats.org/officeDocument/2006/relationships/hyperlink" Target="http://pic.twitter.com/n6XJ3lqqoC" TargetMode="External"/><Relationship Id="rId3159" Type="http://schemas.openxmlformats.org/officeDocument/2006/relationships/hyperlink" Target="https://lnkd.in/g_JWiEY" TargetMode="External"/><Relationship Id="rId3366" Type="http://schemas.openxmlformats.org/officeDocument/2006/relationships/hyperlink" Target="https://pbs.twimg.com/media/Eu5BQ2yVcAArcID.jpg" TargetMode="External"/><Relationship Id="rId3573" Type="http://schemas.openxmlformats.org/officeDocument/2006/relationships/hyperlink" Target="http://bit.ly/2QVn4k5" TargetMode="External"/><Relationship Id="rId287" Type="http://schemas.openxmlformats.org/officeDocument/2006/relationships/hyperlink" Target="http://www.dataworkout.com/" TargetMode="External"/><Relationship Id="rId494" Type="http://schemas.openxmlformats.org/officeDocument/2006/relationships/hyperlink" Target="https://www.frontiersin.org/articles/10.3389/fmicb.2021.634511/full" TargetMode="External"/><Relationship Id="rId2175" Type="http://schemas.openxmlformats.org/officeDocument/2006/relationships/hyperlink" Target="https://bit.ly/36Kwndi" TargetMode="External"/><Relationship Id="rId2382" Type="http://schemas.openxmlformats.org/officeDocument/2006/relationships/hyperlink" Target="https://cutt.ly/glzsP5P" TargetMode="External"/><Relationship Id="rId3019" Type="http://schemas.openxmlformats.org/officeDocument/2006/relationships/hyperlink" Target="http://www.networks.imdea.org/" TargetMode="External"/><Relationship Id="rId3226" Type="http://schemas.openxmlformats.org/officeDocument/2006/relationships/hyperlink" Target="http://pic.twitter.com/dL9dBXsq0O" TargetMode="External"/><Relationship Id="rId3780" Type="http://schemas.openxmlformats.org/officeDocument/2006/relationships/hyperlink" Target="https://fcld.ly/9uvkjbi" TargetMode="External"/><Relationship Id="rId147" Type="http://schemas.openxmlformats.org/officeDocument/2006/relationships/hyperlink" Target="https://pbs.twimg.com/media/Eu7erfUXUAANOIJ.jpg" TargetMode="External"/><Relationship Id="rId354" Type="http://schemas.openxmlformats.org/officeDocument/2006/relationships/hyperlink" Target="https://pbs.twimg.com/media/Eu7Ve2ZVcAEQTtR.jpg" TargetMode="External"/><Relationship Id="rId1191" Type="http://schemas.openxmlformats.org/officeDocument/2006/relationships/hyperlink" Target="http://ipfconline.fr/contacts-eng.html" TargetMode="External"/><Relationship Id="rId2035" Type="http://schemas.openxmlformats.org/officeDocument/2006/relationships/hyperlink" Target="http://www.linkedin.com/in/haroldsinnott/" TargetMode="External"/><Relationship Id="rId3433" Type="http://schemas.openxmlformats.org/officeDocument/2006/relationships/hyperlink" Target="https://www.eventbrite.co.uk/e/what-its-like-to-be-a-data-scientist-tickets-136944090461?aff=ebdsoporgprofile" TargetMode="External"/><Relationship Id="rId3640" Type="http://schemas.openxmlformats.org/officeDocument/2006/relationships/hyperlink" Target="https://lnkd.in/gB4XrYY" TargetMode="External"/><Relationship Id="rId561" Type="http://schemas.openxmlformats.org/officeDocument/2006/relationships/hyperlink" Target="https://www.programming-hero.com/" TargetMode="External"/><Relationship Id="rId2242" Type="http://schemas.openxmlformats.org/officeDocument/2006/relationships/hyperlink" Target="https://www.insofe.edu.in/certification/msc-in-artificial-intelligence-and-machine-learning-ops.html" TargetMode="External"/><Relationship Id="rId3500" Type="http://schemas.openxmlformats.org/officeDocument/2006/relationships/hyperlink" Target="http://www.margarisventures.com/" TargetMode="External"/><Relationship Id="rId214" Type="http://schemas.openxmlformats.org/officeDocument/2006/relationships/hyperlink" Target="https://pbs.twimg.com/media/Eu7a-VPWQAMDUrh.jpg" TargetMode="External"/><Relationship Id="rId421" Type="http://schemas.openxmlformats.org/officeDocument/2006/relationships/hyperlink" Target="https://www.journeyhero.net/technology/" TargetMode="External"/><Relationship Id="rId1051" Type="http://schemas.openxmlformats.org/officeDocument/2006/relationships/hyperlink" Target="https://forms.gle/RNjWZX3abtnCXMvf6" TargetMode="External"/><Relationship Id="rId2102" Type="http://schemas.openxmlformats.org/officeDocument/2006/relationships/hyperlink" Target="https://jobhunt.ai/" TargetMode="External"/><Relationship Id="rId1868" Type="http://schemas.openxmlformats.org/officeDocument/2006/relationships/hyperlink" Target="https://tryviumdesk.sensiple.com/" TargetMode="External"/><Relationship Id="rId4067" Type="http://schemas.openxmlformats.org/officeDocument/2006/relationships/hyperlink" Target="https://pbs.twimg.com/media/Eu3-9QkWgAMEviq.png" TargetMode="External"/><Relationship Id="rId4274" Type="http://schemas.openxmlformats.org/officeDocument/2006/relationships/hyperlink" Target="https://buff.ly/2CNPlW9" TargetMode="External"/><Relationship Id="rId2919" Type="http://schemas.openxmlformats.org/officeDocument/2006/relationships/hyperlink" Target="https://bit.ly/3bA8d8Q" TargetMode="External"/><Relationship Id="rId3083" Type="http://schemas.openxmlformats.org/officeDocument/2006/relationships/hyperlink" Target="https://pbs.twimg.com/media/Eu5Yx0RXcAAtIYJ.jpg" TargetMode="External"/><Relationship Id="rId3290" Type="http://schemas.openxmlformats.org/officeDocument/2006/relationships/hyperlink" Target="https://pbs.twimg.com/media/Eu5MQF4WgAA7R_b.jpg" TargetMode="External"/><Relationship Id="rId4134" Type="http://schemas.openxmlformats.org/officeDocument/2006/relationships/hyperlink" Target="https://www.patreon.com/user?u=49159547&amp;fan_landing=true" TargetMode="External"/><Relationship Id="rId1728" Type="http://schemas.openxmlformats.org/officeDocument/2006/relationships/hyperlink" Target="https://www.networkworld.com/article/3574910/edge-computing-the-next-generation-of-innovation.html" TargetMode="External"/><Relationship Id="rId1935" Type="http://schemas.openxmlformats.org/officeDocument/2006/relationships/hyperlink" Target="https://www.forbes.com/sites/evansparks/2021/02/10/four-predictions-for-artificial-intelligence-and-machine-learning-in-2021/" TargetMode="External"/><Relationship Id="rId3150" Type="http://schemas.openxmlformats.org/officeDocument/2006/relationships/hyperlink" Target="https://lnkd.in/dMXZ2uV" TargetMode="External"/><Relationship Id="rId4201" Type="http://schemas.openxmlformats.org/officeDocument/2006/relationships/hyperlink" Target="https://berkeley.catalog.instructure.com/courses/joint-initiative-for-causal-inference-webinar" TargetMode="External"/><Relationship Id="rId3010" Type="http://schemas.openxmlformats.org/officeDocument/2006/relationships/hyperlink" Target="https://ift.tt/2NDGITs" TargetMode="External"/><Relationship Id="rId3967" Type="http://schemas.openxmlformats.org/officeDocument/2006/relationships/hyperlink" Target="https://pbs.twimg.com/media/Eu4IHWIVcAUeA9n.jpg" TargetMode="External"/><Relationship Id="rId4" Type="http://schemas.openxmlformats.org/officeDocument/2006/relationships/hyperlink" Target="https://www.youtube.com/channel/UChyDkl0l6W4VebsaKSW2sDw" TargetMode="External"/><Relationship Id="rId888" Type="http://schemas.openxmlformats.org/officeDocument/2006/relationships/hyperlink" Target="https://pbs.twimg.com/media/Eu7A6w5XAAA3rYG.jpg" TargetMode="External"/><Relationship Id="rId2569" Type="http://schemas.openxmlformats.org/officeDocument/2006/relationships/hyperlink" Target="https://amzn.to/3aHVPEH" TargetMode="External"/><Relationship Id="rId2776" Type="http://schemas.openxmlformats.org/officeDocument/2006/relationships/hyperlink" Target="https://bit.ly/3umvaVA" TargetMode="External"/><Relationship Id="rId2983" Type="http://schemas.openxmlformats.org/officeDocument/2006/relationships/hyperlink" Target="http://careers.criteo.com/working-in-R&amp;D" TargetMode="External"/><Relationship Id="rId3827" Type="http://schemas.openxmlformats.org/officeDocument/2006/relationships/hyperlink" Target="https://prn.to/2ZliSyr" TargetMode="External"/><Relationship Id="rId748" Type="http://schemas.openxmlformats.org/officeDocument/2006/relationships/hyperlink" Target="http://www.skyl.ai/" TargetMode="External"/><Relationship Id="rId955" Type="http://schemas.openxmlformats.org/officeDocument/2006/relationships/hyperlink" Target="https://pbs.twimg.com/media/Eu69iQaXcAo44Uu.png" TargetMode="External"/><Relationship Id="rId1378" Type="http://schemas.openxmlformats.org/officeDocument/2006/relationships/hyperlink" Target="http://www.smartlogic.com/" TargetMode="External"/><Relationship Id="rId1585" Type="http://schemas.openxmlformats.org/officeDocument/2006/relationships/hyperlink" Target="https://pbs.twimg.com/media/Eu6cCIpXEAUbqqZ.jpg" TargetMode="External"/><Relationship Id="rId1792" Type="http://schemas.openxmlformats.org/officeDocument/2006/relationships/hyperlink" Target="https://buff.ly/2MGcI90" TargetMode="External"/><Relationship Id="rId2429" Type="http://schemas.openxmlformats.org/officeDocument/2006/relationships/hyperlink" Target="https://pbs.twimg.com/media/Eu5NBbkU4AAUCJL.jpg" TargetMode="External"/><Relationship Id="rId2636" Type="http://schemas.openxmlformats.org/officeDocument/2006/relationships/hyperlink" Target="https://pbs.twimg.com/media/Eu5U0LCXYAIfBpX.jpg" TargetMode="External"/><Relationship Id="rId2843" Type="http://schemas.openxmlformats.org/officeDocument/2006/relationships/hyperlink" Target="http://pic.twitter.com/jWeLJkUyrA" TargetMode="External"/><Relationship Id="rId84" Type="http://schemas.openxmlformats.org/officeDocument/2006/relationships/hyperlink" Target="http://www.youtube.com/channel/UCxsSHt_xJriRkYNv2LoiCyw" TargetMode="External"/><Relationship Id="rId608" Type="http://schemas.openxmlformats.org/officeDocument/2006/relationships/hyperlink" Target="https://pbs.twimg.com/media/Eu7LiIvXcAAQoDc.jpg" TargetMode="External"/><Relationship Id="rId815" Type="http://schemas.openxmlformats.org/officeDocument/2006/relationships/hyperlink" Target="https://neurons.ai/blog/news-stories/machine-learning-operationalization-software-market-segmented-by-product-top-manufacturers-2/" TargetMode="External"/><Relationship Id="rId1238" Type="http://schemas.openxmlformats.org/officeDocument/2006/relationships/hyperlink" Target="https://www.programming-hero.com/" TargetMode="External"/><Relationship Id="rId1445" Type="http://schemas.openxmlformats.org/officeDocument/2006/relationships/hyperlink" Target="https://www.jucktion.com/forum/udemy-coupon/practical-regression-analysis-in-r-59-99-to-free-ai-cloudcomputing-ml-programmin/" TargetMode="External"/><Relationship Id="rId1652" Type="http://schemas.openxmlformats.org/officeDocument/2006/relationships/hyperlink" Target="https://bmcbioinformatics.biomedcentral.com/articles/10.1186/s12859-021-04011-z" TargetMode="External"/><Relationship Id="rId1305" Type="http://schemas.openxmlformats.org/officeDocument/2006/relationships/hyperlink" Target="https://medium.com/@jrodthoughts" TargetMode="External"/><Relationship Id="rId2703" Type="http://schemas.openxmlformats.org/officeDocument/2006/relationships/hyperlink" Target="http://www.universityworldnews.com/" TargetMode="External"/><Relationship Id="rId2910" Type="http://schemas.openxmlformats.org/officeDocument/2006/relationships/hyperlink" Target="https://www.linkedin.com/in/serinenazaryan/" TargetMode="External"/><Relationship Id="rId1512" Type="http://schemas.openxmlformats.org/officeDocument/2006/relationships/hyperlink" Target="https://pbs.twimg.com/media/Eu6kSMEWgAEKd-w.jpg" TargetMode="External"/><Relationship Id="rId11" Type="http://schemas.openxmlformats.org/officeDocument/2006/relationships/hyperlink" Target="https://techcrunch.com/2021/02/23/ag-monitoring-startup-flurostat-merges-with-soil-carbon-expert-dagan-to-form-regrow/?utm_source=dlvr.it&amp;utm_medium=twitter" TargetMode="External"/><Relationship Id="rId398" Type="http://schemas.openxmlformats.org/officeDocument/2006/relationships/hyperlink" Target="http://www.nature.com/natcancer" TargetMode="External"/><Relationship Id="rId2079" Type="http://schemas.openxmlformats.org/officeDocument/2006/relationships/hyperlink" Target="https://liwaiwai.com/2021/02/10/how-artificial-intelligence-is-reshaping-the-it-industry/" TargetMode="External"/><Relationship Id="rId3477" Type="http://schemas.openxmlformats.org/officeDocument/2006/relationships/hyperlink" Target="http://mainly.fun/" TargetMode="External"/><Relationship Id="rId3684" Type="http://schemas.openxmlformats.org/officeDocument/2006/relationships/hyperlink" Target="https://www.engadget.com/facebook-bans-myawaddy-tv-station-171950609.html" TargetMode="External"/><Relationship Id="rId3891" Type="http://schemas.openxmlformats.org/officeDocument/2006/relationships/hyperlink" Target="https://bigdata-madesimple.com/big-data-battling-child-abuse" TargetMode="External"/><Relationship Id="rId2286" Type="http://schemas.openxmlformats.org/officeDocument/2006/relationships/hyperlink" Target="https://www.linkedin.com/today/author/sanjay-das-2071872" TargetMode="External"/><Relationship Id="rId2493" Type="http://schemas.openxmlformats.org/officeDocument/2006/relationships/hyperlink" Target="https://bit.ly/2w2Zdsg" TargetMode="External"/><Relationship Id="rId3337" Type="http://schemas.openxmlformats.org/officeDocument/2006/relationships/hyperlink" Target="https://pbs.twimg.com/media/Eu5IxL3XIAE2LUn.jpg" TargetMode="External"/><Relationship Id="rId3544" Type="http://schemas.openxmlformats.org/officeDocument/2006/relationships/hyperlink" Target="https://sites.google.com/view/21enohpi/home" TargetMode="External"/><Relationship Id="rId3751" Type="http://schemas.openxmlformats.org/officeDocument/2006/relationships/hyperlink" Target="https://github.com/HipsterSantos" TargetMode="External"/><Relationship Id="rId258" Type="http://schemas.openxmlformats.org/officeDocument/2006/relationships/hyperlink" Target="https://pbs.twimg.com/media/Eu7ZpgoVcAMEUb8.jpg" TargetMode="External"/><Relationship Id="rId465" Type="http://schemas.openxmlformats.org/officeDocument/2006/relationships/hyperlink" Target="https://www.freeag8.com/" TargetMode="External"/><Relationship Id="rId672" Type="http://schemas.openxmlformats.org/officeDocument/2006/relationships/hyperlink" Target="https://towardsdatascience.com/data-science-learning-roadmap-for-2021-84f2ba09a44f" TargetMode="External"/><Relationship Id="rId1095" Type="http://schemas.openxmlformats.org/officeDocument/2006/relationships/hyperlink" Target="https://pbs.twimg.com/media/Eu6271MXMAA2_xa.jpg" TargetMode="External"/><Relationship Id="rId2146" Type="http://schemas.openxmlformats.org/officeDocument/2006/relationships/hyperlink" Target="https://smebook.eu/knowledge-base/early-stage-startups/what-mistakes-should-you-avoid-when-hiring-for-an/" TargetMode="External"/><Relationship Id="rId2353" Type="http://schemas.openxmlformats.org/officeDocument/2006/relationships/hyperlink" Target="https://pbs.twimg.com/media/Eu588PwXUAMAFKK.jpg" TargetMode="External"/><Relationship Id="rId2560" Type="http://schemas.openxmlformats.org/officeDocument/2006/relationships/hyperlink" Target="https://technative.io/the-fintech-future-accelerating-the-ai-ml-journey/" TargetMode="External"/><Relationship Id="rId3404" Type="http://schemas.openxmlformats.org/officeDocument/2006/relationships/hyperlink" Target="http://ipfconline.fr/contacts-eng.html" TargetMode="External"/><Relationship Id="rId3611" Type="http://schemas.openxmlformats.org/officeDocument/2006/relationships/hyperlink" Target="https://pbs.twimg.com/media/Eu4vnRdVoAU1nyr.jpg" TargetMode="External"/><Relationship Id="rId118" Type="http://schemas.openxmlformats.org/officeDocument/2006/relationships/hyperlink" Target="https://towardsdatascience.com/numbers-can-lie-3474e0efa1e1" TargetMode="External"/><Relationship Id="rId325" Type="http://schemas.openxmlformats.org/officeDocument/2006/relationships/hyperlink" Target="https://thedatascientist.com/about-dr-stylianos-stelios-kampakis/" TargetMode="External"/><Relationship Id="rId532" Type="http://schemas.openxmlformats.org/officeDocument/2006/relationships/hyperlink" Target="https://www.linkedin.com/in/colinrbristow/" TargetMode="External"/><Relationship Id="rId1162" Type="http://schemas.openxmlformats.org/officeDocument/2006/relationships/hyperlink" Target="http://www.quantuniversity.com/" TargetMode="External"/><Relationship Id="rId2006" Type="http://schemas.openxmlformats.org/officeDocument/2006/relationships/hyperlink" Target="https://www.mdpi.com/2072-4292/12/12/1986/htm" TargetMode="External"/><Relationship Id="rId2213" Type="http://schemas.openxmlformats.org/officeDocument/2006/relationships/hyperlink" Target="https://radwell.link/39i8Jsc" TargetMode="External"/><Relationship Id="rId2420" Type="http://schemas.openxmlformats.org/officeDocument/2006/relationships/hyperlink" Target="https://www.linkedin.com/pulse/machine-learning-y-el-negocio-asegurador-antonio-barriendos-sol%25C3%25A9/" TargetMode="External"/><Relationship Id="rId1022" Type="http://schemas.openxmlformats.org/officeDocument/2006/relationships/hyperlink" Target="https://www.aujas.com/" TargetMode="External"/><Relationship Id="rId4178" Type="http://schemas.openxmlformats.org/officeDocument/2006/relationships/hyperlink" Target="http://xn--009h.blogspot.com" TargetMode="External"/><Relationship Id="rId1979" Type="http://schemas.openxmlformats.org/officeDocument/2006/relationships/hyperlink" Target="http://pic.twitter.com/nEmPmWGDGW" TargetMode="External"/><Relationship Id="rId3194" Type="http://schemas.openxmlformats.org/officeDocument/2006/relationships/hyperlink" Target="https://pbs.twimg.com/media/Eu1od8rWgAUvRgl.png" TargetMode="External"/><Relationship Id="rId4038" Type="http://schemas.openxmlformats.org/officeDocument/2006/relationships/hyperlink" Target="https://ml.auckland.ac.nz/" TargetMode="External"/><Relationship Id="rId4245" Type="http://schemas.openxmlformats.org/officeDocument/2006/relationships/hyperlink" Target="https://twitter.com/zachking/status/1259231895004475393" TargetMode="External"/><Relationship Id="rId1839" Type="http://schemas.openxmlformats.org/officeDocument/2006/relationships/hyperlink" Target="http://www.corizance.com/" TargetMode="External"/><Relationship Id="rId3054" Type="http://schemas.openxmlformats.org/officeDocument/2006/relationships/hyperlink" Target="https://datasciencevault.com/" TargetMode="External"/><Relationship Id="rId182" Type="http://schemas.openxmlformats.org/officeDocument/2006/relationships/hyperlink" Target="https://informatics.wustl.edu/" TargetMode="External"/><Relationship Id="rId1906" Type="http://schemas.openxmlformats.org/officeDocument/2006/relationships/hyperlink" Target="http://pic.twitter.com/rdpN1lJhKf" TargetMode="External"/><Relationship Id="rId3261" Type="http://schemas.openxmlformats.org/officeDocument/2006/relationships/hyperlink" Target="https://www.theverge.com/2020/12/20/22191951/fall-guys-ninja-skin-now-available-mediatonic-crowns-charity" TargetMode="External"/><Relationship Id="rId4105" Type="http://schemas.openxmlformats.org/officeDocument/2006/relationships/hyperlink" Target="https://pub.towardsai.net/" TargetMode="External"/><Relationship Id="rId2070" Type="http://schemas.openxmlformats.org/officeDocument/2006/relationships/hyperlink" Target="https://bit.ly/3aKBGxA" TargetMode="External"/><Relationship Id="rId3121" Type="http://schemas.openxmlformats.org/officeDocument/2006/relationships/hyperlink" Target="https://www.youtube.com/channel/UCklYFlwYOxUPougzY1ck4uA?sub_confirmation=1" TargetMode="External"/><Relationship Id="rId999" Type="http://schemas.openxmlformats.org/officeDocument/2006/relationships/hyperlink" Target="http://www.js.padoan.me/" TargetMode="External"/><Relationship Id="rId2887" Type="http://schemas.openxmlformats.org/officeDocument/2006/relationships/hyperlink" Target="http://www.irits.org/irs10" TargetMode="External"/><Relationship Id="rId859" Type="http://schemas.openxmlformats.org/officeDocument/2006/relationships/hyperlink" Target="https://business-analytics-info.fr/" TargetMode="External"/><Relationship Id="rId1489" Type="http://schemas.openxmlformats.org/officeDocument/2006/relationships/hyperlink" Target="https://bit.ly/376Ecw0" TargetMode="External"/><Relationship Id="rId1696" Type="http://schemas.openxmlformats.org/officeDocument/2006/relationships/hyperlink" Target="http://www.linkedin.com/in/sandeep-sharma-00389755" TargetMode="External"/><Relationship Id="rId3938" Type="http://schemas.openxmlformats.org/officeDocument/2006/relationships/hyperlink" Target="https://www.netcarreiras.com.br/curriculo-suprimentos-114295" TargetMode="External"/><Relationship Id="rId1349" Type="http://schemas.openxmlformats.org/officeDocument/2006/relationships/hyperlink" Target="https://pbs.twimg.com/media/Eu6rLcdWQAgGymu.jpg" TargetMode="External"/><Relationship Id="rId2747" Type="http://schemas.openxmlformats.org/officeDocument/2006/relationships/hyperlink" Target="https://twitter.com/Theslimevids/status/1328517404436041729" TargetMode="External"/><Relationship Id="rId2954" Type="http://schemas.openxmlformats.org/officeDocument/2006/relationships/hyperlink" Target="https://www.israeldefense.co.il/en/node/48486" TargetMode="External"/><Relationship Id="rId719" Type="http://schemas.openxmlformats.org/officeDocument/2006/relationships/hyperlink" Target="http://dlvr.it/RtKFbf" TargetMode="External"/><Relationship Id="rId926" Type="http://schemas.openxmlformats.org/officeDocument/2006/relationships/hyperlink" Target="https://ai.plainenglish.io/" TargetMode="External"/><Relationship Id="rId1556" Type="http://schemas.openxmlformats.org/officeDocument/2006/relationships/hyperlink" Target="https://bit.ly/2Ne51rg" TargetMode="External"/><Relationship Id="rId1763" Type="http://schemas.openxmlformats.org/officeDocument/2006/relationships/hyperlink" Target="https://www.linkedin.com/in/iainljbrown/" TargetMode="External"/><Relationship Id="rId1970" Type="http://schemas.openxmlformats.org/officeDocument/2006/relationships/hyperlink" Target="http://pic.twitter.com/QXFjNNdMhX" TargetMode="External"/><Relationship Id="rId2607" Type="http://schemas.openxmlformats.org/officeDocument/2006/relationships/hyperlink" Target="http://www.insofe.edu.in/" TargetMode="External"/><Relationship Id="rId2814" Type="http://schemas.openxmlformats.org/officeDocument/2006/relationships/hyperlink" Target="https://bit.ly/3umoSFE" TargetMode="External"/><Relationship Id="rId55" Type="http://schemas.openxmlformats.org/officeDocument/2006/relationships/hyperlink" Target="https://pbs.twimg.com/media/Eu7iHkPXYAYqYI_.jpg" TargetMode="External"/><Relationship Id="rId1209" Type="http://schemas.openxmlformats.org/officeDocument/2006/relationships/hyperlink" Target="http://cloudilab.com/" TargetMode="External"/><Relationship Id="rId1416" Type="http://schemas.openxmlformats.org/officeDocument/2006/relationships/hyperlink" Target="http://pic.twitter.com/rjWmqIlKqp" TargetMode="External"/><Relationship Id="rId1623" Type="http://schemas.openxmlformats.org/officeDocument/2006/relationships/hyperlink" Target="https://bit.ly/3qZrVlb" TargetMode="External"/><Relationship Id="rId1830" Type="http://schemas.openxmlformats.org/officeDocument/2006/relationships/hyperlink" Target="https://brianthomas.me/" TargetMode="External"/><Relationship Id="rId3588" Type="http://schemas.openxmlformats.org/officeDocument/2006/relationships/hyperlink" Target="http://katonic.ai/" TargetMode="External"/><Relationship Id="rId3795" Type="http://schemas.openxmlformats.org/officeDocument/2006/relationships/hyperlink" Target="http://pic.twitter.com/k1dEJ5wtNb" TargetMode="External"/><Relationship Id="rId2397" Type="http://schemas.openxmlformats.org/officeDocument/2006/relationships/hyperlink" Target="https://pbs.twimg.com/media/Eu54UtEXEAAvFJ2.png" TargetMode="External"/><Relationship Id="rId3448" Type="http://schemas.openxmlformats.org/officeDocument/2006/relationships/hyperlink" Target="https://teksands.ai/article/best-machine-learning-books-scripting-your-own-space-odyssey/" TargetMode="External"/><Relationship Id="rId3655" Type="http://schemas.openxmlformats.org/officeDocument/2006/relationships/hyperlink" Target="https://becominghuman.ai/machine-learning-concepts-every-data-scientist-should-know-4d70bed18a8a" TargetMode="External"/><Relationship Id="rId3862" Type="http://schemas.openxmlformats.org/officeDocument/2006/relationships/hyperlink" Target="https://buff.ly/3dvbRDD" TargetMode="External"/><Relationship Id="rId369" Type="http://schemas.openxmlformats.org/officeDocument/2006/relationships/hyperlink" Target="http://hearing.nihr.ac.uk/" TargetMode="External"/><Relationship Id="rId576" Type="http://schemas.openxmlformats.org/officeDocument/2006/relationships/hyperlink" Target="http://www.vircourses.com/" TargetMode="External"/><Relationship Id="rId783" Type="http://schemas.openxmlformats.org/officeDocument/2006/relationships/hyperlink" Target="https://www.vertica.com/" TargetMode="External"/><Relationship Id="rId990" Type="http://schemas.openxmlformats.org/officeDocument/2006/relationships/hyperlink" Target="https://pbs.twimg.com/media/Eu68Dt_XIAQ1dt_.jpg" TargetMode="External"/><Relationship Id="rId2257" Type="http://schemas.openxmlformats.org/officeDocument/2006/relationships/hyperlink" Target="https://bit.ly/3pJsfmA" TargetMode="External"/><Relationship Id="rId2464" Type="http://schemas.openxmlformats.org/officeDocument/2006/relationships/hyperlink" Target="https://www.microfocus.com/en-us/trend/security-risk-governance?utm_campaign=00164297" TargetMode="External"/><Relationship Id="rId2671" Type="http://schemas.openxmlformats.org/officeDocument/2006/relationships/hyperlink" Target="https://twitter.com/segundoatdell/status/1363915984009101314" TargetMode="External"/><Relationship Id="rId3308" Type="http://schemas.openxmlformats.org/officeDocument/2006/relationships/hyperlink" Target="https://www.paypal.me/Torilove82.com" TargetMode="External"/><Relationship Id="rId3515" Type="http://schemas.openxmlformats.org/officeDocument/2006/relationships/hyperlink" Target="https://www.bacancytechnology.com/blog/python-libraries-for-machine-learning" TargetMode="External"/><Relationship Id="rId229" Type="http://schemas.openxmlformats.org/officeDocument/2006/relationships/hyperlink" Target="https://amzn.to/3qZN91W" TargetMode="External"/><Relationship Id="rId436" Type="http://schemas.openxmlformats.org/officeDocument/2006/relationships/hyperlink" Target="http://zetane.com/" TargetMode="External"/><Relationship Id="rId643" Type="http://schemas.openxmlformats.org/officeDocument/2006/relationships/hyperlink" Target="http://www.jaisonjacob.com/" TargetMode="External"/><Relationship Id="rId1066" Type="http://schemas.openxmlformats.org/officeDocument/2006/relationships/hyperlink" Target="http://www.jeddababderrahim.ml/" TargetMode="External"/><Relationship Id="rId1273" Type="http://schemas.openxmlformats.org/officeDocument/2006/relationships/hyperlink" Target="https://pbs.twimg.com/media/Eu6unrOWYAct3sB.jpg" TargetMode="External"/><Relationship Id="rId1480" Type="http://schemas.openxmlformats.org/officeDocument/2006/relationships/hyperlink" Target="https://bit.ly/3dHWIPo" TargetMode="External"/><Relationship Id="rId2117" Type="http://schemas.openxmlformats.org/officeDocument/2006/relationships/hyperlink" Target="http://www.ifia.com/" TargetMode="External"/><Relationship Id="rId2324" Type="http://schemas.openxmlformats.org/officeDocument/2006/relationships/hyperlink" Target="https://vaarst.com/" TargetMode="External"/><Relationship Id="rId3722" Type="http://schemas.openxmlformats.org/officeDocument/2006/relationships/hyperlink" Target="https://www.getrevue.co/profile/olivier-salomon" TargetMode="External"/><Relationship Id="rId850" Type="http://schemas.openxmlformats.org/officeDocument/2006/relationships/hyperlink" Target="https://pub.towardsai.net/%E2%84%82-%E2%84%9D-62efb53acc8a?source=rss----98111c9905da---4?source=social.tw" TargetMode="External"/><Relationship Id="rId1133" Type="http://schemas.openxmlformats.org/officeDocument/2006/relationships/hyperlink" Target="https://pbs.twimg.com/media/Eu61-tJUUAoIXHY.png" TargetMode="External"/><Relationship Id="rId2531" Type="http://schemas.openxmlformats.org/officeDocument/2006/relationships/hyperlink" Target="http://www.cmcc.it/" TargetMode="External"/><Relationship Id="rId503" Type="http://schemas.openxmlformats.org/officeDocument/2006/relationships/hyperlink" Target="http://www.digindaily.com/?edition_id=292cdcf0-75f7-11eb-a5c8-0cc47a0d15fd" TargetMode="External"/><Relationship Id="rId710" Type="http://schemas.openxmlformats.org/officeDocument/2006/relationships/hyperlink" Target="https://pbs.twimg.com/media/Eu7HYFZXIAow0Y1.jpg" TargetMode="External"/><Relationship Id="rId1340" Type="http://schemas.openxmlformats.org/officeDocument/2006/relationships/hyperlink" Target="https://www.businessinsider.com/wall-street-technology-spend-cloud-ai-blockchain-budget-finance-2021-2" TargetMode="External"/><Relationship Id="rId3098" Type="http://schemas.openxmlformats.org/officeDocument/2006/relationships/hyperlink" Target="https://pbs.twimg.com/media/Eu5YjVPXcAQeUq2.jpg" TargetMode="External"/><Relationship Id="rId1200" Type="http://schemas.openxmlformats.org/officeDocument/2006/relationships/hyperlink" Target="https://builtin.com/data-science/data-literacy" TargetMode="External"/><Relationship Id="rId4149" Type="http://schemas.openxmlformats.org/officeDocument/2006/relationships/hyperlink" Target="https://www.linkedin.com/in/paulapiccard/" TargetMode="External"/><Relationship Id="rId3165" Type="http://schemas.openxmlformats.org/officeDocument/2006/relationships/hyperlink" Target="http://neurons.ai/" TargetMode="External"/><Relationship Id="rId3372" Type="http://schemas.openxmlformats.org/officeDocument/2006/relationships/hyperlink" Target="http://www.advatera.com/" TargetMode="External"/><Relationship Id="rId4009" Type="http://schemas.openxmlformats.org/officeDocument/2006/relationships/hyperlink" Target="https://pbs.twimg.com/media/Eu4EUmfWQAYN7Qy.jpg" TargetMode="External"/><Relationship Id="rId4216" Type="http://schemas.openxmlformats.org/officeDocument/2006/relationships/hyperlink" Target="http://pic.twitter.com/Iupj8RCfH4" TargetMode="External"/><Relationship Id="rId293" Type="http://schemas.openxmlformats.org/officeDocument/2006/relationships/hyperlink" Target="http://www.unfoldlabs.com/" TargetMode="External"/><Relationship Id="rId2181" Type="http://schemas.openxmlformats.org/officeDocument/2006/relationships/hyperlink" Target="https://towardsdatascience.com/how-to-effortlessly-optimize-jupyter-notebooks-e864162a06ee" TargetMode="External"/><Relationship Id="rId3025" Type="http://schemas.openxmlformats.org/officeDocument/2006/relationships/hyperlink" Target="http://www.awakenai.org/" TargetMode="External"/><Relationship Id="rId3232" Type="http://schemas.openxmlformats.org/officeDocument/2006/relationships/hyperlink" Target="https://pbs.twimg.com/media/Eu5PAEfVEAAwbb-.jpg" TargetMode="External"/><Relationship Id="rId153" Type="http://schemas.openxmlformats.org/officeDocument/2006/relationships/hyperlink" Target="https://cobadisec.com/" TargetMode="External"/><Relationship Id="rId360" Type="http://schemas.openxmlformats.org/officeDocument/2006/relationships/hyperlink" Target="https://www.npxinnovation.ca/thought-leadership" TargetMode="External"/><Relationship Id="rId2041" Type="http://schemas.openxmlformats.org/officeDocument/2006/relationships/hyperlink" Target="https://ift.tt/3aIeP5Q" TargetMode="External"/><Relationship Id="rId220" Type="http://schemas.openxmlformats.org/officeDocument/2006/relationships/hyperlink" Target="https://www.linkedin.com/in/colinrbristow/" TargetMode="External"/><Relationship Id="rId2998" Type="http://schemas.openxmlformats.org/officeDocument/2006/relationships/hyperlink" Target="http://htl.li/jnUu30ry0nK" TargetMode="External"/><Relationship Id="rId2858" Type="http://schemas.openxmlformats.org/officeDocument/2006/relationships/hyperlink" Target="https://ift.tt/3pO7wOm" TargetMode="External"/><Relationship Id="rId3909" Type="http://schemas.openxmlformats.org/officeDocument/2006/relationships/hyperlink" Target="http://www.gabosl.es/ourproducts" TargetMode="External"/><Relationship Id="rId4073" Type="http://schemas.openxmlformats.org/officeDocument/2006/relationships/hyperlink" Target="https://www.linkedin.com/in/craigbrownphd" TargetMode="External"/><Relationship Id="rId99" Type="http://schemas.openxmlformats.org/officeDocument/2006/relationships/hyperlink" Target="https://www.forbes.com/sites/forbestechcouncil/2020/08/25/despite-what-they-tell-you-the-prevention-of-cyberattacks-is-achievable/" TargetMode="External"/><Relationship Id="rId1667" Type="http://schemas.openxmlformats.org/officeDocument/2006/relationships/hyperlink" Target="https://pub.towardsai.net/understanding-functions-in-ai-d2fd52c72b37?source=rss----98111c9905da---4?source=social.tw" TargetMode="External"/><Relationship Id="rId1874" Type="http://schemas.openxmlformats.org/officeDocument/2006/relationships/hyperlink" Target="https://pbs.twimg.com/media/Eu6USCLU4Ac_MMT.jpg" TargetMode="External"/><Relationship Id="rId2718" Type="http://schemas.openxmlformats.org/officeDocument/2006/relationships/hyperlink" Target="https://www.linkedin.com/in/aleluciani/" TargetMode="External"/><Relationship Id="rId2925" Type="http://schemas.openxmlformats.org/officeDocument/2006/relationships/hyperlink" Target="https://realpython.com/python-api/" TargetMode="External"/><Relationship Id="rId1527" Type="http://schemas.openxmlformats.org/officeDocument/2006/relationships/hyperlink" Target="http://www.iac.cnr.it/" TargetMode="External"/><Relationship Id="rId1734" Type="http://schemas.openxmlformats.org/officeDocument/2006/relationships/hyperlink" Target="https://hubs.li/H0GRZCD0" TargetMode="External"/><Relationship Id="rId1941" Type="http://schemas.openxmlformats.org/officeDocument/2006/relationships/hyperlink" Target="https://bit.ly/37X1rt5" TargetMode="External"/><Relationship Id="rId4140" Type="http://schemas.openxmlformats.org/officeDocument/2006/relationships/hyperlink" Target="http://dlvr.it/RtGdWQ" TargetMode="External"/><Relationship Id="rId26" Type="http://schemas.openxmlformats.org/officeDocument/2006/relationships/hyperlink" Target="https://google.smh.re/200" TargetMode="External"/><Relationship Id="rId3699" Type="http://schemas.openxmlformats.org/officeDocument/2006/relationships/hyperlink" Target="https://www.henryharvin.com/" TargetMode="External"/><Relationship Id="rId4000" Type="http://schemas.openxmlformats.org/officeDocument/2006/relationships/hyperlink" Target="https://tinyurl.com/Steph-LinkedIn" TargetMode="External"/><Relationship Id="rId1801" Type="http://schemas.openxmlformats.org/officeDocument/2006/relationships/hyperlink" Target="https://pbs.twimg.com/media/Eu6YPvhWYAMKLo3.jpg" TargetMode="External"/><Relationship Id="rId3559" Type="http://schemas.openxmlformats.org/officeDocument/2006/relationships/hyperlink" Target="https://developer.nexmo.com/" TargetMode="External"/><Relationship Id="rId687" Type="http://schemas.openxmlformats.org/officeDocument/2006/relationships/hyperlink" Target="http://techbusinessguide.com/" TargetMode="External"/><Relationship Id="rId2368" Type="http://schemas.openxmlformats.org/officeDocument/2006/relationships/hyperlink" Target="http://www.richardvanhooijdonk.com/" TargetMode="External"/><Relationship Id="rId3766" Type="http://schemas.openxmlformats.org/officeDocument/2006/relationships/hyperlink" Target="http://odsc.com/" TargetMode="External"/><Relationship Id="rId3973" Type="http://schemas.openxmlformats.org/officeDocument/2006/relationships/hyperlink" Target="http://www.margarisventures.com/" TargetMode="External"/><Relationship Id="rId894" Type="http://schemas.openxmlformats.org/officeDocument/2006/relationships/hyperlink" Target="https://bit.ly/3uAzK2S" TargetMode="External"/><Relationship Id="rId1177" Type="http://schemas.openxmlformats.org/officeDocument/2006/relationships/hyperlink" Target="https://pbs.twimg.com/media/Eu2_HDpXIAM0u3n.png" TargetMode="External"/><Relationship Id="rId2575" Type="http://schemas.openxmlformats.org/officeDocument/2006/relationships/hyperlink" Target="https://pbs.twimg.com/media/Eu5wq2vUUAAqkUo.jpg" TargetMode="External"/><Relationship Id="rId2782" Type="http://schemas.openxmlformats.org/officeDocument/2006/relationships/hyperlink" Target="https://www.linkedin.com/posts/kopjesland_ai-machinelearning-computational-activity-6769899042940993536-iIeJ" TargetMode="External"/><Relationship Id="rId3419" Type="http://schemas.openxmlformats.org/officeDocument/2006/relationships/hyperlink" Target="http://instagram.com/ml.india" TargetMode="External"/><Relationship Id="rId3626" Type="http://schemas.openxmlformats.org/officeDocument/2006/relationships/hyperlink" Target="http://neurons.ai/" TargetMode="External"/><Relationship Id="rId3833" Type="http://schemas.openxmlformats.org/officeDocument/2006/relationships/hyperlink" Target="https://buff.ly/3chtjLt" TargetMode="External"/><Relationship Id="rId547" Type="http://schemas.openxmlformats.org/officeDocument/2006/relationships/hyperlink" Target="https://pbs.twimg.com/media/Eu7N26WXUAEoBbP.png" TargetMode="External"/><Relationship Id="rId754" Type="http://schemas.openxmlformats.org/officeDocument/2006/relationships/hyperlink" Target="https://techflx.com/product-category/books/" TargetMode="External"/><Relationship Id="rId961" Type="http://schemas.openxmlformats.org/officeDocument/2006/relationships/hyperlink" Target="https://pbs.twimg.com/media/Eu1StanXEAABosf.jpg" TargetMode="External"/><Relationship Id="rId1384" Type="http://schemas.openxmlformats.org/officeDocument/2006/relationships/hyperlink" Target="https://paullopez.ai/" TargetMode="External"/><Relationship Id="rId1591" Type="http://schemas.openxmlformats.org/officeDocument/2006/relationships/hyperlink" Target="https://pbs.twimg.com/media/Eu6gXONXYAED2_-.jpg" TargetMode="External"/><Relationship Id="rId2228" Type="http://schemas.openxmlformats.org/officeDocument/2006/relationships/hyperlink" Target="http://www.gsoflog.de/" TargetMode="External"/><Relationship Id="rId2435" Type="http://schemas.openxmlformats.org/officeDocument/2006/relationships/hyperlink" Target="https://pbs.twimg.com/media/Eu54G-BUUAA8BrO.jpg" TargetMode="External"/><Relationship Id="rId2642" Type="http://schemas.openxmlformats.org/officeDocument/2006/relationships/hyperlink" Target="http://psi-k.net/jobs/phd-position-on-hydrogen-diffusion-along-dislocati-2/" TargetMode="External"/><Relationship Id="rId3900" Type="http://schemas.openxmlformats.org/officeDocument/2006/relationships/hyperlink" Target="http://www.facebook.com/bulgermedia" TargetMode="External"/><Relationship Id="rId90" Type="http://schemas.openxmlformats.org/officeDocument/2006/relationships/hyperlink" Target="https://paper.li/stratorob/1494514886?edition_id=80eca790-7601-11eb-a5c8-0cc47a0d15fd" TargetMode="External"/><Relationship Id="rId407" Type="http://schemas.openxmlformats.org/officeDocument/2006/relationships/hyperlink" Target="https://bit.ly/37FWEvS" TargetMode="External"/><Relationship Id="rId614" Type="http://schemas.openxmlformats.org/officeDocument/2006/relationships/hyperlink" Target="https://aster.cloud/programming/" TargetMode="External"/><Relationship Id="rId821" Type="http://schemas.openxmlformats.org/officeDocument/2006/relationships/hyperlink" Target="https://neurons.ai/blog/news-stories/machine-learning-in-manufacturing-market-next-big-thing-major-giants-dataiku-bosch-nvidia/" TargetMode="External"/><Relationship Id="rId1037" Type="http://schemas.openxmlformats.org/officeDocument/2006/relationships/hyperlink" Target="http://www.corizance.com/" TargetMode="External"/><Relationship Id="rId1244" Type="http://schemas.openxmlformats.org/officeDocument/2006/relationships/hyperlink" Target="http://www.thirdeyemedia.press/" TargetMode="External"/><Relationship Id="rId1451" Type="http://schemas.openxmlformats.org/officeDocument/2006/relationships/hyperlink" Target="http://www.linkedin.com/in/jamesg2006" TargetMode="External"/><Relationship Id="rId2502" Type="http://schemas.openxmlformats.org/officeDocument/2006/relationships/hyperlink" Target="https://bit.ly/3peDPWv" TargetMode="External"/><Relationship Id="rId1104" Type="http://schemas.openxmlformats.org/officeDocument/2006/relationships/hyperlink" Target="https://pbs.twimg.com/media/Eu62upwWgAM2nxD.jpg" TargetMode="External"/><Relationship Id="rId1311" Type="http://schemas.openxmlformats.org/officeDocument/2006/relationships/hyperlink" Target="https://zpy.io/2979bad3" TargetMode="External"/><Relationship Id="rId3069" Type="http://schemas.openxmlformats.org/officeDocument/2006/relationships/hyperlink" Target="http://www.awakenai.org/" TargetMode="External"/><Relationship Id="rId3276" Type="http://schemas.openxmlformats.org/officeDocument/2006/relationships/hyperlink" Target="http://neptune.ai/" TargetMode="External"/><Relationship Id="rId3483" Type="http://schemas.openxmlformats.org/officeDocument/2006/relationships/hyperlink" Target="https://lnkd.in/ggXFbxY" TargetMode="External"/><Relationship Id="rId3690" Type="http://schemas.openxmlformats.org/officeDocument/2006/relationships/hyperlink" Target="https://bit.ly/3bKPK9Z" TargetMode="External"/><Relationship Id="rId197" Type="http://schemas.openxmlformats.org/officeDocument/2006/relationships/hyperlink" Target="https://buff.ly/37yYcrt" TargetMode="External"/><Relationship Id="rId2085" Type="http://schemas.openxmlformats.org/officeDocument/2006/relationships/hyperlink" Target="http://brainkey.ai/" TargetMode="External"/><Relationship Id="rId2292" Type="http://schemas.openxmlformats.org/officeDocument/2006/relationships/hyperlink" Target="http://bit.ly/3pFXS0c" TargetMode="External"/><Relationship Id="rId3136" Type="http://schemas.openxmlformats.org/officeDocument/2006/relationships/hyperlink" Target="https://sprou.tt/1N1DMLH4AWf" TargetMode="External"/><Relationship Id="rId3343" Type="http://schemas.openxmlformats.org/officeDocument/2006/relationships/hyperlink" Target="https://exonomousid.com/" TargetMode="External"/><Relationship Id="rId264" Type="http://schemas.openxmlformats.org/officeDocument/2006/relationships/hyperlink" Target="http://ipfconline.fr/contacts-eng.html" TargetMode="External"/><Relationship Id="rId471" Type="http://schemas.openxmlformats.org/officeDocument/2006/relationships/hyperlink" Target="http://mlwhiz.com/" TargetMode="External"/><Relationship Id="rId2152" Type="http://schemas.openxmlformats.org/officeDocument/2006/relationships/hyperlink" Target="http://htl.li/vvcu30ry0oz" TargetMode="External"/><Relationship Id="rId3550" Type="http://schemas.openxmlformats.org/officeDocument/2006/relationships/hyperlink" Target="https://pbs.twimg.com/media/Eu40PL6VIAIvPrN.jpg" TargetMode="External"/><Relationship Id="rId124" Type="http://schemas.openxmlformats.org/officeDocument/2006/relationships/hyperlink" Target="https://pbs.twimg.com/media/Eu7f6KSWQAMh_QO.jpg" TargetMode="External"/><Relationship Id="rId3203" Type="http://schemas.openxmlformats.org/officeDocument/2006/relationships/hyperlink" Target="https://www.linkedin.com/in/lucian-andrei-119a3130/" TargetMode="External"/><Relationship Id="rId3410" Type="http://schemas.openxmlformats.org/officeDocument/2006/relationships/hyperlink" Target="http://linkedin.com/in/sidheshwar-pandhare-0a47b7110" TargetMode="External"/><Relationship Id="rId331" Type="http://schemas.openxmlformats.org/officeDocument/2006/relationships/hyperlink" Target="https://jelvix.com/blog/machine-learning-project-ideas" TargetMode="External"/><Relationship Id="rId2012" Type="http://schemas.openxmlformats.org/officeDocument/2006/relationships/hyperlink" Target="https://bit.ly/3eUdJEJ" TargetMode="External"/><Relationship Id="rId2969" Type="http://schemas.openxmlformats.org/officeDocument/2006/relationships/hyperlink" Target="https://pbs.twimg.com/media/Eu5ef4JXIAEgBvk.jpg" TargetMode="External"/><Relationship Id="rId1778" Type="http://schemas.openxmlformats.org/officeDocument/2006/relationships/hyperlink" Target="https://bit.ly/3dRbB2b" TargetMode="External"/><Relationship Id="rId1985" Type="http://schemas.openxmlformats.org/officeDocument/2006/relationships/hyperlink" Target="https://asterisminfosoft.com/" TargetMode="External"/><Relationship Id="rId2829" Type="http://schemas.openxmlformats.org/officeDocument/2006/relationships/hyperlink" Target="http://pic.twitter.com/dutn6fXMry" TargetMode="External"/><Relationship Id="rId4184" Type="http://schemas.openxmlformats.org/officeDocument/2006/relationships/hyperlink" Target="http://www.syncedreview.com/" TargetMode="External"/><Relationship Id="rId1638" Type="http://schemas.openxmlformats.org/officeDocument/2006/relationships/hyperlink" Target="https://pbs.twimg.com/media/Eu6eiZ0WYAAdDix.png" TargetMode="External"/><Relationship Id="rId4044" Type="http://schemas.openxmlformats.org/officeDocument/2006/relationships/hyperlink" Target="http://bitcoinhodler.ca/" TargetMode="External"/><Relationship Id="rId4251" Type="http://schemas.openxmlformats.org/officeDocument/2006/relationships/hyperlink" Target="https://bit.ly/3aLnRPM" TargetMode="External"/><Relationship Id="rId1845" Type="http://schemas.openxmlformats.org/officeDocument/2006/relationships/hyperlink" Target="https://crimacode.com/" TargetMode="External"/><Relationship Id="rId3060" Type="http://schemas.openxmlformats.org/officeDocument/2006/relationships/hyperlink" Target="https://empresas.blogthinkbig.com/criptografia-funcional-alternativa-cifrado-homomorfico-calculos-sobre-datos-cifrados/?tw4" TargetMode="External"/><Relationship Id="rId4111" Type="http://schemas.openxmlformats.org/officeDocument/2006/relationships/hyperlink" Target="https://www.raywang.org/" TargetMode="External"/><Relationship Id="rId1705" Type="http://schemas.openxmlformats.org/officeDocument/2006/relationships/hyperlink" Target="http://www.impetus.com/" TargetMode="External"/><Relationship Id="rId1912" Type="http://schemas.openxmlformats.org/officeDocument/2006/relationships/hyperlink" Target="https://youtu.be/q_ohzm8OcQ0" TargetMode="External"/><Relationship Id="rId3877" Type="http://schemas.openxmlformats.org/officeDocument/2006/relationships/hyperlink" Target="https://freehipwee.blogspot.com/2020/01/r-programming-advanced-analytics-in-r.html" TargetMode="External"/><Relationship Id="rId798" Type="http://schemas.openxmlformats.org/officeDocument/2006/relationships/hyperlink" Target="https://fave.co/39GBKOG" TargetMode="External"/><Relationship Id="rId2479" Type="http://schemas.openxmlformats.org/officeDocument/2006/relationships/hyperlink" Target="https://www.youtube.com/watch?v=E_gWr3_n7jg" TargetMode="External"/><Relationship Id="rId2686" Type="http://schemas.openxmlformats.org/officeDocument/2006/relationships/hyperlink" Target="https://github.com/mljar/mljar-supervised/issues/179" TargetMode="External"/><Relationship Id="rId2893" Type="http://schemas.openxmlformats.org/officeDocument/2006/relationships/hyperlink" Target="https://pbs.twimg.com/media/Eu5iFXAXYAA6x8T.jpg" TargetMode="External"/><Relationship Id="rId3737" Type="http://schemas.openxmlformats.org/officeDocument/2006/relationships/hyperlink" Target="https://lnkd.in/dTgrJ8E" TargetMode="External"/><Relationship Id="rId3944" Type="http://schemas.openxmlformats.org/officeDocument/2006/relationships/hyperlink" Target="https://pbs.twimg.com/media/Eu4K5FRVgAIKjuL.jpg" TargetMode="External"/><Relationship Id="rId658" Type="http://schemas.openxmlformats.org/officeDocument/2006/relationships/hyperlink" Target="https://www.muycanal.com/?p=123716" TargetMode="External"/><Relationship Id="rId865" Type="http://schemas.openxmlformats.org/officeDocument/2006/relationships/hyperlink" Target="https://pbs.twimg.com/media/Eu7B1SAWgAUJaH0.jpg" TargetMode="External"/><Relationship Id="rId1288" Type="http://schemas.openxmlformats.org/officeDocument/2006/relationships/hyperlink" Target="http://neurons.ai/" TargetMode="External"/><Relationship Id="rId1495" Type="http://schemas.openxmlformats.org/officeDocument/2006/relationships/hyperlink" Target="https://counterfraudconference.co.uk/" TargetMode="External"/><Relationship Id="rId2339" Type="http://schemas.openxmlformats.org/officeDocument/2006/relationships/hyperlink" Target="https://bit.ly/3pMWVmI" TargetMode="External"/><Relationship Id="rId2546" Type="http://schemas.openxmlformats.org/officeDocument/2006/relationships/hyperlink" Target="https://pbs.twimg.com/media/Eu5x-sMXEAM7UsY.jpg" TargetMode="External"/><Relationship Id="rId2753" Type="http://schemas.openxmlformats.org/officeDocument/2006/relationships/hyperlink" Target="https://buff.ly/2L0DIvd" TargetMode="External"/><Relationship Id="rId2960" Type="http://schemas.openxmlformats.org/officeDocument/2006/relationships/hyperlink" Target="https://lnkd.in/ejdBSBj" TargetMode="External"/><Relationship Id="rId3804" Type="http://schemas.openxmlformats.org/officeDocument/2006/relationships/hyperlink" Target="https://cutt.ly/nkVT09u" TargetMode="External"/><Relationship Id="rId518" Type="http://schemas.openxmlformats.org/officeDocument/2006/relationships/hyperlink" Target="https://ai-summary.com/summary-intuit-uses-ai-to-make-tax-day-easier/?utm_medium=social-organic&amp;utm_source=twitter" TargetMode="External"/><Relationship Id="rId725" Type="http://schemas.openxmlformats.org/officeDocument/2006/relationships/hyperlink" Target="http://www.educabily.com/" TargetMode="External"/><Relationship Id="rId932" Type="http://schemas.openxmlformats.org/officeDocument/2006/relationships/hyperlink" Target="http://semf.org.es/" TargetMode="External"/><Relationship Id="rId1148" Type="http://schemas.openxmlformats.org/officeDocument/2006/relationships/hyperlink" Target="https://pbs.twimg.com/media/Eu60s-ZVgA0c5lC.jpg" TargetMode="External"/><Relationship Id="rId1355" Type="http://schemas.openxmlformats.org/officeDocument/2006/relationships/hyperlink" Target="https://pbs.twimg.com/media/Eu6rBNvXMAEMH4J.jpg" TargetMode="External"/><Relationship Id="rId1562" Type="http://schemas.openxmlformats.org/officeDocument/2006/relationships/hyperlink" Target="https://digiday.com/marketing/ai-is-being-used-to-recruit-and-onboard-talent/" TargetMode="External"/><Relationship Id="rId2406" Type="http://schemas.openxmlformats.org/officeDocument/2006/relationships/hyperlink" Target="https://bit.ly/3pJlEbQ" TargetMode="External"/><Relationship Id="rId2613" Type="http://schemas.openxmlformats.org/officeDocument/2006/relationships/hyperlink" Target="https://pbs.twimg.com/media/EuwIDTsWgAANnXT.jpg" TargetMode="External"/><Relationship Id="rId1008" Type="http://schemas.openxmlformats.org/officeDocument/2006/relationships/hyperlink" Target="https://www.linkedin.com/in/aleluciani/" TargetMode="External"/><Relationship Id="rId1215" Type="http://schemas.openxmlformats.org/officeDocument/2006/relationships/hyperlink" Target="http://www.syncedreview.com/" TargetMode="External"/><Relationship Id="rId1422" Type="http://schemas.openxmlformats.org/officeDocument/2006/relationships/hyperlink" Target="http://studentsuccessdata.com/" TargetMode="External"/><Relationship Id="rId2820" Type="http://schemas.openxmlformats.org/officeDocument/2006/relationships/hyperlink" Target="http://teraflow.ai/" TargetMode="External"/><Relationship Id="rId61" Type="http://schemas.openxmlformats.org/officeDocument/2006/relationships/hyperlink" Target="http://www.arshadaman.tech/" TargetMode="External"/><Relationship Id="rId3387" Type="http://schemas.openxmlformats.org/officeDocument/2006/relationships/hyperlink" Target="https://bit.ly/37zMzR5" TargetMode="External"/><Relationship Id="rId2196" Type="http://schemas.openxmlformats.org/officeDocument/2006/relationships/hyperlink" Target="http://provectus.com/" TargetMode="External"/><Relationship Id="rId3594" Type="http://schemas.openxmlformats.org/officeDocument/2006/relationships/hyperlink" Target="http://pic.twitter.com/FUIbqdtu2z" TargetMode="External"/><Relationship Id="rId168" Type="http://schemas.openxmlformats.org/officeDocument/2006/relationships/hyperlink" Target="https://pbs.twimg.com/media/Eu7dis7XAAEzW7I.jpg" TargetMode="External"/><Relationship Id="rId3247" Type="http://schemas.openxmlformats.org/officeDocument/2006/relationships/hyperlink" Target="https://choyou.com/" TargetMode="External"/><Relationship Id="rId3454" Type="http://schemas.openxmlformats.org/officeDocument/2006/relationships/hyperlink" Target="http://www.alpins.de/" TargetMode="External"/><Relationship Id="rId3661" Type="http://schemas.openxmlformats.org/officeDocument/2006/relationships/hyperlink" Target="https://pbs.twimg.com/media/Eu4qcmsUcAYzMMO.jpg" TargetMode="External"/><Relationship Id="rId375" Type="http://schemas.openxmlformats.org/officeDocument/2006/relationships/hyperlink" Target="http://www.enredo.org/" TargetMode="External"/><Relationship Id="rId582" Type="http://schemas.openxmlformats.org/officeDocument/2006/relationships/hyperlink" Target="http://fakerfact.org/" TargetMode="External"/><Relationship Id="rId2056" Type="http://schemas.openxmlformats.org/officeDocument/2006/relationships/hyperlink" Target="https://pbs.twimg.com/media/Eu6L7HAVcAIx0Vd.png" TargetMode="External"/><Relationship Id="rId2263" Type="http://schemas.openxmlformats.org/officeDocument/2006/relationships/hyperlink" Target="https://viso.ai/deep-learning/object-detection/" TargetMode="External"/><Relationship Id="rId2470" Type="http://schemas.openxmlformats.org/officeDocument/2006/relationships/hyperlink" Target="http://www.ipfconline.fr/contact-eng.html" TargetMode="External"/><Relationship Id="rId3107" Type="http://schemas.openxmlformats.org/officeDocument/2006/relationships/hyperlink" Target="http://www.recodeminds.com/" TargetMode="External"/><Relationship Id="rId3314" Type="http://schemas.openxmlformats.org/officeDocument/2006/relationships/hyperlink" Target="http://ow.ly/aAsJ30ry0Yf" TargetMode="External"/><Relationship Id="rId3521" Type="http://schemas.openxmlformats.org/officeDocument/2006/relationships/hyperlink" Target="http://pic.twitter.com/PUsNfRb2Vj" TargetMode="External"/><Relationship Id="rId235" Type="http://schemas.openxmlformats.org/officeDocument/2006/relationships/hyperlink" Target="http://www.reveleer.com/" TargetMode="External"/><Relationship Id="rId442" Type="http://schemas.openxmlformats.org/officeDocument/2006/relationships/hyperlink" Target="https://bit.ly/2ZERFXX" TargetMode="External"/><Relationship Id="rId1072" Type="http://schemas.openxmlformats.org/officeDocument/2006/relationships/hyperlink" Target="https://www.linkedin.com/pub/william-ramarques/25/175/1a0" TargetMode="External"/><Relationship Id="rId2123" Type="http://schemas.openxmlformats.org/officeDocument/2006/relationships/hyperlink" Target="http://instagram.com/simonper" TargetMode="External"/><Relationship Id="rId2330" Type="http://schemas.openxmlformats.org/officeDocument/2006/relationships/hyperlink" Target="https://ift.tt/2OTg61t" TargetMode="External"/><Relationship Id="rId302" Type="http://schemas.openxmlformats.org/officeDocument/2006/relationships/hyperlink" Target="http://htor.inf.ethz.ch/" TargetMode="External"/><Relationship Id="rId4088" Type="http://schemas.openxmlformats.org/officeDocument/2006/relationships/hyperlink" Target="https://www.innovationmerge.com/" TargetMode="External"/><Relationship Id="rId1889" Type="http://schemas.openxmlformats.org/officeDocument/2006/relationships/hyperlink" Target="http://www.reformreality.com/" TargetMode="External"/><Relationship Id="rId4155" Type="http://schemas.openxmlformats.org/officeDocument/2006/relationships/hyperlink" Target="https://www.reddit.com/r/MachineLearning/comments/lpvb1z/r_calibrate_before_use_improving_fewshot/" TargetMode="External"/><Relationship Id="rId1749" Type="http://schemas.openxmlformats.org/officeDocument/2006/relationships/hyperlink" Target="https://pbs.twimg.com/media/Eu6a3h8XEAMh3SL.jpg" TargetMode="External"/><Relationship Id="rId1956" Type="http://schemas.openxmlformats.org/officeDocument/2006/relationships/hyperlink" Target="http://dlvr.it/RtJNFC" TargetMode="External"/><Relationship Id="rId3171" Type="http://schemas.openxmlformats.org/officeDocument/2006/relationships/hyperlink" Target="http://www.linkedin.com/in/sajid-mirza1" TargetMode="External"/><Relationship Id="rId4015" Type="http://schemas.openxmlformats.org/officeDocument/2006/relationships/hyperlink" Target="https://pbs.twimg.com/media/Eu4ENswXAAIuE_G.jpg" TargetMode="External"/><Relationship Id="rId1609" Type="http://schemas.openxmlformats.org/officeDocument/2006/relationships/hyperlink" Target="https://www.quantib.com/blog/https/www.quantib.com/blog/how-does-deep-learning-in-radiology-work" TargetMode="External"/><Relationship Id="rId1816" Type="http://schemas.openxmlformats.org/officeDocument/2006/relationships/hyperlink" Target="https://www.abtassociates.com/insights/podcast/data-racial-equity-how-do-we-eliminate-bias-from-ai-machine-learning-and-more?utm_campaign=data_is_biased_by_centuri&amp;utm_content=1613581317&amp;utm_medium=twitter&amp;utm_source=abtassociates" TargetMode="External"/><Relationship Id="rId4222" Type="http://schemas.openxmlformats.org/officeDocument/2006/relationships/hyperlink" Target="https://threatwatch.io/" TargetMode="External"/><Relationship Id="rId3031" Type="http://schemas.openxmlformats.org/officeDocument/2006/relationships/hyperlink" Target="https://pbs.twimg.com/media/Eu5bTDkXcAAtITZ.jpg" TargetMode="External"/><Relationship Id="rId3988" Type="http://schemas.openxmlformats.org/officeDocument/2006/relationships/hyperlink" Target="https://ca.linkedin.com/in/mikedewaal" TargetMode="External"/><Relationship Id="rId2797" Type="http://schemas.openxmlformats.org/officeDocument/2006/relationships/hyperlink" Target="http://pic.twitter.com/GEdI820PjP" TargetMode="External"/><Relationship Id="rId3848" Type="http://schemas.openxmlformats.org/officeDocument/2006/relationships/hyperlink" Target="https://hubs.ly/H0GXlX90" TargetMode="External"/><Relationship Id="rId769" Type="http://schemas.openxmlformats.org/officeDocument/2006/relationships/hyperlink" Target="https://pbs.twimg.com/media/Eu7EqYyWYAk58Sd.jpg" TargetMode="External"/><Relationship Id="rId976" Type="http://schemas.openxmlformats.org/officeDocument/2006/relationships/hyperlink" Target="https://www.ienupm.com/" TargetMode="External"/><Relationship Id="rId1399" Type="http://schemas.openxmlformats.org/officeDocument/2006/relationships/hyperlink" Target="https://pbs.twimg.com/media/Eu6pF3OXMAcml6a.jpg" TargetMode="External"/><Relationship Id="rId2657" Type="http://schemas.openxmlformats.org/officeDocument/2006/relationships/hyperlink" Target="https://pbs.twimg.com/media/Eu5rheeXEAAy9Lu.jpg" TargetMode="External"/><Relationship Id="rId629" Type="http://schemas.openxmlformats.org/officeDocument/2006/relationships/hyperlink" Target="http://bit.ly/3rKAQXs" TargetMode="External"/><Relationship Id="rId1259" Type="http://schemas.openxmlformats.org/officeDocument/2006/relationships/hyperlink" Target="https://pbs.twimg.com/media/Eu6vwJbVgAE5qJ6.jpg" TargetMode="External"/><Relationship Id="rId1466" Type="http://schemas.openxmlformats.org/officeDocument/2006/relationships/hyperlink" Target="https://bit.ly/3sfDiW1" TargetMode="External"/><Relationship Id="rId2864" Type="http://schemas.openxmlformats.org/officeDocument/2006/relationships/hyperlink" Target="https://www.linkedin.com/in/iainljbrown/" TargetMode="External"/><Relationship Id="rId3708" Type="http://schemas.openxmlformats.org/officeDocument/2006/relationships/hyperlink" Target="https://pbs.twimg.com/media/Eu4l8zdVIAcf-Yk.png" TargetMode="External"/><Relationship Id="rId3915" Type="http://schemas.openxmlformats.org/officeDocument/2006/relationships/hyperlink" Target="https://ocw.mit.edu/courses/electrical-engineering-and-computer-science/6-s897-machine-learning-for-healthcare-spring-2019/" TargetMode="External"/><Relationship Id="rId836" Type="http://schemas.openxmlformats.org/officeDocument/2006/relationships/hyperlink" Target="https://pbs.twimg.com/media/Eu2J_MUXcAAL0EZ.jpg" TargetMode="External"/><Relationship Id="rId1119" Type="http://schemas.openxmlformats.org/officeDocument/2006/relationships/hyperlink" Target="https://sprou.tt/1QPvI7417jV" TargetMode="External"/><Relationship Id="rId1673" Type="http://schemas.openxmlformats.org/officeDocument/2006/relationships/hyperlink" Target="https://hubs.ly/H0GVqzR0" TargetMode="External"/><Relationship Id="rId1880" Type="http://schemas.openxmlformats.org/officeDocument/2006/relationships/hyperlink" Target="https://ift.tt/2ZKxJmt" TargetMode="External"/><Relationship Id="rId2517" Type="http://schemas.openxmlformats.org/officeDocument/2006/relationships/hyperlink" Target="http://www.linkedin.com/pub/frank-vullers/3/503/51a" TargetMode="External"/><Relationship Id="rId2724" Type="http://schemas.openxmlformats.org/officeDocument/2006/relationships/hyperlink" Target="http://kgourgou.me/" TargetMode="External"/><Relationship Id="rId2931" Type="http://schemas.openxmlformats.org/officeDocument/2006/relationships/hyperlink" Target="https://bit.ly/3sa6EFs" TargetMode="External"/><Relationship Id="rId903" Type="http://schemas.openxmlformats.org/officeDocument/2006/relationships/hyperlink" Target="https://amazonsagemakerfridays.splashthat.com/" TargetMode="External"/><Relationship Id="rId1326" Type="http://schemas.openxmlformats.org/officeDocument/2006/relationships/hyperlink" Target="https://www.darkwolfsolutions.com/" TargetMode="External"/><Relationship Id="rId1533" Type="http://schemas.openxmlformats.org/officeDocument/2006/relationships/hyperlink" Target="https://venturebeat.com/2021/02/23/fundguard-raises-12-million-to-help-manage-assets-with-ai/?utm_source=dlvr.it&amp;utm_medium=twitter" TargetMode="External"/><Relationship Id="rId1740" Type="http://schemas.openxmlformats.org/officeDocument/2006/relationships/hyperlink" Target="https://www.reddit.com/r/MachineLearning/" TargetMode="External"/><Relationship Id="rId32" Type="http://schemas.openxmlformats.org/officeDocument/2006/relationships/hyperlink" Target="https://pbs.twimg.com/media/Eu7jQP6XIAEJDvp.jpg" TargetMode="External"/><Relationship Id="rId1600" Type="http://schemas.openxmlformats.org/officeDocument/2006/relationships/hyperlink" Target="https://machinelearningflx.com/" TargetMode="External"/><Relationship Id="rId3498" Type="http://schemas.openxmlformats.org/officeDocument/2006/relationships/hyperlink" Target="https://buff.ly/3dE2SjB" TargetMode="External"/><Relationship Id="rId3358" Type="http://schemas.openxmlformats.org/officeDocument/2006/relationships/hyperlink" Target="https://www.couponed12.com/" TargetMode="External"/><Relationship Id="rId3565" Type="http://schemas.openxmlformats.org/officeDocument/2006/relationships/hyperlink" Target="https://machinelearningflx.com/" TargetMode="External"/><Relationship Id="rId3772" Type="http://schemas.openxmlformats.org/officeDocument/2006/relationships/hyperlink" Target="https://pbs.twimg.com/media/Eu4gPqAXEAEHKZH.jpg" TargetMode="External"/><Relationship Id="rId279" Type="http://schemas.openxmlformats.org/officeDocument/2006/relationships/hyperlink" Target="https://pbs.twimg.com/media/Eu7Y-LjXIAI5POT.jpg" TargetMode="External"/><Relationship Id="rId486" Type="http://schemas.openxmlformats.org/officeDocument/2006/relationships/hyperlink" Target="https://lnkd.in/gWCY6hx" TargetMode="External"/><Relationship Id="rId693" Type="http://schemas.openxmlformats.org/officeDocument/2006/relationships/hyperlink" Target="http://essentials.news/future-of-ai" TargetMode="External"/><Relationship Id="rId2167" Type="http://schemas.openxmlformats.org/officeDocument/2006/relationships/hyperlink" Target="https://ift.tt/3qO1U7Z" TargetMode="External"/><Relationship Id="rId2374" Type="http://schemas.openxmlformats.org/officeDocument/2006/relationships/hyperlink" Target="http://dragonweaver.net/" TargetMode="External"/><Relationship Id="rId2581" Type="http://schemas.openxmlformats.org/officeDocument/2006/relationships/hyperlink" Target="https://www.programming-hero.com/" TargetMode="External"/><Relationship Id="rId3218" Type="http://schemas.openxmlformats.org/officeDocument/2006/relationships/hyperlink" Target="https://www.dialecticsofnature.com/post/are-we-all-misaligned" TargetMode="External"/><Relationship Id="rId3425" Type="http://schemas.openxmlformats.org/officeDocument/2006/relationships/hyperlink" Target="https://www.veracitiz.com/" TargetMode="External"/><Relationship Id="rId3632" Type="http://schemas.openxmlformats.org/officeDocument/2006/relationships/hyperlink" Target="http://www.marktechpost.com/" TargetMode="External"/><Relationship Id="rId139" Type="http://schemas.openxmlformats.org/officeDocument/2006/relationships/hyperlink" Target="http://www.itnumeric.com/?p=46355" TargetMode="External"/><Relationship Id="rId346" Type="http://schemas.openxmlformats.org/officeDocument/2006/relationships/hyperlink" Target="http://pic.twitter.com/ie5nQhU4GM" TargetMode="External"/><Relationship Id="rId553" Type="http://schemas.openxmlformats.org/officeDocument/2006/relationships/hyperlink" Target="https://pbs.twimg.com/media/Eu7Nhj7VoAY1TnL.jpg" TargetMode="External"/><Relationship Id="rId760" Type="http://schemas.openxmlformats.org/officeDocument/2006/relationships/hyperlink" Target="https://youtu.be/7sMhvLn02P8" TargetMode="External"/><Relationship Id="rId1183" Type="http://schemas.openxmlformats.org/officeDocument/2006/relationships/hyperlink" Target="https://www.techrepublic.com/article/what-cios-need-to-know-about-adding-ai-to-their-processes/" TargetMode="External"/><Relationship Id="rId1390" Type="http://schemas.openxmlformats.org/officeDocument/2006/relationships/hyperlink" Target="http://notreal.ai/" TargetMode="External"/><Relationship Id="rId2027" Type="http://schemas.openxmlformats.org/officeDocument/2006/relationships/hyperlink" Target="https://pbs.twimg.com/media/Eu6NfckWgAUBAYq.jpg" TargetMode="External"/><Relationship Id="rId2234" Type="http://schemas.openxmlformats.org/officeDocument/2006/relationships/hyperlink" Target="https://bit.ly/3pMpgd9" TargetMode="External"/><Relationship Id="rId2441" Type="http://schemas.openxmlformats.org/officeDocument/2006/relationships/hyperlink" Target="https://www.hw.ac.uk/uk/jobs/job-SVJDMzA3NDQ.htm" TargetMode="External"/><Relationship Id="rId206" Type="http://schemas.openxmlformats.org/officeDocument/2006/relationships/hyperlink" Target="https://pbs.twimg.com/media/Eu7bcRLWgAYcJIE.png" TargetMode="External"/><Relationship Id="rId413" Type="http://schemas.openxmlformats.org/officeDocument/2006/relationships/hyperlink" Target="https://pbs.twimg.com/media/Eu7TO39XYAABjLM.png" TargetMode="External"/><Relationship Id="rId1043" Type="http://schemas.openxmlformats.org/officeDocument/2006/relationships/hyperlink" Target="http://www.gppulipaka.org/" TargetMode="External"/><Relationship Id="rId4199" Type="http://schemas.openxmlformats.org/officeDocument/2006/relationships/hyperlink" Target="https://pbs.twimg.com/media/Eu3wovVXMAINYxe.jpg" TargetMode="External"/><Relationship Id="rId620" Type="http://schemas.openxmlformats.org/officeDocument/2006/relationships/hyperlink" Target="http://www.acuvate.com/" TargetMode="External"/><Relationship Id="rId1250" Type="http://schemas.openxmlformats.org/officeDocument/2006/relationships/hyperlink" Target="http://www.bioinspirationlab.org/" TargetMode="External"/><Relationship Id="rId2301" Type="http://schemas.openxmlformats.org/officeDocument/2006/relationships/hyperlink" Target="https://baumeister-consulting.de/" TargetMode="External"/><Relationship Id="rId4059" Type="http://schemas.openxmlformats.org/officeDocument/2006/relationships/hyperlink" Target="https://www.cnet.com/news/buy-an-amazon-echo-4th-gen-and-get-a-pair-of-philips-hue-bulbs-for-free/" TargetMode="External"/><Relationship Id="rId1110" Type="http://schemas.openxmlformats.org/officeDocument/2006/relationships/hyperlink" Target="https://pbs.twimg.com/media/Eu62senUYAUYwFm.jpg" TargetMode="External"/><Relationship Id="rId4266" Type="http://schemas.openxmlformats.org/officeDocument/2006/relationships/hyperlink" Target="https://techflx.com/product-category/books/" TargetMode="External"/><Relationship Id="rId1927" Type="http://schemas.openxmlformats.org/officeDocument/2006/relationships/hyperlink" Target="https://www.programming-hero.com/blog/10-steps-to-become-a-hacker.html" TargetMode="External"/><Relationship Id="rId3075" Type="http://schemas.openxmlformats.org/officeDocument/2006/relationships/hyperlink" Target="http://www.clairvoyantsoft.com/" TargetMode="External"/><Relationship Id="rId3282" Type="http://schemas.openxmlformats.org/officeDocument/2006/relationships/hyperlink" Target="https://pbs.twimg.com/media/Eu2NE1kXEAIUa-G.png" TargetMode="External"/><Relationship Id="rId4126" Type="http://schemas.openxmlformats.org/officeDocument/2006/relationships/hyperlink" Target="http://www.1qbit.com/" TargetMode="External"/><Relationship Id="rId2091" Type="http://schemas.openxmlformats.org/officeDocument/2006/relationships/hyperlink" Target="http://linkedin.com/in/sidheshwar-pandhare-0a47b7110" TargetMode="External"/><Relationship Id="rId3142" Type="http://schemas.openxmlformats.org/officeDocument/2006/relationships/hyperlink" Target="https://bit.ly/2W6jIxf" TargetMode="External"/><Relationship Id="rId270" Type="http://schemas.openxmlformats.org/officeDocument/2006/relationships/hyperlink" Target="https://venturebeat.com/2021/02/23/saltmine-raises-20-million-to-automate-office-space-design/?utm_source=dlvr.it&amp;utm_medium=twitter" TargetMode="External"/><Relationship Id="rId3002" Type="http://schemas.openxmlformats.org/officeDocument/2006/relationships/hyperlink" Target="http://www.thatneedle.com/" TargetMode="External"/><Relationship Id="rId130" Type="http://schemas.openxmlformats.org/officeDocument/2006/relationships/hyperlink" Target="https://aiml.events/events/applied-ai-summit-boston-2021?utm_source=twitter&amp;utm_medium=social&amp;utm_campaign=30days&amp;utm_content=Applied+AI+Summit+Boston+2021" TargetMode="External"/><Relationship Id="rId3959" Type="http://schemas.openxmlformats.org/officeDocument/2006/relationships/hyperlink" Target="http://neurons.ai/" TargetMode="External"/><Relationship Id="rId2768" Type="http://schemas.openxmlformats.org/officeDocument/2006/relationships/hyperlink" Target="https://www.plattform-lernende-systeme.de/konferenz-2021.html" TargetMode="External"/><Relationship Id="rId2975" Type="http://schemas.openxmlformats.org/officeDocument/2006/relationships/hyperlink" Target="http://about.me/innovate4good" TargetMode="External"/><Relationship Id="rId3819" Type="http://schemas.openxmlformats.org/officeDocument/2006/relationships/hyperlink" Target="https://towardsdatascience.com/visualizing-twitter-statistics-with-python-and-pandas-956125b369e5" TargetMode="External"/><Relationship Id="rId947" Type="http://schemas.openxmlformats.org/officeDocument/2006/relationships/hyperlink" Target="https://bbva.info/3kgiwCV" TargetMode="External"/><Relationship Id="rId1577" Type="http://schemas.openxmlformats.org/officeDocument/2006/relationships/hyperlink" Target="https://ift.tt/3pNGtTc" TargetMode="External"/><Relationship Id="rId1784" Type="http://schemas.openxmlformats.org/officeDocument/2006/relationships/hyperlink" Target="https://www.inexture.com/" TargetMode="External"/><Relationship Id="rId1991" Type="http://schemas.openxmlformats.org/officeDocument/2006/relationships/hyperlink" Target="https://pbs.twimg.com/media/Eu6PLiPXEAAfwk0.jpg" TargetMode="External"/><Relationship Id="rId2628" Type="http://schemas.openxmlformats.org/officeDocument/2006/relationships/hyperlink" Target="https://phys.org/news/2021-02-machine-theory-nature-science.amp?__twitter_impression=true" TargetMode="External"/><Relationship Id="rId2835" Type="http://schemas.openxmlformats.org/officeDocument/2006/relationships/hyperlink" Target="https://twitter.com/Theslimevids/status/1347173844759416832" TargetMode="External"/><Relationship Id="rId4190" Type="http://schemas.openxmlformats.org/officeDocument/2006/relationships/hyperlink" Target="https://twitter.com/TechAmazing/status/1363994794939346951" TargetMode="External"/><Relationship Id="rId76" Type="http://schemas.openxmlformats.org/officeDocument/2006/relationships/hyperlink" Target="https://pbs.twimg.com/media/Eu7hR1YXAAAl-0f.jpg" TargetMode="External"/><Relationship Id="rId807" Type="http://schemas.openxmlformats.org/officeDocument/2006/relationships/hyperlink" Target="http://bit.ly/37FjXGe" TargetMode="External"/><Relationship Id="rId1437" Type="http://schemas.openxmlformats.org/officeDocument/2006/relationships/hyperlink" Target="https://pbs.twimg.com/media/Eu6oGjoXUAIFIUE.jpg" TargetMode="External"/><Relationship Id="rId1644" Type="http://schemas.openxmlformats.org/officeDocument/2006/relationships/hyperlink" Target="https://machinelearningflx.com/" TargetMode="External"/><Relationship Id="rId1851" Type="http://schemas.openxmlformats.org/officeDocument/2006/relationships/hyperlink" Target="https://pbs.twimg.com/media/Eu6T6n3XUAc49kh.jpg" TargetMode="External"/><Relationship Id="rId2902" Type="http://schemas.openxmlformats.org/officeDocument/2006/relationships/hyperlink" Target="https://twitter.com/Theslimevids/status/1362021141020217345" TargetMode="External"/><Relationship Id="rId4050" Type="http://schemas.openxmlformats.org/officeDocument/2006/relationships/hyperlink" Target="http://www.margarisventures.com/" TargetMode="External"/><Relationship Id="rId1504" Type="http://schemas.openxmlformats.org/officeDocument/2006/relationships/hyperlink" Target="https://buff.ly/3sokQKT" TargetMode="External"/><Relationship Id="rId1711" Type="http://schemas.openxmlformats.org/officeDocument/2006/relationships/hyperlink" Target="https://i.send2press.com/zTEU2" TargetMode="External"/><Relationship Id="rId3469" Type="http://schemas.openxmlformats.org/officeDocument/2006/relationships/hyperlink" Target="https://atentec.com/" TargetMode="External"/><Relationship Id="rId3676" Type="http://schemas.openxmlformats.org/officeDocument/2006/relationships/hyperlink" Target="https://pbs.twimg.com/media/Eu3DUMKWgAAb1kK.jpg" TargetMode="External"/><Relationship Id="rId597" Type="http://schemas.openxmlformats.org/officeDocument/2006/relationships/hyperlink" Target="https://pbs.twimg.com/media/Eu7LsS9VcAMLSaX.jpg" TargetMode="External"/><Relationship Id="rId2278" Type="http://schemas.openxmlformats.org/officeDocument/2006/relationships/hyperlink" Target="https://twitter.com/rubiscape/status/1364166086191550465" TargetMode="External"/><Relationship Id="rId2485" Type="http://schemas.openxmlformats.org/officeDocument/2006/relationships/hyperlink" Target="https://www.itproportal.com/features/new-year-new-language/" TargetMode="External"/><Relationship Id="rId3329" Type="http://schemas.openxmlformats.org/officeDocument/2006/relationships/hyperlink" Target="https://deepai.org/publication/kbcnmujal-hasoc-dravidian-codemix-fire2020-using-machine-learning-for-detection-of-hate-speech-and-offensive-code-mixed-social-media-text" TargetMode="External"/><Relationship Id="rId3883" Type="http://schemas.openxmlformats.org/officeDocument/2006/relationships/hyperlink" Target="http://www.margarisventures.com/" TargetMode="External"/><Relationship Id="rId457" Type="http://schemas.openxmlformats.org/officeDocument/2006/relationships/hyperlink" Target="https://nvda.ws/3pAu8Sk" TargetMode="External"/><Relationship Id="rId1087" Type="http://schemas.openxmlformats.org/officeDocument/2006/relationships/hyperlink" Target="https://towardsdatascience.com/the-human-bias-accuracy-trade-off-ad95e3c612a9" TargetMode="External"/><Relationship Id="rId1294" Type="http://schemas.openxmlformats.org/officeDocument/2006/relationships/hyperlink" Target="http://andreina-francisco.github.io/" TargetMode="External"/><Relationship Id="rId2138" Type="http://schemas.openxmlformats.org/officeDocument/2006/relationships/hyperlink" Target="https://pbs.twimg.com/media/Eu6Gx1TXIAcVqbG.jpg" TargetMode="External"/><Relationship Id="rId2692" Type="http://schemas.openxmlformats.org/officeDocument/2006/relationships/hyperlink" Target="https://www.selfdrivingcars360.com/" TargetMode="External"/><Relationship Id="rId3536" Type="http://schemas.openxmlformats.org/officeDocument/2006/relationships/hyperlink" Target="http://github.com/amesk3" TargetMode="External"/><Relationship Id="rId3743" Type="http://schemas.openxmlformats.org/officeDocument/2006/relationships/hyperlink" Target="http://www.gppulipaka.org/" TargetMode="External"/><Relationship Id="rId3950" Type="http://schemas.openxmlformats.org/officeDocument/2006/relationships/hyperlink" Target="http://dlvr.it/RtGpR8" TargetMode="External"/><Relationship Id="rId664" Type="http://schemas.openxmlformats.org/officeDocument/2006/relationships/hyperlink" Target="http://pic.twitter.com/nPPXzvCwbu" TargetMode="External"/><Relationship Id="rId871" Type="http://schemas.openxmlformats.org/officeDocument/2006/relationships/hyperlink" Target="https://pbs.twimg.com/media/Eu7BepdUcAAzCuN.jpg" TargetMode="External"/><Relationship Id="rId2345" Type="http://schemas.openxmlformats.org/officeDocument/2006/relationships/hyperlink" Target="http://pic.twitter.com/spYdwfuFKu" TargetMode="External"/><Relationship Id="rId2552" Type="http://schemas.openxmlformats.org/officeDocument/2006/relationships/hyperlink" Target="https://twitter.com/MotorcycleTwitt" TargetMode="External"/><Relationship Id="rId3603" Type="http://schemas.openxmlformats.org/officeDocument/2006/relationships/hyperlink" Target="http://pic.twitter.com/MGPqnmTG8q" TargetMode="External"/><Relationship Id="rId3810" Type="http://schemas.openxmlformats.org/officeDocument/2006/relationships/hyperlink" Target="http://pic.twitter.com/5NPTZeFvgI" TargetMode="External"/><Relationship Id="rId317" Type="http://schemas.openxmlformats.org/officeDocument/2006/relationships/hyperlink" Target="http://www.technossus.com/" TargetMode="External"/><Relationship Id="rId524" Type="http://schemas.openxmlformats.org/officeDocument/2006/relationships/hyperlink" Target="https://datarishi.in/" TargetMode="External"/><Relationship Id="rId731" Type="http://schemas.openxmlformats.org/officeDocument/2006/relationships/hyperlink" Target="https://arxiv.org/pdf/2102.10423.pdf" TargetMode="External"/><Relationship Id="rId1154" Type="http://schemas.openxmlformats.org/officeDocument/2006/relationships/hyperlink" Target="https://pbs.twimg.com/media/Eu22RbeUYAEh3fM.jpg" TargetMode="External"/><Relationship Id="rId1361" Type="http://schemas.openxmlformats.org/officeDocument/2006/relationships/hyperlink" Target="https://linktr.ee/edgetech" TargetMode="External"/><Relationship Id="rId2205" Type="http://schemas.openxmlformats.org/officeDocument/2006/relationships/hyperlink" Target="http://pic.twitter.com/sY3DI2HwxQ" TargetMode="External"/><Relationship Id="rId2412" Type="http://schemas.openxmlformats.org/officeDocument/2006/relationships/hyperlink" Target="https://pbs.twimg.com/media/Eu541WfXUAAHjO-.jpg" TargetMode="External"/><Relationship Id="rId1014" Type="http://schemas.openxmlformats.org/officeDocument/2006/relationships/hyperlink" Target="http://www.burnstorm.com/" TargetMode="External"/><Relationship Id="rId1221" Type="http://schemas.openxmlformats.org/officeDocument/2006/relationships/hyperlink" Target="https://www.natlawreview.com/article/will-final-chapter-come-fda-s-action-plan-oversight-artificial-intelligencemachine" TargetMode="External"/><Relationship Id="rId3186" Type="http://schemas.openxmlformats.org/officeDocument/2006/relationships/hyperlink" Target="https://machinelearningflx.com/" TargetMode="External"/><Relationship Id="rId3393" Type="http://schemas.openxmlformats.org/officeDocument/2006/relationships/hyperlink" Target="http://neurons.ai/" TargetMode="External"/><Relationship Id="rId4237" Type="http://schemas.openxmlformats.org/officeDocument/2006/relationships/hyperlink" Target="http://tesseract.academy/" TargetMode="External"/><Relationship Id="rId3046" Type="http://schemas.openxmlformats.org/officeDocument/2006/relationships/hyperlink" Target="http://www.tampalini.net/" TargetMode="External"/><Relationship Id="rId3253" Type="http://schemas.openxmlformats.org/officeDocument/2006/relationships/hyperlink" Target="https://brainial.com/a-warm-welcome-for-pepijn-and-rogier-the-new-brainials/" TargetMode="External"/><Relationship Id="rId3460" Type="http://schemas.openxmlformats.org/officeDocument/2006/relationships/hyperlink" Target="https://via.socxo.net/MR3KFQwS0aYiw" TargetMode="External"/><Relationship Id="rId174" Type="http://schemas.openxmlformats.org/officeDocument/2006/relationships/hyperlink" Target="http://magnimindacademy.com/" TargetMode="External"/><Relationship Id="rId381" Type="http://schemas.openxmlformats.org/officeDocument/2006/relationships/hyperlink" Target="https://pbs.twimg.com/media/Eu7UX1kWgAIN5Ne.jpg" TargetMode="External"/><Relationship Id="rId2062" Type="http://schemas.openxmlformats.org/officeDocument/2006/relationships/hyperlink" Target="https://pbs.twimg.com/media/Eu6LaFsVkAED3EC.jpg" TargetMode="External"/><Relationship Id="rId3113" Type="http://schemas.openxmlformats.org/officeDocument/2006/relationships/hyperlink" Target="https://google.smh.re/1rr" TargetMode="External"/><Relationship Id="rId241" Type="http://schemas.openxmlformats.org/officeDocument/2006/relationships/hyperlink" Target="http://www.globalbigdataconference.com/santa-clara/global-artificial-intelligence-virtual-bootcamp/s" TargetMode="External"/><Relationship Id="rId3320" Type="http://schemas.openxmlformats.org/officeDocument/2006/relationships/hyperlink" Target="http://ipfconline.fr/contacts-eng.html" TargetMode="External"/><Relationship Id="rId2879" Type="http://schemas.openxmlformats.org/officeDocument/2006/relationships/hyperlink" Target="https://neurons.ai/blog/news-stories/machine-learning-as-a-service-mlaas-market-2021-industry-analysis-by-application-emerging/" TargetMode="External"/><Relationship Id="rId101" Type="http://schemas.openxmlformats.org/officeDocument/2006/relationships/hyperlink" Target="https://www.bloomberg.com/news/articles/2021-02-23/t-cell-screening-test-launched-to-detect-prior-covid-infections" TargetMode="External"/><Relationship Id="rId1688" Type="http://schemas.openxmlformats.org/officeDocument/2006/relationships/hyperlink" Target="https://www.digitalinsuranceagenda.com/featured-insurtechs/whats-happening-in-the-dia-community-vol-13/?utm_source=agorapulse&amp;utm_medium=cybercube" TargetMode="External"/><Relationship Id="rId1895" Type="http://schemas.openxmlformats.org/officeDocument/2006/relationships/hyperlink" Target="http://www.whyyoushouldgogreen.com/" TargetMode="External"/><Relationship Id="rId2739" Type="http://schemas.openxmlformats.org/officeDocument/2006/relationships/hyperlink" Target="https://arxiv.org/abs/2102.10936" TargetMode="External"/><Relationship Id="rId2946" Type="http://schemas.openxmlformats.org/officeDocument/2006/relationships/hyperlink" Target="https://bit.ly/3k0IWJ1" TargetMode="External"/><Relationship Id="rId4094" Type="http://schemas.openxmlformats.org/officeDocument/2006/relationships/hyperlink" Target="https://pbs.twimg.com/media/Eu388gbVEAQ99vn.jpg" TargetMode="External"/><Relationship Id="rId918" Type="http://schemas.openxmlformats.org/officeDocument/2006/relationships/hyperlink" Target="https://amzn.to/3bBdrRK" TargetMode="External"/><Relationship Id="rId1548" Type="http://schemas.openxmlformats.org/officeDocument/2006/relationships/hyperlink" Target="https://pbs.twimg.com/media/Eu6irolXMAgMV25.jpg" TargetMode="External"/><Relationship Id="rId1755" Type="http://schemas.openxmlformats.org/officeDocument/2006/relationships/hyperlink" Target="http://www.necio.ch/" TargetMode="External"/><Relationship Id="rId4161" Type="http://schemas.openxmlformats.org/officeDocument/2006/relationships/hyperlink" Target="http://pic.twitter.com/iU63mV742T" TargetMode="External"/><Relationship Id="rId1408" Type="http://schemas.openxmlformats.org/officeDocument/2006/relationships/hyperlink" Target="https://buff.ly/2NBiFoj" TargetMode="External"/><Relationship Id="rId1962" Type="http://schemas.openxmlformats.org/officeDocument/2006/relationships/hyperlink" Target="https://pbs.twimg.com/media/Eu6Qnf1XAAENgTd.jpg" TargetMode="External"/><Relationship Id="rId2806" Type="http://schemas.openxmlformats.org/officeDocument/2006/relationships/hyperlink" Target="https://www.sdxcentral.com/" TargetMode="External"/><Relationship Id="rId4021" Type="http://schemas.openxmlformats.org/officeDocument/2006/relationships/hyperlink" Target="https://cotemponet.blogspot.com/2021/02/data-science-real-world-projects-in.html" TargetMode="External"/><Relationship Id="rId47" Type="http://schemas.openxmlformats.org/officeDocument/2006/relationships/hyperlink" Target="https://venturebeat.com/2021/02/23/saltmine-raises-20-million-to-automate-office-space-design/" TargetMode="External"/><Relationship Id="rId1615" Type="http://schemas.openxmlformats.org/officeDocument/2006/relationships/hyperlink" Target="https://jeffhale.net/" TargetMode="External"/><Relationship Id="rId1822" Type="http://schemas.openxmlformats.org/officeDocument/2006/relationships/hyperlink" Target="https://pbs.twimg.com/media/Eu6WfWYXEAAonq9.jpg" TargetMode="External"/><Relationship Id="rId3787" Type="http://schemas.openxmlformats.org/officeDocument/2006/relationships/hyperlink" Target="https://www.linkedin.com/in/eric-feuilleaubois-ph-d-43ab0925/" TargetMode="External"/><Relationship Id="rId3994" Type="http://schemas.openxmlformats.org/officeDocument/2006/relationships/hyperlink" Target="https://paullopez.ai/" TargetMode="External"/><Relationship Id="rId2389" Type="http://schemas.openxmlformats.org/officeDocument/2006/relationships/hyperlink" Target="https://www.eletimes.com/the-first-no-code-voice-ai-platform-for-microcontrollers" TargetMode="External"/><Relationship Id="rId2596" Type="http://schemas.openxmlformats.org/officeDocument/2006/relationships/hyperlink" Target="https://www.etsy.com/shop/AdPositive" TargetMode="External"/><Relationship Id="rId3647" Type="http://schemas.openxmlformats.org/officeDocument/2006/relationships/hyperlink" Target="https://pbs.twimg.com/media/Eu4smq_XYAAUdk1.jpg" TargetMode="External"/><Relationship Id="rId3854" Type="http://schemas.openxmlformats.org/officeDocument/2006/relationships/hyperlink" Target="https://buff.ly/3sjyxeo" TargetMode="External"/><Relationship Id="rId568" Type="http://schemas.openxmlformats.org/officeDocument/2006/relationships/hyperlink" Target="https://www.extensionschool.ch/" TargetMode="External"/><Relationship Id="rId775" Type="http://schemas.openxmlformats.org/officeDocument/2006/relationships/hyperlink" Target="https://pbs.twimg.com/media/Eu7EiZPWgAQVerX.jpg" TargetMode="External"/><Relationship Id="rId982" Type="http://schemas.openxmlformats.org/officeDocument/2006/relationships/hyperlink" Target="https://icloudseven.com/4-tipos-de-analitica-que-seran-la-clave-para-la-toma-de-decisiones/" TargetMode="External"/><Relationship Id="rId1198" Type="http://schemas.openxmlformats.org/officeDocument/2006/relationships/hyperlink" Target="https://academic.oup.com/advances/advance-article-abstract/doi/10.1093/advances/nmaa183/6145052" TargetMode="External"/><Relationship Id="rId2249" Type="http://schemas.openxmlformats.org/officeDocument/2006/relationships/hyperlink" Target="https://www.linkedin.com/in/mmasensi/" TargetMode="External"/><Relationship Id="rId2456" Type="http://schemas.openxmlformats.org/officeDocument/2006/relationships/hyperlink" Target="https://neurons.ai/blog/news-stories/unravelling-transfer-learning-to-make-machines-more-advanced/" TargetMode="External"/><Relationship Id="rId2663" Type="http://schemas.openxmlformats.org/officeDocument/2006/relationships/hyperlink" Target="https://pbs.twimg.com/media/Eu5rUpXXAAA4E-d.jpg" TargetMode="External"/><Relationship Id="rId2870" Type="http://schemas.openxmlformats.org/officeDocument/2006/relationships/hyperlink" Target="https://www.linkedin.com/in/iainljbrown/" TargetMode="External"/><Relationship Id="rId3507" Type="http://schemas.openxmlformats.org/officeDocument/2006/relationships/hyperlink" Target="http://www.corizance.com/" TargetMode="External"/><Relationship Id="rId3714" Type="http://schemas.openxmlformats.org/officeDocument/2006/relationships/hyperlink" Target="https://pbs.twimg.com/media/Eu4lHB9U4AARS2h.jpg" TargetMode="External"/><Relationship Id="rId3921" Type="http://schemas.openxmlformats.org/officeDocument/2006/relationships/hyperlink" Target="https://pbs.twimg.com/media/Eu3OY0LVoAI6stR.png" TargetMode="External"/><Relationship Id="rId428" Type="http://schemas.openxmlformats.org/officeDocument/2006/relationships/hyperlink" Target="http://7wd.at/yvesmulkers" TargetMode="External"/><Relationship Id="rId635" Type="http://schemas.openxmlformats.org/officeDocument/2006/relationships/hyperlink" Target="https://www.visive.ai/" TargetMode="External"/><Relationship Id="rId842" Type="http://schemas.openxmlformats.org/officeDocument/2006/relationships/hyperlink" Target="https://h3tech.dev/" TargetMode="External"/><Relationship Id="rId1058" Type="http://schemas.openxmlformats.org/officeDocument/2006/relationships/hyperlink" Target="https://pbs.twimg.com/media/Eu64jYGXcAERLc9.jpg" TargetMode="External"/><Relationship Id="rId1265" Type="http://schemas.openxmlformats.org/officeDocument/2006/relationships/hyperlink" Target="https://codewithmosh.com/?affcode=146684_8qgz9mhy" TargetMode="External"/><Relationship Id="rId1472" Type="http://schemas.openxmlformats.org/officeDocument/2006/relationships/hyperlink" Target="https://pbs.twimg.com/media/Eu6mDknWQAUbbkQ.png" TargetMode="External"/><Relationship Id="rId2109" Type="http://schemas.openxmlformats.org/officeDocument/2006/relationships/hyperlink" Target="https://twitter.com/_TechMode/status/1363824609741611020" TargetMode="External"/><Relationship Id="rId2316" Type="http://schemas.openxmlformats.org/officeDocument/2006/relationships/hyperlink" Target="https://medium.com/@alexrachnog" TargetMode="External"/><Relationship Id="rId2523" Type="http://schemas.openxmlformats.org/officeDocument/2006/relationships/hyperlink" Target="https://technative.io/the-fintech-future-accelerating-the-ai-ml-journey/" TargetMode="External"/><Relationship Id="rId2730" Type="http://schemas.openxmlformats.org/officeDocument/2006/relationships/hyperlink" Target="https://www.jucktion.com/forum/udemy-coupon/azure-machine-learning-studio-19-99-to-free-turkishml-machinelearning-iot-linux-/" TargetMode="External"/><Relationship Id="rId702" Type="http://schemas.openxmlformats.org/officeDocument/2006/relationships/hyperlink" Target="https://buff.ly/3t4FYad" TargetMode="External"/><Relationship Id="rId1125" Type="http://schemas.openxmlformats.org/officeDocument/2006/relationships/hyperlink" Target="https://www.ecgmc.com/thought-leadership/blog/healthcare-executives-outlook-on-2021" TargetMode="External"/><Relationship Id="rId1332" Type="http://schemas.openxmlformats.org/officeDocument/2006/relationships/hyperlink" Target="http://pic.twitter.com/wXL7r1I5Dn" TargetMode="External"/><Relationship Id="rId3297" Type="http://schemas.openxmlformats.org/officeDocument/2006/relationships/hyperlink" Target="https://www.wired.co.uk/article/google-chrome-cookies-third-party-ads" TargetMode="External"/><Relationship Id="rId3157" Type="http://schemas.openxmlformats.org/officeDocument/2006/relationships/hyperlink" Target="http://ow.ly/7sZA30rxXap" TargetMode="External"/><Relationship Id="rId285" Type="http://schemas.openxmlformats.org/officeDocument/2006/relationships/hyperlink" Target="http://www.synergyit.ca/" TargetMode="External"/><Relationship Id="rId3364" Type="http://schemas.openxmlformats.org/officeDocument/2006/relationships/hyperlink" Target="https://machinelearningflx.com/" TargetMode="External"/><Relationship Id="rId3571" Type="http://schemas.openxmlformats.org/officeDocument/2006/relationships/hyperlink" Target="https://pbs.twimg.com/media/Eu4zYxhWQAAKe0i.jpg" TargetMode="External"/><Relationship Id="rId4208" Type="http://schemas.openxmlformats.org/officeDocument/2006/relationships/hyperlink" Target="http://bit.ly/2LXAYC8" TargetMode="External"/><Relationship Id="rId492" Type="http://schemas.openxmlformats.org/officeDocument/2006/relationships/hyperlink" Target="https://pbs.twimg.com/media/Eu7OszKVIAMkoMe.jpg" TargetMode="External"/><Relationship Id="rId2173" Type="http://schemas.openxmlformats.org/officeDocument/2006/relationships/hyperlink" Target="https://www.fiverr.com/share/6XmGwP" TargetMode="External"/><Relationship Id="rId2380" Type="http://schemas.openxmlformats.org/officeDocument/2006/relationships/hyperlink" Target="http://datacoast.in/" TargetMode="External"/><Relationship Id="rId3017" Type="http://schemas.openxmlformats.org/officeDocument/2006/relationships/hyperlink" Target="https://superdigital.agency/" TargetMode="External"/><Relationship Id="rId3224" Type="http://schemas.openxmlformats.org/officeDocument/2006/relationships/hyperlink" Target="http://www.camera-module.com/" TargetMode="External"/><Relationship Id="rId3431" Type="http://schemas.openxmlformats.org/officeDocument/2006/relationships/hyperlink" Target="http://facebook.com/alvaro.sebastian.macias" TargetMode="External"/><Relationship Id="rId145" Type="http://schemas.openxmlformats.org/officeDocument/2006/relationships/hyperlink" Target="https://pbs.twimg.com/media/EumAiT6XIAUNzv8.jpg" TargetMode="External"/><Relationship Id="rId352" Type="http://schemas.openxmlformats.org/officeDocument/2006/relationships/hyperlink" Target="https://pbs.twimg.com/media/Eu7VjevWQAgS4CY.jpg" TargetMode="External"/><Relationship Id="rId2033" Type="http://schemas.openxmlformats.org/officeDocument/2006/relationships/hyperlink" Target="http://ipfconline.fr/contacts-eng.html" TargetMode="External"/><Relationship Id="rId2240" Type="http://schemas.openxmlformats.org/officeDocument/2006/relationships/hyperlink" Target="https://pbs.twimg.com/media/Eu6B1lrWgAcvuaa.jpg" TargetMode="External"/><Relationship Id="rId212" Type="http://schemas.openxmlformats.org/officeDocument/2006/relationships/hyperlink" Target="http://www.sumillion.com/" TargetMode="External"/><Relationship Id="rId1799" Type="http://schemas.openxmlformats.org/officeDocument/2006/relationships/hyperlink" Target="https://pbs.twimg.com/media/Eu6M4t7XAAIWDKA.jpg" TargetMode="External"/><Relationship Id="rId2100" Type="http://schemas.openxmlformats.org/officeDocument/2006/relationships/hyperlink" Target="http://jobhunt.ai/" TargetMode="External"/><Relationship Id="rId4065" Type="http://schemas.openxmlformats.org/officeDocument/2006/relationships/hyperlink" Target="http://www.heliosantos.org/" TargetMode="External"/><Relationship Id="rId4272" Type="http://schemas.openxmlformats.org/officeDocument/2006/relationships/hyperlink" Target="https://twitter.com/zachking/status/1185688146266083329" TargetMode="External"/><Relationship Id="rId1659" Type="http://schemas.openxmlformats.org/officeDocument/2006/relationships/hyperlink" Target="https://dataka.globalunderdog.com/" TargetMode="External"/><Relationship Id="rId1866" Type="http://schemas.openxmlformats.org/officeDocument/2006/relationships/hyperlink" Target="https://pbs.twimg.com/media/Eu6UYvUXUAIN0V7.png" TargetMode="External"/><Relationship Id="rId2917" Type="http://schemas.openxmlformats.org/officeDocument/2006/relationships/hyperlink" Target="https://pbs.twimg.com/media/Eu5TDGZXEAAI26Z.jpg" TargetMode="External"/><Relationship Id="rId3081" Type="http://schemas.openxmlformats.org/officeDocument/2006/relationships/hyperlink" Target="https://toncarrera.com/" TargetMode="External"/><Relationship Id="rId4132" Type="http://schemas.openxmlformats.org/officeDocument/2006/relationships/hyperlink" Target="https://stuf.in/b54v8w" TargetMode="External"/><Relationship Id="rId1519" Type="http://schemas.openxmlformats.org/officeDocument/2006/relationships/hyperlink" Target="https://pbs.twimg.com/media/Eu6kJzxXcAY73Gw.jpg" TargetMode="External"/><Relationship Id="rId1726" Type="http://schemas.openxmlformats.org/officeDocument/2006/relationships/hyperlink" Target="https://www.machinecurve.com/index.php/2021/01/19/visualizing-transformer-behavior-with-ecco/" TargetMode="External"/><Relationship Id="rId1933" Type="http://schemas.openxmlformats.org/officeDocument/2006/relationships/hyperlink" Target="https://pbs.twimg.com/media/EmYQI_WUcAACBVE.jpg" TargetMode="External"/><Relationship Id="rId18" Type="http://schemas.openxmlformats.org/officeDocument/2006/relationships/hyperlink" Target="http://ipfconline.fr/contacts-eng.html" TargetMode="External"/><Relationship Id="rId3898" Type="http://schemas.openxmlformats.org/officeDocument/2006/relationships/hyperlink" Target="https://ift.tt/3bu9JJH" TargetMode="External"/><Relationship Id="rId3758" Type="http://schemas.openxmlformats.org/officeDocument/2006/relationships/hyperlink" Target="https://okt.to/TwYIPZ" TargetMode="External"/><Relationship Id="rId3965" Type="http://schemas.openxmlformats.org/officeDocument/2006/relationships/hyperlink" Target="http://www.couponfree.uk/2019/08/deep-learning-with-python-and-keras.html" TargetMode="External"/><Relationship Id="rId679" Type="http://schemas.openxmlformats.org/officeDocument/2006/relationships/hyperlink" Target="https://bit.ly/2ZKt7MY" TargetMode="External"/><Relationship Id="rId886" Type="http://schemas.openxmlformats.org/officeDocument/2006/relationships/hyperlink" Target="http://www.techsandiego.org/" TargetMode="External"/><Relationship Id="rId2567" Type="http://schemas.openxmlformats.org/officeDocument/2006/relationships/hyperlink" Target="http://ai.stanford.edu/blog/weak-supervision/" TargetMode="External"/><Relationship Id="rId2774" Type="http://schemas.openxmlformats.org/officeDocument/2006/relationships/hyperlink" Target="https://pbs.twimg.com/media/Eu5lm_vXMAQQGgB.jpg" TargetMode="External"/><Relationship Id="rId3618" Type="http://schemas.openxmlformats.org/officeDocument/2006/relationships/hyperlink" Target="https://paullopez.ai/" TargetMode="External"/><Relationship Id="rId2" Type="http://schemas.openxmlformats.org/officeDocument/2006/relationships/hyperlink" Target="https://www.sefiks.com/" TargetMode="External"/><Relationship Id="rId539" Type="http://schemas.openxmlformats.org/officeDocument/2006/relationships/hyperlink" Target="https://bit.ly/3aJqUIa" TargetMode="External"/><Relationship Id="rId746" Type="http://schemas.openxmlformats.org/officeDocument/2006/relationships/hyperlink" Target="http://skyl.ai/" TargetMode="External"/><Relationship Id="rId1169" Type="http://schemas.openxmlformats.org/officeDocument/2006/relationships/hyperlink" Target="http://www.biorankings.com/" TargetMode="External"/><Relationship Id="rId1376" Type="http://schemas.openxmlformats.org/officeDocument/2006/relationships/hyperlink" Target="http://smartlogic.com/" TargetMode="External"/><Relationship Id="rId1583" Type="http://schemas.openxmlformats.org/officeDocument/2006/relationships/hyperlink" Target="https://pbs.twimg.com/media/Eu6dclbU4AIisKM.jpg" TargetMode="External"/><Relationship Id="rId2427" Type="http://schemas.openxmlformats.org/officeDocument/2006/relationships/hyperlink" Target="http://www.linkedin.com/in/katherine-munro" TargetMode="External"/><Relationship Id="rId2981" Type="http://schemas.openxmlformats.org/officeDocument/2006/relationships/hyperlink" Target="http://www.aspira.ie/" TargetMode="External"/><Relationship Id="rId3825" Type="http://schemas.openxmlformats.org/officeDocument/2006/relationships/hyperlink" Target="https://pbs.twimg.com/media/Eu4EUmfWQAYN7Qy.jpg" TargetMode="External"/><Relationship Id="rId953" Type="http://schemas.openxmlformats.org/officeDocument/2006/relationships/hyperlink" Target="http://www.gppulipaka.org/" TargetMode="External"/><Relationship Id="rId1029" Type="http://schemas.openxmlformats.org/officeDocument/2006/relationships/hyperlink" Target="https://pub.towardsai.net/" TargetMode="External"/><Relationship Id="rId1236" Type="http://schemas.openxmlformats.org/officeDocument/2006/relationships/hyperlink" Target="https://pbs.twimg.com/media/Eu6xlZKXUAES933.jpg" TargetMode="External"/><Relationship Id="rId1790" Type="http://schemas.openxmlformats.org/officeDocument/2006/relationships/hyperlink" Target="https://buff.ly/2NZfJQ4" TargetMode="External"/><Relationship Id="rId2634" Type="http://schemas.openxmlformats.org/officeDocument/2006/relationships/hyperlink" Target="http://medium.com/theymakedesign" TargetMode="External"/><Relationship Id="rId2841" Type="http://schemas.openxmlformats.org/officeDocument/2006/relationships/hyperlink" Target="https://www.linkedin.com/in/colinrbristow/" TargetMode="External"/><Relationship Id="rId82" Type="http://schemas.openxmlformats.org/officeDocument/2006/relationships/hyperlink" Target="https://www.couponed12.com/" TargetMode="External"/><Relationship Id="rId606" Type="http://schemas.openxmlformats.org/officeDocument/2006/relationships/hyperlink" Target="https://www.linkedin.com/in/francoronconi/" TargetMode="External"/><Relationship Id="rId813" Type="http://schemas.openxmlformats.org/officeDocument/2006/relationships/hyperlink" Target="https://edition.cnn.com/2021/02/16/tech/emotion-recognition-ai-education-spc-intl-hnk/index.html" TargetMode="External"/><Relationship Id="rId1443" Type="http://schemas.openxmlformats.org/officeDocument/2006/relationships/hyperlink" Target="https://pbs.twimg.com/media/Eu6nv6JWQAQ31E6.png" TargetMode="External"/><Relationship Id="rId1650" Type="http://schemas.openxmlformats.org/officeDocument/2006/relationships/hyperlink" Target="https://www.m3-konferenz.de/" TargetMode="External"/><Relationship Id="rId2701" Type="http://schemas.openxmlformats.org/officeDocument/2006/relationships/hyperlink" Target="http://www.chemanager-online.com/" TargetMode="External"/><Relationship Id="rId1303" Type="http://schemas.openxmlformats.org/officeDocument/2006/relationships/hyperlink" Target="https://www.couponed12.com/" TargetMode="External"/><Relationship Id="rId1510" Type="http://schemas.openxmlformats.org/officeDocument/2006/relationships/hyperlink" Target="http://www.mambo.co.ke/" TargetMode="External"/><Relationship Id="rId3268" Type="http://schemas.openxmlformats.org/officeDocument/2006/relationships/hyperlink" Target="https://cispa.saarland/group/fritz/" TargetMode="External"/><Relationship Id="rId3475" Type="http://schemas.openxmlformats.org/officeDocument/2006/relationships/hyperlink" Target="https://byp.ee/bgk2Sg" TargetMode="External"/><Relationship Id="rId3682" Type="http://schemas.openxmlformats.org/officeDocument/2006/relationships/hyperlink" Target="https://www.youtube.com/watch?v=8Ng-BXxAZzY" TargetMode="External"/><Relationship Id="rId189" Type="http://schemas.openxmlformats.org/officeDocument/2006/relationships/hyperlink" Target="https://pbs.twimg.com/media/Eu7bBcaXIAkPqxI.jpg" TargetMode="External"/><Relationship Id="rId396" Type="http://schemas.openxmlformats.org/officeDocument/2006/relationships/hyperlink" Target="https://www.nature.com/natcancer/volumes/2/issues/2" TargetMode="External"/><Relationship Id="rId2077" Type="http://schemas.openxmlformats.org/officeDocument/2006/relationships/hyperlink" Target="https://liwaiwai.com/2019/06/12/to-stop-the-machines-taking-over-we-need-to-think-about-fuzzy-logic/" TargetMode="External"/><Relationship Id="rId2284" Type="http://schemas.openxmlformats.org/officeDocument/2006/relationships/hyperlink" Target="https://bit.ly/35Qgv9F" TargetMode="External"/><Relationship Id="rId2491" Type="http://schemas.openxmlformats.org/officeDocument/2006/relationships/hyperlink" Target="http://pic.twitter.com/vEfTUwLlhV" TargetMode="External"/><Relationship Id="rId3128" Type="http://schemas.openxmlformats.org/officeDocument/2006/relationships/hyperlink" Target="https://okt.to/NOhnr6" TargetMode="External"/><Relationship Id="rId3335" Type="http://schemas.openxmlformats.org/officeDocument/2006/relationships/hyperlink" Target="http://heptagon.in/" TargetMode="External"/><Relationship Id="rId3542" Type="http://schemas.openxmlformats.org/officeDocument/2006/relationships/hyperlink" Target="https://pbs.twimg.com/media/Eu40jUkXEAAkQom.jpg" TargetMode="External"/><Relationship Id="rId256" Type="http://schemas.openxmlformats.org/officeDocument/2006/relationships/hyperlink" Target="https://pbs.twimg.com/media/Eu7ZutNXUA0ulIQ.png" TargetMode="External"/><Relationship Id="rId463" Type="http://schemas.openxmlformats.org/officeDocument/2006/relationships/hyperlink" Target="https://pbs.twimg.com/media/Eu7RyIRWQAMyRy5.jpg" TargetMode="External"/><Relationship Id="rId670" Type="http://schemas.openxmlformats.org/officeDocument/2006/relationships/hyperlink" Target="https://pbs.twimg.com/media/Eu7IH0rXUAMv-tg.jpg" TargetMode="External"/><Relationship Id="rId1093" Type="http://schemas.openxmlformats.org/officeDocument/2006/relationships/hyperlink" Target="http://www.atlassystems.com/" TargetMode="External"/><Relationship Id="rId2144" Type="http://schemas.openxmlformats.org/officeDocument/2006/relationships/hyperlink" Target="http://pic.twitter.com/heyRkIQbQB" TargetMode="External"/><Relationship Id="rId2351" Type="http://schemas.openxmlformats.org/officeDocument/2006/relationships/hyperlink" Target="https://convit.de/" TargetMode="External"/><Relationship Id="rId3402" Type="http://schemas.openxmlformats.org/officeDocument/2006/relationships/hyperlink" Target="https://www.marktechpost.com/2021/01/16/kosinskis-latest-paper-claims-facial-recognition-technology-can-expose-political-orientation-from-naturalistic-facial-images/" TargetMode="External"/><Relationship Id="rId116" Type="http://schemas.openxmlformats.org/officeDocument/2006/relationships/hyperlink" Target="https://bit.ly/3aLYlKc" TargetMode="External"/><Relationship Id="rId323" Type="http://schemas.openxmlformats.org/officeDocument/2006/relationships/hyperlink" Target="https://www.linkedin.com/in/ingliguori/" TargetMode="External"/><Relationship Id="rId530" Type="http://schemas.openxmlformats.org/officeDocument/2006/relationships/hyperlink" Target="https://black.host/" TargetMode="External"/><Relationship Id="rId1160" Type="http://schemas.openxmlformats.org/officeDocument/2006/relationships/hyperlink" Target="http://medicalethicshealthpolicy.med.upenn.edu/faculty-all/ravi-b-parikh" TargetMode="External"/><Relationship Id="rId2004" Type="http://schemas.openxmlformats.org/officeDocument/2006/relationships/hyperlink" Target="https://pbs.twimg.com/media/Eu6OGwGWQAMLGyf.jpg" TargetMode="External"/><Relationship Id="rId2211" Type="http://schemas.openxmlformats.org/officeDocument/2006/relationships/hyperlink" Target="https://pbs.twimg.com/media/Eu6DIIJXAAASGs6.jpg" TargetMode="External"/><Relationship Id="rId4176" Type="http://schemas.openxmlformats.org/officeDocument/2006/relationships/hyperlink" Target="http://www.domesticatedbrain.com/" TargetMode="External"/><Relationship Id="rId1020" Type="http://schemas.openxmlformats.org/officeDocument/2006/relationships/hyperlink" Target="https://hubs.ly/H0H2S2H0" TargetMode="External"/><Relationship Id="rId1977" Type="http://schemas.openxmlformats.org/officeDocument/2006/relationships/hyperlink" Target="https://buff.ly/3sgKb9K" TargetMode="External"/><Relationship Id="rId1837" Type="http://schemas.openxmlformats.org/officeDocument/2006/relationships/hyperlink" Target="https://edvicer.com/" TargetMode="External"/><Relationship Id="rId3192" Type="http://schemas.openxmlformats.org/officeDocument/2006/relationships/hyperlink" Target="https://business-analytics-info.fr/" TargetMode="External"/><Relationship Id="rId4036" Type="http://schemas.openxmlformats.org/officeDocument/2006/relationships/hyperlink" Target="http://morioh.com/" TargetMode="External"/><Relationship Id="rId4243" Type="http://schemas.openxmlformats.org/officeDocument/2006/relationships/hyperlink" Target="https://twitter.com/zachking/status/1254795611456462849" TargetMode="External"/><Relationship Id="rId3052" Type="http://schemas.openxmlformats.org/officeDocument/2006/relationships/hyperlink" Target="https://datasciencevault.com/" TargetMode="External"/><Relationship Id="rId4103" Type="http://schemas.openxmlformats.org/officeDocument/2006/relationships/hyperlink" Target="https://pbs.twimg.com/media/Eu3sNLsXAAIYfdR.jpg" TargetMode="External"/><Relationship Id="rId180" Type="http://schemas.openxmlformats.org/officeDocument/2006/relationships/hyperlink" Target="https://pbs.twimg.com/media/Eu7dAJAVIAAd0TB.jpg" TargetMode="External"/><Relationship Id="rId1904" Type="http://schemas.openxmlformats.org/officeDocument/2006/relationships/hyperlink" Target="http://rsna.org/ai" TargetMode="External"/><Relationship Id="rId3869" Type="http://schemas.openxmlformats.org/officeDocument/2006/relationships/hyperlink" Target="https://twitter.com/MargaretSiegien/status/1364036443367231491" TargetMode="External"/><Relationship Id="rId997" Type="http://schemas.openxmlformats.org/officeDocument/2006/relationships/hyperlink" Target="https://catanacapital.com/" TargetMode="External"/><Relationship Id="rId2678" Type="http://schemas.openxmlformats.org/officeDocument/2006/relationships/hyperlink" Target="https://medium.com/deepfake/what-is-a-deepfake-9bcc72f3eb1e" TargetMode="External"/><Relationship Id="rId2885" Type="http://schemas.openxmlformats.org/officeDocument/2006/relationships/hyperlink" Target="https://www.velmie.com/post/technology-trends-shaping-the-fintech-industry-in-2021" TargetMode="External"/><Relationship Id="rId3729" Type="http://schemas.openxmlformats.org/officeDocument/2006/relationships/hyperlink" Target="http://www.vikez.com/" TargetMode="External"/><Relationship Id="rId3936" Type="http://schemas.openxmlformats.org/officeDocument/2006/relationships/hyperlink" Target="https://publications.iamroyakash.com/machine-learning-issue-02" TargetMode="External"/><Relationship Id="rId857" Type="http://schemas.openxmlformats.org/officeDocument/2006/relationships/hyperlink" Target="http://linkedin.com/company/ai-guild" TargetMode="External"/><Relationship Id="rId1487" Type="http://schemas.openxmlformats.org/officeDocument/2006/relationships/hyperlink" Target="https://register.gotowebinar.com/register/610992427691622158" TargetMode="External"/><Relationship Id="rId1694" Type="http://schemas.openxmlformats.org/officeDocument/2006/relationships/hyperlink" Target="https://www.information-age.com/" TargetMode="External"/><Relationship Id="rId2538" Type="http://schemas.openxmlformats.org/officeDocument/2006/relationships/hyperlink" Target="https://bit.ly/37jmgOP" TargetMode="External"/><Relationship Id="rId2745" Type="http://schemas.openxmlformats.org/officeDocument/2006/relationships/hyperlink" Target="https://red.ht/3tPaaXo" TargetMode="External"/><Relationship Id="rId2952" Type="http://schemas.openxmlformats.org/officeDocument/2006/relationships/hyperlink" Target="https://buff.ly/2ZDEaaQ" TargetMode="External"/><Relationship Id="rId717" Type="http://schemas.openxmlformats.org/officeDocument/2006/relationships/hyperlink" Target="https://pbs.twimg.com/media/Eu6qRemWQAgH_kX.jpg" TargetMode="External"/><Relationship Id="rId924" Type="http://schemas.openxmlformats.org/officeDocument/2006/relationships/hyperlink" Target="https://www.linkedin.com/in/rosshraphael/" TargetMode="External"/><Relationship Id="rId1347" Type="http://schemas.openxmlformats.org/officeDocument/2006/relationships/hyperlink" Target="https://paper.li/AlexanderNet/1325473720?edition_id=ea418a60-75e0-11eb-9bb6-0cc47a0d1605" TargetMode="External"/><Relationship Id="rId1554" Type="http://schemas.openxmlformats.org/officeDocument/2006/relationships/hyperlink" Target="https://pbs.twimg.com/media/Eu6iNd_XYAIZSdb.jpg" TargetMode="External"/><Relationship Id="rId1761" Type="http://schemas.openxmlformats.org/officeDocument/2006/relationships/hyperlink" Target="http://www.thecybersecurityplace.com/" TargetMode="External"/><Relationship Id="rId2605" Type="http://schemas.openxmlformats.org/officeDocument/2006/relationships/hyperlink" Target="http://bit.ly/2NVRBAb" TargetMode="External"/><Relationship Id="rId2812" Type="http://schemas.openxmlformats.org/officeDocument/2006/relationships/hyperlink" Target="https://www.pimloc.com/blog-1/what-do-the-machines-think" TargetMode="External"/><Relationship Id="rId53" Type="http://schemas.openxmlformats.org/officeDocument/2006/relationships/hyperlink" Target="http://linktr.ee/juergen.vonau" TargetMode="External"/><Relationship Id="rId1207" Type="http://schemas.openxmlformats.org/officeDocument/2006/relationships/hyperlink" Target="https://blogs.idc.com/2021/02/08/the-internet-of-things-market-at-a-glance" TargetMode="External"/><Relationship Id="rId1414" Type="http://schemas.openxmlformats.org/officeDocument/2006/relationships/hyperlink" Target="https://pbs.twimg.com/media/Eu6o57HXYAEVCLe.jpg" TargetMode="External"/><Relationship Id="rId1621" Type="http://schemas.openxmlformats.org/officeDocument/2006/relationships/hyperlink" Target="https://pbs.twimg.com/media/Eu3vJDIVgAAGBrF.png" TargetMode="External"/><Relationship Id="rId3379" Type="http://schemas.openxmlformats.org/officeDocument/2006/relationships/hyperlink" Target="http://www.featsystems.com/" TargetMode="External"/><Relationship Id="rId3586" Type="http://schemas.openxmlformats.org/officeDocument/2006/relationships/hyperlink" Target="https://youtu.be/lkfHEeecmEc" TargetMode="External"/><Relationship Id="rId3793" Type="http://schemas.openxmlformats.org/officeDocument/2006/relationships/hyperlink" Target="https://cutt.ly/nkVT09u" TargetMode="External"/><Relationship Id="rId2188" Type="http://schemas.openxmlformats.org/officeDocument/2006/relationships/hyperlink" Target="https://youtu.be/TW8DDFTmVoo" TargetMode="External"/><Relationship Id="rId2395" Type="http://schemas.openxmlformats.org/officeDocument/2006/relationships/hyperlink" Target="https://youtu.be/2UPsgi1PMUQ" TargetMode="External"/><Relationship Id="rId3239" Type="http://schemas.openxmlformats.org/officeDocument/2006/relationships/hyperlink" Target="https://pbs.twimg.com/media/Eu5Oe9hU4AE8qx0.jpg" TargetMode="External"/><Relationship Id="rId3446" Type="http://schemas.openxmlformats.org/officeDocument/2006/relationships/hyperlink" Target="http://edapt.me/" TargetMode="External"/><Relationship Id="rId367" Type="http://schemas.openxmlformats.org/officeDocument/2006/relationships/hyperlink" Target="http://claritychallenge.org/" TargetMode="External"/><Relationship Id="rId574" Type="http://schemas.openxmlformats.org/officeDocument/2006/relationships/hyperlink" Target="https://buff.ly/3kh0XCH" TargetMode="External"/><Relationship Id="rId2048" Type="http://schemas.openxmlformats.org/officeDocument/2006/relationships/hyperlink" Target="https://pbs.twimg.com/media/Eu6M0f9XAAMjR1m.jpg" TargetMode="External"/><Relationship Id="rId2255" Type="http://schemas.openxmlformats.org/officeDocument/2006/relationships/hyperlink" Target="https://ibm.co/2OT7hoo" TargetMode="External"/><Relationship Id="rId3653" Type="http://schemas.openxmlformats.org/officeDocument/2006/relationships/hyperlink" Target="https://pbs.twimg.com/media/Eu4rO6cVcAAh9Lo.jpg" TargetMode="External"/><Relationship Id="rId3860" Type="http://schemas.openxmlformats.org/officeDocument/2006/relationships/hyperlink" Target="http://pic.twitter.com/1QzhBO4S5V" TargetMode="External"/><Relationship Id="rId227" Type="http://schemas.openxmlformats.org/officeDocument/2006/relationships/hyperlink" Target="https://youtube.com/watch?v=XVGR0doR0mk" TargetMode="External"/><Relationship Id="rId781" Type="http://schemas.openxmlformats.org/officeDocument/2006/relationships/hyperlink" Target="http://www.techjunkieblog.com/" TargetMode="External"/><Relationship Id="rId2462" Type="http://schemas.openxmlformats.org/officeDocument/2006/relationships/hyperlink" Target="http://ms.spr.ly/6014pA0Ow" TargetMode="External"/><Relationship Id="rId3306" Type="http://schemas.openxmlformats.org/officeDocument/2006/relationships/hyperlink" Target="http://www.linkedin.com/in/sajid-mirza1" TargetMode="External"/><Relationship Id="rId3513" Type="http://schemas.openxmlformats.org/officeDocument/2006/relationships/hyperlink" Target="https://www.bacancytechnology.com/blog/python-libraries-for-machine-learning" TargetMode="External"/><Relationship Id="rId3720" Type="http://schemas.openxmlformats.org/officeDocument/2006/relationships/hyperlink" Target="https://pbs.twimg.com/media/Eu4kseoUYAMEgv9.jpg" TargetMode="External"/><Relationship Id="rId434" Type="http://schemas.openxmlformats.org/officeDocument/2006/relationships/hyperlink" Target="https://hubs.la/H0H4dBf0" TargetMode="External"/><Relationship Id="rId641" Type="http://schemas.openxmlformats.org/officeDocument/2006/relationships/hyperlink" Target="http://www.jaisonjacob.com/" TargetMode="External"/><Relationship Id="rId1064" Type="http://schemas.openxmlformats.org/officeDocument/2006/relationships/hyperlink" Target="https://pbs.twimg.com/media/EZHdUvrWsAAQyms.jpg" TargetMode="External"/><Relationship Id="rId1271" Type="http://schemas.openxmlformats.org/officeDocument/2006/relationships/hyperlink" Target="http://ssidecisions.com/" TargetMode="External"/><Relationship Id="rId2115" Type="http://schemas.openxmlformats.org/officeDocument/2006/relationships/hyperlink" Target="http://successanalytix.blogspot.com/" TargetMode="External"/><Relationship Id="rId2322" Type="http://schemas.openxmlformats.org/officeDocument/2006/relationships/hyperlink" Target="https://vaarst.com/" TargetMode="External"/><Relationship Id="rId501" Type="http://schemas.openxmlformats.org/officeDocument/2006/relationships/hyperlink" Target="https://buff.ly/3dG4FED" TargetMode="External"/><Relationship Id="rId1131" Type="http://schemas.openxmlformats.org/officeDocument/2006/relationships/hyperlink" Target="http://dfdnews.com/" TargetMode="External"/><Relationship Id="rId3096" Type="http://schemas.openxmlformats.org/officeDocument/2006/relationships/hyperlink" Target="https://bit.ly/3soOj7L" TargetMode="External"/><Relationship Id="rId4147" Type="http://schemas.openxmlformats.org/officeDocument/2006/relationships/hyperlink" Target="https://bit.ly/3bwOmHA" TargetMode="External"/><Relationship Id="rId1948" Type="http://schemas.openxmlformats.org/officeDocument/2006/relationships/hyperlink" Target="http://www.learnbay.co/" TargetMode="External"/><Relationship Id="rId3163" Type="http://schemas.openxmlformats.org/officeDocument/2006/relationships/hyperlink" Target="https://www.reddit.com/r/MachineLearning/comments/lqb7le/rcstr_a_classification_perspective_on_scene_text/" TargetMode="External"/><Relationship Id="rId3370" Type="http://schemas.openxmlformats.org/officeDocument/2006/relationships/hyperlink" Target="https://www.advatera.com/en/digital-leadership-forum-sign-up/" TargetMode="External"/><Relationship Id="rId4007" Type="http://schemas.openxmlformats.org/officeDocument/2006/relationships/hyperlink" Target="https://youtu.be/44H-yU0ZQqY" TargetMode="External"/><Relationship Id="rId4214" Type="http://schemas.openxmlformats.org/officeDocument/2006/relationships/hyperlink" Target="https://pbs.twimg.com/media/Eu3vfJoXIAAxHBy.jpg" TargetMode="External"/><Relationship Id="rId291" Type="http://schemas.openxmlformats.org/officeDocument/2006/relationships/hyperlink" Target="https://aisear.ch/" TargetMode="External"/><Relationship Id="rId1808" Type="http://schemas.openxmlformats.org/officeDocument/2006/relationships/hyperlink" Target="https://pbs.twimg.com/media/Eu6XvYYXMAEpbao.jpg" TargetMode="External"/><Relationship Id="rId3023" Type="http://schemas.openxmlformats.org/officeDocument/2006/relationships/hyperlink" Target="https://bit.ly/3keBIRr" TargetMode="External"/><Relationship Id="rId151" Type="http://schemas.openxmlformats.org/officeDocument/2006/relationships/hyperlink" Target="https://predera.com/predera-aiq-automated-mlops-solution-to-manage-machine-learning-projects-with-minimum-effort/" TargetMode="External"/><Relationship Id="rId3230" Type="http://schemas.openxmlformats.org/officeDocument/2006/relationships/hyperlink" Target="https://pbs.twimg.com/media/Eu5OADIWYAAvG12.jpg" TargetMode="External"/><Relationship Id="rId2789" Type="http://schemas.openxmlformats.org/officeDocument/2006/relationships/hyperlink" Target="https://pbs.twimg.com/media/Eu5lFYfWYAEgrxB.jpg" TargetMode="External"/><Relationship Id="rId2996" Type="http://schemas.openxmlformats.org/officeDocument/2006/relationships/hyperlink" Target="https://pbs.twimg.com/media/Eu5dXmSXIAAEfMo.jpg" TargetMode="External"/><Relationship Id="rId968" Type="http://schemas.openxmlformats.org/officeDocument/2006/relationships/hyperlink" Target="https://nytimes.com/2020/11/24/science/artificial-intelligence-gpt3-writing-love.html" TargetMode="External"/><Relationship Id="rId1598" Type="http://schemas.openxmlformats.org/officeDocument/2006/relationships/hyperlink" Target="https://harshkumar.godaddysites.com/" TargetMode="External"/><Relationship Id="rId2649" Type="http://schemas.openxmlformats.org/officeDocument/2006/relationships/hyperlink" Target="https://www.journals.elsevier.com/energy-and-ai" TargetMode="External"/><Relationship Id="rId2856" Type="http://schemas.openxmlformats.org/officeDocument/2006/relationships/hyperlink" Target="https://twitter.com/Theslimevids/status/1357735819771957248" TargetMode="External"/><Relationship Id="rId3907" Type="http://schemas.openxmlformats.org/officeDocument/2006/relationships/hyperlink" Target="http://www.annodomaini.com/" TargetMode="External"/><Relationship Id="rId97" Type="http://schemas.openxmlformats.org/officeDocument/2006/relationships/hyperlink" Target="https://buff.ly/3sdgCWC" TargetMode="External"/><Relationship Id="rId828" Type="http://schemas.openxmlformats.org/officeDocument/2006/relationships/hyperlink" Target="http://neurons.ai/" TargetMode="External"/><Relationship Id="rId1458" Type="http://schemas.openxmlformats.org/officeDocument/2006/relationships/hyperlink" Target="https://www.weforum.org/agenda/2021/02/heres-what-you-need-to-know-about-the-new-ai-arms-race/" TargetMode="External"/><Relationship Id="rId1665" Type="http://schemas.openxmlformats.org/officeDocument/2006/relationships/hyperlink" Target="https://deepai.org/publication/inductive-logic-programming-at-30" TargetMode="External"/><Relationship Id="rId1872" Type="http://schemas.openxmlformats.org/officeDocument/2006/relationships/hyperlink" Target="https://brianthomas.me/" TargetMode="External"/><Relationship Id="rId2509" Type="http://schemas.openxmlformats.org/officeDocument/2006/relationships/hyperlink" Target="https://pbs.twimg.com/media/Eu5zGvcXUAM9K2b.jpg" TargetMode="External"/><Relationship Id="rId2716" Type="http://schemas.openxmlformats.org/officeDocument/2006/relationships/hyperlink" Target="https://www.muycanal.com/2021/02/23/10-recomendaciones-machine-learning-eficiente" TargetMode="External"/><Relationship Id="rId4071" Type="http://schemas.openxmlformats.org/officeDocument/2006/relationships/hyperlink" Target="http://www.huawei.com/en/news/2021/2/digital-operations-transformation-services-platform-technology-ecosystem?utm_source=dlvr.it&amp;utm_medium=twitter" TargetMode="External"/><Relationship Id="rId1318" Type="http://schemas.openxmlformats.org/officeDocument/2006/relationships/hyperlink" Target="http://jyotisahai.wordpress.com/" TargetMode="External"/><Relationship Id="rId1525" Type="http://schemas.openxmlformats.org/officeDocument/2006/relationships/hyperlink" Target="https://youtube.com/watch?v=E_gWr3_n7jg" TargetMode="External"/><Relationship Id="rId2923" Type="http://schemas.openxmlformats.org/officeDocument/2006/relationships/hyperlink" Target="https://greatbot.io/" TargetMode="External"/><Relationship Id="rId1732" Type="http://schemas.openxmlformats.org/officeDocument/2006/relationships/hyperlink" Target="https://pbs.twimg.com/media/Eu6bL6iXAAA3A5D.jpg" TargetMode="External"/><Relationship Id="rId24" Type="http://schemas.openxmlformats.org/officeDocument/2006/relationships/hyperlink" Target="https://pbs.twimg.com/media/Eu7jRorWQAcuJ3K.png" TargetMode="External"/><Relationship Id="rId2299" Type="http://schemas.openxmlformats.org/officeDocument/2006/relationships/hyperlink" Target="https://twitter.com/Fisheyebox/status/1364167323179835393" TargetMode="External"/><Relationship Id="rId3697" Type="http://schemas.openxmlformats.org/officeDocument/2006/relationships/hyperlink" Target="https://pbs.twimg.com/media/Eu4mweYWgAEpiZF.png" TargetMode="External"/><Relationship Id="rId3557" Type="http://schemas.openxmlformats.org/officeDocument/2006/relationships/hyperlink" Target="http://linktr.ee/analyticstraininginstitute" TargetMode="External"/><Relationship Id="rId3764" Type="http://schemas.openxmlformats.org/officeDocument/2006/relationships/hyperlink" Target="https://hubs.ly/H0GSkMc0" TargetMode="External"/><Relationship Id="rId3971" Type="http://schemas.openxmlformats.org/officeDocument/2006/relationships/hyperlink" Target="https://buff.ly/2ZCI9Vf" TargetMode="External"/><Relationship Id="rId478" Type="http://schemas.openxmlformats.org/officeDocument/2006/relationships/hyperlink" Target="http://www.metoffice.gov.uk/research" TargetMode="External"/><Relationship Id="rId685" Type="http://schemas.openxmlformats.org/officeDocument/2006/relationships/hyperlink" Target="https://buff.ly/2NfqoZs" TargetMode="External"/><Relationship Id="rId892" Type="http://schemas.openxmlformats.org/officeDocument/2006/relationships/hyperlink" Target="https://machinelearningflx.com/" TargetMode="External"/><Relationship Id="rId2159" Type="http://schemas.openxmlformats.org/officeDocument/2006/relationships/hyperlink" Target="http://pic.twitter.com/fR5wlzYSa0" TargetMode="External"/><Relationship Id="rId2366" Type="http://schemas.openxmlformats.org/officeDocument/2006/relationships/hyperlink" Target="http://ow.ly/qfBu50DGd4e" TargetMode="External"/><Relationship Id="rId2573" Type="http://schemas.openxmlformats.org/officeDocument/2006/relationships/hyperlink" Target="http://www.pangaeax.com/" TargetMode="External"/><Relationship Id="rId2780" Type="http://schemas.openxmlformats.org/officeDocument/2006/relationships/hyperlink" Target="http://pic.twitter.com/iijFh6Mcm3" TargetMode="External"/><Relationship Id="rId3417" Type="http://schemas.openxmlformats.org/officeDocument/2006/relationships/hyperlink" Target="http://www.domesticatedbrain.com/" TargetMode="External"/><Relationship Id="rId3624" Type="http://schemas.openxmlformats.org/officeDocument/2006/relationships/hyperlink" Target="https://www.linkedin.com/in/eric-feuilleaubois-ph-d-43ab0925/" TargetMode="External"/><Relationship Id="rId3831" Type="http://schemas.openxmlformats.org/officeDocument/2006/relationships/hyperlink" Target="https://youtu.be/42iIOU-nb3w" TargetMode="External"/><Relationship Id="rId338" Type="http://schemas.openxmlformats.org/officeDocument/2006/relationships/hyperlink" Target="https://www.linkedin.com/in/bobcarver/detail/recent-activity/posts/" TargetMode="External"/><Relationship Id="rId545" Type="http://schemas.openxmlformats.org/officeDocument/2006/relationships/hyperlink" Target="https://buff.ly/2NgIhH5" TargetMode="External"/><Relationship Id="rId752" Type="http://schemas.openxmlformats.org/officeDocument/2006/relationships/hyperlink" Target="https://plainenglish.io/" TargetMode="External"/><Relationship Id="rId1175" Type="http://schemas.openxmlformats.org/officeDocument/2006/relationships/hyperlink" Target="http://www.rootsautomation.com/" TargetMode="External"/><Relationship Id="rId1382" Type="http://schemas.openxmlformats.org/officeDocument/2006/relationships/hyperlink" Target="http://dlvr.it/RtJm7w" TargetMode="External"/><Relationship Id="rId2019" Type="http://schemas.openxmlformats.org/officeDocument/2006/relationships/hyperlink" Target="https://blog.bigml.com/2018/05/01/prediction-explanation-adding-transparency-to-machine-learning/" TargetMode="External"/><Relationship Id="rId2226" Type="http://schemas.openxmlformats.org/officeDocument/2006/relationships/hyperlink" Target="https://youtu.be/Ul2GkNtNAbw" TargetMode="External"/><Relationship Id="rId2433" Type="http://schemas.openxmlformats.org/officeDocument/2006/relationships/hyperlink" Target="https://ift.tt/3k9aNGW" TargetMode="External"/><Relationship Id="rId2640" Type="http://schemas.openxmlformats.org/officeDocument/2006/relationships/hyperlink" Target="https://technative.io/machine-learning-in-software-delivery/" TargetMode="External"/><Relationship Id="rId405" Type="http://schemas.openxmlformats.org/officeDocument/2006/relationships/hyperlink" Target="https://pbs.twimg.com/media/Eu7TYssXUAUoD9j.png" TargetMode="External"/><Relationship Id="rId612" Type="http://schemas.openxmlformats.org/officeDocument/2006/relationships/hyperlink" Target="https://pbs.twimg.com/media/Eu7LVYiXYAYbxxb.jpg" TargetMode="External"/><Relationship Id="rId1035" Type="http://schemas.openxmlformats.org/officeDocument/2006/relationships/hyperlink" Target="https://pbs.twimg.com/media/Eu65e-rUUAMG4L_.jpg" TargetMode="External"/><Relationship Id="rId1242" Type="http://schemas.openxmlformats.org/officeDocument/2006/relationships/hyperlink" Target="https://lnkd.in/guxmy_k" TargetMode="External"/><Relationship Id="rId2500" Type="http://schemas.openxmlformats.org/officeDocument/2006/relationships/hyperlink" Target="https://www.mdpi.com/1420-3049/26/3/672" TargetMode="External"/><Relationship Id="rId1102" Type="http://schemas.openxmlformats.org/officeDocument/2006/relationships/hyperlink" Target="https://www.journeyhero.net/technology/" TargetMode="External"/><Relationship Id="rId4258" Type="http://schemas.openxmlformats.org/officeDocument/2006/relationships/hyperlink" Target="https://pbs.twimg.com/media/Eu3raTaXEAMH0wk.jpg" TargetMode="External"/><Relationship Id="rId3067" Type="http://schemas.openxmlformats.org/officeDocument/2006/relationships/hyperlink" Target="https://bit.ly/3siMF7o" TargetMode="External"/><Relationship Id="rId3274" Type="http://schemas.openxmlformats.org/officeDocument/2006/relationships/hyperlink" Target="https://starship-knowledge.com/" TargetMode="External"/><Relationship Id="rId4118" Type="http://schemas.openxmlformats.org/officeDocument/2006/relationships/hyperlink" Target="https://anoortech.com/" TargetMode="External"/><Relationship Id="rId195" Type="http://schemas.openxmlformats.org/officeDocument/2006/relationships/hyperlink" Target="https://pbs.twimg.com/media/Eu7cZ6kXEAIJE7g.jpg" TargetMode="External"/><Relationship Id="rId1919" Type="http://schemas.openxmlformats.org/officeDocument/2006/relationships/hyperlink" Target="https://buff.ly/3tPdLEK" TargetMode="External"/><Relationship Id="rId3481" Type="http://schemas.openxmlformats.org/officeDocument/2006/relationships/hyperlink" Target="https://pbs.twimg.com/media/Eu45m8YXAAIBg8z.jpg" TargetMode="External"/><Relationship Id="rId2083" Type="http://schemas.openxmlformats.org/officeDocument/2006/relationships/hyperlink" Target="http://www.brainkey.ai/demo" TargetMode="External"/><Relationship Id="rId2290" Type="http://schemas.openxmlformats.org/officeDocument/2006/relationships/hyperlink" Target="https://pbs.twimg.com/media/Eu5_voEXEAIMZi8.jpg" TargetMode="External"/><Relationship Id="rId3134" Type="http://schemas.openxmlformats.org/officeDocument/2006/relationships/hyperlink" Target="https://pbs.twimg.com/media/Eu5Wm18XcAAFvmx.jpg" TargetMode="External"/><Relationship Id="rId3341" Type="http://schemas.openxmlformats.org/officeDocument/2006/relationships/hyperlink" Target="https://en.wikipedia.org/wiki/Deep_learning" TargetMode="External"/><Relationship Id="rId262" Type="http://schemas.openxmlformats.org/officeDocument/2006/relationships/hyperlink" Target="https://tnw.to/f67dG" TargetMode="External"/><Relationship Id="rId2150" Type="http://schemas.openxmlformats.org/officeDocument/2006/relationships/hyperlink" Target="https://pbs.twimg.com/media/Eu6GmJcXcAA0GVV.jpg" TargetMode="External"/><Relationship Id="rId3201" Type="http://schemas.openxmlformats.org/officeDocument/2006/relationships/hyperlink" Target="http://odsc.com/" TargetMode="External"/><Relationship Id="rId122" Type="http://schemas.openxmlformats.org/officeDocument/2006/relationships/hyperlink" Target="http://www.reciprocityroi.com/" TargetMode="External"/><Relationship Id="rId2010" Type="http://schemas.openxmlformats.org/officeDocument/2006/relationships/hyperlink" Target="http://www.linkedin.com/in/josemiguelcacho" TargetMode="External"/><Relationship Id="rId1569" Type="http://schemas.openxmlformats.org/officeDocument/2006/relationships/hyperlink" Target="https://zcu.io/CzmB" TargetMode="External"/><Relationship Id="rId2967" Type="http://schemas.openxmlformats.org/officeDocument/2006/relationships/hyperlink" Target="http://www.master-cesma.it/" TargetMode="External"/><Relationship Id="rId4182" Type="http://schemas.openxmlformats.org/officeDocument/2006/relationships/hyperlink" Target="http://ipfconline.fr/contacts-eng.html" TargetMode="External"/><Relationship Id="rId939" Type="http://schemas.openxmlformats.org/officeDocument/2006/relationships/hyperlink" Target="https://pbs.twimg.com/media/Eu698bDXEAU_r8s.png" TargetMode="External"/><Relationship Id="rId1776" Type="http://schemas.openxmlformats.org/officeDocument/2006/relationships/hyperlink" Target="https://www.reddit.com/r/MachineLearning/comments/lqh9br/d_a_good_title_is_all_you_need/" TargetMode="External"/><Relationship Id="rId1983" Type="http://schemas.openxmlformats.org/officeDocument/2006/relationships/hyperlink" Target="https://medium.com/@guidaautonoma" TargetMode="External"/><Relationship Id="rId2827" Type="http://schemas.openxmlformats.org/officeDocument/2006/relationships/hyperlink" Target="https://pbs.twimg.com/media/Eu2sik6VIAE5-TA.jpg" TargetMode="External"/><Relationship Id="rId4042" Type="http://schemas.openxmlformats.org/officeDocument/2006/relationships/hyperlink" Target="https://pub.towardsai.net/tensorflow-accelerate-numpy-with-gpus-964e9087fdab?source=rss----98111c9905da---4?source=social.tw" TargetMode="External"/><Relationship Id="rId68" Type="http://schemas.openxmlformats.org/officeDocument/2006/relationships/hyperlink" Target="http://www.linkedin.com/in/mangut-sunday" TargetMode="External"/><Relationship Id="rId1429" Type="http://schemas.openxmlformats.org/officeDocument/2006/relationships/hyperlink" Target="https://pbs.twimg.com/media/Eu54qZiXEAEHSuQ.jpg" TargetMode="External"/><Relationship Id="rId1636" Type="http://schemas.openxmlformats.org/officeDocument/2006/relationships/hyperlink" Target="https://artificialtwin.com/" TargetMode="External"/><Relationship Id="rId1843" Type="http://schemas.openxmlformats.org/officeDocument/2006/relationships/hyperlink" Target="https://ai.plainenglish.io/" TargetMode="External"/><Relationship Id="rId1703" Type="http://schemas.openxmlformats.org/officeDocument/2006/relationships/hyperlink" Target="https://bit.ly/2ZH2auz" TargetMode="External"/><Relationship Id="rId1910" Type="http://schemas.openxmlformats.org/officeDocument/2006/relationships/hyperlink" Target="https://bit.ly/2P4YKPt" TargetMode="External"/><Relationship Id="rId3668" Type="http://schemas.openxmlformats.org/officeDocument/2006/relationships/hyperlink" Target="https://torch.classcat.com/2021/02/22/pytorch-lightning-1-1-notebooks-05-trainer-flags-overview-2/" TargetMode="External"/><Relationship Id="rId3875" Type="http://schemas.openxmlformats.org/officeDocument/2006/relationships/hyperlink" Target="https://pbs.twimg.com/media/Eu4SUq3VcAArTvw.jpg" TargetMode="External"/><Relationship Id="rId589" Type="http://schemas.openxmlformats.org/officeDocument/2006/relationships/hyperlink" Target="http://doi.org/10.1038/s41467-020-20657-4" TargetMode="External"/><Relationship Id="rId796" Type="http://schemas.openxmlformats.org/officeDocument/2006/relationships/hyperlink" Target="https://pkglobal.com/" TargetMode="External"/><Relationship Id="rId2477" Type="http://schemas.openxmlformats.org/officeDocument/2006/relationships/hyperlink" Target="https://bit.ly/3sp08Lb" TargetMode="External"/><Relationship Id="rId2684" Type="http://schemas.openxmlformats.org/officeDocument/2006/relationships/hyperlink" Target="https://pbs.twimg.com/media/Eu5p8rIWYAIp7o3.jpg" TargetMode="External"/><Relationship Id="rId3528" Type="http://schemas.openxmlformats.org/officeDocument/2006/relationships/hyperlink" Target="http://www.neuzida.com/" TargetMode="External"/><Relationship Id="rId3735" Type="http://schemas.openxmlformats.org/officeDocument/2006/relationships/hyperlink" Target="https://github.community/t/community-ama-featuring-mike-mcquaid-2021-02-26-2pm-utc/157900?u=hipstersantos" TargetMode="External"/><Relationship Id="rId449" Type="http://schemas.openxmlformats.org/officeDocument/2006/relationships/hyperlink" Target="https://buff.ly/3aCBCAd" TargetMode="External"/><Relationship Id="rId656" Type="http://schemas.openxmlformats.org/officeDocument/2006/relationships/hyperlink" Target="https://atg-abhishek.github.io/actionable-ai-ethics/algorithmic_content_moderation.html" TargetMode="External"/><Relationship Id="rId863" Type="http://schemas.openxmlformats.org/officeDocument/2006/relationships/hyperlink" Target="http://www.musehc.com/" TargetMode="External"/><Relationship Id="rId1079" Type="http://schemas.openxmlformats.org/officeDocument/2006/relationships/hyperlink" Target="http://pic.twitter.com/Y98AsISO4z" TargetMode="External"/><Relationship Id="rId1286" Type="http://schemas.openxmlformats.org/officeDocument/2006/relationships/hyperlink" Target="http://neurons.ai/" TargetMode="External"/><Relationship Id="rId1493" Type="http://schemas.openxmlformats.org/officeDocument/2006/relationships/hyperlink" Target="https://thedatascientist.com/about-dr-stylianos-stelios-kampakis/" TargetMode="External"/><Relationship Id="rId2337" Type="http://schemas.openxmlformats.org/officeDocument/2006/relationships/hyperlink" Target="https://bit.ly/2NW6vX9" TargetMode="External"/><Relationship Id="rId2544" Type="http://schemas.openxmlformats.org/officeDocument/2006/relationships/hyperlink" Target="http://www.datascientists.fr/" TargetMode="External"/><Relationship Id="rId2891" Type="http://schemas.openxmlformats.org/officeDocument/2006/relationships/hyperlink" Target="http://www.icrar.org/people/iwong/" TargetMode="External"/><Relationship Id="rId3942" Type="http://schemas.openxmlformats.org/officeDocument/2006/relationships/hyperlink" Target="http://bit.ly/2FGUUUd" TargetMode="External"/><Relationship Id="rId309" Type="http://schemas.openxmlformats.org/officeDocument/2006/relationships/hyperlink" Target="https://www.linkedin.com/in/paulranjan" TargetMode="External"/><Relationship Id="rId516" Type="http://schemas.openxmlformats.org/officeDocument/2006/relationships/hyperlink" Target="https://paper.li/ChristianMcM/1523033095?edition_id=b6b51f20-75f6-11eb-9fda-0cc47a0d1609" TargetMode="External"/><Relationship Id="rId1146" Type="http://schemas.openxmlformats.org/officeDocument/2006/relationships/hyperlink" Target="https://dy.si/9DszR" TargetMode="External"/><Relationship Id="rId2751" Type="http://schemas.openxmlformats.org/officeDocument/2006/relationships/hyperlink" Target="http://sdxcentral.com/" TargetMode="External"/><Relationship Id="rId3802" Type="http://schemas.openxmlformats.org/officeDocument/2006/relationships/hyperlink" Target="https://www.relecura.com/" TargetMode="External"/><Relationship Id="rId723" Type="http://schemas.openxmlformats.org/officeDocument/2006/relationships/hyperlink" Target="http://www.nordicaiinstitute.com/" TargetMode="External"/><Relationship Id="rId930" Type="http://schemas.openxmlformats.org/officeDocument/2006/relationships/hyperlink" Target="https://www.alexcastrounis.com/" TargetMode="External"/><Relationship Id="rId1006" Type="http://schemas.openxmlformats.org/officeDocument/2006/relationships/hyperlink" Target="http://www.gppulipaka.org/" TargetMode="External"/><Relationship Id="rId1353" Type="http://schemas.openxmlformats.org/officeDocument/2006/relationships/hyperlink" Target="http://www.couponfree.uk/2020/10/2020-machine-learning-and-deep-learning.html" TargetMode="External"/><Relationship Id="rId1560" Type="http://schemas.openxmlformats.org/officeDocument/2006/relationships/hyperlink" Target="https://www.cnet.com/news/twitter-labels-trump-tweet-about-mail-in-voting-for-being-potentially-misleading/" TargetMode="External"/><Relationship Id="rId2404" Type="http://schemas.openxmlformats.org/officeDocument/2006/relationships/hyperlink" Target="https://pbs.twimg.com/media/Eu55DSDXAAILQH6.png" TargetMode="External"/><Relationship Id="rId2611" Type="http://schemas.openxmlformats.org/officeDocument/2006/relationships/hyperlink" Target="https://www.youtube.com/watch?v=LnrjapbyAts" TargetMode="External"/><Relationship Id="rId1213" Type="http://schemas.openxmlformats.org/officeDocument/2006/relationships/hyperlink" Target="https://ailab.mti-vietnam.vn/" TargetMode="External"/><Relationship Id="rId1420" Type="http://schemas.openxmlformats.org/officeDocument/2006/relationships/hyperlink" Target="https://www.reddit.com/r/MachineLearning/comments/lpo2ih/theoretical_foundations_of_graph_neural_networks/" TargetMode="External"/><Relationship Id="rId3178" Type="http://schemas.openxmlformats.org/officeDocument/2006/relationships/hyperlink" Target="http://www.10alytics.org/" TargetMode="External"/><Relationship Id="rId3385" Type="http://schemas.openxmlformats.org/officeDocument/2006/relationships/hyperlink" Target="https://medium.com/ai-in-plain-english/car-repair-with-google-b4007e8deb12" TargetMode="External"/><Relationship Id="rId3592" Type="http://schemas.openxmlformats.org/officeDocument/2006/relationships/hyperlink" Target="https://pbs.twimg.com/media/Eu4wQl6XIAASp19.png" TargetMode="External"/><Relationship Id="rId4229" Type="http://schemas.openxmlformats.org/officeDocument/2006/relationships/hyperlink" Target="https://pbs.twimg.com/media/Eu3ulhmVgAMvg1c.jpg" TargetMode="External"/><Relationship Id="rId2194" Type="http://schemas.openxmlformats.org/officeDocument/2006/relationships/hyperlink" Target="https://lnkd.in/eNBvsSv" TargetMode="External"/><Relationship Id="rId3038" Type="http://schemas.openxmlformats.org/officeDocument/2006/relationships/hyperlink" Target="https://lnkd.in/ea5V_7v" TargetMode="External"/><Relationship Id="rId3245" Type="http://schemas.openxmlformats.org/officeDocument/2006/relationships/hyperlink" Target="http://www.qavalley.com/" TargetMode="External"/><Relationship Id="rId3452" Type="http://schemas.openxmlformats.org/officeDocument/2006/relationships/hyperlink" Target="https://pbs.twimg.com/media/Eu48ZmpWgAMObue.jpg" TargetMode="External"/><Relationship Id="rId166" Type="http://schemas.openxmlformats.org/officeDocument/2006/relationships/hyperlink" Target="http://www.linkedin.com/in/sajid-mirza1" TargetMode="External"/><Relationship Id="rId373" Type="http://schemas.openxmlformats.org/officeDocument/2006/relationships/hyperlink" Target="https://twitter.com/ikingofml1/status/1363691895877107715" TargetMode="External"/><Relationship Id="rId580" Type="http://schemas.openxmlformats.org/officeDocument/2006/relationships/hyperlink" Target="https://bit.ly/2MsZRrk" TargetMode="External"/><Relationship Id="rId2054" Type="http://schemas.openxmlformats.org/officeDocument/2006/relationships/hyperlink" Target="https://www.linkedin.com/in/iainljbrown/" TargetMode="External"/><Relationship Id="rId2261" Type="http://schemas.openxmlformats.org/officeDocument/2006/relationships/hyperlink" Target="https://www.inno3.it/" TargetMode="External"/><Relationship Id="rId3105" Type="http://schemas.openxmlformats.org/officeDocument/2006/relationships/hyperlink" Target="https://pbs.twimg.com/media/Eu5YHO9WgAAC5GW.png" TargetMode="External"/><Relationship Id="rId3312" Type="http://schemas.openxmlformats.org/officeDocument/2006/relationships/hyperlink" Target="https://www.couponed12.com/" TargetMode="External"/><Relationship Id="rId233" Type="http://schemas.openxmlformats.org/officeDocument/2006/relationships/hyperlink" Target="https://bit.ly/3kbPp3P" TargetMode="External"/><Relationship Id="rId440" Type="http://schemas.openxmlformats.org/officeDocument/2006/relationships/hyperlink" Target="https://pbs.twimg.com/media/Eu7SM50UUAQS4vM.jpg" TargetMode="External"/><Relationship Id="rId1070" Type="http://schemas.openxmlformats.org/officeDocument/2006/relationships/hyperlink" Target="https://bit.ly/2ZJr4ZC" TargetMode="External"/><Relationship Id="rId2121" Type="http://schemas.openxmlformats.org/officeDocument/2006/relationships/hyperlink" Target="https://techxplore.com/news/2021-02-algorithm-healthy-behaviors-social-network.html" TargetMode="External"/><Relationship Id="rId300" Type="http://schemas.openxmlformats.org/officeDocument/2006/relationships/hyperlink" Target="http://www.marktechpost.com/" TargetMode="External"/><Relationship Id="rId4086" Type="http://schemas.openxmlformats.org/officeDocument/2006/relationships/hyperlink" Target="https://bit.ly/2OYU0ux" TargetMode="External"/><Relationship Id="rId1887" Type="http://schemas.openxmlformats.org/officeDocument/2006/relationships/hyperlink" Target="https://zpy.io/d133386c" TargetMode="External"/><Relationship Id="rId2938" Type="http://schemas.openxmlformats.org/officeDocument/2006/relationships/hyperlink" Target="https://pbs.twimg.com/media/Eu5fk-LXcAARlO7.png" TargetMode="External"/><Relationship Id="rId1747" Type="http://schemas.openxmlformats.org/officeDocument/2006/relationships/hyperlink" Target="http://pubs.acs.org/jcim" TargetMode="External"/><Relationship Id="rId1954" Type="http://schemas.openxmlformats.org/officeDocument/2006/relationships/hyperlink" Target="https://pbs.twimg.com/media/Eu6Q3uGXIAEaEuu.jpg" TargetMode="External"/><Relationship Id="rId4153" Type="http://schemas.openxmlformats.org/officeDocument/2006/relationships/hyperlink" Target="https://pbs.twimg.com/media/Eu32Xr9UUAUmIAA.png" TargetMode="External"/><Relationship Id="rId39" Type="http://schemas.openxmlformats.org/officeDocument/2006/relationships/hyperlink" Target="http://www.linkedin.com/in/kirkdborne" TargetMode="External"/><Relationship Id="rId1607" Type="http://schemas.openxmlformats.org/officeDocument/2006/relationships/hyperlink" Target="https://pbs.twimg.com/media/Eu6f3MmXEAIyr1P.jpg" TargetMode="External"/><Relationship Id="rId1814" Type="http://schemas.openxmlformats.org/officeDocument/2006/relationships/hyperlink" Target="https://pbs.twimg.com/media/Eu4lGBxXIAEu4P5.jpg" TargetMode="External"/><Relationship Id="rId4013" Type="http://schemas.openxmlformats.org/officeDocument/2006/relationships/hyperlink" Target="https://www.bernardleong.com/" TargetMode="External"/><Relationship Id="rId4220" Type="http://schemas.openxmlformats.org/officeDocument/2006/relationships/hyperlink" Target="http://threatwatch.io/" TargetMode="External"/><Relationship Id="rId3779" Type="http://schemas.openxmlformats.org/officeDocument/2006/relationships/hyperlink" Target="https://www.linkedin.com/in/paulapiccard/" TargetMode="External"/><Relationship Id="rId2588" Type="http://schemas.openxmlformats.org/officeDocument/2006/relationships/hyperlink" Target="https://pbs.twimg.com/media/Eu5wWFlXUAAaxTI.jpg" TargetMode="External"/><Relationship Id="rId3986" Type="http://schemas.openxmlformats.org/officeDocument/2006/relationships/hyperlink" Target="https://buff.ly/37xcGrT" TargetMode="External"/><Relationship Id="rId1397" Type="http://schemas.openxmlformats.org/officeDocument/2006/relationships/hyperlink" Target="http://www.datascientists.fr/" TargetMode="External"/><Relationship Id="rId2795" Type="http://schemas.openxmlformats.org/officeDocument/2006/relationships/hyperlink" Target="http://www.mdpi.com/journal/computers" TargetMode="External"/><Relationship Id="rId3639" Type="http://schemas.openxmlformats.org/officeDocument/2006/relationships/hyperlink" Target="http://ow.ly/rDhT30ry0cB" TargetMode="External"/><Relationship Id="rId3846" Type="http://schemas.openxmlformats.org/officeDocument/2006/relationships/hyperlink" Target="https://superdigital.agency/" TargetMode="External"/><Relationship Id="rId767" Type="http://schemas.openxmlformats.org/officeDocument/2006/relationships/hyperlink" Target="http://www.jadbio.com/" TargetMode="External"/><Relationship Id="rId974" Type="http://schemas.openxmlformats.org/officeDocument/2006/relationships/hyperlink" Target="https://ift.tt/3pNTCMj" TargetMode="External"/><Relationship Id="rId2448" Type="http://schemas.openxmlformats.org/officeDocument/2006/relationships/hyperlink" Target="https://pbs.twimg.com/media/Eu53MYXXEAEnhyT.jpg" TargetMode="External"/><Relationship Id="rId2655" Type="http://schemas.openxmlformats.org/officeDocument/2006/relationships/hyperlink" Target="https://analyticsindiamag.com/" TargetMode="External"/><Relationship Id="rId2862" Type="http://schemas.openxmlformats.org/officeDocument/2006/relationships/hyperlink" Target="https://www.linkedin.com/in/iainljbrown/" TargetMode="External"/><Relationship Id="rId3706" Type="http://schemas.openxmlformats.org/officeDocument/2006/relationships/hyperlink" Target="https://zcu.io/aTCG" TargetMode="External"/><Relationship Id="rId3913" Type="http://schemas.openxmlformats.org/officeDocument/2006/relationships/hyperlink" Target="https://www.theverge.com/2021/1/8/22220880/hmd-nokia-6-3-4-phone-design-release-date-features-price-cameras" TargetMode="External"/><Relationship Id="rId627" Type="http://schemas.openxmlformats.org/officeDocument/2006/relationships/hyperlink" Target="https://hubs.ly/H0H463Y0" TargetMode="External"/><Relationship Id="rId834" Type="http://schemas.openxmlformats.org/officeDocument/2006/relationships/hyperlink" Target="https://neurons.ai/blog/news-stories/ct-colonography-identifies-pre-malignant-polyps-with-machine-based-learning-algorithm/" TargetMode="External"/><Relationship Id="rId1257" Type="http://schemas.openxmlformats.org/officeDocument/2006/relationships/hyperlink" Target="http://dfdnews.com/" TargetMode="External"/><Relationship Id="rId1464" Type="http://schemas.openxmlformats.org/officeDocument/2006/relationships/hyperlink" Target="https://bit.ly/3ky3zLi" TargetMode="External"/><Relationship Id="rId1671" Type="http://schemas.openxmlformats.org/officeDocument/2006/relationships/hyperlink" Target="https://buff.ly/35GWJym" TargetMode="External"/><Relationship Id="rId2308" Type="http://schemas.openxmlformats.org/officeDocument/2006/relationships/hyperlink" Target="https://pbs.twimg.com/media/Eu5-0RzUYAktXw1.jpg" TargetMode="External"/><Relationship Id="rId2515" Type="http://schemas.openxmlformats.org/officeDocument/2006/relationships/hyperlink" Target="https://bit.ly/37F0MfH" TargetMode="External"/><Relationship Id="rId2722" Type="http://schemas.openxmlformats.org/officeDocument/2006/relationships/hyperlink" Target="https://pbs.twimg.com/media/Eu5nvdoXAAYOHVY.png" TargetMode="External"/><Relationship Id="rId901" Type="http://schemas.openxmlformats.org/officeDocument/2006/relationships/hyperlink" Target="https://pbs.twimg.com/media/Eu7AVTWU4AEvdDg.jpg" TargetMode="External"/><Relationship Id="rId1117" Type="http://schemas.openxmlformats.org/officeDocument/2006/relationships/hyperlink" Target="https://pbs.twimg.com/media/Eu62oMMVgAAfznX.png" TargetMode="External"/><Relationship Id="rId1324" Type="http://schemas.openxmlformats.org/officeDocument/2006/relationships/hyperlink" Target="http://www.teldat.com/" TargetMode="External"/><Relationship Id="rId1531" Type="http://schemas.openxmlformats.org/officeDocument/2006/relationships/hyperlink" Target="https://hubs.la/H0H38Vy0" TargetMode="External"/><Relationship Id="rId30" Type="http://schemas.openxmlformats.org/officeDocument/2006/relationships/hyperlink" Target="http://www.awakenai.org/" TargetMode="External"/><Relationship Id="rId3289" Type="http://schemas.openxmlformats.org/officeDocument/2006/relationships/hyperlink" Target="http://bit.ly/3l4db0D" TargetMode="External"/><Relationship Id="rId3496" Type="http://schemas.openxmlformats.org/officeDocument/2006/relationships/hyperlink" Target="https://pbs.twimg.com/media/Eu43VIxVcAEmjzd.jpg" TargetMode="External"/><Relationship Id="rId2098" Type="http://schemas.openxmlformats.org/officeDocument/2006/relationships/hyperlink" Target="http://neurons.ai/" TargetMode="External"/><Relationship Id="rId3149" Type="http://schemas.openxmlformats.org/officeDocument/2006/relationships/hyperlink" Target="https://balavenkatesh.com/" TargetMode="External"/><Relationship Id="rId3356" Type="http://schemas.openxmlformats.org/officeDocument/2006/relationships/hyperlink" Target="https://bit.ly/2ZgRP7u" TargetMode="External"/><Relationship Id="rId3563" Type="http://schemas.openxmlformats.org/officeDocument/2006/relationships/hyperlink" Target="https://appadvice.com/app/lets-talk-app/1445392001" TargetMode="External"/><Relationship Id="rId277" Type="http://schemas.openxmlformats.org/officeDocument/2006/relationships/hyperlink" Target="https://github.com/akshitagupta15june" TargetMode="External"/><Relationship Id="rId484" Type="http://schemas.openxmlformats.org/officeDocument/2006/relationships/hyperlink" Target="https://medium.com/product-ai/how-to-save-340-on-a-single-ml-experiment-using-rapids-2f7273979f1a" TargetMode="External"/><Relationship Id="rId2165" Type="http://schemas.openxmlformats.org/officeDocument/2006/relationships/hyperlink" Target="http://www.blackwomeninai.com/" TargetMode="External"/><Relationship Id="rId3009" Type="http://schemas.openxmlformats.org/officeDocument/2006/relationships/hyperlink" Target="https://ift.tt/3bgXKPx" TargetMode="External"/><Relationship Id="rId3216" Type="http://schemas.openxmlformats.org/officeDocument/2006/relationships/hyperlink" Target="https://pbs.twimg.com/media/Eu5P2iSWQAA-fel.jpg" TargetMode="External"/><Relationship Id="rId3770" Type="http://schemas.openxmlformats.org/officeDocument/2006/relationships/hyperlink" Target="https://www.linkedin.com/in/danieluriol/" TargetMode="External"/><Relationship Id="rId137" Type="http://schemas.openxmlformats.org/officeDocument/2006/relationships/hyperlink" Target="http://www.relx.com/" TargetMode="External"/><Relationship Id="rId344" Type="http://schemas.openxmlformats.org/officeDocument/2006/relationships/hyperlink" Target="http://www.quantiacs.com/" TargetMode="External"/><Relationship Id="rId691" Type="http://schemas.openxmlformats.org/officeDocument/2006/relationships/hyperlink" Target="https://anoortech.com/" TargetMode="External"/><Relationship Id="rId2025" Type="http://schemas.openxmlformats.org/officeDocument/2006/relationships/hyperlink" Target="https://www.youtube.com/channel/UCsIEOS0xrU7jUmQ_5l8m-RA" TargetMode="External"/><Relationship Id="rId2372" Type="http://schemas.openxmlformats.org/officeDocument/2006/relationships/hyperlink" Target="http://datamining24.com/" TargetMode="External"/><Relationship Id="rId3423" Type="http://schemas.openxmlformats.org/officeDocument/2006/relationships/hyperlink" Target="https://www.itviconsultants.com/" TargetMode="External"/><Relationship Id="rId3630" Type="http://schemas.openxmlformats.org/officeDocument/2006/relationships/hyperlink" Target="https://arxiv.org/ftp/arxiv/papers/2102/2102.10052.pdf" TargetMode="External"/><Relationship Id="rId551" Type="http://schemas.openxmlformats.org/officeDocument/2006/relationships/hyperlink" Target="https://twitter.com/elonmusk/status/1364180853866131456" TargetMode="External"/><Relationship Id="rId1181" Type="http://schemas.openxmlformats.org/officeDocument/2006/relationships/hyperlink" Target="https://apple.news/AsWdweMzNSku8ynS3QnOhGg" TargetMode="External"/><Relationship Id="rId2232" Type="http://schemas.openxmlformats.org/officeDocument/2006/relationships/hyperlink" Target="https://bit.ly/2Np7kYY" TargetMode="External"/><Relationship Id="rId204" Type="http://schemas.openxmlformats.org/officeDocument/2006/relationships/hyperlink" Target="https://www.sayistay.gov.tr/en/?p=2&amp;CategoryId=43" TargetMode="External"/><Relationship Id="rId411" Type="http://schemas.openxmlformats.org/officeDocument/2006/relationships/hyperlink" Target="https://eugeniozuccarelli.com/" TargetMode="External"/><Relationship Id="rId1041" Type="http://schemas.openxmlformats.org/officeDocument/2006/relationships/hyperlink" Target="https://bit.ly/3qNgwok" TargetMode="External"/><Relationship Id="rId1998" Type="http://schemas.openxmlformats.org/officeDocument/2006/relationships/hyperlink" Target="http://pic.twitter.com/Oh2vSLdSMJ" TargetMode="External"/><Relationship Id="rId4197" Type="http://schemas.openxmlformats.org/officeDocument/2006/relationships/hyperlink" Target="https://ai.plainenglish.io/" TargetMode="External"/><Relationship Id="rId1858" Type="http://schemas.openxmlformats.org/officeDocument/2006/relationships/hyperlink" Target="http://pic.twitter.com/bd6dl1mZGm" TargetMode="External"/><Relationship Id="rId4057" Type="http://schemas.openxmlformats.org/officeDocument/2006/relationships/hyperlink" Target="http://pic.twitter.com/ipQVjB4OUM" TargetMode="External"/><Relationship Id="rId4264" Type="http://schemas.openxmlformats.org/officeDocument/2006/relationships/hyperlink" Target="http://tamaramccleary.com/" TargetMode="External"/><Relationship Id="rId2909" Type="http://schemas.openxmlformats.org/officeDocument/2006/relationships/hyperlink" Target="https://pbs.twimg.com/media/Eu5hU3BXYAEXgm9.jpg" TargetMode="External"/><Relationship Id="rId3073" Type="http://schemas.openxmlformats.org/officeDocument/2006/relationships/hyperlink" Target="https://catherinescareercorner.com/" TargetMode="External"/><Relationship Id="rId3280" Type="http://schemas.openxmlformats.org/officeDocument/2006/relationships/hyperlink" Target="http://dataisgood.com/" TargetMode="External"/><Relationship Id="rId4124" Type="http://schemas.openxmlformats.org/officeDocument/2006/relationships/hyperlink" Target="https://bit.ly/37GmyzD" TargetMode="External"/><Relationship Id="rId1718" Type="http://schemas.openxmlformats.org/officeDocument/2006/relationships/hyperlink" Target="http://kevindewalt.com/" TargetMode="External"/><Relationship Id="rId1925" Type="http://schemas.openxmlformats.org/officeDocument/2006/relationships/hyperlink" Target="https://pbs.twimg.com/media/EnAQSQlXIAsOmyQ.jpg" TargetMode="External"/><Relationship Id="rId3140" Type="http://schemas.openxmlformats.org/officeDocument/2006/relationships/hyperlink" Target="http://www.bittimeprofessionals.it/" TargetMode="External"/><Relationship Id="rId2699" Type="http://schemas.openxmlformats.org/officeDocument/2006/relationships/hyperlink" Target="https://supersalo.herokuapp.com/" TargetMode="External"/><Relationship Id="rId3000" Type="http://schemas.openxmlformats.org/officeDocument/2006/relationships/hyperlink" Target="https://pbs.twimg.com/media/EUqnDQSUYAAheUH.png" TargetMode="External"/><Relationship Id="rId3957" Type="http://schemas.openxmlformats.org/officeDocument/2006/relationships/hyperlink" Target="http://neurons.ai/" TargetMode="External"/><Relationship Id="rId878" Type="http://schemas.openxmlformats.org/officeDocument/2006/relationships/hyperlink" Target="https://link.medium.com/rMX8iBn86db" TargetMode="External"/><Relationship Id="rId2559" Type="http://schemas.openxmlformats.org/officeDocument/2006/relationships/hyperlink" Target="https://www.healthcareitnews.com/news/ai-enabled-radiomics-next-frontier-oncology" TargetMode="External"/><Relationship Id="rId2766" Type="http://schemas.openxmlformats.org/officeDocument/2006/relationships/hyperlink" Target="https://bit.ly/3dCznhY" TargetMode="External"/><Relationship Id="rId2973" Type="http://schemas.openxmlformats.org/officeDocument/2006/relationships/hyperlink" Target="http://aithority.com/" TargetMode="External"/><Relationship Id="rId3817" Type="http://schemas.openxmlformats.org/officeDocument/2006/relationships/hyperlink" Target="https://bit.ly/3pRzH03" TargetMode="External"/><Relationship Id="rId738" Type="http://schemas.openxmlformats.org/officeDocument/2006/relationships/hyperlink" Target="http://news.andreasmunzel.com/?edition_id=7824ae10-75f1-11eb-a51d-0cc47a0d164b" TargetMode="External"/><Relationship Id="rId945" Type="http://schemas.openxmlformats.org/officeDocument/2006/relationships/hyperlink" Target="https://www.youtube.com/juliensimonfr" TargetMode="External"/><Relationship Id="rId1368" Type="http://schemas.openxmlformats.org/officeDocument/2006/relationships/hyperlink" Target="http://www.cambridgeconsultants.com/" TargetMode="External"/><Relationship Id="rId1575" Type="http://schemas.openxmlformats.org/officeDocument/2006/relationships/hyperlink" Target="https://www.poetryassessor.com/" TargetMode="External"/><Relationship Id="rId1782" Type="http://schemas.openxmlformats.org/officeDocument/2006/relationships/hyperlink" Target="http://bit.ly/ML-Development-Company" TargetMode="External"/><Relationship Id="rId2419" Type="http://schemas.openxmlformats.org/officeDocument/2006/relationships/hyperlink" Target="http://www.domesticatedbrain.com/" TargetMode="External"/><Relationship Id="rId2626" Type="http://schemas.openxmlformats.org/officeDocument/2006/relationships/hyperlink" Target="https://nituno.com/home/complete-guide-to-sell-ai/" TargetMode="External"/><Relationship Id="rId2833" Type="http://schemas.openxmlformats.org/officeDocument/2006/relationships/hyperlink" Target="https://twitter.com/Theslimevids/status/1345702787930230785" TargetMode="External"/><Relationship Id="rId74" Type="http://schemas.openxmlformats.org/officeDocument/2006/relationships/hyperlink" Target="https://paullopez.ai/" TargetMode="External"/><Relationship Id="rId805" Type="http://schemas.openxmlformats.org/officeDocument/2006/relationships/hyperlink" Target="https://bit.ly/2LpxdXv" TargetMode="External"/><Relationship Id="rId1228" Type="http://schemas.openxmlformats.org/officeDocument/2006/relationships/hyperlink" Target="http://pic.twitter.com/pdqEkPS5ow" TargetMode="External"/><Relationship Id="rId1435" Type="http://schemas.openxmlformats.org/officeDocument/2006/relationships/hyperlink" Target="https://pbs.twimg.com/media/Eu6oKjhU4AMycPj.jpg" TargetMode="External"/><Relationship Id="rId1642" Type="http://schemas.openxmlformats.org/officeDocument/2006/relationships/hyperlink" Target="https://www.itviconsultants.com/" TargetMode="External"/><Relationship Id="rId2900" Type="http://schemas.openxmlformats.org/officeDocument/2006/relationships/hyperlink" Target="http://www.awakenai.org/" TargetMode="External"/><Relationship Id="rId1502" Type="http://schemas.openxmlformats.org/officeDocument/2006/relationships/hyperlink" Target="https://deepai.org/machine-learning-glossary-and-terms/vector" TargetMode="External"/><Relationship Id="rId388" Type="http://schemas.openxmlformats.org/officeDocument/2006/relationships/hyperlink" Target="https://pbs.twimg.com/media/Eu7StShXIAE_2yk.png" TargetMode="External"/><Relationship Id="rId2069" Type="http://schemas.openxmlformats.org/officeDocument/2006/relationships/hyperlink" Target="http://www.robofied.com/" TargetMode="External"/><Relationship Id="rId3467" Type="http://schemas.openxmlformats.org/officeDocument/2006/relationships/hyperlink" Target="https://pbs.twimg.com/media/Eu47CawXMAE5SOG.jpg" TargetMode="External"/><Relationship Id="rId3674" Type="http://schemas.openxmlformats.org/officeDocument/2006/relationships/hyperlink" Target="https://www.wevolver.com/article/a-machine-learning-approach-to-finding-treatment-options-for-covid-19" TargetMode="External"/><Relationship Id="rId3881" Type="http://schemas.openxmlformats.org/officeDocument/2006/relationships/hyperlink" Target="https://buff.ly/3pLdwaw" TargetMode="External"/><Relationship Id="rId595" Type="http://schemas.openxmlformats.org/officeDocument/2006/relationships/hyperlink" Target="http://ssidecisions.com/" TargetMode="External"/><Relationship Id="rId2276" Type="http://schemas.openxmlformats.org/officeDocument/2006/relationships/hyperlink" Target="https://pbs.twimg.com/media/Eu6ABCNXYAI3_6t.jpg" TargetMode="External"/><Relationship Id="rId2483" Type="http://schemas.openxmlformats.org/officeDocument/2006/relationships/hyperlink" Target="https://pbs.twimg.com/media/Eu50y2zWQAMzF_h.jpg" TargetMode="External"/><Relationship Id="rId2690" Type="http://schemas.openxmlformats.org/officeDocument/2006/relationships/hyperlink" Target="http://bit.ly/2QVn4k5" TargetMode="External"/><Relationship Id="rId3327" Type="http://schemas.openxmlformats.org/officeDocument/2006/relationships/hyperlink" Target="https://youtu.be/VnTlW572Sc4" TargetMode="External"/><Relationship Id="rId3534" Type="http://schemas.openxmlformats.org/officeDocument/2006/relationships/hyperlink" Target="https://pbs.twimg.com/media/Eu41F0bVkAA6sZP.jpg" TargetMode="External"/><Relationship Id="rId3741" Type="http://schemas.openxmlformats.org/officeDocument/2006/relationships/hyperlink" Target="https://bit.ly/2OZ7WER" TargetMode="External"/><Relationship Id="rId248" Type="http://schemas.openxmlformats.org/officeDocument/2006/relationships/hyperlink" Target="https://pbs.twimg.com/media/Eu5ntNPUYAMGM1J.jpg" TargetMode="External"/><Relationship Id="rId455" Type="http://schemas.openxmlformats.org/officeDocument/2006/relationships/hyperlink" Target="https://pbs.twimg.com/media/Eu7SGgkXEAIxYiP.png" TargetMode="External"/><Relationship Id="rId662" Type="http://schemas.openxmlformats.org/officeDocument/2006/relationships/hyperlink" Target="https://hubs.ly/H0H45gG0" TargetMode="External"/><Relationship Id="rId1085" Type="http://schemas.openxmlformats.org/officeDocument/2006/relationships/hyperlink" Target="https://searchenterpriseai.techtarget.com/quiz/Do-you-have-competitive-data-science-key-skills" TargetMode="External"/><Relationship Id="rId1292" Type="http://schemas.openxmlformats.org/officeDocument/2006/relationships/hyperlink" Target="http://neurons.ai/" TargetMode="External"/><Relationship Id="rId2136" Type="http://schemas.openxmlformats.org/officeDocument/2006/relationships/hyperlink" Target="http://dice.com/" TargetMode="External"/><Relationship Id="rId2343" Type="http://schemas.openxmlformats.org/officeDocument/2006/relationships/hyperlink" Target="https://dataly.st/blog-post/what-is-the-future-of-data-science-courses-post-covid/" TargetMode="External"/><Relationship Id="rId2550" Type="http://schemas.openxmlformats.org/officeDocument/2006/relationships/hyperlink" Target="https://medium.com/swlh/sentiment-analysis-from-scratch-with-logistic-regression-ca6f119256ab?source=rss-------8-----------------artificial_intelligence" TargetMode="External"/><Relationship Id="rId3601" Type="http://schemas.openxmlformats.org/officeDocument/2006/relationships/hyperlink" Target="http://gamuts.net/" TargetMode="External"/><Relationship Id="rId108" Type="http://schemas.openxmlformats.org/officeDocument/2006/relationships/hyperlink" Target="http://bit.ly/3qHT3Vy" TargetMode="External"/><Relationship Id="rId315" Type="http://schemas.openxmlformats.org/officeDocument/2006/relationships/hyperlink" Target="https://www.wojcieh.net/" TargetMode="External"/><Relationship Id="rId522" Type="http://schemas.openxmlformats.org/officeDocument/2006/relationships/hyperlink" Target="https://pbs.twimg.com/media/Eu7OszKVIAMkoMe.jpg" TargetMode="External"/><Relationship Id="rId1152" Type="http://schemas.openxmlformats.org/officeDocument/2006/relationships/hyperlink" Target="https://www.pyimagesearch.com/" TargetMode="External"/><Relationship Id="rId2203" Type="http://schemas.openxmlformats.org/officeDocument/2006/relationships/hyperlink" Target="https://pbs.twimg.com/media/Eu6Dg4GXIAArGBz.jpg" TargetMode="External"/><Relationship Id="rId2410" Type="http://schemas.openxmlformats.org/officeDocument/2006/relationships/hyperlink" Target="https://tinyurl.com/y7g2jk8c" TargetMode="External"/><Relationship Id="rId1012" Type="http://schemas.openxmlformats.org/officeDocument/2006/relationships/hyperlink" Target="http://bit.ly/3qZM0YB" TargetMode="External"/><Relationship Id="rId4168" Type="http://schemas.openxmlformats.org/officeDocument/2006/relationships/hyperlink" Target="http://www.sw4c.org/" TargetMode="External"/><Relationship Id="rId1969" Type="http://schemas.openxmlformats.org/officeDocument/2006/relationships/hyperlink" Target="http://www.nigeriabroad.com/" TargetMode="External"/><Relationship Id="rId3184" Type="http://schemas.openxmlformats.org/officeDocument/2006/relationships/hyperlink" Target="http://www.methods-online.com/" TargetMode="External"/><Relationship Id="rId4028" Type="http://schemas.openxmlformats.org/officeDocument/2006/relationships/hyperlink" Target="http://www.margarisventures.com/" TargetMode="External"/><Relationship Id="rId4235" Type="http://schemas.openxmlformats.org/officeDocument/2006/relationships/hyperlink" Target="http://www.corizance.com/" TargetMode="External"/><Relationship Id="rId1829" Type="http://schemas.openxmlformats.org/officeDocument/2006/relationships/hyperlink" Target="https://buff.ly/3pOOFUa" TargetMode="External"/><Relationship Id="rId3391" Type="http://schemas.openxmlformats.org/officeDocument/2006/relationships/hyperlink" Target="http://neurons.ai/" TargetMode="External"/><Relationship Id="rId3044" Type="http://schemas.openxmlformats.org/officeDocument/2006/relationships/hyperlink" Target="https://www.linkedin.com/in/ingliguori/" TargetMode="External"/><Relationship Id="rId3251" Type="http://schemas.openxmlformats.org/officeDocument/2006/relationships/hyperlink" Target="https://pbs.twimg.com/media/Eu5AqrDUYAYbgCO.jpg" TargetMode="External"/><Relationship Id="rId172" Type="http://schemas.openxmlformats.org/officeDocument/2006/relationships/hyperlink" Target="https://bit.ly/36l0zNQ" TargetMode="External"/><Relationship Id="rId2060" Type="http://schemas.openxmlformats.org/officeDocument/2006/relationships/hyperlink" Target="https://www.linkedin.com/pulse/ftc-consent-order-shines-light-term-conspicuous-odia" TargetMode="External"/><Relationship Id="rId3111" Type="http://schemas.openxmlformats.org/officeDocument/2006/relationships/hyperlink" Target="https://pbs.twimg.com/media/Eu5XwBJVcAMq43R.jpg" TargetMode="External"/><Relationship Id="rId989" Type="http://schemas.openxmlformats.org/officeDocument/2006/relationships/hyperlink" Target="https://bit.ly/3bRwu8B" TargetMode="External"/><Relationship Id="rId2877" Type="http://schemas.openxmlformats.org/officeDocument/2006/relationships/hyperlink" Target="https://essentials.news/cybersecurity/innovations-and-trends/article?url=https://www.forbes.com/sites/forbestechcouncil/2021/02/18/four-ways-ai-and-machine-learning-will-drive-future-innovation-and-change/amp/%3Fsh%3D7b12c5eb21a8%26__twitter_impression%3Dtrue" TargetMode="External"/><Relationship Id="rId849" Type="http://schemas.openxmlformats.org/officeDocument/2006/relationships/hyperlink" Target="http://dfdnews.com/" TargetMode="External"/><Relationship Id="rId1479" Type="http://schemas.openxmlformats.org/officeDocument/2006/relationships/hyperlink" Target="https://www.cogneed.ai/" TargetMode="External"/><Relationship Id="rId1686" Type="http://schemas.openxmlformats.org/officeDocument/2006/relationships/hyperlink" Target="https://youtu.be/ne9eZ4ezg0Y" TargetMode="External"/><Relationship Id="rId3928" Type="http://schemas.openxmlformats.org/officeDocument/2006/relationships/hyperlink" Target="http://www.buysidereport.com/" TargetMode="External"/><Relationship Id="rId4092" Type="http://schemas.openxmlformats.org/officeDocument/2006/relationships/hyperlink" Target="http://ipfconline.fr/contacts-eng.html" TargetMode="External"/><Relationship Id="rId1339" Type="http://schemas.openxmlformats.org/officeDocument/2006/relationships/hyperlink" Target="https://www.itviconsultants.com/" TargetMode="External"/><Relationship Id="rId1893" Type="http://schemas.openxmlformats.org/officeDocument/2006/relationships/hyperlink" Target="https://pbs.twimg.com/media/Eu56-lNXcAImW2t.jpg" TargetMode="External"/><Relationship Id="rId2737" Type="http://schemas.openxmlformats.org/officeDocument/2006/relationships/hyperlink" Target="https://pbs.twimg.com/media/Eu5k-XXXMAA16Z4.jpg" TargetMode="External"/><Relationship Id="rId2944" Type="http://schemas.openxmlformats.org/officeDocument/2006/relationships/hyperlink" Target="https://www.youtube.com/watch?v=3mQfd5YxxRA" TargetMode="External"/><Relationship Id="rId709" Type="http://schemas.openxmlformats.org/officeDocument/2006/relationships/hyperlink" Target="https://tinyurl.com/y8duyu2w" TargetMode="External"/><Relationship Id="rId916" Type="http://schemas.openxmlformats.org/officeDocument/2006/relationships/hyperlink" Target="http://bit.ly/2NTjzNf" TargetMode="External"/><Relationship Id="rId1546" Type="http://schemas.openxmlformats.org/officeDocument/2006/relationships/hyperlink" Target="https://machinelearningflx.com/" TargetMode="External"/><Relationship Id="rId1753" Type="http://schemas.openxmlformats.org/officeDocument/2006/relationships/hyperlink" Target="https://www.pro-sapien.com/blog/how-ai-has-advanced-during-21st-century-and-where-its-headed/" TargetMode="External"/><Relationship Id="rId1960" Type="http://schemas.openxmlformats.org/officeDocument/2006/relationships/hyperlink" Target="https://www.linkedin.com/in/craigbrownphd" TargetMode="External"/><Relationship Id="rId2804" Type="http://schemas.openxmlformats.org/officeDocument/2006/relationships/hyperlink" Target="https://the-next-tech.com/" TargetMode="External"/><Relationship Id="rId45" Type="http://schemas.openxmlformats.org/officeDocument/2006/relationships/hyperlink" Target="http://www.dld.co/" TargetMode="External"/><Relationship Id="rId1406" Type="http://schemas.openxmlformats.org/officeDocument/2006/relationships/hyperlink" Target="https://pbs.twimg.com/media/Eu6o9vGVIAEIUfl.jpg" TargetMode="External"/><Relationship Id="rId1613" Type="http://schemas.openxmlformats.org/officeDocument/2006/relationships/hyperlink" Target="https://pbs.twimg.com/media/Eu6fTwyXEAUPzPW.jpg" TargetMode="External"/><Relationship Id="rId1820" Type="http://schemas.openxmlformats.org/officeDocument/2006/relationships/hyperlink" Target="https://mailchi.mp/facespace.ai/home" TargetMode="External"/><Relationship Id="rId3578" Type="http://schemas.openxmlformats.org/officeDocument/2006/relationships/hyperlink" Target="https://pbs.twimg.com/media/Eu4ylNmVgAMj8Et.jpg" TargetMode="External"/><Relationship Id="rId3785" Type="http://schemas.openxmlformats.org/officeDocument/2006/relationships/hyperlink" Target="http://verinite.com/" TargetMode="External"/><Relationship Id="rId3992" Type="http://schemas.openxmlformats.org/officeDocument/2006/relationships/hyperlink" Target="http://dlvr.it/RtGmPc" TargetMode="External"/><Relationship Id="rId499" Type="http://schemas.openxmlformats.org/officeDocument/2006/relationships/hyperlink" Target="https://pbs.twimg.com/media/Eu7P7VvVIAEoaxd.jpg" TargetMode="External"/><Relationship Id="rId2387" Type="http://schemas.openxmlformats.org/officeDocument/2006/relationships/hyperlink" Target="https://pbs.twimg.com/media/Eu54LObVgAUS0OW.jpg" TargetMode="External"/><Relationship Id="rId2594" Type="http://schemas.openxmlformats.org/officeDocument/2006/relationships/hyperlink" Target="http://www.informationweek.com/big-data/ai-machine-learning/what-lawyers-want-everyone-to-know-about-ai-liability/a/d-id/1340211" TargetMode="External"/><Relationship Id="rId3438" Type="http://schemas.openxmlformats.org/officeDocument/2006/relationships/hyperlink" Target="https://pbs.twimg.com/media/Eu494wNVkAA0xlJ.jpg" TargetMode="External"/><Relationship Id="rId3645" Type="http://schemas.openxmlformats.org/officeDocument/2006/relationships/hyperlink" Target="https://www.c-sharpcorner.com/blogs/top-3-giant-tech-trends-in-2021" TargetMode="External"/><Relationship Id="rId3852" Type="http://schemas.openxmlformats.org/officeDocument/2006/relationships/hyperlink" Target="https://pbs.twimg.com/media/Eu4Vys6XEAI-Aq5.png" TargetMode="External"/><Relationship Id="rId359" Type="http://schemas.openxmlformats.org/officeDocument/2006/relationships/hyperlink" Target="http://nature.com/natcancer" TargetMode="External"/><Relationship Id="rId566" Type="http://schemas.openxmlformats.org/officeDocument/2006/relationships/hyperlink" Target="https://pbs.twimg.com/media/EunwY0DXMAMPzmV.png" TargetMode="External"/><Relationship Id="rId773" Type="http://schemas.openxmlformats.org/officeDocument/2006/relationships/hyperlink" Target="http://ow.ly/JGI230rxLIa" TargetMode="External"/><Relationship Id="rId1196" Type="http://schemas.openxmlformats.org/officeDocument/2006/relationships/hyperlink" Target="http://ow.ly/JbXP50DHDUM" TargetMode="External"/><Relationship Id="rId2247" Type="http://schemas.openxmlformats.org/officeDocument/2006/relationships/hyperlink" Target="http://www.aqai.io/" TargetMode="External"/><Relationship Id="rId2454" Type="http://schemas.openxmlformats.org/officeDocument/2006/relationships/hyperlink" Target="https://neurons.ai/blog/news-stories/what-is-geometric-deep-learning/" TargetMode="External"/><Relationship Id="rId3505" Type="http://schemas.openxmlformats.org/officeDocument/2006/relationships/hyperlink" Target="https://pbs.twimg.com/media/Eu43qBVXMAI8XHh.jpg" TargetMode="External"/><Relationship Id="rId219" Type="http://schemas.openxmlformats.org/officeDocument/2006/relationships/hyperlink" Target="https://bit.ly/3seLFBg" TargetMode="External"/><Relationship Id="rId426" Type="http://schemas.openxmlformats.org/officeDocument/2006/relationships/hyperlink" Target="https://pbs.twimg.com/media/Eu7Sp2LXMAAb_pQ.jpg" TargetMode="External"/><Relationship Id="rId633" Type="http://schemas.openxmlformats.org/officeDocument/2006/relationships/hyperlink" Target="http://www.bioenabletech.com/" TargetMode="External"/><Relationship Id="rId980" Type="http://schemas.openxmlformats.org/officeDocument/2006/relationships/hyperlink" Target="https://linktr.ee/mlearning" TargetMode="External"/><Relationship Id="rId1056" Type="http://schemas.openxmlformats.org/officeDocument/2006/relationships/hyperlink" Target="http://mey-research.org/" TargetMode="External"/><Relationship Id="rId1263" Type="http://schemas.openxmlformats.org/officeDocument/2006/relationships/hyperlink" Target="https://pbs.twimg.com/media/Eu5BDsOVkAI77ec.jpg" TargetMode="External"/><Relationship Id="rId2107" Type="http://schemas.openxmlformats.org/officeDocument/2006/relationships/hyperlink" Target="https://pbs.twimg.com/media/Eu6IMpaXEAEh_v5.jpg" TargetMode="External"/><Relationship Id="rId2314" Type="http://schemas.openxmlformats.org/officeDocument/2006/relationships/hyperlink" Target="http://www.xors.com/" TargetMode="External"/><Relationship Id="rId2661" Type="http://schemas.openxmlformats.org/officeDocument/2006/relationships/hyperlink" Target="http://www.grupocmc.es/" TargetMode="External"/><Relationship Id="rId3712" Type="http://schemas.openxmlformats.org/officeDocument/2006/relationships/hyperlink" Target="http://adnanhashmi.co/" TargetMode="External"/><Relationship Id="rId840" Type="http://schemas.openxmlformats.org/officeDocument/2006/relationships/hyperlink" Target="https://twitter.com/0xBanana/status/1363297507913191425" TargetMode="External"/><Relationship Id="rId1470" Type="http://schemas.openxmlformats.org/officeDocument/2006/relationships/hyperlink" Target="http://linkedin.com/in/shanebrighton" TargetMode="External"/><Relationship Id="rId2521" Type="http://schemas.openxmlformats.org/officeDocument/2006/relationships/hyperlink" Target="https://okt.to/HtN1cA" TargetMode="External"/><Relationship Id="rId700" Type="http://schemas.openxmlformats.org/officeDocument/2006/relationships/hyperlink" Target="http://ow.ly/C9OW30rxVdK" TargetMode="External"/><Relationship Id="rId1123" Type="http://schemas.openxmlformats.org/officeDocument/2006/relationships/hyperlink" Target="https://www.reddit.com/r/MachineLearning/" TargetMode="External"/><Relationship Id="rId1330" Type="http://schemas.openxmlformats.org/officeDocument/2006/relationships/hyperlink" Target="https://bit.ly/3qOgBrJ" TargetMode="External"/><Relationship Id="rId3088" Type="http://schemas.openxmlformats.org/officeDocument/2006/relationships/hyperlink" Target="https://machinelearningmastery.com/regression-metrics-for-machine-learning/" TargetMode="External"/><Relationship Id="rId3295" Type="http://schemas.openxmlformats.org/officeDocument/2006/relationships/hyperlink" Target="http://pic.twitter.com/wTpk2vEdKH" TargetMode="External"/><Relationship Id="rId4139" Type="http://schemas.openxmlformats.org/officeDocument/2006/relationships/hyperlink" Target="http://www.margarisventures.com/" TargetMode="External"/><Relationship Id="rId3155" Type="http://schemas.openxmlformats.org/officeDocument/2006/relationships/hyperlink" Target="https://venturebeat.com/2021/02/22/googles-voice-ai-accelerator-launches-12-startups/" TargetMode="External"/><Relationship Id="rId3362" Type="http://schemas.openxmlformats.org/officeDocument/2006/relationships/hyperlink" Target="https://jovian.ai/learn/data-analysis-with-python-zero-to-pandas" TargetMode="External"/><Relationship Id="rId4206" Type="http://schemas.openxmlformats.org/officeDocument/2006/relationships/hyperlink" Target="https://pbs.twimg.com/media/Eu3waJhWgAUb4hq.jpg" TargetMode="External"/><Relationship Id="rId283" Type="http://schemas.openxmlformats.org/officeDocument/2006/relationships/hyperlink" Target="http://www.la-forge.ai/" TargetMode="External"/><Relationship Id="rId490" Type="http://schemas.openxmlformats.org/officeDocument/2006/relationships/hyperlink" Target="https://cutt.ly/QgAUsF0" TargetMode="External"/><Relationship Id="rId2171" Type="http://schemas.openxmlformats.org/officeDocument/2006/relationships/hyperlink" Target="https://pbs.twimg.com/media/Eu6Fdl5VkAUDT7R.jpg" TargetMode="External"/><Relationship Id="rId3015" Type="http://schemas.openxmlformats.org/officeDocument/2006/relationships/hyperlink" Target="https://medium.com/@guidaautonoma" TargetMode="External"/><Relationship Id="rId3222" Type="http://schemas.openxmlformats.org/officeDocument/2006/relationships/hyperlink" Target="https://pbs.twimg.com/media/Eu5PnP7WQAATVH8.jpg" TargetMode="External"/><Relationship Id="rId143" Type="http://schemas.openxmlformats.org/officeDocument/2006/relationships/hyperlink" Target="https://medicalxpress.com/news/2021-02-machine-method-precancerous-colon-polyps.html" TargetMode="External"/><Relationship Id="rId350" Type="http://schemas.openxmlformats.org/officeDocument/2006/relationships/hyperlink" Target="https://www.aineurocare.com/junaidkalia" TargetMode="External"/><Relationship Id="rId2031" Type="http://schemas.openxmlformats.org/officeDocument/2006/relationships/hyperlink" Target="https://buff.ly/3iwvTy5" TargetMode="External"/><Relationship Id="rId9" Type="http://schemas.openxmlformats.org/officeDocument/2006/relationships/hyperlink" Target="https://fortune.com/2021/01/31/ai-ethics-why-companies-are-thinking-twice-artificial-intelligence/" TargetMode="External"/><Relationship Id="rId210" Type="http://schemas.openxmlformats.org/officeDocument/2006/relationships/hyperlink" Target="https://www.instagram.com/dailycodinghabit/" TargetMode="External"/><Relationship Id="rId2988" Type="http://schemas.openxmlformats.org/officeDocument/2006/relationships/hyperlink" Target="https://bit.ly/3bzvWpR" TargetMode="External"/><Relationship Id="rId1797" Type="http://schemas.openxmlformats.org/officeDocument/2006/relationships/hyperlink" Target="https://techflx.com/product-category/books/" TargetMode="External"/><Relationship Id="rId2848" Type="http://schemas.openxmlformats.org/officeDocument/2006/relationships/hyperlink" Target="https://buff.ly/3bnX909" TargetMode="External"/><Relationship Id="rId89" Type="http://schemas.openxmlformats.org/officeDocument/2006/relationships/hyperlink" Target="http://about.me/tariqrashid" TargetMode="External"/><Relationship Id="rId1657" Type="http://schemas.openxmlformats.org/officeDocument/2006/relationships/hyperlink" Target="http://pic.twitter.com/QtoCLkAFDY" TargetMode="External"/><Relationship Id="rId1864" Type="http://schemas.openxmlformats.org/officeDocument/2006/relationships/hyperlink" Target="http://ethrworld.com/" TargetMode="External"/><Relationship Id="rId2708" Type="http://schemas.openxmlformats.org/officeDocument/2006/relationships/hyperlink" Target="https://tudip.com/" TargetMode="External"/><Relationship Id="rId2915" Type="http://schemas.openxmlformats.org/officeDocument/2006/relationships/hyperlink" Target="http://www.awakenai.org/" TargetMode="External"/><Relationship Id="rId4063" Type="http://schemas.openxmlformats.org/officeDocument/2006/relationships/hyperlink" Target="http://www.manyworlds.com/" TargetMode="External"/><Relationship Id="rId4270" Type="http://schemas.openxmlformats.org/officeDocument/2006/relationships/hyperlink" Target="https://hubs.ly/H0GXl_40" TargetMode="External"/><Relationship Id="rId1517" Type="http://schemas.openxmlformats.org/officeDocument/2006/relationships/hyperlink" Target="https://pbs.twimg.com/media/Eu6jvxnVcAId0Uz.png" TargetMode="External"/><Relationship Id="rId1724" Type="http://schemas.openxmlformats.org/officeDocument/2006/relationships/hyperlink" Target="http://www.rogerpeverelli.com/" TargetMode="External"/><Relationship Id="rId4130" Type="http://schemas.openxmlformats.org/officeDocument/2006/relationships/hyperlink" Target="https://pbs.twimg.com/media/Eu33RKyXEAEHKmH.jpg" TargetMode="External"/><Relationship Id="rId16" Type="http://schemas.openxmlformats.org/officeDocument/2006/relationships/hyperlink" Target="https://analyticsindiamag.com/8-ai-innovations-showcased-at-ces-2021/" TargetMode="External"/><Relationship Id="rId1931" Type="http://schemas.openxmlformats.org/officeDocument/2006/relationships/hyperlink" Target="https://pbs.twimg.com/media/Eu6P8PTWYAEs6gl.jpg" TargetMode="External"/><Relationship Id="rId3689" Type="http://schemas.openxmlformats.org/officeDocument/2006/relationships/hyperlink" Target="https://tectales.com/" TargetMode="External"/><Relationship Id="rId3896" Type="http://schemas.openxmlformats.org/officeDocument/2006/relationships/hyperlink" Target="https://www.reddit.com/r/MachineLearning/comments/lq5epz/people_report_flops_but_actually_use_macc_r/" TargetMode="External"/><Relationship Id="rId2498" Type="http://schemas.openxmlformats.org/officeDocument/2006/relationships/hyperlink" Target="https://www.datacamp.com/statement-of-accomplishment/course/2e4f35730854e6021fbad32c648db8bcc306be8c" TargetMode="External"/><Relationship Id="rId3549" Type="http://schemas.openxmlformats.org/officeDocument/2006/relationships/hyperlink" Target="https://bit.ly/2NONXrV" TargetMode="External"/><Relationship Id="rId677" Type="http://schemas.openxmlformats.org/officeDocument/2006/relationships/hyperlink" Target="https://www.pioneeringminds.com/explainable-ai-decoding-regulatory-instructions-dna/" TargetMode="External"/><Relationship Id="rId2358" Type="http://schemas.openxmlformats.org/officeDocument/2006/relationships/hyperlink" Target="http://bit.ly/2SpnEHZ" TargetMode="External"/><Relationship Id="rId3756" Type="http://schemas.openxmlformats.org/officeDocument/2006/relationships/hyperlink" Target="https://buff.ly/3pHgUmJ" TargetMode="External"/><Relationship Id="rId3963" Type="http://schemas.openxmlformats.org/officeDocument/2006/relationships/hyperlink" Target="http://neurons.ai/" TargetMode="External"/><Relationship Id="rId884" Type="http://schemas.openxmlformats.org/officeDocument/2006/relationships/hyperlink" Target="https://pbs.twimg.com/media/Eu7A8r3VkAIfRfj.jpg" TargetMode="External"/><Relationship Id="rId2565" Type="http://schemas.openxmlformats.org/officeDocument/2006/relationships/hyperlink" Target="http://www.necio.ch/" TargetMode="External"/><Relationship Id="rId2772" Type="http://schemas.openxmlformats.org/officeDocument/2006/relationships/hyperlink" Target="http://pic.twitter.com/MqCnDCdL5V" TargetMode="External"/><Relationship Id="rId3409" Type="http://schemas.openxmlformats.org/officeDocument/2006/relationships/hyperlink" Target="https://pbs.twimg.com/media/Eu30uGQUYAMyIOH.jpg" TargetMode="External"/><Relationship Id="rId3616" Type="http://schemas.openxmlformats.org/officeDocument/2006/relationships/hyperlink" Target="http://dlvr.it/RtH6Wd" TargetMode="External"/><Relationship Id="rId3823" Type="http://schemas.openxmlformats.org/officeDocument/2006/relationships/hyperlink" Target="https://buff.ly/3aKTmb9" TargetMode="External"/><Relationship Id="rId537" Type="http://schemas.openxmlformats.org/officeDocument/2006/relationships/hyperlink" Target="https://www.bmnxt.com/" TargetMode="External"/><Relationship Id="rId744" Type="http://schemas.openxmlformats.org/officeDocument/2006/relationships/hyperlink" Target="https://pbs.twimg.com/media/Eu7FaK1XYAQWBu6.png" TargetMode="External"/><Relationship Id="rId951" Type="http://schemas.openxmlformats.org/officeDocument/2006/relationships/hyperlink" Target="https://bit.ly/3pN8w5s" TargetMode="External"/><Relationship Id="rId1167" Type="http://schemas.openxmlformats.org/officeDocument/2006/relationships/hyperlink" Target="http://www.argosmultilingual.com/" TargetMode="External"/><Relationship Id="rId1374" Type="http://schemas.openxmlformats.org/officeDocument/2006/relationships/hyperlink" Target="https://pbs.twimg.com/media/Eu6qCdkXcAQKAnQ.jpg" TargetMode="External"/><Relationship Id="rId1581" Type="http://schemas.openxmlformats.org/officeDocument/2006/relationships/hyperlink" Target="http://www.reformreality.com/" TargetMode="External"/><Relationship Id="rId2218" Type="http://schemas.openxmlformats.org/officeDocument/2006/relationships/hyperlink" Target="http://itnumeric.com/" TargetMode="External"/><Relationship Id="rId2425" Type="http://schemas.openxmlformats.org/officeDocument/2006/relationships/hyperlink" Target="http://louisdorard.com/machine-learning-canvas" TargetMode="External"/><Relationship Id="rId2632" Type="http://schemas.openxmlformats.org/officeDocument/2006/relationships/hyperlink" Target="http://thebeebs.net/" TargetMode="External"/><Relationship Id="rId80" Type="http://schemas.openxmlformats.org/officeDocument/2006/relationships/hyperlink" Target="http://bit.ly/3skrj9N" TargetMode="External"/><Relationship Id="rId604" Type="http://schemas.openxmlformats.org/officeDocument/2006/relationships/hyperlink" Target="http://www.marktechpost.com/" TargetMode="External"/><Relationship Id="rId811" Type="http://schemas.openxmlformats.org/officeDocument/2006/relationships/hyperlink" Target="https://neurons.ai/blog/news-stories/international-lab-to-focus-on-interface-of-ai-and-humans/" TargetMode="External"/><Relationship Id="rId1027" Type="http://schemas.openxmlformats.org/officeDocument/2006/relationships/hyperlink" Target="https://infl.tv/i7cz" TargetMode="External"/><Relationship Id="rId1234" Type="http://schemas.openxmlformats.org/officeDocument/2006/relationships/hyperlink" Target="https://sea.mashable.com/tech/14642/spotify-announces-new-hifi-streaming-tier-for-lossless-audio" TargetMode="External"/><Relationship Id="rId1441" Type="http://schemas.openxmlformats.org/officeDocument/2006/relationships/hyperlink" Target="http://blueorange.digital/" TargetMode="External"/><Relationship Id="rId1301" Type="http://schemas.openxmlformats.org/officeDocument/2006/relationships/hyperlink" Target="http://bit.ly/3slk5SS" TargetMode="External"/><Relationship Id="rId3199" Type="http://schemas.openxmlformats.org/officeDocument/2006/relationships/hyperlink" Target="https://www.couponed12.com/" TargetMode="External"/><Relationship Id="rId3059" Type="http://schemas.openxmlformats.org/officeDocument/2006/relationships/hyperlink" Target="https://www.itviconsultants.com/" TargetMode="External"/><Relationship Id="rId3266" Type="http://schemas.openxmlformats.org/officeDocument/2006/relationships/hyperlink" Target="http://adnanhashmi.co/" TargetMode="External"/><Relationship Id="rId3473" Type="http://schemas.openxmlformats.org/officeDocument/2006/relationships/hyperlink" Target="https://ift.tt/2MfKsuj" TargetMode="External"/><Relationship Id="rId187" Type="http://schemas.openxmlformats.org/officeDocument/2006/relationships/hyperlink" Target="https://liwaiwai.com/" TargetMode="External"/><Relationship Id="rId394" Type="http://schemas.openxmlformats.org/officeDocument/2006/relationships/hyperlink" Target="https://bit.ly/3aJx62M" TargetMode="External"/><Relationship Id="rId2075" Type="http://schemas.openxmlformats.org/officeDocument/2006/relationships/hyperlink" Target="https://gamer-geek-news.com/" TargetMode="External"/><Relationship Id="rId2282" Type="http://schemas.openxmlformats.org/officeDocument/2006/relationships/hyperlink" Target="https://pbs.twimg.com/media/Eu5_7zQWgAAEowq.jpg" TargetMode="External"/><Relationship Id="rId3126" Type="http://schemas.openxmlformats.org/officeDocument/2006/relationships/hyperlink" Target="https://bit.ly/2ZDR0G4" TargetMode="External"/><Relationship Id="rId3680" Type="http://schemas.openxmlformats.org/officeDocument/2006/relationships/hyperlink" Target="https://theonebrief.com/wish-vr-ai-new-world-work/" TargetMode="External"/><Relationship Id="rId254" Type="http://schemas.openxmlformats.org/officeDocument/2006/relationships/hyperlink" Target="https://sbee.link/xqfa49ujgm" TargetMode="External"/><Relationship Id="rId1091" Type="http://schemas.openxmlformats.org/officeDocument/2006/relationships/hyperlink" Target="https://hubs.li/H0H3zJ20" TargetMode="External"/><Relationship Id="rId3333" Type="http://schemas.openxmlformats.org/officeDocument/2006/relationships/hyperlink" Target="https://roaringelephant.org/2021/02/23/episode-233-combating-global-misinformation-no-more-cookies-from-github/" TargetMode="External"/><Relationship Id="rId3540" Type="http://schemas.openxmlformats.org/officeDocument/2006/relationships/hyperlink" Target="https://www.predictly.co/" TargetMode="External"/><Relationship Id="rId114" Type="http://schemas.openxmlformats.org/officeDocument/2006/relationships/hyperlink" Target="http://www.virixcore.net/" TargetMode="External"/><Relationship Id="rId461" Type="http://schemas.openxmlformats.org/officeDocument/2006/relationships/hyperlink" Target="http://successanalytix.blogspot.com/" TargetMode="External"/><Relationship Id="rId2142" Type="http://schemas.openxmlformats.org/officeDocument/2006/relationships/hyperlink" Target="https://pbs.twimg.com/media/Eu6E69YVEAAp1JB.jpg" TargetMode="External"/><Relationship Id="rId3400" Type="http://schemas.openxmlformats.org/officeDocument/2006/relationships/hyperlink" Target="http://pic.twitter.com/1S5UftfUWr" TargetMode="External"/><Relationship Id="rId321" Type="http://schemas.openxmlformats.org/officeDocument/2006/relationships/hyperlink" Target="http://www.awakenai.org/" TargetMode="External"/><Relationship Id="rId2002" Type="http://schemas.openxmlformats.org/officeDocument/2006/relationships/hyperlink" Target="http://bit.ly/2OZ7WER" TargetMode="External"/><Relationship Id="rId2959" Type="http://schemas.openxmlformats.org/officeDocument/2006/relationships/hyperlink" Target="https://machinelearningflx.com/" TargetMode="External"/><Relationship Id="rId1768" Type="http://schemas.openxmlformats.org/officeDocument/2006/relationships/hyperlink" Target="http://www.techsutram.com/" TargetMode="External"/><Relationship Id="rId2819" Type="http://schemas.openxmlformats.org/officeDocument/2006/relationships/hyperlink" Target="http://ipfconline.fr/contacts-eng.html" TargetMode="External"/><Relationship Id="rId4174" Type="http://schemas.openxmlformats.org/officeDocument/2006/relationships/hyperlink" Target="http://neurons.ai/" TargetMode="External"/><Relationship Id="rId1628" Type="http://schemas.openxmlformats.org/officeDocument/2006/relationships/hyperlink" Target="https://www.topprofessionalrecruits.com/enews/" TargetMode="External"/><Relationship Id="rId1975" Type="http://schemas.openxmlformats.org/officeDocument/2006/relationships/hyperlink" Target="https://pbs.twimg.com/media/Eu6Pca7WQAAxk0v.jpg" TargetMode="External"/><Relationship Id="rId3190" Type="http://schemas.openxmlformats.org/officeDocument/2006/relationships/hyperlink" Target="http://www.clairvoyantsoft.com/" TargetMode="External"/><Relationship Id="rId4034" Type="http://schemas.openxmlformats.org/officeDocument/2006/relationships/hyperlink" Target="http://www.darkreading.com/vulnerabilities---threats/advanced-threats/microsoft-says-its-time-to-attack-your-machine-learning-models/d/d-id/1340072" TargetMode="External"/><Relationship Id="rId4241" Type="http://schemas.openxmlformats.org/officeDocument/2006/relationships/hyperlink" Target="https://www.statssolver.com/" TargetMode="External"/><Relationship Id="rId1835" Type="http://schemas.openxmlformats.org/officeDocument/2006/relationships/hyperlink" Target="https://www.edvicer.com/course/Artificial-Intelligence-For-Trading-34" TargetMode="External"/><Relationship Id="rId3050" Type="http://schemas.openxmlformats.org/officeDocument/2006/relationships/hyperlink" Target="https://datasciencevault.com/" TargetMode="External"/><Relationship Id="rId4101" Type="http://schemas.openxmlformats.org/officeDocument/2006/relationships/hyperlink" Target="https://pbs.twimg.com/media/Eu38ah0XUAADF9L.jpg" TargetMode="External"/><Relationship Id="rId1902" Type="http://schemas.openxmlformats.org/officeDocument/2006/relationships/hyperlink" Target="https://pubs.rsna.org/page/ai/magicians_corner" TargetMode="External"/><Relationship Id="rId3867" Type="http://schemas.openxmlformats.org/officeDocument/2006/relationships/hyperlink" Target="http://pic.twitter.com/fnM5DTamVK" TargetMode="External"/><Relationship Id="rId788" Type="http://schemas.openxmlformats.org/officeDocument/2006/relationships/hyperlink" Target="https://pbs.twimg.com/media/Eu7EX-YWgAQfz8p.jpg" TargetMode="External"/><Relationship Id="rId995" Type="http://schemas.openxmlformats.org/officeDocument/2006/relationships/hyperlink" Target="http://zumolabs.ai/" TargetMode="External"/><Relationship Id="rId2469" Type="http://schemas.openxmlformats.org/officeDocument/2006/relationships/hyperlink" Target="https://pbs.twimg.com/media/Eu52HTGXMAU-A_x.png" TargetMode="External"/><Relationship Id="rId2676" Type="http://schemas.openxmlformats.org/officeDocument/2006/relationships/hyperlink" Target="https://www.dftgames.com/" TargetMode="External"/><Relationship Id="rId2883" Type="http://schemas.openxmlformats.org/officeDocument/2006/relationships/hyperlink" Target="https://bit.ly/3pOkHPg" TargetMode="External"/><Relationship Id="rId3727" Type="http://schemas.openxmlformats.org/officeDocument/2006/relationships/hyperlink" Target="http://www.xorlogics.com/" TargetMode="External"/><Relationship Id="rId3934" Type="http://schemas.openxmlformats.org/officeDocument/2006/relationships/hyperlink" Target="https://www.forbes.com/sites/enriquedans/2021/01/21/the-future-is-taking-shape-before-oureyes" TargetMode="External"/><Relationship Id="rId648" Type="http://schemas.openxmlformats.org/officeDocument/2006/relationships/hyperlink" Target="http://www.iresearchinstitute.com/" TargetMode="External"/><Relationship Id="rId855" Type="http://schemas.openxmlformats.org/officeDocument/2006/relationships/hyperlink" Target="https://towardsai.net/p" TargetMode="External"/><Relationship Id="rId1278" Type="http://schemas.openxmlformats.org/officeDocument/2006/relationships/hyperlink" Target="https://www.forbes.com/sites/charliefink/2021/02/23/qualcomm-accelerates-ar-with-new-smart-viewer/?sh=f4567572737f" TargetMode="External"/><Relationship Id="rId1485" Type="http://schemas.openxmlformats.org/officeDocument/2006/relationships/hyperlink" Target="https://business-analytics-info.fr/" TargetMode="External"/><Relationship Id="rId1692" Type="http://schemas.openxmlformats.org/officeDocument/2006/relationships/hyperlink" Target="https://www.information-age.com/training-machine-learning-models-future-ready-123493865/" TargetMode="External"/><Relationship Id="rId2329" Type="http://schemas.openxmlformats.org/officeDocument/2006/relationships/hyperlink" Target="https://www.linkedin.com/in/iainljbrown/" TargetMode="External"/><Relationship Id="rId2536" Type="http://schemas.openxmlformats.org/officeDocument/2006/relationships/hyperlink" Target="https://pbs.twimg.com/media/Eu5yEVNXEAAwuuB.jpg" TargetMode="External"/><Relationship Id="rId2743" Type="http://schemas.openxmlformats.org/officeDocument/2006/relationships/hyperlink" Target="https://pbs.twimg.com/media/Eu29yKvU4AAykry.jpg" TargetMode="External"/><Relationship Id="rId508" Type="http://schemas.openxmlformats.org/officeDocument/2006/relationships/hyperlink" Target="https://pbs.twimg.com/media/Eu0NcjhXcAIw6rr.jpg" TargetMode="External"/><Relationship Id="rId715" Type="http://schemas.openxmlformats.org/officeDocument/2006/relationships/hyperlink" Target="https://pbs.twimg.com/media/Eu7G1I3VcAUg-OW.jpg" TargetMode="External"/><Relationship Id="rId922" Type="http://schemas.openxmlformats.org/officeDocument/2006/relationships/hyperlink" Target="http://www.marktechpost.com/" TargetMode="External"/><Relationship Id="rId1138" Type="http://schemas.openxmlformats.org/officeDocument/2006/relationships/hyperlink" Target="http://pic.twitter.com/xjRRGMhq2M" TargetMode="External"/><Relationship Id="rId1345" Type="http://schemas.openxmlformats.org/officeDocument/2006/relationships/hyperlink" Target="https://pbs.twimg.com/media/Eu6rZxzXEAM97-L.jpg" TargetMode="External"/><Relationship Id="rId1552" Type="http://schemas.openxmlformats.org/officeDocument/2006/relationships/hyperlink" Target="http://ipfconline.fr/contacts-eng.html" TargetMode="External"/><Relationship Id="rId2603" Type="http://schemas.openxmlformats.org/officeDocument/2006/relationships/hyperlink" Target="https://pbs.twimg.com/media/Eu5vnU_XEAQ1Ica.jpg" TargetMode="External"/><Relationship Id="rId2950" Type="http://schemas.openxmlformats.org/officeDocument/2006/relationships/hyperlink" Target="https://bit.ly/37q60vw" TargetMode="External"/><Relationship Id="rId1205" Type="http://schemas.openxmlformats.org/officeDocument/2006/relationships/hyperlink" Target="https://pbs.twimg.com/media/Eu6yiowVgAAQAZt.jpg" TargetMode="External"/><Relationship Id="rId2810" Type="http://schemas.openxmlformats.org/officeDocument/2006/relationships/hyperlink" Target="https://www.pimloc.com/blog-1/what-do-the-machines-think" TargetMode="External"/><Relationship Id="rId51" Type="http://schemas.openxmlformats.org/officeDocument/2006/relationships/hyperlink" Target="http://www.philippe-fournier-viger.com/spmf/" TargetMode="External"/><Relationship Id="rId1412" Type="http://schemas.openxmlformats.org/officeDocument/2006/relationships/hyperlink" Target="https://radiosheit.home.blog/" TargetMode="External"/><Relationship Id="rId3377" Type="http://schemas.openxmlformats.org/officeDocument/2006/relationships/hyperlink" Target="https://choyou.com/" TargetMode="External"/><Relationship Id="rId298" Type="http://schemas.openxmlformats.org/officeDocument/2006/relationships/hyperlink" Target="http://www.awakenai.org/" TargetMode="External"/><Relationship Id="rId3584" Type="http://schemas.openxmlformats.org/officeDocument/2006/relationships/hyperlink" Target="http://www.karunadutechnologies.com/" TargetMode="External"/><Relationship Id="rId3791" Type="http://schemas.openxmlformats.org/officeDocument/2006/relationships/hyperlink" Target="https://pbs.twimg.com/media/Eu4fFHeWQAIKHWa.jpg" TargetMode="External"/><Relationship Id="rId158" Type="http://schemas.openxmlformats.org/officeDocument/2006/relationships/hyperlink" Target="http://www.dld.co/" TargetMode="External"/><Relationship Id="rId2186" Type="http://schemas.openxmlformats.org/officeDocument/2006/relationships/hyperlink" Target="http://www.datascientists.fr/" TargetMode="External"/><Relationship Id="rId2393" Type="http://schemas.openxmlformats.org/officeDocument/2006/relationships/hyperlink" Target="https://pbs.twimg.com/media/Eu55-PaVEAEmMSK.png" TargetMode="External"/><Relationship Id="rId3237" Type="http://schemas.openxmlformats.org/officeDocument/2006/relationships/hyperlink" Target="https://pbs.twimg.com/media/Eu5Or_DUYAcrwbC.jpg" TargetMode="External"/><Relationship Id="rId3444" Type="http://schemas.openxmlformats.org/officeDocument/2006/relationships/hyperlink" Target="http://onelink.to/ymurw6" TargetMode="External"/><Relationship Id="rId3651" Type="http://schemas.openxmlformats.org/officeDocument/2006/relationships/hyperlink" Target="http://pic.twitter.com/4wqUPw9vaT" TargetMode="External"/><Relationship Id="rId365" Type="http://schemas.openxmlformats.org/officeDocument/2006/relationships/hyperlink" Target="https://bit.ly/3kihgiY" TargetMode="External"/><Relationship Id="rId572" Type="http://schemas.openxmlformats.org/officeDocument/2006/relationships/hyperlink" Target="https://bit.ly/3pKmeGg" TargetMode="External"/><Relationship Id="rId2046" Type="http://schemas.openxmlformats.org/officeDocument/2006/relationships/hyperlink" Target="https://www.campusbigdata.com/" TargetMode="External"/><Relationship Id="rId2253" Type="http://schemas.openxmlformats.org/officeDocument/2006/relationships/hyperlink" Target="https://pbs.twimg.com/media/Eu6AxnQXcAIa3ln.jpg" TargetMode="External"/><Relationship Id="rId2460" Type="http://schemas.openxmlformats.org/officeDocument/2006/relationships/hyperlink" Target="https://neurons.ai/blog/news-stories/machine-learning-as-a-service-mlaas-market-growth-size-opportunities-and-analysis-forecast-2/" TargetMode="External"/><Relationship Id="rId3304" Type="http://schemas.openxmlformats.org/officeDocument/2006/relationships/hyperlink" Target="https://bit.ly/2ZF77mX" TargetMode="External"/><Relationship Id="rId3511" Type="http://schemas.openxmlformats.org/officeDocument/2006/relationships/hyperlink" Target="https://pbs.twimg.com/media/Eu42cjWXMAEr6XP.jpg" TargetMode="External"/><Relationship Id="rId225" Type="http://schemas.openxmlformats.org/officeDocument/2006/relationships/hyperlink" Target="https://www.linkedin.com/in/imtiaz-adam-7467528/" TargetMode="External"/><Relationship Id="rId432" Type="http://schemas.openxmlformats.org/officeDocument/2006/relationships/hyperlink" Target="https://pbs.twimg.com/media/Eu7ScxlWgAUGfzg.jpg" TargetMode="External"/><Relationship Id="rId1062" Type="http://schemas.openxmlformats.org/officeDocument/2006/relationships/hyperlink" Target="https://www.couponed12.com/" TargetMode="External"/><Relationship Id="rId2113" Type="http://schemas.openxmlformats.org/officeDocument/2006/relationships/hyperlink" Target="https://www.linkedin.com/in/cciauri/" TargetMode="External"/><Relationship Id="rId2320" Type="http://schemas.openxmlformats.org/officeDocument/2006/relationships/hyperlink" Target="https://bit.ly/2Mf7lOk" TargetMode="External"/><Relationship Id="rId4078" Type="http://schemas.openxmlformats.org/officeDocument/2006/relationships/hyperlink" Target="https://pbs.twimg.com/media/Eu3-T89VIAc5_e3.jpg" TargetMode="External"/><Relationship Id="rId1879" Type="http://schemas.openxmlformats.org/officeDocument/2006/relationships/hyperlink" Target="https://pbs.twimg.com/media/Eu6TtapVcAIp3P2.jpg" TargetMode="External"/><Relationship Id="rId3094" Type="http://schemas.openxmlformats.org/officeDocument/2006/relationships/hyperlink" Target="https://bit.ly/3qQnfhe" TargetMode="External"/><Relationship Id="rId4145" Type="http://schemas.openxmlformats.org/officeDocument/2006/relationships/hyperlink" Target="http://www.marktechpost.com/" TargetMode="External"/><Relationship Id="rId1739" Type="http://schemas.openxmlformats.org/officeDocument/2006/relationships/hyperlink" Target="https://www.reddit.com/r/MachineLearning/comments/lqh9br/d_a_good_title_is_all_you_need/" TargetMode="External"/><Relationship Id="rId1946" Type="http://schemas.openxmlformats.org/officeDocument/2006/relationships/hyperlink" Target="http://www.pandata.qa/" TargetMode="External"/><Relationship Id="rId4005" Type="http://schemas.openxmlformats.org/officeDocument/2006/relationships/hyperlink" Target="https://pbs.twimg.com/media/Eu35ml7VkAQbX7g.jpg" TargetMode="External"/><Relationship Id="rId1806" Type="http://schemas.openxmlformats.org/officeDocument/2006/relationships/hyperlink" Target="https://informalai.com/" TargetMode="External"/><Relationship Id="rId3161" Type="http://schemas.openxmlformats.org/officeDocument/2006/relationships/hyperlink" Target="https://upcommons.upc.edu/handle/2117/340312" TargetMode="External"/><Relationship Id="rId4212" Type="http://schemas.openxmlformats.org/officeDocument/2006/relationships/hyperlink" Target="http://businessoverbroadway.com/" TargetMode="External"/><Relationship Id="rId3021" Type="http://schemas.openxmlformats.org/officeDocument/2006/relationships/hyperlink" Target="https://pbs.twimg.com/media/Eu5cO4qXUAEJNS_.png" TargetMode="External"/><Relationship Id="rId3978" Type="http://schemas.openxmlformats.org/officeDocument/2006/relationships/hyperlink" Target="http://www.couponfree.uk/2019/08/data-science-career-guide-interview.html" TargetMode="External"/><Relationship Id="rId899" Type="http://schemas.openxmlformats.org/officeDocument/2006/relationships/hyperlink" Target="https://moveforward100.com/scheduler/" TargetMode="External"/><Relationship Id="rId2787" Type="http://schemas.openxmlformats.org/officeDocument/2006/relationships/hyperlink" Target="http://www.qavalley.com/" TargetMode="External"/><Relationship Id="rId3838" Type="http://schemas.openxmlformats.org/officeDocument/2006/relationships/hyperlink" Target="http://www.clari5.com/" TargetMode="External"/><Relationship Id="rId759" Type="http://schemas.openxmlformats.org/officeDocument/2006/relationships/hyperlink" Target="https://www.ijyi.com/software-development-news/executive-roundtable-events-at-ijyi/" TargetMode="External"/><Relationship Id="rId966" Type="http://schemas.openxmlformats.org/officeDocument/2006/relationships/hyperlink" Target="http://stemify.ai/" TargetMode="External"/><Relationship Id="rId1389" Type="http://schemas.openxmlformats.org/officeDocument/2006/relationships/hyperlink" Target="http://kaam.de/" TargetMode="External"/><Relationship Id="rId1596" Type="http://schemas.openxmlformats.org/officeDocument/2006/relationships/hyperlink" Target="http://financemoney.net/" TargetMode="External"/><Relationship Id="rId2647" Type="http://schemas.openxmlformats.org/officeDocument/2006/relationships/hyperlink" Target="https://techflx.com/product-category/books/" TargetMode="External"/><Relationship Id="rId2994" Type="http://schemas.openxmlformats.org/officeDocument/2006/relationships/hyperlink" Target="http://dronefins.ai/" TargetMode="External"/><Relationship Id="rId619" Type="http://schemas.openxmlformats.org/officeDocument/2006/relationships/hyperlink" Target="http://ow.ly/3s1E50DHA2R" TargetMode="External"/><Relationship Id="rId1249" Type="http://schemas.openxmlformats.org/officeDocument/2006/relationships/hyperlink" Target="https://twitter.com/sueoceanphoton/status/1363966537548394502" TargetMode="External"/><Relationship Id="rId2854" Type="http://schemas.openxmlformats.org/officeDocument/2006/relationships/hyperlink" Target="https://twitter.com/Theslimevids/status/1353194137785409537" TargetMode="External"/><Relationship Id="rId3905" Type="http://schemas.openxmlformats.org/officeDocument/2006/relationships/hyperlink" Target="http://www.apistartup.com/" TargetMode="External"/><Relationship Id="rId95" Type="http://schemas.openxmlformats.org/officeDocument/2006/relationships/hyperlink" Target="https://www.unite.ai/top-machine-learning-certifications/" TargetMode="External"/><Relationship Id="rId826" Type="http://schemas.openxmlformats.org/officeDocument/2006/relationships/hyperlink" Target="http://neurons.ai/" TargetMode="External"/><Relationship Id="rId1109" Type="http://schemas.openxmlformats.org/officeDocument/2006/relationships/hyperlink" Target="https://buff.ly/3qCGnz6" TargetMode="External"/><Relationship Id="rId1456" Type="http://schemas.openxmlformats.org/officeDocument/2006/relationships/hyperlink" Target="https://www.linkedin.com/in/iainljbrown/" TargetMode="External"/><Relationship Id="rId1663" Type="http://schemas.openxmlformats.org/officeDocument/2006/relationships/hyperlink" Target="https://www.frontiersin.org/articles/10.3389/fmicb.2021.635781/full" TargetMode="External"/><Relationship Id="rId1870" Type="http://schemas.openxmlformats.org/officeDocument/2006/relationships/hyperlink" Target="https://www.botomation.ai/" TargetMode="External"/><Relationship Id="rId2507" Type="http://schemas.openxmlformats.org/officeDocument/2006/relationships/hyperlink" Target="https://bit.ly/3kggCSW" TargetMode="External"/><Relationship Id="rId2714" Type="http://schemas.openxmlformats.org/officeDocument/2006/relationships/hyperlink" Target="https://pbs.twimg.com/media/Eu5oKGKVoAgJblX.jpg" TargetMode="External"/><Relationship Id="rId2921" Type="http://schemas.openxmlformats.org/officeDocument/2006/relationships/hyperlink" Target="http://greatbot.io/" TargetMode="External"/><Relationship Id="rId1316" Type="http://schemas.openxmlformats.org/officeDocument/2006/relationships/hyperlink" Target="http://www.e-medtools.com/Medicare_Coding_Tool.html" TargetMode="External"/><Relationship Id="rId1523" Type="http://schemas.openxmlformats.org/officeDocument/2006/relationships/hyperlink" Target="https://twitter.com/AjpCards/status/1364043954707128320" TargetMode="External"/><Relationship Id="rId1730" Type="http://schemas.openxmlformats.org/officeDocument/2006/relationships/hyperlink" Target="http://ipfconline.fr/contacts-eng.html" TargetMode="External"/><Relationship Id="rId22" Type="http://schemas.openxmlformats.org/officeDocument/2006/relationships/hyperlink" Target="http://www.globalbigdataconference.com/santa-clara/global-artificial-intelligence-virtual-bootcamp/s" TargetMode="External"/><Relationship Id="rId3488" Type="http://schemas.openxmlformats.org/officeDocument/2006/relationships/hyperlink" Target="https://www.mygreatlearning.com/blog/machine-learning-interview-questions/" TargetMode="External"/><Relationship Id="rId3695" Type="http://schemas.openxmlformats.org/officeDocument/2006/relationships/hyperlink" Target="https://pbs.twimg.com/media/Eu4nBQJWgAUKjI_.png" TargetMode="External"/><Relationship Id="rId2297" Type="http://schemas.openxmlformats.org/officeDocument/2006/relationships/hyperlink" Target="https://hubs.la/H0DsqzB0" TargetMode="External"/><Relationship Id="rId3348" Type="http://schemas.openxmlformats.org/officeDocument/2006/relationships/hyperlink" Target="https://towardsdatascience.com/best-python-libraries-for-machine-learning-and-deep-learning-b0bd40c7e8c" TargetMode="External"/><Relationship Id="rId3555" Type="http://schemas.openxmlformats.org/officeDocument/2006/relationships/hyperlink" Target="https://www.unfsu.org/" TargetMode="External"/><Relationship Id="rId3762" Type="http://schemas.openxmlformats.org/officeDocument/2006/relationships/hyperlink" Target="https://buff.ly/3bqdorU" TargetMode="External"/><Relationship Id="rId269" Type="http://schemas.openxmlformats.org/officeDocument/2006/relationships/hyperlink" Target="https://github.com/akshitagupta15june" TargetMode="External"/><Relationship Id="rId476" Type="http://schemas.openxmlformats.org/officeDocument/2006/relationships/hyperlink" Target="http://bit.ly/3oHZtTG" TargetMode="External"/><Relationship Id="rId683" Type="http://schemas.openxmlformats.org/officeDocument/2006/relationships/hyperlink" Target="http://pic.twitter.com/GcMBHLXlzu" TargetMode="External"/><Relationship Id="rId890" Type="http://schemas.openxmlformats.org/officeDocument/2006/relationships/hyperlink" Target="https://www.ida.liu.se/research/machinelearning/seminars/" TargetMode="External"/><Relationship Id="rId2157" Type="http://schemas.openxmlformats.org/officeDocument/2006/relationships/hyperlink" Target="https://blogs.idc.com/2021/02/08/the-internet-of-things-market-at-a-glance/" TargetMode="External"/><Relationship Id="rId2364" Type="http://schemas.openxmlformats.org/officeDocument/2006/relationships/hyperlink" Target="https://pbs.twimg.com/media/Eu58QyjXIAc6-cO.jpg" TargetMode="External"/><Relationship Id="rId2571" Type="http://schemas.openxmlformats.org/officeDocument/2006/relationships/hyperlink" Target="https://cutt.ly/IllNbt7" TargetMode="External"/><Relationship Id="rId3208" Type="http://schemas.openxmlformats.org/officeDocument/2006/relationships/hyperlink" Target="https://www.sigmoid.com/" TargetMode="External"/><Relationship Id="rId3415" Type="http://schemas.openxmlformats.org/officeDocument/2006/relationships/hyperlink" Target="https://www.allsoftsolutions.in/" TargetMode="External"/><Relationship Id="rId129" Type="http://schemas.openxmlformats.org/officeDocument/2006/relationships/hyperlink" Target="https://go.hotmart.com/N45925741D" TargetMode="External"/><Relationship Id="rId336" Type="http://schemas.openxmlformats.org/officeDocument/2006/relationships/hyperlink" Target="http://www.digitalinsuranceagenda.com/" TargetMode="External"/><Relationship Id="rId543" Type="http://schemas.openxmlformats.org/officeDocument/2006/relationships/hyperlink" Target="https://pbs.twimg.com/media/Eu7N9y2XYAUEUn3.jpg" TargetMode="External"/><Relationship Id="rId1173" Type="http://schemas.openxmlformats.org/officeDocument/2006/relationships/hyperlink" Target="https://buff.ly/3aJyouC" TargetMode="External"/><Relationship Id="rId1380" Type="http://schemas.openxmlformats.org/officeDocument/2006/relationships/hyperlink" Target="https://www.nexsoftsys.com/" TargetMode="External"/><Relationship Id="rId2017" Type="http://schemas.openxmlformats.org/officeDocument/2006/relationships/hyperlink" Target="https://www.theverge.com/2021/2/22/22295043/microsoft-word-text-predictions-feature-march-release-date" TargetMode="External"/><Relationship Id="rId2224" Type="http://schemas.openxmlformats.org/officeDocument/2006/relationships/hyperlink" Target="https://pbs.twimg.com/media/Eu6CTA0XUAEbp4B.jpg" TargetMode="External"/><Relationship Id="rId3622" Type="http://schemas.openxmlformats.org/officeDocument/2006/relationships/hyperlink" Target="http://www.margarisventures.com/" TargetMode="External"/><Relationship Id="rId403" Type="http://schemas.openxmlformats.org/officeDocument/2006/relationships/hyperlink" Target="https://vaaaaanquish.jp/" TargetMode="External"/><Relationship Id="rId750" Type="http://schemas.openxmlformats.org/officeDocument/2006/relationships/hyperlink" Target="https://pbs.twimg.com/media/Eu7F97tWYAAJowQ.jpg" TargetMode="External"/><Relationship Id="rId1033" Type="http://schemas.openxmlformats.org/officeDocument/2006/relationships/hyperlink" Target="https://pub.towardsai.net/" TargetMode="External"/><Relationship Id="rId2431" Type="http://schemas.openxmlformats.org/officeDocument/2006/relationships/hyperlink" Target="https://www.journeyhero.net/technology/" TargetMode="External"/><Relationship Id="rId4189" Type="http://schemas.openxmlformats.org/officeDocument/2006/relationships/hyperlink" Target="https://machinelearningflx.com/" TargetMode="External"/><Relationship Id="rId610" Type="http://schemas.openxmlformats.org/officeDocument/2006/relationships/hyperlink" Target="https://google.smh.re/1zL" TargetMode="External"/><Relationship Id="rId1240" Type="http://schemas.openxmlformats.org/officeDocument/2006/relationships/hyperlink" Target="http://www.globalfloodsystem.com/" TargetMode="External"/><Relationship Id="rId4049" Type="http://schemas.openxmlformats.org/officeDocument/2006/relationships/hyperlink" Target="https://pbs.twimg.com/media/Eu4AqHXWgAAPdjw.jpg" TargetMode="External"/><Relationship Id="rId1100" Type="http://schemas.openxmlformats.org/officeDocument/2006/relationships/hyperlink" Target="https://pbs.twimg.com/media/Eu620_xVEAMKB2D.jpg" TargetMode="External"/><Relationship Id="rId4256" Type="http://schemas.openxmlformats.org/officeDocument/2006/relationships/hyperlink" Target="https://twitter.com/zachking/status/1287772758256959488" TargetMode="External"/><Relationship Id="rId1917" Type="http://schemas.openxmlformats.org/officeDocument/2006/relationships/hyperlink" Target="https://pbs.twimg.com/media/EsW_MOHW4AAEh8h.jpg" TargetMode="External"/><Relationship Id="rId3065" Type="http://schemas.openxmlformats.org/officeDocument/2006/relationships/hyperlink" Target="https://pbs.twimg.com/media/Eu5aHBUVgAAr2Fi.jpg" TargetMode="External"/><Relationship Id="rId3272" Type="http://schemas.openxmlformats.org/officeDocument/2006/relationships/hyperlink" Target="http://pic.twitter.com/hsr9wmvWmz" TargetMode="External"/><Relationship Id="rId4116" Type="http://schemas.openxmlformats.org/officeDocument/2006/relationships/hyperlink" Target="http://www.margarisventures.com/" TargetMode="External"/><Relationship Id="rId193" Type="http://schemas.openxmlformats.org/officeDocument/2006/relationships/hyperlink" Target="https://goo.gl/3TFrjv" TargetMode="External"/><Relationship Id="rId2081" Type="http://schemas.openxmlformats.org/officeDocument/2006/relationships/hyperlink" Target="https://www.engadget.com/spotify-npr-podcasts-global-streaming-110006310.html" TargetMode="External"/><Relationship Id="rId3132" Type="http://schemas.openxmlformats.org/officeDocument/2006/relationships/hyperlink" Target="https://pbs.twimg.com/media/Eu5WrAsXMAQagKj.jpg" TargetMode="External"/><Relationship Id="rId260" Type="http://schemas.openxmlformats.org/officeDocument/2006/relationships/hyperlink" Target="https://howtolearnmachinelearning.com/books/machine-learning-books/deep-learning-goodfellow/" TargetMode="External"/><Relationship Id="rId120" Type="http://schemas.openxmlformats.org/officeDocument/2006/relationships/hyperlink" Target="http://discovranalytics.co/" TargetMode="External"/><Relationship Id="rId2898" Type="http://schemas.openxmlformats.org/officeDocument/2006/relationships/hyperlink" Target="https://bit.ly/3uhkWWJ" TargetMode="External"/><Relationship Id="rId3949" Type="http://schemas.openxmlformats.org/officeDocument/2006/relationships/hyperlink" Target="http://pic.twitter.com/0GZPO58606" TargetMode="External"/><Relationship Id="rId2758" Type="http://schemas.openxmlformats.org/officeDocument/2006/relationships/hyperlink" Target="https://bit.ly/3qQw8HC" TargetMode="External"/><Relationship Id="rId2965" Type="http://schemas.openxmlformats.org/officeDocument/2006/relationships/hyperlink" Target="http://www.master-cesma.it/" TargetMode="External"/><Relationship Id="rId3809" Type="http://schemas.openxmlformats.org/officeDocument/2006/relationships/hyperlink" Target="https://machinelearningflx.com/" TargetMode="External"/><Relationship Id="rId937" Type="http://schemas.openxmlformats.org/officeDocument/2006/relationships/hyperlink" Target="http://homacapital.fr/" TargetMode="External"/><Relationship Id="rId1567" Type="http://schemas.openxmlformats.org/officeDocument/2006/relationships/hyperlink" Target="https://lnkd.in/drdcmSX" TargetMode="External"/><Relationship Id="rId1774" Type="http://schemas.openxmlformats.org/officeDocument/2006/relationships/hyperlink" Target="http://www.lifebit.ai/" TargetMode="External"/><Relationship Id="rId1981" Type="http://schemas.openxmlformats.org/officeDocument/2006/relationships/hyperlink" Target="https://www.continental.com/en/press/press-releases/invest-in-recogni-247604" TargetMode="External"/><Relationship Id="rId2618" Type="http://schemas.openxmlformats.org/officeDocument/2006/relationships/hyperlink" Target="https://machinelearningflx.com/" TargetMode="External"/><Relationship Id="rId2825" Type="http://schemas.openxmlformats.org/officeDocument/2006/relationships/hyperlink" Target="https://www.reddit.com/r/MachineLearning/comments/ljx92n/d_machine_learning_wayr_what_are_you_reading_week/" TargetMode="External"/><Relationship Id="rId4180" Type="http://schemas.openxmlformats.org/officeDocument/2006/relationships/hyperlink" Target="https://www.marktechpost.com/2021/01/22/max-planck-institute-and-facebook-reality-labs-develop-a-model-that-performs-human-re-rendering-from-a-single-image" TargetMode="External"/><Relationship Id="rId66" Type="http://schemas.openxmlformats.org/officeDocument/2006/relationships/hyperlink" Target="http://www.linkedin.com/in/sajid-mirza1" TargetMode="External"/><Relationship Id="rId1427" Type="http://schemas.openxmlformats.org/officeDocument/2006/relationships/hyperlink" Target="https://ift.tt/2ZEb23c" TargetMode="External"/><Relationship Id="rId1634" Type="http://schemas.openxmlformats.org/officeDocument/2006/relationships/hyperlink" Target="https://buff.ly/2Nl2ig1" TargetMode="External"/><Relationship Id="rId1841" Type="http://schemas.openxmlformats.org/officeDocument/2006/relationships/hyperlink" Target="https://independent.academia.edu/FrancMilburn" TargetMode="External"/><Relationship Id="rId4040" Type="http://schemas.openxmlformats.org/officeDocument/2006/relationships/hyperlink" Target="https://www.hsph.harvard.edu/news/hsph-in-the-news/machine-learning-sheds-new-light-on-how-walnuts-benefit-health/" TargetMode="External"/><Relationship Id="rId3599" Type="http://schemas.openxmlformats.org/officeDocument/2006/relationships/hyperlink" Target="https://pbs.twimg.com/media/Eu4wu0JXUAApO-J.png" TargetMode="External"/><Relationship Id="rId1701" Type="http://schemas.openxmlformats.org/officeDocument/2006/relationships/hyperlink" Target="https://pbs.twimg.com/media/Eu6bvnLXcAYGl-K.jpg" TargetMode="External"/><Relationship Id="rId3459" Type="http://schemas.openxmlformats.org/officeDocument/2006/relationships/hyperlink" Target="https://machinelearningflx.com/" TargetMode="External"/><Relationship Id="rId3666" Type="http://schemas.openxmlformats.org/officeDocument/2006/relationships/hyperlink" Target="https://pbs.twimg.com/media/Eu4pgweVkAEKqQl.jpg" TargetMode="External"/><Relationship Id="rId587" Type="http://schemas.openxmlformats.org/officeDocument/2006/relationships/hyperlink" Target="https://pbs.twimg.com/media/Eu7MXlfXUAIYmKo.png" TargetMode="External"/><Relationship Id="rId2268" Type="http://schemas.openxmlformats.org/officeDocument/2006/relationships/hyperlink" Target="https://paullopez.ai/" TargetMode="External"/><Relationship Id="rId3319" Type="http://schemas.openxmlformats.org/officeDocument/2006/relationships/hyperlink" Target="https://pbs.twimg.com/media/Eu5J6HsXcAIJpWZ.jpg" TargetMode="External"/><Relationship Id="rId3873" Type="http://schemas.openxmlformats.org/officeDocument/2006/relationships/hyperlink" Target="https://hubs.ly/H0G-_MK0" TargetMode="External"/><Relationship Id="rId447" Type="http://schemas.openxmlformats.org/officeDocument/2006/relationships/hyperlink" Target="https://buff.ly/2ZJ5Gnb" TargetMode="External"/><Relationship Id="rId794" Type="http://schemas.openxmlformats.org/officeDocument/2006/relationships/hyperlink" Target="http://ow.ly/vw9H50DHKx1" TargetMode="External"/><Relationship Id="rId1077" Type="http://schemas.openxmlformats.org/officeDocument/2006/relationships/hyperlink" Target="https://pbs.twimg.com/media/Eu6qRemWQAgH_kX.jpg" TargetMode="External"/><Relationship Id="rId2128" Type="http://schemas.openxmlformats.org/officeDocument/2006/relationships/hyperlink" Target="https://pbs.twimg.com/media/Eu6HmJVUYAQH90A.jpg" TargetMode="External"/><Relationship Id="rId2475" Type="http://schemas.openxmlformats.org/officeDocument/2006/relationships/hyperlink" Target="https://youtu.be/4h0T6GLLlUo" TargetMode="External"/><Relationship Id="rId2682" Type="http://schemas.openxmlformats.org/officeDocument/2006/relationships/hyperlink" Target="https://babin-business-consulting.com/blog" TargetMode="External"/><Relationship Id="rId3526" Type="http://schemas.openxmlformats.org/officeDocument/2006/relationships/hyperlink" Target="http://wellthatsinteresting.tech/" TargetMode="External"/><Relationship Id="rId3733" Type="http://schemas.openxmlformats.org/officeDocument/2006/relationships/hyperlink" Target="https://theparlour.substack.com/p/history-of-machine-learning-in-finance?utm_campaign=post&amp;utm_medium=web&amp;utm_source=twitter" TargetMode="External"/><Relationship Id="rId3940" Type="http://schemas.openxmlformats.org/officeDocument/2006/relationships/hyperlink" Target="https://pbs.twimg.com/media/Eu4LBtPXAAAfKMb.jpg" TargetMode="External"/><Relationship Id="rId654" Type="http://schemas.openxmlformats.org/officeDocument/2006/relationships/hyperlink" Target="https://pbs.twimg.com/media/Eu7KPQ3XcAMmgDX.png" TargetMode="External"/><Relationship Id="rId861" Type="http://schemas.openxmlformats.org/officeDocument/2006/relationships/hyperlink" Target="https://www.musehc.com/recent-visits-m-use-case" TargetMode="External"/><Relationship Id="rId1284" Type="http://schemas.openxmlformats.org/officeDocument/2006/relationships/hyperlink" Target="https://www.bbva.com.ar/" TargetMode="External"/><Relationship Id="rId1491" Type="http://schemas.openxmlformats.org/officeDocument/2006/relationships/hyperlink" Target="https://www.mosio.com/" TargetMode="External"/><Relationship Id="rId2335" Type="http://schemas.openxmlformats.org/officeDocument/2006/relationships/hyperlink" Target="https://blog.f-secure.com/it/" TargetMode="External"/><Relationship Id="rId2542" Type="http://schemas.openxmlformats.org/officeDocument/2006/relationships/hyperlink" Target="https://www.linkedin.com/in/eric-feuilleaubois-ph-d-43ab0925/" TargetMode="External"/><Relationship Id="rId3800" Type="http://schemas.openxmlformats.org/officeDocument/2006/relationships/hyperlink" Target="https://lnkd.in/dxU2NDS" TargetMode="External"/><Relationship Id="rId307" Type="http://schemas.openxmlformats.org/officeDocument/2006/relationships/hyperlink" Target="https://www.reddit.com/r/MachineLearning/comments/lqg3z9/r_tensorflow_functional_implementation_of/" TargetMode="External"/><Relationship Id="rId514" Type="http://schemas.openxmlformats.org/officeDocument/2006/relationships/hyperlink" Target="https://pbs.twimg.com/media/Eu7OvXJXcAE8tLl.jpg" TargetMode="External"/><Relationship Id="rId721" Type="http://schemas.openxmlformats.org/officeDocument/2006/relationships/hyperlink" Target="https://www.itviconsultants.com/" TargetMode="External"/><Relationship Id="rId1144" Type="http://schemas.openxmlformats.org/officeDocument/2006/relationships/hyperlink" Target="https://pbs.twimg.com/media/Eu605vYVgAISqwX.jpg" TargetMode="External"/><Relationship Id="rId1351" Type="http://schemas.openxmlformats.org/officeDocument/2006/relationships/hyperlink" Target="https://technode.com/2021/02/23/saic-taps-chinese-chip-startup-for-self-driving-cars/" TargetMode="External"/><Relationship Id="rId2402" Type="http://schemas.openxmlformats.org/officeDocument/2006/relationships/hyperlink" Target="http://www.jadirectives.com/" TargetMode="External"/><Relationship Id="rId1004" Type="http://schemas.openxmlformats.org/officeDocument/2006/relationships/hyperlink" Target="https://bit.ly/2YoqC2w" TargetMode="External"/><Relationship Id="rId1211" Type="http://schemas.openxmlformats.org/officeDocument/2006/relationships/hyperlink" Target="http://academy.titansofcnc.com/" TargetMode="External"/><Relationship Id="rId3176" Type="http://schemas.openxmlformats.org/officeDocument/2006/relationships/hyperlink" Target="http://bit.ly/dataactivatormasterclass" TargetMode="External"/><Relationship Id="rId3383" Type="http://schemas.openxmlformats.org/officeDocument/2006/relationships/hyperlink" Target="https://zpy.io/176309ad" TargetMode="External"/><Relationship Id="rId3590" Type="http://schemas.openxmlformats.org/officeDocument/2006/relationships/hyperlink" Target="https://pbs.twimg.com/media/Eu4x4WZXEAAHxMa.jpg" TargetMode="External"/><Relationship Id="rId4227" Type="http://schemas.openxmlformats.org/officeDocument/2006/relationships/hyperlink" Target="https://pbs.twimg.com/media/Eu3ul6oWQAQBzGC.jpg" TargetMode="External"/><Relationship Id="rId2192" Type="http://schemas.openxmlformats.org/officeDocument/2006/relationships/hyperlink" Target="https://www.thestar.com.my/tech/tech-news/2021/02/22/citizens-band-radio-from-trucks-may-have-a-future-in-autonomous-cars" TargetMode="External"/><Relationship Id="rId3036" Type="http://schemas.openxmlformats.org/officeDocument/2006/relationships/hyperlink" Target="https://pbs.twimg.com/media/Eu5aD1QXYAIKOqw.jpg" TargetMode="External"/><Relationship Id="rId3243" Type="http://schemas.openxmlformats.org/officeDocument/2006/relationships/hyperlink" Target="http://bit.ly/2TRZ1V5" TargetMode="External"/><Relationship Id="rId164" Type="http://schemas.openxmlformats.org/officeDocument/2006/relationships/hyperlink" Target="https://pub.towardsai.net/roi-based-hybrid-lossy-and-lossless-image-compression-a73ce6f9d2ea?source=rss----98111c9905da---4?source=social.tw" TargetMode="External"/><Relationship Id="rId371" Type="http://schemas.openxmlformats.org/officeDocument/2006/relationships/hyperlink" Target="https://pbs.twimg.com/media/Eu7Ubi8XEAErZDj.jpg" TargetMode="External"/><Relationship Id="rId2052" Type="http://schemas.openxmlformats.org/officeDocument/2006/relationships/hyperlink" Target="http://www.coreon.com/" TargetMode="External"/><Relationship Id="rId3450" Type="http://schemas.openxmlformats.org/officeDocument/2006/relationships/hyperlink" Target="https://teksands.ai/" TargetMode="External"/><Relationship Id="rId3103" Type="http://schemas.openxmlformats.org/officeDocument/2006/relationships/hyperlink" Target="https://www.journeyhero.net/technology/" TargetMode="External"/><Relationship Id="rId3310" Type="http://schemas.openxmlformats.org/officeDocument/2006/relationships/hyperlink" Target="https://neo4j.com/" TargetMode="External"/><Relationship Id="rId231" Type="http://schemas.openxmlformats.org/officeDocument/2006/relationships/hyperlink" Target="https://pbs.twimg.com/media/Eu7aVQcVcAUE1v1.jpg" TargetMode="External"/><Relationship Id="rId2869" Type="http://schemas.openxmlformats.org/officeDocument/2006/relationships/hyperlink" Target="https://ift.tt/37sabH2" TargetMode="External"/><Relationship Id="rId1678" Type="http://schemas.openxmlformats.org/officeDocument/2006/relationships/hyperlink" Target="http://www.optickssecurity.com/" TargetMode="External"/><Relationship Id="rId1885" Type="http://schemas.openxmlformats.org/officeDocument/2006/relationships/hyperlink" Target="https://twitter.com/jblefevre60/status/1364106297940070400" TargetMode="External"/><Relationship Id="rId2729" Type="http://schemas.openxmlformats.org/officeDocument/2006/relationships/hyperlink" Target="http://pic.twitter.com/9MNKjHATpW" TargetMode="External"/><Relationship Id="rId2936" Type="http://schemas.openxmlformats.org/officeDocument/2006/relationships/hyperlink" Target="https://aws.amazon.com/es/" TargetMode="External"/><Relationship Id="rId4084" Type="http://schemas.openxmlformats.org/officeDocument/2006/relationships/hyperlink" Target="http://pic.twitter.com/flyHOpCQSs" TargetMode="External"/><Relationship Id="rId908" Type="http://schemas.openxmlformats.org/officeDocument/2006/relationships/hyperlink" Target="https://www.careerservice.polimi.it/it-IT/Meetings/Home/Index/?eventId=23667" TargetMode="External"/><Relationship Id="rId1538" Type="http://schemas.openxmlformats.org/officeDocument/2006/relationships/hyperlink" Target="https://aisear.ch/" TargetMode="External"/><Relationship Id="rId4151" Type="http://schemas.openxmlformats.org/officeDocument/2006/relationships/hyperlink" Target="https://www.aphid.io/" TargetMode="External"/><Relationship Id="rId1745" Type="http://schemas.openxmlformats.org/officeDocument/2006/relationships/hyperlink" Target="https://pubs.acs.org/doi/10.1021/acs.jcim.0c00908" TargetMode="External"/><Relationship Id="rId1952" Type="http://schemas.openxmlformats.org/officeDocument/2006/relationships/hyperlink" Target="http://segmentive.ai/" TargetMode="External"/><Relationship Id="rId4011" Type="http://schemas.openxmlformats.org/officeDocument/2006/relationships/hyperlink" Target="https://amzn.to/3uhGvGu" TargetMode="External"/><Relationship Id="rId37" Type="http://schemas.openxmlformats.org/officeDocument/2006/relationships/hyperlink" Target="https://linktr.ee/jovianai" TargetMode="External"/><Relationship Id="rId1605" Type="http://schemas.openxmlformats.org/officeDocument/2006/relationships/hyperlink" Target="http://cariindata.id/" TargetMode="External"/><Relationship Id="rId1812" Type="http://schemas.openxmlformats.org/officeDocument/2006/relationships/hyperlink" Target="http://www.addalia.com/" TargetMode="External"/><Relationship Id="rId3777" Type="http://schemas.openxmlformats.org/officeDocument/2006/relationships/hyperlink" Target="https://bit.ly/37zzI10" TargetMode="External"/><Relationship Id="rId3984" Type="http://schemas.openxmlformats.org/officeDocument/2006/relationships/hyperlink" Target="https://pbs.twimg.com/media/Eu4GUy1UYAM4wWc.jpg" TargetMode="External"/><Relationship Id="rId698" Type="http://schemas.openxmlformats.org/officeDocument/2006/relationships/hyperlink" Target="https://www.quantamagazine.org/artificial-neural-nets-finally-yield-clues-to-how-brains-learn-20210218/" TargetMode="External"/><Relationship Id="rId2379" Type="http://schemas.openxmlformats.org/officeDocument/2006/relationships/hyperlink" Target="https://www.eletimes.com/this-robot-doesnt-need-any-electronics82959-2" TargetMode="External"/><Relationship Id="rId2586" Type="http://schemas.openxmlformats.org/officeDocument/2006/relationships/hyperlink" Target="https://medium.com/nerd-for-tech/please-human-can-you-teach-me-how-to-ai-9b272920f16f" TargetMode="External"/><Relationship Id="rId2793" Type="http://schemas.openxmlformats.org/officeDocument/2006/relationships/hyperlink" Target="https://www.mdpi.com/2073-431X/10/2/24" TargetMode="External"/><Relationship Id="rId3637" Type="http://schemas.openxmlformats.org/officeDocument/2006/relationships/hyperlink" Target="https://pbs.twimg.com/media/Eu4tTPOVoAcM9Yk.png" TargetMode="External"/><Relationship Id="rId3844" Type="http://schemas.openxmlformats.org/officeDocument/2006/relationships/hyperlink" Target="https://pbs.twimg.com/media/Eu4X-JXVkAAuXtN.jpg" TargetMode="External"/><Relationship Id="rId558" Type="http://schemas.openxmlformats.org/officeDocument/2006/relationships/hyperlink" Target="https://pbs.twimg.com/media/Eu7Nav8XEAQWGWM.jpg" TargetMode="External"/><Relationship Id="rId765" Type="http://schemas.openxmlformats.org/officeDocument/2006/relationships/hyperlink" Target="https://anoortech.com/" TargetMode="External"/><Relationship Id="rId972" Type="http://schemas.openxmlformats.org/officeDocument/2006/relationships/hyperlink" Target="https://web.br.de/interaktiv/ki-bewerbung/en/" TargetMode="External"/><Relationship Id="rId1188" Type="http://schemas.openxmlformats.org/officeDocument/2006/relationships/hyperlink" Target="https://hyspeedcomputing.com/" TargetMode="External"/><Relationship Id="rId1395" Type="http://schemas.openxmlformats.org/officeDocument/2006/relationships/hyperlink" Target="https://ca.linkedin.com/in/mikedewaal" TargetMode="External"/><Relationship Id="rId2239" Type="http://schemas.openxmlformats.org/officeDocument/2006/relationships/hyperlink" Target="https://pbs.twimg.com/media/Eu6BuYcVoAAbwnS.jpg" TargetMode="External"/><Relationship Id="rId2446" Type="http://schemas.openxmlformats.org/officeDocument/2006/relationships/hyperlink" Target="https://pbs.twimg.com/media/Eu53Z9mVgAY4dHB.jpg" TargetMode="External"/><Relationship Id="rId2653" Type="http://schemas.openxmlformats.org/officeDocument/2006/relationships/hyperlink" Target="https://pbs.twimg.com/media/Eu5rsm6WgAMbStT.jpg" TargetMode="External"/><Relationship Id="rId2860" Type="http://schemas.openxmlformats.org/officeDocument/2006/relationships/hyperlink" Target="https://www.linkedin.com/in/iainljbrown/" TargetMode="External"/><Relationship Id="rId3704" Type="http://schemas.openxmlformats.org/officeDocument/2006/relationships/hyperlink" Target="https://www.visive.ai/" TargetMode="External"/><Relationship Id="rId418" Type="http://schemas.openxmlformats.org/officeDocument/2006/relationships/hyperlink" Target="http://pic.twitter.com/Kf4eXnVcT3" TargetMode="External"/><Relationship Id="rId625" Type="http://schemas.openxmlformats.org/officeDocument/2006/relationships/hyperlink" Target="http://pnptc.com/" TargetMode="External"/><Relationship Id="rId832" Type="http://schemas.openxmlformats.org/officeDocument/2006/relationships/hyperlink" Target="http://neurons.ai/" TargetMode="External"/><Relationship Id="rId1048" Type="http://schemas.openxmlformats.org/officeDocument/2006/relationships/hyperlink" Target="https://linktr.ee/mlearning" TargetMode="External"/><Relationship Id="rId1255" Type="http://schemas.openxmlformats.org/officeDocument/2006/relationships/hyperlink" Target="https://dfdnews.com/2021/02/19/the-roller-coaster-goes-on-food-delivery-companies-in-asia-ii" TargetMode="External"/><Relationship Id="rId1462" Type="http://schemas.openxmlformats.org/officeDocument/2006/relationships/hyperlink" Target="https://www.youtube.com/watch?v=yrSz6dywOc8" TargetMode="External"/><Relationship Id="rId2306" Type="http://schemas.openxmlformats.org/officeDocument/2006/relationships/hyperlink" Target="https://lnkd.in/dZaYz7G" TargetMode="External"/><Relationship Id="rId2513" Type="http://schemas.openxmlformats.org/officeDocument/2006/relationships/hyperlink" Target="https://youtu.be/fRKhao2bzsY" TargetMode="External"/><Relationship Id="rId3911" Type="http://schemas.openxmlformats.org/officeDocument/2006/relationships/hyperlink" Target="http://www.everyday-mba.com/" TargetMode="External"/><Relationship Id="rId1115" Type="http://schemas.openxmlformats.org/officeDocument/2006/relationships/hyperlink" Target="http://www.deepdata.com/" TargetMode="External"/><Relationship Id="rId1322" Type="http://schemas.openxmlformats.org/officeDocument/2006/relationships/hyperlink" Target="https://lnkd.in/dqvG6Gh" TargetMode="External"/><Relationship Id="rId2720" Type="http://schemas.openxmlformats.org/officeDocument/2006/relationships/hyperlink" Target="https://twitter.com/Theslimevids/status/1321414501023895555" TargetMode="External"/><Relationship Id="rId3287" Type="http://schemas.openxmlformats.org/officeDocument/2006/relationships/hyperlink" Target="https://pbs.twimg.com/media/Eu5MATmWQAEykTT.jpg" TargetMode="External"/><Relationship Id="rId2096" Type="http://schemas.openxmlformats.org/officeDocument/2006/relationships/hyperlink" Target="http://neurons.ai/" TargetMode="External"/><Relationship Id="rId3494" Type="http://schemas.openxmlformats.org/officeDocument/2006/relationships/hyperlink" Target="http://www.asiainsurancereview.com/" TargetMode="External"/><Relationship Id="rId3147" Type="http://schemas.openxmlformats.org/officeDocument/2006/relationships/hyperlink" Target="https://pbs.twimg.com/media/Eu5We9kWQAIfhXT.jpg" TargetMode="External"/><Relationship Id="rId3354" Type="http://schemas.openxmlformats.org/officeDocument/2006/relationships/hyperlink" Target="http://pic.twitter.com/bxvyF3usWF" TargetMode="External"/><Relationship Id="rId3561" Type="http://schemas.openxmlformats.org/officeDocument/2006/relationships/hyperlink" Target="https://pbs.twimg.com/media/Eu4z3fiXcAEz0lM.jpg" TargetMode="External"/><Relationship Id="rId275" Type="http://schemas.openxmlformats.org/officeDocument/2006/relationships/hyperlink" Target="https://www.crossminds.ai/" TargetMode="External"/><Relationship Id="rId482" Type="http://schemas.openxmlformats.org/officeDocument/2006/relationships/hyperlink" Target="https://pbs.twimg.com/media/Eu7QOyYWgAEjBtk.jpg" TargetMode="External"/><Relationship Id="rId2163" Type="http://schemas.openxmlformats.org/officeDocument/2006/relationships/hyperlink" Target="https://www.linkedin.com/in/allakos" TargetMode="External"/><Relationship Id="rId2370" Type="http://schemas.openxmlformats.org/officeDocument/2006/relationships/hyperlink" Target="https://pbs.twimg.com/media/Eu58QexWYAUyM_6.jpg" TargetMode="External"/><Relationship Id="rId3007" Type="http://schemas.openxmlformats.org/officeDocument/2006/relationships/hyperlink" Target="https://ift.tt/3sihp8x" TargetMode="External"/><Relationship Id="rId3214" Type="http://schemas.openxmlformats.org/officeDocument/2006/relationships/hyperlink" Target="https://rubikscode.net/" TargetMode="External"/><Relationship Id="rId3421" Type="http://schemas.openxmlformats.org/officeDocument/2006/relationships/hyperlink" Target="http://www.ismg.io/" TargetMode="External"/><Relationship Id="rId135" Type="http://schemas.openxmlformats.org/officeDocument/2006/relationships/hyperlink" Target="https://qoo.ly/3avt59" TargetMode="External"/><Relationship Id="rId342" Type="http://schemas.openxmlformats.org/officeDocument/2006/relationships/hyperlink" Target="https://technative.io/ais-bias-problem-why-humanity-must-be-returned-to-ai/" TargetMode="External"/><Relationship Id="rId2023" Type="http://schemas.openxmlformats.org/officeDocument/2006/relationships/hyperlink" Target="https://www.linkedin.com/in/eric-feuilleaubois-ph-d-43ab0925/" TargetMode="External"/><Relationship Id="rId2230" Type="http://schemas.openxmlformats.org/officeDocument/2006/relationships/hyperlink" Target="http://pic.twitter.com/7dzJ4hCLnT" TargetMode="External"/><Relationship Id="rId202" Type="http://schemas.openxmlformats.org/officeDocument/2006/relationships/hyperlink" Target="http://www.awakenai.org/" TargetMode="External"/><Relationship Id="rId4195" Type="http://schemas.openxmlformats.org/officeDocument/2006/relationships/hyperlink" Target="http://www.amcsolutions.net/" TargetMode="External"/><Relationship Id="rId1789" Type="http://schemas.openxmlformats.org/officeDocument/2006/relationships/hyperlink" Target="http://khaleejmag.com/" TargetMode="External"/><Relationship Id="rId1996" Type="http://schemas.openxmlformats.org/officeDocument/2006/relationships/hyperlink" Target="https://pbs.twimg.com/media/Eu6OlLJXcAAwl-9.jpg" TargetMode="External"/><Relationship Id="rId4055" Type="http://schemas.openxmlformats.org/officeDocument/2006/relationships/hyperlink" Target="https://www.techradar.com/news/the-cheapest-5g-rugged-smartphone-costs-far-less-than-you-think/" TargetMode="External"/><Relationship Id="rId4262" Type="http://schemas.openxmlformats.org/officeDocument/2006/relationships/hyperlink" Target="https://fortune.com/2021/02/09/using-a-i-can-be-risky-business/" TargetMode="External"/><Relationship Id="rId1649" Type="http://schemas.openxmlformats.org/officeDocument/2006/relationships/hyperlink" Target="http://www.spotyourdeal.com/" TargetMode="External"/><Relationship Id="rId1856" Type="http://schemas.openxmlformats.org/officeDocument/2006/relationships/hyperlink" Target="http://github.com/ehuntober" TargetMode="External"/><Relationship Id="rId2907" Type="http://schemas.openxmlformats.org/officeDocument/2006/relationships/hyperlink" Target="https://link.medium.com/2SAx91Hw6db" TargetMode="External"/><Relationship Id="rId3071" Type="http://schemas.openxmlformats.org/officeDocument/2006/relationships/hyperlink" Target="https://likeabot.io/" TargetMode="External"/><Relationship Id="rId1509" Type="http://schemas.openxmlformats.org/officeDocument/2006/relationships/hyperlink" Target="https://pbs.twimg.com/media/Eu6kDjYXAAQnYb7.png" TargetMode="External"/><Relationship Id="rId1716" Type="http://schemas.openxmlformats.org/officeDocument/2006/relationships/hyperlink" Target="http://www.teldat.com/" TargetMode="External"/><Relationship Id="rId1923" Type="http://schemas.openxmlformats.org/officeDocument/2006/relationships/hyperlink" Target="https://www.onelink.to/programminghero" TargetMode="External"/><Relationship Id="rId4122" Type="http://schemas.openxmlformats.org/officeDocument/2006/relationships/hyperlink" Target="https://www.forbes.com/sites/jenniferhicks/2021/02/22/take-a-look-at-how-artificial-intelligence-can-improve-your-pets-health/" TargetMode="External"/><Relationship Id="rId3888" Type="http://schemas.openxmlformats.org/officeDocument/2006/relationships/hyperlink" Target="https://arxiv.org/pdf/2102.10106.pdf" TargetMode="External"/><Relationship Id="rId2697" Type="http://schemas.openxmlformats.org/officeDocument/2006/relationships/hyperlink" Target="https://www.deposy.org/en/" TargetMode="External"/><Relationship Id="rId3748" Type="http://schemas.openxmlformats.org/officeDocument/2006/relationships/hyperlink" Target="https://www.news-medical.net/news/20210222/Applications-of-Artificial-Intelligence-in-COVID-19-ICU-and-ER-situations.aspx" TargetMode="External"/><Relationship Id="rId669" Type="http://schemas.openxmlformats.org/officeDocument/2006/relationships/hyperlink" Target="https://bigdatatechwarsaw.eu/agenda/" TargetMode="External"/><Relationship Id="rId876" Type="http://schemas.openxmlformats.org/officeDocument/2006/relationships/hyperlink" Target="https://pbs.twimg.com/media/Eu7BbDOXcAAsV3G.jpg" TargetMode="External"/><Relationship Id="rId1299" Type="http://schemas.openxmlformats.org/officeDocument/2006/relationships/hyperlink" Target="https://pbs.twimg.com/media/Eu6tZvbXUAIi9x3.jpg" TargetMode="External"/><Relationship Id="rId2557" Type="http://schemas.openxmlformats.org/officeDocument/2006/relationships/hyperlink" Target="https://bit.ly/3natpGf" TargetMode="External"/><Relationship Id="rId3608" Type="http://schemas.openxmlformats.org/officeDocument/2006/relationships/hyperlink" Target="https://analyticsindiamag.com/" TargetMode="External"/><Relationship Id="rId3955" Type="http://schemas.openxmlformats.org/officeDocument/2006/relationships/hyperlink" Target="http://neurons.ai/" TargetMode="External"/><Relationship Id="rId529" Type="http://schemas.openxmlformats.org/officeDocument/2006/relationships/hyperlink" Target="https://opensource.com/article/21/1/machine-learning-python" TargetMode="External"/><Relationship Id="rId736" Type="http://schemas.openxmlformats.org/officeDocument/2006/relationships/hyperlink" Target="https://pbs.twimg.com/media/Eu7GfdRWYAMjMcq.jpg" TargetMode="External"/><Relationship Id="rId1159" Type="http://schemas.openxmlformats.org/officeDocument/2006/relationships/hyperlink" Target="https://pbs.twimg.com/media/Eu6xha9XAAECjcP.png" TargetMode="External"/><Relationship Id="rId1366" Type="http://schemas.openxmlformats.org/officeDocument/2006/relationships/hyperlink" Target="https://strathprints.strath.ac.uk/" TargetMode="External"/><Relationship Id="rId2417" Type="http://schemas.openxmlformats.org/officeDocument/2006/relationships/hyperlink" Target="http://www.audioanalytic.com/" TargetMode="External"/><Relationship Id="rId2764" Type="http://schemas.openxmlformats.org/officeDocument/2006/relationships/hyperlink" Target="https://twitter.com/new081082/status/1364139152120274950" TargetMode="External"/><Relationship Id="rId2971" Type="http://schemas.openxmlformats.org/officeDocument/2006/relationships/hyperlink" Target="http://aithority.com/" TargetMode="External"/><Relationship Id="rId3815" Type="http://schemas.openxmlformats.org/officeDocument/2006/relationships/hyperlink" Target="http://www.github.com/aravind-naidu/" TargetMode="External"/><Relationship Id="rId943" Type="http://schemas.openxmlformats.org/officeDocument/2006/relationships/hyperlink" Target="https://www.myfrugalfitness.com/" TargetMode="External"/><Relationship Id="rId1019" Type="http://schemas.openxmlformats.org/officeDocument/2006/relationships/hyperlink" Target="http://peerj.com/" TargetMode="External"/><Relationship Id="rId1573" Type="http://schemas.openxmlformats.org/officeDocument/2006/relationships/hyperlink" Target="http://dataisgood.com/" TargetMode="External"/><Relationship Id="rId1780" Type="http://schemas.openxmlformats.org/officeDocument/2006/relationships/hyperlink" Target="https://bit.ly/3dDIFdH" TargetMode="External"/><Relationship Id="rId2624" Type="http://schemas.openxmlformats.org/officeDocument/2006/relationships/hyperlink" Target="http://beyond-machine.com/" TargetMode="External"/><Relationship Id="rId2831" Type="http://schemas.openxmlformats.org/officeDocument/2006/relationships/hyperlink" Target="https://pbs.twimg.com/media/Eu5j4keWQAE0mxn.jpg" TargetMode="External"/><Relationship Id="rId72" Type="http://schemas.openxmlformats.org/officeDocument/2006/relationships/hyperlink" Target="http://dlvr.it/RtKf6d" TargetMode="External"/><Relationship Id="rId803" Type="http://schemas.openxmlformats.org/officeDocument/2006/relationships/hyperlink" Target="https://pbs.twimg.com/media/Eu7DaG4XEAA8JNw.png" TargetMode="External"/><Relationship Id="rId1226" Type="http://schemas.openxmlformats.org/officeDocument/2006/relationships/hyperlink" Target="https://www.weforum.org/agenda/2021/02/flying-ai-robot-harvest-fresh-fruit/" TargetMode="External"/><Relationship Id="rId1433" Type="http://schemas.openxmlformats.org/officeDocument/2006/relationships/hyperlink" Target="http://dailydigest.apolloenergiesinc.com/?edition_id=38464c20-75df-11eb-ae29-002590a5ba2d" TargetMode="External"/><Relationship Id="rId1640" Type="http://schemas.openxmlformats.org/officeDocument/2006/relationships/hyperlink" Target="http://dlvr.it/RtJbVP" TargetMode="External"/><Relationship Id="rId1500" Type="http://schemas.openxmlformats.org/officeDocument/2006/relationships/hyperlink" Target="https://bit.ly/2Wk46EN" TargetMode="External"/><Relationship Id="rId3398" Type="http://schemas.openxmlformats.org/officeDocument/2006/relationships/hyperlink" Target="https://www.engineeringbigdata.com/will-machine-learning-play-vital-role-2018-big-data/" TargetMode="External"/><Relationship Id="rId3258" Type="http://schemas.openxmlformats.org/officeDocument/2006/relationships/hyperlink" Target="https://bit.ly/3kJNIKw" TargetMode="External"/><Relationship Id="rId3465" Type="http://schemas.openxmlformats.org/officeDocument/2006/relationships/hyperlink" Target="https://www.linkedin.com/in/eric-feuilleaubois-ph-d-43ab0925/" TargetMode="External"/><Relationship Id="rId3672" Type="http://schemas.openxmlformats.org/officeDocument/2006/relationships/hyperlink" Target="https://stuf.in/b54wqx" TargetMode="External"/><Relationship Id="rId179" Type="http://schemas.openxmlformats.org/officeDocument/2006/relationships/hyperlink" Target="https://www.dataseer.digital/" TargetMode="External"/><Relationship Id="rId386" Type="http://schemas.openxmlformats.org/officeDocument/2006/relationships/hyperlink" Target="https://pbs.twimg.com/media/Eu7QxZSUYAg5WFD.jpg" TargetMode="External"/><Relationship Id="rId593" Type="http://schemas.openxmlformats.org/officeDocument/2006/relationships/hyperlink" Target="https://pbs.twimg.com/media/Eu7MTe8XAAcTaDG.jpg" TargetMode="External"/><Relationship Id="rId2067" Type="http://schemas.openxmlformats.org/officeDocument/2006/relationships/hyperlink" Target="https://machinelearningflx.com/" TargetMode="External"/><Relationship Id="rId2274" Type="http://schemas.openxmlformats.org/officeDocument/2006/relationships/hyperlink" Target="http://www.myrestai.com/" TargetMode="External"/><Relationship Id="rId2481" Type="http://schemas.openxmlformats.org/officeDocument/2006/relationships/hyperlink" Target="http://www.iac.cnr.it/" TargetMode="External"/><Relationship Id="rId3118" Type="http://schemas.openxmlformats.org/officeDocument/2006/relationships/hyperlink" Target="https://bit.ly/3ptJ054" TargetMode="External"/><Relationship Id="rId3325" Type="http://schemas.openxmlformats.org/officeDocument/2006/relationships/hyperlink" Target="https://pbs.twimg.com/media/Eu5J5NTVoAIF7TT.jpg" TargetMode="External"/><Relationship Id="rId3532" Type="http://schemas.openxmlformats.org/officeDocument/2006/relationships/hyperlink" Target="http://www.domesticatedbrain.com/" TargetMode="External"/><Relationship Id="rId246" Type="http://schemas.openxmlformats.org/officeDocument/2006/relationships/hyperlink" Target="http://www.awakenai.org/" TargetMode="External"/><Relationship Id="rId453" Type="http://schemas.openxmlformats.org/officeDocument/2006/relationships/hyperlink" Target="https://pbs.twimg.com/media/Eu7SGcfXIAIdyYL.jpg" TargetMode="External"/><Relationship Id="rId660" Type="http://schemas.openxmlformats.org/officeDocument/2006/relationships/hyperlink" Target="https://lnkd.in/d643GAf" TargetMode="External"/><Relationship Id="rId1083" Type="http://schemas.openxmlformats.org/officeDocument/2006/relationships/hyperlink" Target="https://paper.li/shashib/1511535667?edition_id=4fad44f0-75e8-11eb-a5c8-0cc47a0d15fd" TargetMode="External"/><Relationship Id="rId1290" Type="http://schemas.openxmlformats.org/officeDocument/2006/relationships/hyperlink" Target="http://neurons.ai/" TargetMode="External"/><Relationship Id="rId2134" Type="http://schemas.openxmlformats.org/officeDocument/2006/relationships/hyperlink" Target="https://technative.io/securing-healthcare-ai-confidential-computing/" TargetMode="External"/><Relationship Id="rId2341" Type="http://schemas.openxmlformats.org/officeDocument/2006/relationships/hyperlink" Target="https://twitter.com/nowthisnews/status/1364043048943050752" TargetMode="External"/><Relationship Id="rId106" Type="http://schemas.openxmlformats.org/officeDocument/2006/relationships/hyperlink" Target="https://buff.ly/3boqhmc" TargetMode="External"/><Relationship Id="rId313" Type="http://schemas.openxmlformats.org/officeDocument/2006/relationships/hyperlink" Target="https://machinelearningflx.com/" TargetMode="External"/><Relationship Id="rId1150" Type="http://schemas.openxmlformats.org/officeDocument/2006/relationships/hyperlink" Target="https://pyimg.co/university" TargetMode="External"/><Relationship Id="rId4099" Type="http://schemas.openxmlformats.org/officeDocument/2006/relationships/hyperlink" Target="https://machinelearningflx.com/" TargetMode="External"/><Relationship Id="rId520" Type="http://schemas.openxmlformats.org/officeDocument/2006/relationships/hyperlink" Target="https://cloudofboobs.com/" TargetMode="External"/><Relationship Id="rId2201" Type="http://schemas.openxmlformats.org/officeDocument/2006/relationships/hyperlink" Target="http://meaningoflife.blog/" TargetMode="External"/><Relationship Id="rId1010" Type="http://schemas.openxmlformats.org/officeDocument/2006/relationships/hyperlink" Target="http://www.e-medtools.com/Medicare_Coding_Tool.html" TargetMode="External"/><Relationship Id="rId1967" Type="http://schemas.openxmlformats.org/officeDocument/2006/relationships/hyperlink" Target="http://fin-ai.eu/" TargetMode="External"/><Relationship Id="rId4166" Type="http://schemas.openxmlformats.org/officeDocument/2006/relationships/hyperlink" Target="https://pbs.twimg.com/media/Eu30lksXIAAMsox.jpg" TargetMode="External"/><Relationship Id="rId4026" Type="http://schemas.openxmlformats.org/officeDocument/2006/relationships/hyperlink" Target="https://buff.ly/3kpnWMh" TargetMode="External"/><Relationship Id="rId3042" Type="http://schemas.openxmlformats.org/officeDocument/2006/relationships/hyperlink" Target="http://www.awakenai.org/" TargetMode="External"/><Relationship Id="rId3859" Type="http://schemas.openxmlformats.org/officeDocument/2006/relationships/hyperlink" Target="https://twitter.com/MachinePix/status/1349087453622185989" TargetMode="External"/><Relationship Id="rId2875" Type="http://schemas.openxmlformats.org/officeDocument/2006/relationships/hyperlink" Target="https://neurons.ai/blog/news-stories/spotify-improving-podcast-discovery-with-machine-learning/" TargetMode="External"/><Relationship Id="rId3926" Type="http://schemas.openxmlformats.org/officeDocument/2006/relationships/hyperlink" Target="https://openstatistics.org/" TargetMode="External"/><Relationship Id="rId847" Type="http://schemas.openxmlformats.org/officeDocument/2006/relationships/hyperlink" Target="https://dfdnews.com/2021/02/18/time-spent-in-video-streaming-apps-hit-nearly-1-trillion-hours-in-2020/" TargetMode="External"/><Relationship Id="rId1477" Type="http://schemas.openxmlformats.org/officeDocument/2006/relationships/hyperlink" Target="https://www.globaltechoutlook.com/" TargetMode="External"/><Relationship Id="rId1891" Type="http://schemas.openxmlformats.org/officeDocument/2006/relationships/hyperlink" Target="https://pbs.twimg.com/media/Eu6TauBUYAEC3UM.jpg" TargetMode="External"/><Relationship Id="rId2528" Type="http://schemas.openxmlformats.org/officeDocument/2006/relationships/hyperlink" Target="https://www.computing.co.uk/news/4027534/microsoft-word-ai-powered-text-prediction-feature" TargetMode="External"/><Relationship Id="rId2942" Type="http://schemas.openxmlformats.org/officeDocument/2006/relationships/hyperlink" Target="https://www.analyticsinsight.net/the-10-best-machine-learning-tools-to-look-for-in-2021/" TargetMode="External"/><Relationship Id="rId914" Type="http://schemas.openxmlformats.org/officeDocument/2006/relationships/hyperlink" Target="https://pbs.twimg.com/media/Eu6_LI2VEAAnADZ.jpg" TargetMode="External"/><Relationship Id="rId1544" Type="http://schemas.openxmlformats.org/officeDocument/2006/relationships/hyperlink" Target="http://www.data-vault.co.uk/" TargetMode="External"/><Relationship Id="rId1611" Type="http://schemas.openxmlformats.org/officeDocument/2006/relationships/hyperlink" Target="http://orcid.org/0000-0002-9106-4063" TargetMode="External"/><Relationship Id="rId3369" Type="http://schemas.openxmlformats.org/officeDocument/2006/relationships/hyperlink" Target="http://www.domesticatedbrain.com/" TargetMode="External"/><Relationship Id="rId2385" Type="http://schemas.openxmlformats.org/officeDocument/2006/relationships/hyperlink" Target="https://pbs.twimg.com/media/Eu56WJGVIAkT5oJ.jpg" TargetMode="External"/><Relationship Id="rId3783" Type="http://schemas.openxmlformats.org/officeDocument/2006/relationships/hyperlink" Target="https://bit.ly/37gENLA" TargetMode="External"/><Relationship Id="rId357" Type="http://schemas.openxmlformats.org/officeDocument/2006/relationships/hyperlink" Target="https://go.nature.com/2NQgMo2" TargetMode="External"/><Relationship Id="rId2038" Type="http://schemas.openxmlformats.org/officeDocument/2006/relationships/hyperlink" Target="https://www.reddit.com/r/MachineLearning/comments/lqdzzo/how_to_control_emotions_when_doing_research_d/" TargetMode="External"/><Relationship Id="rId3436" Type="http://schemas.openxmlformats.org/officeDocument/2006/relationships/hyperlink" Target="http://pic.twitter.com/NKJ3LbYW88" TargetMode="External"/><Relationship Id="rId3850" Type="http://schemas.openxmlformats.org/officeDocument/2006/relationships/hyperlink" Target="https://zpy.io/4ac079a2" TargetMode="External"/><Relationship Id="rId771" Type="http://schemas.openxmlformats.org/officeDocument/2006/relationships/hyperlink" Target="https://youtu.be/ZZ-kORb8grA" TargetMode="External"/><Relationship Id="rId2452" Type="http://schemas.openxmlformats.org/officeDocument/2006/relationships/hyperlink" Target="https://neurons.ai/blog/news-stories/machine-learning-in-communication-market-potential-growth-attractive-valuation-make-it-is-a-long/" TargetMode="External"/><Relationship Id="rId3503" Type="http://schemas.openxmlformats.org/officeDocument/2006/relationships/hyperlink" Target="https://ai-summary.com/summary-removing-the-wall-in-ml-ops/?utm_medium=social-organic&amp;utm_source=twitter" TargetMode="External"/><Relationship Id="rId424" Type="http://schemas.openxmlformats.org/officeDocument/2006/relationships/hyperlink" Target="http://marktechpost.com/" TargetMode="External"/><Relationship Id="rId1054" Type="http://schemas.openxmlformats.org/officeDocument/2006/relationships/hyperlink" Target="https://pbs.twimg.com/media/Eu64IyEXMAc7U_D.jpg" TargetMode="External"/><Relationship Id="rId2105" Type="http://schemas.openxmlformats.org/officeDocument/2006/relationships/hyperlink" Target="https://cutt.ly/Klzmgwj" TargetMode="External"/><Relationship Id="rId1121" Type="http://schemas.openxmlformats.org/officeDocument/2006/relationships/hyperlink" Target="http://pic.twitter.com/0gXR61RLk5" TargetMode="External"/><Relationship Id="rId4277" Type="http://schemas.openxmlformats.org/officeDocument/2006/relationships/table" Target="../tables/table1.xml"/><Relationship Id="rId3293" Type="http://schemas.openxmlformats.org/officeDocument/2006/relationships/hyperlink" Target="https://starship-knowledge.com/" TargetMode="External"/><Relationship Id="rId1938" Type="http://schemas.openxmlformats.org/officeDocument/2006/relationships/hyperlink" Target="http://www.computerworld.es/" TargetMode="External"/><Relationship Id="rId3360" Type="http://schemas.openxmlformats.org/officeDocument/2006/relationships/hyperlink" Target="https://pbs.twimg.com/media/Eu5Fe1SVkAQkAeZ.jpg" TargetMode="External"/><Relationship Id="rId281" Type="http://schemas.openxmlformats.org/officeDocument/2006/relationships/hyperlink" Target="https://www.weforum.org/agenda/2021/02/we-need-to-talk-about-artificial-intelligence/" TargetMode="External"/><Relationship Id="rId3013" Type="http://schemas.openxmlformats.org/officeDocument/2006/relationships/hyperlink" Target="https://forbes.it/2021/02/22/toyota-aurora-insieme-guida-autonoma/" TargetMode="External"/><Relationship Id="rId2779" Type="http://schemas.openxmlformats.org/officeDocument/2006/relationships/hyperlink" Target="https://twitter.com/Theslimevids/status/1335996359644565504" TargetMode="External"/><Relationship Id="rId1795" Type="http://schemas.openxmlformats.org/officeDocument/2006/relationships/hyperlink" Target="https://otoro.net/ml/" TargetMode="External"/><Relationship Id="rId2846" Type="http://schemas.openxmlformats.org/officeDocument/2006/relationships/hyperlink" Target="https://twitter.com/Theslimevids/status/1350825730062520323" TargetMode="External"/><Relationship Id="rId87" Type="http://schemas.openxmlformats.org/officeDocument/2006/relationships/hyperlink" Target="http://www.awakenai.org/" TargetMode="External"/><Relationship Id="rId818" Type="http://schemas.openxmlformats.org/officeDocument/2006/relationships/hyperlink" Target="http://neurons.ai/" TargetMode="External"/><Relationship Id="rId1448" Type="http://schemas.openxmlformats.org/officeDocument/2006/relationships/hyperlink" Target="https://www.madana.io/" TargetMode="External"/><Relationship Id="rId1862" Type="http://schemas.openxmlformats.org/officeDocument/2006/relationships/hyperlink" Target="https://link.medium.com/YVBbQcTw6db" TargetMode="External"/><Relationship Id="rId2913" Type="http://schemas.openxmlformats.org/officeDocument/2006/relationships/hyperlink" Target="https://bit.ly/3qNtTor" TargetMode="External"/><Relationship Id="rId1515" Type="http://schemas.openxmlformats.org/officeDocument/2006/relationships/hyperlink" Target="https://pbs.twimg.com/media/Eu6kUIYXEAMlhaS.png" TargetMode="External"/><Relationship Id="rId3687" Type="http://schemas.openxmlformats.org/officeDocument/2006/relationships/hyperlink" Target="https://tectales.com/ai/ai-tool-can-detect-covid-19-outbreaks.html" TargetMode="External"/><Relationship Id="rId2289" Type="http://schemas.openxmlformats.org/officeDocument/2006/relationships/hyperlink" Target="http://ow.ly/1U2s50BJpAV" TargetMode="External"/><Relationship Id="rId3754" Type="http://schemas.openxmlformats.org/officeDocument/2006/relationships/hyperlink" Target="http://htl.li/lQwR30ry0nn" TargetMode="External"/><Relationship Id="rId675" Type="http://schemas.openxmlformats.org/officeDocument/2006/relationships/hyperlink" Target="https://www.ifatticapitali.it/lupin-e-cybercrime-aumentano-furti-e-investimenti-nella-sicurezza-digitale/" TargetMode="External"/><Relationship Id="rId2356" Type="http://schemas.openxmlformats.org/officeDocument/2006/relationships/hyperlink" Target="https://machinelearningflx.com/" TargetMode="External"/><Relationship Id="rId2770" Type="http://schemas.openxmlformats.org/officeDocument/2006/relationships/hyperlink" Target="https://twitter.com/Theslimevids/status/1332289394854699012" TargetMode="External"/><Relationship Id="rId3407" Type="http://schemas.openxmlformats.org/officeDocument/2006/relationships/hyperlink" Target="https://pbs.twimg.com/media/Eu5B4fWXYAQL3YX.jpg" TargetMode="External"/><Relationship Id="rId3821" Type="http://schemas.openxmlformats.org/officeDocument/2006/relationships/hyperlink" Target="http://linkedin.com/in/gulshanyadav" TargetMode="External"/><Relationship Id="rId328" Type="http://schemas.openxmlformats.org/officeDocument/2006/relationships/hyperlink" Target="https://twitter.com/AllStreetsWolf/status/1364261746798514176" TargetMode="External"/><Relationship Id="rId742" Type="http://schemas.openxmlformats.org/officeDocument/2006/relationships/hyperlink" Target="https://bit.ly/373fxsd" TargetMode="External"/><Relationship Id="rId1372" Type="http://schemas.openxmlformats.org/officeDocument/2006/relationships/hyperlink" Target="https://pbs.twimg.com/media/Eu6chPgXAAU1OTt.jpg" TargetMode="External"/><Relationship Id="rId2009" Type="http://schemas.openxmlformats.org/officeDocument/2006/relationships/hyperlink" Target="http://geekdoctor.blogspot.com/2021/02/diabetes-meets-machine-learning-part-1.html" TargetMode="External"/><Relationship Id="rId2423" Type="http://schemas.openxmlformats.org/officeDocument/2006/relationships/hyperlink" Target="https://pbs.twimg.com/media/Eu5iyVWVkAQ6_DP.jpg" TargetMode="External"/><Relationship Id="rId1025" Type="http://schemas.openxmlformats.org/officeDocument/2006/relationships/hyperlink" Target="http://vengerovski.com/" TargetMode="External"/><Relationship Id="rId3197" Type="http://schemas.openxmlformats.org/officeDocument/2006/relationships/hyperlink" Target="http://bit.ly/2ZFbcaL" TargetMode="External"/><Relationship Id="rId4248" Type="http://schemas.openxmlformats.org/officeDocument/2006/relationships/hyperlink" Target="http://pic.twitter.com/ZAhvu8ti1Z" TargetMode="External"/><Relationship Id="rId185" Type="http://schemas.openxmlformats.org/officeDocument/2006/relationships/hyperlink" Target="https://www.linkedin.com/in/danieluriol/" TargetMode="External"/><Relationship Id="rId1909" Type="http://schemas.openxmlformats.org/officeDocument/2006/relationships/hyperlink" Target="https://www.bacancytechnology.com/blog/python-libraries-for-machine-learning" TargetMode="External"/><Relationship Id="rId3264" Type="http://schemas.openxmlformats.org/officeDocument/2006/relationships/hyperlink" Target="https://bit.ly/3aI23EA" TargetMode="External"/><Relationship Id="rId2280" Type="http://schemas.openxmlformats.org/officeDocument/2006/relationships/hyperlink" Target="http://www.rubiscape.com/" TargetMode="External"/><Relationship Id="rId3331" Type="http://schemas.openxmlformats.org/officeDocument/2006/relationships/hyperlink" Target="http://bwnews.pr/3pN0Gst" TargetMode="External"/><Relationship Id="rId252" Type="http://schemas.openxmlformats.org/officeDocument/2006/relationships/hyperlink" Target="https://buff.ly/3dCNZhr" TargetMode="External"/><Relationship Id="rId1699" Type="http://schemas.openxmlformats.org/officeDocument/2006/relationships/hyperlink" Target="https://cdait.gatech.edu/" TargetMode="External"/><Relationship Id="rId2000" Type="http://schemas.openxmlformats.org/officeDocument/2006/relationships/hyperlink" Target="https://pbs.twimg.com/media/Eu6ORihXUAEdSX-.png" TargetMode="External"/><Relationship Id="rId4172" Type="http://schemas.openxmlformats.org/officeDocument/2006/relationships/hyperlink" Target="http://bit.ly/IHhZkz" TargetMode="External"/><Relationship Id="rId1766" Type="http://schemas.openxmlformats.org/officeDocument/2006/relationships/hyperlink" Target="https://www.techsutram.com/2021/02/advanced-analytics-ai-ml-tigergraph-16-million-.html" TargetMode="External"/><Relationship Id="rId2817" Type="http://schemas.openxmlformats.org/officeDocument/2006/relationships/hyperlink" Target="https://brighterion.com/ai-powered-decision-making-for-global-credit-card-security-brighterion-ai-a-mastercard-company" TargetMode="External"/><Relationship Id="rId58" Type="http://schemas.openxmlformats.org/officeDocument/2006/relationships/hyperlink" Target="https://tinyurl.com/y7m22h3v" TargetMode="External"/><Relationship Id="rId1419" Type="http://schemas.openxmlformats.org/officeDocument/2006/relationships/hyperlink" Target="http://www.manning.com/" TargetMode="External"/><Relationship Id="rId1833" Type="http://schemas.openxmlformats.org/officeDocument/2006/relationships/hyperlink" Target="https://pbs.twimg.com/media/Eu6VrwDXMAAP1c_.jpg" TargetMode="External"/><Relationship Id="rId1900" Type="http://schemas.openxmlformats.org/officeDocument/2006/relationships/hyperlink" Target="https://pbs.twimg.com/media/Eu6TLsqXAAECU9h.png" TargetMode="External"/><Relationship Id="rId3658" Type="http://schemas.openxmlformats.org/officeDocument/2006/relationships/hyperlink" Target="https://pbs.twimg.com/media/Eu4rCApUcAcKXXC.jpg" TargetMode="External"/><Relationship Id="rId579" Type="http://schemas.openxmlformats.org/officeDocument/2006/relationships/hyperlink" Target="https://www.onelink.to/programminghero" TargetMode="External"/><Relationship Id="rId993" Type="http://schemas.openxmlformats.org/officeDocument/2006/relationships/hyperlink" Target="https://openstatistics.org/" TargetMode="External"/><Relationship Id="rId2674" Type="http://schemas.openxmlformats.org/officeDocument/2006/relationships/hyperlink" Target="https://buff.ly/3kpnWMh" TargetMode="External"/><Relationship Id="rId646" Type="http://schemas.openxmlformats.org/officeDocument/2006/relationships/hyperlink" Target="https://www.aviso.com/" TargetMode="External"/><Relationship Id="rId1276" Type="http://schemas.openxmlformats.org/officeDocument/2006/relationships/hyperlink" Target="https://pbs.twimg.com/media/Eu6ulStXMAILHIF.jpg" TargetMode="External"/><Relationship Id="rId2327" Type="http://schemas.openxmlformats.org/officeDocument/2006/relationships/hyperlink" Target="https://pbs.twimg.com/media/ERKv4FMWoAAQ8-i.jpg" TargetMode="External"/><Relationship Id="rId3725" Type="http://schemas.openxmlformats.org/officeDocument/2006/relationships/hyperlink" Target="https://buff.ly/2Z3rjz8" TargetMode="External"/><Relationship Id="rId1690" Type="http://schemas.openxmlformats.org/officeDocument/2006/relationships/hyperlink" Target="http://www.digitalinsuranceagenda.com/" TargetMode="External"/><Relationship Id="rId2741" Type="http://schemas.openxmlformats.org/officeDocument/2006/relationships/hyperlink" Target="http://www.desy.de/~apaul" TargetMode="External"/><Relationship Id="rId713" Type="http://schemas.openxmlformats.org/officeDocument/2006/relationships/hyperlink" Target="http://www.lavenir.com.co/" TargetMode="External"/><Relationship Id="rId1343" Type="http://schemas.openxmlformats.org/officeDocument/2006/relationships/hyperlink" Target="http://www.narrasoft.com/" TargetMode="External"/><Relationship Id="rId1410" Type="http://schemas.openxmlformats.org/officeDocument/2006/relationships/hyperlink" Target="http://www.geisel-software.com/" TargetMode="External"/><Relationship Id="rId3168" Type="http://schemas.openxmlformats.org/officeDocument/2006/relationships/hyperlink" Target="https://www.youtube.com/channel/UCklYFlwYOxUPougzY1ck4uA?sub_confirmation=1" TargetMode="External"/><Relationship Id="rId3582" Type="http://schemas.openxmlformats.org/officeDocument/2006/relationships/hyperlink" Target="https://bit.ly/35KbXSi" TargetMode="External"/><Relationship Id="rId4219" Type="http://schemas.openxmlformats.org/officeDocument/2006/relationships/hyperlink" Target="https://www.linkedin.com/in/danieluriol/" TargetMode="External"/><Relationship Id="rId2184" Type="http://schemas.openxmlformats.org/officeDocument/2006/relationships/hyperlink" Target="http://www.speedieconsulting.co.uk/" TargetMode="External"/><Relationship Id="rId3235" Type="http://schemas.openxmlformats.org/officeDocument/2006/relationships/hyperlink" Target="http://www.camera-module.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dy.si/Mffc372" TargetMode="External"/><Relationship Id="rId3182" Type="http://schemas.openxmlformats.org/officeDocument/2006/relationships/hyperlink" Target="https://ai-summary.com/summary-why-we-need-mass-automation-to-pandemic-proof-the-supply-chain-6f1b42f1/?utm_medium=social-organic&amp;utm_source=twitter" TargetMode="External"/><Relationship Id="rId4233" Type="http://schemas.openxmlformats.org/officeDocument/2006/relationships/hyperlink" Target="https://zpy.io/2979bad3" TargetMode="External"/><Relationship Id="rId3999" Type="http://schemas.openxmlformats.org/officeDocument/2006/relationships/hyperlink" Target="https://lnkd.in/ec3BYVT" TargetMode="External"/><Relationship Id="rId170" Type="http://schemas.openxmlformats.org/officeDocument/2006/relationships/hyperlink" Target="http://ow.ly/gWKw50DHD4s" TargetMode="External"/><Relationship Id="rId987" Type="http://schemas.openxmlformats.org/officeDocument/2006/relationships/hyperlink" Target="https://omdena.com/blog/ai-road-safety/" TargetMode="External"/><Relationship Id="rId2668" Type="http://schemas.openxmlformats.org/officeDocument/2006/relationships/hyperlink" Target="https://pbs.twimg.com/media/Eu5q-OGXIAEDzNS.jpg" TargetMode="External"/><Relationship Id="rId3719" Type="http://schemas.openxmlformats.org/officeDocument/2006/relationships/hyperlink" Target="https://bit.ly/3kbWlxK" TargetMode="External"/><Relationship Id="rId4090" Type="http://schemas.openxmlformats.org/officeDocument/2006/relationships/hyperlink" Target="https://buff.ly/3o6sRlr" TargetMode="External"/><Relationship Id="rId1684" Type="http://schemas.openxmlformats.org/officeDocument/2006/relationships/hyperlink" Target="https://qoo.ly/3avn86" TargetMode="External"/><Relationship Id="rId2735" Type="http://schemas.openxmlformats.org/officeDocument/2006/relationships/hyperlink" Target="https://machinelearningflx.com/" TargetMode="External"/><Relationship Id="rId707" Type="http://schemas.openxmlformats.org/officeDocument/2006/relationships/hyperlink" Target="https://pbs.twimg.com/media/Eu7HyyUWYAIL2a4.jpg" TargetMode="External"/><Relationship Id="rId1337" Type="http://schemas.openxmlformats.org/officeDocument/2006/relationships/hyperlink" Target="http://www.ecopreneurs.in/" TargetMode="External"/><Relationship Id="rId1751" Type="http://schemas.openxmlformats.org/officeDocument/2006/relationships/hyperlink" Target="https://pbs.twimg.com/media/Eu6axj-XYAALhxU.jpg" TargetMode="External"/><Relationship Id="rId2802" Type="http://schemas.openxmlformats.org/officeDocument/2006/relationships/hyperlink" Target="http://www.baobabsoluciones.es/" TargetMode="External"/><Relationship Id="rId43" Type="http://schemas.openxmlformats.org/officeDocument/2006/relationships/hyperlink" Target="https://dld-conference.com/conference/allstars" TargetMode="External"/><Relationship Id="rId1404" Type="http://schemas.openxmlformats.org/officeDocument/2006/relationships/hyperlink" Target="https://www.linkedin.com/in/eric-feuilleaubois-ph-d-43ab0925/" TargetMode="External"/><Relationship Id="rId3576" Type="http://schemas.openxmlformats.org/officeDocument/2006/relationships/hyperlink" Target="http://bottomfishingcharts.com/" TargetMode="External"/><Relationship Id="rId497" Type="http://schemas.openxmlformats.org/officeDocument/2006/relationships/hyperlink" Target="https://www.programming-hero.com/" TargetMode="External"/><Relationship Id="rId2178" Type="http://schemas.openxmlformats.org/officeDocument/2006/relationships/hyperlink" Target="http://www.zegami.com/" TargetMode="External"/><Relationship Id="rId3229" Type="http://schemas.openxmlformats.org/officeDocument/2006/relationships/hyperlink" Target="https://arxiv.org/abs/2102.10952" TargetMode="External"/><Relationship Id="rId3990" Type="http://schemas.openxmlformats.org/officeDocument/2006/relationships/hyperlink" Target="https://paper.li/rautsan/1450884817?edition_id=b147ec00-757b-11eb-9fda-0cc47a0d1609" TargetMode="External"/><Relationship Id="rId1194" Type="http://schemas.openxmlformats.org/officeDocument/2006/relationships/hyperlink" Target="https://github.com/benedekrozemberczki" TargetMode="External"/><Relationship Id="rId2592" Type="http://schemas.openxmlformats.org/officeDocument/2006/relationships/hyperlink" Target="https://www.linkedin.com/in/colinrbristow/" TargetMode="External"/><Relationship Id="rId3643" Type="http://schemas.openxmlformats.org/officeDocument/2006/relationships/hyperlink" Target="http://pic.twitter.com/4JVVFSOsVI" TargetMode="External"/><Relationship Id="rId217" Type="http://schemas.openxmlformats.org/officeDocument/2006/relationships/hyperlink" Target="https://pbs.twimg.com/media/Eu7bRVgWQAI9w42.jpg" TargetMode="External"/><Relationship Id="rId564" Type="http://schemas.openxmlformats.org/officeDocument/2006/relationships/hyperlink" Target="https://pbs.twimg.com/media/Eu7NFctXMAM6F8W.jpg" TargetMode="External"/><Relationship Id="rId2245" Type="http://schemas.openxmlformats.org/officeDocument/2006/relationships/hyperlink" Target="https://www.alveotech.com/company/news/asset-control-rebrands-as-alveo" TargetMode="External"/><Relationship Id="rId3710" Type="http://schemas.openxmlformats.org/officeDocument/2006/relationships/hyperlink" Target="https://bit.ly/3aK8Uxl" TargetMode="External"/><Relationship Id="rId631" Type="http://schemas.openxmlformats.org/officeDocument/2006/relationships/hyperlink" Target="https://www.xcede.com/" TargetMode="External"/><Relationship Id="rId1261" Type="http://schemas.openxmlformats.org/officeDocument/2006/relationships/hyperlink" Target="http://www.bukmedianet.com/2019/12/bayesian-machine-learning-in-python-ab.html" TargetMode="External"/><Relationship Id="rId2312" Type="http://schemas.openxmlformats.org/officeDocument/2006/relationships/hyperlink" Target="https://twitter.com/alvinfoo/status/1364015379282948101" TargetMode="External"/><Relationship Id="rId3086" Type="http://schemas.openxmlformats.org/officeDocument/2006/relationships/hyperlink" Target="https://pbs.twimg.com/media/EunGVSYXUAgB-JR.jpg" TargetMode="External"/><Relationship Id="rId4137" Type="http://schemas.openxmlformats.org/officeDocument/2006/relationships/hyperlink" Target="https://buff.ly/3bwRiUG" TargetMode="External"/><Relationship Id="rId3153" Type="http://schemas.openxmlformats.org/officeDocument/2006/relationships/hyperlink" Target="https://www.reddit.com/r/MediaSynthesis/comments/lo8ggo/we_are_all_the_scatman/" TargetMode="External"/><Relationship Id="rId4204" Type="http://schemas.openxmlformats.org/officeDocument/2006/relationships/hyperlink" Target="https://pbs.twimg.com/media/Eu3wey1VkAc93qL.jpg" TargetMode="External"/><Relationship Id="rId141" Type="http://schemas.openxmlformats.org/officeDocument/2006/relationships/hyperlink" Target="http://bit.ly/2NQZlUl" TargetMode="External"/><Relationship Id="rId3220" Type="http://schemas.openxmlformats.org/officeDocument/2006/relationships/hyperlink" Target="http://ipfconline.fr/contacts-eng.html" TargetMode="External"/><Relationship Id="rId7" Type="http://schemas.openxmlformats.org/officeDocument/2006/relationships/hyperlink" Target="https://thrive.kaiserpermanente.org/" TargetMode="External"/><Relationship Id="rId2986" Type="http://schemas.openxmlformats.org/officeDocument/2006/relationships/hyperlink" Target="https://bit.ly/2MgQvyJ" TargetMode="External"/><Relationship Id="rId958" Type="http://schemas.openxmlformats.org/officeDocument/2006/relationships/hyperlink" Target="http://www.datascientists.fr/" TargetMode="External"/><Relationship Id="rId1588" Type="http://schemas.openxmlformats.org/officeDocument/2006/relationships/hyperlink" Target="https://www.bbntimes.com/technology/5-things-you-didn-t-know-about-artificial-intelligence" TargetMode="External"/><Relationship Id="rId2639" Type="http://schemas.openxmlformats.org/officeDocument/2006/relationships/hyperlink" Target="https://www.reddit.com/r/MachineLearning/comments/lq3bbd/r_realtime_highresolution_background_matting/?utm_source=dlvr.it&amp;utm_medium=twitter" TargetMode="External"/><Relationship Id="rId1655" Type="http://schemas.openxmlformats.org/officeDocument/2006/relationships/hyperlink" Target="https://bit.ly/2KSA9f4" TargetMode="External"/><Relationship Id="rId2706" Type="http://schemas.openxmlformats.org/officeDocument/2006/relationships/hyperlink" Target="http://www.industrial-production.de/" TargetMode="External"/><Relationship Id="rId4061" Type="http://schemas.openxmlformats.org/officeDocument/2006/relationships/hyperlink" Target="http://datatolearningtoaction.com/" TargetMode="External"/><Relationship Id="rId1308" Type="http://schemas.openxmlformats.org/officeDocument/2006/relationships/hyperlink" Target="https://reconshell.com/" TargetMode="External"/><Relationship Id="rId1722" Type="http://schemas.openxmlformats.org/officeDocument/2006/relationships/hyperlink" Target="https://www.digitalinsuranceagenda.com/featured-insurtechs/whats-happening-in-the-dia-community-vol-13/?utm_source=agorapulse&amp;utm_medium=cybercube" TargetMode="External"/><Relationship Id="rId14" Type="http://schemas.openxmlformats.org/officeDocument/2006/relationships/hyperlink" Target="https://pbs.twimg.com/media/Eu7jVAKXUAEa9WJ.jpg" TargetMode="External"/><Relationship Id="rId3894" Type="http://schemas.openxmlformats.org/officeDocument/2006/relationships/hyperlink" Target="https://www.reddit.com/r/MachineLearning/comments/lpskyo/d_cheatsheet_for_is_spacetime_attention_all_you/" TargetMode="External"/><Relationship Id="rId2496" Type="http://schemas.openxmlformats.org/officeDocument/2006/relationships/hyperlink" Target="https://bit.ly/2MfcGVS" TargetMode="External"/><Relationship Id="rId3547" Type="http://schemas.openxmlformats.org/officeDocument/2006/relationships/hyperlink" Target="https://pbs.twimg.com/media/Eu40QEMWgAMvUXk.jpg" TargetMode="External"/><Relationship Id="rId3961" Type="http://schemas.openxmlformats.org/officeDocument/2006/relationships/hyperlink" Target="http://neurons.ai/" TargetMode="External"/><Relationship Id="rId468" Type="http://schemas.openxmlformats.org/officeDocument/2006/relationships/hyperlink" Target="https://www.fiverr.com/ripon_dev?up_rollout=true" TargetMode="External"/><Relationship Id="rId882" Type="http://schemas.openxmlformats.org/officeDocument/2006/relationships/hyperlink" Target="https://ai-summary.com/summary-the-evolution-of-digital-banking-post-covid-19/?utm_medium=social-organic&amp;utm_source=twitter" TargetMode="External"/><Relationship Id="rId1098" Type="http://schemas.openxmlformats.org/officeDocument/2006/relationships/hyperlink" Target="http://www.scality.com/" TargetMode="External"/><Relationship Id="rId2149" Type="http://schemas.openxmlformats.org/officeDocument/2006/relationships/hyperlink" Target="https://medium.com/bluepi-blog/how-ai-is-making-the-fashion-industry-smarter-1d2cad7d0338" TargetMode="External"/><Relationship Id="rId2563" Type="http://schemas.openxmlformats.org/officeDocument/2006/relationships/hyperlink" Target="https://autome.me/" TargetMode="External"/><Relationship Id="rId3614" Type="http://schemas.openxmlformats.org/officeDocument/2006/relationships/hyperlink" Target="https://bit.ly/343RHtA" TargetMode="External"/><Relationship Id="rId535" Type="http://schemas.openxmlformats.org/officeDocument/2006/relationships/hyperlink" Target="http://www.joshuadorkin.com/" TargetMode="External"/><Relationship Id="rId1165" Type="http://schemas.openxmlformats.org/officeDocument/2006/relationships/hyperlink" Target="https://edition.cnn.com/2021/02/16/tech/emotion-recognition-ai-education-spc-intl-hnk/index.html" TargetMode="External"/><Relationship Id="rId2216" Type="http://schemas.openxmlformats.org/officeDocument/2006/relationships/hyperlink" Target="https://geek-inc.fr/" TargetMode="External"/><Relationship Id="rId2630" Type="http://schemas.openxmlformats.org/officeDocument/2006/relationships/hyperlink" Target="https://amzn.to/2ZHMjv6" TargetMode="External"/><Relationship Id="rId602" Type="http://schemas.openxmlformats.org/officeDocument/2006/relationships/hyperlink" Target="http://ipfconline.fr/contacts-eng.html" TargetMode="External"/><Relationship Id="rId1232" Type="http://schemas.openxmlformats.org/officeDocument/2006/relationships/hyperlink" Target="https://venturebeat.com/2021/02/22/googles-voice-ai-accelerator-launches-12-startups/" TargetMode="External"/><Relationship Id="rId3057" Type="http://schemas.openxmlformats.org/officeDocument/2006/relationships/hyperlink" Target="http://etcio.com/" TargetMode="External"/><Relationship Id="rId4108" Type="http://schemas.openxmlformats.org/officeDocument/2006/relationships/hyperlink" Target="https://www.eventbrite.co.uk/e/what-its-like-to-be-a-data-scientist-tickets-136944090461?aff=ebdsoporgprofile" TargetMode="External"/><Relationship Id="rId3471" Type="http://schemas.openxmlformats.org/officeDocument/2006/relationships/hyperlink" Target="https://www.atentec.com/" TargetMode="External"/><Relationship Id="rId392" Type="http://schemas.openxmlformats.org/officeDocument/2006/relationships/hyperlink" Target="https://compunetics.net/blog/2020-12-07-Reaction-Simulation-for-Side-Product-Prediction-II/" TargetMode="External"/><Relationship Id="rId2073" Type="http://schemas.openxmlformats.org/officeDocument/2006/relationships/hyperlink" Target="http://about.me/ajay_ramaseshan" TargetMode="External"/><Relationship Id="rId3124" Type="http://schemas.openxmlformats.org/officeDocument/2006/relationships/hyperlink" Target="https://www.lanl.gov/discover/news-release-archive/2020/June/0608-artificial-brains.php?source=newsroom" TargetMode="External"/><Relationship Id="rId2140" Type="http://schemas.openxmlformats.org/officeDocument/2006/relationships/hyperlink" Target="https://youtu.be/q_ohzm8OcQ0" TargetMode="External"/><Relationship Id="rId112" Type="http://schemas.openxmlformats.org/officeDocument/2006/relationships/hyperlink" Target="http://www.esgi.fr/" TargetMode="External"/><Relationship Id="rId2957" Type="http://schemas.openxmlformats.org/officeDocument/2006/relationships/hyperlink" Target="https://www.preprints.org/manuscript/202102.0488/v1" TargetMode="External"/><Relationship Id="rId929" Type="http://schemas.openxmlformats.org/officeDocument/2006/relationships/hyperlink" Target="https://bit.ly/3bsIHCD" TargetMode="External"/><Relationship Id="rId1559" Type="http://schemas.openxmlformats.org/officeDocument/2006/relationships/hyperlink" Target="http://www.ayokasystems.com/" TargetMode="External"/><Relationship Id="rId1973" Type="http://schemas.openxmlformats.org/officeDocument/2006/relationships/hyperlink" Target="https://www.omologapps.com/whats-ai" TargetMode="External"/><Relationship Id="rId4032" Type="http://schemas.openxmlformats.org/officeDocument/2006/relationships/hyperlink" Target="https://twitter.com/yywwy3/status/1364009579831509003" TargetMode="External"/><Relationship Id="rId1626" Type="http://schemas.openxmlformats.org/officeDocument/2006/relationships/hyperlink" Target="https://pbs.twimg.com/media/Eu6e7qQUUAoOKBj.jpg" TargetMode="External"/><Relationship Id="rId3798" Type="http://schemas.openxmlformats.org/officeDocument/2006/relationships/hyperlink" Target="https://pbs.twimg.com/media/Eu4eaZhWQAElUyV.jpg" TargetMode="External"/><Relationship Id="rId3865" Type="http://schemas.openxmlformats.org/officeDocument/2006/relationships/hyperlink" Target="https://pbs.twimg.com/media/Eu4TqBHXcAA5fDi.jpg" TargetMode="External"/><Relationship Id="rId786" Type="http://schemas.openxmlformats.org/officeDocument/2006/relationships/hyperlink" Target="https://pbs.twimg.com/media/Eu7EZHBXEAEEypq.jpg" TargetMode="External"/><Relationship Id="rId2467" Type="http://schemas.openxmlformats.org/officeDocument/2006/relationships/hyperlink" Target="http://www.actomedia.com/" TargetMode="External"/><Relationship Id="rId3518" Type="http://schemas.openxmlformats.org/officeDocument/2006/relationships/hyperlink" Target="http://www.bacancytechnology.com/" TargetMode="External"/><Relationship Id="rId439" Type="http://schemas.openxmlformats.org/officeDocument/2006/relationships/hyperlink" Target="http://dlvr.it/RtKQgN" TargetMode="External"/><Relationship Id="rId1069" Type="http://schemas.openxmlformats.org/officeDocument/2006/relationships/hyperlink" Target="http://www.whitehallmedia.co.uk/" TargetMode="External"/><Relationship Id="rId1483" Type="http://schemas.openxmlformats.org/officeDocument/2006/relationships/hyperlink" Target="http://www.datascientists.fr/" TargetMode="External"/><Relationship Id="rId2881" Type="http://schemas.openxmlformats.org/officeDocument/2006/relationships/hyperlink" Target="http://www.corizance.com/" TargetMode="External"/><Relationship Id="rId3932" Type="http://schemas.openxmlformats.org/officeDocument/2006/relationships/hyperlink" Target="https://hubs.ly/H0GQSf00" TargetMode="External"/><Relationship Id="rId506" Type="http://schemas.openxmlformats.org/officeDocument/2006/relationships/hyperlink" Target="https://pbs.twimg.com/media/Erud-cLWMAI0ecY.jpg" TargetMode="External"/><Relationship Id="rId853" Type="http://schemas.openxmlformats.org/officeDocument/2006/relationships/hyperlink" Target="http://www.robofied.com/" TargetMode="External"/><Relationship Id="rId1136" Type="http://schemas.openxmlformats.org/officeDocument/2006/relationships/hyperlink" Target="https://pbs.twimg.com/media/Eu61u4fUcAoJZhm.jpg" TargetMode="External"/><Relationship Id="rId2534" Type="http://schemas.openxmlformats.org/officeDocument/2006/relationships/hyperlink" Target="http://pic.twitter.com/y6DnmrUXY5" TargetMode="External"/><Relationship Id="rId920" Type="http://schemas.openxmlformats.org/officeDocument/2006/relationships/hyperlink" Target="https://www.raywang.org/" TargetMode="External"/><Relationship Id="rId1550" Type="http://schemas.openxmlformats.org/officeDocument/2006/relationships/hyperlink" Target="https://youtu.be/Peccbcj8Ibs" TargetMode="External"/><Relationship Id="rId2601" Type="http://schemas.openxmlformats.org/officeDocument/2006/relationships/hyperlink" Target="http://cognitivetoday.com/" TargetMode="External"/><Relationship Id="rId1203" Type="http://schemas.openxmlformats.org/officeDocument/2006/relationships/hyperlink" Target="http://competinginadiverseandevolvingmarketplace.readyforthenet.org/" TargetMode="External"/><Relationship Id="rId3375" Type="http://schemas.openxmlformats.org/officeDocument/2006/relationships/hyperlink" Target="https://anoushk.substack.com/" TargetMode="External"/><Relationship Id="rId296" Type="http://schemas.openxmlformats.org/officeDocument/2006/relationships/hyperlink" Target="https://bit.ly/37DurWr" TargetMode="External"/><Relationship Id="rId2391" Type="http://schemas.openxmlformats.org/officeDocument/2006/relationships/hyperlink" Target="https://pub.towardsai.net/tensorflow-accelerate-numpy-with-gpus-964e9087fdab?source=social.tw" TargetMode="External"/><Relationship Id="rId3028" Type="http://schemas.openxmlformats.org/officeDocument/2006/relationships/hyperlink" Target="https://pbs.twimg.com/media/Eu5b20qVgAQlS2F.jpg" TargetMode="External"/><Relationship Id="rId3442" Type="http://schemas.openxmlformats.org/officeDocument/2006/relationships/hyperlink" Target="http://pic.twitter.com/qYkwgtCiuJ" TargetMode="External"/><Relationship Id="rId156" Type="http://schemas.openxmlformats.org/officeDocument/2006/relationships/hyperlink" Target="http://www.markoinsights.com/" TargetMode="External"/><Relationship Id="rId363" Type="http://schemas.openxmlformats.org/officeDocument/2006/relationships/hyperlink" Target="https://technative.io/five-things-on-our-data-and-ai-radar-for-2021/" TargetMode="External"/><Relationship Id="rId570" Type="http://schemas.openxmlformats.org/officeDocument/2006/relationships/hyperlink" Target="https://pbs.twimg.com/media/EuhAtZzXIAQ6Crb.jpg" TargetMode="External"/><Relationship Id="rId2044" Type="http://schemas.openxmlformats.org/officeDocument/2006/relationships/hyperlink" Target="https://www.ipsmea.com/" TargetMode="External"/><Relationship Id="rId2251" Type="http://schemas.openxmlformats.org/officeDocument/2006/relationships/hyperlink" Target="https://pbs.twimg.com/media/Eu6A1_iWYAAn9uO.jpg" TargetMode="External"/><Relationship Id="rId3302" Type="http://schemas.openxmlformats.org/officeDocument/2006/relationships/hyperlink" Target="http://pic.twitter.com/3rSLD9jDM6" TargetMode="External"/><Relationship Id="rId223" Type="http://schemas.openxmlformats.org/officeDocument/2006/relationships/hyperlink" Target="https://www.nytimes.com/2021/02/23/technology/ai-innovation-privacy-seniors-education.html" TargetMode="External"/><Relationship Id="rId430" Type="http://schemas.openxmlformats.org/officeDocument/2006/relationships/hyperlink" Target="https://techflx.com/product-category/books/" TargetMode="External"/><Relationship Id="rId1060" Type="http://schemas.openxmlformats.org/officeDocument/2006/relationships/hyperlink" Target="http://bit.ly/3skehJl" TargetMode="External"/><Relationship Id="rId2111" Type="http://schemas.openxmlformats.org/officeDocument/2006/relationships/hyperlink" Target="https://www.linkedin.com/in/colinrbristow/" TargetMode="External"/><Relationship Id="rId4076" Type="http://schemas.openxmlformats.org/officeDocument/2006/relationships/hyperlink" Target="https://machinelearningmastery.com/introduction-to-bayesian-belief-networks/" TargetMode="External"/><Relationship Id="rId1877" Type="http://schemas.openxmlformats.org/officeDocument/2006/relationships/hyperlink" Target="http://leadsbrandconnect.com/" TargetMode="External"/><Relationship Id="rId2928" Type="http://schemas.openxmlformats.org/officeDocument/2006/relationships/hyperlink" Target="https://pbs.twimg.com/media/Eu5fyqZVcAI-p9y.jpg" TargetMode="External"/><Relationship Id="rId1737" Type="http://schemas.openxmlformats.org/officeDocument/2006/relationships/hyperlink" Target="https://pbs.twimg.com/media/Eu6bJyzXIAE1x0c.jpg" TargetMode="External"/><Relationship Id="rId1944" Type="http://schemas.openxmlformats.org/officeDocument/2006/relationships/hyperlink" Target="https://www.instagram.com/p/CLolDfiHsQ2/" TargetMode="External"/><Relationship Id="rId3092" Type="http://schemas.openxmlformats.org/officeDocument/2006/relationships/hyperlink" Target="https://bit.ly/2NM2Qv7" TargetMode="External"/><Relationship Id="rId4143" Type="http://schemas.openxmlformats.org/officeDocument/2006/relationships/hyperlink" Target="https://arxiv.org/pdf/2102.09896.pdf" TargetMode="External"/><Relationship Id="rId29" Type="http://schemas.openxmlformats.org/officeDocument/2006/relationships/hyperlink" Target="https://pbs.twimg.com/media/Eu7jRCGXMAAUC8O.jpg" TargetMode="External"/><Relationship Id="rId4003" Type="http://schemas.openxmlformats.org/officeDocument/2006/relationships/hyperlink" Target="http://ipfconline.fr/contacts-eng.html" TargetMode="External"/><Relationship Id="rId4210" Type="http://schemas.openxmlformats.org/officeDocument/2006/relationships/hyperlink" Target="http://www.aiaustralia.org/" TargetMode="External"/><Relationship Id="rId1804" Type="http://schemas.openxmlformats.org/officeDocument/2006/relationships/hyperlink" Target="http://datategy.net/fr/accueil/" TargetMode="External"/><Relationship Id="rId3769" Type="http://schemas.openxmlformats.org/officeDocument/2006/relationships/hyperlink" Target="https://pbs.twimg.com/media/Eu4gP1hXMAEA1Ib.png" TargetMode="External"/><Relationship Id="rId3976" Type="http://schemas.openxmlformats.org/officeDocument/2006/relationships/hyperlink" Target="https://about.me/pawan.somanchi" TargetMode="External"/><Relationship Id="rId897" Type="http://schemas.openxmlformats.org/officeDocument/2006/relationships/hyperlink" Target="https://medium.com/@guidaautonoma" TargetMode="External"/><Relationship Id="rId2578" Type="http://schemas.openxmlformats.org/officeDocument/2006/relationships/hyperlink" Target="http://swisscognitive.ch/" TargetMode="External"/><Relationship Id="rId2785" Type="http://schemas.openxmlformats.org/officeDocument/2006/relationships/hyperlink" Target="https://via.socxo.net/RxojtPAteQ8Id" TargetMode="External"/><Relationship Id="rId2992" Type="http://schemas.openxmlformats.org/officeDocument/2006/relationships/hyperlink" Target="https://qualitastech.com/" TargetMode="External"/><Relationship Id="rId3629" Type="http://schemas.openxmlformats.org/officeDocument/2006/relationships/hyperlink" Target="http://marktechpost.com/" TargetMode="External"/><Relationship Id="rId3836" Type="http://schemas.openxmlformats.org/officeDocument/2006/relationships/hyperlink" Target="https://zcu.io/R9lh" TargetMode="External"/><Relationship Id="rId757" Type="http://schemas.openxmlformats.org/officeDocument/2006/relationships/hyperlink" Target="https://www.information-age.com/" TargetMode="External"/><Relationship Id="rId964" Type="http://schemas.openxmlformats.org/officeDocument/2006/relationships/hyperlink" Target="http://www.stardust-testing.com/" TargetMode="External"/><Relationship Id="rId1387" Type="http://schemas.openxmlformats.org/officeDocument/2006/relationships/hyperlink" Target="http://psi-k.net/" TargetMode="External"/><Relationship Id="rId1594" Type="http://schemas.openxmlformats.org/officeDocument/2006/relationships/hyperlink" Target="https://lovecht.com/" TargetMode="External"/><Relationship Id="rId2438" Type="http://schemas.openxmlformats.org/officeDocument/2006/relationships/hyperlink" Target="http://writex.today/" TargetMode="External"/><Relationship Id="rId2645" Type="http://schemas.openxmlformats.org/officeDocument/2006/relationships/hyperlink" Target="http://www.corizance.com/" TargetMode="External"/><Relationship Id="rId2852" Type="http://schemas.openxmlformats.org/officeDocument/2006/relationships/hyperlink" Target="https://pbs.twimg.com/media/Eu5jFKVWQAM0cmF.jpg" TargetMode="External"/><Relationship Id="rId3903" Type="http://schemas.openxmlformats.org/officeDocument/2006/relationships/hyperlink" Target="https://www.analytikus.com/post/the-coronavirus-and-online-learning-an-alternate-perspective" TargetMode="External"/><Relationship Id="rId93" Type="http://schemas.openxmlformats.org/officeDocument/2006/relationships/hyperlink" Target="https://atlassystems.com/blog/machine-learning-how-it-works/" TargetMode="External"/><Relationship Id="rId617" Type="http://schemas.openxmlformats.org/officeDocument/2006/relationships/hyperlink" Target="https://pbs.twimg.com/media/Eu7LXNiWYAAmI1h.jpg" TargetMode="External"/><Relationship Id="rId824" Type="http://schemas.openxmlformats.org/officeDocument/2006/relationships/hyperlink" Target="http://neurons.ai/" TargetMode="External"/><Relationship Id="rId1247" Type="http://schemas.openxmlformats.org/officeDocument/2006/relationships/hyperlink" Target="https://ai4.io/finance/" TargetMode="External"/><Relationship Id="rId1454" Type="http://schemas.openxmlformats.org/officeDocument/2006/relationships/hyperlink" Target="https://ift.tt/3dIAgpl" TargetMode="External"/><Relationship Id="rId1661" Type="http://schemas.openxmlformats.org/officeDocument/2006/relationships/hyperlink" Target="http://www.nordicaiinstitute.com/" TargetMode="External"/><Relationship Id="rId2505" Type="http://schemas.openxmlformats.org/officeDocument/2006/relationships/hyperlink" Target="https://autome.me/" TargetMode="External"/><Relationship Id="rId2712" Type="http://schemas.openxmlformats.org/officeDocument/2006/relationships/hyperlink" Target="http://pic.twitter.com/dWtiYsJJCL" TargetMode="External"/><Relationship Id="rId1107" Type="http://schemas.openxmlformats.org/officeDocument/2006/relationships/hyperlink" Target="https://pbs.twimg.com/media/Eu62tWfUYAEj1B5.jpg" TargetMode="External"/><Relationship Id="rId1314" Type="http://schemas.openxmlformats.org/officeDocument/2006/relationships/hyperlink" Target="https://ptyleraul.medium.com/building-artificial-intelligence-bf1d8eb4b4ac" TargetMode="External"/><Relationship Id="rId1521" Type="http://schemas.openxmlformats.org/officeDocument/2006/relationships/hyperlink" Target="https://pbs.twimg.com/media/Eu6kH6lVcAEuzcS.jpg" TargetMode="External"/><Relationship Id="rId3279" Type="http://schemas.openxmlformats.org/officeDocument/2006/relationships/hyperlink" Target="https://pbs.twimg.com/media/Eu5Me3zUUAQxX3W.jpg" TargetMode="External"/><Relationship Id="rId3486" Type="http://schemas.openxmlformats.org/officeDocument/2006/relationships/hyperlink" Target="https://bdtechtalks.com/2021/02/22/reinforcement-learning-ad-optimization/" TargetMode="External"/><Relationship Id="rId3693" Type="http://schemas.openxmlformats.org/officeDocument/2006/relationships/hyperlink" Target="https://pbs.twimg.com/media/Eu4nZ5xVgAETrDg.jpg" TargetMode="External"/><Relationship Id="rId20" Type="http://schemas.openxmlformats.org/officeDocument/2006/relationships/hyperlink" Target="https://goo.gl/3TFrjv" TargetMode="External"/><Relationship Id="rId2088" Type="http://schemas.openxmlformats.org/officeDocument/2006/relationships/hyperlink" Target="https://twitter.com/@Harry_Robots" TargetMode="External"/><Relationship Id="rId2295" Type="http://schemas.openxmlformats.org/officeDocument/2006/relationships/hyperlink" Target="https://lnkd.in/gZT37cN" TargetMode="External"/><Relationship Id="rId3139" Type="http://schemas.openxmlformats.org/officeDocument/2006/relationships/hyperlink" Target="https://pbs.twimg.com/media/Eu5Wf1_XAAE8uhO.png" TargetMode="External"/><Relationship Id="rId3346" Type="http://schemas.openxmlformats.org/officeDocument/2006/relationships/hyperlink" Target="https://zpy.io/06f8348a" TargetMode="External"/><Relationship Id="rId267" Type="http://schemas.openxmlformats.org/officeDocument/2006/relationships/hyperlink" Target="https://github.com/akshitagupta15june" TargetMode="External"/><Relationship Id="rId474" Type="http://schemas.openxmlformats.org/officeDocument/2006/relationships/hyperlink" Target="https://arxiv.org/ftp/arxiv/papers/2102/2102.10140.pdf" TargetMode="External"/><Relationship Id="rId2155" Type="http://schemas.openxmlformats.org/officeDocument/2006/relationships/hyperlink" Target="https://pbs.twimg.com/media/Eu5a9ZWXIAEjurD.png" TargetMode="External"/><Relationship Id="rId3553" Type="http://schemas.openxmlformats.org/officeDocument/2006/relationships/hyperlink" Target="https://www.datatrained.com/" TargetMode="External"/><Relationship Id="rId3760" Type="http://schemas.openxmlformats.org/officeDocument/2006/relationships/hyperlink" Target="https://cstu.io/6d95d5" TargetMode="External"/><Relationship Id="rId127" Type="http://schemas.openxmlformats.org/officeDocument/2006/relationships/hyperlink" Target="https://pbs.twimg.com/media/Eu7f2M0XUAQJGdL.jpg" TargetMode="External"/><Relationship Id="rId681" Type="http://schemas.openxmlformats.org/officeDocument/2006/relationships/hyperlink" Target="https://pbs.twimg.com/media/Eu5U3-DXAAEbs1O.png" TargetMode="External"/><Relationship Id="rId2362" Type="http://schemas.openxmlformats.org/officeDocument/2006/relationships/hyperlink" Target="https://twitter.com/nowthisnews/status/1364083314311585793" TargetMode="External"/><Relationship Id="rId3206" Type="http://schemas.openxmlformats.org/officeDocument/2006/relationships/hyperlink" Target="https://docs.google.com/forms/d/e/1FAIpQLSfe6BQNAd8KBHup7Kpju6-dcbJOnkNJ4CMxMhtQPKzmnV4HYg/viewform" TargetMode="External"/><Relationship Id="rId3413" Type="http://schemas.openxmlformats.org/officeDocument/2006/relationships/hyperlink" Target="https://www.allsoftsolutions.in/" TargetMode="External"/><Relationship Id="rId3620" Type="http://schemas.openxmlformats.org/officeDocument/2006/relationships/hyperlink" Target="https://machinelearningflx.com/" TargetMode="External"/><Relationship Id="rId334" Type="http://schemas.openxmlformats.org/officeDocument/2006/relationships/hyperlink" Target="https://www.digitalinsuranceagenda.com/featured-insurtechs/whats-happening-in-the-dia-community-vol-13/?utm_source=agorapulse&amp;utm_medium=cybercube" TargetMode="External"/><Relationship Id="rId541" Type="http://schemas.openxmlformats.org/officeDocument/2006/relationships/hyperlink" Target="http://www.syncedreview.com/" TargetMode="External"/><Relationship Id="rId1171" Type="http://schemas.openxmlformats.org/officeDocument/2006/relationships/hyperlink" Target="https://www.vumc.org/dbmi" TargetMode="External"/><Relationship Id="rId2015" Type="http://schemas.openxmlformats.org/officeDocument/2006/relationships/hyperlink" Target="https://pbs.twimg.com/media/Eu6Nt8xXcAETIru.jpg" TargetMode="External"/><Relationship Id="rId2222" Type="http://schemas.openxmlformats.org/officeDocument/2006/relationships/hyperlink" Target="https://lutech.group/" TargetMode="External"/><Relationship Id="rId401" Type="http://schemas.openxmlformats.org/officeDocument/2006/relationships/hyperlink" Target="http://www.thatneedle.com/" TargetMode="External"/><Relationship Id="rId1031" Type="http://schemas.openxmlformats.org/officeDocument/2006/relationships/hyperlink" Target="https://pbs.twimg.com/media/Eu65rVJVEAUkQOG.png" TargetMode="External"/><Relationship Id="rId1988" Type="http://schemas.openxmlformats.org/officeDocument/2006/relationships/hyperlink" Target="https://bit.ly/2JPgonC" TargetMode="External"/><Relationship Id="rId4187" Type="http://schemas.openxmlformats.org/officeDocument/2006/relationships/hyperlink" Target="http://pic.twitter.com/F8BAZxx7vx" TargetMode="External"/><Relationship Id="rId4047" Type="http://schemas.openxmlformats.org/officeDocument/2006/relationships/hyperlink" Target="https://github.com/anilmshanbhag" TargetMode="External"/><Relationship Id="rId4254" Type="http://schemas.openxmlformats.org/officeDocument/2006/relationships/hyperlink" Target="https://pbs.twimg.com/media/Eu3rfQ3VgAEB8ek.jpg" TargetMode="External"/><Relationship Id="rId1848" Type="http://schemas.openxmlformats.org/officeDocument/2006/relationships/hyperlink" Target="https://opensea.io/collection/ai-generated" TargetMode="External"/><Relationship Id="rId3063" Type="http://schemas.openxmlformats.org/officeDocument/2006/relationships/hyperlink" Target="https://bit.ly/3aJQL2A" TargetMode="External"/><Relationship Id="rId3270" Type="http://schemas.openxmlformats.org/officeDocument/2006/relationships/hyperlink" Target="https://zpy.io/6c953772" TargetMode="External"/><Relationship Id="rId4114" Type="http://schemas.openxmlformats.org/officeDocument/2006/relationships/hyperlink" Target="https://buff.ly/3uqtRVC" TargetMode="External"/><Relationship Id="rId191" Type="http://schemas.openxmlformats.org/officeDocument/2006/relationships/hyperlink" Target="http://ow.ly/OUt130ry3fu" TargetMode="External"/><Relationship Id="rId1708" Type="http://schemas.openxmlformats.org/officeDocument/2006/relationships/hyperlink" Target="https://qymatix.de/de/kuenstlichen-intelligenz-b2b-vertrieb/" TargetMode="External"/><Relationship Id="rId1915" Type="http://schemas.openxmlformats.org/officeDocument/2006/relationships/hyperlink" Target="https://www.onelink.to/programminghero" TargetMode="External"/><Relationship Id="rId3130" Type="http://schemas.openxmlformats.org/officeDocument/2006/relationships/hyperlink" Target="http://www.sqli.com/" TargetMode="External"/><Relationship Id="rId2689" Type="http://schemas.openxmlformats.org/officeDocument/2006/relationships/hyperlink" Target="https://mljar.com/" TargetMode="External"/><Relationship Id="rId2896" Type="http://schemas.openxmlformats.org/officeDocument/2006/relationships/hyperlink" Target="https://twitter.com/Theslimevids/status/1359909785957638146" TargetMode="External"/><Relationship Id="rId3947" Type="http://schemas.openxmlformats.org/officeDocument/2006/relationships/hyperlink" Target="https://paper.li/rautsan/1450695271?edition_id=7ea4a2e0-757e-11eb-9bb6-0cc47a0d1605" TargetMode="External"/><Relationship Id="rId868" Type="http://schemas.openxmlformats.org/officeDocument/2006/relationships/hyperlink" Target="http://linkd.in/1ELhUIE" TargetMode="External"/><Relationship Id="rId1498" Type="http://schemas.openxmlformats.org/officeDocument/2006/relationships/hyperlink" Target="https://freehipwee.blogspot.com/2020/10/datadrivenscience-machinelearning.html" TargetMode="External"/><Relationship Id="rId2549" Type="http://schemas.openxmlformats.org/officeDocument/2006/relationships/hyperlink" Target="https://autome.me/" TargetMode="External"/><Relationship Id="rId2756" Type="http://schemas.openxmlformats.org/officeDocument/2006/relationships/hyperlink" Target="https://pbs.twimg.com/media/Eu5mgrXXMAA5jWm.jpg" TargetMode="External"/><Relationship Id="rId2963" Type="http://schemas.openxmlformats.org/officeDocument/2006/relationships/hyperlink" Target="https://contributing.today/" TargetMode="External"/><Relationship Id="rId3807" Type="http://schemas.openxmlformats.org/officeDocument/2006/relationships/hyperlink" Target="https://machinelearningflx.com/" TargetMode="External"/><Relationship Id="rId728" Type="http://schemas.openxmlformats.org/officeDocument/2006/relationships/hyperlink" Target="http://www.futurefacts.nl/" TargetMode="External"/><Relationship Id="rId935" Type="http://schemas.openxmlformats.org/officeDocument/2006/relationships/hyperlink" Target="https://pbs.twimg.com/media/Eu6-L4MWQAEjTBI.jpg" TargetMode="External"/><Relationship Id="rId1358" Type="http://schemas.openxmlformats.org/officeDocument/2006/relationships/hyperlink" Target="https://www.treadstone71.com/" TargetMode="External"/><Relationship Id="rId1565" Type="http://schemas.openxmlformats.org/officeDocument/2006/relationships/hyperlink" Target="https://www.finextra.com/newsarticle/37516/bbva-taps-google-cloud-chronicle-to-build-ai-security-platform" TargetMode="External"/><Relationship Id="rId1772" Type="http://schemas.openxmlformats.org/officeDocument/2006/relationships/hyperlink" Target="http://bit.ly/3qO4DhN" TargetMode="External"/><Relationship Id="rId2409" Type="http://schemas.openxmlformats.org/officeDocument/2006/relationships/hyperlink" Target="https://pbs.twimg.com/media/Eu55BCDWQAIbmws.jpg" TargetMode="External"/><Relationship Id="rId2616" Type="http://schemas.openxmlformats.org/officeDocument/2006/relationships/hyperlink" Target="https://www.seldon.io/" TargetMode="External"/><Relationship Id="rId64" Type="http://schemas.openxmlformats.org/officeDocument/2006/relationships/hyperlink" Target="https://pbs.twimg.com/media/Eu7hZ6sXIAUNUq0.jpg" TargetMode="External"/><Relationship Id="rId1218" Type="http://schemas.openxmlformats.org/officeDocument/2006/relationships/hyperlink" Target="http://digitusdaily.com/?edition_id=36a5acc0-75e5-11eb-ae29-002590a5ba2d" TargetMode="External"/><Relationship Id="rId1425" Type="http://schemas.openxmlformats.org/officeDocument/2006/relationships/hyperlink" Target="https://modelzoo.co/model/packnet" TargetMode="External"/><Relationship Id="rId2823" Type="http://schemas.openxmlformats.org/officeDocument/2006/relationships/hyperlink" Target="https://www.reddit.com/r/MachineLearning/comments/lqb7le/rcstr_a_classification_perspective_on_scene_text/" TargetMode="External"/><Relationship Id="rId1632" Type="http://schemas.openxmlformats.org/officeDocument/2006/relationships/hyperlink" Target="https://pbs.twimg.com/media/Eu6enlwVkAAxWjn.jpg" TargetMode="External"/><Relationship Id="rId2199" Type="http://schemas.openxmlformats.org/officeDocument/2006/relationships/hyperlink" Target="https://pbs.twimg.com/media/Eu6DnapWYAAa1PW.jpg" TargetMode="External"/><Relationship Id="rId3597" Type="http://schemas.openxmlformats.org/officeDocument/2006/relationships/hyperlink" Target="https://www.linkedin.com/in/idris-olasunkanmi-9364401a5" TargetMode="External"/><Relationship Id="rId3457" Type="http://schemas.openxmlformats.org/officeDocument/2006/relationships/hyperlink" Target="https://exonomousid.com/" TargetMode="External"/><Relationship Id="rId3664" Type="http://schemas.openxmlformats.org/officeDocument/2006/relationships/hyperlink" Target="http://cardano.mx/" TargetMode="External"/><Relationship Id="rId3871" Type="http://schemas.openxmlformats.org/officeDocument/2006/relationships/hyperlink" Target="https://via.socxo.net/ApeJfvYfm8BCP" TargetMode="External"/><Relationship Id="rId378" Type="http://schemas.openxmlformats.org/officeDocument/2006/relationships/hyperlink" Target="https://www.cs.jhu.edu/events/homewood-algorithms-systems-and-machine-learning-in-finance/?instance_id=1876498" TargetMode="External"/><Relationship Id="rId585" Type="http://schemas.openxmlformats.org/officeDocument/2006/relationships/hyperlink" Target="https://www.onlinecouponcourses.com/" TargetMode="External"/><Relationship Id="rId792" Type="http://schemas.openxmlformats.org/officeDocument/2006/relationships/hyperlink" Target="https://pbs.twimg.com/media/Eu604F1VgAwwF2O.jpg" TargetMode="External"/><Relationship Id="rId2059" Type="http://schemas.openxmlformats.org/officeDocument/2006/relationships/hyperlink" Target="https://de.linkedin.com/in/grosch" TargetMode="External"/><Relationship Id="rId2266" Type="http://schemas.openxmlformats.org/officeDocument/2006/relationships/hyperlink" Target="http://dlvr.it/RtJ6C8" TargetMode="External"/><Relationship Id="rId2473" Type="http://schemas.openxmlformats.org/officeDocument/2006/relationships/hyperlink" Target="https://www.youtube.com/channel/UC8BWSX1ofnMXZgmD5a2RvZg" TargetMode="External"/><Relationship Id="rId2680" Type="http://schemas.openxmlformats.org/officeDocument/2006/relationships/hyperlink" Target="https://ift.tt/37Ab1Sn" TargetMode="External"/><Relationship Id="rId3317" Type="http://schemas.openxmlformats.org/officeDocument/2006/relationships/hyperlink" Target="https://www.linkedin.com/in/mmasensi/" TargetMode="External"/><Relationship Id="rId3524" Type="http://schemas.openxmlformats.org/officeDocument/2006/relationships/hyperlink" Target="https://pbs.twimg.com/media/Eu41pRpXMAEl2o8.jpg" TargetMode="External"/><Relationship Id="rId3731" Type="http://schemas.openxmlformats.org/officeDocument/2006/relationships/hyperlink" Target="https://www.engadget.com/apple-music-quiz-ios-14-214046620.html" TargetMode="External"/><Relationship Id="rId238" Type="http://schemas.openxmlformats.org/officeDocument/2006/relationships/hyperlink" Target="https://pbs.twimg.com/media/Eu7M0twXMAIdqec.png" TargetMode="External"/><Relationship Id="rId445" Type="http://schemas.openxmlformats.org/officeDocument/2006/relationships/hyperlink" Target="https://pbs.twimg.com/media/Eu7SLvHXMAE6r3V.png" TargetMode="External"/><Relationship Id="rId652" Type="http://schemas.openxmlformats.org/officeDocument/2006/relationships/hyperlink" Target="http://www.vikez.com/" TargetMode="External"/><Relationship Id="rId1075" Type="http://schemas.openxmlformats.org/officeDocument/2006/relationships/hyperlink" Target="https://via.socxo.net/WMyQf74fLkjIj" TargetMode="External"/><Relationship Id="rId1282" Type="http://schemas.openxmlformats.org/officeDocument/2006/relationships/hyperlink" Target="https://github.com/Sayantan-world" TargetMode="External"/><Relationship Id="rId2126" Type="http://schemas.openxmlformats.org/officeDocument/2006/relationships/hyperlink" Target="http://www.primehookllc.com/about-us.html" TargetMode="External"/><Relationship Id="rId2333" Type="http://schemas.openxmlformats.org/officeDocument/2006/relationships/hyperlink" Target="https://pbs.twimg.com/media/Eu59186UcAMTUAf.jpg" TargetMode="External"/><Relationship Id="rId2540" Type="http://schemas.openxmlformats.org/officeDocument/2006/relationships/hyperlink" Target="https://www.analyticsinsight.net/artificial-intelligence-and-bias-the-buck-stops-where/" TargetMode="External"/><Relationship Id="rId305" Type="http://schemas.openxmlformats.org/officeDocument/2006/relationships/hyperlink" Target="https://lnkd.in/dM2Tfup" TargetMode="External"/><Relationship Id="rId512" Type="http://schemas.openxmlformats.org/officeDocument/2006/relationships/hyperlink" Target="https://pbs.twimg.com/media/Eu7PVo7UcAMcq_Y.jpg" TargetMode="External"/><Relationship Id="rId1142" Type="http://schemas.openxmlformats.org/officeDocument/2006/relationships/hyperlink" Target="https://www.linkedin.com/in/iainljbrown/" TargetMode="External"/><Relationship Id="rId2400" Type="http://schemas.openxmlformats.org/officeDocument/2006/relationships/hyperlink" Target="https://babin-business-consulting.com/blog" TargetMode="External"/><Relationship Id="rId1002" Type="http://schemas.openxmlformats.org/officeDocument/2006/relationships/hyperlink" Target="http://ow.ly/BeSs30ry3ed" TargetMode="External"/><Relationship Id="rId4158" Type="http://schemas.openxmlformats.org/officeDocument/2006/relationships/hyperlink" Target="https://pbs.twimg.com/media/Eu32W1sXUAE4cAk.jpg" TargetMode="External"/><Relationship Id="rId1959" Type="http://schemas.openxmlformats.org/officeDocument/2006/relationships/hyperlink" Target="https://pbs.twimg.com/media/Eu6QvW7UcAoRjws.jpg" TargetMode="External"/><Relationship Id="rId3174" Type="http://schemas.openxmlformats.org/officeDocument/2006/relationships/hyperlink" Target="https://hackernoon.com/interview-with-the-worlds-most-advanced-ai-4o5m331z" TargetMode="External"/><Relationship Id="rId4018" Type="http://schemas.openxmlformats.org/officeDocument/2006/relationships/hyperlink" Target="http://lei-egypt.com/" TargetMode="External"/><Relationship Id="rId1819" Type="http://schemas.openxmlformats.org/officeDocument/2006/relationships/hyperlink" Target="https://vrscout.com/news/watson-ibm-ai-vr-ar-audio-interactive-environments/" TargetMode="External"/><Relationship Id="rId3381" Type="http://schemas.openxmlformats.org/officeDocument/2006/relationships/hyperlink" Target="https://pbs.twimg.com/media/Eu5DbJkVIAEJl4F.png" TargetMode="External"/><Relationship Id="rId4225" Type="http://schemas.openxmlformats.org/officeDocument/2006/relationships/hyperlink" Target="http://vallumsoftware.com/" TargetMode="External"/><Relationship Id="rId2190" Type="http://schemas.openxmlformats.org/officeDocument/2006/relationships/hyperlink" Target="https://pbs.twimg.com/media/Eu6D48EXUAAudoi.jpg" TargetMode="External"/><Relationship Id="rId3034" Type="http://schemas.openxmlformats.org/officeDocument/2006/relationships/hyperlink" Target="https://youtu.be/fetvTuLIrDk" TargetMode="External"/><Relationship Id="rId3241" Type="http://schemas.openxmlformats.org/officeDocument/2006/relationships/hyperlink" Target="https://pbs.twimg.com/media/Eu5Oh1BUYAgUuJ4.jpg" TargetMode="External"/><Relationship Id="rId162" Type="http://schemas.openxmlformats.org/officeDocument/2006/relationships/hyperlink" Target="https://pbs.twimg.com/media/Eu7cJmeXMAUZNV5.jpg" TargetMode="External"/><Relationship Id="rId2050" Type="http://schemas.openxmlformats.org/officeDocument/2006/relationships/hyperlink" Target="https://asterisminfosoft.com/" TargetMode="External"/><Relationship Id="rId3101" Type="http://schemas.openxmlformats.org/officeDocument/2006/relationships/hyperlink" Target="https://pbs.twimg.com/media/Eu5X5pDU4Ag_6Lh.jpg" TargetMode="External"/><Relationship Id="rId979" Type="http://schemas.openxmlformats.org/officeDocument/2006/relationships/hyperlink" Target="http://datafying.com.au/" TargetMode="External"/><Relationship Id="rId839" Type="http://schemas.openxmlformats.org/officeDocument/2006/relationships/hyperlink" Target="https://ecptonline.com/" TargetMode="External"/><Relationship Id="rId1469" Type="http://schemas.openxmlformats.org/officeDocument/2006/relationships/hyperlink" Target="https://www.informationweek.com/big-data/ai-machine-learning/ibms-hernandez-discusses-future-of-aiops-and-measuring-roi/a/d-id/1340219?_mc=rss_x_iwr_edt_aud_iw_x_x-rss-simple" TargetMode="External"/><Relationship Id="rId2867" Type="http://schemas.openxmlformats.org/officeDocument/2006/relationships/hyperlink" Target="https://ift.tt/37DWeWQ" TargetMode="External"/><Relationship Id="rId3918" Type="http://schemas.openxmlformats.org/officeDocument/2006/relationships/hyperlink" Target="https://pbs.twimg.com/media/Eu4OWUQVEAQjr0Z.jpg" TargetMode="External"/><Relationship Id="rId4082" Type="http://schemas.openxmlformats.org/officeDocument/2006/relationships/hyperlink" Target="http://www.gppulipaka.org/" TargetMode="External"/><Relationship Id="rId1676" Type="http://schemas.openxmlformats.org/officeDocument/2006/relationships/hyperlink" Target="https://bit.ly/3uqu3V6" TargetMode="External"/><Relationship Id="rId1883" Type="http://schemas.openxmlformats.org/officeDocument/2006/relationships/hyperlink" Target="https://ptyleraul.medium.com/building-artificial-intelligence-bf1d8eb4b4ac" TargetMode="External"/><Relationship Id="rId2727" Type="http://schemas.openxmlformats.org/officeDocument/2006/relationships/hyperlink" Target="http://www.awakenai.org/" TargetMode="External"/><Relationship Id="rId2934" Type="http://schemas.openxmlformats.org/officeDocument/2006/relationships/hyperlink" Target="https://go.aws/3aHoQAs" TargetMode="External"/><Relationship Id="rId906" Type="http://schemas.openxmlformats.org/officeDocument/2006/relationships/hyperlink" Target="https://pbs.twimg.com/media/Eu7APUaWgAMPObQ.jpg" TargetMode="External"/><Relationship Id="rId1329" Type="http://schemas.openxmlformats.org/officeDocument/2006/relationships/hyperlink" Target="https://linktr.ee/RonaldvanLoon" TargetMode="External"/><Relationship Id="rId1536" Type="http://schemas.openxmlformats.org/officeDocument/2006/relationships/hyperlink" Target="https://pbs.twimg.com/media/Eu6jBkNXAAMGO1e.png" TargetMode="External"/><Relationship Id="rId1743" Type="http://schemas.openxmlformats.org/officeDocument/2006/relationships/hyperlink" Target="https://pbs.twimg.com/media/Eu6MWZ5XAAEiF2T.jpg" TargetMode="External"/><Relationship Id="rId1950" Type="http://schemas.openxmlformats.org/officeDocument/2006/relationships/hyperlink" Target="http://ow.ly/5hAP30rxYrF" TargetMode="External"/><Relationship Id="rId35" Type="http://schemas.openxmlformats.org/officeDocument/2006/relationships/hyperlink" Target="https://www.bbc.com/news/business-55932977" TargetMode="External"/><Relationship Id="rId1603" Type="http://schemas.openxmlformats.org/officeDocument/2006/relationships/hyperlink" Target="http://cariindata.id/" TargetMode="External"/><Relationship Id="rId1810" Type="http://schemas.openxmlformats.org/officeDocument/2006/relationships/hyperlink" Target="https://pbs.twimg.com/media/Eu6Xve7XMAIh3hY.jpg" TargetMode="External"/><Relationship Id="rId3568" Type="http://schemas.openxmlformats.org/officeDocument/2006/relationships/hyperlink" Target="https://pbs.twimg.com/media/Eu4zaCbVcAI7JGr.jpg" TargetMode="External"/><Relationship Id="rId3775" Type="http://schemas.openxmlformats.org/officeDocument/2006/relationships/hyperlink" Target="https://pbs.twimg.com/media/Eu4f-sxWQAIZat-.jpg" TargetMode="External"/><Relationship Id="rId3982" Type="http://schemas.openxmlformats.org/officeDocument/2006/relationships/hyperlink" Target="http://www.sima.ai/" TargetMode="External"/><Relationship Id="rId489" Type="http://schemas.openxmlformats.org/officeDocument/2006/relationships/hyperlink" Target="https://www.programming-hero.com/" TargetMode="External"/><Relationship Id="rId696" Type="http://schemas.openxmlformats.org/officeDocument/2006/relationships/hyperlink" Target="https://pbs.twimg.com/media/Eu7H060XUAAZp3T.jpg" TargetMode="External"/><Relationship Id="rId2377" Type="http://schemas.openxmlformats.org/officeDocument/2006/relationships/hyperlink" Target="https://ai.stanford.edu/blog/weak-supervision/" TargetMode="External"/><Relationship Id="rId2584" Type="http://schemas.openxmlformats.org/officeDocument/2006/relationships/hyperlink" Target="https://www.hindustantimes.com/ht-school/ai-and-robots-now-and-future-of-tech-101614063835866.html" TargetMode="External"/><Relationship Id="rId2791" Type="http://schemas.openxmlformats.org/officeDocument/2006/relationships/hyperlink" Target="https://twitter.com/Theslimevids/status/1337986145586581505" TargetMode="External"/><Relationship Id="rId3428" Type="http://schemas.openxmlformats.org/officeDocument/2006/relationships/hyperlink" Target="https://itvibes.com.au/6-ai-myths-debunked/" TargetMode="External"/><Relationship Id="rId3635" Type="http://schemas.openxmlformats.org/officeDocument/2006/relationships/hyperlink" Target="https://thedatascientist.com/about-dr-stylianos-stelios-kampakis/" TargetMode="External"/><Relationship Id="rId349" Type="http://schemas.openxmlformats.org/officeDocument/2006/relationships/hyperlink" Target="http://ow.ly/pgbS50DAbyO" TargetMode="External"/><Relationship Id="rId556" Type="http://schemas.openxmlformats.org/officeDocument/2006/relationships/hyperlink" Target="http://www.linkedin.com/in/francescalazzeri/" TargetMode="External"/><Relationship Id="rId763" Type="http://schemas.openxmlformats.org/officeDocument/2006/relationships/hyperlink" Target="https://deepai.org/" TargetMode="External"/><Relationship Id="rId1186" Type="http://schemas.openxmlformats.org/officeDocument/2006/relationships/hyperlink" Target="https://www.tern.org.au/news-bareearthdata/" TargetMode="External"/><Relationship Id="rId1393" Type="http://schemas.openxmlformats.org/officeDocument/2006/relationships/hyperlink" Target="https://buff.ly/2ZuyEHB" TargetMode="External"/><Relationship Id="rId2237" Type="http://schemas.openxmlformats.org/officeDocument/2006/relationships/hyperlink" Target="http://www.roboadvisor4u.io/" TargetMode="External"/><Relationship Id="rId2444" Type="http://schemas.openxmlformats.org/officeDocument/2006/relationships/hyperlink" Target="https://pbs.twimg.com/media/Eu53otAWQAATMXU.jpg" TargetMode="External"/><Relationship Id="rId3842" Type="http://schemas.openxmlformats.org/officeDocument/2006/relationships/hyperlink" Target="https://pbs.twimg.com/media/Eu4YtRyXAAIGlH2.jpg" TargetMode="External"/><Relationship Id="rId209" Type="http://schemas.openxmlformats.org/officeDocument/2006/relationships/hyperlink" Target="https://pbs.twimg.com/media/Eu7cKcvXEAI5Run.jpg" TargetMode="External"/><Relationship Id="rId416" Type="http://schemas.openxmlformats.org/officeDocument/2006/relationships/hyperlink" Target="http://ieducando.com/" TargetMode="External"/><Relationship Id="rId970" Type="http://schemas.openxmlformats.org/officeDocument/2006/relationships/hyperlink" Target="http://ssidecisions.com/" TargetMode="External"/><Relationship Id="rId1046" Type="http://schemas.openxmlformats.org/officeDocument/2006/relationships/hyperlink" Target="http://bit.ly/2JjIuWx" TargetMode="External"/><Relationship Id="rId1253" Type="http://schemas.openxmlformats.org/officeDocument/2006/relationships/hyperlink" Target="https://pbs.twimg.com/media/Eu6vjn-VcA0Zl9O.jpg" TargetMode="External"/><Relationship Id="rId2651" Type="http://schemas.openxmlformats.org/officeDocument/2006/relationships/hyperlink" Target="https://www.jucktion.com/" TargetMode="External"/><Relationship Id="rId3702" Type="http://schemas.openxmlformats.org/officeDocument/2006/relationships/hyperlink" Target="http://ipfconline.fr/contacts-eng.html" TargetMode="External"/><Relationship Id="rId623" Type="http://schemas.openxmlformats.org/officeDocument/2006/relationships/hyperlink" Target="https://bit.ly/37Fl0Wt" TargetMode="External"/><Relationship Id="rId830" Type="http://schemas.openxmlformats.org/officeDocument/2006/relationships/hyperlink" Target="http://neurons.ai/" TargetMode="External"/><Relationship Id="rId1460" Type="http://schemas.openxmlformats.org/officeDocument/2006/relationships/hyperlink" Target="https://pub.towardsai.net/understanding-functions-in-ai-d2fd52c72b37?source=rss----98111c9905da---4?source=social.tw" TargetMode="External"/><Relationship Id="rId2304" Type="http://schemas.openxmlformats.org/officeDocument/2006/relationships/hyperlink" Target="https://twitter.com/jblefevre60/status/1364102146879332355" TargetMode="External"/><Relationship Id="rId2511" Type="http://schemas.openxmlformats.org/officeDocument/2006/relationships/hyperlink" Target="https://paper.li/UK_CIF/1494252160?edition_id=93049840-75be-11eb-9fda-0cc47a0d1609" TargetMode="External"/><Relationship Id="rId1113" Type="http://schemas.openxmlformats.org/officeDocument/2006/relationships/hyperlink" Target="https://radiosheit.home.blog/" TargetMode="External"/><Relationship Id="rId1320" Type="http://schemas.openxmlformats.org/officeDocument/2006/relationships/hyperlink" Target="https://www.linkedin.com/in/rafaelmarquescv" TargetMode="External"/><Relationship Id="rId4269" Type="http://schemas.openxmlformats.org/officeDocument/2006/relationships/hyperlink" Target="http://pic.twitter.com/6KXaosmAvp" TargetMode="External"/><Relationship Id="rId3078" Type="http://schemas.openxmlformats.org/officeDocument/2006/relationships/hyperlink" Target="https://buff.ly/3klEc0z" TargetMode="External"/><Relationship Id="rId3285" Type="http://schemas.openxmlformats.org/officeDocument/2006/relationships/hyperlink" Target="http://www.adrowitzer.com/" TargetMode="External"/><Relationship Id="rId3492" Type="http://schemas.openxmlformats.org/officeDocument/2006/relationships/hyperlink" Target="https://community-z.com/communities/theappliedaicommunity" TargetMode="External"/><Relationship Id="rId4129" Type="http://schemas.openxmlformats.org/officeDocument/2006/relationships/hyperlink" Target="https://hubs.ly/H0GVvV30" TargetMode="External"/><Relationship Id="rId2094" Type="http://schemas.openxmlformats.org/officeDocument/2006/relationships/hyperlink" Target="http://neurons.ai/" TargetMode="External"/><Relationship Id="rId3145" Type="http://schemas.openxmlformats.org/officeDocument/2006/relationships/hyperlink" Target="https://lnkd.in/gfWiKuc" TargetMode="External"/><Relationship Id="rId3352" Type="http://schemas.openxmlformats.org/officeDocument/2006/relationships/hyperlink" Target="https://pbs.twimg.com/media/Eu5HCl6XYAEyk6D.jpg" TargetMode="External"/><Relationship Id="rId273" Type="http://schemas.openxmlformats.org/officeDocument/2006/relationships/hyperlink" Target="http://crossminds.ai/" TargetMode="External"/><Relationship Id="rId480" Type="http://schemas.openxmlformats.org/officeDocument/2006/relationships/hyperlink" Target="https://pbs.twimg.com/media/Eu7EiZPWgAQVerX.jpg" TargetMode="External"/><Relationship Id="rId2161" Type="http://schemas.openxmlformats.org/officeDocument/2006/relationships/hyperlink" Target="http://bit.ly/3khbCh2" TargetMode="External"/><Relationship Id="rId3005" Type="http://schemas.openxmlformats.org/officeDocument/2006/relationships/hyperlink" Target="https://ift.tt/3pTdQV3" TargetMode="External"/><Relationship Id="rId3212" Type="http://schemas.openxmlformats.org/officeDocument/2006/relationships/hyperlink" Target="http://kaggle.com/simranjain17" TargetMode="External"/><Relationship Id="rId133" Type="http://schemas.openxmlformats.org/officeDocument/2006/relationships/hyperlink" Target="http://pic.twitter.com/2JUlDc6v91" TargetMode="External"/><Relationship Id="rId340" Type="http://schemas.openxmlformats.org/officeDocument/2006/relationships/hyperlink" Target="https://www.it-soft.com/" TargetMode="External"/><Relationship Id="rId2021" Type="http://schemas.openxmlformats.org/officeDocument/2006/relationships/hyperlink" Target="http://bit.ly/37zMzR5" TargetMode="External"/><Relationship Id="rId200" Type="http://schemas.openxmlformats.org/officeDocument/2006/relationships/hyperlink" Target="https://bit.ly/3sa6EFs" TargetMode="External"/><Relationship Id="rId2978" Type="http://schemas.openxmlformats.org/officeDocument/2006/relationships/hyperlink" Target="http://bbdu.ac.in/" TargetMode="External"/><Relationship Id="rId4193" Type="http://schemas.openxmlformats.org/officeDocument/2006/relationships/hyperlink" Target="https://pbs.twimg.com/media/Eu2XkzoXMAMD9r7.jpg" TargetMode="External"/><Relationship Id="rId1787" Type="http://schemas.openxmlformats.org/officeDocument/2006/relationships/hyperlink" Target="https://researchgate.net/publication/342134613_The_emerging_need_for_touchless_interaction_technologies" TargetMode="External"/><Relationship Id="rId1994" Type="http://schemas.openxmlformats.org/officeDocument/2006/relationships/hyperlink" Target="https://zpy.io/17556f54" TargetMode="External"/><Relationship Id="rId2838" Type="http://schemas.openxmlformats.org/officeDocument/2006/relationships/hyperlink" Target="https://pbs.twimg.com/media/Eu5jiJWXIAAJiF3.jpg" TargetMode="External"/><Relationship Id="rId79" Type="http://schemas.openxmlformats.org/officeDocument/2006/relationships/hyperlink" Target="http://www.jancavelle.co.uk/" TargetMode="External"/><Relationship Id="rId1647" Type="http://schemas.openxmlformats.org/officeDocument/2006/relationships/hyperlink" Target="https://medium.com/@guidaautonoma" TargetMode="External"/><Relationship Id="rId1854" Type="http://schemas.openxmlformats.org/officeDocument/2006/relationships/hyperlink" Target="https://towardsdatascience.com/how-to-break-a-model-in-20-days-a-tutorial-on-production-model-analytics-25497e2eab9c" TargetMode="External"/><Relationship Id="rId2905" Type="http://schemas.openxmlformats.org/officeDocument/2006/relationships/hyperlink" Target="http://pic.twitter.com/xAsp2dtbnf" TargetMode="External"/><Relationship Id="rId4053" Type="http://schemas.openxmlformats.org/officeDocument/2006/relationships/hyperlink" Target="http://www.heliosantos.org/" TargetMode="External"/><Relationship Id="rId4260" Type="http://schemas.openxmlformats.org/officeDocument/2006/relationships/hyperlink" Target="https://twitter.com/tonyhawk/status/1289640310465691648" TargetMode="External"/><Relationship Id="rId1507" Type="http://schemas.openxmlformats.org/officeDocument/2006/relationships/hyperlink" Target="https://pbs.twimg.com/media/Eu6kbKNXYAAh5Op.png" TargetMode="External"/><Relationship Id="rId1714" Type="http://schemas.openxmlformats.org/officeDocument/2006/relationships/hyperlink" Target="https://www.teldat.com/blog/es/centralizacion-logs-microservicios-fluent-bit/" TargetMode="External"/><Relationship Id="rId4120" Type="http://schemas.openxmlformats.org/officeDocument/2006/relationships/hyperlink" Target="http://byyouhealth.co/" TargetMode="External"/><Relationship Id="rId1921" Type="http://schemas.openxmlformats.org/officeDocument/2006/relationships/hyperlink" Target="https://www.programming-hero.com/blog/web-development-from-scratch.html" TargetMode="External"/><Relationship Id="rId3679" Type="http://schemas.openxmlformats.org/officeDocument/2006/relationships/hyperlink" Target="https://openstatistics.org/" TargetMode="External"/><Relationship Id="rId2488" Type="http://schemas.openxmlformats.org/officeDocument/2006/relationships/hyperlink" Target="https://analyticsindiamag.com/machine-learning-indian-social-medias-biggest-challenge-yet/" TargetMode="External"/><Relationship Id="rId3886" Type="http://schemas.openxmlformats.org/officeDocument/2006/relationships/hyperlink" Target="https://linktr.ee/arthurguttilla" TargetMode="External"/><Relationship Id="rId1297" Type="http://schemas.openxmlformats.org/officeDocument/2006/relationships/hyperlink" Target="http://www.couponfree.uk/2020/12/deployment-of-machine-learning-models.html" TargetMode="External"/><Relationship Id="rId2695" Type="http://schemas.openxmlformats.org/officeDocument/2006/relationships/hyperlink" Target="http://www.quantumanalytics.ch/" TargetMode="External"/><Relationship Id="rId3539" Type="http://schemas.openxmlformats.org/officeDocument/2006/relationships/hyperlink" Target="https://www.predictly.co/2020/10/14/dataset-for-intent-classification/" TargetMode="External"/><Relationship Id="rId3746" Type="http://schemas.openxmlformats.org/officeDocument/2006/relationships/hyperlink" Target="https://www.revinfotech.com/" TargetMode="External"/><Relationship Id="rId3953" Type="http://schemas.openxmlformats.org/officeDocument/2006/relationships/hyperlink" Target="http://wellthatsinteresting.tech/" TargetMode="External"/><Relationship Id="rId667" Type="http://schemas.openxmlformats.org/officeDocument/2006/relationships/hyperlink" Target="https://pbs.twimg.com/media/Eu7JpUTXIAQjhMw.jpg" TargetMode="External"/><Relationship Id="rId874" Type="http://schemas.openxmlformats.org/officeDocument/2006/relationships/hyperlink" Target="https://event.on24.com/eventRegistration/EventLobbyServlet?target=reg20.jsp&amp;partnerref=ACBM&amp;eventid=2978609&amp;sessionid=1&amp;key=81CFF5D9836DCD32D9E16DFC9F5B6EC8&amp;regTag=20" TargetMode="External"/><Relationship Id="rId2348" Type="http://schemas.openxmlformats.org/officeDocument/2006/relationships/hyperlink" Target="https://www.socialpath.co.za/" TargetMode="External"/><Relationship Id="rId2555" Type="http://schemas.openxmlformats.org/officeDocument/2006/relationships/hyperlink" Target="https://www.freecodecamp.org/news/building-a-data-science-curriculum-with-advanced-math-and-machine-learning/" TargetMode="External"/><Relationship Id="rId2762" Type="http://schemas.openxmlformats.org/officeDocument/2006/relationships/hyperlink" Target="https://twitter.com/Theslimevids/status/1331637910811025408" TargetMode="External"/><Relationship Id="rId3606" Type="http://schemas.openxmlformats.org/officeDocument/2006/relationships/hyperlink" Target="http://www.acceptanceoflegitimacy.com/" TargetMode="External"/><Relationship Id="rId3813" Type="http://schemas.openxmlformats.org/officeDocument/2006/relationships/hyperlink" Target="https://pbs.twimg.com/media/Eu4cH_nXUAEPYmF.jpg" TargetMode="External"/><Relationship Id="rId527" Type="http://schemas.openxmlformats.org/officeDocument/2006/relationships/hyperlink" Target="https://themlrebellion.com/" TargetMode="External"/><Relationship Id="rId734" Type="http://schemas.openxmlformats.org/officeDocument/2006/relationships/hyperlink" Target="http://sstech.us/" TargetMode="External"/><Relationship Id="rId941" Type="http://schemas.openxmlformats.org/officeDocument/2006/relationships/hyperlink" Target="https://www.marketingmasterminds.org/2020/01/pros-cons-ai-pharma-industry.html" TargetMode="External"/><Relationship Id="rId1157" Type="http://schemas.openxmlformats.org/officeDocument/2006/relationships/hyperlink" Target="https://contribute.towardsai.net/" TargetMode="External"/><Relationship Id="rId1364" Type="http://schemas.openxmlformats.org/officeDocument/2006/relationships/hyperlink" Target="https://strathprints.strath.ac.uk/75420/" TargetMode="External"/><Relationship Id="rId1571" Type="http://schemas.openxmlformats.org/officeDocument/2006/relationships/hyperlink" Target="https://pbs.twimg.com/media/Eu6iA7IWgAIEFpt.jpg" TargetMode="External"/><Relationship Id="rId2208" Type="http://schemas.openxmlformats.org/officeDocument/2006/relationships/hyperlink" Target="https://google.smh.re/1uX" TargetMode="External"/><Relationship Id="rId2415" Type="http://schemas.openxmlformats.org/officeDocument/2006/relationships/hyperlink" Target="https://www.visive.ai/" TargetMode="External"/><Relationship Id="rId2622" Type="http://schemas.openxmlformats.org/officeDocument/2006/relationships/hyperlink" Target="https://pbs.twimg.com/media/Eu5ukNTUUAEwytp.jpg" TargetMode="External"/><Relationship Id="rId70" Type="http://schemas.openxmlformats.org/officeDocument/2006/relationships/hyperlink" Target="https://pbs.twimg.com/media/Eu7hURFWYAMwiFR.jpg" TargetMode="External"/><Relationship Id="rId801" Type="http://schemas.openxmlformats.org/officeDocument/2006/relationships/hyperlink" Target="http://successanalytix.blogspot.com/" TargetMode="External"/><Relationship Id="rId1017" Type="http://schemas.openxmlformats.org/officeDocument/2006/relationships/hyperlink" Target="https://bit.ly/2ZK6uIy" TargetMode="External"/><Relationship Id="rId1224" Type="http://schemas.openxmlformats.org/officeDocument/2006/relationships/hyperlink" Target="https://www.youtube.com/watch?app=desktop&amp;v=9rfe5nXL05Q&amp;feature=youtu.be" TargetMode="External"/><Relationship Id="rId1431" Type="http://schemas.openxmlformats.org/officeDocument/2006/relationships/hyperlink" Target="https://buff.ly/2ZIMcPU" TargetMode="External"/><Relationship Id="rId3189" Type="http://schemas.openxmlformats.org/officeDocument/2006/relationships/hyperlink" Target="http://pic.twitter.com/HZ8rDPvm2t" TargetMode="External"/><Relationship Id="rId3396" Type="http://schemas.openxmlformats.org/officeDocument/2006/relationships/hyperlink" Target="https://neurons.ai/blog/news-stories/master-machine-learning-simple-linear-regression-from-scratch-with-python-by-dario-radecic/" TargetMode="External"/><Relationship Id="rId3049" Type="http://schemas.openxmlformats.org/officeDocument/2006/relationships/hyperlink" Target="https://contempediacom.blogspot.com/2021/02/deployment-of-machine-learning-models.html" TargetMode="External"/><Relationship Id="rId3256" Type="http://schemas.openxmlformats.org/officeDocument/2006/relationships/hyperlink" Target="http://pic.twitter.com/1DFfvP91VV" TargetMode="External"/><Relationship Id="rId3463" Type="http://schemas.openxmlformats.org/officeDocument/2006/relationships/hyperlink" Target="http://ipfconline.fr/contacts-eng.html" TargetMode="External"/><Relationship Id="rId177" Type="http://schemas.openxmlformats.org/officeDocument/2006/relationships/hyperlink" Target="https://twitter.com/tsuname/status/1362261057050353666" TargetMode="External"/><Relationship Id="rId384" Type="http://schemas.openxmlformats.org/officeDocument/2006/relationships/hyperlink" Target="https://pbs.twimg.com/media/Eu7UUf2WgAgVkrg.jpg" TargetMode="External"/><Relationship Id="rId591" Type="http://schemas.openxmlformats.org/officeDocument/2006/relationships/hyperlink" Target="https://www.gamuts.net/" TargetMode="External"/><Relationship Id="rId2065" Type="http://schemas.openxmlformats.org/officeDocument/2006/relationships/hyperlink" Target="https://www.journeyhero.net/technology/" TargetMode="External"/><Relationship Id="rId2272" Type="http://schemas.openxmlformats.org/officeDocument/2006/relationships/hyperlink" Target="http://myrest.ai/" TargetMode="External"/><Relationship Id="rId3116" Type="http://schemas.openxmlformats.org/officeDocument/2006/relationships/hyperlink" Target="http://www.awakenai.org/" TargetMode="External"/><Relationship Id="rId3670" Type="http://schemas.openxmlformats.org/officeDocument/2006/relationships/hyperlink" Target="https://stuf.in/b54xy5" TargetMode="External"/><Relationship Id="rId244" Type="http://schemas.openxmlformats.org/officeDocument/2006/relationships/hyperlink" Target="https://bit.ly/3keV4G4" TargetMode="External"/><Relationship Id="rId1081" Type="http://schemas.openxmlformats.org/officeDocument/2006/relationships/hyperlink" Target="https://medium.com/zetane-blog/newly-patented-method-to-make-ai-development-more-efficient-using-new-format-to-represent-data-23e6e9090b11" TargetMode="External"/><Relationship Id="rId3323" Type="http://schemas.openxmlformats.org/officeDocument/2006/relationships/hyperlink" Target="https://fluxinsights.co.uk/" TargetMode="External"/><Relationship Id="rId3530" Type="http://schemas.openxmlformats.org/officeDocument/2006/relationships/hyperlink" Target="https://bit.ly/3unEjx7" TargetMode="External"/><Relationship Id="rId451" Type="http://schemas.openxmlformats.org/officeDocument/2006/relationships/hyperlink" Target="https://ca.linkedin.com/in/mikedewaal" TargetMode="External"/><Relationship Id="rId2132" Type="http://schemas.openxmlformats.org/officeDocument/2006/relationships/hyperlink" Target="https://pbs.twimg.com/media/Eu6HDGVXcAAC8ds.jpg" TargetMode="External"/><Relationship Id="rId104" Type="http://schemas.openxmlformats.org/officeDocument/2006/relationships/hyperlink" Target="https://pbs.twimg.com/media/Eu7gEngXMAQR6cH.jpg" TargetMode="External"/><Relationship Id="rId311" Type="http://schemas.openxmlformats.org/officeDocument/2006/relationships/hyperlink" Target="http://www.neuzida.com/" TargetMode="External"/><Relationship Id="rId1898" Type="http://schemas.openxmlformats.org/officeDocument/2006/relationships/hyperlink" Target="https://www.linkedin.com/in/pratimdas/" TargetMode="External"/><Relationship Id="rId2949" Type="http://schemas.openxmlformats.org/officeDocument/2006/relationships/hyperlink" Target="https://www.deposy.org/en/" TargetMode="External"/><Relationship Id="rId4097" Type="http://schemas.openxmlformats.org/officeDocument/2006/relationships/hyperlink" Target="http://linkedin.com/in/travissari" TargetMode="External"/><Relationship Id="rId1758" Type="http://schemas.openxmlformats.org/officeDocument/2006/relationships/hyperlink" Target="http://catedratelefonica.unex.es/" TargetMode="External"/><Relationship Id="rId2809" Type="http://schemas.openxmlformats.org/officeDocument/2006/relationships/hyperlink" Target="http://www.mbitschool.com/" TargetMode="External"/><Relationship Id="rId4164" Type="http://schemas.openxmlformats.org/officeDocument/2006/relationships/hyperlink" Target="http://pic.twitter.com/QUwGcNxBlp" TargetMode="External"/><Relationship Id="rId1965" Type="http://schemas.openxmlformats.org/officeDocument/2006/relationships/hyperlink" Target="https://www.meetup.com/Fintech_AI_in_Finance/events/276536449/?isFirstPublish=true" TargetMode="External"/><Relationship Id="rId3180" Type="http://schemas.openxmlformats.org/officeDocument/2006/relationships/hyperlink" Target="https://choyou.com/" TargetMode="External"/><Relationship Id="rId4024" Type="http://schemas.openxmlformats.org/officeDocument/2006/relationships/hyperlink" Target="http://www.heliosantos.org/" TargetMode="External"/><Relationship Id="rId4231" Type="http://schemas.openxmlformats.org/officeDocument/2006/relationships/hyperlink" Target="https://opsmtrs.com/3hcuomY" TargetMode="External"/><Relationship Id="rId1618" Type="http://schemas.openxmlformats.org/officeDocument/2006/relationships/hyperlink" Target="https://linktr.ee/RonaldvanLoon" TargetMode="External"/><Relationship Id="rId1825" Type="http://schemas.openxmlformats.org/officeDocument/2006/relationships/hyperlink" Target="https://venturebeat.com/2021/02/23/sciencelogic-raises-105-million-to-grow-its-aiops-platform/?utm_source=dlvr.it&amp;utm_medium=twitter" TargetMode="External"/><Relationship Id="rId3040" Type="http://schemas.openxmlformats.org/officeDocument/2006/relationships/hyperlink" Target="https://bit.ly/37DurWr" TargetMode="External"/><Relationship Id="rId3997" Type="http://schemas.openxmlformats.org/officeDocument/2006/relationships/hyperlink" Target="https://zpy.io/52685620" TargetMode="External"/><Relationship Id="rId2599" Type="http://schemas.openxmlformats.org/officeDocument/2006/relationships/hyperlink" Target="https://www.weforum.org/agenda/2021/02/we-need-to-talk-about-artificial-intelligence/" TargetMode="External"/><Relationship Id="rId3857" Type="http://schemas.openxmlformats.org/officeDocument/2006/relationships/hyperlink" Target="https://lnkd.in/gyzRiTe" TargetMode="External"/><Relationship Id="rId778" Type="http://schemas.openxmlformats.org/officeDocument/2006/relationships/hyperlink" Target="https://www.labellerr.com/" TargetMode="External"/><Relationship Id="rId985" Type="http://schemas.openxmlformats.org/officeDocument/2006/relationships/hyperlink" Target="https://pbs.twimg.com/media/Eu68XWzWYAAPlgs.jpg" TargetMode="External"/><Relationship Id="rId2459" Type="http://schemas.openxmlformats.org/officeDocument/2006/relationships/hyperlink" Target="http://neurons.ai/" TargetMode="External"/><Relationship Id="rId2666" Type="http://schemas.openxmlformats.org/officeDocument/2006/relationships/hyperlink" Target="http://www.jadirectives.com/" TargetMode="External"/><Relationship Id="rId2873" Type="http://schemas.openxmlformats.org/officeDocument/2006/relationships/hyperlink" Target="https://twitter.com/Theslimevids/status/1359545720898945030" TargetMode="External"/><Relationship Id="rId3717" Type="http://schemas.openxmlformats.org/officeDocument/2006/relationships/hyperlink" Target="https://pbs.twimg.com/media/Eu4lHZnUcAkkORD.jpg" TargetMode="External"/><Relationship Id="rId3924" Type="http://schemas.openxmlformats.org/officeDocument/2006/relationships/hyperlink" Target="https://pbs.twimg.com/media/Eu4EdwLUUAgNM_m.jpg" TargetMode="External"/><Relationship Id="rId638" Type="http://schemas.openxmlformats.org/officeDocument/2006/relationships/hyperlink" Target="https://buff.ly/3qs1NyT" TargetMode="External"/><Relationship Id="rId845" Type="http://schemas.openxmlformats.org/officeDocument/2006/relationships/hyperlink" Target="https://amzn.to/3bwcCtp" TargetMode="External"/><Relationship Id="rId1268" Type="http://schemas.openxmlformats.org/officeDocument/2006/relationships/hyperlink" Target="https://link.medium.com/VrjNtsE26db" TargetMode="External"/><Relationship Id="rId1475" Type="http://schemas.openxmlformats.org/officeDocument/2006/relationships/hyperlink" Target="https://www.jucktion.com/" TargetMode="External"/><Relationship Id="rId1682" Type="http://schemas.openxmlformats.org/officeDocument/2006/relationships/hyperlink" Target="https://buff.ly/38LWILy" TargetMode="External"/><Relationship Id="rId2319" Type="http://schemas.openxmlformats.org/officeDocument/2006/relationships/hyperlink" Target="https://www.geospatialworld.net/blogs/challenges-of-using-machine-learning-on-earth-observation-data/" TargetMode="External"/><Relationship Id="rId2526" Type="http://schemas.openxmlformats.org/officeDocument/2006/relationships/hyperlink" Target="https://bit.ly/37rxJvM" TargetMode="External"/><Relationship Id="rId2733" Type="http://schemas.openxmlformats.org/officeDocument/2006/relationships/hyperlink" Target="http://successanalytix.blogspot.com/" TargetMode="External"/><Relationship Id="rId705" Type="http://schemas.openxmlformats.org/officeDocument/2006/relationships/hyperlink" Target="https://lityx.com/" TargetMode="External"/><Relationship Id="rId1128" Type="http://schemas.openxmlformats.org/officeDocument/2006/relationships/hyperlink" Target="http://www.linkedin.com/in/kirkdborne" TargetMode="External"/><Relationship Id="rId1335" Type="http://schemas.openxmlformats.org/officeDocument/2006/relationships/hyperlink" Target="https://youtu.be/DNK58fP1C3Q" TargetMode="External"/><Relationship Id="rId1542" Type="http://schemas.openxmlformats.org/officeDocument/2006/relationships/hyperlink" Target="http://bit.ly/2IeFGbc" TargetMode="External"/><Relationship Id="rId2940" Type="http://schemas.openxmlformats.org/officeDocument/2006/relationships/hyperlink" Target="https://zcu.io/e0XO" TargetMode="External"/><Relationship Id="rId912" Type="http://schemas.openxmlformats.org/officeDocument/2006/relationships/hyperlink" Target="https://babin-business-consulting.com/blog" TargetMode="External"/><Relationship Id="rId2800" Type="http://schemas.openxmlformats.org/officeDocument/2006/relationships/hyperlink" Target="https://openinnovation.bbva.com/" TargetMode="External"/><Relationship Id="rId41" Type="http://schemas.openxmlformats.org/officeDocument/2006/relationships/hyperlink" Target="https://pbs.twimg.com/media/Eu7iyxiWYAEc5tl.png" TargetMode="External"/><Relationship Id="rId1402" Type="http://schemas.openxmlformats.org/officeDocument/2006/relationships/hyperlink" Target="http://www.efipylarinou.com/" TargetMode="External"/><Relationship Id="rId288" Type="http://schemas.openxmlformats.org/officeDocument/2006/relationships/hyperlink" Target="http://pic.twitter.com/8mqslBmYa9" TargetMode="External"/><Relationship Id="rId3367" Type="http://schemas.openxmlformats.org/officeDocument/2006/relationships/hyperlink" Target="https://www.techved.com/tv/" TargetMode="External"/><Relationship Id="rId3574" Type="http://schemas.openxmlformats.org/officeDocument/2006/relationships/hyperlink" Target="http://pic.twitter.com/aaHwBGQcgm" TargetMode="External"/><Relationship Id="rId3781" Type="http://schemas.openxmlformats.org/officeDocument/2006/relationships/hyperlink" Target="http://pic.twitter.com/oxihw2s79v" TargetMode="External"/><Relationship Id="rId495" Type="http://schemas.openxmlformats.org/officeDocument/2006/relationships/hyperlink" Target="https://www.improvethenews.org/index.php" TargetMode="External"/><Relationship Id="rId2176" Type="http://schemas.openxmlformats.org/officeDocument/2006/relationships/hyperlink" Target="https://zegami.com/blog/nhs-accountable-ai-lifecycle-management" TargetMode="External"/><Relationship Id="rId2383" Type="http://schemas.openxmlformats.org/officeDocument/2006/relationships/hyperlink" Target="http://www.eduonix.com/" TargetMode="External"/><Relationship Id="rId2590" Type="http://schemas.openxmlformats.org/officeDocument/2006/relationships/hyperlink" Target="https://www.reddit.com/r/MachineLearning/comments/lqdzzo/how_to_control_emotions_when_doing_research_d/" TargetMode="External"/><Relationship Id="rId3227" Type="http://schemas.openxmlformats.org/officeDocument/2006/relationships/hyperlink" Target="https://pbs.twimg.com/media/Eu5PHPLVcAAwON8.jpg" TargetMode="External"/><Relationship Id="rId3434" Type="http://schemas.openxmlformats.org/officeDocument/2006/relationships/hyperlink" Target="http://beyond-machine.com/" TargetMode="External"/><Relationship Id="rId3641" Type="http://schemas.openxmlformats.org/officeDocument/2006/relationships/hyperlink" Target="https://ift.tt/2ZE3oWr" TargetMode="External"/><Relationship Id="rId148" Type="http://schemas.openxmlformats.org/officeDocument/2006/relationships/hyperlink" Target="http://www.awakenai.org/" TargetMode="External"/><Relationship Id="rId355" Type="http://schemas.openxmlformats.org/officeDocument/2006/relationships/hyperlink" Target="http://www.measimba.ac.in/" TargetMode="External"/><Relationship Id="rId562" Type="http://schemas.openxmlformats.org/officeDocument/2006/relationships/hyperlink" Target="https://rt.guru/i/v/hf0g87jv1N" TargetMode="External"/><Relationship Id="rId1192" Type="http://schemas.openxmlformats.org/officeDocument/2006/relationships/hyperlink" Target="https://github.com/benedekrozemberczki/pytorch_geometric_temporal" TargetMode="External"/><Relationship Id="rId2036" Type="http://schemas.openxmlformats.org/officeDocument/2006/relationships/hyperlink" Target="https://lnkd.in/e-zHzJT" TargetMode="External"/><Relationship Id="rId2243" Type="http://schemas.openxmlformats.org/officeDocument/2006/relationships/hyperlink" Target="https://openstatistics.org/" TargetMode="External"/><Relationship Id="rId2450" Type="http://schemas.openxmlformats.org/officeDocument/2006/relationships/hyperlink" Target="https://neurons.ai/blog/news-stories/machine-learning-data-catalog-software-market-by-top-key-players-such-as-ibm-alation-oracle/" TargetMode="External"/><Relationship Id="rId3501" Type="http://schemas.openxmlformats.org/officeDocument/2006/relationships/hyperlink" Target="https://deepai.org/this-week-in-ai" TargetMode="External"/><Relationship Id="rId215" Type="http://schemas.openxmlformats.org/officeDocument/2006/relationships/hyperlink" Target="https://www.royalvoxpost.com/" TargetMode="External"/><Relationship Id="rId422" Type="http://schemas.openxmlformats.org/officeDocument/2006/relationships/hyperlink" Target="https://venturebeat.com/2021/02/23/saltmine-raises-20-million-to-automate-office-space-design/" TargetMode="External"/><Relationship Id="rId1052" Type="http://schemas.openxmlformats.org/officeDocument/2006/relationships/hyperlink" Target="http://lindsaywarrenburg.com/" TargetMode="External"/><Relationship Id="rId2103" Type="http://schemas.openxmlformats.org/officeDocument/2006/relationships/hyperlink" Target="https://pbs.twimg.com/media/Eu6JHlsU4AMkILl.jpg" TargetMode="External"/><Relationship Id="rId2310" Type="http://schemas.openxmlformats.org/officeDocument/2006/relationships/hyperlink" Target="https://pbs.twimg.com/media/Eu5-2nhVkAEQZb6.jpg" TargetMode="External"/><Relationship Id="rId4068" Type="http://schemas.openxmlformats.org/officeDocument/2006/relationships/hyperlink" Target="http://www.qs2point.com/" TargetMode="External"/><Relationship Id="rId4275" Type="http://schemas.openxmlformats.org/officeDocument/2006/relationships/hyperlink" Target="https://pbs.twimg.com/media/Eu3pyJCVkAAU9Mf.png" TargetMode="External"/><Relationship Id="rId1869" Type="http://schemas.openxmlformats.org/officeDocument/2006/relationships/hyperlink" Target="https://pbs.twimg.com/media/Eu6UXUHXcAg7Hq5.jpg" TargetMode="External"/><Relationship Id="rId3084" Type="http://schemas.openxmlformats.org/officeDocument/2006/relationships/hyperlink" Target="http://www.awakenai.org/" TargetMode="External"/><Relationship Id="rId3291" Type="http://schemas.openxmlformats.org/officeDocument/2006/relationships/hyperlink" Target="https://bit.ly/3swB9FV" TargetMode="External"/><Relationship Id="rId4135" Type="http://schemas.openxmlformats.org/officeDocument/2006/relationships/hyperlink" Target="http://ow.ly/OJtp50DFWS0" TargetMode="External"/><Relationship Id="rId1729" Type="http://schemas.openxmlformats.org/officeDocument/2006/relationships/hyperlink" Target="https://pbs.twimg.com/media/Eu6bMNWXUAEVjSr.jpg" TargetMode="External"/><Relationship Id="rId1936" Type="http://schemas.openxmlformats.org/officeDocument/2006/relationships/hyperlink" Target="https://techflx.com/product-category/books/" TargetMode="External"/><Relationship Id="rId3151" Type="http://schemas.openxmlformats.org/officeDocument/2006/relationships/hyperlink" Target="https://www.bbi.fi/" TargetMode="External"/><Relationship Id="rId4202" Type="http://schemas.openxmlformats.org/officeDocument/2006/relationships/hyperlink" Target="https://publichealth.berkeley.edu/academics/online/online-mph/" TargetMode="External"/><Relationship Id="rId3011" Type="http://schemas.openxmlformats.org/officeDocument/2006/relationships/hyperlink" Target="https://bit.ly/2Zxqn5M" TargetMode="External"/><Relationship Id="rId3968" Type="http://schemas.openxmlformats.org/officeDocument/2006/relationships/hyperlink" Target="https://aviationbusinessconsultants.com/free-aviation-marketing-tip-sheets/" TargetMode="External"/><Relationship Id="rId5" Type="http://schemas.openxmlformats.org/officeDocument/2006/relationships/hyperlink" Target="https://bit.ly/3aH8dEW" TargetMode="External"/><Relationship Id="rId889" Type="http://schemas.openxmlformats.org/officeDocument/2006/relationships/hyperlink" Target="http://www.revistabyte.es/" TargetMode="External"/><Relationship Id="rId2777" Type="http://schemas.openxmlformats.org/officeDocument/2006/relationships/hyperlink" Target="https://pbs.twimg.com/media/Eu5lXenXUAAhc94.jpg" TargetMode="External"/><Relationship Id="rId749" Type="http://schemas.openxmlformats.org/officeDocument/2006/relationships/hyperlink" Target="https://bit.ly/37FDqGB" TargetMode="External"/><Relationship Id="rId1379" Type="http://schemas.openxmlformats.org/officeDocument/2006/relationships/hyperlink" Target="https://www.nexsoftsys.com/articles/reduce-time-complexity-using-joblib-in-python.html" TargetMode="External"/><Relationship Id="rId1586" Type="http://schemas.openxmlformats.org/officeDocument/2006/relationships/hyperlink" Target="https://www.information-age.com/" TargetMode="External"/><Relationship Id="rId2984" Type="http://schemas.openxmlformats.org/officeDocument/2006/relationships/hyperlink" Target="https://bit.ly/37Cqq4I" TargetMode="External"/><Relationship Id="rId3828" Type="http://schemas.openxmlformats.org/officeDocument/2006/relationships/hyperlink" Target="https://pbs.twimg.com/media/Eu4Z4LvWQAEoH-7.jpg" TargetMode="External"/><Relationship Id="rId609" Type="http://schemas.openxmlformats.org/officeDocument/2006/relationships/hyperlink" Target="https://www.bluetrain.co.uk/" TargetMode="External"/><Relationship Id="rId956" Type="http://schemas.openxmlformats.org/officeDocument/2006/relationships/hyperlink" Target="http://alerttrade.us/" TargetMode="External"/><Relationship Id="rId1239" Type="http://schemas.openxmlformats.org/officeDocument/2006/relationships/hyperlink" Target="https://pbs.twimg.com/media/Eu6xV4dVcAQZsaA.jpg" TargetMode="External"/><Relationship Id="rId1793" Type="http://schemas.openxmlformats.org/officeDocument/2006/relationships/hyperlink" Target="https://brianthomas.me/" TargetMode="External"/><Relationship Id="rId2637" Type="http://schemas.openxmlformats.org/officeDocument/2006/relationships/hyperlink" Target="https://www.reddit.com/r/MachineLearning/comments/lq3bbd/r_realtime_highresolution_background_matting/?utm_source=dlvr.it&amp;utm_medium=twitter" TargetMode="External"/><Relationship Id="rId2844" Type="http://schemas.openxmlformats.org/officeDocument/2006/relationships/hyperlink" Target="https://pubs.acs.org/doi/10.1021/acs.jcim.9b01057" TargetMode="External"/><Relationship Id="rId85" Type="http://schemas.openxmlformats.org/officeDocument/2006/relationships/hyperlink" Target="https://bit.ly/3umoSFE" TargetMode="External"/><Relationship Id="rId816" Type="http://schemas.openxmlformats.org/officeDocument/2006/relationships/hyperlink" Target="http://neurons.ai/" TargetMode="External"/><Relationship Id="rId1446" Type="http://schemas.openxmlformats.org/officeDocument/2006/relationships/hyperlink" Target="https://www.facebook.com/couponn" TargetMode="External"/><Relationship Id="rId1653" Type="http://schemas.openxmlformats.org/officeDocument/2006/relationships/hyperlink" Target="http://www.epistasis.org/" TargetMode="External"/><Relationship Id="rId1860" Type="http://schemas.openxmlformats.org/officeDocument/2006/relationships/hyperlink" Target="https://pbs.twimg.com/media/Eu6Ug6MXAAI_JkB.png" TargetMode="External"/><Relationship Id="rId2704" Type="http://schemas.openxmlformats.org/officeDocument/2006/relationships/hyperlink" Target="https://tnw.to/8Au8i" TargetMode="External"/><Relationship Id="rId2911" Type="http://schemas.openxmlformats.org/officeDocument/2006/relationships/hyperlink" Target="https://pub.towardsai.net/tensorflow-accelerate-numpy-with-gpus-964e9087fdab" TargetMode="External"/><Relationship Id="rId1306" Type="http://schemas.openxmlformats.org/officeDocument/2006/relationships/hyperlink" Target="https://reconshell.com/best-chatbot-frameworks-to-build-powerful-ai-bots/" TargetMode="External"/><Relationship Id="rId1513" Type="http://schemas.openxmlformats.org/officeDocument/2006/relationships/hyperlink" Target="http://7wdata.be/" TargetMode="External"/><Relationship Id="rId1720" Type="http://schemas.openxmlformats.org/officeDocument/2006/relationships/hyperlink" Target="https://pbs.twimg.com/media/Eu6bOrIWYAYCxkh.jpg" TargetMode="External"/><Relationship Id="rId12" Type="http://schemas.openxmlformats.org/officeDocument/2006/relationships/hyperlink" Target="http://www.marktechpost.com/" TargetMode="External"/><Relationship Id="rId3478" Type="http://schemas.openxmlformats.org/officeDocument/2006/relationships/hyperlink" Target="https://www.kdnuggets.com/2021/02/dont-need-data-scientists-need-data-engineers.html" TargetMode="External"/><Relationship Id="rId3685" Type="http://schemas.openxmlformats.org/officeDocument/2006/relationships/hyperlink" Target="https://pbs.twimg.com/media/Eu4nvt6VgAQvr6E.jpg" TargetMode="External"/><Relationship Id="rId3892" Type="http://schemas.openxmlformats.org/officeDocument/2006/relationships/hyperlink" Target="https://pbs.twimg.com/media/Eu4R1aHXAAkdrD8.jpg" TargetMode="External"/><Relationship Id="rId399" Type="http://schemas.openxmlformats.org/officeDocument/2006/relationships/hyperlink" Target="https://www.theinsaneapp.com/2021/02/types-of-machine-learning-algorithms.html" TargetMode="External"/><Relationship Id="rId2287" Type="http://schemas.openxmlformats.org/officeDocument/2006/relationships/hyperlink" Target="http://ow.ly/SsDZ50DD6R8" TargetMode="External"/><Relationship Id="rId2494" Type="http://schemas.openxmlformats.org/officeDocument/2006/relationships/hyperlink" Target="https://pbs.twimg.com/media/Eu5zqiaXAAQH3X1.jpg" TargetMode="External"/><Relationship Id="rId3338" Type="http://schemas.openxmlformats.org/officeDocument/2006/relationships/hyperlink" Target="http://www.heptagon.in/" TargetMode="External"/><Relationship Id="rId3545" Type="http://schemas.openxmlformats.org/officeDocument/2006/relationships/hyperlink" Target="https://pbs.twimg.com/media/Eu40eudWgAEysTc.jpg" TargetMode="External"/><Relationship Id="rId3752" Type="http://schemas.openxmlformats.org/officeDocument/2006/relationships/hyperlink" Target="http://ecptonline.com/" TargetMode="External"/><Relationship Id="rId259" Type="http://schemas.openxmlformats.org/officeDocument/2006/relationships/hyperlink" Target="https://paullopez.ai/" TargetMode="External"/><Relationship Id="rId466" Type="http://schemas.openxmlformats.org/officeDocument/2006/relationships/hyperlink" Target="https://www.fiverr.com/share/AYW5vR" TargetMode="External"/><Relationship Id="rId673" Type="http://schemas.openxmlformats.org/officeDocument/2006/relationships/hyperlink" Target="https://pbs.twimg.com/media/Eu7Jj3YXMAMpR8i.jpg" TargetMode="External"/><Relationship Id="rId880" Type="http://schemas.openxmlformats.org/officeDocument/2006/relationships/hyperlink" Target="https://morioh.com/p/8e9d9d4161c5?f=5c21fb01c16e2556b555ab32" TargetMode="External"/><Relationship Id="rId1096" Type="http://schemas.openxmlformats.org/officeDocument/2006/relationships/hyperlink" Target="http://www.cancerletter.com/" TargetMode="External"/><Relationship Id="rId2147" Type="http://schemas.openxmlformats.org/officeDocument/2006/relationships/hyperlink" Target="http://www.smebook.eu/" TargetMode="External"/><Relationship Id="rId2354" Type="http://schemas.openxmlformats.org/officeDocument/2006/relationships/hyperlink" Target="http://bva-group.com/" TargetMode="External"/><Relationship Id="rId2561" Type="http://schemas.openxmlformats.org/officeDocument/2006/relationships/hyperlink" Target="http://technative.io/" TargetMode="External"/><Relationship Id="rId3405" Type="http://schemas.openxmlformats.org/officeDocument/2006/relationships/hyperlink" Target="https://bit.ly/2LG3fhC" TargetMode="External"/><Relationship Id="rId119" Type="http://schemas.openxmlformats.org/officeDocument/2006/relationships/hyperlink" Target="https://pbs.twimg.com/media/Eu7f8T1XcAgicSv.jpg" TargetMode="External"/><Relationship Id="rId326" Type="http://schemas.openxmlformats.org/officeDocument/2006/relationships/hyperlink" Target="https://codewithmosh.com/?affcode=146684_8qgz9mhy" TargetMode="External"/><Relationship Id="rId533" Type="http://schemas.openxmlformats.org/officeDocument/2006/relationships/hyperlink" Target="https://twitter.com/fayezsalka/status/1362784193458147330" TargetMode="External"/><Relationship Id="rId1163" Type="http://schemas.openxmlformats.org/officeDocument/2006/relationships/hyperlink" Target="https://www.netcarreiras.com.br/curriculo-suprimentos-114295" TargetMode="External"/><Relationship Id="rId1370" Type="http://schemas.openxmlformats.org/officeDocument/2006/relationships/hyperlink" Target="https://www.flyingeze.com/" TargetMode="External"/><Relationship Id="rId2007" Type="http://schemas.openxmlformats.org/officeDocument/2006/relationships/hyperlink" Target="https://pbs.twimg.com/media/Eu6N1tbUYAc-byM.jpg" TargetMode="External"/><Relationship Id="rId2214" Type="http://schemas.openxmlformats.org/officeDocument/2006/relationships/hyperlink" Target="https://www.radwell.co.uk/" TargetMode="External"/><Relationship Id="rId3612" Type="http://schemas.openxmlformats.org/officeDocument/2006/relationships/hyperlink" Target="http://bigml.com/" TargetMode="External"/><Relationship Id="rId740" Type="http://schemas.openxmlformats.org/officeDocument/2006/relationships/hyperlink" Target="https://pbs.twimg.com/media/Eu7GbUvVEAQu23q.jpg" TargetMode="External"/><Relationship Id="rId1023" Type="http://schemas.openxmlformats.org/officeDocument/2006/relationships/hyperlink" Target="http://pic.twitter.com/zMvbOFMDqk" TargetMode="External"/><Relationship Id="rId2421" Type="http://schemas.openxmlformats.org/officeDocument/2006/relationships/hyperlink" Target="http://www.decidesoluciones.es/" TargetMode="External"/><Relationship Id="rId4179" Type="http://schemas.openxmlformats.org/officeDocument/2006/relationships/hyperlink" Target="https://ai-summary.com/summary-a-quick-guide-to-managing-machine-learning-experiments/?utm_medium=social-organic&amp;utm_source=twitter" TargetMode="External"/><Relationship Id="rId600" Type="http://schemas.openxmlformats.org/officeDocument/2006/relationships/hyperlink" Target="https://singularityhub.com/2021/01/12/meet-assembloids-mini-human-brains-with-muscles-attached" TargetMode="External"/><Relationship Id="rId1230" Type="http://schemas.openxmlformats.org/officeDocument/2006/relationships/hyperlink" Target="https://dy.si/PUaHZ" TargetMode="External"/><Relationship Id="rId3195" Type="http://schemas.openxmlformats.org/officeDocument/2006/relationships/hyperlink" Target="http://dlvr.it/RtHVD3" TargetMode="External"/><Relationship Id="rId4039" Type="http://schemas.openxmlformats.org/officeDocument/2006/relationships/hyperlink" Target="https://superdigital.agency/" TargetMode="External"/><Relationship Id="rId4246" Type="http://schemas.openxmlformats.org/officeDocument/2006/relationships/hyperlink" Target="http://pic.twitter.com/hfPk9nRBoi" TargetMode="External"/><Relationship Id="rId3055" Type="http://schemas.openxmlformats.org/officeDocument/2006/relationships/hyperlink" Target="http://bit.ly/2NVxbrh" TargetMode="External"/><Relationship Id="rId3262" Type="http://schemas.openxmlformats.org/officeDocument/2006/relationships/hyperlink" Target="https://pbs.twimg.com/media/Eu5NOPOUcAENyVc.jpg" TargetMode="External"/><Relationship Id="rId4106" Type="http://schemas.openxmlformats.org/officeDocument/2006/relationships/hyperlink" Target="http://pic.twitter.com/FUwV27Stil" TargetMode="External"/><Relationship Id="rId183" Type="http://schemas.openxmlformats.org/officeDocument/2006/relationships/hyperlink" Target="https://buff.ly/3k91dDM" TargetMode="External"/><Relationship Id="rId390" Type="http://schemas.openxmlformats.org/officeDocument/2006/relationships/hyperlink" Target="https://pub.towardsai.net/roi-based-hybrid-lossy-and-lossless-image-compression-a73ce6f9d2ea?source=rss----98111c9905da---4?source=social.tw" TargetMode="External"/><Relationship Id="rId1907" Type="http://schemas.openxmlformats.org/officeDocument/2006/relationships/hyperlink" Target="https://pbs.twimg.com/media/Eu6TBthXUAADA3i.jpg" TargetMode="External"/><Relationship Id="rId2071" Type="http://schemas.openxmlformats.org/officeDocument/2006/relationships/hyperlink" Target="http://www.metia.com/" TargetMode="External"/><Relationship Id="rId3122" Type="http://schemas.openxmlformats.org/officeDocument/2006/relationships/hyperlink" Target="https://arxiv.org/abs/2102.10556v1" TargetMode="External"/><Relationship Id="rId250" Type="http://schemas.openxmlformats.org/officeDocument/2006/relationships/hyperlink" Target="https://datascienceplus.com/find-the-best-predictive-model-using-r-caret-package-modelgrid/" TargetMode="External"/><Relationship Id="rId110" Type="http://schemas.openxmlformats.org/officeDocument/2006/relationships/hyperlink" Target="http://www.parolaanalytics.com/" TargetMode="External"/><Relationship Id="rId2888" Type="http://schemas.openxmlformats.org/officeDocument/2006/relationships/hyperlink" Target="https://pbs.twimg.com/media/Eu5h_jmXEAACdq4.jpg" TargetMode="External"/><Relationship Id="rId3939" Type="http://schemas.openxmlformats.org/officeDocument/2006/relationships/hyperlink" Target="https://www.netcarreiras.com.br/" TargetMode="External"/><Relationship Id="rId1697" Type="http://schemas.openxmlformats.org/officeDocument/2006/relationships/hyperlink" Target="https://internetofthingsagenda.techtarget.com/tip/How-to-implement-edge-computing-in-5-steps" TargetMode="External"/><Relationship Id="rId2748" Type="http://schemas.openxmlformats.org/officeDocument/2006/relationships/hyperlink" Target="http://pic.twitter.com/kJakfAdmoY" TargetMode="External"/><Relationship Id="rId2955" Type="http://schemas.openxmlformats.org/officeDocument/2006/relationships/hyperlink" Target="https://pbs.twimg.com/media/Eu5fJGwXcAATGDK.jpg" TargetMode="External"/><Relationship Id="rId927" Type="http://schemas.openxmlformats.org/officeDocument/2006/relationships/hyperlink" Target="http://ow.ly/6eSw50DHjbl" TargetMode="External"/><Relationship Id="rId1557" Type="http://schemas.openxmlformats.org/officeDocument/2006/relationships/hyperlink" Target="https://www.quytech.com/on-demand-mobile-app/food-delivery-app-development.php" TargetMode="External"/><Relationship Id="rId1764" Type="http://schemas.openxmlformats.org/officeDocument/2006/relationships/hyperlink" Target="https://ift.tt/3pGfLMo" TargetMode="External"/><Relationship Id="rId1971" Type="http://schemas.openxmlformats.org/officeDocument/2006/relationships/hyperlink" Target="http://ai-kernel.com/" TargetMode="External"/><Relationship Id="rId2608" Type="http://schemas.openxmlformats.org/officeDocument/2006/relationships/hyperlink" Target="https://buff.ly/3qtoLFH" TargetMode="External"/><Relationship Id="rId2815" Type="http://schemas.openxmlformats.org/officeDocument/2006/relationships/hyperlink" Target="https://pbs.twimg.com/media/Eu5kQW6WgAM0kDT.jpg" TargetMode="External"/><Relationship Id="rId4170" Type="http://schemas.openxmlformats.org/officeDocument/2006/relationships/hyperlink" Target="https://bit.ly/2NOyd8v" TargetMode="External"/><Relationship Id="rId56" Type="http://schemas.openxmlformats.org/officeDocument/2006/relationships/hyperlink" Target="http://www.awakenai.org/" TargetMode="External"/><Relationship Id="rId1417" Type="http://schemas.openxmlformats.org/officeDocument/2006/relationships/hyperlink" Target="https://www.ai2s.it/" TargetMode="External"/><Relationship Id="rId1624" Type="http://schemas.openxmlformats.org/officeDocument/2006/relationships/hyperlink" Target="https://www.linkedin.com/in/colinrbristow/" TargetMode="External"/><Relationship Id="rId1831" Type="http://schemas.openxmlformats.org/officeDocument/2006/relationships/hyperlink" Target="http://pic.twitter.com/DTw4PsgLED" TargetMode="External"/><Relationship Id="rId4030" Type="http://schemas.openxmlformats.org/officeDocument/2006/relationships/hyperlink" Target="https://machinelearningflx.com/" TargetMode="External"/><Relationship Id="rId3589" Type="http://schemas.openxmlformats.org/officeDocument/2006/relationships/hyperlink" Target="http://www.aiaustralia.org/" TargetMode="External"/><Relationship Id="rId3796" Type="http://schemas.openxmlformats.org/officeDocument/2006/relationships/hyperlink" Target="https://www.udemy.com/course/apache-spark-project-world-development-indicators-analytics/?couponCode=E5D9B6A233839E79CD4E" TargetMode="External"/><Relationship Id="rId2398" Type="http://schemas.openxmlformats.org/officeDocument/2006/relationships/hyperlink" Target="http://mentor.astonphotonics.uk/" TargetMode="External"/><Relationship Id="rId3449" Type="http://schemas.openxmlformats.org/officeDocument/2006/relationships/hyperlink" Target="https://pbs.twimg.com/media/Eu48dEkVIAAQsU-.jpg" TargetMode="External"/><Relationship Id="rId577" Type="http://schemas.openxmlformats.org/officeDocument/2006/relationships/hyperlink" Target="https://www.programming-hero.com/blog/index.html" TargetMode="External"/><Relationship Id="rId2258" Type="http://schemas.openxmlformats.org/officeDocument/2006/relationships/hyperlink" Target="https://pbs.twimg.com/media/Eu6AmnDU4AYRLn1.jpg" TargetMode="External"/><Relationship Id="rId3656" Type="http://schemas.openxmlformats.org/officeDocument/2006/relationships/hyperlink" Target="https://techflx.com/product-category/books/" TargetMode="External"/><Relationship Id="rId3863" Type="http://schemas.openxmlformats.org/officeDocument/2006/relationships/hyperlink" Target="https://www.linkedin.com/in/mpyllan/" TargetMode="External"/><Relationship Id="rId784" Type="http://schemas.openxmlformats.org/officeDocument/2006/relationships/hyperlink" Target="https://www.linkedin.com/in/eric-feuilleaubois-ph-d-43ab0925/" TargetMode="External"/><Relationship Id="rId991" Type="http://schemas.openxmlformats.org/officeDocument/2006/relationships/hyperlink" Target="https://linktr.ee/RonaldvanLoon" TargetMode="External"/><Relationship Id="rId1067" Type="http://schemas.openxmlformats.org/officeDocument/2006/relationships/hyperlink" Target="https://bit.ly/39jTHCJ" TargetMode="External"/><Relationship Id="rId2465" Type="http://schemas.openxmlformats.org/officeDocument/2006/relationships/hyperlink" Target="https://roboticsandautomationnews.com/2021/02/22/can-you-hack-ai-yes-and-deep-learning-is-being-used-to-both-attack-and-defend/40906/" TargetMode="External"/><Relationship Id="rId2672" Type="http://schemas.openxmlformats.org/officeDocument/2006/relationships/hyperlink" Target="http://pic.twitter.com/D16abAWtvJ" TargetMode="External"/><Relationship Id="rId3309" Type="http://schemas.openxmlformats.org/officeDocument/2006/relationships/hyperlink" Target="https://buff.ly/2ORGIjH" TargetMode="External"/><Relationship Id="rId3516" Type="http://schemas.openxmlformats.org/officeDocument/2006/relationships/hyperlink" Target="https://www.facebook.com/karry.watson.353" TargetMode="External"/><Relationship Id="rId3723" Type="http://schemas.openxmlformats.org/officeDocument/2006/relationships/hyperlink" Target="https://medium.com/nerd-for-tech/please-human-can-you-teach-me-how-to-ai-9b272920f16f?source=rss-------8-----------------artificial_intelligence" TargetMode="External"/><Relationship Id="rId3930" Type="http://schemas.openxmlformats.org/officeDocument/2006/relationships/hyperlink" Target="https://mindsdb.com/webinar-machine-learning-database/" TargetMode="External"/><Relationship Id="rId437" Type="http://schemas.openxmlformats.org/officeDocument/2006/relationships/hyperlink" Target="https://pbs.twimg.com/media/Eu7SPwTWgAcSeDk.jpg" TargetMode="External"/><Relationship Id="rId644" Type="http://schemas.openxmlformats.org/officeDocument/2006/relationships/hyperlink" Target="https://buff.ly/3q2EF9R" TargetMode="External"/><Relationship Id="rId851" Type="http://schemas.openxmlformats.org/officeDocument/2006/relationships/hyperlink" Target="https://towardsai.net/p" TargetMode="External"/><Relationship Id="rId1274" Type="http://schemas.openxmlformats.org/officeDocument/2006/relationships/hyperlink" Target="https://goo.gl/3TFrjv" TargetMode="External"/><Relationship Id="rId1481" Type="http://schemas.openxmlformats.org/officeDocument/2006/relationships/hyperlink" Target="http://www.newsfilecorp.com/" TargetMode="External"/><Relationship Id="rId2118" Type="http://schemas.openxmlformats.org/officeDocument/2006/relationships/hyperlink" Target="https://hindustantimes.com/ht-school/ai-and-robots-now-and-future-of-tech-101614063835866.html" TargetMode="External"/><Relationship Id="rId2325" Type="http://schemas.openxmlformats.org/officeDocument/2006/relationships/hyperlink" Target="http://pic.twitter.com/E583ZuPOEa" TargetMode="External"/><Relationship Id="rId2532" Type="http://schemas.openxmlformats.org/officeDocument/2006/relationships/hyperlink" Target="https://towardsdatascience.com/10-best-free-websites-to-learn-more-about-data-science-and-machine-learning-f2c6d7387b8d" TargetMode="External"/><Relationship Id="rId504" Type="http://schemas.openxmlformats.org/officeDocument/2006/relationships/hyperlink" Target="https://www.diggernaut.com/" TargetMode="External"/><Relationship Id="rId711" Type="http://schemas.openxmlformats.org/officeDocument/2006/relationships/hyperlink" Target="http://www.techvisor.nl/" TargetMode="External"/><Relationship Id="rId1134" Type="http://schemas.openxmlformats.org/officeDocument/2006/relationships/hyperlink" Target="https://srthespectator.wordpress.com/" TargetMode="External"/><Relationship Id="rId1341" Type="http://schemas.openxmlformats.org/officeDocument/2006/relationships/hyperlink" Target="https://narrasoft.com/how-will-augmented-reality-change-the-future-of-art/" TargetMode="External"/><Relationship Id="rId1201" Type="http://schemas.openxmlformats.org/officeDocument/2006/relationships/hyperlink" Target="https://dy.si/BCqkzX" TargetMode="External"/><Relationship Id="rId3099" Type="http://schemas.openxmlformats.org/officeDocument/2006/relationships/hyperlink" Target="https://catherinescareercorner.com/" TargetMode="External"/><Relationship Id="rId3166" Type="http://schemas.openxmlformats.org/officeDocument/2006/relationships/hyperlink" Target="https://neurons.ai/blog/news-stories/four-university-students-recognized-by-outstanding-undergraduate-researcher-awards/" TargetMode="External"/><Relationship Id="rId3373" Type="http://schemas.openxmlformats.org/officeDocument/2006/relationships/hyperlink" Target="http://www.kevinderman.com/" TargetMode="External"/><Relationship Id="rId3580" Type="http://schemas.openxmlformats.org/officeDocument/2006/relationships/hyperlink" Target="https://pbs.twimg.com/media/Eu4yV44VkAMSryV.jpg" TargetMode="External"/><Relationship Id="rId4217" Type="http://schemas.openxmlformats.org/officeDocument/2006/relationships/hyperlink" Target="https://buff.ly/36Jco0v" TargetMode="External"/><Relationship Id="rId294" Type="http://schemas.openxmlformats.org/officeDocument/2006/relationships/hyperlink" Target="https://tesseract.academy/7-tips-for-selecting-the-right-ai-vendor-for-your-business/" TargetMode="External"/><Relationship Id="rId2182" Type="http://schemas.openxmlformats.org/officeDocument/2006/relationships/hyperlink" Target="https://contentsimplicity.com/" TargetMode="External"/><Relationship Id="rId3026" Type="http://schemas.openxmlformats.org/officeDocument/2006/relationships/hyperlink" Target="https://youtu.be/mvKVyEihASc" TargetMode="External"/><Relationship Id="rId3233" Type="http://schemas.openxmlformats.org/officeDocument/2006/relationships/hyperlink" Target="http://www.camera-module.com/" TargetMode="External"/><Relationship Id="rId154" Type="http://schemas.openxmlformats.org/officeDocument/2006/relationships/hyperlink" Target="https://sites.google.com/view/21enohpi/home" TargetMode="External"/><Relationship Id="rId361" Type="http://schemas.openxmlformats.org/officeDocument/2006/relationships/hyperlink" Target="https://pbs.twimg.com/media/Eu7VCIJXIAAQquI.jpg" TargetMode="External"/><Relationship Id="rId2042" Type="http://schemas.openxmlformats.org/officeDocument/2006/relationships/hyperlink" Target="http://www.linkedin.com/in/sajid-mirza1" TargetMode="External"/><Relationship Id="rId3440" Type="http://schemas.openxmlformats.org/officeDocument/2006/relationships/hyperlink" Target="https://spectrum.ieee.org/automaton/robotics/drones/folding-drone-can-drop-into-inaccessible-mines" TargetMode="External"/><Relationship Id="rId2999" Type="http://schemas.openxmlformats.org/officeDocument/2006/relationships/hyperlink" Target="http://designnation.in/" TargetMode="External"/><Relationship Id="rId3300" Type="http://schemas.openxmlformats.org/officeDocument/2006/relationships/hyperlink" Target="https://choyou.com/" TargetMode="External"/><Relationship Id="rId221" Type="http://schemas.openxmlformats.org/officeDocument/2006/relationships/hyperlink" Target="http://pic.twitter.com/84R8CP39nu" TargetMode="External"/><Relationship Id="rId2859" Type="http://schemas.openxmlformats.org/officeDocument/2006/relationships/hyperlink" Target="https://www.linkedin.com/in/iainljbrown/" TargetMode="External"/><Relationship Id="rId1668" Type="http://schemas.openxmlformats.org/officeDocument/2006/relationships/hyperlink" Target="https://pub.towardsai.net/" TargetMode="External"/><Relationship Id="rId1875" Type="http://schemas.openxmlformats.org/officeDocument/2006/relationships/hyperlink" Target="http://wiselywise.com/" TargetMode="External"/><Relationship Id="rId2719" Type="http://schemas.openxmlformats.org/officeDocument/2006/relationships/hyperlink" Target="https://searcherp.techtarget.com/feature/The-future-of-supply-chains-is-here" TargetMode="External"/><Relationship Id="rId4074" Type="http://schemas.openxmlformats.org/officeDocument/2006/relationships/hyperlink" Target="https://couponos.me/coupon/algorithms-in-python-design-techniques-and-approach/" TargetMode="External"/><Relationship Id="rId1528" Type="http://schemas.openxmlformats.org/officeDocument/2006/relationships/hyperlink" Target="https://buff.ly/2NuUrMI" TargetMode="External"/><Relationship Id="rId2926" Type="http://schemas.openxmlformats.org/officeDocument/2006/relationships/hyperlink" Target="https://pbs.twimg.com/media/Eu2-kDeUcAAj1ZG.jpg" TargetMode="External"/><Relationship Id="rId3090" Type="http://schemas.openxmlformats.org/officeDocument/2006/relationships/hyperlink" Target="https://bit.ly/3dEdHSQ" TargetMode="External"/><Relationship Id="rId4141" Type="http://schemas.openxmlformats.org/officeDocument/2006/relationships/hyperlink" Target="https://paullopez.ai/" TargetMode="External"/><Relationship Id="rId1735" Type="http://schemas.openxmlformats.org/officeDocument/2006/relationships/hyperlink" Target="http://3cloudsolutions.com/" TargetMode="External"/><Relationship Id="rId1942" Type="http://schemas.openxmlformats.org/officeDocument/2006/relationships/hyperlink" Target="https://pbs.twimg.com/media/Eu6RT7yUUAA1uoH.png" TargetMode="External"/><Relationship Id="rId4001" Type="http://schemas.openxmlformats.org/officeDocument/2006/relationships/hyperlink" Target="https://www.aitrends.com/ai-insider/complexities-when-ai-autonomous-cars-attempt-zipper-merging" TargetMode="External"/><Relationship Id="rId27" Type="http://schemas.openxmlformats.org/officeDocument/2006/relationships/hyperlink" Target="https://www.linkedin.com/in/ivanfemia/" TargetMode="External"/><Relationship Id="rId1802" Type="http://schemas.openxmlformats.org/officeDocument/2006/relationships/hyperlink" Target="http://github.com/ehuntober" TargetMode="External"/><Relationship Id="rId3767" Type="http://schemas.openxmlformats.org/officeDocument/2006/relationships/hyperlink" Target="https://www.etsy.com/shop/AdPositive" TargetMode="External"/><Relationship Id="rId3974" Type="http://schemas.openxmlformats.org/officeDocument/2006/relationships/hyperlink" Target="http://pic.twitter.com/0TRK6s4KxQ" TargetMode="External"/><Relationship Id="rId688" Type="http://schemas.openxmlformats.org/officeDocument/2006/relationships/hyperlink" Target="https://nanohub.org/tools/mseml" TargetMode="External"/><Relationship Id="rId895" Type="http://schemas.openxmlformats.org/officeDocument/2006/relationships/hyperlink" Target="https://www.mekkographics.com/driverless-car-testing-in-california/" TargetMode="External"/><Relationship Id="rId2369" Type="http://schemas.openxmlformats.org/officeDocument/2006/relationships/hyperlink" Target="http://ow.ly/SvXb50DHoyW" TargetMode="External"/><Relationship Id="rId2576" Type="http://schemas.openxmlformats.org/officeDocument/2006/relationships/hyperlink" Target="http://j-onetechnology.com/" TargetMode="External"/><Relationship Id="rId2783" Type="http://schemas.openxmlformats.org/officeDocument/2006/relationships/hyperlink" Target="https://pbs.twimg.com/media/Eu5j_ngXcAIpEJm.jpg" TargetMode="External"/><Relationship Id="rId2990" Type="http://schemas.openxmlformats.org/officeDocument/2006/relationships/hyperlink" Target="https://bit.ly/3pLMXlM" TargetMode="External"/><Relationship Id="rId3627" Type="http://schemas.openxmlformats.org/officeDocument/2006/relationships/hyperlink" Target="https://neurons.ai/blog/news-stories/machine-learning-market-dynamics-forces-new-market-opportunities-by-players-fair-isaac/" TargetMode="External"/><Relationship Id="rId3834" Type="http://schemas.openxmlformats.org/officeDocument/2006/relationships/hyperlink" Target="https://pbs.twimg.com/media/Eu4ZYS3WYAEsuMe.png" TargetMode="External"/><Relationship Id="rId548" Type="http://schemas.openxmlformats.org/officeDocument/2006/relationships/hyperlink" Target="https://hubs.ly/H0H45gG0" TargetMode="External"/><Relationship Id="rId755" Type="http://schemas.openxmlformats.org/officeDocument/2006/relationships/hyperlink" Target="https://www.information-age.com/training-machine-learning-models-future-ready-123493865/" TargetMode="External"/><Relationship Id="rId962" Type="http://schemas.openxmlformats.org/officeDocument/2006/relationships/hyperlink" Target="http://www.linkedin.com/in/jamesg2006" TargetMode="External"/><Relationship Id="rId1178" Type="http://schemas.openxmlformats.org/officeDocument/2006/relationships/hyperlink" Target="https://www.linkedin.com/in/nicolaspinto1/" TargetMode="External"/><Relationship Id="rId1385" Type="http://schemas.openxmlformats.org/officeDocument/2006/relationships/hyperlink" Target="http://psi-k.net/jobs/postdoc-position-at-mpie-exploration-of-high-entr/" TargetMode="External"/><Relationship Id="rId1592" Type="http://schemas.openxmlformats.org/officeDocument/2006/relationships/hyperlink" Target="http://www.linkedin.com/in/kirkdborne" TargetMode="External"/><Relationship Id="rId2229" Type="http://schemas.openxmlformats.org/officeDocument/2006/relationships/hyperlink" Target="https://aplicaciones.campusbigdata.com/" TargetMode="External"/><Relationship Id="rId2436" Type="http://schemas.openxmlformats.org/officeDocument/2006/relationships/hyperlink" Target="http://groundlimo.com/" TargetMode="External"/><Relationship Id="rId2643" Type="http://schemas.openxmlformats.org/officeDocument/2006/relationships/hyperlink" Target="https://pbs.twimg.com/media/Eu5sk0UXEAAYxF8.jpg" TargetMode="External"/><Relationship Id="rId2850" Type="http://schemas.openxmlformats.org/officeDocument/2006/relationships/hyperlink" Target="https://buff.ly/33HxURU" TargetMode="External"/><Relationship Id="rId91" Type="http://schemas.openxmlformats.org/officeDocument/2006/relationships/hyperlink" Target="https://www.digitalscouting.de/" TargetMode="External"/><Relationship Id="rId408" Type="http://schemas.openxmlformats.org/officeDocument/2006/relationships/hyperlink" Target="https://www.linkedin.com/pub/william-ramarques/25/175/1a0" TargetMode="External"/><Relationship Id="rId615" Type="http://schemas.openxmlformats.org/officeDocument/2006/relationships/hyperlink" Target="https://pbs.twimg.com/media/Eu7KsBNUYAUYzK_.jpg" TargetMode="External"/><Relationship Id="rId822" Type="http://schemas.openxmlformats.org/officeDocument/2006/relationships/hyperlink" Target="http://neurons.ai/" TargetMode="External"/><Relationship Id="rId1038" Type="http://schemas.openxmlformats.org/officeDocument/2006/relationships/hyperlink" Target="https://pbs.twimg.com/media/Eu63P6nWYAUPtGC.jpg" TargetMode="External"/><Relationship Id="rId1245" Type="http://schemas.openxmlformats.org/officeDocument/2006/relationships/hyperlink" Target="https://searchenterpriseai.techtarget.com/quiz/Do-you-have-competitive-data-science-key-skills" TargetMode="External"/><Relationship Id="rId1452" Type="http://schemas.openxmlformats.org/officeDocument/2006/relationships/hyperlink" Target="https://ift.tt/2ZET94r" TargetMode="External"/><Relationship Id="rId2503" Type="http://schemas.openxmlformats.org/officeDocument/2006/relationships/hyperlink" Target="http://www.actico.com/" TargetMode="External"/><Relationship Id="rId3901" Type="http://schemas.openxmlformats.org/officeDocument/2006/relationships/hyperlink" Target="https://www.healthcareitnews.com/news/ai-enabled-radiomics-next-frontier-oncology" TargetMode="External"/><Relationship Id="rId1105" Type="http://schemas.openxmlformats.org/officeDocument/2006/relationships/hyperlink" Target="http://aws.amazon.com/es" TargetMode="External"/><Relationship Id="rId1312" Type="http://schemas.openxmlformats.org/officeDocument/2006/relationships/hyperlink" Target="https://machinelearningflx.com/" TargetMode="External"/><Relationship Id="rId2710" Type="http://schemas.openxmlformats.org/officeDocument/2006/relationships/hyperlink" Target="http://www.ai-adam.com/ai-job-application" TargetMode="External"/><Relationship Id="rId3277" Type="http://schemas.openxmlformats.org/officeDocument/2006/relationships/hyperlink" Target="https://bit.ly/3dpP4sY" TargetMode="External"/><Relationship Id="rId198" Type="http://schemas.openxmlformats.org/officeDocument/2006/relationships/hyperlink" Target="https://pbs.twimg.com/media/Eu7cZyMWQAMpdqz.png" TargetMode="External"/><Relationship Id="rId2086" Type="http://schemas.openxmlformats.org/officeDocument/2006/relationships/hyperlink" Target="https://www.cnet.com/news/get-an-echo-dot-kids-edition-and-echo-glow-for-40-off/" TargetMode="External"/><Relationship Id="rId3484" Type="http://schemas.openxmlformats.org/officeDocument/2006/relationships/hyperlink" Target="https://pbs.twimg.com/media/Eu41iCLVgAA_b4x.jpg" TargetMode="External"/><Relationship Id="rId3691" Type="http://schemas.openxmlformats.org/officeDocument/2006/relationships/hyperlink" Target="http://adnanhashmi.co/" TargetMode="External"/><Relationship Id="rId2293" Type="http://schemas.openxmlformats.org/officeDocument/2006/relationships/hyperlink" Target="https://pbs.twimg.com/media/Eu5_sNfVgAIdabI.jpg" TargetMode="External"/><Relationship Id="rId3137" Type="http://schemas.openxmlformats.org/officeDocument/2006/relationships/hyperlink" Target="https://buff.ly/3upZNK0" TargetMode="External"/><Relationship Id="rId3344" Type="http://schemas.openxmlformats.org/officeDocument/2006/relationships/hyperlink" Target="https://bit.ly/3kaTaXf" TargetMode="External"/><Relationship Id="rId3551" Type="http://schemas.openxmlformats.org/officeDocument/2006/relationships/hyperlink" Target="https://thrive.kaiserpermanente.org/" TargetMode="External"/><Relationship Id="rId265" Type="http://schemas.openxmlformats.org/officeDocument/2006/relationships/hyperlink" Target="https://www.instagram.com/p/CLnnys1AwMr/?utm_source=ig_web_button_share_sheet" TargetMode="External"/><Relationship Id="rId472" Type="http://schemas.openxmlformats.org/officeDocument/2006/relationships/hyperlink" Target="https://dy.si/B9zn" TargetMode="External"/><Relationship Id="rId2153" Type="http://schemas.openxmlformats.org/officeDocument/2006/relationships/hyperlink" Target="http://designnation.in/" TargetMode="External"/><Relationship Id="rId2360" Type="http://schemas.openxmlformats.org/officeDocument/2006/relationships/hyperlink" Target="http://www.qavalley.com/" TargetMode="External"/><Relationship Id="rId3204" Type="http://schemas.openxmlformats.org/officeDocument/2006/relationships/hyperlink" Target="https://pbs.twimg.com/media/Eu5QkgfVcAcIJT5.jpg" TargetMode="External"/><Relationship Id="rId3411" Type="http://schemas.openxmlformats.org/officeDocument/2006/relationships/hyperlink" Target="https://zpy.io/4c2249b4" TargetMode="External"/><Relationship Id="rId125" Type="http://schemas.openxmlformats.org/officeDocument/2006/relationships/hyperlink" Target="http://www.awakenai.org/" TargetMode="External"/><Relationship Id="rId332" Type="http://schemas.openxmlformats.org/officeDocument/2006/relationships/hyperlink" Target="https://pbs.twimg.com/media/Eu7WnMRXMAIOxkY.png" TargetMode="External"/><Relationship Id="rId2013" Type="http://schemas.openxmlformats.org/officeDocument/2006/relationships/hyperlink" Target="http://www.verifyrecruitment.com/" TargetMode="External"/><Relationship Id="rId2220" Type="http://schemas.openxmlformats.org/officeDocument/2006/relationships/hyperlink" Target="http://bit.ly/3aQdk4D" TargetMode="External"/><Relationship Id="rId4185" Type="http://schemas.openxmlformats.org/officeDocument/2006/relationships/hyperlink" Target="http://pic.twitter.com/fpy3NUHPhC" TargetMode="External"/><Relationship Id="rId1779" Type="http://schemas.openxmlformats.org/officeDocument/2006/relationships/hyperlink" Target="https://contribute.towardsai.net/" TargetMode="External"/><Relationship Id="rId1986" Type="http://schemas.openxmlformats.org/officeDocument/2006/relationships/hyperlink" Target="https://buff.ly/3s8UpsN" TargetMode="External"/><Relationship Id="rId4045" Type="http://schemas.openxmlformats.org/officeDocument/2006/relationships/hyperlink" Target="https://twitter.com/anilmshanbhag/status/1364026423116255239" TargetMode="External"/><Relationship Id="rId4252" Type="http://schemas.openxmlformats.org/officeDocument/2006/relationships/hyperlink" Target="http://pic.twitter.com/FvvtA6X5zN" TargetMode="External"/><Relationship Id="rId1639" Type="http://schemas.openxmlformats.org/officeDocument/2006/relationships/hyperlink" Target="http://financemoney.net/" TargetMode="External"/><Relationship Id="rId1846" Type="http://schemas.openxmlformats.org/officeDocument/2006/relationships/hyperlink" Target="https://uptec.up.pt/nau21-entre-as-10-melhores-empresas-de-insurtech-da-europa/" TargetMode="External"/><Relationship Id="rId3061" Type="http://schemas.openxmlformats.org/officeDocument/2006/relationships/hyperlink" Target="http://www.elevenpaths.com/" TargetMode="External"/><Relationship Id="rId1706" Type="http://schemas.openxmlformats.org/officeDocument/2006/relationships/hyperlink" Target="http://successanalytix.blogspot.com/" TargetMode="External"/><Relationship Id="rId1913" Type="http://schemas.openxmlformats.org/officeDocument/2006/relationships/hyperlink" Target="https://www.programming-hero.com/blog/20-most-frequently-asked-google-interview-questions.html" TargetMode="External"/><Relationship Id="rId4112" Type="http://schemas.openxmlformats.org/officeDocument/2006/relationships/hyperlink" Target="https://www.pharmacypracticenews.com/Pharmacy-Technology-Report/Article/02-21/Machine-Learning-May-Bolster-Opioid-Stewardship-Efforts/62398" TargetMode="External"/><Relationship Id="rId3878" Type="http://schemas.openxmlformats.org/officeDocument/2006/relationships/hyperlink" Target="https://go.aws/2ZmwJVy" TargetMode="External"/><Relationship Id="rId799" Type="http://schemas.openxmlformats.org/officeDocument/2006/relationships/hyperlink" Target="http://www.thelondontree.com/" TargetMode="External"/><Relationship Id="rId2687" Type="http://schemas.openxmlformats.org/officeDocument/2006/relationships/hyperlink" Target="https://pbs.twimg.com/media/Eu5p0rnWgAU6SaD.jpg" TargetMode="External"/><Relationship Id="rId2894" Type="http://schemas.openxmlformats.org/officeDocument/2006/relationships/hyperlink" Target="http://www.livconsulting.co.za/" TargetMode="External"/><Relationship Id="rId3738" Type="http://schemas.openxmlformats.org/officeDocument/2006/relationships/hyperlink" Target="http://www.acolab.org/" TargetMode="External"/><Relationship Id="rId659" Type="http://schemas.openxmlformats.org/officeDocument/2006/relationships/hyperlink" Target="https://pbs.twimg.com/media/Eu7Kc5GWgAIPqGq.jpg" TargetMode="External"/><Relationship Id="rId866" Type="http://schemas.openxmlformats.org/officeDocument/2006/relationships/hyperlink" Target="http://bva-group.com/" TargetMode="External"/><Relationship Id="rId1289" Type="http://schemas.openxmlformats.org/officeDocument/2006/relationships/hyperlink" Target="https://neurons.ai/blog/news-stories/mission-launches-data-analytics-machine-learning-practice-for-businesses-on-aws/" TargetMode="External"/><Relationship Id="rId1496" Type="http://schemas.openxmlformats.org/officeDocument/2006/relationships/hyperlink" Target="http://garryjenkin.brandyourself.com/" TargetMode="External"/><Relationship Id="rId2547" Type="http://schemas.openxmlformats.org/officeDocument/2006/relationships/hyperlink" Target="http://www.linkedin.com/in/haroldsinnott/" TargetMode="External"/><Relationship Id="rId3945" Type="http://schemas.openxmlformats.org/officeDocument/2006/relationships/hyperlink" Target="http://www.heliosantos.org/" TargetMode="External"/><Relationship Id="rId519" Type="http://schemas.openxmlformats.org/officeDocument/2006/relationships/hyperlink" Target="https://pbs.twimg.com/media/Eu7OwHmWYAI99wg.jpg" TargetMode="External"/><Relationship Id="rId1149" Type="http://schemas.openxmlformats.org/officeDocument/2006/relationships/hyperlink" Target="http://www.azuleducationservices.com/" TargetMode="External"/><Relationship Id="rId1356" Type="http://schemas.openxmlformats.org/officeDocument/2006/relationships/hyperlink" Target="https://www.quantuityanalytics.com/" TargetMode="External"/><Relationship Id="rId2754" Type="http://schemas.openxmlformats.org/officeDocument/2006/relationships/hyperlink" Target="https://pbs.twimg.com/media/Eu5mhGmXYAE1sc6.jpg" TargetMode="External"/><Relationship Id="rId2961" Type="http://schemas.openxmlformats.org/officeDocument/2006/relationships/hyperlink" Target="https://pbs.twimg.com/media/Eu5epgwUUAAvYPc.jpg" TargetMode="External"/><Relationship Id="rId3805" Type="http://schemas.openxmlformats.org/officeDocument/2006/relationships/hyperlink" Target="https://www.fiverr.com/razu95/professional-modern-minimalist-logo-design-24-hrs" TargetMode="External"/><Relationship Id="rId726" Type="http://schemas.openxmlformats.org/officeDocument/2006/relationships/hyperlink" Target="https://bit.ly/3aphL7o" TargetMode="External"/><Relationship Id="rId933" Type="http://schemas.openxmlformats.org/officeDocument/2006/relationships/hyperlink" Target="https://morioh.com/p/f1ad9e5b96e6?f=5c21fb01c16e2556b555ab32" TargetMode="External"/><Relationship Id="rId1009" Type="http://schemas.openxmlformats.org/officeDocument/2006/relationships/hyperlink" Target="https://www.begellhouse.com/journals/journal-of-machine-learning-for-modeling-and-computing.html" TargetMode="External"/><Relationship Id="rId1563" Type="http://schemas.openxmlformats.org/officeDocument/2006/relationships/hyperlink" Target="http://www.orbit-rri.org/" TargetMode="External"/><Relationship Id="rId1770" Type="http://schemas.openxmlformats.org/officeDocument/2006/relationships/hyperlink" Target="https://www.reddit.com/r/MachineLearning/comments/lqejbj/d_can_we_use_gan_to_create_a_dataset_to_train/?utm_source=dlvr.it&amp;utm_medium=twitter" TargetMode="External"/><Relationship Id="rId2407" Type="http://schemas.openxmlformats.org/officeDocument/2006/relationships/hyperlink" Target="http://www.datascientists.fr/" TargetMode="External"/><Relationship Id="rId2614" Type="http://schemas.openxmlformats.org/officeDocument/2006/relationships/hyperlink" Target="https://www.linkedin.com/in/colinrbristow/" TargetMode="External"/><Relationship Id="rId2821" Type="http://schemas.openxmlformats.org/officeDocument/2006/relationships/hyperlink" Target="https://pbs.twimg.com/media/Eu5kOgCXIAEzQ2y.jpg" TargetMode="External"/><Relationship Id="rId62" Type="http://schemas.openxmlformats.org/officeDocument/2006/relationships/hyperlink" Target="https://twitter.com/ATTBusiness/status/1364274577237491712" TargetMode="External"/><Relationship Id="rId1216" Type="http://schemas.openxmlformats.org/officeDocument/2006/relationships/hyperlink" Target="http://pic.twitter.com/ioN6w0yAUr" TargetMode="External"/><Relationship Id="rId1423" Type="http://schemas.openxmlformats.org/officeDocument/2006/relationships/hyperlink" Target="https://pbs.twimg.com/media/Eu6o4WJXcAEuqHu.jpg" TargetMode="External"/><Relationship Id="rId1630" Type="http://schemas.openxmlformats.org/officeDocument/2006/relationships/hyperlink" Target="http://www.e-medtools.com/Medicare_Coding_Tool.html" TargetMode="External"/><Relationship Id="rId3388" Type="http://schemas.openxmlformats.org/officeDocument/2006/relationships/hyperlink" Target="https://pbs.twimg.com/media/Eu5CzmXWQAEuAxq.jpg" TargetMode="External"/><Relationship Id="rId3595" Type="http://schemas.openxmlformats.org/officeDocument/2006/relationships/hyperlink" Target="https://www.linkedin.com/in/2morrowknight/" TargetMode="External"/><Relationship Id="rId2197" Type="http://schemas.openxmlformats.org/officeDocument/2006/relationships/hyperlink" Target="https://www.finextra.com/newsarticle/37516/bbva-taps-google-cloud-chronicle-to-build-ai-security-platform" TargetMode="External"/><Relationship Id="rId3248" Type="http://schemas.openxmlformats.org/officeDocument/2006/relationships/hyperlink" Target="https://pbs.twimg.com/media/Eu5OVcxVEAM4VMe.jpg" TargetMode="External"/><Relationship Id="rId3455" Type="http://schemas.openxmlformats.org/officeDocument/2006/relationships/hyperlink" Target="https://www.ubuntupit.com/best-python-libraries-and-packages-for-beginners/" TargetMode="External"/><Relationship Id="rId3662" Type="http://schemas.openxmlformats.org/officeDocument/2006/relationships/hyperlink" Target="https://ai-summary.com/summary-study-only-18-of-data-science-students-are-learning-about-ai-ethics/?utm_medium=social-organic&amp;utm_source=twitter" TargetMode="External"/><Relationship Id="rId169" Type="http://schemas.openxmlformats.org/officeDocument/2006/relationships/hyperlink" Target="http://www.awakenai.org/" TargetMode="External"/><Relationship Id="rId376" Type="http://schemas.openxmlformats.org/officeDocument/2006/relationships/hyperlink" Target="https://lnkd.in/giiuT4b" TargetMode="External"/><Relationship Id="rId583" Type="http://schemas.openxmlformats.org/officeDocument/2006/relationships/hyperlink" Target="https://onlinecouponcourses.com/machine-learning-nanodegree-in-arabic" TargetMode="External"/><Relationship Id="rId790" Type="http://schemas.openxmlformats.org/officeDocument/2006/relationships/hyperlink" Target="https://freehipwee.blogspot.com/2021/02/advanced-computer-vision-transfer-learning-with-tensorflow.html" TargetMode="External"/><Relationship Id="rId2057" Type="http://schemas.openxmlformats.org/officeDocument/2006/relationships/hyperlink" Target="http://www.mdpi.com/journal/remotesensing" TargetMode="External"/><Relationship Id="rId2264" Type="http://schemas.openxmlformats.org/officeDocument/2006/relationships/hyperlink" Target="http://pic.twitter.com/HrMIznw1qa" TargetMode="External"/><Relationship Id="rId2471" Type="http://schemas.openxmlformats.org/officeDocument/2006/relationships/hyperlink" Target="https://www.bacancytechnology.com/blog/python-libraries-for-machine-learning" TargetMode="External"/><Relationship Id="rId3108" Type="http://schemas.openxmlformats.org/officeDocument/2006/relationships/hyperlink" Target="http://bit.ly/3qKTlLb" TargetMode="External"/><Relationship Id="rId3315" Type="http://schemas.openxmlformats.org/officeDocument/2006/relationships/hyperlink" Target="http://aithority.com/" TargetMode="External"/><Relationship Id="rId3522" Type="http://schemas.openxmlformats.org/officeDocument/2006/relationships/hyperlink" Target="http://www.vittiai.com/" TargetMode="External"/><Relationship Id="rId236" Type="http://schemas.openxmlformats.org/officeDocument/2006/relationships/hyperlink" Target="https://pbs.twimg.com/media/Eu7Eb1FXMAALs7J.jpg" TargetMode="External"/><Relationship Id="rId443" Type="http://schemas.openxmlformats.org/officeDocument/2006/relationships/hyperlink" Target="https://www.intelligencenode.com/" TargetMode="External"/><Relationship Id="rId650" Type="http://schemas.openxmlformats.org/officeDocument/2006/relationships/hyperlink" Target="https://bigdataanalyticsnews.com/facial-recognition-model/?utm_source=rss&amp;utm_medium=Sendible&amp;utm_campaign=RSS" TargetMode="External"/><Relationship Id="rId1073" Type="http://schemas.openxmlformats.org/officeDocument/2006/relationships/hyperlink" Target="https://www.searchenginewatch.com/2021/02/12/five-ways-to-use-machine-learning-in-digital-marketing/" TargetMode="External"/><Relationship Id="rId1280" Type="http://schemas.openxmlformats.org/officeDocument/2006/relationships/hyperlink" Target="http://essentials.news/future-of-hacking" TargetMode="External"/><Relationship Id="rId2124" Type="http://schemas.openxmlformats.org/officeDocument/2006/relationships/hyperlink" Target="https://towardsdatascience.com/10-best-free-websites-to-learn-more-about-data-science-and-machine-learning-f2c6d7387b8d" TargetMode="External"/><Relationship Id="rId2331" Type="http://schemas.openxmlformats.org/officeDocument/2006/relationships/hyperlink" Target="https://www.linkedin.com/in/iainljbrown/" TargetMode="External"/><Relationship Id="rId303" Type="http://schemas.openxmlformats.org/officeDocument/2006/relationships/hyperlink" Target="https://pbs.twimg.com/media/Eu7W-1ZWYAEp1hr.png" TargetMode="External"/><Relationship Id="rId1140" Type="http://schemas.openxmlformats.org/officeDocument/2006/relationships/hyperlink" Target="https://machinelearningflx.com/" TargetMode="External"/><Relationship Id="rId4089" Type="http://schemas.openxmlformats.org/officeDocument/2006/relationships/hyperlink" Target="http://bby.kim/" TargetMode="External"/><Relationship Id="rId510" Type="http://schemas.openxmlformats.org/officeDocument/2006/relationships/hyperlink" Target="https://machinelearningflx.com/" TargetMode="External"/><Relationship Id="rId1000" Type="http://schemas.openxmlformats.org/officeDocument/2006/relationships/hyperlink" Target="https://twitter.com/FoxBigdata/status/1364212486715695109" TargetMode="External"/><Relationship Id="rId1957" Type="http://schemas.openxmlformats.org/officeDocument/2006/relationships/hyperlink" Target="https://www.itviconsultants.com/" TargetMode="External"/><Relationship Id="rId4156" Type="http://schemas.openxmlformats.org/officeDocument/2006/relationships/hyperlink" Target="https://www.reddit.com/r/MachineLearning/" TargetMode="External"/><Relationship Id="rId1817" Type="http://schemas.openxmlformats.org/officeDocument/2006/relationships/hyperlink" Target="http://www.linkedin.com/in/bkornell" TargetMode="External"/><Relationship Id="rId3172" Type="http://schemas.openxmlformats.org/officeDocument/2006/relationships/hyperlink" Target="https://medium.com/towards-artificial-intelligence/emerging-careers-in-ai-project-management-4d724427e58c" TargetMode="External"/><Relationship Id="rId4016" Type="http://schemas.openxmlformats.org/officeDocument/2006/relationships/hyperlink" Target="http://pythonwebconference.com/" TargetMode="External"/><Relationship Id="rId4223" Type="http://schemas.openxmlformats.org/officeDocument/2006/relationships/hyperlink" Target="https://buff.ly/3abfHP6" TargetMode="External"/><Relationship Id="rId3032" Type="http://schemas.openxmlformats.org/officeDocument/2006/relationships/hyperlink" Target="https://www.youtube.com/juliensimonfr" TargetMode="External"/><Relationship Id="rId160" Type="http://schemas.openxmlformats.org/officeDocument/2006/relationships/hyperlink" Target="https://choyou.com/" TargetMode="External"/><Relationship Id="rId3989" Type="http://schemas.openxmlformats.org/officeDocument/2006/relationships/hyperlink" Target="http://www.avolutionsoftware.com/" TargetMode="External"/><Relationship Id="rId2798" Type="http://schemas.openxmlformats.org/officeDocument/2006/relationships/hyperlink" Target="http://bbva.info/3bujveN" TargetMode="External"/><Relationship Id="rId3849" Type="http://schemas.openxmlformats.org/officeDocument/2006/relationships/hyperlink" Target="http://www.vision33.com/" TargetMode="External"/><Relationship Id="rId977" Type="http://schemas.openxmlformats.org/officeDocument/2006/relationships/hyperlink" Target="http://linkedin.com/in/sidheshwar-pandhare-0a47b7110" TargetMode="External"/><Relationship Id="rId2658" Type="http://schemas.openxmlformats.org/officeDocument/2006/relationships/hyperlink" Target="http://aws.amazon.com/" TargetMode="External"/><Relationship Id="rId2865" Type="http://schemas.openxmlformats.org/officeDocument/2006/relationships/hyperlink" Target="https://ift.tt/3upKuAQ" TargetMode="External"/><Relationship Id="rId3709" Type="http://schemas.openxmlformats.org/officeDocument/2006/relationships/hyperlink" Target="https://www.arkinfosoft.com/" TargetMode="External"/><Relationship Id="rId3916" Type="http://schemas.openxmlformats.org/officeDocument/2006/relationships/hyperlink" Target="https://machinelearningflx.com/" TargetMode="External"/><Relationship Id="rId4080" Type="http://schemas.openxmlformats.org/officeDocument/2006/relationships/hyperlink" Target="https://bit.ly/37GohF7" TargetMode="External"/><Relationship Id="rId837" Type="http://schemas.openxmlformats.org/officeDocument/2006/relationships/hyperlink" Target="http://ecptonline.com/" TargetMode="External"/><Relationship Id="rId1467" Type="http://schemas.openxmlformats.org/officeDocument/2006/relationships/hyperlink" Target="https://pbs.twimg.com/media/Eu6mF9QXAAMS6mc.png" TargetMode="External"/><Relationship Id="rId1674" Type="http://schemas.openxmlformats.org/officeDocument/2006/relationships/hyperlink" Target="https://pbs.twimg.com/media/Eu6crYsXAAA3Nvb.jpg" TargetMode="External"/><Relationship Id="rId1881" Type="http://schemas.openxmlformats.org/officeDocument/2006/relationships/hyperlink" Target="https://pbs.twimg.com/media/Eu6TLOBWgAA0F0i.jpg" TargetMode="External"/><Relationship Id="rId2518" Type="http://schemas.openxmlformats.org/officeDocument/2006/relationships/hyperlink" Target="http://www.corizance.com/" TargetMode="External"/><Relationship Id="rId2725" Type="http://schemas.openxmlformats.org/officeDocument/2006/relationships/hyperlink" Target="https://bit.ly/3aITUj3" TargetMode="External"/><Relationship Id="rId2932" Type="http://schemas.openxmlformats.org/officeDocument/2006/relationships/hyperlink" Target="https://pbs.twimg.com/media/Eu5fpZ3XcAEaWl-.jpg" TargetMode="External"/><Relationship Id="rId904" Type="http://schemas.openxmlformats.org/officeDocument/2006/relationships/hyperlink" Target="https://www.youtube.com/juliensimonfr" TargetMode="External"/><Relationship Id="rId1327" Type="http://schemas.openxmlformats.org/officeDocument/2006/relationships/hyperlink" Target="https://bit.ly/2yjfLxa" TargetMode="External"/><Relationship Id="rId1534" Type="http://schemas.openxmlformats.org/officeDocument/2006/relationships/hyperlink" Target="http://www.marktechpost.com/" TargetMode="External"/><Relationship Id="rId1741" Type="http://schemas.openxmlformats.org/officeDocument/2006/relationships/hyperlink" Target="https://e.gv6.co/twfhXC" TargetMode="External"/><Relationship Id="rId33" Type="http://schemas.openxmlformats.org/officeDocument/2006/relationships/hyperlink" Target="http://www.la-forge.ai/" TargetMode="External"/><Relationship Id="rId1601" Type="http://schemas.openxmlformats.org/officeDocument/2006/relationships/hyperlink" Target="https://www.betterworld.bmnxt.com/artificial-intelligence/ai-tools-can-drive-big-efficiencies-in-oil-and-gas/" TargetMode="External"/><Relationship Id="rId3499" Type="http://schemas.openxmlformats.org/officeDocument/2006/relationships/hyperlink" Target="https://pbs.twimg.com/media/Eu44LU6WYAkkkHC.jpg" TargetMode="External"/><Relationship Id="rId3359" Type="http://schemas.openxmlformats.org/officeDocument/2006/relationships/hyperlink" Target="https://www.cretech.com/directory/company/propertyquants/press-release/seminar-what-you-need-to-know-to-successfully-lead-a-data-science-data-analytics-or-digital-transfor" TargetMode="External"/><Relationship Id="rId3566" Type="http://schemas.openxmlformats.org/officeDocument/2006/relationships/hyperlink" Target="https://pbs.twimg.com/media/Eu4zNbaUUAYGJWL.jpg" TargetMode="External"/><Relationship Id="rId487" Type="http://schemas.openxmlformats.org/officeDocument/2006/relationships/hyperlink" Target="https://pbs.twimg.com/media/Eu7Q9UBXAAgbd3v.png" TargetMode="External"/><Relationship Id="rId694" Type="http://schemas.openxmlformats.org/officeDocument/2006/relationships/hyperlink" Target="https://ailab.mti-vietnam.vn/blog/2021/02/22/aws-architecture-batch-processing-and-data-analytics/" TargetMode="External"/><Relationship Id="rId2168" Type="http://schemas.openxmlformats.org/officeDocument/2006/relationships/hyperlink" Target="http://pic.twitter.com/iJhA62v4Jw" TargetMode="External"/><Relationship Id="rId2375" Type="http://schemas.openxmlformats.org/officeDocument/2006/relationships/hyperlink" Target="https://www.eletimes.com/future-of-robotics-in-india-in-the-post-covid-era" TargetMode="External"/><Relationship Id="rId3219" Type="http://schemas.openxmlformats.org/officeDocument/2006/relationships/hyperlink" Target="https://pbs.twimg.com/media/Eu5PoT9WQAAvcpE.jpg" TargetMode="External"/><Relationship Id="rId3773" Type="http://schemas.openxmlformats.org/officeDocument/2006/relationships/hyperlink" Target="http://ipfconline.fr/contacts-eng.html" TargetMode="External"/><Relationship Id="rId3980" Type="http://schemas.openxmlformats.org/officeDocument/2006/relationships/hyperlink" Target="http://www.heliosantos.org/" TargetMode="External"/><Relationship Id="rId347" Type="http://schemas.openxmlformats.org/officeDocument/2006/relationships/hyperlink" Target="http://www.tipscuatropuntocero.com/" TargetMode="External"/><Relationship Id="rId1184" Type="http://schemas.openxmlformats.org/officeDocument/2006/relationships/hyperlink" Target="https://www.technologynetworks.com/cancer-research/news/exposing-hidden-tumors-with-near-infrared-imaging-and-machine-learning-345181" TargetMode="External"/><Relationship Id="rId2028" Type="http://schemas.openxmlformats.org/officeDocument/2006/relationships/hyperlink" Target="https://www.linkedin.com/in/juanfdezortega" TargetMode="External"/><Relationship Id="rId2582" Type="http://schemas.openxmlformats.org/officeDocument/2006/relationships/hyperlink" Target="https://ift.tt/2NvLHGg" TargetMode="External"/><Relationship Id="rId3426" Type="http://schemas.openxmlformats.org/officeDocument/2006/relationships/hyperlink" Target="http://demetrius.dev/" TargetMode="External"/><Relationship Id="rId3633" Type="http://schemas.openxmlformats.org/officeDocument/2006/relationships/hyperlink" Target="https://pbs.twimg.com/media/Eu4tUIjWQAYF6u9.jpg" TargetMode="External"/><Relationship Id="rId3840" Type="http://schemas.openxmlformats.org/officeDocument/2006/relationships/hyperlink" Target="http://neurons.ai/" TargetMode="External"/><Relationship Id="rId554" Type="http://schemas.openxmlformats.org/officeDocument/2006/relationships/hyperlink" Target="http://arxiv.org/abs/2101.03286v1" TargetMode="External"/><Relationship Id="rId761" Type="http://schemas.openxmlformats.org/officeDocument/2006/relationships/hyperlink" Target="http://www.youtube.com/c/CodingPerspective" TargetMode="External"/><Relationship Id="rId1391" Type="http://schemas.openxmlformats.org/officeDocument/2006/relationships/hyperlink" Target="http://pic.twitter.com/btbPjHT5fv" TargetMode="External"/><Relationship Id="rId2235" Type="http://schemas.openxmlformats.org/officeDocument/2006/relationships/hyperlink" Target="https://pbs.twimg.com/media/Eu6COIvVIAcre22.jpg" TargetMode="External"/><Relationship Id="rId2442" Type="http://schemas.openxmlformats.org/officeDocument/2006/relationships/hyperlink" Target="http://www.ukras.org/" TargetMode="External"/><Relationship Id="rId3700" Type="http://schemas.openxmlformats.org/officeDocument/2006/relationships/hyperlink" Target="http://ow.ly/6pKz30rx1ic" TargetMode="External"/><Relationship Id="rId207" Type="http://schemas.openxmlformats.org/officeDocument/2006/relationships/hyperlink" Target="https://liwaiwai.com/2021/02/24/early-bird-makes-training-ai-greener/" TargetMode="External"/><Relationship Id="rId414" Type="http://schemas.openxmlformats.org/officeDocument/2006/relationships/hyperlink" Target="http://alerttrade.us/" TargetMode="External"/><Relationship Id="rId621" Type="http://schemas.openxmlformats.org/officeDocument/2006/relationships/hyperlink" Target="https://pbs.twimg.com/media/Eu7LS4iXAAAsAOr.jpg" TargetMode="External"/><Relationship Id="rId1044" Type="http://schemas.openxmlformats.org/officeDocument/2006/relationships/hyperlink" Target="http://bit.ly/3dqDX2M" TargetMode="External"/><Relationship Id="rId1251" Type="http://schemas.openxmlformats.org/officeDocument/2006/relationships/hyperlink" Target="https://pbs.twimg.com/media/Eu6wYk1UUAA5st6.jpg" TargetMode="External"/><Relationship Id="rId2302" Type="http://schemas.openxmlformats.org/officeDocument/2006/relationships/hyperlink" Target="https://amzn.to/3kh19Sp" TargetMode="External"/><Relationship Id="rId1111" Type="http://schemas.openxmlformats.org/officeDocument/2006/relationships/hyperlink" Target="http://bennettdatascience.com/" TargetMode="External"/><Relationship Id="rId4267" Type="http://schemas.openxmlformats.org/officeDocument/2006/relationships/hyperlink" Target="https://www.datamation.com/artificial-intelligence/artificial-intelligence-use-cases/" TargetMode="External"/><Relationship Id="rId3076" Type="http://schemas.openxmlformats.org/officeDocument/2006/relationships/hyperlink" Target="http://www.corizance.com/" TargetMode="External"/><Relationship Id="rId3283" Type="http://schemas.openxmlformats.org/officeDocument/2006/relationships/hyperlink" Target="http://uk.linkedin.com/in/amitchampaneri" TargetMode="External"/><Relationship Id="rId3490" Type="http://schemas.openxmlformats.org/officeDocument/2006/relationships/hyperlink" Target="https://hbr.org/2021/02/when-should-you-use-ai-to-solve-problems" TargetMode="External"/><Relationship Id="rId4127" Type="http://schemas.openxmlformats.org/officeDocument/2006/relationships/hyperlink" Target="http://dailynews.teachtechu.com/?edition_id=2f861fa0-7573-11eb-ae29-002590a5ba2d" TargetMode="External"/><Relationship Id="rId1928" Type="http://schemas.openxmlformats.org/officeDocument/2006/relationships/hyperlink" Target="https://pbs.twimg.com/media/Esk-HokXIAAkIqH.jpg" TargetMode="External"/><Relationship Id="rId2092" Type="http://schemas.openxmlformats.org/officeDocument/2006/relationships/hyperlink" Target="http://www.corizance.com/" TargetMode="External"/><Relationship Id="rId3143" Type="http://schemas.openxmlformats.org/officeDocument/2006/relationships/hyperlink" Target="https://pbs.twimg.com/media/Eu5WfCnXcAE1UdM.jpg" TargetMode="External"/><Relationship Id="rId3350" Type="http://schemas.openxmlformats.org/officeDocument/2006/relationships/hyperlink" Target="https://exonomousid.com/" TargetMode="External"/><Relationship Id="rId271" Type="http://schemas.openxmlformats.org/officeDocument/2006/relationships/hyperlink" Target="http://www.marktechpost.com/" TargetMode="External"/><Relationship Id="rId3003" Type="http://schemas.openxmlformats.org/officeDocument/2006/relationships/hyperlink" Target="https://ift.tt/3qUC3eA" TargetMode="External"/><Relationship Id="rId131" Type="http://schemas.openxmlformats.org/officeDocument/2006/relationships/hyperlink" Target="https://aiml.events/" TargetMode="External"/><Relationship Id="rId3210" Type="http://schemas.openxmlformats.org/officeDocument/2006/relationships/hyperlink" Target="http://datastudies.co.in/" TargetMode="External"/><Relationship Id="rId2769" Type="http://schemas.openxmlformats.org/officeDocument/2006/relationships/hyperlink" Target="https://pbs.twimg.com/media/Eu5lWufXEAQBPLW.jpg" TargetMode="External"/><Relationship Id="rId2976" Type="http://schemas.openxmlformats.org/officeDocument/2006/relationships/hyperlink" Target="http://www.linkedin.com/in/bavirisetty" TargetMode="External"/><Relationship Id="rId948" Type="http://schemas.openxmlformats.org/officeDocument/2006/relationships/hyperlink" Target="http://pic.twitter.com/va2Teg6hqX" TargetMode="External"/><Relationship Id="rId1578" Type="http://schemas.openxmlformats.org/officeDocument/2006/relationships/hyperlink" Target="https://pbs.twimg.com/media/Eu6hacDU4AM1C2w.jpg" TargetMode="External"/><Relationship Id="rId1785" Type="http://schemas.openxmlformats.org/officeDocument/2006/relationships/hyperlink" Target="http://hello.creativemf.com/?edition_id=afa56cb0-75d5-11eb-9bb6-0cc47a0d1605" TargetMode="External"/><Relationship Id="rId1992" Type="http://schemas.openxmlformats.org/officeDocument/2006/relationships/hyperlink" Target="https://www.flexgigzz.com/globalupdates/lifestyles/how-to-become-a-freelance-artificial-intelligence-engineer/" TargetMode="External"/><Relationship Id="rId2629" Type="http://schemas.openxmlformats.org/officeDocument/2006/relationships/hyperlink" Target="http://www.linkedin.com/in/ErikKnol" TargetMode="External"/><Relationship Id="rId2836" Type="http://schemas.openxmlformats.org/officeDocument/2006/relationships/hyperlink" Target="http://pic.twitter.com/bzL6ZUhUAD" TargetMode="External"/><Relationship Id="rId4191" Type="http://schemas.openxmlformats.org/officeDocument/2006/relationships/hyperlink" Target="http://pic.twitter.com/RFPXErQ7aj" TargetMode="External"/><Relationship Id="rId77" Type="http://schemas.openxmlformats.org/officeDocument/2006/relationships/hyperlink" Target="https://aiplus.odsc.com/" TargetMode="External"/><Relationship Id="rId808" Type="http://schemas.openxmlformats.org/officeDocument/2006/relationships/hyperlink" Target="https://pbs.twimg.com/media/Eu7DUBcVEAAJzGN.jpg" TargetMode="External"/><Relationship Id="rId1438" Type="http://schemas.openxmlformats.org/officeDocument/2006/relationships/hyperlink" Target="http://www.lucient.com/" TargetMode="External"/><Relationship Id="rId1645" Type="http://schemas.openxmlformats.org/officeDocument/2006/relationships/hyperlink" Target="https://www.autoconnectedcar.com/2021/02/lucid-motors-goes-public-to-raise-for-casa-grande-factory/" TargetMode="External"/><Relationship Id="rId4051" Type="http://schemas.openxmlformats.org/officeDocument/2006/relationships/hyperlink" Target="https://www.etsy.com/shop/AdPositive" TargetMode="External"/><Relationship Id="rId1852" Type="http://schemas.openxmlformats.org/officeDocument/2006/relationships/hyperlink" Target="https://ecdc.europa.eu/" TargetMode="External"/><Relationship Id="rId2903" Type="http://schemas.openxmlformats.org/officeDocument/2006/relationships/hyperlink" Target="http://pic.twitter.com/UFp66kSme7" TargetMode="External"/><Relationship Id="rId1505" Type="http://schemas.openxmlformats.org/officeDocument/2006/relationships/hyperlink" Target="https://pbs.twimg.com/media/Eu6kxkJXAAIJFrn.jpg" TargetMode="External"/><Relationship Id="rId1712" Type="http://schemas.openxmlformats.org/officeDocument/2006/relationships/hyperlink" Target="https://pbs.twimg.com/media/Eu6bS1sUYAM7Zsf.jpg" TargetMode="External"/><Relationship Id="rId3677" Type="http://schemas.openxmlformats.org/officeDocument/2006/relationships/hyperlink" Target="http://www.diverseinai.org/" TargetMode="External"/><Relationship Id="rId3884" Type="http://schemas.openxmlformats.org/officeDocument/2006/relationships/hyperlink" Target="https://go.aws/2ZmwJVy" TargetMode="External"/><Relationship Id="rId598" Type="http://schemas.openxmlformats.org/officeDocument/2006/relationships/hyperlink" Target="https://pbs.twimg.com/media/EuhTI_CWYAIaltk.jpg" TargetMode="External"/><Relationship Id="rId2279" Type="http://schemas.openxmlformats.org/officeDocument/2006/relationships/hyperlink" Target="https://pbs.twimg.com/media/Eu59wrQVcAAxApS.jpg" TargetMode="External"/><Relationship Id="rId2486" Type="http://schemas.openxmlformats.org/officeDocument/2006/relationships/hyperlink" Target="http://savvydatacloudconsulting.com/" TargetMode="External"/><Relationship Id="rId2693" Type="http://schemas.openxmlformats.org/officeDocument/2006/relationships/hyperlink" Target="http://quantumanalytics.ch/" TargetMode="External"/><Relationship Id="rId3537" Type="http://schemas.openxmlformats.org/officeDocument/2006/relationships/hyperlink" Target="https://lnkd.in/gCbd_tn" TargetMode="External"/><Relationship Id="rId3744" Type="http://schemas.openxmlformats.org/officeDocument/2006/relationships/hyperlink" Target="http://bit.ly/3dCm3u4" TargetMode="External"/><Relationship Id="rId3951" Type="http://schemas.openxmlformats.org/officeDocument/2006/relationships/hyperlink" Target="https://www.itviconsultants.com/" TargetMode="External"/><Relationship Id="rId458" Type="http://schemas.openxmlformats.org/officeDocument/2006/relationships/hyperlink" Target="https://pbs.twimg.com/media/Eu7SFPHXIAIljlK.jpg" TargetMode="External"/><Relationship Id="rId665" Type="http://schemas.openxmlformats.org/officeDocument/2006/relationships/hyperlink" Target="http://www.godatpro.com/" TargetMode="External"/><Relationship Id="rId872" Type="http://schemas.openxmlformats.org/officeDocument/2006/relationships/hyperlink" Target="https://www.appcoll.com/" TargetMode="External"/><Relationship Id="rId1088" Type="http://schemas.openxmlformats.org/officeDocument/2006/relationships/hyperlink" Target="http://ow.ly/Ef8w50DHeCP" TargetMode="External"/><Relationship Id="rId1295" Type="http://schemas.openxmlformats.org/officeDocument/2006/relationships/hyperlink" Target="https://www.unite.ai/vr-helps-rehabilitate-individuals-with-motor-dysfunctions/" TargetMode="External"/><Relationship Id="rId2139" Type="http://schemas.openxmlformats.org/officeDocument/2006/relationships/hyperlink" Target="http://www.dice.com/" TargetMode="External"/><Relationship Id="rId2346" Type="http://schemas.openxmlformats.org/officeDocument/2006/relationships/hyperlink" Target="http://www.rovco.com/" TargetMode="External"/><Relationship Id="rId2553" Type="http://schemas.openxmlformats.org/officeDocument/2006/relationships/hyperlink" Target="https://ift.tt/2MiRE8Y" TargetMode="External"/><Relationship Id="rId2760" Type="http://schemas.openxmlformats.org/officeDocument/2006/relationships/hyperlink" Target="http://www.analyticsinsight.net/" TargetMode="External"/><Relationship Id="rId3604" Type="http://schemas.openxmlformats.org/officeDocument/2006/relationships/hyperlink" Target="https://techbytes.page/" TargetMode="External"/><Relationship Id="rId3811" Type="http://schemas.openxmlformats.org/officeDocument/2006/relationships/hyperlink" Target="http://dataprius.com/" TargetMode="External"/><Relationship Id="rId318" Type="http://schemas.openxmlformats.org/officeDocument/2006/relationships/hyperlink" Target="https://github.com/anilmshanbhag" TargetMode="External"/><Relationship Id="rId525" Type="http://schemas.openxmlformats.org/officeDocument/2006/relationships/hyperlink" Target="http://pic.twitter.com/xEHrN6nxW8" TargetMode="External"/><Relationship Id="rId732" Type="http://schemas.openxmlformats.org/officeDocument/2006/relationships/hyperlink" Target="https://pbs.twimg.com/media/Eu7Gl3FXIAUudVP.jpg" TargetMode="External"/><Relationship Id="rId1155" Type="http://schemas.openxmlformats.org/officeDocument/2006/relationships/hyperlink" Target="https://www.sabrepc.com/" TargetMode="External"/><Relationship Id="rId1362" Type="http://schemas.openxmlformats.org/officeDocument/2006/relationships/hyperlink" Target="https://deepai.org/publication/a-theory-of-label-propagation-for-subpopulation-shift" TargetMode="External"/><Relationship Id="rId2206" Type="http://schemas.openxmlformats.org/officeDocument/2006/relationships/hyperlink" Target="https://byp.ee/bgk2Sg" TargetMode="External"/><Relationship Id="rId2413" Type="http://schemas.openxmlformats.org/officeDocument/2006/relationships/hyperlink" Target="https://www.henryharvin.com/" TargetMode="External"/><Relationship Id="rId2620" Type="http://schemas.openxmlformats.org/officeDocument/2006/relationships/hyperlink" Target="https://dsf-kotaro.hatenablog.com/" TargetMode="External"/><Relationship Id="rId1015" Type="http://schemas.openxmlformats.org/officeDocument/2006/relationships/hyperlink" Target="https://dy.si/7ULSF" TargetMode="External"/><Relationship Id="rId1222" Type="http://schemas.openxmlformats.org/officeDocument/2006/relationships/hyperlink" Target="https://www.linkedin.com/in/davenisarg/" TargetMode="External"/><Relationship Id="rId3187" Type="http://schemas.openxmlformats.org/officeDocument/2006/relationships/hyperlink" Target="https://pbs.twimg.com/media/Eu5SYRPXUAApd5i.jpg" TargetMode="External"/><Relationship Id="rId3394" Type="http://schemas.openxmlformats.org/officeDocument/2006/relationships/hyperlink" Target="https://neurons.ai/blog/news-stories/feature-importance-in-machine-learning-models-by-zito-relova-feb-2021-towards-data-science/" TargetMode="External"/><Relationship Id="rId4238" Type="http://schemas.openxmlformats.org/officeDocument/2006/relationships/hyperlink" Target="http://bit.ly/3r2dOLu" TargetMode="External"/><Relationship Id="rId3047" Type="http://schemas.openxmlformats.org/officeDocument/2006/relationships/hyperlink" Target="https://techflx.com/product-category/books/" TargetMode="External"/><Relationship Id="rId175" Type="http://schemas.openxmlformats.org/officeDocument/2006/relationships/hyperlink" Target="https://statquest.org/video-index/" TargetMode="External"/><Relationship Id="rId3254" Type="http://schemas.openxmlformats.org/officeDocument/2006/relationships/hyperlink" Target="https://pbs.twimg.com/media/Eu5N2uJWQAElHJo.jpg" TargetMode="External"/><Relationship Id="rId3461" Type="http://schemas.openxmlformats.org/officeDocument/2006/relationships/hyperlink" Target="https://democraticrobots.substack.com/p/technological-navet-the-abyss-and" TargetMode="External"/><Relationship Id="rId382" Type="http://schemas.openxmlformats.org/officeDocument/2006/relationships/hyperlink" Target="http://www.awakenai.org/" TargetMode="External"/><Relationship Id="rId2063" Type="http://schemas.openxmlformats.org/officeDocument/2006/relationships/hyperlink" Target="https://twitter.com/MotorcycleTwitt" TargetMode="External"/><Relationship Id="rId2270" Type="http://schemas.openxmlformats.org/officeDocument/2006/relationships/hyperlink" Target="http://pic.twitter.com/6FwqgjEt21" TargetMode="External"/><Relationship Id="rId3114" Type="http://schemas.openxmlformats.org/officeDocument/2006/relationships/hyperlink" Target="https://bit.ly/3dDq5CG" TargetMode="External"/><Relationship Id="rId3321" Type="http://schemas.openxmlformats.org/officeDocument/2006/relationships/hyperlink" Target="http://bit.ly/2OrG8sD" TargetMode="External"/><Relationship Id="rId242" Type="http://schemas.openxmlformats.org/officeDocument/2006/relationships/hyperlink" Target="https://bit.ly/3aHPYPD" TargetMode="External"/><Relationship Id="rId2130" Type="http://schemas.openxmlformats.org/officeDocument/2006/relationships/hyperlink" Target="https://youtu.be/q_ohzm8OcQ0" TargetMode="External"/><Relationship Id="rId102" Type="http://schemas.openxmlformats.org/officeDocument/2006/relationships/hyperlink" Target="https://www.analyticsinsight.net/unravelling-transfer-learning-to-make-machines-more-advanced/" TargetMode="External"/><Relationship Id="rId1689" Type="http://schemas.openxmlformats.org/officeDocument/2006/relationships/hyperlink" Target="https://pbs.twimg.com/media/Eu6cFEaWYAMIMbY.png" TargetMode="External"/><Relationship Id="rId4095" Type="http://schemas.openxmlformats.org/officeDocument/2006/relationships/hyperlink" Target="http://www.domesticatedbrain.com/" TargetMode="External"/><Relationship Id="rId1896" Type="http://schemas.openxmlformats.org/officeDocument/2006/relationships/hyperlink" Target="http://bit.ly/N8pLrp" TargetMode="External"/><Relationship Id="rId2947" Type="http://schemas.openxmlformats.org/officeDocument/2006/relationships/hyperlink" Target="https://www.project-consult.de/impressum" TargetMode="External"/><Relationship Id="rId4162" Type="http://schemas.openxmlformats.org/officeDocument/2006/relationships/hyperlink" Target="http://dlvr.it/RtGd33" TargetMode="External"/><Relationship Id="rId919" Type="http://schemas.openxmlformats.org/officeDocument/2006/relationships/hyperlink" Target="https://paper.li/rwang0/1328150054?edition_id=db146290-75ec-11eb-9bb6-0cc47a0d1605" TargetMode="External"/><Relationship Id="rId1549" Type="http://schemas.openxmlformats.org/officeDocument/2006/relationships/hyperlink" Target="http://www.ai3sd.org/" TargetMode="External"/><Relationship Id="rId1756" Type="http://schemas.openxmlformats.org/officeDocument/2006/relationships/hyperlink" Target="https://pbs.twimg.com/media/Eu6aRaLVcAQWh4Q.jpg" TargetMode="External"/><Relationship Id="rId1963" Type="http://schemas.openxmlformats.org/officeDocument/2006/relationships/hyperlink" Target="https://africadataschool.com/" TargetMode="External"/><Relationship Id="rId2807" Type="http://schemas.openxmlformats.org/officeDocument/2006/relationships/hyperlink" Target="https://docs.google.com/forms/d/e/1FAIpQLSd3YL48BtAVFFjfyfiZggdGGCuWLxhPjfzPit4sJClb_eRmYg/viewform" TargetMode="External"/><Relationship Id="rId4022" Type="http://schemas.openxmlformats.org/officeDocument/2006/relationships/hyperlink" Target="https://techflx.com/product-category/books/" TargetMode="External"/><Relationship Id="rId48" Type="http://schemas.openxmlformats.org/officeDocument/2006/relationships/hyperlink" Target="http://datamining24.com/" TargetMode="External"/><Relationship Id="rId1409" Type="http://schemas.openxmlformats.org/officeDocument/2006/relationships/hyperlink" Target="https://pbs.twimg.com/media/Eu6o7FbXIAMJnvr.jpg" TargetMode="External"/><Relationship Id="rId1616" Type="http://schemas.openxmlformats.org/officeDocument/2006/relationships/hyperlink" Target="https://bit.ly/3cPBewH" TargetMode="External"/><Relationship Id="rId1823" Type="http://schemas.openxmlformats.org/officeDocument/2006/relationships/hyperlink" Target="http://www.qlucore.com/" TargetMode="External"/><Relationship Id="rId3788" Type="http://schemas.openxmlformats.org/officeDocument/2006/relationships/hyperlink" Target="https://www.reddit.com/r/MachineLearning/comments/kh2b81/d_simple_questions_thread_december_20_2020/" TargetMode="External"/><Relationship Id="rId3995" Type="http://schemas.openxmlformats.org/officeDocument/2006/relationships/hyperlink" Target="https://rubikscode.net/2021/02/03/25-ways-ai-machine-learning-helps-businesses/" TargetMode="External"/><Relationship Id="rId2597" Type="http://schemas.openxmlformats.org/officeDocument/2006/relationships/hyperlink" Target="https://www.wired.com/story/new-artificial-intelligence-mistakes-purpose-chess/" TargetMode="External"/><Relationship Id="rId3648" Type="http://schemas.openxmlformats.org/officeDocument/2006/relationships/hyperlink" Target="https://ca.linkedin.com/in/mikedewaal" TargetMode="External"/><Relationship Id="rId3855" Type="http://schemas.openxmlformats.org/officeDocument/2006/relationships/hyperlink" Target="https://pbs.twimg.com/media/Eu4VQyrXMAIRTAD.jpg" TargetMode="External"/><Relationship Id="rId569" Type="http://schemas.openxmlformats.org/officeDocument/2006/relationships/hyperlink" Target="https://programming-hero.com/" TargetMode="External"/><Relationship Id="rId776" Type="http://schemas.openxmlformats.org/officeDocument/2006/relationships/hyperlink" Target="http://www.garp.org/" TargetMode="External"/><Relationship Id="rId983" Type="http://schemas.openxmlformats.org/officeDocument/2006/relationships/hyperlink" Target="http://www.icloudseven.com/" TargetMode="External"/><Relationship Id="rId1199" Type="http://schemas.openxmlformats.org/officeDocument/2006/relationships/hyperlink" Target="http://phri.ca/" TargetMode="External"/><Relationship Id="rId2457" Type="http://schemas.openxmlformats.org/officeDocument/2006/relationships/hyperlink" Target="http://neurons.ai/" TargetMode="External"/><Relationship Id="rId2664" Type="http://schemas.openxmlformats.org/officeDocument/2006/relationships/hyperlink" Target="http://ipfconline.fr/contacts-eng.html" TargetMode="External"/><Relationship Id="rId3508" Type="http://schemas.openxmlformats.org/officeDocument/2006/relationships/hyperlink" Target="https://pbs.twimg.com/media/Eu43dlSVcAIA77F.jpg" TargetMode="External"/><Relationship Id="rId429" Type="http://schemas.openxmlformats.org/officeDocument/2006/relationships/hyperlink" Target="https://prathamprasoon.codes/a-list-of-the-tools-you-will-need-for-machine-learning-in-python" TargetMode="External"/><Relationship Id="rId636" Type="http://schemas.openxmlformats.org/officeDocument/2006/relationships/hyperlink" Target="https://pbs.twimg.com/media/Eu7KW9uXAAcAlb2.jpg" TargetMode="External"/><Relationship Id="rId1059" Type="http://schemas.openxmlformats.org/officeDocument/2006/relationships/hyperlink" Target="https://medium.com/@guidaautonoma" TargetMode="External"/><Relationship Id="rId1266" Type="http://schemas.openxmlformats.org/officeDocument/2006/relationships/hyperlink" Target="https://www.buymeacoffee.com/Yuganshjain" TargetMode="External"/><Relationship Id="rId1473" Type="http://schemas.openxmlformats.org/officeDocument/2006/relationships/hyperlink" Target="http://www.accelebrate.com/" TargetMode="External"/><Relationship Id="rId2317" Type="http://schemas.openxmlformats.org/officeDocument/2006/relationships/hyperlink" Target="https://bit.ly/37jmgOP" TargetMode="External"/><Relationship Id="rId2871" Type="http://schemas.openxmlformats.org/officeDocument/2006/relationships/hyperlink" Target="https://ift.tt/3dCq8yh" TargetMode="External"/><Relationship Id="rId3715" Type="http://schemas.openxmlformats.org/officeDocument/2006/relationships/hyperlink" Target="https://linktr.ee/kdmdelhincr" TargetMode="External"/><Relationship Id="rId3922" Type="http://schemas.openxmlformats.org/officeDocument/2006/relationships/hyperlink" Target="http://pic.twitter.com/VnYyivsXqa" TargetMode="External"/><Relationship Id="rId843" Type="http://schemas.openxmlformats.org/officeDocument/2006/relationships/hyperlink" Target="https://pbs.twimg.com/media/Eu7B0LcWYAEG5Wz.png" TargetMode="External"/><Relationship Id="rId1126" Type="http://schemas.openxmlformats.org/officeDocument/2006/relationships/hyperlink" Target="https://www.aineurocare.com/junaidkalia" TargetMode="External"/><Relationship Id="rId1680" Type="http://schemas.openxmlformats.org/officeDocument/2006/relationships/hyperlink" Target="https://pbs.twimg.com/media/Eu6cUXgXcAc3nEq.jpg" TargetMode="External"/><Relationship Id="rId2524" Type="http://schemas.openxmlformats.org/officeDocument/2006/relationships/hyperlink" Target="https://autome.me/" TargetMode="External"/><Relationship Id="rId2731" Type="http://schemas.openxmlformats.org/officeDocument/2006/relationships/hyperlink" Target="https://www.facebook.com/couponn" TargetMode="External"/><Relationship Id="rId703" Type="http://schemas.openxmlformats.org/officeDocument/2006/relationships/hyperlink" Target="https://rapidminer.com/" TargetMode="External"/><Relationship Id="rId910" Type="http://schemas.openxmlformats.org/officeDocument/2006/relationships/hyperlink" Target="http://www.orobix.com/" TargetMode="External"/><Relationship Id="rId1333" Type="http://schemas.openxmlformats.org/officeDocument/2006/relationships/hyperlink" Target="https://www.usu.edu/today/story/usu-biologist-uses-machine-learning-approach-to-track-disease-carrying-mosquitoes" TargetMode="External"/><Relationship Id="rId1540" Type="http://schemas.openxmlformats.org/officeDocument/2006/relationships/hyperlink" Target="https://www.techradar.com/news/new-nest-thermostat-is-googles-most-affordable-smart-home-heat-monitor-yet/" TargetMode="External"/><Relationship Id="rId1400" Type="http://schemas.openxmlformats.org/officeDocument/2006/relationships/hyperlink" Target="https://www.programmerweekly.com/" TargetMode="External"/><Relationship Id="rId3298" Type="http://schemas.openxmlformats.org/officeDocument/2006/relationships/hyperlink" Target="https://www.linkedin.com/in/santrainephil" TargetMode="External"/><Relationship Id="rId3158" Type="http://schemas.openxmlformats.org/officeDocument/2006/relationships/hyperlink" Target="http://www.eshgro.nl/" TargetMode="External"/><Relationship Id="rId3365" Type="http://schemas.openxmlformats.org/officeDocument/2006/relationships/hyperlink" Target="https://bit.ly/3bvYdNZ" TargetMode="External"/><Relationship Id="rId3572" Type="http://schemas.openxmlformats.org/officeDocument/2006/relationships/hyperlink" Target="https://www.midliferswebbusiness.com/" TargetMode="External"/><Relationship Id="rId4209" Type="http://schemas.openxmlformats.org/officeDocument/2006/relationships/hyperlink" Target="http://pic.twitter.com/RKKho4Xmql" TargetMode="External"/><Relationship Id="rId286" Type="http://schemas.openxmlformats.org/officeDocument/2006/relationships/hyperlink" Target="https://www.nytimes.com/2021/02/23/technology/ai-innovation-privacy-seniors-education.html" TargetMode="External"/><Relationship Id="rId493" Type="http://schemas.openxmlformats.org/officeDocument/2006/relationships/hyperlink" Target="https://dreampostt.blogspot.com/" TargetMode="External"/><Relationship Id="rId2174" Type="http://schemas.openxmlformats.org/officeDocument/2006/relationships/hyperlink" Target="https://pbs.twimg.com/media/Eu6FYlMVoAQ6YZW.jpg" TargetMode="External"/><Relationship Id="rId2381" Type="http://schemas.openxmlformats.org/officeDocument/2006/relationships/hyperlink" Target="https://youtu.be/DZVuIOVXcOQ" TargetMode="External"/><Relationship Id="rId3018" Type="http://schemas.openxmlformats.org/officeDocument/2006/relationships/hyperlink" Target="https://networks.imdea.org/whatsnew/events-agenda/on-three-research-problems/" TargetMode="External"/><Relationship Id="rId3225" Type="http://schemas.openxmlformats.org/officeDocument/2006/relationships/hyperlink" Target="https://www.youtube.com/channel/UCklYFlwYOxUPougzY1ck4uA?sub_confirmation=1" TargetMode="External"/><Relationship Id="rId3432" Type="http://schemas.openxmlformats.org/officeDocument/2006/relationships/hyperlink" Target="https://about.me/pawan.somanchi" TargetMode="External"/><Relationship Id="rId146" Type="http://schemas.openxmlformats.org/officeDocument/2006/relationships/hyperlink" Target="https://bit.ly/3uhkWWJ" TargetMode="External"/><Relationship Id="rId353" Type="http://schemas.openxmlformats.org/officeDocument/2006/relationships/hyperlink" Target="http://www.awakenai.org/" TargetMode="External"/><Relationship Id="rId560" Type="http://schemas.openxmlformats.org/officeDocument/2006/relationships/hyperlink" Target="https://link.medium.com/04L9w1Zw6db" TargetMode="External"/><Relationship Id="rId1190" Type="http://schemas.openxmlformats.org/officeDocument/2006/relationships/hyperlink" Target="https://pbs.twimg.com/media/Eu6zMfDUUAUL3Bb.jpg" TargetMode="External"/><Relationship Id="rId2034" Type="http://schemas.openxmlformats.org/officeDocument/2006/relationships/hyperlink" Target="http://pic.twitter.com/Dbv48l8hru" TargetMode="External"/><Relationship Id="rId2241" Type="http://schemas.openxmlformats.org/officeDocument/2006/relationships/hyperlink" Target="http://www.roboadvisor4u.io/" TargetMode="External"/><Relationship Id="rId213" Type="http://schemas.openxmlformats.org/officeDocument/2006/relationships/hyperlink" Target="https://www.nature.com/articles/s41467-021-21376-0" TargetMode="External"/><Relationship Id="rId420" Type="http://schemas.openxmlformats.org/officeDocument/2006/relationships/hyperlink" Target="https://pbs.twimg.com/media/Eu6fuznXEAg9nVJ.jpg" TargetMode="External"/><Relationship Id="rId1050" Type="http://schemas.openxmlformats.org/officeDocument/2006/relationships/hyperlink" Target="http://www.asuun.com/" TargetMode="External"/><Relationship Id="rId2101" Type="http://schemas.openxmlformats.org/officeDocument/2006/relationships/hyperlink" Target="https://jobhunt.ai/machinelearning-ml-ai-job-mw-Remote-Machine-Learning-Engineer-Resemble-AI-remotework.html" TargetMode="External"/><Relationship Id="rId4066" Type="http://schemas.openxmlformats.org/officeDocument/2006/relationships/hyperlink" Target="https://buff.ly/2Uuxj1l" TargetMode="External"/><Relationship Id="rId1867" Type="http://schemas.openxmlformats.org/officeDocument/2006/relationships/hyperlink" Target="http://www.growcode.com/" TargetMode="External"/><Relationship Id="rId2918" Type="http://schemas.openxmlformats.org/officeDocument/2006/relationships/hyperlink" Target="https://www.hgsdigital.com/" TargetMode="External"/><Relationship Id="rId4273" Type="http://schemas.openxmlformats.org/officeDocument/2006/relationships/hyperlink" Target="http://pic.twitter.com/c4N4ReA3st" TargetMode="External"/><Relationship Id="rId1727" Type="http://schemas.openxmlformats.org/officeDocument/2006/relationships/hyperlink" Target="https://machinecurve.com/" TargetMode="External"/><Relationship Id="rId1934" Type="http://schemas.openxmlformats.org/officeDocument/2006/relationships/hyperlink" Target="https://www.onelink.to/programminghero" TargetMode="External"/><Relationship Id="rId3082" Type="http://schemas.openxmlformats.org/officeDocument/2006/relationships/hyperlink" Target="https://bit.ly/2NQoSN8" TargetMode="External"/><Relationship Id="rId4133" Type="http://schemas.openxmlformats.org/officeDocument/2006/relationships/hyperlink" Target="https://www.instagram.com/p/CLnWyPJjDvZ/?utm_source=ig_web_copy_link" TargetMode="External"/><Relationship Id="rId19" Type="http://schemas.openxmlformats.org/officeDocument/2006/relationships/hyperlink" Target="http://ow.ly/WsL430ry4tR" TargetMode="External"/><Relationship Id="rId3899" Type="http://schemas.openxmlformats.org/officeDocument/2006/relationships/hyperlink" Target="https://paper.li/e-1513738567?edition_id=04a48af0-7583-11eb-9bb6-0cc47a0d1605" TargetMode="External"/><Relationship Id="rId4200" Type="http://schemas.openxmlformats.org/officeDocument/2006/relationships/hyperlink" Target="http://sph.berkeley.edu/" TargetMode="External"/><Relationship Id="rId3759" Type="http://schemas.openxmlformats.org/officeDocument/2006/relationships/hyperlink" Target="https://pbs.twimg.com/media/Eu4hLBOWgAA1Pk8.jpg" TargetMode="External"/><Relationship Id="rId3966" Type="http://schemas.openxmlformats.org/officeDocument/2006/relationships/hyperlink" Target="https://aviationbusinessconsultants.com/2021/02/ten-creepy-ai-tools-for-aviation-marketing/" TargetMode="External"/><Relationship Id="rId3" Type="http://schemas.openxmlformats.org/officeDocument/2006/relationships/hyperlink" Target="http://pic.twitter.com/Ow32hX3hyQ" TargetMode="External"/><Relationship Id="rId887" Type="http://schemas.openxmlformats.org/officeDocument/2006/relationships/hyperlink" Target="https://buff.ly/3qJqs2c" TargetMode="External"/><Relationship Id="rId2568" Type="http://schemas.openxmlformats.org/officeDocument/2006/relationships/hyperlink" Target="http://www.mindbreeze.com/" TargetMode="External"/><Relationship Id="rId2775" Type="http://schemas.openxmlformats.org/officeDocument/2006/relationships/hyperlink" Target="http://www.graphcore.ai/" TargetMode="External"/><Relationship Id="rId2982" Type="http://schemas.openxmlformats.org/officeDocument/2006/relationships/hyperlink" Target="https://pbs.twimg.com/media/Eu5dzDrXUAM7fv4.jpg" TargetMode="External"/><Relationship Id="rId3619" Type="http://schemas.openxmlformats.org/officeDocument/2006/relationships/hyperlink" Target="https://zpy.io/efb95532" TargetMode="External"/><Relationship Id="rId3826" Type="http://schemas.openxmlformats.org/officeDocument/2006/relationships/hyperlink" Target="https://www.linkedin.com/in/mmallari" TargetMode="External"/><Relationship Id="rId747" Type="http://schemas.openxmlformats.org/officeDocument/2006/relationships/hyperlink" Target="https://hubs.li/H0H3GFX0" TargetMode="External"/><Relationship Id="rId954" Type="http://schemas.openxmlformats.org/officeDocument/2006/relationships/hyperlink" Target="https://buff.ly/2CNPlW9" TargetMode="External"/><Relationship Id="rId1377" Type="http://schemas.openxmlformats.org/officeDocument/2006/relationships/hyperlink" Target="https://pbs.twimg.com/media/EtJWj3KW8AEgH_0.jpg" TargetMode="External"/><Relationship Id="rId1584" Type="http://schemas.openxmlformats.org/officeDocument/2006/relationships/hyperlink" Target="http://www.packtpub.com/" TargetMode="External"/><Relationship Id="rId1791" Type="http://schemas.openxmlformats.org/officeDocument/2006/relationships/hyperlink" Target="https://soulpageit.com/" TargetMode="External"/><Relationship Id="rId2428" Type="http://schemas.openxmlformats.org/officeDocument/2006/relationships/hyperlink" Target="https://twitter.com/smarthelioIOT/status/1364114656810332162" TargetMode="External"/><Relationship Id="rId2635" Type="http://schemas.openxmlformats.org/officeDocument/2006/relationships/hyperlink" Target="https://bit.ly/3unbeSH" TargetMode="External"/><Relationship Id="rId2842" Type="http://schemas.openxmlformats.org/officeDocument/2006/relationships/hyperlink" Target="https://twitter.com/Theslimevids/status/1350037134317477890" TargetMode="External"/><Relationship Id="rId83" Type="http://schemas.openxmlformats.org/officeDocument/2006/relationships/hyperlink" Target="https://pbs.twimg.com/media/Eu7g9g-XYAwFtxe.jpg" TargetMode="External"/><Relationship Id="rId607" Type="http://schemas.openxmlformats.org/officeDocument/2006/relationships/hyperlink" Target="http://ow.ly/9eyg50DHMZY" TargetMode="External"/><Relationship Id="rId814" Type="http://schemas.openxmlformats.org/officeDocument/2006/relationships/hyperlink" Target="https://blogs.technet.microsoft.com/techlazy" TargetMode="External"/><Relationship Id="rId1237" Type="http://schemas.openxmlformats.org/officeDocument/2006/relationships/hyperlink" Target="http://www.vicentegilpalop.com/" TargetMode="External"/><Relationship Id="rId1444" Type="http://schemas.openxmlformats.org/officeDocument/2006/relationships/hyperlink" Target="https://tcairem.utoronto.ca/" TargetMode="External"/><Relationship Id="rId1651" Type="http://schemas.openxmlformats.org/officeDocument/2006/relationships/hyperlink" Target="https://pbs.twimg.com/media/Eu6eJYBWQAgiPpZ.jpg" TargetMode="External"/><Relationship Id="rId2702" Type="http://schemas.openxmlformats.org/officeDocument/2006/relationships/hyperlink" Target="http://ow.ly/91vN50DHmxu" TargetMode="External"/><Relationship Id="rId1304" Type="http://schemas.openxmlformats.org/officeDocument/2006/relationships/hyperlink" Target="https://thesequence.substack.com/p/edge65?r=2g8vk&amp;utm_campaign=post&amp;utm_medium=web&amp;utm_source=copy" TargetMode="External"/><Relationship Id="rId1511" Type="http://schemas.openxmlformats.org/officeDocument/2006/relationships/hyperlink" Target="https://bit.ly/3usGhwy" TargetMode="External"/><Relationship Id="rId3269" Type="http://schemas.openxmlformats.org/officeDocument/2006/relationships/hyperlink" Target="https://pbs.twimg.com/media/Eu5NEsoVoAEqv2L.jpg" TargetMode="External"/><Relationship Id="rId3476" Type="http://schemas.openxmlformats.org/officeDocument/2006/relationships/hyperlink" Target="https://pbs.twimg.com/media/Euw-BBLXIAMa9fN.png" TargetMode="External"/><Relationship Id="rId3683" Type="http://schemas.openxmlformats.org/officeDocument/2006/relationships/hyperlink" Target="http://cognitivetoday.com/" TargetMode="External"/><Relationship Id="rId10" Type="http://schemas.openxmlformats.org/officeDocument/2006/relationships/hyperlink" Target="https://www.youtube.com/watch?v=2dCz3oL2rTw" TargetMode="External"/><Relationship Id="rId397" Type="http://schemas.openxmlformats.org/officeDocument/2006/relationships/hyperlink" Target="http://pic.twitter.com/9TMl2D7IpJ" TargetMode="External"/><Relationship Id="rId2078" Type="http://schemas.openxmlformats.org/officeDocument/2006/relationships/hyperlink" Target="https://liwaiwai.com/2021/02/10/advanced-materials-in-a-snap-machine-learning-could-lop-a-year-off-technology-design-cycle/" TargetMode="External"/><Relationship Id="rId2285" Type="http://schemas.openxmlformats.org/officeDocument/2006/relationships/hyperlink" Target="https://pbs.twimg.com/media/Eu5_6YXXIAALegF.jpg" TargetMode="External"/><Relationship Id="rId2492" Type="http://schemas.openxmlformats.org/officeDocument/2006/relationships/hyperlink" Target="https://www.youtube.com/channel/UChyDkl0l6W4VebsaKSW2sDw" TargetMode="External"/><Relationship Id="rId3129" Type="http://schemas.openxmlformats.org/officeDocument/2006/relationships/hyperlink" Target="https://pbs.twimg.com/media/Eu5WrWlXAAMLEil.jpg" TargetMode="External"/><Relationship Id="rId3336" Type="http://schemas.openxmlformats.org/officeDocument/2006/relationships/hyperlink" Target="https://bit.ly/399RTuv" TargetMode="External"/><Relationship Id="rId3890" Type="http://schemas.openxmlformats.org/officeDocument/2006/relationships/hyperlink" Target="http://www.marktechpost.com/" TargetMode="External"/><Relationship Id="rId257" Type="http://schemas.openxmlformats.org/officeDocument/2006/relationships/hyperlink" Target="http://dlvr.it/RtKXXb" TargetMode="External"/><Relationship Id="rId464" Type="http://schemas.openxmlformats.org/officeDocument/2006/relationships/hyperlink" Target="https://hbr.org/2021/02/how-midsize-companies-can-use-data-to-compete-with-digital-giants?utm_medium=email&amp;utm_source=newsletter_daily&amp;utm_campaign=dailyalert_notactsubs&amp;deliveryName=DM120222" TargetMode="External"/><Relationship Id="rId1094" Type="http://schemas.openxmlformats.org/officeDocument/2006/relationships/hyperlink" Target="http://cancerletter.com/articles/20210219_1/" TargetMode="External"/><Relationship Id="rId2145" Type="http://schemas.openxmlformats.org/officeDocument/2006/relationships/hyperlink" Target="http://www.vekia.fr/" TargetMode="External"/><Relationship Id="rId3543" Type="http://schemas.openxmlformats.org/officeDocument/2006/relationships/hyperlink" Target="https://teespring.com/stores/ai-apparel-3" TargetMode="External"/><Relationship Id="rId3750" Type="http://schemas.openxmlformats.org/officeDocument/2006/relationships/hyperlink" Target="https://github.community/t/community-ama-featuring-mike-mcquaid-2021-02-26-2pm-utc/157900?u=hipstersantos" TargetMode="External"/><Relationship Id="rId117" Type="http://schemas.openxmlformats.org/officeDocument/2006/relationships/hyperlink" Target="http://www.datascientists.fr/" TargetMode="External"/><Relationship Id="rId671" Type="http://schemas.openxmlformats.org/officeDocument/2006/relationships/hyperlink" Target="https://www.linkedin.com/in/itaiy/" TargetMode="External"/><Relationship Id="rId2352" Type="http://schemas.openxmlformats.org/officeDocument/2006/relationships/hyperlink" Target="https://buff.ly/3aKLFmB" TargetMode="External"/><Relationship Id="rId3403" Type="http://schemas.openxmlformats.org/officeDocument/2006/relationships/hyperlink" Target="https://pbs.twimg.com/media/Eu5B53IXEAAMMss.png" TargetMode="External"/><Relationship Id="rId3610" Type="http://schemas.openxmlformats.org/officeDocument/2006/relationships/hyperlink" Target="https://bigml.com/gallery/scripts" TargetMode="External"/><Relationship Id="rId324" Type="http://schemas.openxmlformats.org/officeDocument/2006/relationships/hyperlink" Target="https://www.eventbrite.co.uk/e/the-ai-and-data-science-clinic-a-free-workshop-for-decision-makers-tickets-138758206531?aff=ebdsoporgprofile" TargetMode="External"/><Relationship Id="rId531" Type="http://schemas.openxmlformats.org/officeDocument/2006/relationships/hyperlink" Target="https://bit.ly/2NQTiiD" TargetMode="External"/><Relationship Id="rId1161" Type="http://schemas.openxmlformats.org/officeDocument/2006/relationships/hyperlink" Target="https://bit.ly/3pHN01L" TargetMode="External"/><Relationship Id="rId2005" Type="http://schemas.openxmlformats.org/officeDocument/2006/relationships/hyperlink" Target="http://scn.sap.com/community/high-tech" TargetMode="External"/><Relationship Id="rId2212" Type="http://schemas.openxmlformats.org/officeDocument/2006/relationships/hyperlink" Target="http://ipfconline.fr/contacts-eng.html" TargetMode="External"/><Relationship Id="rId1021" Type="http://schemas.openxmlformats.org/officeDocument/2006/relationships/hyperlink" Target="https://pbs.twimg.com/media/Eu66Cv5XYAUEN-W.jpg" TargetMode="External"/><Relationship Id="rId1978" Type="http://schemas.openxmlformats.org/officeDocument/2006/relationships/hyperlink" Target="http://essentials.news/future-of-ai" TargetMode="External"/><Relationship Id="rId4177" Type="http://schemas.openxmlformats.org/officeDocument/2006/relationships/hyperlink" Target="http://pic.twitter.com/LolnhDInaT" TargetMode="External"/><Relationship Id="rId3193" Type="http://schemas.openxmlformats.org/officeDocument/2006/relationships/hyperlink" Target="https://edition.cnn.com/2021/02/16/world/vein-hands-identify-intl-scli-scn/index.html" TargetMode="External"/><Relationship Id="rId4037" Type="http://schemas.openxmlformats.org/officeDocument/2006/relationships/hyperlink" Target="https://ml.auckland.ac.nz/machine-learning-seminar-of-dr-kin-lung-chan-what-machine-learning-cant-learn-2/" TargetMode="External"/><Relationship Id="rId4244" Type="http://schemas.openxmlformats.org/officeDocument/2006/relationships/hyperlink" Target="http://pic.twitter.com/xzRIwb2Lfx" TargetMode="External"/><Relationship Id="rId1838" Type="http://schemas.openxmlformats.org/officeDocument/2006/relationships/hyperlink" Target="https://superdigital.agency/" TargetMode="External"/><Relationship Id="rId3053" Type="http://schemas.openxmlformats.org/officeDocument/2006/relationships/hyperlink" Target="https://bit.ly/3ulyKzm" TargetMode="External"/><Relationship Id="rId3260" Type="http://schemas.openxmlformats.org/officeDocument/2006/relationships/hyperlink" Target="http://www.qavalley.com/" TargetMode="External"/><Relationship Id="rId4104" Type="http://schemas.openxmlformats.org/officeDocument/2006/relationships/hyperlink" Target="https://pub.towardsai.net/tensorflow-accelerate-numpy-with-gpus-964e9087fdab?source=rss----98111c9905da---4?source=social.tw" TargetMode="External"/><Relationship Id="rId181" Type="http://schemas.openxmlformats.org/officeDocument/2006/relationships/hyperlink" Target="http://dataseer.digital/" TargetMode="External"/><Relationship Id="rId1905" Type="http://schemas.openxmlformats.org/officeDocument/2006/relationships/hyperlink" Target="https://twitter.com/miya_drawing/status/1360522183529754627" TargetMode="External"/><Relationship Id="rId3120" Type="http://schemas.openxmlformats.org/officeDocument/2006/relationships/hyperlink" Target="https://pbs.twimg.com/media/Eu5W4OLVkAAPHGV.jpg" TargetMode="External"/><Relationship Id="rId998" Type="http://schemas.openxmlformats.org/officeDocument/2006/relationships/hyperlink" Target="https://www.thecoderworld.com/everything-you-need-to-know-about-computer-vision/" TargetMode="External"/><Relationship Id="rId2679" Type="http://schemas.openxmlformats.org/officeDocument/2006/relationships/hyperlink" Target="https://bloggingguide.org/" TargetMode="External"/><Relationship Id="rId2886" Type="http://schemas.openxmlformats.org/officeDocument/2006/relationships/hyperlink" Target="http://www.velmie.com/" TargetMode="External"/><Relationship Id="rId3937" Type="http://schemas.openxmlformats.org/officeDocument/2006/relationships/hyperlink" Target="https://hashnode.com/" TargetMode="External"/><Relationship Id="rId858" Type="http://schemas.openxmlformats.org/officeDocument/2006/relationships/hyperlink" Target="https://bit.ly/3keHbrw" TargetMode="External"/><Relationship Id="rId1488" Type="http://schemas.openxmlformats.org/officeDocument/2006/relationships/hyperlink" Target="http://www.traderslog.com/" TargetMode="External"/><Relationship Id="rId1695" Type="http://schemas.openxmlformats.org/officeDocument/2006/relationships/hyperlink" Target="https://pbs.twimg.com/media/Eu6b-jgUYAsP0sX.jpg" TargetMode="External"/><Relationship Id="rId2539" Type="http://schemas.openxmlformats.org/officeDocument/2006/relationships/hyperlink" Target="https://www.linkedin.com/in/pinakilaskar/" TargetMode="External"/><Relationship Id="rId2746" Type="http://schemas.openxmlformats.org/officeDocument/2006/relationships/hyperlink" Target="http://cxportal.com/" TargetMode="External"/><Relationship Id="rId2953" Type="http://schemas.openxmlformats.org/officeDocument/2006/relationships/hyperlink" Target="http://essentials.news/future-of-hacking" TargetMode="External"/><Relationship Id="rId718" Type="http://schemas.openxmlformats.org/officeDocument/2006/relationships/hyperlink" Target="http://www.studentsuccessdata.com/" TargetMode="External"/><Relationship Id="rId925" Type="http://schemas.openxmlformats.org/officeDocument/2006/relationships/hyperlink" Target="https://medium.com/ai-in-plain-english/visualising-data-part-2-6fc80a802299" TargetMode="External"/><Relationship Id="rId1348" Type="http://schemas.openxmlformats.org/officeDocument/2006/relationships/hyperlink" Target="https://www.linkedin.com/company/alexandernetworks" TargetMode="External"/><Relationship Id="rId1555" Type="http://schemas.openxmlformats.org/officeDocument/2006/relationships/hyperlink" Target="http://mlwhiz.com/" TargetMode="External"/><Relationship Id="rId1762" Type="http://schemas.openxmlformats.org/officeDocument/2006/relationships/hyperlink" Target="https://ift.tt/3bm69RG" TargetMode="External"/><Relationship Id="rId2606" Type="http://schemas.openxmlformats.org/officeDocument/2006/relationships/hyperlink" Target="https://pbs.twimg.com/media/Eu5vakiVEAgDcD5.jpg" TargetMode="External"/><Relationship Id="rId1208" Type="http://schemas.openxmlformats.org/officeDocument/2006/relationships/hyperlink" Target="https://pbs.twimg.com/media/Eu6v8dRUUAsJ-nE.jpg" TargetMode="External"/><Relationship Id="rId1415" Type="http://schemas.openxmlformats.org/officeDocument/2006/relationships/hyperlink" Target="http://ipfconline.fr/contacts-eng.html" TargetMode="External"/><Relationship Id="rId2813" Type="http://schemas.openxmlformats.org/officeDocument/2006/relationships/hyperlink" Target="http://www.secureredact.co.uk/" TargetMode="External"/><Relationship Id="rId54" Type="http://schemas.openxmlformats.org/officeDocument/2006/relationships/hyperlink" Target="https://bit.ly/3umvaVA" TargetMode="External"/><Relationship Id="rId1622" Type="http://schemas.openxmlformats.org/officeDocument/2006/relationships/hyperlink" Target="https://h3tech.dev/" TargetMode="External"/><Relationship Id="rId2189" Type="http://schemas.openxmlformats.org/officeDocument/2006/relationships/hyperlink" Target="https://bit.ly/HMLE-Presentations" TargetMode="External"/><Relationship Id="rId3587" Type="http://schemas.openxmlformats.org/officeDocument/2006/relationships/hyperlink" Target="https://pbs.twimg.com/media/Eu4xRjPVgAAzZ_c.jpg" TargetMode="External"/><Relationship Id="rId3794" Type="http://schemas.openxmlformats.org/officeDocument/2006/relationships/hyperlink" Target="https://www.fiverr.com/razu95/professional-modern-minimalist-logo-design-24-hrs" TargetMode="External"/><Relationship Id="rId2396" Type="http://schemas.openxmlformats.org/officeDocument/2006/relationships/hyperlink" Target="http://bit.ly/2NSYnqo" TargetMode="External"/><Relationship Id="rId3447" Type="http://schemas.openxmlformats.org/officeDocument/2006/relationships/hyperlink" Target="http://teksands.ai/" TargetMode="External"/><Relationship Id="rId3654" Type="http://schemas.openxmlformats.org/officeDocument/2006/relationships/hyperlink" Target="http://www.linkcxo.com/" TargetMode="External"/><Relationship Id="rId3861" Type="http://schemas.openxmlformats.org/officeDocument/2006/relationships/hyperlink" Target="https://www.facebook.com/retailnz/" TargetMode="External"/><Relationship Id="rId368" Type="http://schemas.openxmlformats.org/officeDocument/2006/relationships/hyperlink" Target="https://pbs.twimg.com/media/EtU5qjAWYAMDELN.png" TargetMode="External"/><Relationship Id="rId575" Type="http://schemas.openxmlformats.org/officeDocument/2006/relationships/hyperlink" Target="https://pbs.twimg.com/media/Eu7M3ixWQAE55mq.jpg" TargetMode="External"/><Relationship Id="rId782" Type="http://schemas.openxmlformats.org/officeDocument/2006/relationships/hyperlink" Target="https://bit.ly/2NPey8g" TargetMode="External"/><Relationship Id="rId2049" Type="http://schemas.openxmlformats.org/officeDocument/2006/relationships/hyperlink" Target="https://pbs.twimg.com/media/Eu6MzsBVIAM95mQ.jpg" TargetMode="External"/><Relationship Id="rId2256" Type="http://schemas.openxmlformats.org/officeDocument/2006/relationships/hyperlink" Target="https://www.linkedin.com/in/thomasharrer/" TargetMode="External"/><Relationship Id="rId2463" Type="http://schemas.openxmlformats.org/officeDocument/2006/relationships/hyperlink" Target="https://pbs.twimg.com/media/Eu52_CzXUAEB2Zw.jpg" TargetMode="External"/><Relationship Id="rId2670" Type="http://schemas.openxmlformats.org/officeDocument/2006/relationships/hyperlink" Target="https://www.forbes.com/sites/christinemoorman/2020/02/04/smart-marketing-how-corporate-marketers-deploy-ai/?sh=2f777fda3383" TargetMode="External"/><Relationship Id="rId3307" Type="http://schemas.openxmlformats.org/officeDocument/2006/relationships/hyperlink" Target="https://www.intelrealsense.com/using-tensorflow-with-depth/" TargetMode="External"/><Relationship Id="rId3514" Type="http://schemas.openxmlformats.org/officeDocument/2006/relationships/hyperlink" Target="https://www.bacancytechnology.com/" TargetMode="External"/><Relationship Id="rId3721" Type="http://schemas.openxmlformats.org/officeDocument/2006/relationships/hyperlink" Target="https://analyticsindiamag.com/" TargetMode="External"/><Relationship Id="rId228" Type="http://schemas.openxmlformats.org/officeDocument/2006/relationships/hyperlink" Target="https://www.h2o.ai/" TargetMode="External"/><Relationship Id="rId435" Type="http://schemas.openxmlformats.org/officeDocument/2006/relationships/hyperlink" Target="https://pbs.twimg.com/media/Eu7STevWYAktiWB.jpg" TargetMode="External"/><Relationship Id="rId642" Type="http://schemas.openxmlformats.org/officeDocument/2006/relationships/hyperlink" Target="https://dy.si/GXLH2" TargetMode="External"/><Relationship Id="rId1065" Type="http://schemas.openxmlformats.org/officeDocument/2006/relationships/hyperlink" Target="http://www.linkedin.com/in/jamesg2006" TargetMode="External"/><Relationship Id="rId1272" Type="http://schemas.openxmlformats.org/officeDocument/2006/relationships/hyperlink" Target="http://ow.ly/YEho30ry3e7" TargetMode="External"/><Relationship Id="rId2116" Type="http://schemas.openxmlformats.org/officeDocument/2006/relationships/hyperlink" Target="https://pbs.twimg.com/media/Eu6IcnDXMAY2BPM.jpg" TargetMode="External"/><Relationship Id="rId2323" Type="http://schemas.openxmlformats.org/officeDocument/2006/relationships/hyperlink" Target="http://pic.twitter.com/MpNDno8xLL" TargetMode="External"/><Relationship Id="rId2530" Type="http://schemas.openxmlformats.org/officeDocument/2006/relationships/hyperlink" Target="https://pbs.twimg.com/media/Eu5ySL2WgAEq8QH.jpg" TargetMode="External"/><Relationship Id="rId502" Type="http://schemas.openxmlformats.org/officeDocument/2006/relationships/hyperlink" Target="http://www.globalbigdataconference.com/santa-clara/global-artificial-intelligence-virtual-bootcamp/s" TargetMode="External"/><Relationship Id="rId1132" Type="http://schemas.openxmlformats.org/officeDocument/2006/relationships/hyperlink" Target="https://dy.si/qH92K" TargetMode="External"/><Relationship Id="rId3097" Type="http://schemas.openxmlformats.org/officeDocument/2006/relationships/hyperlink" Target="https://bit.ly/3pLcDyS" TargetMode="External"/><Relationship Id="rId4148" Type="http://schemas.openxmlformats.org/officeDocument/2006/relationships/hyperlink" Target="https://pbs.twimg.com/media/Eu32bP-XYAILoZ4.jpg" TargetMode="External"/><Relationship Id="rId1949" Type="http://schemas.openxmlformats.org/officeDocument/2006/relationships/hyperlink" Target="http://about.me/paulhector" TargetMode="External"/><Relationship Id="rId3164" Type="http://schemas.openxmlformats.org/officeDocument/2006/relationships/hyperlink" Target="https://neurons.ai/blog/news-stories/oracle-launches-construction-ai-advisor-for-its-cloud-services/" TargetMode="External"/><Relationship Id="rId4008" Type="http://schemas.openxmlformats.org/officeDocument/2006/relationships/hyperlink" Target="https://bit.ly/3hKsk6k" TargetMode="External"/><Relationship Id="rId292" Type="http://schemas.openxmlformats.org/officeDocument/2006/relationships/hyperlink" Target="https://www.information-age.com/training-machine-learning-models-future-ready-123493865/" TargetMode="External"/><Relationship Id="rId1809" Type="http://schemas.openxmlformats.org/officeDocument/2006/relationships/hyperlink" Target="http://www.fiverr.com/topgallery" TargetMode="External"/><Relationship Id="rId3371" Type="http://schemas.openxmlformats.org/officeDocument/2006/relationships/hyperlink" Target="https://pbs.twimg.com/media/Eu5EWhDWQAEuCi_.jpg" TargetMode="External"/><Relationship Id="rId4215" Type="http://schemas.openxmlformats.org/officeDocument/2006/relationships/hyperlink" Target="http://www.la-forge.ai/" TargetMode="External"/><Relationship Id="rId2180" Type="http://schemas.openxmlformats.org/officeDocument/2006/relationships/hyperlink" Target="https://blog.onesaitplatform.com/" TargetMode="External"/><Relationship Id="rId3024" Type="http://schemas.openxmlformats.org/officeDocument/2006/relationships/hyperlink" Target="https://pbs.twimg.com/media/Eu5cNgXXIAAGOAj.jpg" TargetMode="External"/><Relationship Id="rId3231" Type="http://schemas.openxmlformats.org/officeDocument/2006/relationships/hyperlink" Target="https://github.com/cair/TsetlinMachine" TargetMode="External"/><Relationship Id="rId152" Type="http://schemas.openxmlformats.org/officeDocument/2006/relationships/hyperlink" Target="https://pbs.twimg.com/media/Eu7edKDXEAEFsXS.jpg" TargetMode="External"/><Relationship Id="rId2040" Type="http://schemas.openxmlformats.org/officeDocument/2006/relationships/hyperlink" Target="https://pbs.twimg.com/media/Eu4jdNAXUAQm1do.jpg" TargetMode="External"/><Relationship Id="rId2997" Type="http://schemas.openxmlformats.org/officeDocument/2006/relationships/hyperlink" Target="http://www.awakenai.org/" TargetMode="External"/><Relationship Id="rId969" Type="http://schemas.openxmlformats.org/officeDocument/2006/relationships/hyperlink" Target="https://pbs.twimg.com/media/Eu5mcsnVcAMibx4.jpg" TargetMode="External"/><Relationship Id="rId1599" Type="http://schemas.openxmlformats.org/officeDocument/2006/relationships/hyperlink" Target="https://zpy.io/b25d1e4e" TargetMode="External"/><Relationship Id="rId1459" Type="http://schemas.openxmlformats.org/officeDocument/2006/relationships/hyperlink" Target="https://www.journeyhero.net/technology/" TargetMode="External"/><Relationship Id="rId2857" Type="http://schemas.openxmlformats.org/officeDocument/2006/relationships/hyperlink" Target="http://pic.twitter.com/WxM4AjOHg4" TargetMode="External"/><Relationship Id="rId3908" Type="http://schemas.openxmlformats.org/officeDocument/2006/relationships/hyperlink" Target="http://www.corizance.com/" TargetMode="External"/><Relationship Id="rId4072" Type="http://schemas.openxmlformats.org/officeDocument/2006/relationships/hyperlink" Target="https://pbs.twimg.com/media/Eu3-mlPUYAMivfg.jpg" TargetMode="External"/><Relationship Id="rId98" Type="http://schemas.openxmlformats.org/officeDocument/2006/relationships/hyperlink" Target="http://essentials.news/future-of-ai" TargetMode="External"/><Relationship Id="rId829" Type="http://schemas.openxmlformats.org/officeDocument/2006/relationships/hyperlink" Target="https://neurons.ai/blog/news-stories/machine-learning-model-analysis-using-tensorboard/" TargetMode="External"/><Relationship Id="rId1666" Type="http://schemas.openxmlformats.org/officeDocument/2006/relationships/hyperlink" Target="https://deepai.org/research" TargetMode="External"/><Relationship Id="rId1873" Type="http://schemas.openxmlformats.org/officeDocument/2006/relationships/hyperlink" Target="https://zcu.io/T03Y" TargetMode="External"/><Relationship Id="rId2717" Type="http://schemas.openxmlformats.org/officeDocument/2006/relationships/hyperlink" Target="http://www.desfufor.es/" TargetMode="External"/><Relationship Id="rId2924" Type="http://schemas.openxmlformats.org/officeDocument/2006/relationships/hyperlink" Target="https://pbs.twimg.com/media/Eu5f6VJUUAA8Zrs.jpg" TargetMode="External"/><Relationship Id="rId1319" Type="http://schemas.openxmlformats.org/officeDocument/2006/relationships/hyperlink" Target="https://www.dqindia.com/women-in-data-science-changing-the-rules-of-the-game/" TargetMode="External"/><Relationship Id="rId1526" Type="http://schemas.openxmlformats.org/officeDocument/2006/relationships/hyperlink" Target="https://pbs.twimg.com/media/Eu6jZlnWYAAV70T.jpg" TargetMode="External"/><Relationship Id="rId1733" Type="http://schemas.openxmlformats.org/officeDocument/2006/relationships/hyperlink" Target="http://www.linkedin.com/in/haroldsinnott/" TargetMode="External"/><Relationship Id="rId1940" Type="http://schemas.openxmlformats.org/officeDocument/2006/relationships/hyperlink" Target="http://www.awsugsp.com/" TargetMode="External"/><Relationship Id="rId25" Type="http://schemas.openxmlformats.org/officeDocument/2006/relationships/hyperlink" Target="http://asgard-data.com/" TargetMode="External"/><Relationship Id="rId1800" Type="http://schemas.openxmlformats.org/officeDocument/2006/relationships/hyperlink" Target="https://techgdpr.com/" TargetMode="External"/><Relationship Id="rId3698" Type="http://schemas.openxmlformats.org/officeDocument/2006/relationships/hyperlink" Target="https://pbs.twimg.com/media/Eu4mdh8WQAM2Wm1.jpg" TargetMode="External"/><Relationship Id="rId3558" Type="http://schemas.openxmlformats.org/officeDocument/2006/relationships/hyperlink" Target="https://vonage.dev/3pDA1OQ" TargetMode="External"/><Relationship Id="rId3765" Type="http://schemas.openxmlformats.org/officeDocument/2006/relationships/hyperlink" Target="https://pbs.twimg.com/media/Eu4gdsIXMAY0wns.jpg" TargetMode="External"/><Relationship Id="rId3972" Type="http://schemas.openxmlformats.org/officeDocument/2006/relationships/hyperlink" Target="https://pbs.twimg.com/media/Eu4H-5tXYAQrDxb.jpg" TargetMode="External"/><Relationship Id="rId479" Type="http://schemas.openxmlformats.org/officeDocument/2006/relationships/hyperlink" Target="https://twitter.com/GARP_Risk/status/1364243835916865545" TargetMode="External"/><Relationship Id="rId686" Type="http://schemas.openxmlformats.org/officeDocument/2006/relationships/hyperlink" Target="https://pbs.twimg.com/media/Eu7IeJDXAAIoR31.jpg" TargetMode="External"/><Relationship Id="rId893" Type="http://schemas.openxmlformats.org/officeDocument/2006/relationships/hyperlink" Target="https://bit.ly/3aLaQ8I" TargetMode="External"/><Relationship Id="rId2367" Type="http://schemas.openxmlformats.org/officeDocument/2006/relationships/hyperlink" Target="https://pbs.twimg.com/media/Eu58QvoXAAITLiw.jpg" TargetMode="External"/><Relationship Id="rId2574" Type="http://schemas.openxmlformats.org/officeDocument/2006/relationships/hyperlink" Target="https://lnkd.in/gayU7f4" TargetMode="External"/><Relationship Id="rId2781" Type="http://schemas.openxmlformats.org/officeDocument/2006/relationships/hyperlink" Target="https://techrando.com/2019/08/14/a-brief-introduction-to-change-point-detection-using-python/" TargetMode="External"/><Relationship Id="rId3418" Type="http://schemas.openxmlformats.org/officeDocument/2006/relationships/hyperlink" Target="https://pbs.twimg.com/media/Eu5AP61VkAQZcFi.jpg" TargetMode="External"/><Relationship Id="rId3625" Type="http://schemas.openxmlformats.org/officeDocument/2006/relationships/hyperlink" Target="https://neurons.ai/blog/news-stories/hurry-this-13-inch-macbook-pro-is-100-off-at-amazon/" TargetMode="External"/><Relationship Id="rId339" Type="http://schemas.openxmlformats.org/officeDocument/2006/relationships/hyperlink" Target="https://flip.it/OMSXl1" TargetMode="External"/><Relationship Id="rId546" Type="http://schemas.openxmlformats.org/officeDocument/2006/relationships/hyperlink" Target="http://www.datamovesme.com/" TargetMode="External"/><Relationship Id="rId753" Type="http://schemas.openxmlformats.org/officeDocument/2006/relationships/hyperlink" Target="https://medium.com/analytics-vidhya/how-big-tech-use-machine-learning-446d2d3bf686" TargetMode="External"/><Relationship Id="rId1176" Type="http://schemas.openxmlformats.org/officeDocument/2006/relationships/hyperlink" Target="https://bit.ly/2P3NjYj" TargetMode="External"/><Relationship Id="rId1383" Type="http://schemas.openxmlformats.org/officeDocument/2006/relationships/hyperlink" Target="https://pbs.twimg.com/media/Eu6plh5VIAUCUZZ.jpg" TargetMode="External"/><Relationship Id="rId2227" Type="http://schemas.openxmlformats.org/officeDocument/2006/relationships/hyperlink" Target="https://pbs.twimg.com/media/Eu6BdKWWYAATkhk.jpg" TargetMode="External"/><Relationship Id="rId2434" Type="http://schemas.openxmlformats.org/officeDocument/2006/relationships/hyperlink" Target="http://groundlimo.com/" TargetMode="External"/><Relationship Id="rId3832" Type="http://schemas.openxmlformats.org/officeDocument/2006/relationships/hyperlink" Target="https://enetwork.ai/" TargetMode="External"/><Relationship Id="rId406" Type="http://schemas.openxmlformats.org/officeDocument/2006/relationships/hyperlink" Target="https://www.linkedin.com/pub/william-ramarques/25/175/1a0" TargetMode="External"/><Relationship Id="rId960" Type="http://schemas.openxmlformats.org/officeDocument/2006/relationships/hyperlink" Target="https://buff.ly/3qJMJwO" TargetMode="External"/><Relationship Id="rId1036" Type="http://schemas.openxmlformats.org/officeDocument/2006/relationships/hyperlink" Target="https://www.itviconsultants.com/" TargetMode="External"/><Relationship Id="rId1243" Type="http://schemas.openxmlformats.org/officeDocument/2006/relationships/hyperlink" Target="https://siliconcanals.com/crowdfunding/noise-cancelling-app-krisp-raises-7-4m/" TargetMode="External"/><Relationship Id="rId1590" Type="http://schemas.openxmlformats.org/officeDocument/2006/relationships/hyperlink" Target="https://dy.si/H1TPn" TargetMode="External"/><Relationship Id="rId2641" Type="http://schemas.openxmlformats.org/officeDocument/2006/relationships/hyperlink" Target="http://technative.io/" TargetMode="External"/><Relationship Id="rId613" Type="http://schemas.openxmlformats.org/officeDocument/2006/relationships/hyperlink" Target="http://www.datamlconsultancy.nl/" TargetMode="External"/><Relationship Id="rId820" Type="http://schemas.openxmlformats.org/officeDocument/2006/relationships/hyperlink" Target="http://www.artiba.org/" TargetMode="External"/><Relationship Id="rId1450" Type="http://schemas.openxmlformats.org/officeDocument/2006/relationships/hyperlink" Target="https://pbs.twimg.com/media/EqLcSTDW8AQe1pY.jpg" TargetMode="External"/><Relationship Id="rId2501" Type="http://schemas.openxmlformats.org/officeDocument/2006/relationships/hyperlink" Target="https://www.alvascience.com/" TargetMode="External"/><Relationship Id="rId1103" Type="http://schemas.openxmlformats.org/officeDocument/2006/relationships/hyperlink" Target="https://go.aws/2KChqEb" TargetMode="External"/><Relationship Id="rId1310" Type="http://schemas.openxmlformats.org/officeDocument/2006/relationships/hyperlink" Target="https://pbs.twimg.com/media/Eu6s0gIUYAUikIG.jpg" TargetMode="External"/><Relationship Id="rId4259" Type="http://schemas.openxmlformats.org/officeDocument/2006/relationships/hyperlink" Target="https://teespring.com/stores/ai-apparel-3" TargetMode="External"/><Relationship Id="rId3068" Type="http://schemas.openxmlformats.org/officeDocument/2006/relationships/hyperlink" Target="https://pbs.twimg.com/media/Eu5Z7ibXcAMZ8J6.jpg" TargetMode="External"/><Relationship Id="rId3275" Type="http://schemas.openxmlformats.org/officeDocument/2006/relationships/hyperlink" Target="http://dragonweaver.net/" TargetMode="External"/><Relationship Id="rId3482" Type="http://schemas.openxmlformats.org/officeDocument/2006/relationships/hyperlink" Target="http://www.margarisventures.com/" TargetMode="External"/><Relationship Id="rId4119" Type="http://schemas.openxmlformats.org/officeDocument/2006/relationships/hyperlink" Target="https://lnkd.in/eJNcMrc" TargetMode="External"/><Relationship Id="rId196" Type="http://schemas.openxmlformats.org/officeDocument/2006/relationships/hyperlink" Target="http://www.la-forge.ai/" TargetMode="External"/><Relationship Id="rId2084" Type="http://schemas.openxmlformats.org/officeDocument/2006/relationships/hyperlink" Target="https://pbs.twimg.com/media/Eu6KKjjXMAECO0q.jpg" TargetMode="External"/><Relationship Id="rId2291" Type="http://schemas.openxmlformats.org/officeDocument/2006/relationships/hyperlink" Target="http://www.teldat.com/" TargetMode="External"/><Relationship Id="rId3135" Type="http://schemas.openxmlformats.org/officeDocument/2006/relationships/hyperlink" Target="https://pbs.twimg.com/media/Eu5Wh10XYAA9AdG.jpg" TargetMode="External"/><Relationship Id="rId3342" Type="http://schemas.openxmlformats.org/officeDocument/2006/relationships/hyperlink" Target="https://pbs.twimg.com/media/Eu5IlefWQAIymeA.jpg" TargetMode="External"/><Relationship Id="rId263" Type="http://schemas.openxmlformats.org/officeDocument/2006/relationships/hyperlink" Target="https://pbs.twimg.com/media/Eu7ZaiKWgAAXrfq.png" TargetMode="External"/><Relationship Id="rId470" Type="http://schemas.openxmlformats.org/officeDocument/2006/relationships/hyperlink" Target="https://pbs.twimg.com/media/Eu7RsLTXcAY6Ddi.jpg" TargetMode="External"/><Relationship Id="rId2151" Type="http://schemas.openxmlformats.org/officeDocument/2006/relationships/hyperlink" Target="https://www.bluepiit.com/" TargetMode="External"/><Relationship Id="rId3202" Type="http://schemas.openxmlformats.org/officeDocument/2006/relationships/hyperlink" Target="http://aditics.com/" TargetMode="External"/><Relationship Id="rId123" Type="http://schemas.openxmlformats.org/officeDocument/2006/relationships/hyperlink" Target="https://bit.ly/3aKMvA1" TargetMode="External"/><Relationship Id="rId330" Type="http://schemas.openxmlformats.org/officeDocument/2006/relationships/hyperlink" Target="https://github.com/anilmshanbhag" TargetMode="External"/><Relationship Id="rId2011" Type="http://schemas.openxmlformats.org/officeDocument/2006/relationships/hyperlink" Target="http://bit.ly/3pxilVr" TargetMode="External"/><Relationship Id="rId2968" Type="http://schemas.openxmlformats.org/officeDocument/2006/relationships/hyperlink" Target="https://bit.ly/3keCZId" TargetMode="External"/><Relationship Id="rId4183" Type="http://schemas.openxmlformats.org/officeDocument/2006/relationships/hyperlink" Target="https://www.reddit.com/r/MachineLearning/comments/lozys9/p_i_made_communities_a_library_of_clustering/" TargetMode="External"/><Relationship Id="rId1777" Type="http://schemas.openxmlformats.org/officeDocument/2006/relationships/hyperlink" Target="https://superdigital.agency/" TargetMode="External"/><Relationship Id="rId1984" Type="http://schemas.openxmlformats.org/officeDocument/2006/relationships/hyperlink" Target="https://pbs.twimg.com/media/Eu6PiwgVoAY1vit.jpg" TargetMode="External"/><Relationship Id="rId2828" Type="http://schemas.openxmlformats.org/officeDocument/2006/relationships/hyperlink" Target="https://twitter.com/Theslimevids/status/1343186907056861184" TargetMode="External"/><Relationship Id="rId69" Type="http://schemas.openxmlformats.org/officeDocument/2006/relationships/hyperlink" Target="https://hubs.ly/H0GS6z20" TargetMode="External"/><Relationship Id="rId1637" Type="http://schemas.openxmlformats.org/officeDocument/2006/relationships/hyperlink" Target="https://cricheal.com/" TargetMode="External"/><Relationship Id="rId1844" Type="http://schemas.openxmlformats.org/officeDocument/2006/relationships/hyperlink" Target="https://linktr.ee/livewithscientists" TargetMode="External"/><Relationship Id="rId4043" Type="http://schemas.openxmlformats.org/officeDocument/2006/relationships/hyperlink" Target="https://towardsai.net/p" TargetMode="External"/><Relationship Id="rId4250" Type="http://schemas.openxmlformats.org/officeDocument/2006/relationships/hyperlink" Target="http://pic.twitter.com/roSN1kAJPX" TargetMode="External"/><Relationship Id="rId1704" Type="http://schemas.openxmlformats.org/officeDocument/2006/relationships/hyperlink" Target="https://pbs.twimg.com/media/Eu6bgp7WYAANqey.jpg" TargetMode="External"/><Relationship Id="rId4110" Type="http://schemas.openxmlformats.org/officeDocument/2006/relationships/hyperlink" Target="https://paper.li/rwang0/1518398166?edition_id=0f752150-7575-11eb-ae29-002590a5ba2d" TargetMode="External"/><Relationship Id="rId1911" Type="http://schemas.openxmlformats.org/officeDocument/2006/relationships/hyperlink" Target="http://www.datascientists.fr/" TargetMode="External"/><Relationship Id="rId3669" Type="http://schemas.openxmlformats.org/officeDocument/2006/relationships/hyperlink" Target="http://www.classcat.com/" TargetMode="External"/><Relationship Id="rId797" Type="http://schemas.openxmlformats.org/officeDocument/2006/relationships/hyperlink" Target="https://ift.tt/3uro0iU" TargetMode="External"/><Relationship Id="rId2478" Type="http://schemas.openxmlformats.org/officeDocument/2006/relationships/hyperlink" Target="https://www.linkedin.com/in/dr-salahideen-alhaj-1551b812/" TargetMode="External"/><Relationship Id="rId3876" Type="http://schemas.openxmlformats.org/officeDocument/2006/relationships/hyperlink" Target="http://www.blackwomeninai.com/" TargetMode="External"/><Relationship Id="rId1287" Type="http://schemas.openxmlformats.org/officeDocument/2006/relationships/hyperlink" Target="https://neurons.ai/blog/news-stories/t-cell-screening-test-launched-to-detect-prior-covid-infections/" TargetMode="External"/><Relationship Id="rId2685" Type="http://schemas.openxmlformats.org/officeDocument/2006/relationships/hyperlink" Target="https://goo.gl/3TFrjv" TargetMode="External"/><Relationship Id="rId2892" Type="http://schemas.openxmlformats.org/officeDocument/2006/relationships/hyperlink" Target="https://buff.ly/3dDnUyX" TargetMode="External"/><Relationship Id="rId3529" Type="http://schemas.openxmlformats.org/officeDocument/2006/relationships/hyperlink" Target="http://about.me/paulhector" TargetMode="External"/><Relationship Id="rId3736" Type="http://schemas.openxmlformats.org/officeDocument/2006/relationships/hyperlink" Target="https://github.com/HipsterSantos" TargetMode="External"/><Relationship Id="rId3943" Type="http://schemas.openxmlformats.org/officeDocument/2006/relationships/hyperlink" Target="http://www.jadirectives.com/" TargetMode="External"/><Relationship Id="rId657" Type="http://schemas.openxmlformats.org/officeDocument/2006/relationships/hyperlink" Target="https://atg-abhishek.github.io/" TargetMode="External"/><Relationship Id="rId864" Type="http://schemas.openxmlformats.org/officeDocument/2006/relationships/hyperlink" Target="https://buff.ly/3pL2S3H" TargetMode="External"/><Relationship Id="rId1494" Type="http://schemas.openxmlformats.org/officeDocument/2006/relationships/hyperlink" Target="https://pbs.twimg.com/media/Eu6lceDXYAEVwo1.jpg" TargetMode="External"/><Relationship Id="rId2338" Type="http://schemas.openxmlformats.org/officeDocument/2006/relationships/hyperlink" Target="https://contribute.towardsai.net/" TargetMode="External"/><Relationship Id="rId2545" Type="http://schemas.openxmlformats.org/officeDocument/2006/relationships/hyperlink" Target="https://towardsdatascience.com/10-best-free-websites-to-learn-more-about-data-science-and-machine-learning-f2c6d7387b8d" TargetMode="External"/><Relationship Id="rId2752" Type="http://schemas.openxmlformats.org/officeDocument/2006/relationships/hyperlink" Target="https://google.smh.re/1tA" TargetMode="External"/><Relationship Id="rId3803" Type="http://schemas.openxmlformats.org/officeDocument/2006/relationships/hyperlink" Target="http://www.thatneedle.com/" TargetMode="External"/><Relationship Id="rId517" Type="http://schemas.openxmlformats.org/officeDocument/2006/relationships/hyperlink" Target="http://www.linkedin.com/in/christianmcmahon" TargetMode="External"/><Relationship Id="rId724" Type="http://schemas.openxmlformats.org/officeDocument/2006/relationships/hyperlink" Target="https://pbs.twimg.com/media/Eu6qRemWQAgH_kX.jpg" TargetMode="External"/><Relationship Id="rId931" Type="http://schemas.openxmlformats.org/officeDocument/2006/relationships/hyperlink" Target="https://www.youtube.com/watch?v=-rkZG_i4S2g" TargetMode="External"/><Relationship Id="rId1147" Type="http://schemas.openxmlformats.org/officeDocument/2006/relationships/hyperlink" Target="https://pbs.twimg.com/media/Eu60v21VIAMOYo4.png" TargetMode="External"/><Relationship Id="rId1354" Type="http://schemas.openxmlformats.org/officeDocument/2006/relationships/hyperlink" Target="https://www.nytimes.com/2021/02/23/technology/ai-innovation-privacy-seniors-education.html" TargetMode="External"/><Relationship Id="rId1561" Type="http://schemas.openxmlformats.org/officeDocument/2006/relationships/hyperlink" Target="https://pbs.twimg.com/media/Eu6iDh_VoAEiL0c.jpg" TargetMode="External"/><Relationship Id="rId2405" Type="http://schemas.openxmlformats.org/officeDocument/2006/relationships/hyperlink" Target="http://ipfconline.fr/contacts-eng.html" TargetMode="External"/><Relationship Id="rId2612" Type="http://schemas.openxmlformats.org/officeDocument/2006/relationships/hyperlink" Target="https://www.theallyance.one/" TargetMode="External"/><Relationship Id="rId60" Type="http://schemas.openxmlformats.org/officeDocument/2006/relationships/hyperlink" Target="http://www.arshadaman.tech/" TargetMode="External"/><Relationship Id="rId1007" Type="http://schemas.openxmlformats.org/officeDocument/2006/relationships/hyperlink" Target="https://ai4bd.com/" TargetMode="External"/><Relationship Id="rId1214" Type="http://schemas.openxmlformats.org/officeDocument/2006/relationships/hyperlink" Target="https://www.reddit.com/r/MachineLearning/comments/lqh9br/d_a_good_title_is_all_you_need/" TargetMode="External"/><Relationship Id="rId1421" Type="http://schemas.openxmlformats.org/officeDocument/2006/relationships/hyperlink" Target="http://www.jasonmpittman.com/" TargetMode="External"/><Relationship Id="rId3179" Type="http://schemas.openxmlformats.org/officeDocument/2006/relationships/hyperlink" Target="http://pic.twitter.com/4fOFTrZNB7" TargetMode="External"/><Relationship Id="rId3386" Type="http://schemas.openxmlformats.org/officeDocument/2006/relationships/hyperlink" Target="https://ai.plainenglish.io/" TargetMode="External"/><Relationship Id="rId3593" Type="http://schemas.openxmlformats.org/officeDocument/2006/relationships/hyperlink" Target="https://www.panorays.com/" TargetMode="External"/><Relationship Id="rId2195" Type="http://schemas.openxmlformats.org/officeDocument/2006/relationships/hyperlink" Target="https://www.kdnuggets.com/2021/02/feature-store-foundation-machine-learning.html" TargetMode="External"/><Relationship Id="rId3039" Type="http://schemas.openxmlformats.org/officeDocument/2006/relationships/hyperlink" Target="https://pbs.twimg.com/media/Eu5bEyLVkAExCl6.jpg" TargetMode="External"/><Relationship Id="rId3246" Type="http://schemas.openxmlformats.org/officeDocument/2006/relationships/hyperlink" Target="http://pic.twitter.com/YHpsY4FtFo" TargetMode="External"/><Relationship Id="rId3453" Type="http://schemas.openxmlformats.org/officeDocument/2006/relationships/hyperlink" Target="http://www.margarisventures.com/" TargetMode="External"/><Relationship Id="rId167" Type="http://schemas.openxmlformats.org/officeDocument/2006/relationships/hyperlink" Target="https://bit.ly/3qNtTor" TargetMode="External"/><Relationship Id="rId374" Type="http://schemas.openxmlformats.org/officeDocument/2006/relationships/hyperlink" Target="https://paper.li/enREDo?edition_id=1e1cf4a0-75fa-11eb-ae29-002590a5ba2d" TargetMode="External"/><Relationship Id="rId581" Type="http://schemas.openxmlformats.org/officeDocument/2006/relationships/hyperlink" Target="https://pbs.twimg.com/media/Eu7M0twXMAIdqec.png" TargetMode="External"/><Relationship Id="rId2055" Type="http://schemas.openxmlformats.org/officeDocument/2006/relationships/hyperlink" Target="https://www.mdpi.com/2072-4292/12/15/2355/htm" TargetMode="External"/><Relationship Id="rId2262" Type="http://schemas.openxmlformats.org/officeDocument/2006/relationships/hyperlink" Target="http://viso.ai/" TargetMode="External"/><Relationship Id="rId3106" Type="http://schemas.openxmlformats.org/officeDocument/2006/relationships/hyperlink" Target="https://recodeminds.com/blog/why-artificial-intelligence-and-machine-learning-are-important-for-autonomous-enterprises" TargetMode="External"/><Relationship Id="rId3660" Type="http://schemas.openxmlformats.org/officeDocument/2006/relationships/hyperlink" Target="http://pic.twitter.com/OTa3niJjLW" TargetMode="External"/><Relationship Id="rId234" Type="http://schemas.openxmlformats.org/officeDocument/2006/relationships/hyperlink" Target="https://pbs.twimg.com/media/Eu7aUK9XAAMRPiD.jpg" TargetMode="External"/><Relationship Id="rId3313" Type="http://schemas.openxmlformats.org/officeDocument/2006/relationships/hyperlink" Target="http://aithority.com/" TargetMode="External"/><Relationship Id="rId3520" Type="http://schemas.openxmlformats.org/officeDocument/2006/relationships/hyperlink" Target="http://www.ps9-conseil.com/" TargetMode="External"/><Relationship Id="rId441" Type="http://schemas.openxmlformats.org/officeDocument/2006/relationships/hyperlink" Target="https://paullopez.ai/" TargetMode="External"/><Relationship Id="rId1071" Type="http://schemas.openxmlformats.org/officeDocument/2006/relationships/hyperlink" Target="https://pbs.twimg.com/media/Eu634MhWQAE2QM8.jpg" TargetMode="External"/><Relationship Id="rId2122" Type="http://schemas.openxmlformats.org/officeDocument/2006/relationships/hyperlink" Target="https://academic.oup.com/nargab/article/2/3/lqaa061/5901065" TargetMode="External"/><Relationship Id="rId301" Type="http://schemas.openxmlformats.org/officeDocument/2006/relationships/hyperlink" Target="https://pbs.twimg.com/media/Eu5etQmXMAEK-GU.jpg" TargetMode="External"/><Relationship Id="rId1888" Type="http://schemas.openxmlformats.org/officeDocument/2006/relationships/hyperlink" Target="https://machinelearningflx.com/" TargetMode="External"/><Relationship Id="rId2939" Type="http://schemas.openxmlformats.org/officeDocument/2006/relationships/hyperlink" Target="http://www.jumpingbean.co.za/" TargetMode="External"/><Relationship Id="rId4087" Type="http://schemas.openxmlformats.org/officeDocument/2006/relationships/hyperlink" Target="https://pbs.twimg.com/media/Eu2ZwGbUYAMvyiA.jpg" TargetMode="External"/><Relationship Id="rId1748" Type="http://schemas.openxmlformats.org/officeDocument/2006/relationships/hyperlink" Target="https://www.researchgate.net/publication/349179679_On_Clustering_Categories_of_Categorical_Predictors_in_Generalized_Linear_Models" TargetMode="External"/><Relationship Id="rId4154" Type="http://schemas.openxmlformats.org/officeDocument/2006/relationships/hyperlink" Target="http://rsna.org/ai" TargetMode="External"/><Relationship Id="rId1955" Type="http://schemas.openxmlformats.org/officeDocument/2006/relationships/hyperlink" Target="http://www.segmentive.ai/" TargetMode="External"/><Relationship Id="rId3170" Type="http://schemas.openxmlformats.org/officeDocument/2006/relationships/hyperlink" Target="http://neurons.ai/" TargetMode="External"/><Relationship Id="rId4014" Type="http://schemas.openxmlformats.org/officeDocument/2006/relationships/hyperlink" Target="https://loom.ly/SrJNeJk" TargetMode="External"/><Relationship Id="rId4221" Type="http://schemas.openxmlformats.org/officeDocument/2006/relationships/hyperlink" Target="https://youtu.be/XOCW9kkTn8U" TargetMode="External"/><Relationship Id="rId1608" Type="http://schemas.openxmlformats.org/officeDocument/2006/relationships/hyperlink" Target="http://social.cn1699.com/" TargetMode="External"/><Relationship Id="rId1815" Type="http://schemas.openxmlformats.org/officeDocument/2006/relationships/hyperlink" Target="https://citadeladvantage.blogspot.com/" TargetMode="External"/><Relationship Id="rId3030" Type="http://schemas.openxmlformats.org/officeDocument/2006/relationships/hyperlink" Target="https://aws.amazon.com/events/aws-innovate/machine-learning/online/emea/" TargetMode="External"/><Relationship Id="rId3987" Type="http://schemas.openxmlformats.org/officeDocument/2006/relationships/hyperlink" Target="https://pbs.twimg.com/media/Eu4GJrfXAAIyDpd.jpg" TargetMode="External"/><Relationship Id="rId2589" Type="http://schemas.openxmlformats.org/officeDocument/2006/relationships/hyperlink" Target="http://www.hhi.fraunhofer.de/" TargetMode="External"/><Relationship Id="rId2796" Type="http://schemas.openxmlformats.org/officeDocument/2006/relationships/hyperlink" Target="https://twitter.com/Theslimevids/status/1340643653585260544" TargetMode="External"/><Relationship Id="rId3847" Type="http://schemas.openxmlformats.org/officeDocument/2006/relationships/hyperlink" Target="https://bit.ly/2ZELN0T" TargetMode="External"/><Relationship Id="rId768" Type="http://schemas.openxmlformats.org/officeDocument/2006/relationships/hyperlink" Target="http://ow.ly/GSXq50DtfVS" TargetMode="External"/><Relationship Id="rId975" Type="http://schemas.openxmlformats.org/officeDocument/2006/relationships/hyperlink" Target="https://www.ienupm.com/pdd/machine-learning-y-su-impacto-en-la-economia/" TargetMode="External"/><Relationship Id="rId1398" Type="http://schemas.openxmlformats.org/officeDocument/2006/relationships/hyperlink" Target="https://buff.ly/3rmRcFx" TargetMode="External"/><Relationship Id="rId2449" Type="http://schemas.openxmlformats.org/officeDocument/2006/relationships/hyperlink" Target="https://cloudofboobs.com/" TargetMode="External"/><Relationship Id="rId2656" Type="http://schemas.openxmlformats.org/officeDocument/2006/relationships/hyperlink" Target="https://go.aws/3dBq1mQ" TargetMode="External"/><Relationship Id="rId2863" Type="http://schemas.openxmlformats.org/officeDocument/2006/relationships/hyperlink" Target="https://ift.tt/3aItT3j" TargetMode="External"/><Relationship Id="rId3707" Type="http://schemas.openxmlformats.org/officeDocument/2006/relationships/hyperlink" Target="https://nareshit.com/" TargetMode="External"/><Relationship Id="rId3914" Type="http://schemas.openxmlformats.org/officeDocument/2006/relationships/hyperlink" Target="https://pbs.twimg.com/media/Eu4PAwmVEAkcUtJ.jpg" TargetMode="External"/><Relationship Id="rId628" Type="http://schemas.openxmlformats.org/officeDocument/2006/relationships/hyperlink" Target="http://punkpos.com/" TargetMode="External"/><Relationship Id="rId835" Type="http://schemas.openxmlformats.org/officeDocument/2006/relationships/hyperlink" Target="http://neurons.ai/" TargetMode="External"/><Relationship Id="rId1258" Type="http://schemas.openxmlformats.org/officeDocument/2006/relationships/hyperlink" Target="https://www.hindustantimes.com/ht-school/ai-and-robots-now-and-future-of-tech-101614063835866.html" TargetMode="External"/><Relationship Id="rId1465" Type="http://schemas.openxmlformats.org/officeDocument/2006/relationships/hyperlink" Target="http://www.talentminded.ca/" TargetMode="External"/><Relationship Id="rId1672" Type="http://schemas.openxmlformats.org/officeDocument/2006/relationships/hyperlink" Target="https://brianthomas.me/" TargetMode="External"/><Relationship Id="rId2309" Type="http://schemas.openxmlformats.org/officeDocument/2006/relationships/hyperlink" Target="http://www.fisheyebox.com/" TargetMode="External"/><Relationship Id="rId2516" Type="http://schemas.openxmlformats.org/officeDocument/2006/relationships/hyperlink" Target="https://pbs.twimg.com/media/Eu5y3k7VcAYTQ39.jpg" TargetMode="External"/><Relationship Id="rId2723" Type="http://schemas.openxmlformats.org/officeDocument/2006/relationships/hyperlink" Target="https://pbs.twimg.com/media/Eu5nfdjXIAAzfUq.jpg" TargetMode="External"/><Relationship Id="rId1118" Type="http://schemas.openxmlformats.org/officeDocument/2006/relationships/hyperlink" Target="http://rsna.org/ai" TargetMode="External"/><Relationship Id="rId1325" Type="http://schemas.openxmlformats.org/officeDocument/2006/relationships/hyperlink" Target="https://youtu.be/o5EG_ztzW1w" TargetMode="External"/><Relationship Id="rId1532" Type="http://schemas.openxmlformats.org/officeDocument/2006/relationships/hyperlink" Target="http://zetane.com/" TargetMode="External"/><Relationship Id="rId2930" Type="http://schemas.openxmlformats.org/officeDocument/2006/relationships/hyperlink" Target="http://www.bewgle.com/" TargetMode="External"/><Relationship Id="rId902" Type="http://schemas.openxmlformats.org/officeDocument/2006/relationships/hyperlink" Target="http://www.eustan.com/" TargetMode="External"/><Relationship Id="rId3497" Type="http://schemas.openxmlformats.org/officeDocument/2006/relationships/hyperlink" Target="http://smartrin.com/" TargetMode="External"/><Relationship Id="rId31" Type="http://schemas.openxmlformats.org/officeDocument/2006/relationships/hyperlink" Target="https://www.datasciencecentral.com/profiles/blogs/the-internet-of-things-data-science-and-big-data" TargetMode="External"/><Relationship Id="rId2099" Type="http://schemas.openxmlformats.org/officeDocument/2006/relationships/hyperlink" Target="https://pbs.twimg.com/media/Eu6IxhyVoAYwqIm.jpg" TargetMode="External"/><Relationship Id="rId278" Type="http://schemas.openxmlformats.org/officeDocument/2006/relationships/hyperlink" Target="https://bit.ly/3keBIRr" TargetMode="External"/><Relationship Id="rId3357" Type="http://schemas.openxmlformats.org/officeDocument/2006/relationships/hyperlink" Target="https://pbs.twimg.com/media/Eu5Fv3pVEAIaczq.jpg" TargetMode="External"/><Relationship Id="rId3564" Type="http://schemas.openxmlformats.org/officeDocument/2006/relationships/hyperlink" Target="https://zpy.io/8e6bfc24" TargetMode="External"/><Relationship Id="rId3771" Type="http://schemas.openxmlformats.org/officeDocument/2006/relationships/hyperlink" Target="https://www.forbes.com/sites/esri/2021/01/22/the-new-analyst-the-rise-of-location-in-advanced-analytics" TargetMode="External"/><Relationship Id="rId485" Type="http://schemas.openxmlformats.org/officeDocument/2006/relationships/hyperlink" Target="http://www.datamonsters.com/" TargetMode="External"/><Relationship Id="rId692" Type="http://schemas.openxmlformats.org/officeDocument/2006/relationships/hyperlink" Target="https://buff.ly/3bBEn46" TargetMode="External"/><Relationship Id="rId2166" Type="http://schemas.openxmlformats.org/officeDocument/2006/relationships/hyperlink" Target="https://minutearticle.com/" TargetMode="External"/><Relationship Id="rId2373" Type="http://schemas.openxmlformats.org/officeDocument/2006/relationships/hyperlink" Target="http://polkadot24.com/" TargetMode="External"/><Relationship Id="rId2580" Type="http://schemas.openxmlformats.org/officeDocument/2006/relationships/hyperlink" Target="http://pic.twitter.com/0l1BM4AGwX" TargetMode="External"/><Relationship Id="rId3217" Type="http://schemas.openxmlformats.org/officeDocument/2006/relationships/hyperlink" Target="https://pbs.twimg.com/media/Eu5PuSwWgAEXSfK.jpg" TargetMode="External"/><Relationship Id="rId3424" Type="http://schemas.openxmlformats.org/officeDocument/2006/relationships/hyperlink" Target="https://pbs.twimg.com/media/Eu4_1D1XYAExB5g.jpg" TargetMode="External"/><Relationship Id="rId3631" Type="http://schemas.openxmlformats.org/officeDocument/2006/relationships/hyperlink" Target="https://pbs.twimg.com/media/Eu4tYEqXIAEvc36.png" TargetMode="External"/><Relationship Id="rId138" Type="http://schemas.openxmlformats.org/officeDocument/2006/relationships/hyperlink" Target="https://ift.tt/2OV0gDw" TargetMode="External"/><Relationship Id="rId345" Type="http://schemas.openxmlformats.org/officeDocument/2006/relationships/hyperlink" Target="http://www.tipscuatropuntocero.com/" TargetMode="External"/><Relationship Id="rId552" Type="http://schemas.openxmlformats.org/officeDocument/2006/relationships/hyperlink" Target="http://vine.co/VV24KVV" TargetMode="External"/><Relationship Id="rId1182" Type="http://schemas.openxmlformats.org/officeDocument/2006/relationships/hyperlink" Target="http://about.me/bahati" TargetMode="External"/><Relationship Id="rId2026" Type="http://schemas.openxmlformats.org/officeDocument/2006/relationships/hyperlink" Target="https://buff.ly/3pGN9mi" TargetMode="External"/><Relationship Id="rId2233" Type="http://schemas.openxmlformats.org/officeDocument/2006/relationships/hyperlink" Target="https://pbs.twimg.com/media/Eu6CY1KVoAU3CU4.jpg" TargetMode="External"/><Relationship Id="rId2440" Type="http://schemas.openxmlformats.org/officeDocument/2006/relationships/hyperlink" Target="https://medium.com/@guidaautonoma" TargetMode="External"/><Relationship Id="rId205" Type="http://schemas.openxmlformats.org/officeDocument/2006/relationships/hyperlink" Target="http://intel.ly/3jOxeB2" TargetMode="External"/><Relationship Id="rId412" Type="http://schemas.openxmlformats.org/officeDocument/2006/relationships/hyperlink" Target="https://buff.ly/2CNPlW9" TargetMode="External"/><Relationship Id="rId1042" Type="http://schemas.openxmlformats.org/officeDocument/2006/relationships/hyperlink" Target="https://pbs.twimg.com/media/Eu65ZXcXUAIEsjz.png" TargetMode="External"/><Relationship Id="rId2300" Type="http://schemas.openxmlformats.org/officeDocument/2006/relationships/hyperlink" Target="https://pbs.twimg.com/media/Eu5-0RzUYAktXw1.jpg" TargetMode="External"/><Relationship Id="rId4198" Type="http://schemas.openxmlformats.org/officeDocument/2006/relationships/hyperlink" Target="http://ow.ly/MG2350DGMPq" TargetMode="External"/><Relationship Id="rId1999" Type="http://schemas.openxmlformats.org/officeDocument/2006/relationships/hyperlink" Target="https://bit.ly/384aZTq" TargetMode="External"/><Relationship Id="rId4058" Type="http://schemas.openxmlformats.org/officeDocument/2006/relationships/hyperlink" Target="https://byp.ee/bgk2Sg" TargetMode="External"/><Relationship Id="rId4265" Type="http://schemas.openxmlformats.org/officeDocument/2006/relationships/hyperlink" Target="https://www.feasible.io/" TargetMode="External"/><Relationship Id="rId1859" Type="http://schemas.openxmlformats.org/officeDocument/2006/relationships/hyperlink" Target="https://www.aitrends.com/2021-ai-predictions/2021-predictions-ml-automation-k-anonymity-hyperautomation-semantic-graphs" TargetMode="External"/><Relationship Id="rId3074" Type="http://schemas.openxmlformats.org/officeDocument/2006/relationships/hyperlink" Target="https://blog.clairvoyantsoft.com/adding-value-with-ai-ml-in-payments-2a1fada3ba82" TargetMode="External"/><Relationship Id="rId4125" Type="http://schemas.openxmlformats.org/officeDocument/2006/relationships/hyperlink" Target="https://pbs.twimg.com/media/Eu338IKWQAoHeoZ.png" TargetMode="External"/><Relationship Id="rId1719" Type="http://schemas.openxmlformats.org/officeDocument/2006/relationships/hyperlink" Target="https://bit.ly/3aD3m7E" TargetMode="External"/><Relationship Id="rId1926" Type="http://schemas.openxmlformats.org/officeDocument/2006/relationships/hyperlink" Target="https://www.onelink.to/programminghero" TargetMode="External"/><Relationship Id="rId3281" Type="http://schemas.openxmlformats.org/officeDocument/2006/relationships/hyperlink" Target="https://twitter.com/ingliguori/status/1363901383779495938" TargetMode="External"/><Relationship Id="rId2090" Type="http://schemas.openxmlformats.org/officeDocument/2006/relationships/hyperlink" Target="https://youtu.be/q_ohzm8OcQ0" TargetMode="External"/><Relationship Id="rId3141" Type="http://schemas.openxmlformats.org/officeDocument/2006/relationships/hyperlink" Target="https://lnkd.in/gU7Qdwi" TargetMode="External"/><Relationship Id="rId3001" Type="http://schemas.openxmlformats.org/officeDocument/2006/relationships/hyperlink" Target="http://www.todobi.com/" TargetMode="External"/><Relationship Id="rId3958" Type="http://schemas.openxmlformats.org/officeDocument/2006/relationships/hyperlink" Target="https://neurons.ai/blog/news-stories/israels-iai-and-matrix-partner-for-ai-center-focused-on-automatic-target-detection/" TargetMode="External"/><Relationship Id="rId879" Type="http://schemas.openxmlformats.org/officeDocument/2006/relationships/hyperlink" Target="http://datarishi.in/" TargetMode="External"/><Relationship Id="rId2767" Type="http://schemas.openxmlformats.org/officeDocument/2006/relationships/hyperlink" Target="https://business-analytics-info.fr/" TargetMode="External"/><Relationship Id="rId739" Type="http://schemas.openxmlformats.org/officeDocument/2006/relationships/hyperlink" Target="https://elink.io/999b4e6" TargetMode="External"/><Relationship Id="rId1369" Type="http://schemas.openxmlformats.org/officeDocument/2006/relationships/hyperlink" Target="https://www.flyingeze.com/p/ag-monitoring-startup-flurostat-merges-with-soil-carbon-expert-dagan-to-form-regrow" TargetMode="External"/><Relationship Id="rId1576" Type="http://schemas.openxmlformats.org/officeDocument/2006/relationships/hyperlink" Target="https://cousesites.blogspot.com/2021/02/linear-regression-and-logistic.html" TargetMode="External"/><Relationship Id="rId2974" Type="http://schemas.openxmlformats.org/officeDocument/2006/relationships/hyperlink" Target="https://bdtechtalks.com/2021/02/22/reinforcement-learning-ad-optimization/" TargetMode="External"/><Relationship Id="rId3818" Type="http://schemas.openxmlformats.org/officeDocument/2006/relationships/hyperlink" Target="http://linkedin.com/in/gulshanyadav" TargetMode="External"/><Relationship Id="rId946" Type="http://schemas.openxmlformats.org/officeDocument/2006/relationships/hyperlink" Target="https://linktr.ee/mlearning" TargetMode="External"/><Relationship Id="rId1229" Type="http://schemas.openxmlformats.org/officeDocument/2006/relationships/hyperlink" Target="http://www.ecopreneurs.in/" TargetMode="External"/><Relationship Id="rId1783" Type="http://schemas.openxmlformats.org/officeDocument/2006/relationships/hyperlink" Target="https://pbs.twimg.com/media/Eu6YvawUcAILEGI.jpg" TargetMode="External"/><Relationship Id="rId1990" Type="http://schemas.openxmlformats.org/officeDocument/2006/relationships/hyperlink" Target="https://iopscience.org/mlst" TargetMode="External"/><Relationship Id="rId2627" Type="http://schemas.openxmlformats.org/officeDocument/2006/relationships/hyperlink" Target="http://uk.linkedin.com/pub/arden-manning/4/a13/98a/" TargetMode="External"/><Relationship Id="rId2834" Type="http://schemas.openxmlformats.org/officeDocument/2006/relationships/hyperlink" Target="http://pic.twitter.com/YxnaVBSakY" TargetMode="External"/><Relationship Id="rId75" Type="http://schemas.openxmlformats.org/officeDocument/2006/relationships/hyperlink" Target="https://hubs.ly/H0GVtd50" TargetMode="External"/><Relationship Id="rId806" Type="http://schemas.openxmlformats.org/officeDocument/2006/relationships/hyperlink" Target="http://www.xfund.com/" TargetMode="External"/><Relationship Id="rId1436" Type="http://schemas.openxmlformats.org/officeDocument/2006/relationships/hyperlink" Target="https://bitly.com/3bAEXig" TargetMode="External"/><Relationship Id="rId1643" Type="http://schemas.openxmlformats.org/officeDocument/2006/relationships/hyperlink" Target="https://zpy.io/ff9273cb" TargetMode="External"/><Relationship Id="rId1850" Type="http://schemas.openxmlformats.org/officeDocument/2006/relationships/hyperlink" Target="https://opensea.io/collection/ai-generated" TargetMode="External"/><Relationship Id="rId2901" Type="http://schemas.openxmlformats.org/officeDocument/2006/relationships/hyperlink" Target="http://www.globaldigitalfashion.com/" TargetMode="External"/><Relationship Id="rId1503" Type="http://schemas.openxmlformats.org/officeDocument/2006/relationships/hyperlink" Target="https://taneemishere.github.io/" TargetMode="External"/><Relationship Id="rId1710" Type="http://schemas.openxmlformats.org/officeDocument/2006/relationships/hyperlink" Target="https://qymatix.de/" TargetMode="External"/><Relationship Id="rId3468" Type="http://schemas.openxmlformats.org/officeDocument/2006/relationships/hyperlink" Target="http://verinite.com/" TargetMode="External"/><Relationship Id="rId3675" Type="http://schemas.openxmlformats.org/officeDocument/2006/relationships/hyperlink" Target="https://www.wevolver.com/" TargetMode="External"/><Relationship Id="rId3882" Type="http://schemas.openxmlformats.org/officeDocument/2006/relationships/hyperlink" Target="https://pbs.twimg.com/media/Eu4SDV0XEAcmwV5.jpg" TargetMode="External"/><Relationship Id="rId389" Type="http://schemas.openxmlformats.org/officeDocument/2006/relationships/hyperlink" Target="http://pages.jh.edu/~trayanova/website/about.html" TargetMode="External"/><Relationship Id="rId596" Type="http://schemas.openxmlformats.org/officeDocument/2006/relationships/hyperlink" Target="https://pbs.twimg.com/media/Eu7LtsiVkAEHUqC.jpg" TargetMode="External"/><Relationship Id="rId2277" Type="http://schemas.openxmlformats.org/officeDocument/2006/relationships/hyperlink" Target="http://pythonwebconference.com/" TargetMode="External"/><Relationship Id="rId2484" Type="http://schemas.openxmlformats.org/officeDocument/2006/relationships/hyperlink" Target="http://www.botosynthesis.com/" TargetMode="External"/><Relationship Id="rId2691" Type="http://schemas.openxmlformats.org/officeDocument/2006/relationships/hyperlink" Target="http://pic.twitter.com/MKVCHKSaNg" TargetMode="External"/><Relationship Id="rId3328" Type="http://schemas.openxmlformats.org/officeDocument/2006/relationships/hyperlink" Target="http://www.youtube.com/c/CodingPerspective" TargetMode="External"/><Relationship Id="rId3535" Type="http://schemas.openxmlformats.org/officeDocument/2006/relationships/hyperlink" Target="http://writex.today/" TargetMode="External"/><Relationship Id="rId3742" Type="http://schemas.openxmlformats.org/officeDocument/2006/relationships/hyperlink" Target="https://pbs.twimg.com/media/Eu4jFcKXAAQdSct.jpg" TargetMode="External"/><Relationship Id="rId249" Type="http://schemas.openxmlformats.org/officeDocument/2006/relationships/hyperlink" Target="http://ssidecisions.com/" TargetMode="External"/><Relationship Id="rId456" Type="http://schemas.openxmlformats.org/officeDocument/2006/relationships/hyperlink" Target="https://lnkd.in/gr3Vk9u" TargetMode="External"/><Relationship Id="rId663" Type="http://schemas.openxmlformats.org/officeDocument/2006/relationships/hyperlink" Target="http://www.bitvore.com/" TargetMode="External"/><Relationship Id="rId870" Type="http://schemas.openxmlformats.org/officeDocument/2006/relationships/hyperlink" Target="http://appcoll.com/" TargetMode="External"/><Relationship Id="rId1086" Type="http://schemas.openxmlformats.org/officeDocument/2006/relationships/hyperlink" Target="http://www.empiricaldata.org/" TargetMode="External"/><Relationship Id="rId1293" Type="http://schemas.openxmlformats.org/officeDocument/2006/relationships/hyperlink" Target="https://pharmb.io/blog/cim2021/" TargetMode="External"/><Relationship Id="rId2137" Type="http://schemas.openxmlformats.org/officeDocument/2006/relationships/hyperlink" Target="https://bit.ly/2OP68hJ" TargetMode="External"/><Relationship Id="rId2344" Type="http://schemas.openxmlformats.org/officeDocument/2006/relationships/hyperlink" Target="http://tesseract.academy/" TargetMode="External"/><Relationship Id="rId2551" Type="http://schemas.openxmlformats.org/officeDocument/2006/relationships/hyperlink" Target="https://pbs.twimg.com/media/Eu5x1SvUcAACkgo.jpg" TargetMode="External"/><Relationship Id="rId109" Type="http://schemas.openxmlformats.org/officeDocument/2006/relationships/hyperlink" Target="https://pbs.twimg.com/media/Eu7gAP-WQAIgVs4.jpg" TargetMode="External"/><Relationship Id="rId316" Type="http://schemas.openxmlformats.org/officeDocument/2006/relationships/hyperlink" Target="https://bit.ly/3u4zadd" TargetMode="External"/><Relationship Id="rId523" Type="http://schemas.openxmlformats.org/officeDocument/2006/relationships/hyperlink" Target="https://dreampostt.blogspot.com/" TargetMode="External"/><Relationship Id="rId1153" Type="http://schemas.openxmlformats.org/officeDocument/2006/relationships/hyperlink" Target="https://twitter.com/ingliguori/status/1363946674230550529" TargetMode="External"/><Relationship Id="rId2204" Type="http://schemas.openxmlformats.org/officeDocument/2006/relationships/hyperlink" Target="http://www.parallels.com/ras" TargetMode="External"/><Relationship Id="rId3602" Type="http://schemas.openxmlformats.org/officeDocument/2006/relationships/hyperlink" Target="https://www.gamuts.net/" TargetMode="External"/><Relationship Id="rId730" Type="http://schemas.openxmlformats.org/officeDocument/2006/relationships/hyperlink" Target="http://www.youtube.com/channel/UCxsSHt_xJriRkYNv2LoiCyw" TargetMode="External"/><Relationship Id="rId1013" Type="http://schemas.openxmlformats.org/officeDocument/2006/relationships/hyperlink" Target="https://pbs.twimg.com/media/Eu66HtjXYAAjqin.jpg" TargetMode="External"/><Relationship Id="rId1360" Type="http://schemas.openxmlformats.org/officeDocument/2006/relationships/hyperlink" Target="http://pic.twitter.com/c2NJmD6G0S" TargetMode="External"/><Relationship Id="rId2411" Type="http://schemas.openxmlformats.org/officeDocument/2006/relationships/hyperlink" Target="https://pbs.twimg.com/media/Eu5443OWYAMxXlb.jpg" TargetMode="External"/><Relationship Id="rId4169" Type="http://schemas.openxmlformats.org/officeDocument/2006/relationships/hyperlink" Target="https://holo.host/" TargetMode="External"/><Relationship Id="rId1220" Type="http://schemas.openxmlformats.org/officeDocument/2006/relationships/hyperlink" Target="https://www.cmswire.com/information-management/we-need-ethical-artificial-intelligence/" TargetMode="External"/><Relationship Id="rId3185" Type="http://schemas.openxmlformats.org/officeDocument/2006/relationships/hyperlink" Target="https://zpy.io/46dac527" TargetMode="External"/><Relationship Id="rId3392" Type="http://schemas.openxmlformats.org/officeDocument/2006/relationships/hyperlink" Target="https://neurons.ai/blog/news-stories/iiit-hyderabad-offers-certificate-online-course-on-artificial-intelligence-and-machine-learning/" TargetMode="External"/><Relationship Id="rId4029" Type="http://schemas.openxmlformats.org/officeDocument/2006/relationships/hyperlink" Target="https://zpy.io/57ada324" TargetMode="External"/><Relationship Id="rId4236" Type="http://schemas.openxmlformats.org/officeDocument/2006/relationships/hyperlink" Target="https://www.eventbrite.co.uk/e/what-its-like-to-be-a-data-scientist-tickets-136944090461?aff=ebdsoporgprofile" TargetMode="External"/><Relationship Id="rId3045" Type="http://schemas.openxmlformats.org/officeDocument/2006/relationships/hyperlink" Target="http://tampalini.net/?edition_id=eb73e620-75af-11eb-a51d-0cc47a0d164b" TargetMode="External"/><Relationship Id="rId3252" Type="http://schemas.openxmlformats.org/officeDocument/2006/relationships/hyperlink" Target="https://www.vvdntech.com/" TargetMode="External"/><Relationship Id="rId173" Type="http://schemas.openxmlformats.org/officeDocument/2006/relationships/hyperlink" Target="https://pbs.twimg.com/media/Eu7dh5DXcAEgWwK.jpg" TargetMode="External"/><Relationship Id="rId380" Type="http://schemas.openxmlformats.org/officeDocument/2006/relationships/hyperlink" Target="https://bit.ly/3dDq5CG" TargetMode="External"/><Relationship Id="rId2061" Type="http://schemas.openxmlformats.org/officeDocument/2006/relationships/hyperlink" Target="http://visualcapitalist.com/the-crazy-worl" TargetMode="External"/><Relationship Id="rId3112" Type="http://schemas.openxmlformats.org/officeDocument/2006/relationships/hyperlink" Target="https://paullopez.ai/" TargetMode="External"/><Relationship Id="rId240" Type="http://schemas.openxmlformats.org/officeDocument/2006/relationships/hyperlink" Target="https://buff.ly/3keLhQq" TargetMode="External"/><Relationship Id="rId100" Type="http://schemas.openxmlformats.org/officeDocument/2006/relationships/hyperlink" Target="http://www.cascadedefense.com/" TargetMode="External"/><Relationship Id="rId2878" Type="http://schemas.openxmlformats.org/officeDocument/2006/relationships/hyperlink" Target="https://www.linkedin.com/in/bobcarver/detail/recent-activity/posts/" TargetMode="External"/><Relationship Id="rId3929" Type="http://schemas.openxmlformats.org/officeDocument/2006/relationships/hyperlink" Target="http://www.corizance.com/" TargetMode="External"/><Relationship Id="rId4093" Type="http://schemas.openxmlformats.org/officeDocument/2006/relationships/hyperlink" Target="http://www.corizance.com/" TargetMode="External"/><Relationship Id="rId1687" Type="http://schemas.openxmlformats.org/officeDocument/2006/relationships/hyperlink" Target="http://www.youtube.com/c/CodingPerspective" TargetMode="External"/><Relationship Id="rId1894" Type="http://schemas.openxmlformats.org/officeDocument/2006/relationships/hyperlink" Target="https://valeriapettorino.com/" TargetMode="External"/><Relationship Id="rId2738" Type="http://schemas.openxmlformats.org/officeDocument/2006/relationships/hyperlink" Target="https://www.thelancet.com/digital-health" TargetMode="External"/><Relationship Id="rId2945" Type="http://schemas.openxmlformats.org/officeDocument/2006/relationships/hyperlink" Target="https://www.deposy.org/en/" TargetMode="External"/><Relationship Id="rId917" Type="http://schemas.openxmlformats.org/officeDocument/2006/relationships/hyperlink" Target="https://goforthsci.com/" TargetMode="External"/><Relationship Id="rId1547" Type="http://schemas.openxmlformats.org/officeDocument/2006/relationships/hyperlink" Target="https://www.ai3sd.org/ai4proteins2021/sponsors/" TargetMode="External"/><Relationship Id="rId1754" Type="http://schemas.openxmlformats.org/officeDocument/2006/relationships/hyperlink" Target="https://ptyleraul.medium.com/building-artificial-intelligence-bf1d8eb4b4ac" TargetMode="External"/><Relationship Id="rId1961" Type="http://schemas.openxmlformats.org/officeDocument/2006/relationships/hyperlink" Target="https://pbs.twimg.com/media/Eu6QrmPVkAgxlwb.jpg" TargetMode="External"/><Relationship Id="rId2805" Type="http://schemas.openxmlformats.org/officeDocument/2006/relationships/hyperlink" Target="https://sdx.io/DWAP" TargetMode="External"/><Relationship Id="rId4160" Type="http://schemas.openxmlformats.org/officeDocument/2006/relationships/hyperlink" Target="https://twitter.com/Serchs3D/status/1363922160721494024" TargetMode="External"/><Relationship Id="rId46" Type="http://schemas.openxmlformats.org/officeDocument/2006/relationships/hyperlink" Target="https://hbr.org/2021/02/software-testing-is-tedious-ai-can-help" TargetMode="External"/><Relationship Id="rId1407" Type="http://schemas.openxmlformats.org/officeDocument/2006/relationships/hyperlink" Target="http://www.diyotta.com/" TargetMode="External"/><Relationship Id="rId1614" Type="http://schemas.openxmlformats.org/officeDocument/2006/relationships/hyperlink" Target="https://towardsdatascience.com/forgetful-pandas-98b50c1193a9" TargetMode="External"/><Relationship Id="rId1821" Type="http://schemas.openxmlformats.org/officeDocument/2006/relationships/hyperlink" Target="https://lnkd.in/eqSRUT4" TargetMode="External"/><Relationship Id="rId4020" Type="http://schemas.openxmlformats.org/officeDocument/2006/relationships/hyperlink" Target="https://www.linkedin.com/in/eric-feuilleaubois-ph-d-43ab0925/" TargetMode="External"/><Relationship Id="rId3579" Type="http://schemas.openxmlformats.org/officeDocument/2006/relationships/hyperlink" Target="https://thrive.kaiserpermanente.org/" TargetMode="External"/><Relationship Id="rId3786" Type="http://schemas.openxmlformats.org/officeDocument/2006/relationships/hyperlink" Target="https://buff.ly/3pH4RWz" TargetMode="External"/><Relationship Id="rId2388" Type="http://schemas.openxmlformats.org/officeDocument/2006/relationships/hyperlink" Target="https://www.sevenpeakssoftware.com/" TargetMode="External"/><Relationship Id="rId2595" Type="http://schemas.openxmlformats.org/officeDocument/2006/relationships/hyperlink" Target="https://medium.com/@guidaautonoma" TargetMode="External"/><Relationship Id="rId3439" Type="http://schemas.openxmlformats.org/officeDocument/2006/relationships/hyperlink" Target="http://www.vittiai.com/" TargetMode="External"/><Relationship Id="rId3993" Type="http://schemas.openxmlformats.org/officeDocument/2006/relationships/hyperlink" Target="https://pbs.twimg.com/media/Eu4FdvzUYAIC205.jpg" TargetMode="External"/><Relationship Id="rId567" Type="http://schemas.openxmlformats.org/officeDocument/2006/relationships/hyperlink" Target="http://www.linkedin.com/in/subhanali" TargetMode="External"/><Relationship Id="rId1197" Type="http://schemas.openxmlformats.org/officeDocument/2006/relationships/hyperlink" Target="http://teckpert.com/" TargetMode="External"/><Relationship Id="rId2248" Type="http://schemas.openxmlformats.org/officeDocument/2006/relationships/hyperlink" Target="https://via.socxo.net/jm6AuD7HMV7sW" TargetMode="External"/><Relationship Id="rId3646" Type="http://schemas.openxmlformats.org/officeDocument/2006/relationships/hyperlink" Target="https://buff.ly/3puuhH2" TargetMode="External"/><Relationship Id="rId3853" Type="http://schemas.openxmlformats.org/officeDocument/2006/relationships/hyperlink" Target="https://techae.000webhostapp.com/" TargetMode="External"/><Relationship Id="rId774" Type="http://schemas.openxmlformats.org/officeDocument/2006/relationships/hyperlink" Target="http://www.arjenvanberkum.com/" TargetMode="External"/><Relationship Id="rId981" Type="http://schemas.openxmlformats.org/officeDocument/2006/relationships/hyperlink" Target="http://w3layouts.com/" TargetMode="External"/><Relationship Id="rId1057" Type="http://schemas.openxmlformats.org/officeDocument/2006/relationships/hyperlink" Target="https://www.hindustantimes.com/ht-school/ai-and-robots-now-and-future-of-tech-101614063835866.html" TargetMode="External"/><Relationship Id="rId2455" Type="http://schemas.openxmlformats.org/officeDocument/2006/relationships/hyperlink" Target="http://neurons.ai/" TargetMode="External"/><Relationship Id="rId2662" Type="http://schemas.openxmlformats.org/officeDocument/2006/relationships/hyperlink" Target="https://buff.ly/3o4BDAk" TargetMode="External"/><Relationship Id="rId3506" Type="http://schemas.openxmlformats.org/officeDocument/2006/relationships/hyperlink" Target="https://es.linkedin.com/in/mariafreiria" TargetMode="External"/><Relationship Id="rId3713" Type="http://schemas.openxmlformats.org/officeDocument/2006/relationships/hyperlink" Target="http://bit.ly/FinFeb" TargetMode="External"/><Relationship Id="rId3920" Type="http://schemas.openxmlformats.org/officeDocument/2006/relationships/hyperlink" Target="https://towardsdatascience.com/from-text-to-knowledge-the-information-extraction-pipeline-b65e7e30273e" TargetMode="External"/><Relationship Id="rId427" Type="http://schemas.openxmlformats.org/officeDocument/2006/relationships/hyperlink" Target="http://www.marktechpost.com/" TargetMode="External"/><Relationship Id="rId634" Type="http://schemas.openxmlformats.org/officeDocument/2006/relationships/hyperlink" Target="http://pic.twitter.com/6Z5BuEvXKr" TargetMode="External"/><Relationship Id="rId841" Type="http://schemas.openxmlformats.org/officeDocument/2006/relationships/hyperlink" Target="https://pbs.twimg.com/media/Eutn28JXUAo4ZVs.jpg" TargetMode="External"/><Relationship Id="rId1264" Type="http://schemas.openxmlformats.org/officeDocument/2006/relationships/hyperlink" Target="http://leadsbrandconnect.com/" TargetMode="External"/><Relationship Id="rId1471" Type="http://schemas.openxmlformats.org/officeDocument/2006/relationships/hyperlink" Target="https://www.accelebrate.com/machine-learning-training" TargetMode="External"/><Relationship Id="rId2108" Type="http://schemas.openxmlformats.org/officeDocument/2006/relationships/hyperlink" Target="https://www.tfcertification.com/" TargetMode="External"/><Relationship Id="rId2315" Type="http://schemas.openxmlformats.org/officeDocument/2006/relationships/hyperlink" Target="https://pbs.twimg.com/media/Eu5-ttUXUAANLd_.jpg" TargetMode="External"/><Relationship Id="rId2522" Type="http://schemas.openxmlformats.org/officeDocument/2006/relationships/hyperlink" Target="https://pbs.twimg.com/media/Eu5ymS2WQAEce5b.jpg" TargetMode="External"/><Relationship Id="rId701" Type="http://schemas.openxmlformats.org/officeDocument/2006/relationships/hyperlink" Target="https://sbmi.uth.edu/applynow/" TargetMode="External"/><Relationship Id="rId1124" Type="http://schemas.openxmlformats.org/officeDocument/2006/relationships/hyperlink" Target="https://ift.tt/3sgK8uy" TargetMode="External"/><Relationship Id="rId1331" Type="http://schemas.openxmlformats.org/officeDocument/2006/relationships/hyperlink" Target="https://www.globaltechoutlook.com/" TargetMode="External"/><Relationship Id="rId3089" Type="http://schemas.openxmlformats.org/officeDocument/2006/relationships/hyperlink" Target="https://innovationincubator.com/" TargetMode="External"/><Relationship Id="rId3296" Type="http://schemas.openxmlformats.org/officeDocument/2006/relationships/hyperlink" Target="http://uk.linkedin.com/in/amitchampaneri" TargetMode="External"/><Relationship Id="rId3156" Type="http://schemas.openxmlformats.org/officeDocument/2006/relationships/hyperlink" Target="https://pbs.twimg.com/media/Eu5V1UzXMAAcOjK.jpg" TargetMode="External"/><Relationship Id="rId3363" Type="http://schemas.openxmlformats.org/officeDocument/2006/relationships/hyperlink" Target="https://www.cloudcreations.com/integration/ibm-watson-machine-learning/" TargetMode="External"/><Relationship Id="rId4207" Type="http://schemas.openxmlformats.org/officeDocument/2006/relationships/hyperlink" Target="http://www.techjunkieblog.com/" TargetMode="External"/><Relationship Id="rId284" Type="http://schemas.openxmlformats.org/officeDocument/2006/relationships/hyperlink" Target="http://dlvr.it/RtKX0J" TargetMode="External"/><Relationship Id="rId491" Type="http://schemas.openxmlformats.org/officeDocument/2006/relationships/hyperlink" Target="https://www.programming-hero.com/" TargetMode="External"/><Relationship Id="rId2172" Type="http://schemas.openxmlformats.org/officeDocument/2006/relationships/hyperlink" Target="https://www.analyticsinsight.net/intelligent-present-future-artificial-intelligence-is-changing-our-daily-lives-for-the-better/" TargetMode="External"/><Relationship Id="rId3016" Type="http://schemas.openxmlformats.org/officeDocument/2006/relationships/hyperlink" Target="https://bit.ly/3aIjwMX" TargetMode="External"/><Relationship Id="rId3223" Type="http://schemas.openxmlformats.org/officeDocument/2006/relationships/hyperlink" Target="https://pbs.twimg.com/media/Eu5PZfrVkAI_VC6.jpg" TargetMode="External"/><Relationship Id="rId3570" Type="http://schemas.openxmlformats.org/officeDocument/2006/relationships/hyperlink" Target="https://nzzl.us/srn5uqA" TargetMode="External"/><Relationship Id="rId144" Type="http://schemas.openxmlformats.org/officeDocument/2006/relationships/hyperlink" Target="http://medicalxpress.com/" TargetMode="External"/><Relationship Id="rId3430" Type="http://schemas.openxmlformats.org/officeDocument/2006/relationships/hyperlink" Target="http://pic.twitter.com/1nPDmqItsl" TargetMode="External"/><Relationship Id="rId351" Type="http://schemas.openxmlformats.org/officeDocument/2006/relationships/hyperlink" Target="https://bit.ly/2NQoSN8" TargetMode="External"/><Relationship Id="rId2032" Type="http://schemas.openxmlformats.org/officeDocument/2006/relationships/hyperlink" Target="https://pbs.twimg.com/media/Eu6Nb3UXMAESNq-.png" TargetMode="External"/><Relationship Id="rId2989" Type="http://schemas.openxmlformats.org/officeDocument/2006/relationships/hyperlink" Target="https://bit.ly/3soOj7L" TargetMode="External"/><Relationship Id="rId211" Type="http://schemas.openxmlformats.org/officeDocument/2006/relationships/hyperlink" Target="https://bit.ly/37Bv8j5" TargetMode="External"/><Relationship Id="rId1798" Type="http://schemas.openxmlformats.org/officeDocument/2006/relationships/hyperlink" Target="https://www.pendragonai.com/" TargetMode="External"/><Relationship Id="rId2849" Type="http://schemas.openxmlformats.org/officeDocument/2006/relationships/hyperlink" Target="https://pbs.twimg.com/media/Eu5jFRUXcAEZimE.png" TargetMode="External"/><Relationship Id="rId1658" Type="http://schemas.openxmlformats.org/officeDocument/2006/relationships/hyperlink" Target="https://lnkd.in/g_JWiEY" TargetMode="External"/><Relationship Id="rId1865" Type="http://schemas.openxmlformats.org/officeDocument/2006/relationships/hyperlink" Target="https://buff.ly/2MfX9Fk" TargetMode="External"/><Relationship Id="rId2709" Type="http://schemas.openxmlformats.org/officeDocument/2006/relationships/hyperlink" Target="https://www.ai-adam.com/ai-news" TargetMode="External"/><Relationship Id="rId4064" Type="http://schemas.openxmlformats.org/officeDocument/2006/relationships/hyperlink" Target="https://pbs.twimg.com/media/Eu3_iYEVkAILOcC.jpg" TargetMode="External"/><Relationship Id="rId4271" Type="http://schemas.openxmlformats.org/officeDocument/2006/relationships/hyperlink" Target="http://vision33.com/" TargetMode="External"/><Relationship Id="rId1518" Type="http://schemas.openxmlformats.org/officeDocument/2006/relationships/hyperlink" Target="http://johannesdrooghaag.com/" TargetMode="External"/><Relationship Id="rId2916" Type="http://schemas.openxmlformats.org/officeDocument/2006/relationships/hyperlink" Target="http://bit.ly/38Afra4" TargetMode="External"/><Relationship Id="rId3080" Type="http://schemas.openxmlformats.org/officeDocument/2006/relationships/hyperlink" Target="https://pbs.twimg.com/media/Euy4lq0XYAAGpUt.jpg" TargetMode="External"/><Relationship Id="rId4131" Type="http://schemas.openxmlformats.org/officeDocument/2006/relationships/hyperlink" Target="https://aiplus.odsc.com/" TargetMode="External"/><Relationship Id="rId1725" Type="http://schemas.openxmlformats.org/officeDocument/2006/relationships/hyperlink" Target="http://machinecurve.com/" TargetMode="External"/><Relationship Id="rId1932" Type="http://schemas.openxmlformats.org/officeDocument/2006/relationships/hyperlink" Target="https://www.programming-hero.com/blog/20-python-tips-and-tricks-for-new-python-developers.html" TargetMode="External"/><Relationship Id="rId17" Type="http://schemas.openxmlformats.org/officeDocument/2006/relationships/hyperlink" Target="http://pic.twitter.com/g2VOxVGggG" TargetMode="External"/><Relationship Id="rId3897" Type="http://schemas.openxmlformats.org/officeDocument/2006/relationships/hyperlink" Target="https://www.reddit.com/r/MachineLearning/" TargetMode="External"/><Relationship Id="rId2499" Type="http://schemas.openxmlformats.org/officeDocument/2006/relationships/hyperlink" Target="https://pbs.twimg.com/media/Eu5yoQJWQAMdHvP.jpg" TargetMode="External"/><Relationship Id="rId3757" Type="http://schemas.openxmlformats.org/officeDocument/2006/relationships/hyperlink" Target="https://www.linkedin.com/in/mpyllan/" TargetMode="External"/><Relationship Id="rId3964" Type="http://schemas.openxmlformats.org/officeDocument/2006/relationships/hyperlink" Target="https://contempediacom.blogspot.com/2021/02/deployment-of-machine-learning-models.html" TargetMode="External"/><Relationship Id="rId1" Type="http://schemas.openxmlformats.org/officeDocument/2006/relationships/hyperlink" Target="https://youtu.be/GGDFURzhaCQ" TargetMode="External"/><Relationship Id="rId678" Type="http://schemas.openxmlformats.org/officeDocument/2006/relationships/hyperlink" Target="http://www.pioneeringminds.com/" TargetMode="External"/><Relationship Id="rId885" Type="http://schemas.openxmlformats.org/officeDocument/2006/relationships/hyperlink" Target="https://youtu.be/N4UWeTbYdOY" TargetMode="External"/><Relationship Id="rId2359" Type="http://schemas.openxmlformats.org/officeDocument/2006/relationships/hyperlink" Target="https://pbs.twimg.com/media/Eu5FlcIVcAMDWzS.png" TargetMode="External"/><Relationship Id="rId2566" Type="http://schemas.openxmlformats.org/officeDocument/2006/relationships/hyperlink" Target="https://www.weforum.org/agenda/2021/02/heres-what-you-need-to-know-about-the-new-ai-arms-race/" TargetMode="External"/><Relationship Id="rId2773" Type="http://schemas.openxmlformats.org/officeDocument/2006/relationships/hyperlink" Target="https://hubs.ly/H0GZ_Zk0" TargetMode="External"/><Relationship Id="rId2980" Type="http://schemas.openxmlformats.org/officeDocument/2006/relationships/hyperlink" Target="https://pbs.twimg.com/media/Eu5eFp8XEAMDYDC.jpg" TargetMode="External"/><Relationship Id="rId3617" Type="http://schemas.openxmlformats.org/officeDocument/2006/relationships/hyperlink" Target="https://pbs.twimg.com/media/Eu4uqpfUcAEwCwp.jpg" TargetMode="External"/><Relationship Id="rId3824" Type="http://schemas.openxmlformats.org/officeDocument/2006/relationships/hyperlink" Target="http://linkedin.com/in/gulshanyadav" TargetMode="External"/><Relationship Id="rId538" Type="http://schemas.openxmlformats.org/officeDocument/2006/relationships/hyperlink" Target="https://www.nytimes.com/2021/02/23/technology/ai-innovation-privacy-seniors-education.html" TargetMode="External"/><Relationship Id="rId745" Type="http://schemas.openxmlformats.org/officeDocument/2006/relationships/hyperlink" Target="http://cern.ch/adavid" TargetMode="External"/><Relationship Id="rId952" Type="http://schemas.openxmlformats.org/officeDocument/2006/relationships/hyperlink" Target="https://pbs.twimg.com/media/Eu69lKtXYAARjYJ.jpg" TargetMode="External"/><Relationship Id="rId1168" Type="http://schemas.openxmlformats.org/officeDocument/2006/relationships/hyperlink" Target="http://www.math.wm.edu/~leemis/chart/UDR/UDR.html" TargetMode="External"/><Relationship Id="rId1375" Type="http://schemas.openxmlformats.org/officeDocument/2006/relationships/hyperlink" Target="https://qualetics.com/movie-review-challenge/" TargetMode="External"/><Relationship Id="rId1582" Type="http://schemas.openxmlformats.org/officeDocument/2006/relationships/hyperlink" Target="http://bit.ly/1mltfTwi" TargetMode="External"/><Relationship Id="rId2219" Type="http://schemas.openxmlformats.org/officeDocument/2006/relationships/hyperlink" Target="https://pbs.twimg.com/media/Eu6C3vrXEAQle1O.jpg" TargetMode="External"/><Relationship Id="rId2426" Type="http://schemas.openxmlformats.org/officeDocument/2006/relationships/hyperlink" Target="https://pbs.twimg.com/media/Eu24GlgXAAgff9v.jpg" TargetMode="External"/><Relationship Id="rId2633" Type="http://schemas.openxmlformats.org/officeDocument/2006/relationships/hyperlink" Target="https://medium.com/theymakedesign/best-web-design-inspiration-marketing-websites-91-1c4a150f80bf" TargetMode="External"/><Relationship Id="rId81" Type="http://schemas.openxmlformats.org/officeDocument/2006/relationships/hyperlink" Target="https://pbs.twimg.com/media/Eu7hFwkUUAEsU2_.jpg" TargetMode="External"/><Relationship Id="rId605" Type="http://schemas.openxmlformats.org/officeDocument/2006/relationships/hyperlink" Target="https://pbs.twimg.com/media/Eu7LdeKXYAArHDN.jpg" TargetMode="External"/><Relationship Id="rId812" Type="http://schemas.openxmlformats.org/officeDocument/2006/relationships/hyperlink" Target="http://neurons.ai/" TargetMode="External"/><Relationship Id="rId1028" Type="http://schemas.openxmlformats.org/officeDocument/2006/relationships/hyperlink" Target="https://pub.towardsai.net/%E2%84%82-%E2%84%9D-62efb53acc8a?source=rss----98111c9905da---4?source=social.tw" TargetMode="External"/><Relationship Id="rId1235" Type="http://schemas.openxmlformats.org/officeDocument/2006/relationships/hyperlink" Target="https://buff.ly/3boem8d" TargetMode="External"/><Relationship Id="rId1442" Type="http://schemas.openxmlformats.org/officeDocument/2006/relationships/hyperlink" Target="https://lnkd.in/gWCY6hx" TargetMode="External"/><Relationship Id="rId2840" Type="http://schemas.openxmlformats.org/officeDocument/2006/relationships/hyperlink" Target="https://pbs.twimg.com/media/Eu5MBxHXIAAP_93.jpg" TargetMode="External"/><Relationship Id="rId1302" Type="http://schemas.openxmlformats.org/officeDocument/2006/relationships/hyperlink" Target="https://pbs.twimg.com/media/Eu6tNzuVoAANW5x.jpg" TargetMode="External"/><Relationship Id="rId2700" Type="http://schemas.openxmlformats.org/officeDocument/2006/relationships/hyperlink" Target="http://bit.ly/3bvEsGe" TargetMode="External"/><Relationship Id="rId3267" Type="http://schemas.openxmlformats.org/officeDocument/2006/relationships/hyperlink" Target="https://www.itviconsultants.com/" TargetMode="External"/><Relationship Id="rId188" Type="http://schemas.openxmlformats.org/officeDocument/2006/relationships/hyperlink" Target="https://ai-summary.com/summary-an-ai-tool-that-helps-you-qualify-and-nurture-every-lead/?utm_medium=social-organic&amp;utm_source=twitter" TargetMode="External"/><Relationship Id="rId395" Type="http://schemas.openxmlformats.org/officeDocument/2006/relationships/hyperlink" Target="https://pbs.twimg.com/media/Eu7T6p_WYAMPgtr.jpg" TargetMode="External"/><Relationship Id="rId2076" Type="http://schemas.openxmlformats.org/officeDocument/2006/relationships/hyperlink" Target="https://liwaiwai.com/2021/02/09/ai-facts-every-dev-should-know-artificial-intelligence-is-older-than-you-probably/" TargetMode="External"/><Relationship Id="rId3474" Type="http://schemas.openxmlformats.org/officeDocument/2006/relationships/hyperlink" Target="http://pic.twitter.com/7SWnLJSof0" TargetMode="External"/><Relationship Id="rId3681" Type="http://schemas.openxmlformats.org/officeDocument/2006/relationships/hyperlink" Target="http://www.mistralsolutions.com/" TargetMode="External"/><Relationship Id="rId2283" Type="http://schemas.openxmlformats.org/officeDocument/2006/relationships/hyperlink" Target="https://rss.org.uk/" TargetMode="External"/><Relationship Id="rId2490" Type="http://schemas.openxmlformats.org/officeDocument/2006/relationships/hyperlink" Target="http://bit.ly/2Hqvfhl" TargetMode="External"/><Relationship Id="rId3127" Type="http://schemas.openxmlformats.org/officeDocument/2006/relationships/hyperlink" Target="https://www.linkedin.com/in/colinrbristow/" TargetMode="External"/><Relationship Id="rId3334" Type="http://schemas.openxmlformats.org/officeDocument/2006/relationships/hyperlink" Target="https://roaringelephant.org/" TargetMode="External"/><Relationship Id="rId3541" Type="http://schemas.openxmlformats.org/officeDocument/2006/relationships/hyperlink" Target="https://pbs.twimg.com/media/Eu40lNmUcAIJbJG.jpg" TargetMode="External"/><Relationship Id="rId255" Type="http://schemas.openxmlformats.org/officeDocument/2006/relationships/hyperlink" Target="http://customerinsightleader.com/" TargetMode="External"/><Relationship Id="rId462" Type="http://schemas.openxmlformats.org/officeDocument/2006/relationships/hyperlink" Target="https://go.aws/2KChqEb" TargetMode="External"/><Relationship Id="rId1092" Type="http://schemas.openxmlformats.org/officeDocument/2006/relationships/hyperlink" Target="https://pbs.twimg.com/media/Eu628HeXEAIJZNm.jpg" TargetMode="External"/><Relationship Id="rId2143" Type="http://schemas.openxmlformats.org/officeDocument/2006/relationships/hyperlink" Target="http://www.latentview.com/" TargetMode="External"/><Relationship Id="rId2350" Type="http://schemas.openxmlformats.org/officeDocument/2006/relationships/hyperlink" Target="https://pbs.twimg.com/media/Eu588owXIAAgM0S.jpg" TargetMode="External"/><Relationship Id="rId3401" Type="http://schemas.openxmlformats.org/officeDocument/2006/relationships/hyperlink" Target="http://www.seeingmachines.com/" TargetMode="External"/><Relationship Id="rId115" Type="http://schemas.openxmlformats.org/officeDocument/2006/relationships/hyperlink" Target="https://www.zdnet.com/article/data-meets-science-open-access-code-datasets-and-knowledge-graphs-for-machine-learning-research-and-beyond/" TargetMode="External"/><Relationship Id="rId322" Type="http://schemas.openxmlformats.org/officeDocument/2006/relationships/hyperlink" Target="https://pbs.twimg.com/media/Eu7WrU_XAAcLT9h.png" TargetMode="External"/><Relationship Id="rId2003" Type="http://schemas.openxmlformats.org/officeDocument/2006/relationships/hyperlink" Target="http://sap.to/6013Himy5" TargetMode="External"/><Relationship Id="rId2210" Type="http://schemas.openxmlformats.org/officeDocument/2006/relationships/hyperlink" Target="https://www.forbes.com/sites/kenrickcai/2021/01/04/forbes-ai-awards-2020-meet-gpt-3-the-computer-program-that-can-write-an-op-ed" TargetMode="External"/><Relationship Id="rId4175" Type="http://schemas.openxmlformats.org/officeDocument/2006/relationships/hyperlink" Target="https://amzn.to/3pK5DCg" TargetMode="External"/><Relationship Id="rId1769" Type="http://schemas.openxmlformats.org/officeDocument/2006/relationships/hyperlink" Target="https://www.reddit.com/r/MachineLearning/comments/lqejbj/d_can_we_use_gan_to_create_a_dataset_to_train/?utm_source=dlvr.it&amp;utm_medium=twitter" TargetMode="External"/><Relationship Id="rId1976" Type="http://schemas.openxmlformats.org/officeDocument/2006/relationships/hyperlink" Target="http://fin-ai.eu/" TargetMode="External"/><Relationship Id="rId3191" Type="http://schemas.openxmlformats.org/officeDocument/2006/relationships/hyperlink" Target="https://bit.ly/3pN782F" TargetMode="External"/><Relationship Id="rId4035" Type="http://schemas.openxmlformats.org/officeDocument/2006/relationships/hyperlink" Target="https://morioh.com/p/1b1dfe0c032c?f=5ece1a68f0e6056e36305f65" TargetMode="External"/><Relationship Id="rId4242" Type="http://schemas.openxmlformats.org/officeDocument/2006/relationships/hyperlink" Target="https://redspotseo.com/" TargetMode="External"/><Relationship Id="rId1629" Type="http://schemas.openxmlformats.org/officeDocument/2006/relationships/hyperlink" Target="https://www.topprofessionalrecruits.com/" TargetMode="External"/><Relationship Id="rId1836" Type="http://schemas.openxmlformats.org/officeDocument/2006/relationships/hyperlink" Target="https://pbs.twimg.com/media/Eu6VnwtVIAEfgIa.jpg" TargetMode="External"/><Relationship Id="rId1903" Type="http://schemas.openxmlformats.org/officeDocument/2006/relationships/hyperlink" Target="https://pbs.twimg.com/media/Eu6TJXOVEAMgg-3.png" TargetMode="External"/><Relationship Id="rId3051" Type="http://schemas.openxmlformats.org/officeDocument/2006/relationships/hyperlink" Target="https://buff.ly/3k9PVPT" TargetMode="External"/><Relationship Id="rId4102" Type="http://schemas.openxmlformats.org/officeDocument/2006/relationships/hyperlink" Target="https://www.news-medical.net/" TargetMode="External"/><Relationship Id="rId3868" Type="http://schemas.openxmlformats.org/officeDocument/2006/relationships/hyperlink" Target="http://www.blackwomeninai.com/" TargetMode="External"/><Relationship Id="rId789" Type="http://schemas.openxmlformats.org/officeDocument/2006/relationships/hyperlink" Target="http://www.aiaustralia.org/" TargetMode="External"/><Relationship Id="rId996" Type="http://schemas.openxmlformats.org/officeDocument/2006/relationships/hyperlink" Target="https://catanacapital.com/blog/alternative-financial-data-how-fund-managers-use-alternative-data/" TargetMode="External"/><Relationship Id="rId2677" Type="http://schemas.openxmlformats.org/officeDocument/2006/relationships/hyperlink" Target="https://buff.ly/3pLdwaw" TargetMode="External"/><Relationship Id="rId2884" Type="http://schemas.openxmlformats.org/officeDocument/2006/relationships/hyperlink" Target="https://contribute.towardsai.net/" TargetMode="External"/><Relationship Id="rId3728" Type="http://schemas.openxmlformats.org/officeDocument/2006/relationships/hyperlink" Target="http://pic.twitter.com/fZg0r6m6uJ" TargetMode="External"/><Relationship Id="rId649" Type="http://schemas.openxmlformats.org/officeDocument/2006/relationships/hyperlink" Target="http://mlcards.xpertup.com/" TargetMode="External"/><Relationship Id="rId856" Type="http://schemas.openxmlformats.org/officeDocument/2006/relationships/hyperlink" Target="https://lnkd.in/d7KzUsP" TargetMode="External"/><Relationship Id="rId1279" Type="http://schemas.openxmlformats.org/officeDocument/2006/relationships/hyperlink" Target="https://buff.ly/3klEg0j" TargetMode="External"/><Relationship Id="rId1486" Type="http://schemas.openxmlformats.org/officeDocument/2006/relationships/hyperlink" Target="http://traderslog.com/" TargetMode="External"/><Relationship Id="rId2537" Type="http://schemas.openxmlformats.org/officeDocument/2006/relationships/hyperlink" Target="http://ment.at/" TargetMode="External"/><Relationship Id="rId3935" Type="http://schemas.openxmlformats.org/officeDocument/2006/relationships/hyperlink" Target="http://ipfconline.fr/contacts-eng.html" TargetMode="External"/><Relationship Id="rId509" Type="http://schemas.openxmlformats.org/officeDocument/2006/relationships/hyperlink" Target="https://zpy.io/129ce024" TargetMode="External"/><Relationship Id="rId1139" Type="http://schemas.openxmlformats.org/officeDocument/2006/relationships/hyperlink" Target="https://zpy.io/b505cfed" TargetMode="External"/><Relationship Id="rId1346" Type="http://schemas.openxmlformats.org/officeDocument/2006/relationships/hyperlink" Target="https://www.linkedin.com/in/danieluriol/" TargetMode="External"/><Relationship Id="rId1693" Type="http://schemas.openxmlformats.org/officeDocument/2006/relationships/hyperlink" Target="https://pbs.twimg.com/media/Eu6cCIpXEAUbqqZ.jpg" TargetMode="External"/><Relationship Id="rId2744" Type="http://schemas.openxmlformats.org/officeDocument/2006/relationships/hyperlink" Target="https://www.linkedin.com/in/nicolaspinto1/" TargetMode="External"/><Relationship Id="rId2951" Type="http://schemas.openxmlformats.org/officeDocument/2006/relationships/hyperlink" Target="https://www.project-consult.de/impressum" TargetMode="External"/><Relationship Id="rId716" Type="http://schemas.openxmlformats.org/officeDocument/2006/relationships/hyperlink" Target="https://www.fiverr.com/shahtech88?up_rollout=true" TargetMode="External"/><Relationship Id="rId923" Type="http://schemas.openxmlformats.org/officeDocument/2006/relationships/hyperlink" Target="http://ow.ly/CZMs30rxQpK" TargetMode="External"/><Relationship Id="rId1553" Type="http://schemas.openxmlformats.org/officeDocument/2006/relationships/hyperlink" Target="https://bit.ly/2ZH5CWe" TargetMode="External"/><Relationship Id="rId1760" Type="http://schemas.openxmlformats.org/officeDocument/2006/relationships/hyperlink" Target="https://thecybersecurityplace.com/artificial-intelligence-in-cybersecurity/" TargetMode="External"/><Relationship Id="rId2604" Type="http://schemas.openxmlformats.org/officeDocument/2006/relationships/hyperlink" Target="http://www.expertsystem.com/" TargetMode="External"/><Relationship Id="rId2811" Type="http://schemas.openxmlformats.org/officeDocument/2006/relationships/hyperlink" Target="http://pimloc.com/" TargetMode="External"/><Relationship Id="rId52" Type="http://schemas.openxmlformats.org/officeDocument/2006/relationships/hyperlink" Target="https://www.geldinstitute.de/it-itk/2021/die-vorteile-von-machine-learning-fuer-banken.html" TargetMode="External"/><Relationship Id="rId1206" Type="http://schemas.openxmlformats.org/officeDocument/2006/relationships/hyperlink" Target="http://www.globalknowledge.es/" TargetMode="External"/><Relationship Id="rId1413" Type="http://schemas.openxmlformats.org/officeDocument/2006/relationships/hyperlink" Target="https://techxplore.com/news/2021-01-bio-inspired-robotics-dragonflies.html" TargetMode="External"/><Relationship Id="rId1620" Type="http://schemas.openxmlformats.org/officeDocument/2006/relationships/hyperlink" Target="https://www.venkatramakrishnan.com/" TargetMode="External"/><Relationship Id="rId3378" Type="http://schemas.openxmlformats.org/officeDocument/2006/relationships/hyperlink" Target="http://pic.twitter.com/mAhqMNxdkI" TargetMode="External"/><Relationship Id="rId3585" Type="http://schemas.openxmlformats.org/officeDocument/2006/relationships/hyperlink" Target="http://katonic.ai/" TargetMode="External"/><Relationship Id="rId3792" Type="http://schemas.openxmlformats.org/officeDocument/2006/relationships/hyperlink" Target="https://sites.google.com/view/widspune2019/about" TargetMode="External"/><Relationship Id="rId299" Type="http://schemas.openxmlformats.org/officeDocument/2006/relationships/hyperlink" Target="https://heartbeat.fritz.ai/heartbeat-newsletter-volume-27-fdde395116fb?source=rss----680eee12c50d---4&amp;utm_source=dlvr.it&amp;utm_medium=twitter" TargetMode="External"/><Relationship Id="rId2187" Type="http://schemas.openxmlformats.org/officeDocument/2006/relationships/hyperlink" Target="http://civictechdaily.us/?edition_id=e2bfed30-75c8-11eb-a5c8-0cc47a0d15fd" TargetMode="External"/><Relationship Id="rId2394" Type="http://schemas.openxmlformats.org/officeDocument/2006/relationships/hyperlink" Target="https://www.gamuts.net/" TargetMode="External"/><Relationship Id="rId3238" Type="http://schemas.openxmlformats.org/officeDocument/2006/relationships/hyperlink" Target="http://www.camera-module.com/" TargetMode="External"/><Relationship Id="rId3445" Type="http://schemas.openxmlformats.org/officeDocument/2006/relationships/hyperlink" Target="https://pbs.twimg.com/media/Eu48DshVgAAhVTA.jpg" TargetMode="External"/><Relationship Id="rId3652" Type="http://schemas.openxmlformats.org/officeDocument/2006/relationships/hyperlink" Target="https://blogs.technet.microsoft.com/techlazy" TargetMode="External"/><Relationship Id="rId159" Type="http://schemas.openxmlformats.org/officeDocument/2006/relationships/hyperlink" Target="http://pic.twitter.com/qgLDDQHsdd" TargetMode="External"/><Relationship Id="rId366" Type="http://schemas.openxmlformats.org/officeDocument/2006/relationships/hyperlink" Target="https://pbs.twimg.com/media/Eu7U_5QWgAAmPex.jpg" TargetMode="External"/><Relationship Id="rId573" Type="http://schemas.openxmlformats.org/officeDocument/2006/relationships/hyperlink" Target="http://safety-line.fr/" TargetMode="External"/><Relationship Id="rId780" Type="http://schemas.openxmlformats.org/officeDocument/2006/relationships/hyperlink" Target="https://pbs.twimg.com/media/Eu7EeFfXYAcKxP6.jpg" TargetMode="External"/><Relationship Id="rId2047" Type="http://schemas.openxmlformats.org/officeDocument/2006/relationships/hyperlink" Target="https://tinyurl.com/y7g2jk8c" TargetMode="External"/><Relationship Id="rId2254" Type="http://schemas.openxmlformats.org/officeDocument/2006/relationships/hyperlink" Target="http://www.roboadvisor4u.io/" TargetMode="External"/><Relationship Id="rId2461" Type="http://schemas.openxmlformats.org/officeDocument/2006/relationships/hyperlink" Target="http://neurons.ai/" TargetMode="External"/><Relationship Id="rId3305" Type="http://schemas.openxmlformats.org/officeDocument/2006/relationships/hyperlink" Target="https://pbs.twimg.com/media/Eu5KrL0VEAYHPUU.jpg" TargetMode="External"/><Relationship Id="rId3512" Type="http://schemas.openxmlformats.org/officeDocument/2006/relationships/hyperlink" Target="http://kloudq.com/" TargetMode="External"/><Relationship Id="rId226" Type="http://schemas.openxmlformats.org/officeDocument/2006/relationships/hyperlink" Target="http://h2o.ai/" TargetMode="External"/><Relationship Id="rId433" Type="http://schemas.openxmlformats.org/officeDocument/2006/relationships/hyperlink" Target="http://www.linkedin.com/in/jamesg2006" TargetMode="External"/><Relationship Id="rId1063" Type="http://schemas.openxmlformats.org/officeDocument/2006/relationships/hyperlink" Target="https://www.expeflow.com/" TargetMode="External"/><Relationship Id="rId1270" Type="http://schemas.openxmlformats.org/officeDocument/2006/relationships/hyperlink" Target="https://pbs.twimg.com/media/Eu5l7sTUUAYGF5k.jpg" TargetMode="External"/><Relationship Id="rId2114" Type="http://schemas.openxmlformats.org/officeDocument/2006/relationships/hyperlink" Target="http://successanalytix.blogspot.com/" TargetMode="External"/><Relationship Id="rId640" Type="http://schemas.openxmlformats.org/officeDocument/2006/relationships/hyperlink" Target="https://buff.ly/3qFNK9t" TargetMode="External"/><Relationship Id="rId2321" Type="http://schemas.openxmlformats.org/officeDocument/2006/relationships/hyperlink" Target="http://www.extentia.com/contact-us" TargetMode="External"/><Relationship Id="rId4079" Type="http://schemas.openxmlformats.org/officeDocument/2006/relationships/hyperlink" Target="https://twitter.com/worldtrendsinfo" TargetMode="External"/><Relationship Id="rId500" Type="http://schemas.openxmlformats.org/officeDocument/2006/relationships/hyperlink" Target="https://www.bluecloudt.com/" TargetMode="External"/><Relationship Id="rId1130" Type="http://schemas.openxmlformats.org/officeDocument/2006/relationships/hyperlink" Target="https://pbs.twimg.com/media/Eu6wlQ2WgAEU7SY.jpg" TargetMode="External"/><Relationship Id="rId1947" Type="http://schemas.openxmlformats.org/officeDocument/2006/relationships/hyperlink" Target="https://www.youtube.com/watch?v=7yqt2aK6MzQ&amp;feature=youtu.be" TargetMode="External"/><Relationship Id="rId3095" Type="http://schemas.openxmlformats.org/officeDocument/2006/relationships/hyperlink" Target="https://bit.ly/3bzvWpR" TargetMode="External"/><Relationship Id="rId4146" Type="http://schemas.openxmlformats.org/officeDocument/2006/relationships/hyperlink" Target="https://mostreviewednet.blogspot.com/2021/02/spark-streaming-30-with-scala-rock-jvm.html" TargetMode="External"/><Relationship Id="rId1807" Type="http://schemas.openxmlformats.org/officeDocument/2006/relationships/hyperlink" Target="http://rb.gy/gdgtco" TargetMode="External"/><Relationship Id="rId3162" Type="http://schemas.openxmlformats.org/officeDocument/2006/relationships/hyperlink" Target="https://openstatistics.org/" TargetMode="External"/><Relationship Id="rId4006" Type="http://schemas.openxmlformats.org/officeDocument/2006/relationships/hyperlink" Target="https://anoortech.com/" TargetMode="External"/><Relationship Id="rId4213" Type="http://schemas.openxmlformats.org/officeDocument/2006/relationships/hyperlink" Target="https://www.datamation.com/artificial-intelligence/artificial-intelligence-use-cases/" TargetMode="External"/><Relationship Id="rId290" Type="http://schemas.openxmlformats.org/officeDocument/2006/relationships/hyperlink" Target="http://essentials.news/future-of-ai" TargetMode="External"/><Relationship Id="rId3022" Type="http://schemas.openxmlformats.org/officeDocument/2006/relationships/hyperlink" Target="https://www.techtalkcorner.com/" TargetMode="External"/><Relationship Id="rId150" Type="http://schemas.openxmlformats.org/officeDocument/2006/relationships/hyperlink" Target="https://www.linkedin.com/in/jimmy-godard-pmp-mba-itil-a72b9a3/" TargetMode="External"/><Relationship Id="rId3979" Type="http://schemas.openxmlformats.org/officeDocument/2006/relationships/hyperlink" Target="https://pbs.twimg.com/media/Eu4HbYAUYAIW5hk.jpg" TargetMode="External"/><Relationship Id="rId2788" Type="http://schemas.openxmlformats.org/officeDocument/2006/relationships/hyperlink" Target="https://www.informationweek.com/big-data/ai-machine-learning/what-lawyers-want-everyone-to-know-about-ai-liability/a/d-id/1340211" TargetMode="External"/><Relationship Id="rId2995" Type="http://schemas.openxmlformats.org/officeDocument/2006/relationships/hyperlink" Target="https://bit.ly/3keV4G4" TargetMode="External"/><Relationship Id="rId3839" Type="http://schemas.openxmlformats.org/officeDocument/2006/relationships/hyperlink" Target="https://neurons.ai/blog/news-stories/tookitaki-powers-ai-driven-anti-money-laundering-solution-using-hpe-greenlake-2/" TargetMode="External"/><Relationship Id="rId967" Type="http://schemas.openxmlformats.org/officeDocument/2006/relationships/hyperlink" Target="https://www.dailystar.co.uk/news/weird-news/creepy-ai-sex-doll-tells-23548053" TargetMode="External"/><Relationship Id="rId1597" Type="http://schemas.openxmlformats.org/officeDocument/2006/relationships/hyperlink" Target="http://bit.ly/2OVYZfu" TargetMode="External"/><Relationship Id="rId2648" Type="http://schemas.openxmlformats.org/officeDocument/2006/relationships/hyperlink" Target="https://www.sciencedirect.com/science/article/pii/S2666546821000021" TargetMode="External"/><Relationship Id="rId2855" Type="http://schemas.openxmlformats.org/officeDocument/2006/relationships/hyperlink" Target="http://pic.twitter.com/66HAbN0rc0" TargetMode="External"/><Relationship Id="rId3906" Type="http://schemas.openxmlformats.org/officeDocument/2006/relationships/hyperlink" Target="https://pbs.twimg.com/media/EuhA1r-XIAI5jXd.jpg" TargetMode="External"/><Relationship Id="rId96" Type="http://schemas.openxmlformats.org/officeDocument/2006/relationships/hyperlink" Target="https://machinelearningflx.com/" TargetMode="External"/><Relationship Id="rId827" Type="http://schemas.openxmlformats.org/officeDocument/2006/relationships/hyperlink" Target="https://neurons.ai/blog/news-stories/machine-learning-market-2021-to-2025-growing-application-in-industry-presents-opportunities/" TargetMode="External"/><Relationship Id="rId1457" Type="http://schemas.openxmlformats.org/officeDocument/2006/relationships/hyperlink" Target="http://www.e-medtools.com/Medicare_Coding_Tool.html" TargetMode="External"/><Relationship Id="rId1664" Type="http://schemas.openxmlformats.org/officeDocument/2006/relationships/hyperlink" Target="https://bit.ly/2Xxiv3c" TargetMode="External"/><Relationship Id="rId1871" Type="http://schemas.openxmlformats.org/officeDocument/2006/relationships/hyperlink" Target="https://buff.ly/3jydcdG" TargetMode="External"/><Relationship Id="rId2508" Type="http://schemas.openxmlformats.org/officeDocument/2006/relationships/hyperlink" Target="https://www.finextra.com/the-long-read/96/five-predictions-for-the-use-of-ai-in-fintech" TargetMode="External"/><Relationship Id="rId2715" Type="http://schemas.openxmlformats.org/officeDocument/2006/relationships/hyperlink" Target="http://www.karunadutechnologies.com/" TargetMode="External"/><Relationship Id="rId2922" Type="http://schemas.openxmlformats.org/officeDocument/2006/relationships/hyperlink" Target="https://chatbotslife.com/how-intelligent-and-automated-conversational-systems-are-driving-b2c-revenue-and-growth-e5af82f3432e?source=rss----a49517e4c30b---4" TargetMode="External"/><Relationship Id="rId4070" Type="http://schemas.openxmlformats.org/officeDocument/2006/relationships/hyperlink" Target="https://pbs.twimg.com/media/Eu3-1y8VcAAEN0l.jpg" TargetMode="External"/><Relationship Id="rId1317" Type="http://schemas.openxmlformats.org/officeDocument/2006/relationships/hyperlink" Target="https://www.digitaltrends.com/features/ai-genetic-code/" TargetMode="External"/><Relationship Id="rId1524" Type="http://schemas.openxmlformats.org/officeDocument/2006/relationships/hyperlink" Target="https://pbs.twimg.com/media/Eu6j_JmXAAYO4av.png" TargetMode="External"/><Relationship Id="rId1731" Type="http://schemas.openxmlformats.org/officeDocument/2006/relationships/hyperlink" Target="http://bit.ly/31pFzTC" TargetMode="External"/><Relationship Id="rId23" Type="http://schemas.openxmlformats.org/officeDocument/2006/relationships/hyperlink" Target="https://techbullion.com/data-quality-why-it-matters-in-machine-learning/" TargetMode="External"/><Relationship Id="rId3489" Type="http://schemas.openxmlformats.org/officeDocument/2006/relationships/hyperlink" Target="https://machinelearningflx.com/" TargetMode="External"/><Relationship Id="rId3696" Type="http://schemas.openxmlformats.org/officeDocument/2006/relationships/hyperlink" Target="http://adnanhashmi.co/" TargetMode="External"/><Relationship Id="rId2298" Type="http://schemas.openxmlformats.org/officeDocument/2006/relationships/hyperlink" Target="https://www.intellis.io/request-demo" TargetMode="External"/><Relationship Id="rId3349" Type="http://schemas.openxmlformats.org/officeDocument/2006/relationships/hyperlink" Target="https://pbs.twimg.com/media/Eu5H49-WgAE2d8i.png" TargetMode="External"/><Relationship Id="rId3556" Type="http://schemas.openxmlformats.org/officeDocument/2006/relationships/hyperlink" Target="http://pic.twitter.com/jYAsGdYgbK" TargetMode="External"/><Relationship Id="rId477" Type="http://schemas.openxmlformats.org/officeDocument/2006/relationships/hyperlink" Target="https://pbs.twimg.com/media/Eu7D69iWgAcUlln.png" TargetMode="External"/><Relationship Id="rId684" Type="http://schemas.openxmlformats.org/officeDocument/2006/relationships/hyperlink" Target="https://www.linkedin.com/in/francoronconi/" TargetMode="External"/><Relationship Id="rId2158" Type="http://schemas.openxmlformats.org/officeDocument/2006/relationships/hyperlink" Target="https://pbs.twimg.com/media/Eu6GTeaWQAIocpJ.jpg" TargetMode="External"/><Relationship Id="rId2365" Type="http://schemas.openxmlformats.org/officeDocument/2006/relationships/hyperlink" Target="http://isds.tugraz.at/codis" TargetMode="External"/><Relationship Id="rId3209" Type="http://schemas.openxmlformats.org/officeDocument/2006/relationships/hyperlink" Target="https://bit.ly/3jxyNTB" TargetMode="External"/><Relationship Id="rId3763" Type="http://schemas.openxmlformats.org/officeDocument/2006/relationships/hyperlink" Target="https://www.linkedin.com/in/mpyllan/" TargetMode="External"/><Relationship Id="rId3970" Type="http://schemas.openxmlformats.org/officeDocument/2006/relationships/hyperlink" Target="https://machinelearningflx.com/" TargetMode="External"/><Relationship Id="rId337" Type="http://schemas.openxmlformats.org/officeDocument/2006/relationships/hyperlink" Target="https://www.forbes.com/sites/charliefink/2021/02/23/qualcomm-accelerates-ar-with-new-smart-viewer/?sh=f4567572737f" TargetMode="External"/><Relationship Id="rId891" Type="http://schemas.openxmlformats.org/officeDocument/2006/relationships/hyperlink" Target="https://zpy.io/08df06bd" TargetMode="External"/><Relationship Id="rId2018" Type="http://schemas.openxmlformats.org/officeDocument/2006/relationships/hyperlink" Target="http://www.alertboot.com/" TargetMode="External"/><Relationship Id="rId2572" Type="http://schemas.openxmlformats.org/officeDocument/2006/relationships/hyperlink" Target="https://pbs.twimg.com/media/Eu5xEr5WYAEH5Mq.jpg" TargetMode="External"/><Relationship Id="rId3416" Type="http://schemas.openxmlformats.org/officeDocument/2006/relationships/hyperlink" Target="https://amzn.to/2ZGcySn" TargetMode="External"/><Relationship Id="rId3623" Type="http://schemas.openxmlformats.org/officeDocument/2006/relationships/hyperlink" Target="https://www.visibleman.org/" TargetMode="External"/><Relationship Id="rId3830" Type="http://schemas.openxmlformats.org/officeDocument/2006/relationships/hyperlink" Target="http://enetwork.ai/" TargetMode="External"/><Relationship Id="rId544" Type="http://schemas.openxmlformats.org/officeDocument/2006/relationships/hyperlink" Target="http://controlengineering.pl/" TargetMode="External"/><Relationship Id="rId751" Type="http://schemas.openxmlformats.org/officeDocument/2006/relationships/hyperlink" Target="https://medium.com/ai-in-plain-english/predictive-modeling-1ec1246f5376" TargetMode="External"/><Relationship Id="rId1174" Type="http://schemas.openxmlformats.org/officeDocument/2006/relationships/hyperlink" Target="https://pbs.twimg.com/media/Eu6z360WQAIVe2s.jpg" TargetMode="External"/><Relationship Id="rId1381" Type="http://schemas.openxmlformats.org/officeDocument/2006/relationships/hyperlink" Target="http://www.corizance.com/" TargetMode="External"/><Relationship Id="rId2225" Type="http://schemas.openxmlformats.org/officeDocument/2006/relationships/hyperlink" Target="https://linktr.ee/RonaldvanLoon" TargetMode="External"/><Relationship Id="rId2432" Type="http://schemas.openxmlformats.org/officeDocument/2006/relationships/hyperlink" Target="https://ift.tt/3pTUkrv" TargetMode="External"/><Relationship Id="rId404" Type="http://schemas.openxmlformats.org/officeDocument/2006/relationships/hyperlink" Target="https://bit.ly/37FWFjq" TargetMode="External"/><Relationship Id="rId611" Type="http://schemas.openxmlformats.org/officeDocument/2006/relationships/hyperlink" Target="https://wrf.cl/" TargetMode="External"/><Relationship Id="rId1034" Type="http://schemas.openxmlformats.org/officeDocument/2006/relationships/hyperlink" Target="http://dlvr.it/RtK1gm" TargetMode="External"/><Relationship Id="rId1241" Type="http://schemas.openxmlformats.org/officeDocument/2006/relationships/hyperlink" Target="https://link.medium.com/M5Tt5dWw6db" TargetMode="External"/><Relationship Id="rId1101" Type="http://schemas.openxmlformats.org/officeDocument/2006/relationships/hyperlink" Target="http://www.linkedin.com/in/EdKwedar" TargetMode="External"/><Relationship Id="rId4257" Type="http://schemas.openxmlformats.org/officeDocument/2006/relationships/hyperlink" Target="http://pic.twitter.com/ieDspnxmTb" TargetMode="External"/><Relationship Id="rId3066" Type="http://schemas.openxmlformats.org/officeDocument/2006/relationships/hyperlink" Target="http://www.thecloudgen.com/" TargetMode="External"/><Relationship Id="rId3273" Type="http://schemas.openxmlformats.org/officeDocument/2006/relationships/hyperlink" Target="https://byp.ee/bgk2Sg" TargetMode="External"/><Relationship Id="rId3480" Type="http://schemas.openxmlformats.org/officeDocument/2006/relationships/hyperlink" Target="https://buff.ly/2ZEkCTR" TargetMode="External"/><Relationship Id="rId4117" Type="http://schemas.openxmlformats.org/officeDocument/2006/relationships/hyperlink" Target="https://pbs.twimg.com/media/Eu2vaz9VoAAQrjh.jpg" TargetMode="External"/><Relationship Id="rId194" Type="http://schemas.openxmlformats.org/officeDocument/2006/relationships/hyperlink" Target="https://www.nytimes.com/2021/02/23/technology/ai-innovation-privacy-seniors-education.html" TargetMode="External"/><Relationship Id="rId1918" Type="http://schemas.openxmlformats.org/officeDocument/2006/relationships/hyperlink" Target="https://www.onelink.to/programminghero" TargetMode="External"/><Relationship Id="rId2082" Type="http://schemas.openxmlformats.org/officeDocument/2006/relationships/hyperlink" Target="https://pbs.twimg.com/media/Eu6KO_cVkAUtp9e.jpg" TargetMode="External"/><Relationship Id="rId3133" Type="http://schemas.openxmlformats.org/officeDocument/2006/relationships/hyperlink" Target="https://hernan.rodriguezmartinez.com/social-media" TargetMode="External"/><Relationship Id="rId261" Type="http://schemas.openxmlformats.org/officeDocument/2006/relationships/hyperlink" Target="http://howtolearnmachinelearning.com/" TargetMode="External"/><Relationship Id="rId3340" Type="http://schemas.openxmlformats.org/officeDocument/2006/relationships/hyperlink" Target="https://www.reddit.com/r/MachineLearning/" TargetMode="External"/><Relationship Id="rId2899" Type="http://schemas.openxmlformats.org/officeDocument/2006/relationships/hyperlink" Target="https://pbs.twimg.com/media/Eu5h7xVXYAACFTe.jpg" TargetMode="External"/><Relationship Id="rId3200" Type="http://schemas.openxmlformats.org/officeDocument/2006/relationships/hyperlink" Target="https://hubs.ly/H0GQSmV0" TargetMode="External"/><Relationship Id="rId121" Type="http://schemas.openxmlformats.org/officeDocument/2006/relationships/hyperlink" Target="https://pbs.twimg.com/media/Eu7f62NXcAcqrJL.jpg" TargetMode="External"/><Relationship Id="rId2759" Type="http://schemas.openxmlformats.org/officeDocument/2006/relationships/hyperlink" Target="https://pbs.twimg.com/media/Eu5ma7kVEAAecIp.jpg" TargetMode="External"/><Relationship Id="rId2966" Type="http://schemas.openxmlformats.org/officeDocument/2006/relationships/hyperlink" Target="https://pbs.twimg.com/media/Eu5epHBXAAQtQ52.jpg" TargetMode="External"/><Relationship Id="rId938" Type="http://schemas.openxmlformats.org/officeDocument/2006/relationships/hyperlink" Target="https://buff.ly/3qCtHZg" TargetMode="External"/><Relationship Id="rId1568" Type="http://schemas.openxmlformats.org/officeDocument/2006/relationships/hyperlink" Target="http://www.omron.ch/" TargetMode="External"/><Relationship Id="rId1775" Type="http://schemas.openxmlformats.org/officeDocument/2006/relationships/hyperlink" Target="https://www.linkedin.com/feed/update/urn:li:activity:6769961458286514176/" TargetMode="External"/><Relationship Id="rId2619" Type="http://schemas.openxmlformats.org/officeDocument/2006/relationships/hyperlink" Target="https://dsf-kotaro.hatenablog.com/entry/2021/02/23/182503" TargetMode="External"/><Relationship Id="rId2826" Type="http://schemas.openxmlformats.org/officeDocument/2006/relationships/hyperlink" Target="http://www.jasonmpittman.com/" TargetMode="External"/><Relationship Id="rId4181" Type="http://schemas.openxmlformats.org/officeDocument/2006/relationships/hyperlink" Target="https://pbs.twimg.com/media/Eu3y7oFXIAc1VoB.png" TargetMode="External"/><Relationship Id="rId67" Type="http://schemas.openxmlformats.org/officeDocument/2006/relationships/hyperlink" Target="https://twitter.com/svpino/status/1364253528143847438" TargetMode="External"/><Relationship Id="rId1428" Type="http://schemas.openxmlformats.org/officeDocument/2006/relationships/hyperlink" Target="https://ift.tt/3aMbzqo" TargetMode="External"/><Relationship Id="rId1635" Type="http://schemas.openxmlformats.org/officeDocument/2006/relationships/hyperlink" Target="https://pbs.twimg.com/media/Eu6em_NXcAQ_xRB.png" TargetMode="External"/><Relationship Id="rId1982" Type="http://schemas.openxmlformats.org/officeDocument/2006/relationships/hyperlink" Target="https://pbs.twimg.com/media/Eu6PvRNWYAMKs6A.jpg" TargetMode="External"/><Relationship Id="rId4041" Type="http://schemas.openxmlformats.org/officeDocument/2006/relationships/hyperlink" Target="http://buff.ly/2NKBPbA" TargetMode="External"/><Relationship Id="rId1842" Type="http://schemas.openxmlformats.org/officeDocument/2006/relationships/hyperlink" Target="https://medium.com/ai-in-plain-english/an-introduction-to-artificial-intelligence-and-machine-learning-1b7da8a76f34" TargetMode="External"/><Relationship Id="rId1702" Type="http://schemas.openxmlformats.org/officeDocument/2006/relationships/hyperlink" Target="http://www.jadbio.com/" TargetMode="External"/><Relationship Id="rId3667" Type="http://schemas.openxmlformats.org/officeDocument/2006/relationships/hyperlink" Target="https://techaffinityconsulting.com/" TargetMode="External"/><Relationship Id="rId3874" Type="http://schemas.openxmlformats.org/officeDocument/2006/relationships/hyperlink" Target="https://datasciencedojo.com/" TargetMode="External"/><Relationship Id="rId588" Type="http://schemas.openxmlformats.org/officeDocument/2006/relationships/hyperlink" Target="http://www.garp.org/" TargetMode="External"/><Relationship Id="rId795" Type="http://schemas.openxmlformats.org/officeDocument/2006/relationships/hyperlink" Target="https://pbs.twimg.com/media/Eu7ES68WYAAqcuZ.jpg" TargetMode="External"/><Relationship Id="rId2269" Type="http://schemas.openxmlformats.org/officeDocument/2006/relationships/hyperlink" Target="https://ibm.co/2OT7hoo" TargetMode="External"/><Relationship Id="rId2476" Type="http://schemas.openxmlformats.org/officeDocument/2006/relationships/hyperlink" Target="https://www.analyticsinsight.net/unravelling-transfer-learning-to-make-machines-more-advanced/" TargetMode="External"/><Relationship Id="rId2683" Type="http://schemas.openxmlformats.org/officeDocument/2006/relationships/hyperlink" Target="http://ow.ly/yYH130rxY8R" TargetMode="External"/><Relationship Id="rId2890" Type="http://schemas.openxmlformats.org/officeDocument/2006/relationships/hyperlink" Target="https://pbs.twimg.com/media/Eu4YX4gUYAMABPz.jpg" TargetMode="External"/><Relationship Id="rId3527" Type="http://schemas.openxmlformats.org/officeDocument/2006/relationships/hyperlink" Target="https://www.forbes.com/sites/bernardmarr/2021/02/22/the-4-biggest-trends-in-big-data-and-analytics-right-for-2021/" TargetMode="External"/><Relationship Id="rId3734" Type="http://schemas.openxmlformats.org/officeDocument/2006/relationships/hyperlink" Target="https://datasciencevault.com/" TargetMode="External"/><Relationship Id="rId3941" Type="http://schemas.openxmlformats.org/officeDocument/2006/relationships/hyperlink" Target="https://supersalo.herokuapp.com/" TargetMode="External"/><Relationship Id="rId448" Type="http://schemas.openxmlformats.org/officeDocument/2006/relationships/hyperlink" Target="https://www.programmerweekly.com/" TargetMode="External"/><Relationship Id="rId655" Type="http://schemas.openxmlformats.org/officeDocument/2006/relationships/hyperlink" Target="http://ulster.ac.uk/ges/" TargetMode="External"/><Relationship Id="rId862" Type="http://schemas.openxmlformats.org/officeDocument/2006/relationships/hyperlink" Target="http://pic.twitter.com/6uW902Xk5e" TargetMode="External"/><Relationship Id="rId1078" Type="http://schemas.openxmlformats.org/officeDocument/2006/relationships/hyperlink" Target="http://ieducando.com/" TargetMode="External"/><Relationship Id="rId1285" Type="http://schemas.openxmlformats.org/officeDocument/2006/relationships/hyperlink" Target="https://neurons.ai/blog/news-stories/training-machine-learning-models-to-be-future-ready/" TargetMode="External"/><Relationship Id="rId1492" Type="http://schemas.openxmlformats.org/officeDocument/2006/relationships/hyperlink" Target="https://www.eventbrite.co.uk/e/ai-clinic-special-edition-data-science-culture-and-team-dynamics-tickets-138153726515?aff=ebdsoporgprofile" TargetMode="External"/><Relationship Id="rId2129" Type="http://schemas.openxmlformats.org/officeDocument/2006/relationships/hyperlink" Target="https://roboticsindia.live/" TargetMode="External"/><Relationship Id="rId2336" Type="http://schemas.openxmlformats.org/officeDocument/2006/relationships/hyperlink" Target="http://aditics.com/" TargetMode="External"/><Relationship Id="rId2543" Type="http://schemas.openxmlformats.org/officeDocument/2006/relationships/hyperlink" Target="https://bit.ly/3unXKGg" TargetMode="External"/><Relationship Id="rId2750" Type="http://schemas.openxmlformats.org/officeDocument/2006/relationships/hyperlink" Target="https://sdx.io/DWAP" TargetMode="External"/><Relationship Id="rId3801" Type="http://schemas.openxmlformats.org/officeDocument/2006/relationships/hyperlink" Target="https://pbs.twimg.com/media/Eu4eWr-UcAAWlUc.jpg" TargetMode="External"/><Relationship Id="rId308" Type="http://schemas.openxmlformats.org/officeDocument/2006/relationships/hyperlink" Target="https://lnkd.in/gY-GcvD" TargetMode="External"/><Relationship Id="rId515" Type="http://schemas.openxmlformats.org/officeDocument/2006/relationships/hyperlink" Target="http://www.equitus.us/" TargetMode="External"/><Relationship Id="rId722" Type="http://schemas.openxmlformats.org/officeDocument/2006/relationships/hyperlink" Target="https://www.prnewswire.com/news-releases/rokk3r-acquires-admobilize-and-matrix-labs-to-grow-aiiot-holdings-301233644.html" TargetMode="External"/><Relationship Id="rId1145" Type="http://schemas.openxmlformats.org/officeDocument/2006/relationships/hyperlink" Target="http://www.ddn-news.com/" TargetMode="External"/><Relationship Id="rId1352" Type="http://schemas.openxmlformats.org/officeDocument/2006/relationships/hyperlink" Target="https://medium.com/@guidaautonoma" TargetMode="External"/><Relationship Id="rId2403" Type="http://schemas.openxmlformats.org/officeDocument/2006/relationships/hyperlink" Target="https://buff.ly/3sXRPXV" TargetMode="External"/><Relationship Id="rId1005" Type="http://schemas.openxmlformats.org/officeDocument/2006/relationships/hyperlink" Target="https://pbs.twimg.com/media/Eu66yzYXYAE0q3U.jpg" TargetMode="External"/><Relationship Id="rId1212" Type="http://schemas.openxmlformats.org/officeDocument/2006/relationships/hyperlink" Target="https://ailab.mti-vietnam.vn/vietnam-ai-lab-video-data-scientist/" TargetMode="External"/><Relationship Id="rId2610" Type="http://schemas.openxmlformats.org/officeDocument/2006/relationships/hyperlink" Target="http://www.xors.com/" TargetMode="External"/><Relationship Id="rId3177" Type="http://schemas.openxmlformats.org/officeDocument/2006/relationships/hyperlink" Target="https://pbs.twimg.com/media/Eu5TaaVXAAIpfNA.jpg" TargetMode="External"/><Relationship Id="rId4228" Type="http://schemas.openxmlformats.org/officeDocument/2006/relationships/hyperlink" Target="https://twitter.com/@hudson_chatbots" TargetMode="External"/><Relationship Id="rId3037" Type="http://schemas.openxmlformats.org/officeDocument/2006/relationships/hyperlink" Target="https://bimser.com/" TargetMode="External"/><Relationship Id="rId3384" Type="http://schemas.openxmlformats.org/officeDocument/2006/relationships/hyperlink" Target="https://machinelearningflx.com/" TargetMode="External"/><Relationship Id="rId3591" Type="http://schemas.openxmlformats.org/officeDocument/2006/relationships/hyperlink" Target="http://www.aiaustralia.org/" TargetMode="External"/><Relationship Id="rId2193" Type="http://schemas.openxmlformats.org/officeDocument/2006/relationships/hyperlink" Target="https://medium.com/@guidaautonoma" TargetMode="External"/><Relationship Id="rId3244" Type="http://schemas.openxmlformats.org/officeDocument/2006/relationships/hyperlink" Target="https://pbs.twimg.com/media/Eu5EFoUU4AIH5QG.png" TargetMode="External"/><Relationship Id="rId3451" Type="http://schemas.openxmlformats.org/officeDocument/2006/relationships/hyperlink" Target="https://buff.ly/3umXaZp" TargetMode="External"/><Relationship Id="rId165" Type="http://schemas.openxmlformats.org/officeDocument/2006/relationships/hyperlink" Target="https://towardsai.net/p" TargetMode="External"/><Relationship Id="rId372" Type="http://schemas.openxmlformats.org/officeDocument/2006/relationships/hyperlink" Target="https://www.gci.cam.ac.uk/" TargetMode="External"/><Relationship Id="rId2053" Type="http://schemas.openxmlformats.org/officeDocument/2006/relationships/hyperlink" Target="https://ift.tt/37FLJ5k" TargetMode="External"/><Relationship Id="rId2260" Type="http://schemas.openxmlformats.org/officeDocument/2006/relationships/hyperlink" Target="https://inno3.it/2021/02/22/piedi-per-terra-servono-competenze-per-il-lavoro-al-2030-linkedin-ey-mckinsey/" TargetMode="External"/><Relationship Id="rId3104" Type="http://schemas.openxmlformats.org/officeDocument/2006/relationships/hyperlink" Target="https://venturebeat.com/2021/02/22/eu-report-warns-that-ai-makes-autonomous-vehicles-highly-vulnerable-to-attack/" TargetMode="External"/><Relationship Id="rId3311" Type="http://schemas.openxmlformats.org/officeDocument/2006/relationships/hyperlink" Target="https://bit.ly/3tIg7oU" TargetMode="External"/><Relationship Id="rId232" Type="http://schemas.openxmlformats.org/officeDocument/2006/relationships/hyperlink" Target="https://www.couponed12.com/" TargetMode="External"/><Relationship Id="rId2120" Type="http://schemas.openxmlformats.org/officeDocument/2006/relationships/hyperlink" Target="http://www.inria.fr/centre/paris" TargetMode="External"/><Relationship Id="rId1679" Type="http://schemas.openxmlformats.org/officeDocument/2006/relationships/hyperlink" Target="https://pbs.twimg.com/media/Eu6bd9ZXMAIPl1q.jpg" TargetMode="External"/><Relationship Id="rId4085" Type="http://schemas.openxmlformats.org/officeDocument/2006/relationships/hyperlink" Target="http://www.daimlas.com/" TargetMode="External"/><Relationship Id="rId1886" Type="http://schemas.openxmlformats.org/officeDocument/2006/relationships/hyperlink" Target="http://pic.twitter.com/PbWdsuRdn6" TargetMode="External"/><Relationship Id="rId2937" Type="http://schemas.openxmlformats.org/officeDocument/2006/relationships/hyperlink" Target="https://bigdata.co.za/" TargetMode="External"/><Relationship Id="rId4152" Type="http://schemas.openxmlformats.org/officeDocument/2006/relationships/hyperlink" Target="https://doi.org/10.1148/ryai.2021190228" TargetMode="External"/><Relationship Id="rId909" Type="http://schemas.openxmlformats.org/officeDocument/2006/relationships/hyperlink" Target="https://pbs.twimg.com/media/Eu6-AkmXEAEu4qF.jpg" TargetMode="External"/><Relationship Id="rId1539" Type="http://schemas.openxmlformats.org/officeDocument/2006/relationships/hyperlink" Target="http://www.e-medtools.com/Medicare_Coding_Tool.html" TargetMode="External"/><Relationship Id="rId1746" Type="http://schemas.openxmlformats.org/officeDocument/2006/relationships/hyperlink" Target="https://pbs.twimg.com/media/Euxw8wzXUAMa65O.jpg" TargetMode="External"/><Relationship Id="rId1953" Type="http://schemas.openxmlformats.org/officeDocument/2006/relationships/hyperlink" Target="http://ow.ly/JmxQ50DGlch" TargetMode="External"/><Relationship Id="rId38" Type="http://schemas.openxmlformats.org/officeDocument/2006/relationships/hyperlink" Target="https://datamakespossible.westerndigital.com/ai-and-5g-convergence-internet-of-context/" TargetMode="External"/><Relationship Id="rId1606" Type="http://schemas.openxmlformats.org/officeDocument/2006/relationships/hyperlink" Target="https://buff.ly/2ZET80p" TargetMode="External"/><Relationship Id="rId1813" Type="http://schemas.openxmlformats.org/officeDocument/2006/relationships/hyperlink" Target="https://citadeladvantage.blogspot.com/2019/10/the-danger-of-ai-is-weirder-than-you.html?spref=tw" TargetMode="External"/><Relationship Id="rId4012" Type="http://schemas.openxmlformats.org/officeDocument/2006/relationships/hyperlink" Target="https://pbs.twimg.com/media/Eu4EUgEXIAIQQyT.jpg" TargetMode="External"/><Relationship Id="rId3778" Type="http://schemas.openxmlformats.org/officeDocument/2006/relationships/hyperlink" Target="https://pbs.twimg.com/media/Eu4foAKXMAIIK_B.jpg" TargetMode="External"/><Relationship Id="rId3985" Type="http://schemas.openxmlformats.org/officeDocument/2006/relationships/hyperlink" Target="http://www.mtechpro.com/" TargetMode="External"/><Relationship Id="rId699" Type="http://schemas.openxmlformats.org/officeDocument/2006/relationships/hyperlink" Target="http://fortressiq.com/" TargetMode="External"/><Relationship Id="rId2587" Type="http://schemas.openxmlformats.org/officeDocument/2006/relationships/hyperlink" Target="https://www.hhi.fraunhofer.de/en/press-media/news/2021/fraunhofer-hhi-tu-berlin-and-university-of-oslo-researchers-jointly-receive-pattern-recognition-best-paper-award.html" TargetMode="External"/><Relationship Id="rId2794" Type="http://schemas.openxmlformats.org/officeDocument/2006/relationships/hyperlink" Target="https://pbs.twimg.com/media/Eu5k4jnUYAETaLN.jpg" TargetMode="External"/><Relationship Id="rId3638" Type="http://schemas.openxmlformats.org/officeDocument/2006/relationships/hyperlink" Target="http://rsna.org/ai" TargetMode="External"/><Relationship Id="rId3845" Type="http://schemas.openxmlformats.org/officeDocument/2006/relationships/hyperlink" Target="http://ehsanmkermani.com/" TargetMode="External"/><Relationship Id="rId559" Type="http://schemas.openxmlformats.org/officeDocument/2006/relationships/hyperlink" Target="https://wizzcad.com/" TargetMode="External"/><Relationship Id="rId766" Type="http://schemas.openxmlformats.org/officeDocument/2006/relationships/hyperlink" Target="https://www.jadbio.com/covid-19-research/" TargetMode="External"/><Relationship Id="rId1189" Type="http://schemas.openxmlformats.org/officeDocument/2006/relationships/hyperlink" Target="https://theconversation.com/not-just-complacency-why-people-are-reluctant-to-use-covid-19-contact-tracing-apps-152085" TargetMode="External"/><Relationship Id="rId1396" Type="http://schemas.openxmlformats.org/officeDocument/2006/relationships/hyperlink" Target="https://bit.ly/3aKSG71" TargetMode="External"/><Relationship Id="rId2447" Type="http://schemas.openxmlformats.org/officeDocument/2006/relationships/hyperlink" Target="http://www.letstalk-biz.com/" TargetMode="External"/><Relationship Id="rId419" Type="http://schemas.openxmlformats.org/officeDocument/2006/relationships/hyperlink" Target="http://henon.io/" TargetMode="External"/><Relationship Id="rId626" Type="http://schemas.openxmlformats.org/officeDocument/2006/relationships/hyperlink" Target="http://www.botosynthesis.com/" TargetMode="External"/><Relationship Id="rId973" Type="http://schemas.openxmlformats.org/officeDocument/2006/relationships/hyperlink" Target="http://zeveigen.com/" TargetMode="External"/><Relationship Id="rId1049" Type="http://schemas.openxmlformats.org/officeDocument/2006/relationships/hyperlink" Target="https://thenextweb.com/neural/2021/02/22/microsoft-word-launching-ai-text-predictions-spelling-grammar/" TargetMode="External"/><Relationship Id="rId1256" Type="http://schemas.openxmlformats.org/officeDocument/2006/relationships/hyperlink" Target="https://pbs.twimg.com/media/Eu6uNhPXUAgWSmH.png" TargetMode="External"/><Relationship Id="rId2307" Type="http://schemas.openxmlformats.org/officeDocument/2006/relationships/hyperlink" Target="https://pbs.twimg.com/media/Eu5-xB0VoAEU8jx.jpg" TargetMode="External"/><Relationship Id="rId2654" Type="http://schemas.openxmlformats.org/officeDocument/2006/relationships/hyperlink" Target="https://zcu.io/XsHA" TargetMode="External"/><Relationship Id="rId2861" Type="http://schemas.openxmlformats.org/officeDocument/2006/relationships/hyperlink" Target="https://ift.tt/3dxG598" TargetMode="External"/><Relationship Id="rId3705" Type="http://schemas.openxmlformats.org/officeDocument/2006/relationships/hyperlink" Target="http://www.linkedin.com/in/sajid-mirza1" TargetMode="External"/><Relationship Id="rId3912" Type="http://schemas.openxmlformats.org/officeDocument/2006/relationships/hyperlink" Target="https://towardsdatascience.com/handling-data-scarcity-while-building-machine-learning-applications-e6c243b284b0" TargetMode="External"/><Relationship Id="rId833" Type="http://schemas.openxmlformats.org/officeDocument/2006/relationships/hyperlink" Target="https://www.linkedin.com/posts/tkrajesh_mathematical-foundations-of-machine-learning-activity-6769676599236341761-gcsW" TargetMode="External"/><Relationship Id="rId1116" Type="http://schemas.openxmlformats.org/officeDocument/2006/relationships/hyperlink" Target="https://doi.org/10.1148/ryai.2020200021" TargetMode="External"/><Relationship Id="rId1463" Type="http://schemas.openxmlformats.org/officeDocument/2006/relationships/hyperlink" Target="http://beyond-machine.com/" TargetMode="External"/><Relationship Id="rId1670" Type="http://schemas.openxmlformats.org/officeDocument/2006/relationships/hyperlink" Target="http://technative.io/" TargetMode="External"/><Relationship Id="rId2514" Type="http://schemas.openxmlformats.org/officeDocument/2006/relationships/hyperlink" Target="http://www.youtube.com/c/CodingPerspective" TargetMode="External"/><Relationship Id="rId2721" Type="http://schemas.openxmlformats.org/officeDocument/2006/relationships/hyperlink" Target="http://pic.twitter.com/UDiVHoyAO5" TargetMode="External"/><Relationship Id="rId900" Type="http://schemas.openxmlformats.org/officeDocument/2006/relationships/hyperlink" Target="http://dlvr.it/RtK7hJ" TargetMode="External"/><Relationship Id="rId1323" Type="http://schemas.openxmlformats.org/officeDocument/2006/relationships/hyperlink" Target="https://pbs.twimg.com/media/Eu6sTZHXYAINnzx.jpg" TargetMode="External"/><Relationship Id="rId1530" Type="http://schemas.openxmlformats.org/officeDocument/2006/relationships/hyperlink" Target="http://www.margarisventures.com/" TargetMode="External"/><Relationship Id="rId3288" Type="http://schemas.openxmlformats.org/officeDocument/2006/relationships/hyperlink" Target="https://exonomousid.com/" TargetMode="External"/><Relationship Id="rId3495" Type="http://schemas.openxmlformats.org/officeDocument/2006/relationships/hyperlink" Target="https://tinyurl.com/y7q2trdu" TargetMode="External"/><Relationship Id="rId2097" Type="http://schemas.openxmlformats.org/officeDocument/2006/relationships/hyperlink" Target="https://neurons.ai/blog/news-stories/machine-learning-in-communication-market-outlook-2020-technology-development-company/" TargetMode="External"/><Relationship Id="rId3148" Type="http://schemas.openxmlformats.org/officeDocument/2006/relationships/hyperlink" Target="http://www.mirai-innovation-lab.com/" TargetMode="External"/><Relationship Id="rId3355" Type="http://schemas.openxmlformats.org/officeDocument/2006/relationships/hyperlink" Target="http://sebastienbourguignon.com/" TargetMode="External"/><Relationship Id="rId3562" Type="http://schemas.openxmlformats.org/officeDocument/2006/relationships/hyperlink" Target="https://pbs.twimg.com/media/Eu4z1ShXMAMLhSC.jpg" TargetMode="External"/><Relationship Id="rId276" Type="http://schemas.openxmlformats.org/officeDocument/2006/relationships/hyperlink" Target="https://github.com/akshitagupta15june" TargetMode="External"/><Relationship Id="rId483" Type="http://schemas.openxmlformats.org/officeDocument/2006/relationships/hyperlink" Target="http://www.birmingham.ac.uk/wiebke-arlt" TargetMode="External"/><Relationship Id="rId690" Type="http://schemas.openxmlformats.org/officeDocument/2006/relationships/hyperlink" Target="http://nanohub.org/" TargetMode="External"/><Relationship Id="rId2164" Type="http://schemas.openxmlformats.org/officeDocument/2006/relationships/hyperlink" Target="http://pic.twitter.com/fzmkZVxafm" TargetMode="External"/><Relationship Id="rId2371" Type="http://schemas.openxmlformats.org/officeDocument/2006/relationships/hyperlink" Target="http://www.agendaempresa.com/" TargetMode="External"/><Relationship Id="rId3008" Type="http://schemas.openxmlformats.org/officeDocument/2006/relationships/hyperlink" Target="https://ift.tt/3pIDVWr" TargetMode="External"/><Relationship Id="rId3215" Type="http://schemas.openxmlformats.org/officeDocument/2006/relationships/hyperlink" Target="https://decision.substack.com/?utm_medium=web&amp;utm_campaign=pss" TargetMode="External"/><Relationship Id="rId3422" Type="http://schemas.openxmlformats.org/officeDocument/2006/relationships/hyperlink" Target="http://dlvr.it/RtHHQ8" TargetMode="External"/><Relationship Id="rId136" Type="http://schemas.openxmlformats.org/officeDocument/2006/relationships/hyperlink" Target="https://pbs.twimg.com/media/Eu7ftYOUUAIW58U.jpg" TargetMode="External"/><Relationship Id="rId343" Type="http://schemas.openxmlformats.org/officeDocument/2006/relationships/hyperlink" Target="http://technative.io/" TargetMode="External"/><Relationship Id="rId550" Type="http://schemas.openxmlformats.org/officeDocument/2006/relationships/hyperlink" Target="https://www.linkedin.com/in/lucian-andrei-119a3130/" TargetMode="External"/><Relationship Id="rId1180" Type="http://schemas.openxmlformats.org/officeDocument/2006/relationships/hyperlink" Target="https://machinelearningflx.com/" TargetMode="External"/><Relationship Id="rId2024" Type="http://schemas.openxmlformats.org/officeDocument/2006/relationships/hyperlink" Target="https://www.kdnuggets.com/?p=122763" TargetMode="External"/><Relationship Id="rId2231" Type="http://schemas.openxmlformats.org/officeDocument/2006/relationships/hyperlink" Target="https://www.campusbigdata.com/" TargetMode="External"/><Relationship Id="rId203" Type="http://schemas.openxmlformats.org/officeDocument/2006/relationships/hyperlink" Target="http://intosaijournal.org/auditing-machine-learning-algorithms/" TargetMode="External"/><Relationship Id="rId1040" Type="http://schemas.openxmlformats.org/officeDocument/2006/relationships/hyperlink" Target="http://www.wjbmattingly.com/" TargetMode="External"/><Relationship Id="rId4196" Type="http://schemas.openxmlformats.org/officeDocument/2006/relationships/hyperlink" Target="https://medium.com/ai-in-plain-english/predictive-modeling-part-2-ecabf64060e7" TargetMode="External"/><Relationship Id="rId410" Type="http://schemas.openxmlformats.org/officeDocument/2006/relationships/hyperlink" Target="http://www.petuum.com/" TargetMode="External"/><Relationship Id="rId1997" Type="http://schemas.openxmlformats.org/officeDocument/2006/relationships/hyperlink" Target="https://twitter.com/jblefevre60/status/1361218241952120833" TargetMode="External"/><Relationship Id="rId4056" Type="http://schemas.openxmlformats.org/officeDocument/2006/relationships/hyperlink" Target="https://pbs.twimg.com/media/Eu4ADHBXcAA04Av.jpg" TargetMode="External"/><Relationship Id="rId1857" Type="http://schemas.openxmlformats.org/officeDocument/2006/relationships/hyperlink" Target="https://twitter.com/TerenceLeungSF/status/1364078710048002056" TargetMode="External"/><Relationship Id="rId2908" Type="http://schemas.openxmlformats.org/officeDocument/2006/relationships/hyperlink" Target="https://bit.ly/2Xjt7CB" TargetMode="External"/><Relationship Id="rId4263" Type="http://schemas.openxmlformats.org/officeDocument/2006/relationships/hyperlink" Target="https://pbs.twimg.com/media/EunFynPXYAAp5Ay.jpg" TargetMode="External"/><Relationship Id="rId1717" Type="http://schemas.openxmlformats.org/officeDocument/2006/relationships/hyperlink" Target="https://www.prolego.com/blog/a-smarter-approach-to-model-governance" TargetMode="External"/><Relationship Id="rId1924" Type="http://schemas.openxmlformats.org/officeDocument/2006/relationships/hyperlink" Target="https://www.programming-hero.com/blog/Learn-and-Master-Python-in-a-Month.html" TargetMode="External"/><Relationship Id="rId3072" Type="http://schemas.openxmlformats.org/officeDocument/2006/relationships/hyperlink" Target="https://pbs.twimg.com/media/Eu5Zn4qWgAUPpVL.jpg" TargetMode="External"/><Relationship Id="rId4123" Type="http://schemas.openxmlformats.org/officeDocument/2006/relationships/hyperlink" Target="http://www.nordicaiinstitute.com/" TargetMode="External"/><Relationship Id="rId3889" Type="http://schemas.openxmlformats.org/officeDocument/2006/relationships/hyperlink" Target="https://pbs.twimg.com/media/Eu4R707XMAMPABY.png" TargetMode="External"/><Relationship Id="rId2698" Type="http://schemas.openxmlformats.org/officeDocument/2006/relationships/hyperlink" Target="https://pbs.twimg.com/media/Eu5pERuXcAIJm5U.png" TargetMode="External"/><Relationship Id="rId3749" Type="http://schemas.openxmlformats.org/officeDocument/2006/relationships/hyperlink" Target="http://www.nordicaiinstitute.com/" TargetMode="External"/><Relationship Id="rId3956" Type="http://schemas.openxmlformats.org/officeDocument/2006/relationships/hyperlink" Target="https://neurons.ai/blog/news-stories/apple-goes-on-hiring-spree-for-its-seattle-siri-and-ai-teams-2/" TargetMode="External"/><Relationship Id="rId877" Type="http://schemas.openxmlformats.org/officeDocument/2006/relationships/hyperlink" Target="http://www.masonwake.com/" TargetMode="External"/><Relationship Id="rId2558" Type="http://schemas.openxmlformats.org/officeDocument/2006/relationships/hyperlink" Target="https://autome.me/" TargetMode="External"/><Relationship Id="rId2765" Type="http://schemas.openxmlformats.org/officeDocument/2006/relationships/hyperlink" Target="http://pic.twitter.com/MqCnDCdL5V" TargetMode="External"/><Relationship Id="rId2972" Type="http://schemas.openxmlformats.org/officeDocument/2006/relationships/hyperlink" Target="http://ow.ly/S2yQ30ry26g" TargetMode="External"/><Relationship Id="rId3609" Type="http://schemas.openxmlformats.org/officeDocument/2006/relationships/hyperlink" Target="https://pbs.twimg.com/media/Eu4wFxpWYAEtGKu.jpg" TargetMode="External"/><Relationship Id="rId3816" Type="http://schemas.openxmlformats.org/officeDocument/2006/relationships/hyperlink" Target="https://bit.ly/3pRzH03" TargetMode="External"/><Relationship Id="rId737" Type="http://schemas.openxmlformats.org/officeDocument/2006/relationships/hyperlink" Target="http://www.dld.co/" TargetMode="External"/><Relationship Id="rId944" Type="http://schemas.openxmlformats.org/officeDocument/2006/relationships/hyperlink" Target="https://www.youtube.com/watch?v=kKVLrslta6k" TargetMode="External"/><Relationship Id="rId1367" Type="http://schemas.openxmlformats.org/officeDocument/2006/relationships/hyperlink" Target="https://hubs.ly/H0H2MJd0" TargetMode="External"/><Relationship Id="rId1574" Type="http://schemas.openxmlformats.org/officeDocument/2006/relationships/hyperlink" Target="https://www.researchgate.net/profile/Chen-Gafni/publication/348432435_Studying_Emotive_Effects_in_Poetry_by_Quantifying_Open-Ended_Impressions/links/5ffed7e7299bf140888ffd9a/Studying-Emotive-Effects-in-Poetry-by-Quantifying-Open-Ended-Impressions.pdf" TargetMode="External"/><Relationship Id="rId1781" Type="http://schemas.openxmlformats.org/officeDocument/2006/relationships/hyperlink" Target="https://contribute.towardsai.net/" TargetMode="External"/><Relationship Id="rId2418" Type="http://schemas.openxmlformats.org/officeDocument/2006/relationships/hyperlink" Target="https://amzn.to/3bApzCu" TargetMode="External"/><Relationship Id="rId2625" Type="http://schemas.openxmlformats.org/officeDocument/2006/relationships/hyperlink" Target="https://pbs.twimg.com/media/Eu5uScVVgAI1k-P.jpg" TargetMode="External"/><Relationship Id="rId2832" Type="http://schemas.openxmlformats.org/officeDocument/2006/relationships/hyperlink" Target="http://aws.amazon.com/" TargetMode="External"/><Relationship Id="rId73" Type="http://schemas.openxmlformats.org/officeDocument/2006/relationships/hyperlink" Target="https://pbs.twimg.com/media/Eu7hTndUUAMtFxr.png" TargetMode="External"/><Relationship Id="rId804" Type="http://schemas.openxmlformats.org/officeDocument/2006/relationships/hyperlink" Target="https://zimmerman.team/" TargetMode="External"/><Relationship Id="rId1227" Type="http://schemas.openxmlformats.org/officeDocument/2006/relationships/hyperlink" Target="https://youtu.be/lhyXifriNyk" TargetMode="External"/><Relationship Id="rId1434" Type="http://schemas.openxmlformats.org/officeDocument/2006/relationships/hyperlink" Target="http://www.apolloenergiesinc.com/" TargetMode="External"/><Relationship Id="rId1641" Type="http://schemas.openxmlformats.org/officeDocument/2006/relationships/hyperlink" Target="https://pbs.twimg.com/media/Eu6eXEQUYAMmwlC.jpg" TargetMode="External"/><Relationship Id="rId1501" Type="http://schemas.openxmlformats.org/officeDocument/2006/relationships/hyperlink" Target="http://www.everyday-mba.com/" TargetMode="External"/><Relationship Id="rId3399" Type="http://schemas.openxmlformats.org/officeDocument/2006/relationships/hyperlink" Target="http://www.engineeringbigdata.com/" TargetMode="External"/><Relationship Id="rId3259" Type="http://schemas.openxmlformats.org/officeDocument/2006/relationships/hyperlink" Target="https://pbs.twimg.com/media/Eu5D24ZUUAIIvjB.png" TargetMode="External"/><Relationship Id="rId3466" Type="http://schemas.openxmlformats.org/officeDocument/2006/relationships/hyperlink" Target="https://bit.ly/39NegX0" TargetMode="External"/><Relationship Id="rId387" Type="http://schemas.openxmlformats.org/officeDocument/2006/relationships/hyperlink" Target="https://linktr.ee/BVCPA" TargetMode="External"/><Relationship Id="rId594" Type="http://schemas.openxmlformats.org/officeDocument/2006/relationships/hyperlink" Target="https://pbs.twimg.com/media/Eu5ng8zUYAYL8ai.jpg" TargetMode="External"/><Relationship Id="rId2068" Type="http://schemas.openxmlformats.org/officeDocument/2006/relationships/hyperlink" Target="https://pbs.twimg.com/media/Eu6K4-GUUAMK9hX.jpg" TargetMode="External"/><Relationship Id="rId2275" Type="http://schemas.openxmlformats.org/officeDocument/2006/relationships/hyperlink" Target="https://loom.ly/SrJNeJk" TargetMode="External"/><Relationship Id="rId3119" Type="http://schemas.openxmlformats.org/officeDocument/2006/relationships/hyperlink" Target="http://www.topnetwork.it/" TargetMode="External"/><Relationship Id="rId3326" Type="http://schemas.openxmlformats.org/officeDocument/2006/relationships/hyperlink" Target="http://talentsprint.com/" TargetMode="External"/><Relationship Id="rId3673" Type="http://schemas.openxmlformats.org/officeDocument/2006/relationships/hyperlink" Target="http://isstechnologies.in/" TargetMode="External"/><Relationship Id="rId3880" Type="http://schemas.openxmlformats.org/officeDocument/2006/relationships/hyperlink" Target="https://linktr.ee/arthurguttilla" TargetMode="External"/><Relationship Id="rId247" Type="http://schemas.openxmlformats.org/officeDocument/2006/relationships/hyperlink" Target="https://link.medium.com/RltotpMPzdb" TargetMode="External"/><Relationship Id="rId1084" Type="http://schemas.openxmlformats.org/officeDocument/2006/relationships/hyperlink" Target="http://www.shashi.co/" TargetMode="External"/><Relationship Id="rId2482" Type="http://schemas.openxmlformats.org/officeDocument/2006/relationships/hyperlink" Target="http://bit.ly/botosynthesis" TargetMode="External"/><Relationship Id="rId3533" Type="http://schemas.openxmlformats.org/officeDocument/2006/relationships/hyperlink" Target="http://shorturl.at/diCFG" TargetMode="External"/><Relationship Id="rId3740" Type="http://schemas.openxmlformats.org/officeDocument/2006/relationships/hyperlink" Target="https://www.acolab.org/" TargetMode="External"/><Relationship Id="rId107" Type="http://schemas.openxmlformats.org/officeDocument/2006/relationships/hyperlink" Target="https://www.linkedin.com/in/eric-feuilleaubois-ph-d-43ab0925/" TargetMode="External"/><Relationship Id="rId454" Type="http://schemas.openxmlformats.org/officeDocument/2006/relationships/hyperlink" Target="http://ipfconline.fr/contacts-eng.html" TargetMode="External"/><Relationship Id="rId661" Type="http://schemas.openxmlformats.org/officeDocument/2006/relationships/hyperlink" Target="https://ankitrathi.com/" TargetMode="External"/><Relationship Id="rId1291" Type="http://schemas.openxmlformats.org/officeDocument/2006/relationships/hyperlink" Target="https://neurons.ai/blog/news-stories/panalgo-releases-industry-benchmarking-report-exploring-data-analytics-and-machine-learning/" TargetMode="External"/><Relationship Id="rId2135" Type="http://schemas.openxmlformats.org/officeDocument/2006/relationships/hyperlink" Target="http://technative.io/" TargetMode="External"/><Relationship Id="rId2342" Type="http://schemas.openxmlformats.org/officeDocument/2006/relationships/hyperlink" Target="http://pic.twitter.com/EFVUMUYOhq" TargetMode="External"/><Relationship Id="rId3600" Type="http://schemas.openxmlformats.org/officeDocument/2006/relationships/hyperlink" Target="http://ipfconline.fr/contacts-eng.html" TargetMode="External"/><Relationship Id="rId314" Type="http://schemas.openxmlformats.org/officeDocument/2006/relationships/hyperlink" Target="https://google.smh.re/1-q" TargetMode="External"/><Relationship Id="rId521" Type="http://schemas.openxmlformats.org/officeDocument/2006/relationships/hyperlink" Target="https://dreampostt.blogspot.com/2020/09/what-end-to-end-encryption-is-and-why.html?spref=twKids" TargetMode="External"/><Relationship Id="rId1151" Type="http://schemas.openxmlformats.org/officeDocument/2006/relationships/hyperlink" Target="https://pbs.twimg.com/media/Eu60ldiVoAE3V0p.jpg" TargetMode="External"/><Relationship Id="rId2202" Type="http://schemas.openxmlformats.org/officeDocument/2006/relationships/hyperlink" Target="https://amzn.to/2Nxgt1t" TargetMode="External"/><Relationship Id="rId1011" Type="http://schemas.openxmlformats.org/officeDocument/2006/relationships/hyperlink" Target="https://aisear.ch/" TargetMode="External"/><Relationship Id="rId1968" Type="http://schemas.openxmlformats.org/officeDocument/2006/relationships/hyperlink" Target="http://pic.twitter.com/I9Cf0k6ihw" TargetMode="External"/><Relationship Id="rId4167" Type="http://schemas.openxmlformats.org/officeDocument/2006/relationships/hyperlink" Target="https://www.youtube.com/channel/UCq4rE6ASeDC_IV2O-ngzAbQ" TargetMode="External"/><Relationship Id="rId3183" Type="http://schemas.openxmlformats.org/officeDocument/2006/relationships/hyperlink" Target="https://www.thieme-connect.de/products/ejournals/abstract/10.1055/s-0040-1721791" TargetMode="External"/><Relationship Id="rId3390" Type="http://schemas.openxmlformats.org/officeDocument/2006/relationships/hyperlink" Target="https://neurons.ai/blog/news-stories/machine-learning-courses-market-comprehensive-insights-and-future-growth-potential-by/" TargetMode="External"/><Relationship Id="rId4027" Type="http://schemas.openxmlformats.org/officeDocument/2006/relationships/hyperlink" Target="https://pbs.twimg.com/media/Eu4DoycXcAMM1RH.jpg" TargetMode="External"/><Relationship Id="rId4234" Type="http://schemas.openxmlformats.org/officeDocument/2006/relationships/hyperlink" Target="https://machinelearningflx.com/" TargetMode="External"/><Relationship Id="rId1828" Type="http://schemas.openxmlformats.org/officeDocument/2006/relationships/hyperlink" Target="https://pbs.twimg.com/media/Eu6V5QXU4AEPGYq.png" TargetMode="External"/><Relationship Id="rId3043" Type="http://schemas.openxmlformats.org/officeDocument/2006/relationships/hyperlink" Target="https://pbs.twimg.com/media/Eu5bEP2XIAIxkcB.jpg" TargetMode="External"/><Relationship Id="rId3250" Type="http://schemas.openxmlformats.org/officeDocument/2006/relationships/hyperlink" Target="http://bit.ly/3buBkuh" TargetMode="External"/><Relationship Id="rId171" Type="http://schemas.openxmlformats.org/officeDocument/2006/relationships/hyperlink" Target="http://www.metal-am.com/" TargetMode="External"/><Relationship Id="rId3110" Type="http://schemas.openxmlformats.org/officeDocument/2006/relationships/hyperlink" Target="http://dlvr.it/RtHYsy" TargetMode="External"/><Relationship Id="rId988" Type="http://schemas.openxmlformats.org/officeDocument/2006/relationships/hyperlink" Target="http://www.omdena.com/" TargetMode="External"/><Relationship Id="rId2669" Type="http://schemas.openxmlformats.org/officeDocument/2006/relationships/hyperlink" Target="https://www.gstic.org/" TargetMode="External"/><Relationship Id="rId2876" Type="http://schemas.openxmlformats.org/officeDocument/2006/relationships/hyperlink" Target="http://neurons.ai/" TargetMode="External"/><Relationship Id="rId3927" Type="http://schemas.openxmlformats.org/officeDocument/2006/relationships/hyperlink" Target="https://www.biometricupdate.com/201910/nvidia-adds-safr-facial-recognition-to-smart-city-partner-program" TargetMode="External"/><Relationship Id="rId848" Type="http://schemas.openxmlformats.org/officeDocument/2006/relationships/hyperlink" Target="https://pbs.twimg.com/media/Eu7A37mWgAM0WXX.jpg" TargetMode="External"/><Relationship Id="rId1478" Type="http://schemas.openxmlformats.org/officeDocument/2006/relationships/hyperlink" Target="https://bit.ly/3pKvutR" TargetMode="External"/><Relationship Id="rId1685" Type="http://schemas.openxmlformats.org/officeDocument/2006/relationships/hyperlink" Target="http://www.relx.com/" TargetMode="External"/><Relationship Id="rId1892" Type="http://schemas.openxmlformats.org/officeDocument/2006/relationships/hyperlink" Target="https://www.fiverr.com/s2/d1a5306b0f" TargetMode="External"/><Relationship Id="rId2529" Type="http://schemas.openxmlformats.org/officeDocument/2006/relationships/hyperlink" Target="http://bit.ly/Web2502" TargetMode="External"/><Relationship Id="rId2736" Type="http://schemas.openxmlformats.org/officeDocument/2006/relationships/hyperlink" Target="https://bit.ly/3uofrW2" TargetMode="External"/><Relationship Id="rId4091" Type="http://schemas.openxmlformats.org/officeDocument/2006/relationships/hyperlink" Target="https://pbs.twimg.com/media/Eu39O4DXMAci0si.png" TargetMode="External"/><Relationship Id="rId708" Type="http://schemas.openxmlformats.org/officeDocument/2006/relationships/hyperlink" Target="http://www.exxactcorp.com/" TargetMode="External"/><Relationship Id="rId915" Type="http://schemas.openxmlformats.org/officeDocument/2006/relationships/hyperlink" Target="https://www.greatlearning.in/" TargetMode="External"/><Relationship Id="rId1338" Type="http://schemas.openxmlformats.org/officeDocument/2006/relationships/hyperlink" Target="http://dlvr.it/RtJpWp" TargetMode="External"/><Relationship Id="rId1545" Type="http://schemas.openxmlformats.org/officeDocument/2006/relationships/hyperlink" Target="https://zpy.io/32101f3e" TargetMode="External"/><Relationship Id="rId2943" Type="http://schemas.openxmlformats.org/officeDocument/2006/relationships/hyperlink" Target="https://techflx.com/product-category/books/" TargetMode="External"/><Relationship Id="rId1405" Type="http://schemas.openxmlformats.org/officeDocument/2006/relationships/hyperlink" Target="https://zcu.io/87NG" TargetMode="External"/><Relationship Id="rId1752" Type="http://schemas.openxmlformats.org/officeDocument/2006/relationships/hyperlink" Target="https://evolvous.com/" TargetMode="External"/><Relationship Id="rId2803" Type="http://schemas.openxmlformats.org/officeDocument/2006/relationships/hyperlink" Target="https://www.the-next-tech.com/?p=32525&amp;utm_source=twitter&amp;utm_medium=social&amp;utm_campaign=TNT" TargetMode="External"/><Relationship Id="rId44" Type="http://schemas.openxmlformats.org/officeDocument/2006/relationships/hyperlink" Target="https://pbs.twimg.com/media/Eu7iqosXUAQP2Qn.jpg" TargetMode="External"/><Relationship Id="rId1612" Type="http://schemas.openxmlformats.org/officeDocument/2006/relationships/hyperlink" Target="https://thenextweb.com/neural/2021/02/22/microsoft-word-launching-ai-text-predictions-spelling-grammar/" TargetMode="External"/><Relationship Id="rId498" Type="http://schemas.openxmlformats.org/officeDocument/2006/relationships/hyperlink" Target="https://cutt.ly/NlxO5MM" TargetMode="External"/><Relationship Id="rId2179" Type="http://schemas.openxmlformats.org/officeDocument/2006/relationships/hyperlink" Target="https://pbs.twimg.com/media/Eu4EUmfWQAYN7Qy.jpg" TargetMode="External"/><Relationship Id="rId3577" Type="http://schemas.openxmlformats.org/officeDocument/2006/relationships/hyperlink" Target="https://bit.ly/3uraQ5o" TargetMode="External"/><Relationship Id="rId3784" Type="http://schemas.openxmlformats.org/officeDocument/2006/relationships/hyperlink" Target="https://pbs.twimg.com/media/Eu4fkuuXEAk0EoZ.jpg" TargetMode="External"/><Relationship Id="rId3991" Type="http://schemas.openxmlformats.org/officeDocument/2006/relationships/hyperlink" Target="https://www.goingdigital.in/" TargetMode="External"/><Relationship Id="rId2386" Type="http://schemas.openxmlformats.org/officeDocument/2006/relationships/hyperlink" Target="https://www.couponed12.com/" TargetMode="External"/><Relationship Id="rId2593" Type="http://schemas.openxmlformats.org/officeDocument/2006/relationships/hyperlink" Target="https://www.analyticsinsight.net/global-cooperation-guidelines-will-let-countries-use-ai-for-good/" TargetMode="External"/><Relationship Id="rId3437" Type="http://schemas.openxmlformats.org/officeDocument/2006/relationships/hyperlink" Target="http://facebook.com/alvaro.sebastian.macias" TargetMode="External"/><Relationship Id="rId3644" Type="http://schemas.openxmlformats.org/officeDocument/2006/relationships/hyperlink" Target="https://www.smeclabs.com/" TargetMode="External"/><Relationship Id="rId3851" Type="http://schemas.openxmlformats.org/officeDocument/2006/relationships/hyperlink" Target="https://machinelearningflx.com/" TargetMode="External"/><Relationship Id="rId358" Type="http://schemas.openxmlformats.org/officeDocument/2006/relationships/hyperlink" Target="https://pbs.twimg.com/media/Eu7SbpWXMAUUq6W.png" TargetMode="External"/><Relationship Id="rId565" Type="http://schemas.openxmlformats.org/officeDocument/2006/relationships/hyperlink" Target="https://about.me/the.michael.h" TargetMode="External"/><Relationship Id="rId772" Type="http://schemas.openxmlformats.org/officeDocument/2006/relationships/hyperlink" Target="http://www.matthewrenze.com/" TargetMode="External"/><Relationship Id="rId1195" Type="http://schemas.openxmlformats.org/officeDocument/2006/relationships/hyperlink" Target="https://hbr.org/2021/02/is-china-emerging-as-the-global-leader-in-ai?ab=hero-subleft-3" TargetMode="External"/><Relationship Id="rId2039" Type="http://schemas.openxmlformats.org/officeDocument/2006/relationships/hyperlink" Target="https://www.reddit.com/r/MachineLearning/" TargetMode="External"/><Relationship Id="rId2246" Type="http://schemas.openxmlformats.org/officeDocument/2006/relationships/hyperlink" Target="https://hubs.la/H0H0Jhc0" TargetMode="External"/><Relationship Id="rId2453" Type="http://schemas.openxmlformats.org/officeDocument/2006/relationships/hyperlink" Target="http://neurons.ai/" TargetMode="External"/><Relationship Id="rId2660" Type="http://schemas.openxmlformats.org/officeDocument/2006/relationships/hyperlink" Target="https://www.grupocmc.es/blog/machine-learning-5-ventajas-para-tu-negocio/" TargetMode="External"/><Relationship Id="rId3504" Type="http://schemas.openxmlformats.org/officeDocument/2006/relationships/hyperlink" Target="http://analyticsinsight.net/are-psychologi" TargetMode="External"/><Relationship Id="rId3711" Type="http://schemas.openxmlformats.org/officeDocument/2006/relationships/hyperlink" Target="https://pbs.twimg.com/media/Eu4layaXUAIJnS-.png" TargetMode="External"/><Relationship Id="rId218" Type="http://schemas.openxmlformats.org/officeDocument/2006/relationships/hyperlink" Target="http://www.awakenai.org/" TargetMode="External"/><Relationship Id="rId425" Type="http://schemas.openxmlformats.org/officeDocument/2006/relationships/hyperlink" Target="https://arxiv.org/pdf/2102.11274.pdf" TargetMode="External"/><Relationship Id="rId632" Type="http://schemas.openxmlformats.org/officeDocument/2006/relationships/hyperlink" Target="http://pic.twitter.com/xrIag2CWOX" TargetMode="External"/><Relationship Id="rId1055" Type="http://schemas.openxmlformats.org/officeDocument/2006/relationships/hyperlink" Target="http://grokstream.com/" TargetMode="External"/><Relationship Id="rId1262" Type="http://schemas.openxmlformats.org/officeDocument/2006/relationships/hyperlink" Target="http://scanta.io/" TargetMode="External"/><Relationship Id="rId2106" Type="http://schemas.openxmlformats.org/officeDocument/2006/relationships/hyperlink" Target="https://ptyleraul.medium.com/building-artificial-intelligence-bf1d8eb4b4ac" TargetMode="External"/><Relationship Id="rId2313" Type="http://schemas.openxmlformats.org/officeDocument/2006/relationships/hyperlink" Target="http://pic.twitter.com/SxYJUSmXfd" TargetMode="External"/><Relationship Id="rId2520" Type="http://schemas.openxmlformats.org/officeDocument/2006/relationships/hyperlink" Target="http://www.botpenguin.com/" TargetMode="External"/><Relationship Id="rId1122" Type="http://schemas.openxmlformats.org/officeDocument/2006/relationships/hyperlink" Target="https://www.reddit.com/r/MachineLearning/comments/lqg3z9/r_tensorflow_functional_implementation_of/" TargetMode="External"/><Relationship Id="rId3087" Type="http://schemas.openxmlformats.org/officeDocument/2006/relationships/hyperlink" Target="http://tamaramccleary.com/" TargetMode="External"/><Relationship Id="rId3294" Type="http://schemas.openxmlformats.org/officeDocument/2006/relationships/hyperlink" Target="https://twitter.com/Nicochan33/status/1363755262583197700" TargetMode="External"/><Relationship Id="rId4138" Type="http://schemas.openxmlformats.org/officeDocument/2006/relationships/hyperlink" Target="https://pbs.twimg.com/media/Eu32lwJWYAEYTIs.jpg" TargetMode="External"/><Relationship Id="rId1939" Type="http://schemas.openxmlformats.org/officeDocument/2006/relationships/hyperlink" Target="https://cloud-atlas-br.github.io/2021-02-20-ml-discovery-s1e1/" TargetMode="External"/><Relationship Id="rId3154" Type="http://schemas.openxmlformats.org/officeDocument/2006/relationships/hyperlink" Target="http://pic.twitter.com/OQDsV53e4A" TargetMode="External"/><Relationship Id="rId3361" Type="http://schemas.openxmlformats.org/officeDocument/2006/relationships/hyperlink" Target="http://pic.twitter.com/qYkwgtCiuJ" TargetMode="External"/><Relationship Id="rId4205" Type="http://schemas.openxmlformats.org/officeDocument/2006/relationships/hyperlink" Target="https://bit.ly/2HAfhYl" TargetMode="External"/><Relationship Id="rId282" Type="http://schemas.openxmlformats.org/officeDocument/2006/relationships/hyperlink" Target="https://pbs.twimg.com/media/Eu7Y80uXAAEhQI9.jpg" TargetMode="External"/><Relationship Id="rId2170" Type="http://schemas.openxmlformats.org/officeDocument/2006/relationships/hyperlink" Target="https://ptyleraul.medium.com/building-artificial-intelligence-bf1d8eb4b4ac" TargetMode="External"/><Relationship Id="rId3014" Type="http://schemas.openxmlformats.org/officeDocument/2006/relationships/hyperlink" Target="https://pbs.twimg.com/media/Eu5cnzPWYAMlRCl.jpg" TargetMode="External"/><Relationship Id="rId3221" Type="http://schemas.openxmlformats.org/officeDocument/2006/relationships/hyperlink" Target="http://bit.ly/2ZEcd0V" TargetMode="External"/><Relationship Id="rId8" Type="http://schemas.openxmlformats.org/officeDocument/2006/relationships/hyperlink" Target="http://www.hempel-joel.at/" TargetMode="External"/><Relationship Id="rId142" Type="http://schemas.openxmlformats.org/officeDocument/2006/relationships/hyperlink" Target="https://www.nerdsshop.us/" TargetMode="External"/><Relationship Id="rId2030" Type="http://schemas.openxmlformats.org/officeDocument/2006/relationships/hyperlink" Target="http://www.iot-worx.com/" TargetMode="External"/><Relationship Id="rId2987" Type="http://schemas.openxmlformats.org/officeDocument/2006/relationships/hyperlink" Target="https://bit.ly/3qQnfhe" TargetMode="External"/><Relationship Id="rId959" Type="http://schemas.openxmlformats.org/officeDocument/2006/relationships/hyperlink" Target="http://scanta.io/" TargetMode="External"/><Relationship Id="rId1589" Type="http://schemas.openxmlformats.org/officeDocument/2006/relationships/hyperlink" Target="https://pbs.twimg.com/media/Eu6fyYvWgAEXckz.jpg" TargetMode="External"/><Relationship Id="rId1449" Type="http://schemas.openxmlformats.org/officeDocument/2006/relationships/hyperlink" Target="https://buff.ly/37KUefG" TargetMode="External"/><Relationship Id="rId1796" Type="http://schemas.openxmlformats.org/officeDocument/2006/relationships/hyperlink" Target="https://numenta.com/company/careers-and-team/careers/machine-learning-research-scientist/" TargetMode="External"/><Relationship Id="rId2847" Type="http://schemas.openxmlformats.org/officeDocument/2006/relationships/hyperlink" Target="http://pic.twitter.com/Ssahd8gpEI" TargetMode="External"/><Relationship Id="rId4062" Type="http://schemas.openxmlformats.org/officeDocument/2006/relationships/hyperlink" Target="https://pbs.twimg.com/media/Eu3_h45VEAYcoae.jpg" TargetMode="External"/><Relationship Id="rId88" Type="http://schemas.openxmlformats.org/officeDocument/2006/relationships/hyperlink" Target="https://www.youtube.com/watch?v=VaJ6auzRJEQ" TargetMode="External"/><Relationship Id="rId819" Type="http://schemas.openxmlformats.org/officeDocument/2006/relationships/hyperlink" Target="http://bit.ly/2P0GJSd" TargetMode="External"/><Relationship Id="rId1656" Type="http://schemas.openxmlformats.org/officeDocument/2006/relationships/hyperlink" Target="https://www.newsfilecorp.com/release/75118/Mobi724-Announces-Strategic-Alliance-Agreement-Across-Central-America-with-Compania-de-Procesamiento-de-Medios-Pago-de-Guatemala-Operating-as-VisaNet-Guatemala" TargetMode="External"/><Relationship Id="rId1863" Type="http://schemas.openxmlformats.org/officeDocument/2006/relationships/hyperlink" Target="https://hr.economictimes.indiatimes.com/news/workplace-4-0/recruitment/it-company-appinventiv-to-hire-150-people-add-new-business-units/81169619" TargetMode="External"/><Relationship Id="rId2707" Type="http://schemas.openxmlformats.org/officeDocument/2006/relationships/hyperlink" Target="https://tudip.com/blog-post/artificial-intelligence-building-blocks" TargetMode="External"/><Relationship Id="rId2914" Type="http://schemas.openxmlformats.org/officeDocument/2006/relationships/hyperlink" Target="https://pbs.twimg.com/media/Eu5gyr8XEAIt6li.jpg" TargetMode="External"/><Relationship Id="rId1309" Type="http://schemas.openxmlformats.org/officeDocument/2006/relationships/hyperlink" Target="http://dragonweaver.net/" TargetMode="External"/><Relationship Id="rId1516" Type="http://schemas.openxmlformats.org/officeDocument/2006/relationships/hyperlink" Target="http://socialmediasandy.wordpress.com/" TargetMode="External"/><Relationship Id="rId1723" Type="http://schemas.openxmlformats.org/officeDocument/2006/relationships/hyperlink" Target="https://pbs.twimg.com/media/Eu6bOBNWQAUb7a3.png" TargetMode="External"/><Relationship Id="rId1930" Type="http://schemas.openxmlformats.org/officeDocument/2006/relationships/hyperlink" Target="https://www.bsc.es/join-us/job-opportunities/1621lscbr2" TargetMode="External"/><Relationship Id="rId15" Type="http://schemas.openxmlformats.org/officeDocument/2006/relationships/hyperlink" Target="https://www.microfocus.com/en-us/partners" TargetMode="External"/><Relationship Id="rId3688" Type="http://schemas.openxmlformats.org/officeDocument/2006/relationships/hyperlink" Target="https://pbs.twimg.com/media/Eu4nkVxWYAEIYbo.jpg" TargetMode="External"/><Relationship Id="rId3895" Type="http://schemas.openxmlformats.org/officeDocument/2006/relationships/hyperlink" Target="https://www.reddit.com/r/MachineLearning/" TargetMode="External"/><Relationship Id="rId2497" Type="http://schemas.openxmlformats.org/officeDocument/2006/relationships/hyperlink" Target="http://pic.twitter.com/YxkSeXGUm7" TargetMode="External"/><Relationship Id="rId3548" Type="http://schemas.openxmlformats.org/officeDocument/2006/relationships/hyperlink" Target="http://www.gppulipaka.org/" TargetMode="External"/><Relationship Id="rId3755" Type="http://schemas.openxmlformats.org/officeDocument/2006/relationships/hyperlink" Target="http://designnation.in/" TargetMode="External"/><Relationship Id="rId469" Type="http://schemas.openxmlformats.org/officeDocument/2006/relationships/hyperlink" Target="https://bit.ly/3kE5ejt" TargetMode="External"/><Relationship Id="rId676" Type="http://schemas.openxmlformats.org/officeDocument/2006/relationships/hyperlink" Target="http://www.ifatticapitali.it/" TargetMode="External"/><Relationship Id="rId883" Type="http://schemas.openxmlformats.org/officeDocument/2006/relationships/hyperlink" Target="https://www.techradar.com/news/fortnite-now-has-video-chat-heres-how-to-use-it" TargetMode="External"/><Relationship Id="rId1099" Type="http://schemas.openxmlformats.org/officeDocument/2006/relationships/hyperlink" Target="https://buff.ly/2LL46hi" TargetMode="External"/><Relationship Id="rId2357" Type="http://schemas.openxmlformats.org/officeDocument/2006/relationships/hyperlink" Target="https://citadeladvantage.blogspot.com/" TargetMode="External"/><Relationship Id="rId2564" Type="http://schemas.openxmlformats.org/officeDocument/2006/relationships/hyperlink" Target="https://medium.com/nerd-for-tech/please-human-can-you-teach-me-how-to-ai-9b272920f16f" TargetMode="External"/><Relationship Id="rId3408" Type="http://schemas.openxmlformats.org/officeDocument/2006/relationships/hyperlink" Target="https://www.hopsworks.ai/feature-store" TargetMode="External"/><Relationship Id="rId3615" Type="http://schemas.openxmlformats.org/officeDocument/2006/relationships/hyperlink" Target="https://pbs.twimg.com/media/Eu4u5DnXEAE53VU.jpg" TargetMode="External"/><Relationship Id="rId3962" Type="http://schemas.openxmlformats.org/officeDocument/2006/relationships/hyperlink" Target="https://neurons.ai/blog/news-stories/global-machine-learning-courses-market-2021-industry-demand-insight-forecast-by-2025/" TargetMode="External"/><Relationship Id="rId329" Type="http://schemas.openxmlformats.org/officeDocument/2006/relationships/hyperlink" Target="https://pbs.twimg.com/media/Eu7Uc_4VoAEIb9y.jpg" TargetMode="External"/><Relationship Id="rId536" Type="http://schemas.openxmlformats.org/officeDocument/2006/relationships/hyperlink" Target="https://www.betterworld.bmnxt.com/artificial-intelligence/ai-tools-can-drive-big-efficiencies-in-oil-and-gas/" TargetMode="External"/><Relationship Id="rId1166" Type="http://schemas.openxmlformats.org/officeDocument/2006/relationships/hyperlink" Target="https://www.argosmultilingual.com/real-time-machine-translation" TargetMode="External"/><Relationship Id="rId1373" Type="http://schemas.openxmlformats.org/officeDocument/2006/relationships/hyperlink" Target="https://buff.ly/39gpeW2" TargetMode="External"/><Relationship Id="rId2217" Type="http://schemas.openxmlformats.org/officeDocument/2006/relationships/hyperlink" Target="http://www.itnumeric.com/?p=46346" TargetMode="External"/><Relationship Id="rId2771" Type="http://schemas.openxmlformats.org/officeDocument/2006/relationships/hyperlink" Target="http://pic.twitter.com/0G5GJn20IJ" TargetMode="External"/><Relationship Id="rId3822" Type="http://schemas.openxmlformats.org/officeDocument/2006/relationships/hyperlink" Target="https://buff.ly/3aKTmb9" TargetMode="External"/><Relationship Id="rId743" Type="http://schemas.openxmlformats.org/officeDocument/2006/relationships/hyperlink" Target="http://www.helixa.ai/" TargetMode="External"/><Relationship Id="rId950" Type="http://schemas.openxmlformats.org/officeDocument/2006/relationships/hyperlink" Target="https://pbs.twimg.com/media/Eu69oBwWYAYpXEN.jpg" TargetMode="External"/><Relationship Id="rId1026" Type="http://schemas.openxmlformats.org/officeDocument/2006/relationships/hyperlink" Target="http://big-data-fr.com/recrutement-datascientist/promo/bd" TargetMode="External"/><Relationship Id="rId1580" Type="http://schemas.openxmlformats.org/officeDocument/2006/relationships/hyperlink" Target="https://www.unsaid.fr/" TargetMode="External"/><Relationship Id="rId2424" Type="http://schemas.openxmlformats.org/officeDocument/2006/relationships/hyperlink" Target="http://marketsandmarkets.com/" TargetMode="External"/><Relationship Id="rId2631" Type="http://schemas.openxmlformats.org/officeDocument/2006/relationships/hyperlink" Target="https://pbs.twimg.com/media/Eu5t-fCXYAI2HCd.jpg" TargetMode="External"/><Relationship Id="rId603" Type="http://schemas.openxmlformats.org/officeDocument/2006/relationships/hyperlink" Target="https://venturebeat.com/2021/02/23/perimeterx-raises-57-million-to-fight-bots-and-web-app-attacks/?utm_source=dlvr.it&amp;utm_medium=twitter" TargetMode="External"/><Relationship Id="rId810" Type="http://schemas.openxmlformats.org/officeDocument/2006/relationships/hyperlink" Target="http://ow.ly/OZqO50DHJpA" TargetMode="External"/><Relationship Id="rId1233" Type="http://schemas.openxmlformats.org/officeDocument/2006/relationships/hyperlink" Target="http://hitlab.org/" TargetMode="External"/><Relationship Id="rId1440" Type="http://schemas.openxmlformats.org/officeDocument/2006/relationships/hyperlink" Target="http://ow.ly/BI3o50Dufwo" TargetMode="External"/><Relationship Id="rId1300" Type="http://schemas.openxmlformats.org/officeDocument/2006/relationships/hyperlink" Target="http://aws.amazon.com/pt/" TargetMode="External"/><Relationship Id="rId3198" Type="http://schemas.openxmlformats.org/officeDocument/2006/relationships/hyperlink" Target="https://pbs.twimg.com/media/Eu5RBHYUUAE-etP.jpg" TargetMode="External"/><Relationship Id="rId4249" Type="http://schemas.openxmlformats.org/officeDocument/2006/relationships/hyperlink" Target="https://twitter.com/zachking/status/1264669826124922880" TargetMode="External"/><Relationship Id="rId3058" Type="http://schemas.openxmlformats.org/officeDocument/2006/relationships/hyperlink" Target="https://pbs.twimg.com/media/Eu5a13aUUAElQkF.png" TargetMode="External"/><Relationship Id="rId3265" Type="http://schemas.openxmlformats.org/officeDocument/2006/relationships/hyperlink" Target="https://pbs.twimg.com/media/Eu5NMFGXcAMY-dC.png" TargetMode="External"/><Relationship Id="rId3472" Type="http://schemas.openxmlformats.org/officeDocument/2006/relationships/hyperlink" Target="http://pic.twitter.com/gFrEmloiCK" TargetMode="External"/><Relationship Id="rId4109" Type="http://schemas.openxmlformats.org/officeDocument/2006/relationships/hyperlink" Target="https://thedatascientist.com/about-dr-stylianos-stelios-kampakis/" TargetMode="External"/><Relationship Id="rId186" Type="http://schemas.openxmlformats.org/officeDocument/2006/relationships/hyperlink" Target="https://liwaiwai.com/2021/02/22/machine-learning-blazes-path-to-reliable-near-term-quantum-computers/" TargetMode="External"/><Relationship Id="rId393" Type="http://schemas.openxmlformats.org/officeDocument/2006/relationships/hyperlink" Target="http://www.compunetics.net/" TargetMode="External"/><Relationship Id="rId2074" Type="http://schemas.openxmlformats.org/officeDocument/2006/relationships/hyperlink" Target="https://www.analyticsinsight.net/unravelling-transfer-learning-to-make-machines-more-advanced/" TargetMode="External"/><Relationship Id="rId2281" Type="http://schemas.openxmlformats.org/officeDocument/2006/relationships/hyperlink" Target="http://rss.org.uk/Machine-Learning-in-r-March-2021" TargetMode="External"/><Relationship Id="rId3125" Type="http://schemas.openxmlformats.org/officeDocument/2006/relationships/hyperlink" Target="https://www.paypal.me/Torilove82.com" TargetMode="External"/><Relationship Id="rId3332" Type="http://schemas.openxmlformats.org/officeDocument/2006/relationships/hyperlink" Target="http://world2digits.blogspot.com/" TargetMode="External"/><Relationship Id="rId253" Type="http://schemas.openxmlformats.org/officeDocument/2006/relationships/hyperlink" Target="http://essentials.news/future-of-ai" TargetMode="External"/><Relationship Id="rId460" Type="http://schemas.openxmlformats.org/officeDocument/2006/relationships/hyperlink" Target="http://successanalytix.blogspot.com/" TargetMode="External"/><Relationship Id="rId1090" Type="http://schemas.openxmlformats.org/officeDocument/2006/relationships/hyperlink" Target="http://www.aspneph.org/" TargetMode="External"/><Relationship Id="rId2141" Type="http://schemas.openxmlformats.org/officeDocument/2006/relationships/hyperlink" Target="https://youtu.be/Xc4SiHE2_gs" TargetMode="External"/><Relationship Id="rId113" Type="http://schemas.openxmlformats.org/officeDocument/2006/relationships/hyperlink" Target="http://pic.twitter.com/nYXywz48PV" TargetMode="External"/><Relationship Id="rId320" Type="http://schemas.openxmlformats.org/officeDocument/2006/relationships/hyperlink" Target="https://pbs.twimg.com/media/Eu7Wrj_XUAc31-X.jpg" TargetMode="External"/><Relationship Id="rId2001" Type="http://schemas.openxmlformats.org/officeDocument/2006/relationships/hyperlink" Target="https://iopscience.org/mlst" TargetMode="External"/><Relationship Id="rId2958" Type="http://schemas.openxmlformats.org/officeDocument/2006/relationships/hyperlink" Target="https://zpy.io/70351f1c" TargetMode="External"/><Relationship Id="rId1767" Type="http://schemas.openxmlformats.org/officeDocument/2006/relationships/hyperlink" Target="https://pbs.twimg.com/media/Eu6Zk1PXUAwhz3g.jpg" TargetMode="External"/><Relationship Id="rId1974" Type="http://schemas.openxmlformats.org/officeDocument/2006/relationships/hyperlink" Target="https://www.meetup.com/Fintech_AI_in_Finance/events/276536219/" TargetMode="External"/><Relationship Id="rId2818" Type="http://schemas.openxmlformats.org/officeDocument/2006/relationships/hyperlink" Target="https://pbs.twimg.com/media/Eu5kPI9XUAY4si6.jpg" TargetMode="External"/><Relationship Id="rId4173" Type="http://schemas.openxmlformats.org/officeDocument/2006/relationships/hyperlink" Target="https://neurons.ai/blog/news-stories/powering-deep-learning-and-inference-analysis-in-heavy-industrial-applications-2/" TargetMode="External"/><Relationship Id="rId59" Type="http://schemas.openxmlformats.org/officeDocument/2006/relationships/hyperlink" Target="https://www.vubblepop.com/" TargetMode="External"/><Relationship Id="rId1627" Type="http://schemas.openxmlformats.org/officeDocument/2006/relationships/hyperlink" Target="http://www.cognilytica.com/" TargetMode="External"/><Relationship Id="rId1834" Type="http://schemas.openxmlformats.org/officeDocument/2006/relationships/hyperlink" Target="https://www.behance.net/dantemetaphor" TargetMode="External"/><Relationship Id="rId4033" Type="http://schemas.openxmlformats.org/officeDocument/2006/relationships/hyperlink" Target="http://pic.twitter.com/Iupj8RCfH4" TargetMode="External"/><Relationship Id="rId4240" Type="http://schemas.openxmlformats.org/officeDocument/2006/relationships/hyperlink" Target="https://pbs.twimg.com/media/Eu3s8avVcAIyvAb.jpg" TargetMode="External"/><Relationship Id="rId3799" Type="http://schemas.openxmlformats.org/officeDocument/2006/relationships/hyperlink" Target="http://www.diginxthlt.com/" TargetMode="External"/><Relationship Id="rId4100" Type="http://schemas.openxmlformats.org/officeDocument/2006/relationships/hyperlink" Target="https://www.news-medical.net/news/20210222/Applications-of-Artificial-Intelligence-in-COVID-19-ICU-and-ER-situations.aspx" TargetMode="External"/><Relationship Id="rId1901" Type="http://schemas.openxmlformats.org/officeDocument/2006/relationships/hyperlink" Target="http://alerttrade.us/" TargetMode="External"/><Relationship Id="rId3659" Type="http://schemas.openxmlformats.org/officeDocument/2006/relationships/hyperlink" Target="https://fcld.ly/9uvkjbi" TargetMode="External"/><Relationship Id="rId3866" Type="http://schemas.openxmlformats.org/officeDocument/2006/relationships/hyperlink" Target="https://techae.000webhostapp.com/" TargetMode="External"/><Relationship Id="rId787" Type="http://schemas.openxmlformats.org/officeDocument/2006/relationships/hyperlink" Target="http://ipfconline.fr/contacts-eng.html" TargetMode="External"/><Relationship Id="rId994" Type="http://schemas.openxmlformats.org/officeDocument/2006/relationships/hyperlink" Target="https://www.computerweekly.com/news/252496333/How-computer-vision-can-protect-coral-reefs" TargetMode="External"/><Relationship Id="rId2468" Type="http://schemas.openxmlformats.org/officeDocument/2006/relationships/hyperlink" Target="https://www.marktechpost.com/2021/02/21/deepmind-and-university-college-london-introduce-alchemy-a-novel-open-source-benchmark-for-meta-reinforcement-learning-rl-research/" TargetMode="External"/><Relationship Id="rId2675" Type="http://schemas.openxmlformats.org/officeDocument/2006/relationships/hyperlink" Target="https://paper.li/DFTGames/1400577980?edition_id=86abd5e0-75b9-11eb-ae29-002590a5ba2d" TargetMode="External"/><Relationship Id="rId2882" Type="http://schemas.openxmlformats.org/officeDocument/2006/relationships/hyperlink" Target="https://contribute.towardsai.net/" TargetMode="External"/><Relationship Id="rId3519" Type="http://schemas.openxmlformats.org/officeDocument/2006/relationships/hyperlink" Target="https://pbs.twimg.com/media/Eu1vIZeXEAY5b2c.jpg" TargetMode="External"/><Relationship Id="rId3726" Type="http://schemas.openxmlformats.org/officeDocument/2006/relationships/hyperlink" Target="https://pbs.twimg.com/media/Eu4kmAOXMAAoDrX.jpg" TargetMode="External"/><Relationship Id="rId3933" Type="http://schemas.openxmlformats.org/officeDocument/2006/relationships/hyperlink" Target="http://odsc.com/" TargetMode="External"/><Relationship Id="rId647" Type="http://schemas.openxmlformats.org/officeDocument/2006/relationships/hyperlink" Target="https://pbs.twimg.com/media/Eu2CetmXUAQj3wa.png" TargetMode="External"/><Relationship Id="rId854" Type="http://schemas.openxmlformats.org/officeDocument/2006/relationships/hyperlink" Target="https://pub.towardsai.net/deep-understanding-of-confusion-matrix-6ab1f88a267e?source=rss----98111c9905da---4?source=social.tw" TargetMode="External"/><Relationship Id="rId1277" Type="http://schemas.openxmlformats.org/officeDocument/2006/relationships/hyperlink" Target="http://www.cyberseer.net/" TargetMode="External"/><Relationship Id="rId1484" Type="http://schemas.openxmlformats.org/officeDocument/2006/relationships/hyperlink" Target="https://bit.ly/3aMDOVL" TargetMode="External"/><Relationship Id="rId1691" Type="http://schemas.openxmlformats.org/officeDocument/2006/relationships/hyperlink" Target="https://davidbugger.hashnode.dev/" TargetMode="External"/><Relationship Id="rId2328" Type="http://schemas.openxmlformats.org/officeDocument/2006/relationships/hyperlink" Target="https://ift.tt/2P7Tef3" TargetMode="External"/><Relationship Id="rId2535" Type="http://schemas.openxmlformats.org/officeDocument/2006/relationships/hyperlink" Target="https://buff.ly/3o7lGL3" TargetMode="External"/><Relationship Id="rId2742" Type="http://schemas.openxmlformats.org/officeDocument/2006/relationships/hyperlink" Target="https://bit.ly/3umKD85" TargetMode="External"/><Relationship Id="rId507" Type="http://schemas.openxmlformats.org/officeDocument/2006/relationships/hyperlink" Target="http://www.linkedin.com/in/kirkdborne" TargetMode="External"/><Relationship Id="rId714" Type="http://schemas.openxmlformats.org/officeDocument/2006/relationships/hyperlink" Target="https://cutt.ly/FlhN1ho" TargetMode="External"/><Relationship Id="rId921" Type="http://schemas.openxmlformats.org/officeDocument/2006/relationships/hyperlink" Target="https://syncedreview.com/2021/02/22/bendr-for-bci-utorontos-bert-inspired-dnn-training-approach-learns-from-unlabelled-eeg-data/?utm_source=dlvr.it&amp;utm_medium=twitter" TargetMode="External"/><Relationship Id="rId1137" Type="http://schemas.openxmlformats.org/officeDocument/2006/relationships/hyperlink" Target="http://www.amasol.de/" TargetMode="External"/><Relationship Id="rId1344" Type="http://schemas.openxmlformats.org/officeDocument/2006/relationships/hyperlink" Target="https://buff.ly/3p74m82" TargetMode="External"/><Relationship Id="rId1551" Type="http://schemas.openxmlformats.org/officeDocument/2006/relationships/hyperlink" Target="https://pbs.twimg.com/media/Eu6iez2WYAYrQZR.jpg" TargetMode="External"/><Relationship Id="rId2602" Type="http://schemas.openxmlformats.org/officeDocument/2006/relationships/hyperlink" Target="https://www.cnet.com/news/mortal-kombat-trailer-reveals-movies-gore-filled-fatalities-klassic-characters/" TargetMode="External"/><Relationship Id="rId50" Type="http://schemas.openxmlformats.org/officeDocument/2006/relationships/hyperlink" Target="https://data-mining.philippe-fournier-viger.com/what-is-the-difference-between-data-mining-and-machine-learning/" TargetMode="External"/><Relationship Id="rId1204" Type="http://schemas.openxmlformats.org/officeDocument/2006/relationships/hyperlink" Target="https://www.globalknowledge.com/es-es/resources/articles/machine-learning-aws" TargetMode="External"/><Relationship Id="rId1411" Type="http://schemas.openxmlformats.org/officeDocument/2006/relationships/hyperlink" Target="http://pic.twitter.com/8mqslBmYa9" TargetMode="External"/><Relationship Id="rId3169" Type="http://schemas.openxmlformats.org/officeDocument/2006/relationships/hyperlink" Target="https://neurons.ai/blog/news-stories/fall-2021-honors-college-forums-to-explore-topics-ranging-from-ancient-artifacts-to-blockchains/" TargetMode="External"/><Relationship Id="rId3376" Type="http://schemas.openxmlformats.org/officeDocument/2006/relationships/hyperlink" Target="http://pic.twitter.com/YBuwiR8nto" TargetMode="External"/><Relationship Id="rId3583" Type="http://schemas.openxmlformats.org/officeDocument/2006/relationships/hyperlink" Target="https://pbs.twimg.com/media/Eu4yB9FVgAAQSxU.jpg" TargetMode="External"/><Relationship Id="rId297" Type="http://schemas.openxmlformats.org/officeDocument/2006/relationships/hyperlink" Target="https://pbs.twimg.com/media/Eu7Xz8YXUAE6amc.jpg" TargetMode="External"/><Relationship Id="rId2185" Type="http://schemas.openxmlformats.org/officeDocument/2006/relationships/hyperlink" Target="https://bit.ly/3pRBIs8" TargetMode="External"/><Relationship Id="rId2392" Type="http://schemas.openxmlformats.org/officeDocument/2006/relationships/hyperlink" Target="http://doi.org/10.1016/S2589-7500(20)30085-6" TargetMode="External"/><Relationship Id="rId3029" Type="http://schemas.openxmlformats.org/officeDocument/2006/relationships/hyperlink" Target="http://writex.today/" TargetMode="External"/><Relationship Id="rId3236" Type="http://schemas.openxmlformats.org/officeDocument/2006/relationships/hyperlink" Target="https://www.meetup.com/cncf-uae/events/276516764/" TargetMode="External"/><Relationship Id="rId3790" Type="http://schemas.openxmlformats.org/officeDocument/2006/relationships/hyperlink" Target="https://widspune.com/" TargetMode="External"/><Relationship Id="rId157" Type="http://schemas.openxmlformats.org/officeDocument/2006/relationships/hyperlink" Target="https://pbs.twimg.com/media/Eu7eGhlXcAgDU6F.jpg" TargetMode="External"/><Relationship Id="rId364" Type="http://schemas.openxmlformats.org/officeDocument/2006/relationships/hyperlink" Target="https://dataka.globalunderdog.com/" TargetMode="External"/><Relationship Id="rId2045" Type="http://schemas.openxmlformats.org/officeDocument/2006/relationships/hyperlink" Target="https://www.campusbigdata.com/big-data-blog/item/123-machine-deep-learning-e-inteligencia-artificial" TargetMode="External"/><Relationship Id="rId3443" Type="http://schemas.openxmlformats.org/officeDocument/2006/relationships/hyperlink" Target="http://facebook.com/alvaro.sebastian.macias" TargetMode="External"/><Relationship Id="rId3650" Type="http://schemas.openxmlformats.org/officeDocument/2006/relationships/hyperlink" Target="https://linktr.ee/PiyushRaj714" TargetMode="External"/><Relationship Id="rId571" Type="http://schemas.openxmlformats.org/officeDocument/2006/relationships/hyperlink" Target="http://onelink.to/programminghero" TargetMode="External"/><Relationship Id="rId2252" Type="http://schemas.openxmlformats.org/officeDocument/2006/relationships/hyperlink" Target="http://bbk.ac.uk/business" TargetMode="External"/><Relationship Id="rId3303" Type="http://schemas.openxmlformats.org/officeDocument/2006/relationships/hyperlink" Target="https://asterisminfosoft.com/" TargetMode="External"/><Relationship Id="rId3510" Type="http://schemas.openxmlformats.org/officeDocument/2006/relationships/hyperlink" Target="https://www.i2tutorials.com/top-6-classic-open-source-computer-vision-projects/" TargetMode="External"/><Relationship Id="rId224" Type="http://schemas.openxmlformats.org/officeDocument/2006/relationships/hyperlink" Target="https://pbs.twimg.com/media/Eu7bBcaXIAkPqxI.jpg" TargetMode="External"/><Relationship Id="rId431" Type="http://schemas.openxmlformats.org/officeDocument/2006/relationships/hyperlink" Target="https://buff.ly/3dFCvcY" TargetMode="External"/><Relationship Id="rId1061" Type="http://schemas.openxmlformats.org/officeDocument/2006/relationships/hyperlink" Target="https://pbs.twimg.com/media/Eu64TXfU4AMEL1l.jpg" TargetMode="External"/><Relationship Id="rId2112" Type="http://schemas.openxmlformats.org/officeDocument/2006/relationships/hyperlink" Target="https://buff.ly/37FwIR0" TargetMode="External"/><Relationship Id="rId1878" Type="http://schemas.openxmlformats.org/officeDocument/2006/relationships/hyperlink" Target="https://machinelearning.conferenceseries.com/registration.php" TargetMode="External"/><Relationship Id="rId2929" Type="http://schemas.openxmlformats.org/officeDocument/2006/relationships/hyperlink" Target="https://customerthink.com/digital-transformation-and-the-role-of-the-customer-data-platform-cdp/" TargetMode="External"/><Relationship Id="rId4077" Type="http://schemas.openxmlformats.org/officeDocument/2006/relationships/hyperlink" Target="https://www.techradar.com/news/ipad-mini-6" TargetMode="External"/><Relationship Id="rId1738" Type="http://schemas.openxmlformats.org/officeDocument/2006/relationships/hyperlink" Target="http://www.la-forge.ai/" TargetMode="External"/><Relationship Id="rId3093" Type="http://schemas.openxmlformats.org/officeDocument/2006/relationships/hyperlink" Target="https://bit.ly/2MgQvyJ" TargetMode="External"/><Relationship Id="rId4144" Type="http://schemas.openxmlformats.org/officeDocument/2006/relationships/hyperlink" Target="https://pbs.twimg.com/media/Eu32kMlXMAAjv8p.jpg" TargetMode="External"/><Relationship Id="rId1945" Type="http://schemas.openxmlformats.org/officeDocument/2006/relationships/hyperlink" Target="https://pbs.twimg.com/media/Eu6RLyLXcAISl_I.jpg" TargetMode="External"/><Relationship Id="rId3160" Type="http://schemas.openxmlformats.org/officeDocument/2006/relationships/hyperlink" Target="https://catherinescareercorner.com/" TargetMode="External"/><Relationship Id="rId4004" Type="http://schemas.openxmlformats.org/officeDocument/2006/relationships/hyperlink" Target="https://pbs.twimg.com/media/Eu2o9_-VoAEiOku.jpg" TargetMode="External"/><Relationship Id="rId4211" Type="http://schemas.openxmlformats.org/officeDocument/2006/relationships/hyperlink" Target="https://bit.ly/3pRqmV3" TargetMode="External"/><Relationship Id="rId1805" Type="http://schemas.openxmlformats.org/officeDocument/2006/relationships/hyperlink" Target="https://lnkd.in/dqP27zw" TargetMode="External"/><Relationship Id="rId3020" Type="http://schemas.openxmlformats.org/officeDocument/2006/relationships/hyperlink" Target="https://buff.ly/37Ec3wI" TargetMode="External"/><Relationship Id="rId3977" Type="http://schemas.openxmlformats.org/officeDocument/2006/relationships/hyperlink" Target="https://aisear.ch/" TargetMode="External"/><Relationship Id="rId898" Type="http://schemas.openxmlformats.org/officeDocument/2006/relationships/hyperlink" Target="https://pbs.twimg.com/media/Eu7AfKQUcAYXZ7s.jpg" TargetMode="External"/><Relationship Id="rId2579" Type="http://schemas.openxmlformats.org/officeDocument/2006/relationships/hyperlink" Target="https://www.analyticsinsight.net/make-way-for-cloud-based-ai-mobile-applications/" TargetMode="External"/><Relationship Id="rId2786" Type="http://schemas.openxmlformats.org/officeDocument/2006/relationships/hyperlink" Target="http://bit.ly/2FViDUB" TargetMode="External"/><Relationship Id="rId2993" Type="http://schemas.openxmlformats.org/officeDocument/2006/relationships/hyperlink" Target="http://pic.twitter.com/n9OTWTvuwf" TargetMode="External"/><Relationship Id="rId3837" Type="http://schemas.openxmlformats.org/officeDocument/2006/relationships/hyperlink" Target="http://pic.twitter.com/TGzUzxd7qs" TargetMode="External"/><Relationship Id="rId758" Type="http://schemas.openxmlformats.org/officeDocument/2006/relationships/hyperlink" Target="https://youtu.be/kIc3rO5afxg" TargetMode="External"/><Relationship Id="rId965" Type="http://schemas.openxmlformats.org/officeDocument/2006/relationships/hyperlink" Target="https://today.uconn.edu/2021/02/uconn-startup-stemify-improves-math-education-with-ai/" TargetMode="External"/><Relationship Id="rId1388" Type="http://schemas.openxmlformats.org/officeDocument/2006/relationships/hyperlink" Target="https://pbs.twimg.com/media/Eu6pWMBWYAE5_n4.png" TargetMode="External"/><Relationship Id="rId1595" Type="http://schemas.openxmlformats.org/officeDocument/2006/relationships/hyperlink" Target="https://pbs.twimg.com/media/Eu6gL9QXMAE5L49.jpg" TargetMode="External"/><Relationship Id="rId2439" Type="http://schemas.openxmlformats.org/officeDocument/2006/relationships/hyperlink" Target="http://www.digitaljournal.com/tech-and-science/science/essential-science-autonomous-cars-edge-to-the-future/article/585739" TargetMode="External"/><Relationship Id="rId2646" Type="http://schemas.openxmlformats.org/officeDocument/2006/relationships/hyperlink" Target="https://www.raspberrypi.org/blog/machine-learning-and-depth-estimation-using-raspberry-pi/" TargetMode="External"/><Relationship Id="rId2853" Type="http://schemas.openxmlformats.org/officeDocument/2006/relationships/hyperlink" Target="http://www.awakenai.org/" TargetMode="External"/><Relationship Id="rId3904" Type="http://schemas.openxmlformats.org/officeDocument/2006/relationships/hyperlink" Target="http://www.analytikus.com/" TargetMode="External"/><Relationship Id="rId94" Type="http://schemas.openxmlformats.org/officeDocument/2006/relationships/hyperlink" Target="http://www.tomtaulli.com/" TargetMode="External"/><Relationship Id="rId618" Type="http://schemas.openxmlformats.org/officeDocument/2006/relationships/hyperlink" Target="http://www.micropole.be/" TargetMode="External"/><Relationship Id="rId825" Type="http://schemas.openxmlformats.org/officeDocument/2006/relationships/hyperlink" Target="https://neurons.ai/blog/news-stories/ontario-systems-acquires-pairity-to-embed-the-power-of-machine-learning-in-its-industry-leading/" TargetMode="External"/><Relationship Id="rId1248" Type="http://schemas.openxmlformats.org/officeDocument/2006/relationships/hyperlink" Target="http://www.tfi.ca/" TargetMode="External"/><Relationship Id="rId1455" Type="http://schemas.openxmlformats.org/officeDocument/2006/relationships/hyperlink" Target="https://www.linkedin.com/in/iainljbrown/" TargetMode="External"/><Relationship Id="rId1662" Type="http://schemas.openxmlformats.org/officeDocument/2006/relationships/hyperlink" Target="http://pic.twitter.com/5ZeJms0f3h" TargetMode="External"/><Relationship Id="rId2506" Type="http://schemas.openxmlformats.org/officeDocument/2006/relationships/hyperlink" Target="https://analyticsindiamag.com/what-is-geometric-deep-learning/" TargetMode="External"/><Relationship Id="rId1108" Type="http://schemas.openxmlformats.org/officeDocument/2006/relationships/hyperlink" Target="https://www.linkedin.com/in/paulapiccard/" TargetMode="External"/><Relationship Id="rId1315" Type="http://schemas.openxmlformats.org/officeDocument/2006/relationships/hyperlink" Target="https://buff.ly/3dHjFCx" TargetMode="External"/><Relationship Id="rId2713" Type="http://schemas.openxmlformats.org/officeDocument/2006/relationships/hyperlink" Target="https://bit.ly/35KbXSi" TargetMode="External"/><Relationship Id="rId2920" Type="http://schemas.openxmlformats.org/officeDocument/2006/relationships/hyperlink" Target="https://bit.ly/3aJQL2A" TargetMode="External"/><Relationship Id="rId1522" Type="http://schemas.openxmlformats.org/officeDocument/2006/relationships/hyperlink" Target="https://balavenkatesh.com/" TargetMode="External"/><Relationship Id="rId21" Type="http://schemas.openxmlformats.org/officeDocument/2006/relationships/hyperlink" Target="https://buff.ly/2OUjlpp" TargetMode="External"/><Relationship Id="rId2089" Type="http://schemas.openxmlformats.org/officeDocument/2006/relationships/hyperlink" Target="https://ai-summary.com/summary-machine-learning-toolbox/?utm_medium=social-organic&amp;utm_source=twitter" TargetMode="External"/><Relationship Id="rId3487" Type="http://schemas.openxmlformats.org/officeDocument/2006/relationships/hyperlink" Target="https://community-z.com/communities/theappliedaicommunity" TargetMode="External"/><Relationship Id="rId3694" Type="http://schemas.openxmlformats.org/officeDocument/2006/relationships/hyperlink" Target="https://bit.ly/3pMboj1" TargetMode="External"/><Relationship Id="rId2296" Type="http://schemas.openxmlformats.org/officeDocument/2006/relationships/hyperlink" Target="https://pbs.twimg.com/media/Eu0WvZ2UUAEC0sP.jpg" TargetMode="External"/><Relationship Id="rId3347" Type="http://schemas.openxmlformats.org/officeDocument/2006/relationships/hyperlink" Target="https://machinelearningflx.com/" TargetMode="External"/><Relationship Id="rId3554" Type="http://schemas.openxmlformats.org/officeDocument/2006/relationships/hyperlink" Target="http://mightydutchman.net/?edition_id=2e2c5c30-7598-11eb-a5c8-0cc47a0d15fd" TargetMode="External"/><Relationship Id="rId3761" Type="http://schemas.openxmlformats.org/officeDocument/2006/relationships/hyperlink" Target="http://www.otechtalks.tv/" TargetMode="External"/><Relationship Id="rId268" Type="http://schemas.openxmlformats.org/officeDocument/2006/relationships/hyperlink" Target="https://pbs.twimg.com/media/Eu7ZPbRUYAADrAB.jpg" TargetMode="External"/><Relationship Id="rId475" Type="http://schemas.openxmlformats.org/officeDocument/2006/relationships/hyperlink" Target="https://pbs.twimg.com/media/Eu7RIQcXAAMKQRa.jpg" TargetMode="External"/><Relationship Id="rId682" Type="http://schemas.openxmlformats.org/officeDocument/2006/relationships/hyperlink" Target="http://www.manifexto.com/" TargetMode="External"/><Relationship Id="rId2156" Type="http://schemas.openxmlformats.org/officeDocument/2006/relationships/hyperlink" Target="https://www.linkedin.com/in/enrico-molinari/" TargetMode="External"/><Relationship Id="rId2363" Type="http://schemas.openxmlformats.org/officeDocument/2006/relationships/hyperlink" Target="http://pic.twitter.com/BMxZI7uCpy" TargetMode="External"/><Relationship Id="rId2570" Type="http://schemas.openxmlformats.org/officeDocument/2006/relationships/hyperlink" Target="http://www.domesticatedbrain.com/" TargetMode="External"/><Relationship Id="rId3207" Type="http://schemas.openxmlformats.org/officeDocument/2006/relationships/hyperlink" Target="https://pbs.twimg.com/media/Eu5P3c2VcAIovIf.jpg" TargetMode="External"/><Relationship Id="rId3414" Type="http://schemas.openxmlformats.org/officeDocument/2006/relationships/hyperlink" Target="https://pbs.twimg.com/media/Eu4_0yRUYAQUaQv.jpg" TargetMode="External"/><Relationship Id="rId3621" Type="http://schemas.openxmlformats.org/officeDocument/2006/relationships/hyperlink" Target="https://mindmatters.ai/2021/02/researchers-disappointed-by-efforts-to-teach-ai-common-sense/" TargetMode="External"/><Relationship Id="rId128" Type="http://schemas.openxmlformats.org/officeDocument/2006/relationships/hyperlink" Target="http://www.vircourses.com/" TargetMode="External"/><Relationship Id="rId335" Type="http://schemas.openxmlformats.org/officeDocument/2006/relationships/hyperlink" Target="https://pbs.twimg.com/media/Eu7WdP-XUAcnmEM.png" TargetMode="External"/><Relationship Id="rId542" Type="http://schemas.openxmlformats.org/officeDocument/2006/relationships/hyperlink" Target="https://buff.ly/3bQBx9k" TargetMode="External"/><Relationship Id="rId1172" Type="http://schemas.openxmlformats.org/officeDocument/2006/relationships/hyperlink" Target="https://edition.cnn.com/2021/02/16/world/vein-hands-identify-intl-scli-scn/index.html" TargetMode="External"/><Relationship Id="rId2016" Type="http://schemas.openxmlformats.org/officeDocument/2006/relationships/hyperlink" Target="http://streamanalytix.com/" TargetMode="External"/><Relationship Id="rId2223" Type="http://schemas.openxmlformats.org/officeDocument/2006/relationships/hyperlink" Target="https://bit.ly/2KzUzZG" TargetMode="External"/><Relationship Id="rId2430" Type="http://schemas.openxmlformats.org/officeDocument/2006/relationships/hyperlink" Target="https://pbs.twimg.com/media/Eu5WrW7WYAEPa9Y.jpg" TargetMode="External"/><Relationship Id="rId402" Type="http://schemas.openxmlformats.org/officeDocument/2006/relationships/hyperlink" Target="https://github.com/vaaaaanquish/Awasome-Rust-MachineLearning" TargetMode="External"/><Relationship Id="rId1032" Type="http://schemas.openxmlformats.org/officeDocument/2006/relationships/hyperlink" Target="https://pub.towardsai.net/deep-understanding-of-confusion-matrix-6ab1f88a267e?source=rss----98111c9905da---4?source=social.tw" TargetMode="External"/><Relationship Id="rId4188" Type="http://schemas.openxmlformats.org/officeDocument/2006/relationships/hyperlink" Target="https://towardsdatascience.com/a-summary-of-the-basic-machine-learning-models-e0a65627ecbe" TargetMode="External"/><Relationship Id="rId1989" Type="http://schemas.openxmlformats.org/officeDocument/2006/relationships/hyperlink" Target="https://pbs.twimg.com/media/Eu6PYAuXIAULwUr.png" TargetMode="External"/><Relationship Id="rId4048" Type="http://schemas.openxmlformats.org/officeDocument/2006/relationships/hyperlink" Target="https://buff.ly/2ZITumo" TargetMode="External"/><Relationship Id="rId4255" Type="http://schemas.openxmlformats.org/officeDocument/2006/relationships/hyperlink" Target="https://paullopez.ai/" TargetMode="External"/><Relationship Id="rId1849" Type="http://schemas.openxmlformats.org/officeDocument/2006/relationships/hyperlink" Target="https://pbs.twimg.com/media/Eu6VHwPWQAMjhuO.jpg" TargetMode="External"/><Relationship Id="rId3064" Type="http://schemas.openxmlformats.org/officeDocument/2006/relationships/hyperlink" Target="https://alexey0202.com/" TargetMode="External"/><Relationship Id="rId192" Type="http://schemas.openxmlformats.org/officeDocument/2006/relationships/hyperlink" Target="https://pbs.twimg.com/media/Eu7cbQFXcAADBoH.jpg" TargetMode="External"/><Relationship Id="rId1709" Type="http://schemas.openxmlformats.org/officeDocument/2006/relationships/hyperlink" Target="https://pbs.twimg.com/media/Eu6bci8WgAAInx1.jpg" TargetMode="External"/><Relationship Id="rId1916" Type="http://schemas.openxmlformats.org/officeDocument/2006/relationships/hyperlink" Target="https://www.programming-hero.com/blog/the-simplest-path-to-become-a-successful-software-engineer-or-developer-in-2021.html" TargetMode="External"/><Relationship Id="rId3271" Type="http://schemas.openxmlformats.org/officeDocument/2006/relationships/hyperlink" Target="https://machinelearningflx.com/" TargetMode="External"/><Relationship Id="rId4115" Type="http://schemas.openxmlformats.org/officeDocument/2006/relationships/hyperlink" Target="https://pbs.twimg.com/media/Eu35zvrWYAAtwx0.png" TargetMode="External"/><Relationship Id="rId2080" Type="http://schemas.openxmlformats.org/officeDocument/2006/relationships/hyperlink" Target="https://globalcloudplatforms.com/2021/02/10/google-cloud-ai-leaders-share-tips-for-getting-started-with-ai/" TargetMode="External"/><Relationship Id="rId3131" Type="http://schemas.openxmlformats.org/officeDocument/2006/relationships/hyperlink" Target="https://bit.ly/3uqdpoA?utm_source=hootsuite&amp;utm_medium=twitter&amp;utm_term=&amp;utm_content=&amp;utm_campaign=" TargetMode="External"/><Relationship Id="rId2897" Type="http://schemas.openxmlformats.org/officeDocument/2006/relationships/hyperlink" Target="http://pic.twitter.com/sz0ESWpp0C" TargetMode="External"/><Relationship Id="rId3948" Type="http://schemas.openxmlformats.org/officeDocument/2006/relationships/hyperlink" Target="https://www.goingdigital.in/" TargetMode="External"/><Relationship Id="rId869" Type="http://schemas.openxmlformats.org/officeDocument/2006/relationships/hyperlink" Target="http://noorahalhasan.com/" TargetMode="External"/><Relationship Id="rId1499" Type="http://schemas.openxmlformats.org/officeDocument/2006/relationships/hyperlink" Target="https://bit.ly/2Mh94mh" TargetMode="External"/><Relationship Id="rId729" Type="http://schemas.openxmlformats.org/officeDocument/2006/relationships/hyperlink" Target="https://pbs.twimg.com/media/Eu7GrGOXEAAiMfy.jpg" TargetMode="External"/><Relationship Id="rId1359" Type="http://schemas.openxmlformats.org/officeDocument/2006/relationships/hyperlink" Target="https://mailchi.mp/1c92b15220b0/you-need-to-see-these-superstar-candidates-4216169" TargetMode="External"/><Relationship Id="rId2757" Type="http://schemas.openxmlformats.org/officeDocument/2006/relationships/hyperlink" Target="http://www.awakenai.org/" TargetMode="External"/><Relationship Id="rId2964" Type="http://schemas.openxmlformats.org/officeDocument/2006/relationships/hyperlink" Target="https://pbs.twimg.com/media/Eu5drNGWgAYqosF.jpg" TargetMode="External"/><Relationship Id="rId3808" Type="http://schemas.openxmlformats.org/officeDocument/2006/relationships/hyperlink" Target="https://zpy.io/b2dac647" TargetMode="External"/><Relationship Id="rId936" Type="http://schemas.openxmlformats.org/officeDocument/2006/relationships/hyperlink" Target="https://bit.ly/3pKelAE" TargetMode="External"/><Relationship Id="rId1219" Type="http://schemas.openxmlformats.org/officeDocument/2006/relationships/hyperlink" Target="http://www.paisnel.com/" TargetMode="External"/><Relationship Id="rId1566" Type="http://schemas.openxmlformats.org/officeDocument/2006/relationships/hyperlink" Target="https://fintechcircle.com/" TargetMode="External"/><Relationship Id="rId1773" Type="http://schemas.openxmlformats.org/officeDocument/2006/relationships/hyperlink" Target="https://pbs.twimg.com/media/Eu6ZU4cXEAQZ92D.jpg" TargetMode="External"/><Relationship Id="rId1980" Type="http://schemas.openxmlformats.org/officeDocument/2006/relationships/hyperlink" Target="https://choyou.com/" TargetMode="External"/><Relationship Id="rId2617" Type="http://schemas.openxmlformats.org/officeDocument/2006/relationships/hyperlink" Target="https://zpy.io/b978ad6b" TargetMode="External"/><Relationship Id="rId2824" Type="http://schemas.openxmlformats.org/officeDocument/2006/relationships/hyperlink" Target="https://www.reddit.com/r/MachineLearning/" TargetMode="External"/><Relationship Id="rId65" Type="http://schemas.openxmlformats.org/officeDocument/2006/relationships/hyperlink" Target="http://smarte-conseil.fr/" TargetMode="External"/><Relationship Id="rId1426" Type="http://schemas.openxmlformats.org/officeDocument/2006/relationships/hyperlink" Target="https://modelzoo.co/" TargetMode="External"/><Relationship Id="rId1633" Type="http://schemas.openxmlformats.org/officeDocument/2006/relationships/hyperlink" Target="http://neuvays.com/" TargetMode="External"/><Relationship Id="rId1840" Type="http://schemas.openxmlformats.org/officeDocument/2006/relationships/hyperlink" Target="https://www.militaryaerospace.com/unmanned/article/14195641/unmanned-jet-fighter-machinelearning?utm_source=MAE+Unmanned+Vehicle&amp;utm_medium=email&amp;utm_campaign=CPS210215025&amp;o_eid=2046E3688590F6V&amp;rdx.ident%5Bpull%5D=omeda%7C2046E3688590F6V&amp;oly_enc_id=2046E3688590F6V" TargetMode="External"/><Relationship Id="rId1700" Type="http://schemas.openxmlformats.org/officeDocument/2006/relationships/hyperlink" Target="https://www.jadbio.com/case-studies/monitoring-parkinsons-progression-regression/" TargetMode="External"/><Relationship Id="rId3598" Type="http://schemas.openxmlformats.org/officeDocument/2006/relationships/hyperlink" Target="https://amitness.com/regex" TargetMode="External"/><Relationship Id="rId3458" Type="http://schemas.openxmlformats.org/officeDocument/2006/relationships/hyperlink" Target="https://zpy.io/26895e2e" TargetMode="External"/><Relationship Id="rId3665" Type="http://schemas.openxmlformats.org/officeDocument/2006/relationships/hyperlink" Target="http://www.techaffinityconsulting.com/" TargetMode="External"/><Relationship Id="rId3872" Type="http://schemas.openxmlformats.org/officeDocument/2006/relationships/hyperlink" Target="https://www.linkedin.com/in/mmasensi/" TargetMode="External"/><Relationship Id="rId379" Type="http://schemas.openxmlformats.org/officeDocument/2006/relationships/hyperlink" Target="https://openstatistics.org/" TargetMode="External"/><Relationship Id="rId586" Type="http://schemas.openxmlformats.org/officeDocument/2006/relationships/hyperlink" Target="https://pbs.twimg.com/media/Eu3HkmhXMAAg4zx.jpg" TargetMode="External"/><Relationship Id="rId793" Type="http://schemas.openxmlformats.org/officeDocument/2006/relationships/hyperlink" Target="https://www.fishinnovationlab.msstate.edu/" TargetMode="External"/><Relationship Id="rId2267" Type="http://schemas.openxmlformats.org/officeDocument/2006/relationships/hyperlink" Target="https://pbs.twimg.com/media/Eu6AYUFUUAM48LX.jpg" TargetMode="External"/><Relationship Id="rId2474" Type="http://schemas.openxmlformats.org/officeDocument/2006/relationships/hyperlink" Target="https://pbs.twimg.com/media/Eu511orWgAEbRaV.jpg" TargetMode="External"/><Relationship Id="rId2681" Type="http://schemas.openxmlformats.org/officeDocument/2006/relationships/hyperlink" Target="https://medium.com/nerd-for-tech/please-human-can-you-teach-me-how-to-ai-9b272920f16f" TargetMode="External"/><Relationship Id="rId3318" Type="http://schemas.openxmlformats.org/officeDocument/2006/relationships/hyperlink" Target="https://lionbridge.ai/datasets/tensorflow-datasets-machine-learning/" TargetMode="External"/><Relationship Id="rId3525" Type="http://schemas.openxmlformats.org/officeDocument/2006/relationships/hyperlink" Target="https://kerzenmadl.de/" TargetMode="External"/><Relationship Id="rId239" Type="http://schemas.openxmlformats.org/officeDocument/2006/relationships/hyperlink" Target="https://www.linkedin.com/in/mmallari" TargetMode="External"/><Relationship Id="rId446" Type="http://schemas.openxmlformats.org/officeDocument/2006/relationships/hyperlink" Target="https://www.linkedin.com/in/paulapiccard/" TargetMode="External"/><Relationship Id="rId653" Type="http://schemas.openxmlformats.org/officeDocument/2006/relationships/hyperlink" Target="https://bit.ly/3skDd3E" TargetMode="External"/><Relationship Id="rId1076" Type="http://schemas.openxmlformats.org/officeDocument/2006/relationships/hyperlink" Target="https://www.linkedin.com/in/mmasensi/" TargetMode="External"/><Relationship Id="rId1283" Type="http://schemas.openxmlformats.org/officeDocument/2006/relationships/hyperlink" Target="https://www.bbva.com/es/bbva-y-google-cloud-establecen-una-alianza-para-promover-la-innovacion-en-la-seguridad-de-los-servicios-financieros/" TargetMode="External"/><Relationship Id="rId1490" Type="http://schemas.openxmlformats.org/officeDocument/2006/relationships/hyperlink" Target="https://pbs.twimg.com/media/Eu6lenNXcAAlC32.jpg" TargetMode="External"/><Relationship Id="rId2127" Type="http://schemas.openxmlformats.org/officeDocument/2006/relationships/hyperlink" Target="https://autome.me/artificial-intelligenceai-algorithms-and-its-types-explained/" TargetMode="External"/><Relationship Id="rId2334" Type="http://schemas.openxmlformats.org/officeDocument/2006/relationships/hyperlink" Target="https://blog.f-secure.com/how-smarter-machine-learning-reduces-churn/" TargetMode="External"/><Relationship Id="rId3732" Type="http://schemas.openxmlformats.org/officeDocument/2006/relationships/hyperlink" Target="https://pbs.twimg.com/media/Eu4kD_BXIAkes7V.jpg" TargetMode="External"/><Relationship Id="rId306" Type="http://schemas.openxmlformats.org/officeDocument/2006/relationships/hyperlink" Target="https://www.linkedin.com/in/lorenzogomezvargas" TargetMode="External"/><Relationship Id="rId860" Type="http://schemas.openxmlformats.org/officeDocument/2006/relationships/hyperlink" Target="https://pbs.twimg.com/media/Eu7AD_BVEAUWz8E.jpg" TargetMode="External"/><Relationship Id="rId1143" Type="http://schemas.openxmlformats.org/officeDocument/2006/relationships/hyperlink" Target="https://doi.org/10.1093/bioinformatics/btaa799" TargetMode="External"/><Relationship Id="rId2541" Type="http://schemas.openxmlformats.org/officeDocument/2006/relationships/hyperlink" Target="https://buff.ly/3ur8jbo" TargetMode="External"/><Relationship Id="rId513" Type="http://schemas.openxmlformats.org/officeDocument/2006/relationships/hyperlink" Target="https://udemy-free-coupons.blogspot.com/" TargetMode="External"/><Relationship Id="rId720" Type="http://schemas.openxmlformats.org/officeDocument/2006/relationships/hyperlink" Target="https://pbs.twimg.com/media/Eu7G_MNUcAQFlLV.jpg" TargetMode="External"/><Relationship Id="rId1350" Type="http://schemas.openxmlformats.org/officeDocument/2006/relationships/hyperlink" Target="http://www.youtube.com/channel/UCxsSHt_xJriRkYNv2LoiCyw" TargetMode="External"/><Relationship Id="rId2401" Type="http://schemas.openxmlformats.org/officeDocument/2006/relationships/hyperlink" Target="http://bit.ly/2ZxdH09" TargetMode="External"/><Relationship Id="rId4159" Type="http://schemas.openxmlformats.org/officeDocument/2006/relationships/hyperlink" Target="http://www.la-forge.ai/" TargetMode="External"/><Relationship Id="rId1003" Type="http://schemas.openxmlformats.org/officeDocument/2006/relationships/hyperlink" Target="https://goo.gl/3TFrjv" TargetMode="External"/><Relationship Id="rId1210" Type="http://schemas.openxmlformats.org/officeDocument/2006/relationships/hyperlink" Target="http://pic.twitter.com/gMJNRpox2a" TargetMode="External"/><Relationship Id="rId3175" Type="http://schemas.openxmlformats.org/officeDocument/2006/relationships/hyperlink" Target="https://pbs.twimg.com/media/Eu2Ph8MWYAAdx0H.png" TargetMode="External"/><Relationship Id="rId3382" Type="http://schemas.openxmlformats.org/officeDocument/2006/relationships/hyperlink" Target="http://www.qavalley.com/" TargetMode="External"/><Relationship Id="rId4019" Type="http://schemas.openxmlformats.org/officeDocument/2006/relationships/hyperlink" Target="https://buff.ly/3kf8UbB" TargetMode="External"/><Relationship Id="rId4226" Type="http://schemas.openxmlformats.org/officeDocument/2006/relationships/hyperlink" Target="https://www.techradar.com/news/leinster-vs-munster-live-stream-how-to-watch-the-pro14-rugby-semi-final-online-today" TargetMode="External"/><Relationship Id="rId2191" Type="http://schemas.openxmlformats.org/officeDocument/2006/relationships/hyperlink" Target="https://hamoye.com/social" TargetMode="External"/><Relationship Id="rId3035" Type="http://schemas.openxmlformats.org/officeDocument/2006/relationships/hyperlink" Target="http://gdiyaduniovi.blogspot.com.es/" TargetMode="External"/><Relationship Id="rId3242" Type="http://schemas.openxmlformats.org/officeDocument/2006/relationships/hyperlink" Target="http://www.camera-module.com/" TargetMode="External"/><Relationship Id="rId163" Type="http://schemas.openxmlformats.org/officeDocument/2006/relationships/hyperlink" Target="https://dagshub.com/" TargetMode="External"/><Relationship Id="rId370" Type="http://schemas.openxmlformats.org/officeDocument/2006/relationships/hyperlink" Target="http://bit.ly/2ZKDFvQ" TargetMode="External"/><Relationship Id="rId2051" Type="http://schemas.openxmlformats.org/officeDocument/2006/relationships/hyperlink" Target="http://ow.ly/D4I250DHtDy" TargetMode="External"/><Relationship Id="rId3102" Type="http://schemas.openxmlformats.org/officeDocument/2006/relationships/hyperlink" Target="http://www.calibraint.com/" TargetMode="External"/><Relationship Id="rId230" Type="http://schemas.openxmlformats.org/officeDocument/2006/relationships/hyperlink" Target="https://bit.ly/3qYPw5J" TargetMode="External"/><Relationship Id="rId2868" Type="http://schemas.openxmlformats.org/officeDocument/2006/relationships/hyperlink" Target="https://www.linkedin.com/in/iainljbrown/" TargetMode="External"/><Relationship Id="rId3919" Type="http://schemas.openxmlformats.org/officeDocument/2006/relationships/hyperlink" Target="http://www.heliosantos.org/" TargetMode="External"/><Relationship Id="rId4083" Type="http://schemas.openxmlformats.org/officeDocument/2006/relationships/hyperlink" Target="https://pbs.twimg.com/media/Eu39QWIVoAANuLg.jpg" TargetMode="External"/><Relationship Id="rId1677" Type="http://schemas.openxmlformats.org/officeDocument/2006/relationships/hyperlink" Target="https://pbs.twimg.com/media/Eu6ciVaXIAMK1HM.jpg" TargetMode="External"/><Relationship Id="rId1884" Type="http://schemas.openxmlformats.org/officeDocument/2006/relationships/hyperlink" Target="https://twinybots.ch/" TargetMode="External"/><Relationship Id="rId2728" Type="http://schemas.openxmlformats.org/officeDocument/2006/relationships/hyperlink" Target="https://twitter.com/Theslimevids/status/1325443487622336512" TargetMode="External"/><Relationship Id="rId2935" Type="http://schemas.openxmlformats.org/officeDocument/2006/relationships/hyperlink" Target="https://pbs.twimg.com/media/Eu5flVZXMAE_c2L.png" TargetMode="External"/><Relationship Id="rId907" Type="http://schemas.openxmlformats.org/officeDocument/2006/relationships/hyperlink" Target="http://www.gppulipaka.org/" TargetMode="External"/><Relationship Id="rId1537" Type="http://schemas.openxmlformats.org/officeDocument/2006/relationships/hyperlink" Target="http://www.mambo.co.ke/" TargetMode="External"/><Relationship Id="rId1744" Type="http://schemas.openxmlformats.org/officeDocument/2006/relationships/hyperlink" Target="http://www.lanalabs.com/" TargetMode="External"/><Relationship Id="rId1951" Type="http://schemas.openxmlformats.org/officeDocument/2006/relationships/hyperlink" Target="https://goo.gl/3TFrjv" TargetMode="External"/><Relationship Id="rId4150" Type="http://schemas.openxmlformats.org/officeDocument/2006/relationships/hyperlink" Target="https://pbs.twimg.com/media/Eu32YQ0WgAYQTws.jpg" TargetMode="External"/><Relationship Id="rId36" Type="http://schemas.openxmlformats.org/officeDocument/2006/relationships/hyperlink" Target="https://medium.com/jovianml/apply-deep-neural-network-on-the-animal-faces-dataset-f573cb732e63" TargetMode="External"/><Relationship Id="rId1604" Type="http://schemas.openxmlformats.org/officeDocument/2006/relationships/hyperlink" Target="https://pbs.twimg.com/media/Eu6f3uCUcAAjv2u.jpg" TargetMode="External"/><Relationship Id="rId4010" Type="http://schemas.openxmlformats.org/officeDocument/2006/relationships/hyperlink" Target="http://fakerfact.org/" TargetMode="External"/><Relationship Id="rId1811" Type="http://schemas.openxmlformats.org/officeDocument/2006/relationships/hyperlink" Target="https://hubs.li/H0H2Pgr0" TargetMode="External"/><Relationship Id="rId3569" Type="http://schemas.openxmlformats.org/officeDocument/2006/relationships/hyperlink" Target="http://edure.in/" TargetMode="External"/><Relationship Id="rId697" Type="http://schemas.openxmlformats.org/officeDocument/2006/relationships/hyperlink" Target="https://www.linkedin.com/in/sayandey01/" TargetMode="External"/><Relationship Id="rId2378" Type="http://schemas.openxmlformats.org/officeDocument/2006/relationships/hyperlink" Target="https://openstatistics.org/" TargetMode="External"/><Relationship Id="rId3429" Type="http://schemas.openxmlformats.org/officeDocument/2006/relationships/hyperlink" Target="https://www.itvibes.com.au/" TargetMode="External"/><Relationship Id="rId3776" Type="http://schemas.openxmlformats.org/officeDocument/2006/relationships/hyperlink" Target="http://wimlds.org/" TargetMode="External"/><Relationship Id="rId3983" Type="http://schemas.openxmlformats.org/officeDocument/2006/relationships/hyperlink" Target="http://bit.ly/3p6vKD8" TargetMode="External"/><Relationship Id="rId1187" Type="http://schemas.openxmlformats.org/officeDocument/2006/relationships/hyperlink" Target="https://pbs.twimg.com/media/Eu6yWCkVgAUc7rr.png" TargetMode="External"/><Relationship Id="rId2585" Type="http://schemas.openxmlformats.org/officeDocument/2006/relationships/hyperlink" Target="https://www.getrevue.co/profile/olivier-salomon" TargetMode="External"/><Relationship Id="rId2792" Type="http://schemas.openxmlformats.org/officeDocument/2006/relationships/hyperlink" Target="http://pic.twitter.com/sDoOefOHA3" TargetMode="External"/><Relationship Id="rId3636" Type="http://schemas.openxmlformats.org/officeDocument/2006/relationships/hyperlink" Target="https://doi.org/10.1148/ryai.2021200078" TargetMode="External"/><Relationship Id="rId3843" Type="http://schemas.openxmlformats.org/officeDocument/2006/relationships/hyperlink" Target="http://www.dreamsplus.in/" TargetMode="External"/><Relationship Id="rId557" Type="http://schemas.openxmlformats.org/officeDocument/2006/relationships/hyperlink" Target="https://hubs.ly/H0H4cl-0" TargetMode="External"/><Relationship Id="rId764" Type="http://schemas.openxmlformats.org/officeDocument/2006/relationships/hyperlink" Target="https://pbs.twimg.com/media/Eu7FCxgVgAUw7xm.jpg" TargetMode="External"/><Relationship Id="rId971" Type="http://schemas.openxmlformats.org/officeDocument/2006/relationships/hyperlink" Target="https://pbs.twimg.com/media/Eu0QNw4XcAEgkfD.jpg" TargetMode="External"/><Relationship Id="rId1394" Type="http://schemas.openxmlformats.org/officeDocument/2006/relationships/hyperlink" Target="https://pbs.twimg.com/media/Eu6pJ3-XUAMA_Xl.jpg" TargetMode="External"/><Relationship Id="rId2238" Type="http://schemas.openxmlformats.org/officeDocument/2006/relationships/hyperlink" Target="https://lnkd.in/gaT64df" TargetMode="External"/><Relationship Id="rId2445" Type="http://schemas.openxmlformats.org/officeDocument/2006/relationships/hyperlink" Target="https://mebankingai.com/" TargetMode="External"/><Relationship Id="rId2652" Type="http://schemas.openxmlformats.org/officeDocument/2006/relationships/hyperlink" Target="https://buff.ly/2No3gYF" TargetMode="External"/><Relationship Id="rId3703" Type="http://schemas.openxmlformats.org/officeDocument/2006/relationships/hyperlink" Target="http://pic.twitter.com/hYIB3JixgW" TargetMode="External"/><Relationship Id="rId3910" Type="http://schemas.openxmlformats.org/officeDocument/2006/relationships/hyperlink" Target="https://bit.ly/2IV2dJy" TargetMode="External"/><Relationship Id="rId417" Type="http://schemas.openxmlformats.org/officeDocument/2006/relationships/hyperlink" Target="http://henon.io/" TargetMode="External"/><Relationship Id="rId624" Type="http://schemas.openxmlformats.org/officeDocument/2006/relationships/hyperlink" Target="http://pic.twitter.com/ZYY1xKaq55" TargetMode="External"/><Relationship Id="rId831" Type="http://schemas.openxmlformats.org/officeDocument/2006/relationships/hyperlink" Target="https://neurons.ai/blog/news-stories/machine-learning-method-identifies-precancerous-colon-polyps/" TargetMode="External"/><Relationship Id="rId1047" Type="http://schemas.openxmlformats.org/officeDocument/2006/relationships/hyperlink" Target="https://medium.com/mlearning-ai/build-your-own-facial-recognition-system-to-work-even-with-a-face-mask-b240539222f6" TargetMode="External"/><Relationship Id="rId1254" Type="http://schemas.openxmlformats.org/officeDocument/2006/relationships/hyperlink" Target="http://www.diegonogare.net/" TargetMode="External"/><Relationship Id="rId1461" Type="http://schemas.openxmlformats.org/officeDocument/2006/relationships/hyperlink" Target="https://towardsai.net/p" TargetMode="External"/><Relationship Id="rId2305" Type="http://schemas.openxmlformats.org/officeDocument/2006/relationships/hyperlink" Target="http://pic.twitter.com/YBuwiR8nto" TargetMode="External"/><Relationship Id="rId2512" Type="http://schemas.openxmlformats.org/officeDocument/2006/relationships/hyperlink" Target="https://www.cloudindustryforum.org/content/cif-membership-0" TargetMode="External"/><Relationship Id="rId1114" Type="http://schemas.openxmlformats.org/officeDocument/2006/relationships/hyperlink" Target="https://pbs.twimg.com/media/Eu62owfXEAAA_Ob.jpg" TargetMode="External"/><Relationship Id="rId1321" Type="http://schemas.openxmlformats.org/officeDocument/2006/relationships/hyperlink" Target="http://www.couponfree.uk/2020/03/advanced-web-scraping-with-python-using.html" TargetMode="External"/><Relationship Id="rId3079" Type="http://schemas.openxmlformats.org/officeDocument/2006/relationships/hyperlink" Target="http://essentials.news/future-of-hacking" TargetMode="External"/><Relationship Id="rId3286" Type="http://schemas.openxmlformats.org/officeDocument/2006/relationships/hyperlink" Target="https://builtin.com/data-science/deep-learning-python" TargetMode="External"/><Relationship Id="rId3493" Type="http://schemas.openxmlformats.org/officeDocument/2006/relationships/hyperlink" Target="http://ow.ly/vu7Z50DCenX" TargetMode="External"/><Relationship Id="rId2095" Type="http://schemas.openxmlformats.org/officeDocument/2006/relationships/hyperlink" Target="https://neurons.ai/blog/news-stories/how-insurers-can-unlock-data-enabled-business-growth/" TargetMode="External"/><Relationship Id="rId3146" Type="http://schemas.openxmlformats.org/officeDocument/2006/relationships/hyperlink" Target="https://www.microsoft.com/en-us/" TargetMode="External"/><Relationship Id="rId3353" Type="http://schemas.openxmlformats.org/officeDocument/2006/relationships/hyperlink" Target="https://exonomousid.com/" TargetMode="External"/><Relationship Id="rId274" Type="http://schemas.openxmlformats.org/officeDocument/2006/relationships/hyperlink" Target="https://bit.ly/3sdGq4I" TargetMode="External"/><Relationship Id="rId481" Type="http://schemas.openxmlformats.org/officeDocument/2006/relationships/hyperlink" Target="https://www.govloop.com/author/eriphar/" TargetMode="External"/><Relationship Id="rId2162" Type="http://schemas.openxmlformats.org/officeDocument/2006/relationships/hyperlink" Target="https://pbs.twimg.com/media/Eu6FPicXcAMI3v3.jpg" TargetMode="External"/><Relationship Id="rId3006" Type="http://schemas.openxmlformats.org/officeDocument/2006/relationships/hyperlink" Target="https://ift.tt/2NSRWUf" TargetMode="External"/><Relationship Id="rId3560" Type="http://schemas.openxmlformats.org/officeDocument/2006/relationships/hyperlink" Target="https://www.geektime.com/israeli-startup-torii-scores-10m-to-automate-saas-management/" TargetMode="External"/><Relationship Id="rId134" Type="http://schemas.openxmlformats.org/officeDocument/2006/relationships/hyperlink" Target="http://scanta.io/" TargetMode="External"/><Relationship Id="rId3213" Type="http://schemas.openxmlformats.org/officeDocument/2006/relationships/hyperlink" Target="https://rubikscode.net/2021/02/22/machine-learning-with-ml-net-guide-to-decision-trees/" TargetMode="External"/><Relationship Id="rId3420" Type="http://schemas.openxmlformats.org/officeDocument/2006/relationships/hyperlink" Target="https://lnkd.in/gNRKXP8" TargetMode="External"/><Relationship Id="rId341" Type="http://schemas.openxmlformats.org/officeDocument/2006/relationships/hyperlink" Target="https://pbs.twimg.com/media/Eu7WGgPVEAArY2S.jpg" TargetMode="External"/><Relationship Id="rId2022" Type="http://schemas.openxmlformats.org/officeDocument/2006/relationships/hyperlink" Target="https://buff.ly/2NnHzs1" TargetMode="External"/><Relationship Id="rId2979" Type="http://schemas.openxmlformats.org/officeDocument/2006/relationships/hyperlink" Target="https://aspira.ie/how-does-machine-learning-work/" TargetMode="External"/><Relationship Id="rId201" Type="http://schemas.openxmlformats.org/officeDocument/2006/relationships/hyperlink" Target="https://pbs.twimg.com/media/Eu7cZffXUAgDPzl.jpg" TargetMode="External"/><Relationship Id="rId1788" Type="http://schemas.openxmlformats.org/officeDocument/2006/relationships/hyperlink" Target="https://pbs.twimg.com/media/Eu6Y3jAXEAAfpWZ.jpg" TargetMode="External"/><Relationship Id="rId1995" Type="http://schemas.openxmlformats.org/officeDocument/2006/relationships/hyperlink" Target="https://machinelearningflx.com/" TargetMode="External"/><Relationship Id="rId2839" Type="http://schemas.openxmlformats.org/officeDocument/2006/relationships/hyperlink" Target="http://www.techjunkieblog.com/" TargetMode="External"/><Relationship Id="rId4194" Type="http://schemas.openxmlformats.org/officeDocument/2006/relationships/hyperlink" Target="https://stuf.in/b54p47" TargetMode="External"/><Relationship Id="rId1648" Type="http://schemas.openxmlformats.org/officeDocument/2006/relationships/hyperlink" Target="https://pbs.twimg.com/media/Eu6eMe5U4AE_5Vl.jpg" TargetMode="External"/><Relationship Id="rId4054" Type="http://schemas.openxmlformats.org/officeDocument/2006/relationships/hyperlink" Target="https://bit.ly/3pIOlWb" TargetMode="External"/><Relationship Id="rId4261" Type="http://schemas.openxmlformats.org/officeDocument/2006/relationships/hyperlink" Target="http://pic.twitter.com/Bwt9EZCBga" TargetMode="External"/><Relationship Id="rId1508" Type="http://schemas.openxmlformats.org/officeDocument/2006/relationships/hyperlink" Target="https://mambo.co.ke/design/web-design" TargetMode="External"/><Relationship Id="rId1855" Type="http://schemas.openxmlformats.org/officeDocument/2006/relationships/hyperlink" Target="https://pbs.twimg.com/media/Eu6Us-JXMAE2y8Y.jpg" TargetMode="External"/><Relationship Id="rId2906" Type="http://schemas.openxmlformats.org/officeDocument/2006/relationships/hyperlink" Target="https://lnkd.in/dvFka-a" TargetMode="External"/><Relationship Id="rId3070" Type="http://schemas.openxmlformats.org/officeDocument/2006/relationships/hyperlink" Target="http://swll.to/dcuab" TargetMode="External"/><Relationship Id="rId4121" Type="http://schemas.openxmlformats.org/officeDocument/2006/relationships/hyperlink" Target="http://www.corizance.com/" TargetMode="External"/><Relationship Id="rId1715" Type="http://schemas.openxmlformats.org/officeDocument/2006/relationships/hyperlink" Target="https://pbs.twimg.com/media/Eu6bPgLWYAIgnqp.jpg" TargetMode="External"/><Relationship Id="rId1922" Type="http://schemas.openxmlformats.org/officeDocument/2006/relationships/hyperlink" Target="https://pbs.twimg.com/media/EnG4zDIVEAAH2qR.jpg" TargetMode="External"/><Relationship Id="rId3887" Type="http://schemas.openxmlformats.org/officeDocument/2006/relationships/hyperlink" Target="http://marktechpost.com/" TargetMode="External"/><Relationship Id="rId2489" Type="http://schemas.openxmlformats.org/officeDocument/2006/relationships/hyperlink" Target="http://bit.ly/2DS9M16" TargetMode="External"/><Relationship Id="rId2696" Type="http://schemas.openxmlformats.org/officeDocument/2006/relationships/hyperlink" Target="https://www.crypto-news-flash.com/german-government-considers-ubirchs-digital-vaccination-passport-based-on-iota/" TargetMode="External"/><Relationship Id="rId3747" Type="http://schemas.openxmlformats.org/officeDocument/2006/relationships/hyperlink" Target="https://youtu.be/h4Lvz29DFHc" TargetMode="External"/><Relationship Id="rId3954" Type="http://schemas.openxmlformats.org/officeDocument/2006/relationships/hyperlink" Target="https://neurons.ai/blog/news-stories/heres-our-first-real-look-at-android-12s-new-conversation-widget/" TargetMode="External"/><Relationship Id="rId668" Type="http://schemas.openxmlformats.org/officeDocument/2006/relationships/hyperlink" Target="http://www.linkedin.com/in/kirkdborne" TargetMode="External"/><Relationship Id="rId875" Type="http://schemas.openxmlformats.org/officeDocument/2006/relationships/hyperlink" Target="https://tinyurl.com/y97mawr9" TargetMode="External"/><Relationship Id="rId1298" Type="http://schemas.openxmlformats.org/officeDocument/2006/relationships/hyperlink" Target="https://go.aws/3scFuhc" TargetMode="External"/><Relationship Id="rId2349" Type="http://schemas.openxmlformats.org/officeDocument/2006/relationships/hyperlink" Target="https://convit.de/newsmind" TargetMode="External"/><Relationship Id="rId2556" Type="http://schemas.openxmlformats.org/officeDocument/2006/relationships/hyperlink" Target="https://techflx.com/product-category/books/" TargetMode="External"/><Relationship Id="rId2763" Type="http://schemas.openxmlformats.org/officeDocument/2006/relationships/hyperlink" Target="http://pic.twitter.com/CSGydvIxmq" TargetMode="External"/><Relationship Id="rId2970" Type="http://schemas.openxmlformats.org/officeDocument/2006/relationships/hyperlink" Target="http://www.awakenai.org/" TargetMode="External"/><Relationship Id="rId3607" Type="http://schemas.openxmlformats.org/officeDocument/2006/relationships/hyperlink" Target="http://bit.ly/37Ef5B2" TargetMode="External"/><Relationship Id="rId3814" Type="http://schemas.openxmlformats.org/officeDocument/2006/relationships/hyperlink" Target="http://www.simple2trade.com/" TargetMode="External"/><Relationship Id="rId528" Type="http://schemas.openxmlformats.org/officeDocument/2006/relationships/hyperlink" Target="http://about.me/paulhector" TargetMode="External"/><Relationship Id="rId735" Type="http://schemas.openxmlformats.org/officeDocument/2006/relationships/hyperlink" Target="https://dld-conference.com/conference/allstars" TargetMode="External"/><Relationship Id="rId942" Type="http://schemas.openxmlformats.org/officeDocument/2006/relationships/hyperlink" Target="https://pbs.twimg.com/media/EPTdg3MWoAMvqVP.jpg" TargetMode="External"/><Relationship Id="rId1158" Type="http://schemas.openxmlformats.org/officeDocument/2006/relationships/hyperlink" Target="https://journals.plos.org/plosone/article?id=10.1371/journal.pone.0247203" TargetMode="External"/><Relationship Id="rId1365" Type="http://schemas.openxmlformats.org/officeDocument/2006/relationships/hyperlink" Target="https://pbs.twimg.com/media/Eugax6JXIAEnbBT.jpg" TargetMode="External"/><Relationship Id="rId1572" Type="http://schemas.openxmlformats.org/officeDocument/2006/relationships/hyperlink" Target="https://pbs.twimg.com/media/Eu6h5AuVgAEghlT.jpg" TargetMode="External"/><Relationship Id="rId2209" Type="http://schemas.openxmlformats.org/officeDocument/2006/relationships/hyperlink" Target="https://www.paulinefrancois.net/" TargetMode="External"/><Relationship Id="rId2416" Type="http://schemas.openxmlformats.org/officeDocument/2006/relationships/hyperlink" Target="https://aud.al/3aKcdo8" TargetMode="External"/><Relationship Id="rId2623" Type="http://schemas.openxmlformats.org/officeDocument/2006/relationships/hyperlink" Target="https://dataly.st/blog-post/b2c-startup-you-need-a-recommender-system/" TargetMode="External"/><Relationship Id="rId1018" Type="http://schemas.openxmlformats.org/officeDocument/2006/relationships/hyperlink" Target="https://pbs.twimg.com/media/Eu66EAlWgAApQb6.jpg" TargetMode="External"/><Relationship Id="rId1225" Type="http://schemas.openxmlformats.org/officeDocument/2006/relationships/hyperlink" Target="https://pbs.twimg.com/media/Eu26W0eVoAM_CLe.jpg" TargetMode="External"/><Relationship Id="rId1432" Type="http://schemas.openxmlformats.org/officeDocument/2006/relationships/hyperlink" Target="http://essentials.news/future-of-hacking" TargetMode="External"/><Relationship Id="rId2830" Type="http://schemas.openxmlformats.org/officeDocument/2006/relationships/hyperlink" Target="https://go.aws/3jZTFDf" TargetMode="External"/><Relationship Id="rId71" Type="http://schemas.openxmlformats.org/officeDocument/2006/relationships/hyperlink" Target="http://odsc.com/" TargetMode="External"/><Relationship Id="rId802" Type="http://schemas.openxmlformats.org/officeDocument/2006/relationships/hyperlink" Target="http://successanalytix.blogspot.com/" TargetMode="External"/><Relationship Id="rId3397" Type="http://schemas.openxmlformats.org/officeDocument/2006/relationships/hyperlink" Target="http://neurons.ai/" TargetMode="External"/><Relationship Id="rId178" Type="http://schemas.openxmlformats.org/officeDocument/2006/relationships/hyperlink" Target="https://santosh-shevade.medium.com/" TargetMode="External"/><Relationship Id="rId3257" Type="http://schemas.openxmlformats.org/officeDocument/2006/relationships/hyperlink" Target="https://byp.ee/bgk2Sg" TargetMode="External"/><Relationship Id="rId3464" Type="http://schemas.openxmlformats.org/officeDocument/2006/relationships/hyperlink" Target="https://buff.ly/3jZjwLA" TargetMode="External"/><Relationship Id="rId3671" Type="http://schemas.openxmlformats.org/officeDocument/2006/relationships/hyperlink" Target="http://isstechnologies.in/" TargetMode="External"/><Relationship Id="rId385" Type="http://schemas.openxmlformats.org/officeDocument/2006/relationships/hyperlink" Target="https://pbs.twimg.com/media/Eu7UPaWVIAIKyU_.jpg" TargetMode="External"/><Relationship Id="rId592" Type="http://schemas.openxmlformats.org/officeDocument/2006/relationships/hyperlink" Target="https://www.information-age.com/improving-understanding-machine-learning-end-users-123493789/" TargetMode="External"/><Relationship Id="rId2066" Type="http://schemas.openxmlformats.org/officeDocument/2006/relationships/hyperlink" Target="https://zpy.io/3fd078dc" TargetMode="External"/><Relationship Id="rId2273" Type="http://schemas.openxmlformats.org/officeDocument/2006/relationships/hyperlink" Target="https://pbs.twimg.com/media/Eu5_5FPXcAAcrgH.jpg" TargetMode="External"/><Relationship Id="rId2480" Type="http://schemas.openxmlformats.org/officeDocument/2006/relationships/hyperlink" Target="https://pbs.twimg.com/media/Eu508yYXAAMcopW.jpg" TargetMode="External"/><Relationship Id="rId3117" Type="http://schemas.openxmlformats.org/officeDocument/2006/relationships/hyperlink" Target="https://about.me/pawan.somanchi" TargetMode="External"/><Relationship Id="rId3324" Type="http://schemas.openxmlformats.org/officeDocument/2006/relationships/hyperlink" Target="https://zcu.io/RVrY" TargetMode="External"/><Relationship Id="rId3531" Type="http://schemas.openxmlformats.org/officeDocument/2006/relationships/hyperlink" Target="https://amzn.to/3qRKJCQ" TargetMode="External"/><Relationship Id="rId245" Type="http://schemas.openxmlformats.org/officeDocument/2006/relationships/hyperlink" Target="https://pbs.twimg.com/media/Eu7aGJVXcAUGy2H.jpg" TargetMode="External"/><Relationship Id="rId452" Type="http://schemas.openxmlformats.org/officeDocument/2006/relationships/hyperlink" Target="https://youtu.be/5LTvyzvPQRM" TargetMode="External"/><Relationship Id="rId1082" Type="http://schemas.openxmlformats.org/officeDocument/2006/relationships/hyperlink" Target="http://ca.linkedin.com/in/jasonbehrmann/" TargetMode="External"/><Relationship Id="rId2133" Type="http://schemas.openxmlformats.org/officeDocument/2006/relationships/hyperlink" Target="http://h2c.de/legal-notice" TargetMode="External"/><Relationship Id="rId2340" Type="http://schemas.openxmlformats.org/officeDocument/2006/relationships/hyperlink" Target="https://contribute.towardsai.net/" TargetMode="External"/><Relationship Id="rId105" Type="http://schemas.openxmlformats.org/officeDocument/2006/relationships/hyperlink" Target="https://ca.linkedin.com/in/mikedewaal" TargetMode="External"/><Relationship Id="rId312" Type="http://schemas.openxmlformats.org/officeDocument/2006/relationships/hyperlink" Target="https://zpy.io/f8820913" TargetMode="External"/><Relationship Id="rId2200" Type="http://schemas.openxmlformats.org/officeDocument/2006/relationships/hyperlink" Target="https://medium.com/nerd-for-tech/please-human-can-you-teach-me-how-to-ai-9b272920f16f?source=rss-------8-----------------artificial_intelligence" TargetMode="External"/><Relationship Id="rId4098" Type="http://schemas.openxmlformats.org/officeDocument/2006/relationships/hyperlink" Target="https://zpy.io/3d404455" TargetMode="External"/><Relationship Id="rId1899" Type="http://schemas.openxmlformats.org/officeDocument/2006/relationships/hyperlink" Target="http://lddy.no/mmah" TargetMode="External"/><Relationship Id="rId4165" Type="http://schemas.openxmlformats.org/officeDocument/2006/relationships/hyperlink" Target="https://youtu.be/yuBEhotFRwg" TargetMode="External"/><Relationship Id="rId1759" Type="http://schemas.openxmlformats.org/officeDocument/2006/relationships/hyperlink" Target="https://buff.ly/3smw6Ya" TargetMode="External"/><Relationship Id="rId1966" Type="http://schemas.openxmlformats.org/officeDocument/2006/relationships/hyperlink" Target="https://pbs.twimg.com/media/Eu6QDbXXYAAKhDb.jpg" TargetMode="External"/><Relationship Id="rId3181" Type="http://schemas.openxmlformats.org/officeDocument/2006/relationships/hyperlink" Target="https://pbs.twimg.com/media/Eu2YkrMXcAEqWM4.jpg" TargetMode="External"/><Relationship Id="rId4025" Type="http://schemas.openxmlformats.org/officeDocument/2006/relationships/hyperlink" Target="http://bit.ly/3tQ4SL5" TargetMode="External"/><Relationship Id="rId1619" Type="http://schemas.openxmlformats.org/officeDocument/2006/relationships/hyperlink" Target="https://lnkd.in/gwy6Sey" TargetMode="External"/><Relationship Id="rId1826" Type="http://schemas.openxmlformats.org/officeDocument/2006/relationships/hyperlink" Target="http://www.marktechpost.com/" TargetMode="External"/><Relationship Id="rId4232" Type="http://schemas.openxmlformats.org/officeDocument/2006/relationships/hyperlink" Target="https://opsmatters.com/" TargetMode="External"/><Relationship Id="rId3041" Type="http://schemas.openxmlformats.org/officeDocument/2006/relationships/hyperlink" Target="https://pbs.twimg.com/media/Eu5bEoLWQAE7dr2.jpg" TargetMode="External"/><Relationship Id="rId3998" Type="http://schemas.openxmlformats.org/officeDocument/2006/relationships/hyperlink" Target="https://machinelearningflx.com/" TargetMode="External"/><Relationship Id="rId3858" Type="http://schemas.openxmlformats.org/officeDocument/2006/relationships/hyperlink" Target="https://datascienceonaws.com/" TargetMode="External"/><Relationship Id="rId779" Type="http://schemas.openxmlformats.org/officeDocument/2006/relationships/hyperlink" Target="https://bit.ly/3aauvyD" TargetMode="External"/><Relationship Id="rId986" Type="http://schemas.openxmlformats.org/officeDocument/2006/relationships/hyperlink" Target="http://swisscognitive.ch/" TargetMode="External"/><Relationship Id="rId2667" Type="http://schemas.openxmlformats.org/officeDocument/2006/relationships/hyperlink" Target="http://www.gstic.org/news/" TargetMode="External"/><Relationship Id="rId3718" Type="http://schemas.openxmlformats.org/officeDocument/2006/relationships/hyperlink" Target="http://writex.today/" TargetMode="External"/><Relationship Id="rId639" Type="http://schemas.openxmlformats.org/officeDocument/2006/relationships/hyperlink" Target="http://www.jaisonjacob.com/" TargetMode="External"/><Relationship Id="rId1269" Type="http://schemas.openxmlformats.org/officeDocument/2006/relationships/hyperlink" Target="https://jp.linkedin.com/in/mryelameli" TargetMode="External"/><Relationship Id="rId1476" Type="http://schemas.openxmlformats.org/officeDocument/2006/relationships/hyperlink" Target="https://bit.ly/3qOgBrJ" TargetMode="External"/><Relationship Id="rId2874" Type="http://schemas.openxmlformats.org/officeDocument/2006/relationships/hyperlink" Target="http://pic.twitter.com/4TX6Lfqcz9" TargetMode="External"/><Relationship Id="rId3925" Type="http://schemas.openxmlformats.org/officeDocument/2006/relationships/hyperlink" Target="https://www.usu.edu/today/story/usu-biologist-uses-machine-learning-approach-to-track-disease-carrying-mosquitoes" TargetMode="External"/><Relationship Id="rId846" Type="http://schemas.openxmlformats.org/officeDocument/2006/relationships/hyperlink" Target="https://pbs.twimg.com/media/Eu7CMxTWgAEyo-D.jpg" TargetMode="External"/><Relationship Id="rId1129" Type="http://schemas.openxmlformats.org/officeDocument/2006/relationships/hyperlink" Target="https://dfdnews.com/2021/02/18/restaurant-guests-remain-hyper-focused-on-cleanliness-and-safety/" TargetMode="External"/><Relationship Id="rId1683" Type="http://schemas.openxmlformats.org/officeDocument/2006/relationships/hyperlink" Target="https://brianthomas.me/" TargetMode="External"/><Relationship Id="rId1890" Type="http://schemas.openxmlformats.org/officeDocument/2006/relationships/hyperlink" Target="https://bit.ly/34U56a0" TargetMode="External"/><Relationship Id="rId2527" Type="http://schemas.openxmlformats.org/officeDocument/2006/relationships/hyperlink" Target="https://jt.ghostwriter.ai/website" TargetMode="External"/><Relationship Id="rId2734" Type="http://schemas.openxmlformats.org/officeDocument/2006/relationships/hyperlink" Target="https://medium.com/analytics-vidhya/which-machine-learning-algorithm-should-you-use-by-problem-type-a53967326566" TargetMode="External"/><Relationship Id="rId2941" Type="http://schemas.openxmlformats.org/officeDocument/2006/relationships/hyperlink" Target="https://analyticsindiamag.com/" TargetMode="External"/><Relationship Id="rId706" Type="http://schemas.openxmlformats.org/officeDocument/2006/relationships/hyperlink" Target="https://hbr.org/2021/02/is-china-emerging-as-the-global-leader-in-ai" TargetMode="External"/><Relationship Id="rId913" Type="http://schemas.openxmlformats.org/officeDocument/2006/relationships/hyperlink" Target="https://bit.ly/2NQFdBN" TargetMode="External"/><Relationship Id="rId1336" Type="http://schemas.openxmlformats.org/officeDocument/2006/relationships/hyperlink" Target="http://pic.twitter.com/ySlRUAw7DD" TargetMode="External"/><Relationship Id="rId1543" Type="http://schemas.openxmlformats.org/officeDocument/2006/relationships/hyperlink" Target="https://pbs.twimg.com/media/Eu6VbKXWQAM-RTs.jpg" TargetMode="External"/><Relationship Id="rId1750" Type="http://schemas.openxmlformats.org/officeDocument/2006/relationships/hyperlink" Target="http://www.doloresromero.com/" TargetMode="External"/><Relationship Id="rId2801" Type="http://schemas.openxmlformats.org/officeDocument/2006/relationships/hyperlink" Target="https://chainstoreage.com/amazon-seeks-human-touch-delivery-optimization" TargetMode="External"/><Relationship Id="rId42" Type="http://schemas.openxmlformats.org/officeDocument/2006/relationships/hyperlink" Target="http://gradeconf.org/" TargetMode="External"/><Relationship Id="rId1403" Type="http://schemas.openxmlformats.org/officeDocument/2006/relationships/hyperlink" Target="https://buff.ly/3pvO20J" TargetMode="External"/><Relationship Id="rId1610" Type="http://schemas.openxmlformats.org/officeDocument/2006/relationships/hyperlink" Target="https://github.com/ogrecio" TargetMode="External"/><Relationship Id="rId3368" Type="http://schemas.openxmlformats.org/officeDocument/2006/relationships/hyperlink" Target="https://amzn.to/3kqwFxL" TargetMode="External"/><Relationship Id="rId3575" Type="http://schemas.openxmlformats.org/officeDocument/2006/relationships/hyperlink" Target="https://www.selfdrivingcars360.com/" TargetMode="External"/><Relationship Id="rId3782" Type="http://schemas.openxmlformats.org/officeDocument/2006/relationships/hyperlink" Target="http://www.sciencemag.org/" TargetMode="External"/><Relationship Id="rId289" Type="http://schemas.openxmlformats.org/officeDocument/2006/relationships/hyperlink" Target="https://buff.ly/3dF2Fg2" TargetMode="External"/><Relationship Id="rId496" Type="http://schemas.openxmlformats.org/officeDocument/2006/relationships/hyperlink" Target="http://www.powerandpridepodcast.com/" TargetMode="External"/><Relationship Id="rId2177" Type="http://schemas.openxmlformats.org/officeDocument/2006/relationships/hyperlink" Target="https://pbs.twimg.com/media/Eu6FFy8XEAMUWEH.jpg" TargetMode="External"/><Relationship Id="rId2384" Type="http://schemas.openxmlformats.org/officeDocument/2006/relationships/hyperlink" Target="http://bit.ly/3qLkHRn" TargetMode="External"/><Relationship Id="rId2591" Type="http://schemas.openxmlformats.org/officeDocument/2006/relationships/hyperlink" Target="https://bit.ly/2Mh7iSh" TargetMode="External"/><Relationship Id="rId3228" Type="http://schemas.openxmlformats.org/officeDocument/2006/relationships/hyperlink" Target="http://www.camera-module.com/" TargetMode="External"/><Relationship Id="rId3435" Type="http://schemas.openxmlformats.org/officeDocument/2006/relationships/hyperlink" Target="https://twitter.com/SourabhSKatoch/status/1360146876121583617" TargetMode="External"/><Relationship Id="rId3642" Type="http://schemas.openxmlformats.org/officeDocument/2006/relationships/hyperlink" Target="https://twitter.com/Ronald_vanLoon/status/1360634654844465153" TargetMode="External"/><Relationship Id="rId149" Type="http://schemas.openxmlformats.org/officeDocument/2006/relationships/hyperlink" Target="http://pic.twitter.com/dgpIZwIXiY" TargetMode="External"/><Relationship Id="rId356" Type="http://schemas.openxmlformats.org/officeDocument/2006/relationships/hyperlink" Target="http://www.opensysmedia.com/" TargetMode="External"/><Relationship Id="rId563" Type="http://schemas.openxmlformats.org/officeDocument/2006/relationships/hyperlink" Target="http://information-age.com/ai-startup-fou" TargetMode="External"/><Relationship Id="rId770" Type="http://schemas.openxmlformats.org/officeDocument/2006/relationships/hyperlink" Target="http://www.datamente.es/?utm_source=twitter&amp;utm_medium=profile&amp;utm_campaign=website" TargetMode="External"/><Relationship Id="rId1193" Type="http://schemas.openxmlformats.org/officeDocument/2006/relationships/hyperlink" Target="https://pbs.twimg.com/media/Eu6xxC9VIAAoYWZ.jpg" TargetMode="External"/><Relationship Id="rId2037" Type="http://schemas.openxmlformats.org/officeDocument/2006/relationships/hyperlink" Target="http://elsevier.com/books-and-journals" TargetMode="External"/><Relationship Id="rId2244" Type="http://schemas.openxmlformats.org/officeDocument/2006/relationships/hyperlink" Target="https://hubs.la/H0G-4y70" TargetMode="External"/><Relationship Id="rId2451" Type="http://schemas.openxmlformats.org/officeDocument/2006/relationships/hyperlink" Target="http://neurons.ai/" TargetMode="External"/><Relationship Id="rId216" Type="http://schemas.openxmlformats.org/officeDocument/2006/relationships/hyperlink" Target="https://bit.ly/3keCZId" TargetMode="External"/><Relationship Id="rId423" Type="http://schemas.openxmlformats.org/officeDocument/2006/relationships/hyperlink" Target="https://gamer-geek-news.com/" TargetMode="External"/><Relationship Id="rId1053" Type="http://schemas.openxmlformats.org/officeDocument/2006/relationships/hyperlink" Target="https://event.grokstream.com/grokwebinar-sign-up/" TargetMode="External"/><Relationship Id="rId1260" Type="http://schemas.openxmlformats.org/officeDocument/2006/relationships/hyperlink" Target="http://www.la-forge.ai/" TargetMode="External"/><Relationship Id="rId2104" Type="http://schemas.openxmlformats.org/officeDocument/2006/relationships/hyperlink" Target="https://www.slainstitute.com/" TargetMode="External"/><Relationship Id="rId3502" Type="http://schemas.openxmlformats.org/officeDocument/2006/relationships/hyperlink" Target="https://deepai.org/" TargetMode="External"/><Relationship Id="rId630" Type="http://schemas.openxmlformats.org/officeDocument/2006/relationships/hyperlink" Target="https://pbs.twimg.com/media/Eu7LOTSXcAI9CmI.jpg" TargetMode="External"/><Relationship Id="rId2311" Type="http://schemas.openxmlformats.org/officeDocument/2006/relationships/hyperlink" Target="https://www.genisights.com/" TargetMode="External"/><Relationship Id="rId4069" Type="http://schemas.openxmlformats.org/officeDocument/2006/relationships/hyperlink" Target="https://www.engadget.com/engadget-ces-2021-virtual-stage-235031332.html" TargetMode="External"/><Relationship Id="rId1120" Type="http://schemas.openxmlformats.org/officeDocument/2006/relationships/hyperlink" Target="http://www.schoox.com/" TargetMode="External"/><Relationship Id="rId4276" Type="http://schemas.openxmlformats.org/officeDocument/2006/relationships/hyperlink" Target="http://alerttrade.us/" TargetMode="External"/><Relationship Id="rId1937" Type="http://schemas.openxmlformats.org/officeDocument/2006/relationships/hyperlink" Target="https://pbs.twimg.com/media/Eu6Rd60XYAE3XYO.png" TargetMode="External"/><Relationship Id="rId3085" Type="http://schemas.openxmlformats.org/officeDocument/2006/relationships/hyperlink" Target="https://www.forbes.com/sites/forbestechcouncil/2021/02/10/using-ai-and-machine-learning-to-break-past-the-constraints-of-the-new-normal/?sh=378f26085840" TargetMode="External"/><Relationship Id="rId3292" Type="http://schemas.openxmlformats.org/officeDocument/2006/relationships/hyperlink" Target="https://pbs.twimg.com/media/Eu5L2o0XUAMH0P3.jpg" TargetMode="External"/><Relationship Id="rId4136" Type="http://schemas.openxmlformats.org/officeDocument/2006/relationships/hyperlink" Target="http://www.inteligenciafutura.mx/" TargetMode="External"/><Relationship Id="rId3152" Type="http://schemas.openxmlformats.org/officeDocument/2006/relationships/hyperlink" Target="https://catherinescareercorner.com/" TargetMode="External"/><Relationship Id="rId4203" Type="http://schemas.openxmlformats.org/officeDocument/2006/relationships/hyperlink" Target="https://bit.ly/3bKuQb1" TargetMode="External"/><Relationship Id="rId280" Type="http://schemas.openxmlformats.org/officeDocument/2006/relationships/hyperlink" Target="http://www.awakenai.org/" TargetMode="External"/><Relationship Id="rId3012" Type="http://schemas.openxmlformats.org/officeDocument/2006/relationships/hyperlink" Target="https://www.knime.com/" TargetMode="External"/><Relationship Id="rId140" Type="http://schemas.openxmlformats.org/officeDocument/2006/relationships/hyperlink" Target="http://itnumeric.com/" TargetMode="External"/><Relationship Id="rId3969" Type="http://schemas.openxmlformats.org/officeDocument/2006/relationships/hyperlink" Target="https://zpy.io/61c0bbab" TargetMode="External"/><Relationship Id="rId6" Type="http://schemas.openxmlformats.org/officeDocument/2006/relationships/hyperlink" Target="https://pbs.twimg.com/media/Eu7jvzyUcAA9BL3.jpg" TargetMode="External"/><Relationship Id="rId2778" Type="http://schemas.openxmlformats.org/officeDocument/2006/relationships/hyperlink" Target="http://www.awakenai.org/" TargetMode="External"/><Relationship Id="rId2985" Type="http://schemas.openxmlformats.org/officeDocument/2006/relationships/hyperlink" Target="https://bit.ly/2NM2Qv7" TargetMode="External"/><Relationship Id="rId3829" Type="http://schemas.openxmlformats.org/officeDocument/2006/relationships/hyperlink" Target="https://aisydney.com.au/" TargetMode="External"/><Relationship Id="rId957" Type="http://schemas.openxmlformats.org/officeDocument/2006/relationships/hyperlink" Target="https://bit.ly/3pM0IAS" TargetMode="External"/><Relationship Id="rId1587" Type="http://schemas.openxmlformats.org/officeDocument/2006/relationships/hyperlink" Target="https://bit.ly/37FLzuA" TargetMode="External"/><Relationship Id="rId1794" Type="http://schemas.openxmlformats.org/officeDocument/2006/relationships/hyperlink" Target="https://redd.it/lqhk88" TargetMode="External"/><Relationship Id="rId2638" Type="http://schemas.openxmlformats.org/officeDocument/2006/relationships/hyperlink" Target="https://goo.gl/1TEwic" TargetMode="External"/><Relationship Id="rId2845" Type="http://schemas.openxmlformats.org/officeDocument/2006/relationships/hyperlink" Target="http://www.michem.unimib.it/" TargetMode="External"/><Relationship Id="rId86" Type="http://schemas.openxmlformats.org/officeDocument/2006/relationships/hyperlink" Target="https://pbs.twimg.com/media/Eu7g-fpXEAYYdJr.jpg" TargetMode="External"/><Relationship Id="rId817" Type="http://schemas.openxmlformats.org/officeDocument/2006/relationships/hyperlink" Target="https://neurons.ai/blog/news-stories/ai-here-there-everywhere-2/" TargetMode="External"/><Relationship Id="rId1447" Type="http://schemas.openxmlformats.org/officeDocument/2006/relationships/hyperlink" Target="https://blog.madana.io/federated-learning-confidential-computing-e70a4844bcc5" TargetMode="External"/><Relationship Id="rId1654" Type="http://schemas.openxmlformats.org/officeDocument/2006/relationships/hyperlink" Target="http://pic.twitter.com/ce3PpTYewi" TargetMode="External"/><Relationship Id="rId1861" Type="http://schemas.openxmlformats.org/officeDocument/2006/relationships/hyperlink" Target="http://ipfconline.fr/contacts-eng.html" TargetMode="External"/><Relationship Id="rId2705" Type="http://schemas.openxmlformats.org/officeDocument/2006/relationships/hyperlink" Target="https://www.industrial-production.de/grundlagenwissen/roboter-mit-ki-programmieren.htm" TargetMode="External"/><Relationship Id="rId2912" Type="http://schemas.openxmlformats.org/officeDocument/2006/relationships/hyperlink" Target="https://www.jucktion.com/forum/udemy-coupon/fundamentals-of-machine-learning-19-99-to-free-artificialintelligence-100daysofc/" TargetMode="External"/><Relationship Id="rId4060" Type="http://schemas.openxmlformats.org/officeDocument/2006/relationships/hyperlink" Target="https://pbs.twimg.com/media/Eu3_sJ1VEAELYuO.jpg" TargetMode="External"/><Relationship Id="rId1307" Type="http://schemas.openxmlformats.org/officeDocument/2006/relationships/hyperlink" Target="https://t.me/reconshell" TargetMode="External"/><Relationship Id="rId1514" Type="http://schemas.openxmlformats.org/officeDocument/2006/relationships/hyperlink" Target="http://ow.ly/xoSa50DHa4I" TargetMode="External"/><Relationship Id="rId1721" Type="http://schemas.openxmlformats.org/officeDocument/2006/relationships/hyperlink" Target="https://www.linkedin.com/in/paulapiccard/" TargetMode="External"/><Relationship Id="rId13" Type="http://schemas.openxmlformats.org/officeDocument/2006/relationships/hyperlink" Target="https://bit.ly/2NlF1dL" TargetMode="External"/><Relationship Id="rId3479" Type="http://schemas.openxmlformats.org/officeDocument/2006/relationships/hyperlink" Target="https://apachekafkabook.com/" TargetMode="External"/><Relationship Id="rId3686" Type="http://schemas.openxmlformats.org/officeDocument/2006/relationships/hyperlink" Target="http://www.sw4c.org/" TargetMode="External"/><Relationship Id="rId2288" Type="http://schemas.openxmlformats.org/officeDocument/2006/relationships/hyperlink" Target="http://www.arraystudiogroup.com/" TargetMode="External"/><Relationship Id="rId2495" Type="http://schemas.openxmlformats.org/officeDocument/2006/relationships/hyperlink" Target="https://www.visagetechnologies.com/" TargetMode="External"/><Relationship Id="rId3339" Type="http://schemas.openxmlformats.org/officeDocument/2006/relationships/hyperlink" Target="https://www.reddit.com/r/MachineLearning/comments/lpyfwe/d_kaggle_titanic_challenge_maximum_legit/" TargetMode="External"/><Relationship Id="rId3893" Type="http://schemas.openxmlformats.org/officeDocument/2006/relationships/hyperlink" Target="http://ipfconline.fr/contacts-eng.html" TargetMode="External"/><Relationship Id="rId467" Type="http://schemas.openxmlformats.org/officeDocument/2006/relationships/hyperlink" Target="http://pic.twitter.com/0OGj6WmTYY" TargetMode="External"/><Relationship Id="rId1097" Type="http://schemas.openxmlformats.org/officeDocument/2006/relationships/hyperlink" Target="https://searchcio.techtarget.com/tip/4-tips-on-how-to-reduce-IT-infrastructure-costs?utm_campaign=coschedule&amp;utm_source=twitter&amp;utm_medium=scality" TargetMode="External"/><Relationship Id="rId2148" Type="http://schemas.openxmlformats.org/officeDocument/2006/relationships/hyperlink" Target="http://equations.work/" TargetMode="External"/><Relationship Id="rId3546" Type="http://schemas.openxmlformats.org/officeDocument/2006/relationships/hyperlink" Target="https://bit.ly/3pxilVr" TargetMode="External"/><Relationship Id="rId3753" Type="http://schemas.openxmlformats.org/officeDocument/2006/relationships/hyperlink" Target="https://pbs.twimg.com/media/Eu4h1bOWYAEqe-r.jpg" TargetMode="External"/><Relationship Id="rId3960" Type="http://schemas.openxmlformats.org/officeDocument/2006/relationships/hyperlink" Target="https://neurons.ai/blog/news-stories/applications-of-artificial-intelligence-in-covid-19-icu-and-er-situations/" TargetMode="External"/><Relationship Id="rId674" Type="http://schemas.openxmlformats.org/officeDocument/2006/relationships/hyperlink" Target="https://www.youtube.com/user/viniciuscarida" TargetMode="External"/><Relationship Id="rId881" Type="http://schemas.openxmlformats.org/officeDocument/2006/relationships/hyperlink" Target="https://morioh.com/" TargetMode="External"/><Relationship Id="rId2355" Type="http://schemas.openxmlformats.org/officeDocument/2006/relationships/hyperlink" Target="https://zpy.io/44ec2b13" TargetMode="External"/><Relationship Id="rId2562" Type="http://schemas.openxmlformats.org/officeDocument/2006/relationships/hyperlink" Target="https://hindustantimes.com/ht-school/ai-and-robots-now-and-future-of-tech-101614063835866.html" TargetMode="External"/><Relationship Id="rId3406" Type="http://schemas.openxmlformats.org/officeDocument/2006/relationships/hyperlink" Target="http://www.lemagit.fr/" TargetMode="External"/><Relationship Id="rId3613" Type="http://schemas.openxmlformats.org/officeDocument/2006/relationships/hyperlink" Target="https://onezero.medium.com/the-shoddy-science-behind-emotional-recognition-tech-2e847fc526a0" TargetMode="External"/><Relationship Id="rId3820" Type="http://schemas.openxmlformats.org/officeDocument/2006/relationships/hyperlink" Target="https://towardsdatascience.com/visualizing-twitter-statistics-with-python-and-pandas-956125b369e5" TargetMode="External"/><Relationship Id="rId327" Type="http://schemas.openxmlformats.org/officeDocument/2006/relationships/hyperlink" Target="https://www.buymeacoffee.com/Yuganshjain" TargetMode="External"/><Relationship Id="rId534" Type="http://schemas.openxmlformats.org/officeDocument/2006/relationships/hyperlink" Target="http://pic.twitter.com/xU0wWqZxuA" TargetMode="External"/><Relationship Id="rId741" Type="http://schemas.openxmlformats.org/officeDocument/2006/relationships/hyperlink" Target="https://deftboxsolutions.com/" TargetMode="External"/><Relationship Id="rId1164" Type="http://schemas.openxmlformats.org/officeDocument/2006/relationships/hyperlink" Target="https://www.netcarreiras.com.br/" TargetMode="External"/><Relationship Id="rId1371" Type="http://schemas.openxmlformats.org/officeDocument/2006/relationships/hyperlink" Target="https://pbs.twimg.com/media/Eu6qRJ4UYAUd5uV.jpg" TargetMode="External"/><Relationship Id="rId2008" Type="http://schemas.openxmlformats.org/officeDocument/2006/relationships/hyperlink" Target="http://www.mdpi.com/journal/remotesensing" TargetMode="External"/><Relationship Id="rId2215" Type="http://schemas.openxmlformats.org/officeDocument/2006/relationships/hyperlink" Target="https://stuf.in/b554r8" TargetMode="External"/><Relationship Id="rId2422" Type="http://schemas.openxmlformats.org/officeDocument/2006/relationships/hyperlink" Target="https://bit.ly/3sg4Men" TargetMode="External"/><Relationship Id="rId601" Type="http://schemas.openxmlformats.org/officeDocument/2006/relationships/hyperlink" Target="https://pbs.twimg.com/media/Eu7LrmDXMAEEcNj.jpg" TargetMode="External"/><Relationship Id="rId1024" Type="http://schemas.openxmlformats.org/officeDocument/2006/relationships/hyperlink" Target="https://finance.yahoo.com/news/satellite-company-blacksky-gets-backing-164756326.html" TargetMode="External"/><Relationship Id="rId1231" Type="http://schemas.openxmlformats.org/officeDocument/2006/relationships/hyperlink" Target="https://pbs.twimg.com/media/Eu6x01PVkA834zh.png" TargetMode="External"/><Relationship Id="rId3196" Type="http://schemas.openxmlformats.org/officeDocument/2006/relationships/hyperlink" Target="https://www.analyticsinsight.net/artificial-intelligence-in-archaeology-can-it-be-the-next-indiana-jones/" TargetMode="External"/><Relationship Id="rId4247" Type="http://schemas.openxmlformats.org/officeDocument/2006/relationships/hyperlink" Target="https://twitter.com/zachking/status/1261336860057460736" TargetMode="External"/><Relationship Id="rId3056" Type="http://schemas.openxmlformats.org/officeDocument/2006/relationships/hyperlink" Target="https://pbs.twimg.com/media/Eu5ZT7EVoAMLfrk.jpg" TargetMode="External"/><Relationship Id="rId3263" Type="http://schemas.openxmlformats.org/officeDocument/2006/relationships/hyperlink" Target="https://twitter.com/worldtrendsinfo" TargetMode="External"/><Relationship Id="rId3470" Type="http://schemas.openxmlformats.org/officeDocument/2006/relationships/hyperlink" Target="https://pbs.twimg.com/media/EuhXQTuXEAEkGNf.jpg" TargetMode="External"/><Relationship Id="rId4107" Type="http://schemas.openxmlformats.org/officeDocument/2006/relationships/hyperlink" Target="https://linktr.ee/RonaldvanLoon" TargetMode="External"/><Relationship Id="rId184" Type="http://schemas.openxmlformats.org/officeDocument/2006/relationships/hyperlink" Target="https://pbs.twimg.com/media/Eu7c19DWYAQW0xN.jpg" TargetMode="External"/><Relationship Id="rId391" Type="http://schemas.openxmlformats.org/officeDocument/2006/relationships/hyperlink" Target="https://pub.towardsai.net/" TargetMode="External"/><Relationship Id="rId1908" Type="http://schemas.openxmlformats.org/officeDocument/2006/relationships/hyperlink" Target="https://africadataschool.com/" TargetMode="External"/><Relationship Id="rId2072" Type="http://schemas.openxmlformats.org/officeDocument/2006/relationships/hyperlink" Target="https://www.analyticsvidhya.com/blog/2020/10/10-questions-asked-data-science-beginner/" TargetMode="External"/><Relationship Id="rId3123" Type="http://schemas.openxmlformats.org/officeDocument/2006/relationships/hyperlink" Target="http://www.glc.us.es/~jalonso/vestigium" TargetMode="External"/><Relationship Id="rId251" Type="http://schemas.openxmlformats.org/officeDocument/2006/relationships/hyperlink" Target="https://www.researchgate.net/profile/Scott_Coffin" TargetMode="External"/><Relationship Id="rId3330" Type="http://schemas.openxmlformats.org/officeDocument/2006/relationships/hyperlink" Target="https://deepai.org/" TargetMode="External"/><Relationship Id="rId2889" Type="http://schemas.openxmlformats.org/officeDocument/2006/relationships/hyperlink" Target="http://www.irits.org/" TargetMode="External"/><Relationship Id="rId111" Type="http://schemas.openxmlformats.org/officeDocument/2006/relationships/hyperlink" Target="http://ow.ly/1cHn50DHpFw" TargetMode="External"/><Relationship Id="rId1698" Type="http://schemas.openxmlformats.org/officeDocument/2006/relationships/hyperlink" Target="https://pbs.twimg.com/media/Eu3MyqEXAAYJbSj.png" TargetMode="External"/><Relationship Id="rId2749" Type="http://schemas.openxmlformats.org/officeDocument/2006/relationships/hyperlink" Target="http://www.wsi-emarketing.com/" TargetMode="External"/><Relationship Id="rId2956" Type="http://schemas.openxmlformats.org/officeDocument/2006/relationships/hyperlink" Target="https://goo.gle/3pxBsOu" TargetMode="External"/><Relationship Id="rId928" Type="http://schemas.openxmlformats.org/officeDocument/2006/relationships/hyperlink" Target="http://engineering.asu.edu/" TargetMode="External"/><Relationship Id="rId1558" Type="http://schemas.openxmlformats.org/officeDocument/2006/relationships/hyperlink" Target="https://techcrunch.com/2021/02/22/nanit-raises-another-25m-for-its-ai-powered-baby-monitor/" TargetMode="External"/><Relationship Id="rId1765" Type="http://schemas.openxmlformats.org/officeDocument/2006/relationships/hyperlink" Target="https://www.linkedin.com/in/iainljbrown/" TargetMode="External"/><Relationship Id="rId2609" Type="http://schemas.openxmlformats.org/officeDocument/2006/relationships/hyperlink" Target="https://pbs.twimg.com/media/Eu5vb-EWQAAwMUo.jpg" TargetMode="External"/><Relationship Id="rId4171" Type="http://schemas.openxmlformats.org/officeDocument/2006/relationships/hyperlink" Target="https://pbs.twimg.com/media/Eu30B7hXAAoDWgQ.jpg" TargetMode="External"/><Relationship Id="rId57" Type="http://schemas.openxmlformats.org/officeDocument/2006/relationships/hyperlink" Target="https://www.nytimes.com/2021/02/23/technology/ai-innovation-privacy-seniors-education.html?smid=tw-share" TargetMode="External"/><Relationship Id="rId1418" Type="http://schemas.openxmlformats.org/officeDocument/2006/relationships/hyperlink" Target="https://pbs.twimg.com/media/Eu6hQi0XMAYiOzn.jpg" TargetMode="External"/><Relationship Id="rId1972" Type="http://schemas.openxmlformats.org/officeDocument/2006/relationships/hyperlink" Target="https://pbs.twimg.com/media/Eu6QBRzWQAkfB2O.jpg" TargetMode="External"/><Relationship Id="rId2816" Type="http://schemas.openxmlformats.org/officeDocument/2006/relationships/hyperlink" Target="http://www.awakenai.org/" TargetMode="External"/><Relationship Id="rId4031" Type="http://schemas.openxmlformats.org/officeDocument/2006/relationships/hyperlink" Target="http://bit.ly/3kbmZqH" TargetMode="External"/><Relationship Id="rId1625" Type="http://schemas.openxmlformats.org/officeDocument/2006/relationships/hyperlink" Target="http://dlvr.it/RtJbyW" TargetMode="External"/><Relationship Id="rId1832" Type="http://schemas.openxmlformats.org/officeDocument/2006/relationships/hyperlink" Target="https://byp.ee/bgk2Sg" TargetMode="External"/><Relationship Id="rId3797" Type="http://schemas.openxmlformats.org/officeDocument/2006/relationships/hyperlink" Target="https://bit.ly/2Z6qbdo" TargetMode="External"/><Relationship Id="rId2399" Type="http://schemas.openxmlformats.org/officeDocument/2006/relationships/hyperlink" Target="https://essentials.news/cybersecurity/innovations-and-trends/article" TargetMode="External"/><Relationship Id="rId3657" Type="http://schemas.openxmlformats.org/officeDocument/2006/relationships/hyperlink" Target="http://ecptonline.com/" TargetMode="External"/><Relationship Id="rId3864" Type="http://schemas.openxmlformats.org/officeDocument/2006/relationships/hyperlink" Target="https://youtu.be/Lzhr_-aK7sM" TargetMode="External"/><Relationship Id="rId578" Type="http://schemas.openxmlformats.org/officeDocument/2006/relationships/hyperlink" Target="https://pbs.twimg.com/media/EpX5s5BVoAAbfel.jpg" TargetMode="External"/><Relationship Id="rId785" Type="http://schemas.openxmlformats.org/officeDocument/2006/relationships/hyperlink" Target="https://hackernoon.com/5-papers-on-face-recognition-every-data-scientist-should-read-2n4o34g7" TargetMode="External"/><Relationship Id="rId992" Type="http://schemas.openxmlformats.org/officeDocument/2006/relationships/hyperlink" Target="https://arxiv.org/abs/2102.10326" TargetMode="External"/><Relationship Id="rId2259" Type="http://schemas.openxmlformats.org/officeDocument/2006/relationships/hyperlink" Target="http://www.linkedin.com/pub/frank-vullers/3/503/51a" TargetMode="External"/><Relationship Id="rId2466" Type="http://schemas.openxmlformats.org/officeDocument/2006/relationships/hyperlink" Target="https://www.hownormalami.eu/" TargetMode="External"/><Relationship Id="rId2673" Type="http://schemas.openxmlformats.org/officeDocument/2006/relationships/hyperlink" Target="https://www.hindustantimes.com/ht-school/ai-and-robots-now-and-future-of-tech-101614063835866.html" TargetMode="External"/><Relationship Id="rId2880" Type="http://schemas.openxmlformats.org/officeDocument/2006/relationships/hyperlink" Target="http://neurons.ai/" TargetMode="External"/><Relationship Id="rId3517" Type="http://schemas.openxmlformats.org/officeDocument/2006/relationships/hyperlink" Target="https://www.bacancytechnology.com/blog/python-libraries-for-machine-learning" TargetMode="External"/><Relationship Id="rId3724" Type="http://schemas.openxmlformats.org/officeDocument/2006/relationships/hyperlink" Target="http://www.necio.ch/" TargetMode="External"/><Relationship Id="rId3931" Type="http://schemas.openxmlformats.org/officeDocument/2006/relationships/hyperlink" Target="https://techflx.com/product-category/books/" TargetMode="External"/><Relationship Id="rId438" Type="http://schemas.openxmlformats.org/officeDocument/2006/relationships/hyperlink" Target="http://www.hrconsulting.at/" TargetMode="External"/><Relationship Id="rId645" Type="http://schemas.openxmlformats.org/officeDocument/2006/relationships/hyperlink" Target="https://pbs.twimg.com/media/Eu7KwpKWQAUooQ8.jpg" TargetMode="External"/><Relationship Id="rId852" Type="http://schemas.openxmlformats.org/officeDocument/2006/relationships/hyperlink" Target="https://pbs.twimg.com/media/Eu7CH2QVIAM62ro.jpg" TargetMode="External"/><Relationship Id="rId1068" Type="http://schemas.openxmlformats.org/officeDocument/2006/relationships/hyperlink" Target="https://pbs.twimg.com/media/Eu63_5jXMAIZrxy.jpg" TargetMode="External"/><Relationship Id="rId1275" Type="http://schemas.openxmlformats.org/officeDocument/2006/relationships/hyperlink" Target="http://www.couponfree.uk/2020/12/modern-reinforcement-learning-actor.html" TargetMode="External"/><Relationship Id="rId1482" Type="http://schemas.openxmlformats.org/officeDocument/2006/relationships/hyperlink" Target="https://bit.ly/3dEGwyr" TargetMode="External"/><Relationship Id="rId2119" Type="http://schemas.openxmlformats.org/officeDocument/2006/relationships/hyperlink" Target="https://www.inria.fr/fr/lapprentissage-machine-cognitif-pour-leveil-des-enfants-la-startup-gazouyi-prend-son-envol" TargetMode="External"/><Relationship Id="rId2326" Type="http://schemas.openxmlformats.org/officeDocument/2006/relationships/hyperlink" Target="https://twitter.com/segundoatdell/status/1364149368786456576" TargetMode="External"/><Relationship Id="rId2533" Type="http://schemas.openxmlformats.org/officeDocument/2006/relationships/hyperlink" Target="https://autome.me/" TargetMode="External"/><Relationship Id="rId2740" Type="http://schemas.openxmlformats.org/officeDocument/2006/relationships/hyperlink" Target="https://pbs.twimg.com/media/Eu5nBhtXIAQchbD.jpg" TargetMode="External"/><Relationship Id="rId505" Type="http://schemas.openxmlformats.org/officeDocument/2006/relationships/hyperlink" Target="https://hubs.ly/H0CDWly0" TargetMode="External"/><Relationship Id="rId712" Type="http://schemas.openxmlformats.org/officeDocument/2006/relationships/hyperlink" Target="https://pbs.twimg.com/media/Eu7CboCXYAItaS8.png" TargetMode="External"/><Relationship Id="rId1135" Type="http://schemas.openxmlformats.org/officeDocument/2006/relationships/hyperlink" Target="http://bit.ly/3aJmjpm" TargetMode="External"/><Relationship Id="rId1342" Type="http://schemas.openxmlformats.org/officeDocument/2006/relationships/hyperlink" Target="https://pbs.twimg.com/media/Eu6gxyPVgAURBox.jpg" TargetMode="External"/><Relationship Id="rId1202" Type="http://schemas.openxmlformats.org/officeDocument/2006/relationships/hyperlink" Target="https://pbs.twimg.com/media/Eu6yt5lVEAMxTIS.png" TargetMode="External"/><Relationship Id="rId2600" Type="http://schemas.openxmlformats.org/officeDocument/2006/relationships/hyperlink" Target="https://bgr.com/2021/02/22/microsoft-word-text-prediction/?bgr-partner=flipboard" TargetMode="External"/><Relationship Id="rId3167" Type="http://schemas.openxmlformats.org/officeDocument/2006/relationships/hyperlink" Target="http://neurons.ai/" TargetMode="External"/><Relationship Id="rId295" Type="http://schemas.openxmlformats.org/officeDocument/2006/relationships/hyperlink" Target="http://tesseract.academy/" TargetMode="External"/><Relationship Id="rId3374" Type="http://schemas.openxmlformats.org/officeDocument/2006/relationships/hyperlink" Target="https://pbs.twimg.com/media/Eu5D8dlXUAUKV6V.jpg" TargetMode="External"/><Relationship Id="rId3581" Type="http://schemas.openxmlformats.org/officeDocument/2006/relationships/hyperlink" Target="http://arpit-ml.blogspot.com/" TargetMode="External"/><Relationship Id="rId4218" Type="http://schemas.openxmlformats.org/officeDocument/2006/relationships/hyperlink" Target="https://pbs.twimg.com/media/Eu3vQ8hXIAg_YmR.png" TargetMode="External"/><Relationship Id="rId2183" Type="http://schemas.openxmlformats.org/officeDocument/2006/relationships/hyperlink" Target="https://www.surveymonkey.co.uk/r/BCKNRZ5" TargetMode="External"/><Relationship Id="rId2390" Type="http://schemas.openxmlformats.org/officeDocument/2006/relationships/hyperlink" Target="http://datacoast.in/" TargetMode="External"/><Relationship Id="rId3027" Type="http://schemas.openxmlformats.org/officeDocument/2006/relationships/hyperlink" Target="https://cutt.ly/jllCL7p" TargetMode="External"/><Relationship Id="rId3234" Type="http://schemas.openxmlformats.org/officeDocument/2006/relationships/hyperlink" Target="https://pbs.twimg.com/media/Eu5O3VpVIAE43s-.jpg" TargetMode="External"/><Relationship Id="rId3441" Type="http://schemas.openxmlformats.org/officeDocument/2006/relationships/hyperlink" Target="https://pbs.twimg.com/media/Eu49dqjXcAAycXM.jpg" TargetMode="External"/><Relationship Id="rId155" Type="http://schemas.openxmlformats.org/officeDocument/2006/relationships/hyperlink" Target="https://pbs.twimg.com/media/Eu7eeIjXMAMxtf9.jpg" TargetMode="External"/><Relationship Id="rId362" Type="http://schemas.openxmlformats.org/officeDocument/2006/relationships/hyperlink" Target="http://www.npxinnovation.ca/" TargetMode="External"/><Relationship Id="rId2043" Type="http://schemas.openxmlformats.org/officeDocument/2006/relationships/hyperlink" Target="https://pbs.twimg.com/media/Eu6NMe3XEAI-aO0.jpg" TargetMode="External"/><Relationship Id="rId2250" Type="http://schemas.openxmlformats.org/officeDocument/2006/relationships/hyperlink" Target="http://ow.ly/Iy2T50DDvoh" TargetMode="External"/><Relationship Id="rId3301" Type="http://schemas.openxmlformats.org/officeDocument/2006/relationships/hyperlink" Target="http://www.corizance.com/" TargetMode="External"/><Relationship Id="rId222" Type="http://schemas.openxmlformats.org/officeDocument/2006/relationships/hyperlink" Target="https://linktr.ee/jayxanaya" TargetMode="External"/><Relationship Id="rId2110" Type="http://schemas.openxmlformats.org/officeDocument/2006/relationships/hyperlink" Target="http://pic.twitter.com/YUSQJRjIxO" TargetMode="External"/><Relationship Id="rId4075" Type="http://schemas.openxmlformats.org/officeDocument/2006/relationships/hyperlink" Target="https://couponos.me/" TargetMode="External"/><Relationship Id="rId1669" Type="http://schemas.openxmlformats.org/officeDocument/2006/relationships/hyperlink" Target="https://technative.io/five-things-on-our-data-and-ai-radar-for-2021/" TargetMode="External"/><Relationship Id="rId1876" Type="http://schemas.openxmlformats.org/officeDocument/2006/relationships/hyperlink" Target="https://pbs.twimg.com/media/Eu5AlaxVEAUScoT.jpg" TargetMode="External"/><Relationship Id="rId2927" Type="http://schemas.openxmlformats.org/officeDocument/2006/relationships/hyperlink" Target="https://www.techradar.com/news/ps5-restock-for-saturday-how-to-track-the-new-console-stock-on-twitter/" TargetMode="External"/><Relationship Id="rId3091" Type="http://schemas.openxmlformats.org/officeDocument/2006/relationships/hyperlink" Target="https://bit.ly/37Cqq4I" TargetMode="External"/><Relationship Id="rId4142" Type="http://schemas.openxmlformats.org/officeDocument/2006/relationships/hyperlink" Target="http://marktechpost.com/" TargetMode="External"/><Relationship Id="rId1529" Type="http://schemas.openxmlformats.org/officeDocument/2006/relationships/hyperlink" Target="https://pbs.twimg.com/media/Eu6jol_WgAIV59q.jpg" TargetMode="External"/><Relationship Id="rId1736" Type="http://schemas.openxmlformats.org/officeDocument/2006/relationships/hyperlink" Target="https://roboticsandautomationnews.com/2021/02/22/can-you-hack-ai-yes-and-deep-learning-is-being-used-to-both-attack-and-defend/40906/" TargetMode="External"/><Relationship Id="rId1943" Type="http://schemas.openxmlformats.org/officeDocument/2006/relationships/hyperlink" Target="https://www.linkedin.com/in/colinrbristow/" TargetMode="External"/><Relationship Id="rId28" Type="http://schemas.openxmlformats.org/officeDocument/2006/relationships/hyperlink" Target="https://bit.ly/3dyxnYh" TargetMode="External"/><Relationship Id="rId1803" Type="http://schemas.openxmlformats.org/officeDocument/2006/relationships/hyperlink" Target="https://www.youtube.com/watch?v=96jDlqHgWWQ&amp;t=2s" TargetMode="External"/><Relationship Id="rId4002" Type="http://schemas.openxmlformats.org/officeDocument/2006/relationships/hyperlink" Target="https://pbs.twimg.com/media/Eu4FPl5WgAEMHTW.jpg" TargetMode="External"/><Relationship Id="rId3768" Type="http://schemas.openxmlformats.org/officeDocument/2006/relationships/hyperlink" Target="https://buff.ly/2HkTLDz" TargetMode="External"/><Relationship Id="rId3975" Type="http://schemas.openxmlformats.org/officeDocument/2006/relationships/hyperlink" Target="http://www.itrucker.com/" TargetMode="External"/><Relationship Id="rId689" Type="http://schemas.openxmlformats.org/officeDocument/2006/relationships/hyperlink" Target="http://pic.twitter.com/WTCTjZ6ZsQ" TargetMode="External"/><Relationship Id="rId896" Type="http://schemas.openxmlformats.org/officeDocument/2006/relationships/hyperlink" Target="https://pbs.twimg.com/media/Eu7AgazXIAYgK5_.jpg" TargetMode="External"/><Relationship Id="rId2577" Type="http://schemas.openxmlformats.org/officeDocument/2006/relationships/hyperlink" Target="http://ow.ly/Ndo230rxVCh" TargetMode="External"/><Relationship Id="rId2784" Type="http://schemas.openxmlformats.org/officeDocument/2006/relationships/hyperlink" Target="http://www.kopjes-kattenoppas.nl/" TargetMode="External"/><Relationship Id="rId3628" Type="http://schemas.openxmlformats.org/officeDocument/2006/relationships/hyperlink" Target="http://neurons.ai/" TargetMode="External"/><Relationship Id="rId549" Type="http://schemas.openxmlformats.org/officeDocument/2006/relationships/hyperlink" Target="http://bolcer.org/" TargetMode="External"/><Relationship Id="rId756" Type="http://schemas.openxmlformats.org/officeDocument/2006/relationships/hyperlink" Target="https://pbs.twimg.com/media/Eu7FgHDXIAAgewN.jpg" TargetMode="External"/><Relationship Id="rId1179" Type="http://schemas.openxmlformats.org/officeDocument/2006/relationships/hyperlink" Target="https://phys.org/news/2021-02-machine-tool-disease-related-genes-functions.html" TargetMode="External"/><Relationship Id="rId1386" Type="http://schemas.openxmlformats.org/officeDocument/2006/relationships/hyperlink" Target="https://pbs.twimg.com/media/Eu6pdioWQAM6Wi-.jpg" TargetMode="External"/><Relationship Id="rId1593" Type="http://schemas.openxmlformats.org/officeDocument/2006/relationships/hyperlink" Target="http://bit.ly/3jEf4BJ" TargetMode="External"/><Relationship Id="rId2437" Type="http://schemas.openxmlformats.org/officeDocument/2006/relationships/hyperlink" Target="https://anchor.fm/writex-official" TargetMode="External"/><Relationship Id="rId2991" Type="http://schemas.openxmlformats.org/officeDocument/2006/relationships/hyperlink" Target="https://pbs.twimg.com/media/Eu5d6zsUcAIG3ws.jpg" TargetMode="External"/><Relationship Id="rId3835" Type="http://schemas.openxmlformats.org/officeDocument/2006/relationships/hyperlink" Target="http://ipfconline.fr/contacts-eng.html" TargetMode="External"/><Relationship Id="rId409" Type="http://schemas.openxmlformats.org/officeDocument/2006/relationships/hyperlink" Target="https://hubs.ly/H0H4zKS0" TargetMode="External"/><Relationship Id="rId963" Type="http://schemas.openxmlformats.org/officeDocument/2006/relationships/hyperlink" Target="https://hubs.ly/H0H2L2t0" TargetMode="External"/><Relationship Id="rId1039" Type="http://schemas.openxmlformats.org/officeDocument/2006/relationships/hyperlink" Target="https://astraea.earth/" TargetMode="External"/><Relationship Id="rId1246" Type="http://schemas.openxmlformats.org/officeDocument/2006/relationships/hyperlink" Target="http://www.empiricaldata.org/" TargetMode="External"/><Relationship Id="rId2644" Type="http://schemas.openxmlformats.org/officeDocument/2006/relationships/hyperlink" Target="http://psi-k.net/" TargetMode="External"/><Relationship Id="rId2851" Type="http://schemas.openxmlformats.org/officeDocument/2006/relationships/hyperlink" Target="https://bit.ly/3aKMvA1" TargetMode="External"/><Relationship Id="rId3902" Type="http://schemas.openxmlformats.org/officeDocument/2006/relationships/hyperlink" Target="http://jyotisahai.wordpress.com/" TargetMode="External"/><Relationship Id="rId92" Type="http://schemas.openxmlformats.org/officeDocument/2006/relationships/hyperlink" Target="http://www.e-medtools.com/Medicare_Coding_Tool.html" TargetMode="External"/><Relationship Id="rId616" Type="http://schemas.openxmlformats.org/officeDocument/2006/relationships/hyperlink" Target="https://aster.cloud/" TargetMode="External"/><Relationship Id="rId823" Type="http://schemas.openxmlformats.org/officeDocument/2006/relationships/hyperlink" Target="https://neurons.ai/blog/news-stories/ibms-hernandez-discusses-future-of-aiops-and-measuring-roi/" TargetMode="External"/><Relationship Id="rId1453" Type="http://schemas.openxmlformats.org/officeDocument/2006/relationships/hyperlink" Target="https://www.linkedin.com/in/iainljbrown/" TargetMode="External"/><Relationship Id="rId1660" Type="http://schemas.openxmlformats.org/officeDocument/2006/relationships/hyperlink" Target="https://www.globenewswire.com/news-release/2021/02/23/2180349/0/en/GZ6G-Technologies-Announces-Development-of-Innovative-Artificial-Intelligence-Analytics-platform-VenuTrax-for-launch-by-Green-Zebra-Smart-Labs.html" TargetMode="External"/><Relationship Id="rId2504" Type="http://schemas.openxmlformats.org/officeDocument/2006/relationships/hyperlink" Target="https://autome.me/artificial-intelligenceai-algorithms-and-its-types-explained/" TargetMode="External"/><Relationship Id="rId2711" Type="http://schemas.openxmlformats.org/officeDocument/2006/relationships/hyperlink" Target="https://twitter.com/Theslimevids/status/1318068072536633344" TargetMode="External"/><Relationship Id="rId1106" Type="http://schemas.openxmlformats.org/officeDocument/2006/relationships/hyperlink" Target="https://bit.ly/2ZEXDru" TargetMode="External"/><Relationship Id="rId1313" Type="http://schemas.openxmlformats.org/officeDocument/2006/relationships/hyperlink" Target="https://www.cxotoday.com/big-data/whats-keeping-women-out-of-data-science/" TargetMode="External"/><Relationship Id="rId1520" Type="http://schemas.openxmlformats.org/officeDocument/2006/relationships/hyperlink" Target="https://twitter.com/@Harry_Robots" TargetMode="External"/><Relationship Id="rId3278" Type="http://schemas.openxmlformats.org/officeDocument/2006/relationships/hyperlink" Target="https://neptune.ai/" TargetMode="External"/><Relationship Id="rId3485" Type="http://schemas.openxmlformats.org/officeDocument/2006/relationships/hyperlink" Target="http://www.ispma.org/india" TargetMode="External"/><Relationship Id="rId3692" Type="http://schemas.openxmlformats.org/officeDocument/2006/relationships/hyperlink" Target="https://www.theverge.com/2020/10/21/21527236/mank-secret-websitetrent-reznor-atticus-ross-score-david-fincher-movie-netflix" TargetMode="External"/><Relationship Id="rId199" Type="http://schemas.openxmlformats.org/officeDocument/2006/relationships/hyperlink" Target="https://artificialtwin.com/" TargetMode="External"/><Relationship Id="rId2087" Type="http://schemas.openxmlformats.org/officeDocument/2006/relationships/hyperlink" Target="https://pbs.twimg.com/media/Eu6KGaqWgAYiBw0.jpg" TargetMode="External"/><Relationship Id="rId2294" Type="http://schemas.openxmlformats.org/officeDocument/2006/relationships/hyperlink" Target="https://www.couponed12.com/" TargetMode="External"/><Relationship Id="rId3138" Type="http://schemas.openxmlformats.org/officeDocument/2006/relationships/hyperlink" Target="https://www.linkedin.com/in/eric-feuilleaubois-ph-d-43ab0925/" TargetMode="External"/><Relationship Id="rId3345" Type="http://schemas.openxmlformats.org/officeDocument/2006/relationships/hyperlink" Target="http://www.datascientists.fr/" TargetMode="External"/><Relationship Id="rId3552" Type="http://schemas.openxmlformats.org/officeDocument/2006/relationships/hyperlink" Target="https://pbs.twimg.com/media/Eu40LeqWYAExrn9.jpg" TargetMode="External"/><Relationship Id="rId266" Type="http://schemas.openxmlformats.org/officeDocument/2006/relationships/hyperlink" Target="https://pbs.twimg.com/media/Eu7ZZ7ZXEAUQEbk.png" TargetMode="External"/><Relationship Id="rId473" Type="http://schemas.openxmlformats.org/officeDocument/2006/relationships/hyperlink" Target="https://pbs.twimg.com/media/Eu7RnxKVoAIfhYW.png" TargetMode="External"/><Relationship Id="rId680" Type="http://schemas.openxmlformats.org/officeDocument/2006/relationships/hyperlink" Target="http://www.linkedin.com/in/subhanali" TargetMode="External"/><Relationship Id="rId2154" Type="http://schemas.openxmlformats.org/officeDocument/2006/relationships/hyperlink" Target="https://bit.ly/3bnnZUy" TargetMode="External"/><Relationship Id="rId2361" Type="http://schemas.openxmlformats.org/officeDocument/2006/relationships/hyperlink" Target="https://pbs.twimg.com/media/Eu58qbMVoAQmFSS.jpg" TargetMode="External"/><Relationship Id="rId3205" Type="http://schemas.openxmlformats.org/officeDocument/2006/relationships/hyperlink" Target="http://www.camera-module.com/" TargetMode="External"/><Relationship Id="rId3412" Type="http://schemas.openxmlformats.org/officeDocument/2006/relationships/hyperlink" Target="https://machinelearningflx.com/" TargetMode="External"/><Relationship Id="rId126" Type="http://schemas.openxmlformats.org/officeDocument/2006/relationships/hyperlink" Target="https://buff.ly/2MlSRMO" TargetMode="External"/><Relationship Id="rId333" Type="http://schemas.openxmlformats.org/officeDocument/2006/relationships/hyperlink" Target="http://jelvix.com/" TargetMode="External"/><Relationship Id="rId540" Type="http://schemas.openxmlformats.org/officeDocument/2006/relationships/hyperlink" Target="https://pbs.twimg.com/media/Eu7OUabVEAMAPIx.png" TargetMode="External"/><Relationship Id="rId1170" Type="http://schemas.openxmlformats.org/officeDocument/2006/relationships/hyperlink" Target="https://pbs.twimg.com/media/Eu6zu6EVkAkm5Dm.jpg" TargetMode="External"/><Relationship Id="rId2014" Type="http://schemas.openxmlformats.org/officeDocument/2006/relationships/hyperlink" Target="https://bit.ly/2tJIKEG" TargetMode="External"/><Relationship Id="rId2221" Type="http://schemas.openxmlformats.org/officeDocument/2006/relationships/hyperlink" Target="https://pbs.twimg.com/media/Eu6CxCeWYAEsbjf.jpg" TargetMode="External"/><Relationship Id="rId1030" Type="http://schemas.openxmlformats.org/officeDocument/2006/relationships/hyperlink" Target="https://dy.si/vRxHD" TargetMode="External"/><Relationship Id="rId4186" Type="http://schemas.openxmlformats.org/officeDocument/2006/relationships/hyperlink" Target="https://twitter.com/DigitalTrends/status/1363866145082789890" TargetMode="External"/><Relationship Id="rId400" Type="http://schemas.openxmlformats.org/officeDocument/2006/relationships/hyperlink" Target="https://machinelearningflx.com/" TargetMode="External"/><Relationship Id="rId1987" Type="http://schemas.openxmlformats.org/officeDocument/2006/relationships/hyperlink" Target="https://brianthomas.me/" TargetMode="External"/><Relationship Id="rId1847" Type="http://schemas.openxmlformats.org/officeDocument/2006/relationships/hyperlink" Target="http://uptec.up.pt/" TargetMode="External"/><Relationship Id="rId4046" Type="http://schemas.openxmlformats.org/officeDocument/2006/relationships/hyperlink" Target="https://pbs.twimg.com/media/Eu3zWPEWQAE37DM.jpg" TargetMode="External"/><Relationship Id="rId4253" Type="http://schemas.openxmlformats.org/officeDocument/2006/relationships/hyperlink" Target="http://dlvr.it/RtGXbs" TargetMode="External"/><Relationship Id="rId1707" Type="http://schemas.openxmlformats.org/officeDocument/2006/relationships/hyperlink" Target="http://successanalytix.blogspot.com/" TargetMode="External"/><Relationship Id="rId3062" Type="http://schemas.openxmlformats.org/officeDocument/2006/relationships/hyperlink" Target="https://www.bbva.com/es/" TargetMode="External"/><Relationship Id="rId4113" Type="http://schemas.openxmlformats.org/officeDocument/2006/relationships/hyperlink" Target="http://endpainstigma.org/" TargetMode="External"/><Relationship Id="rId190" Type="http://schemas.openxmlformats.org/officeDocument/2006/relationships/hyperlink" Target="http://bit.ly/SaugaTalks" TargetMode="External"/><Relationship Id="rId1914" Type="http://schemas.openxmlformats.org/officeDocument/2006/relationships/hyperlink" Target="https://pbs.twimg.com/media/Eo3VdaDU8AMYtFa.jpg" TargetMode="External"/><Relationship Id="rId3879" Type="http://schemas.openxmlformats.org/officeDocument/2006/relationships/hyperlink" Target="https://pbs.twimg.com/media/Eu4SDYzXcAMUSzd.jpg" TargetMode="External"/><Relationship Id="rId2688" Type="http://schemas.openxmlformats.org/officeDocument/2006/relationships/hyperlink" Target="https://github.com/mljar/mljar-supervised" TargetMode="External"/><Relationship Id="rId2895" Type="http://schemas.openxmlformats.org/officeDocument/2006/relationships/hyperlink" Target="https://www.forbes.com/sites/jenniferhicks/2021/02/22/take-a-look-at-how-artificial-intelligence-can-improve-your-pets-health/" TargetMode="External"/><Relationship Id="rId3739" Type="http://schemas.openxmlformats.org/officeDocument/2006/relationships/hyperlink" Target="https://pbs.twimg.com/media/Eu4jO1tVoAIKCtm.jpg" TargetMode="External"/><Relationship Id="rId3946" Type="http://schemas.openxmlformats.org/officeDocument/2006/relationships/hyperlink" Target="http://www.corizance.com/" TargetMode="External"/><Relationship Id="rId867" Type="http://schemas.openxmlformats.org/officeDocument/2006/relationships/hyperlink" Target="https://blogs.oracle.com/machinelearning/introducing-oracle-machine-learning-for-python-v2" TargetMode="External"/><Relationship Id="rId1497" Type="http://schemas.openxmlformats.org/officeDocument/2006/relationships/hyperlink" Target="https://pbs.twimg.com/media/Eu6iTXmXIAcoDNC.jpg" TargetMode="External"/><Relationship Id="rId2548" Type="http://schemas.openxmlformats.org/officeDocument/2006/relationships/hyperlink" Target="https://techxplore.com/news/2021-02-algorithm-healthy-behaviors-social-network.html" TargetMode="External"/><Relationship Id="rId2755" Type="http://schemas.openxmlformats.org/officeDocument/2006/relationships/hyperlink" Target="https://bit.ly/3dyxnYh" TargetMode="External"/><Relationship Id="rId2962" Type="http://schemas.openxmlformats.org/officeDocument/2006/relationships/hyperlink" Target="https://www.arthonsys.com/" TargetMode="External"/><Relationship Id="rId3806" Type="http://schemas.openxmlformats.org/officeDocument/2006/relationships/hyperlink" Target="https://www.infoworld.com/article/3606736/use-directml-to-add-machine-learning-to-c-code.html" TargetMode="External"/><Relationship Id="rId727" Type="http://schemas.openxmlformats.org/officeDocument/2006/relationships/hyperlink" Target="https://pbs.twimg.com/media/Eu7G3uxXMAgRIz7.jpg" TargetMode="External"/><Relationship Id="rId934" Type="http://schemas.openxmlformats.org/officeDocument/2006/relationships/hyperlink" Target="http://morioh.com/" TargetMode="External"/><Relationship Id="rId1357" Type="http://schemas.openxmlformats.org/officeDocument/2006/relationships/hyperlink" Target="http://www.voigt-kampffanalyzer.com/?edition_id=b08fcbb0-75e0-11eb-9fda-0cc47a0d1609" TargetMode="External"/><Relationship Id="rId1564" Type="http://schemas.openxmlformats.org/officeDocument/2006/relationships/hyperlink" Target="https://www.analyticsjobs.in/" TargetMode="External"/><Relationship Id="rId1771" Type="http://schemas.openxmlformats.org/officeDocument/2006/relationships/hyperlink" Target="https://goo.gl/1TEwic" TargetMode="External"/><Relationship Id="rId2408" Type="http://schemas.openxmlformats.org/officeDocument/2006/relationships/hyperlink" Target="https://amzn.to/3dKhCxz" TargetMode="External"/><Relationship Id="rId2615" Type="http://schemas.openxmlformats.org/officeDocument/2006/relationships/hyperlink" Target="https://pbs.twimg.com/media/Eu5o6q6XUAAAvtg.jpg" TargetMode="External"/><Relationship Id="rId2822" Type="http://schemas.openxmlformats.org/officeDocument/2006/relationships/hyperlink" Target="http://teraflow.ai/" TargetMode="External"/><Relationship Id="rId63" Type="http://schemas.openxmlformats.org/officeDocument/2006/relationships/hyperlink" Target="https://www.linkedin.com/in/theodoralau/" TargetMode="External"/><Relationship Id="rId1217" Type="http://schemas.openxmlformats.org/officeDocument/2006/relationships/hyperlink" Target="http://www.zarplabs.com/" TargetMode="External"/><Relationship Id="rId1424" Type="http://schemas.openxmlformats.org/officeDocument/2006/relationships/hyperlink" Target="http://www.studentsuccessdata.com/" TargetMode="External"/><Relationship Id="rId1631" Type="http://schemas.openxmlformats.org/officeDocument/2006/relationships/hyperlink" Target="https://pbs.twimg.com/media/Eu6epwsXIAEd-Bl.jpg" TargetMode="External"/><Relationship Id="rId3389" Type="http://schemas.openxmlformats.org/officeDocument/2006/relationships/hyperlink" Target="http://www.gppulipaka.org/" TargetMode="External"/><Relationship Id="rId3596" Type="http://schemas.openxmlformats.org/officeDocument/2006/relationships/hyperlink" Target="http://etc-indonesia.com/" TargetMode="External"/><Relationship Id="rId2198" Type="http://schemas.openxmlformats.org/officeDocument/2006/relationships/hyperlink" Target="https://fintechcircle.com/ai-book/" TargetMode="External"/><Relationship Id="rId3249" Type="http://schemas.openxmlformats.org/officeDocument/2006/relationships/hyperlink" Target="http://www.camera-module.com/" TargetMode="External"/><Relationship Id="rId3456" Type="http://schemas.openxmlformats.org/officeDocument/2006/relationships/hyperlink" Target="http://pic.twitter.com/BCRXv00aW3" TargetMode="External"/><Relationship Id="rId377" Type="http://schemas.openxmlformats.org/officeDocument/2006/relationships/hyperlink" Target="https://fr.linkedin.com/in/hervemicollet" TargetMode="External"/><Relationship Id="rId584" Type="http://schemas.openxmlformats.org/officeDocument/2006/relationships/hyperlink" Target="https://pbs.twimg.com/media/Eu7MwJRUUAIHMUc.jpg" TargetMode="External"/><Relationship Id="rId2058" Type="http://schemas.openxmlformats.org/officeDocument/2006/relationships/hyperlink" Target="https://google.smh.re/1vD" TargetMode="External"/><Relationship Id="rId2265" Type="http://schemas.openxmlformats.org/officeDocument/2006/relationships/hyperlink" Target="https://viso.ai/" TargetMode="External"/><Relationship Id="rId3109" Type="http://schemas.openxmlformats.org/officeDocument/2006/relationships/hyperlink" Target="https://analyticsindiamag.com/" TargetMode="External"/><Relationship Id="rId3663" Type="http://schemas.openxmlformats.org/officeDocument/2006/relationships/hyperlink" Target="https://pbs.twimg.com/media/Eu4pVNfVkAM-ZRH.jpg" TargetMode="External"/><Relationship Id="rId3870" Type="http://schemas.openxmlformats.org/officeDocument/2006/relationships/hyperlink" Target="http://pic.twitter.com/0TRK6s4KxQ" TargetMode="External"/><Relationship Id="rId237" Type="http://schemas.openxmlformats.org/officeDocument/2006/relationships/hyperlink" Target="http://www.linkedin.com/in/kirkdborne" TargetMode="External"/><Relationship Id="rId791" Type="http://schemas.openxmlformats.org/officeDocument/2006/relationships/hyperlink" Target="https://www.fishinnovationlab.msstate.edu/newsroom/2021/02/emerging-technologies-improve-aquaculture-data-systems-bangladesh" TargetMode="External"/><Relationship Id="rId1074" Type="http://schemas.openxmlformats.org/officeDocument/2006/relationships/hyperlink" Target="http://blindspot-advisors.com/" TargetMode="External"/><Relationship Id="rId2472" Type="http://schemas.openxmlformats.org/officeDocument/2006/relationships/hyperlink" Target="https://www.youtube.com/watch?v=Rym9_F2GWhs" TargetMode="External"/><Relationship Id="rId3316" Type="http://schemas.openxmlformats.org/officeDocument/2006/relationships/hyperlink" Target="https://via.socxo.net/1Prqt1ZfLZ5Sa" TargetMode="External"/><Relationship Id="rId3523" Type="http://schemas.openxmlformats.org/officeDocument/2006/relationships/hyperlink" Target="https://github.com/instance01/qubo-nn" TargetMode="External"/><Relationship Id="rId3730" Type="http://schemas.openxmlformats.org/officeDocument/2006/relationships/hyperlink" Target="http://www.pranjalsharma.com/" TargetMode="External"/><Relationship Id="rId444" Type="http://schemas.openxmlformats.org/officeDocument/2006/relationships/hyperlink" Target="https://bit.ly/3ufFpLD" TargetMode="External"/><Relationship Id="rId651" Type="http://schemas.openxmlformats.org/officeDocument/2006/relationships/hyperlink" Target="https://pbs.twimg.com/media/Eu7KoxQVEAAkkcT.jpg" TargetMode="External"/><Relationship Id="rId1281" Type="http://schemas.openxmlformats.org/officeDocument/2006/relationships/hyperlink" Target="https://pbs.twimg.com/media/Eu6rs0VUcAEiaHl.jpg" TargetMode="External"/><Relationship Id="rId2125" Type="http://schemas.openxmlformats.org/officeDocument/2006/relationships/hyperlink" Target="https://lnkd.in/eJQx-cS" TargetMode="External"/><Relationship Id="rId2332" Type="http://schemas.openxmlformats.org/officeDocument/2006/relationships/hyperlink" Target="https://lnkd.in/dZaYz7G" TargetMode="External"/><Relationship Id="rId304" Type="http://schemas.openxmlformats.org/officeDocument/2006/relationships/hyperlink" Target="http://kevinmusgrave.com/" TargetMode="External"/><Relationship Id="rId511" Type="http://schemas.openxmlformats.org/officeDocument/2006/relationships/hyperlink" Target="https://udemy-free-coupons.blogspot.com/2021/02/sap-analytics-cloudcsac2021-exam.html" TargetMode="External"/><Relationship Id="rId1141" Type="http://schemas.openxmlformats.org/officeDocument/2006/relationships/hyperlink" Target="https://ift.tt/3bm69RG" TargetMode="External"/><Relationship Id="rId1001" Type="http://schemas.openxmlformats.org/officeDocument/2006/relationships/hyperlink" Target="https://www.linkedin.com/in/michael-cavaretta-ph-d-795a965" TargetMode="External"/><Relationship Id="rId4157" Type="http://schemas.openxmlformats.org/officeDocument/2006/relationships/hyperlink" Target="https://pub.towardsai.net/shapash-making-ml-models-understandable-by-everyone-8f96ad469eb3" TargetMode="External"/><Relationship Id="rId1958" Type="http://schemas.openxmlformats.org/officeDocument/2006/relationships/hyperlink" Target="http://www.huawei.com/en/news/2021/2/5gdn-architecture-whitepaper-released?utm_source=dlvr.it&amp;utm_medium=twitter" TargetMode="External"/><Relationship Id="rId3173" Type="http://schemas.openxmlformats.org/officeDocument/2006/relationships/hyperlink" Target="https://www.amanciobouza.com/" TargetMode="External"/><Relationship Id="rId3380" Type="http://schemas.openxmlformats.org/officeDocument/2006/relationships/hyperlink" Target="https://bit.ly/32fscGg" TargetMode="External"/><Relationship Id="rId4017" Type="http://schemas.openxmlformats.org/officeDocument/2006/relationships/hyperlink" Target="https://lnkd.in/d_HCCUc" TargetMode="External"/><Relationship Id="rId4224" Type="http://schemas.openxmlformats.org/officeDocument/2006/relationships/hyperlink" Target="https://pbs.twimg.com/media/Eu3uzmfWgAQNKMd.jpg" TargetMode="External"/><Relationship Id="rId1818" Type="http://schemas.openxmlformats.org/officeDocument/2006/relationships/hyperlink" Target="http://facespace.ai/" TargetMode="External"/><Relationship Id="rId3033" Type="http://schemas.openxmlformats.org/officeDocument/2006/relationships/hyperlink" Target="http://www.climatechange.ai/" TargetMode="External"/><Relationship Id="rId3240" Type="http://schemas.openxmlformats.org/officeDocument/2006/relationships/hyperlink" Target="http://www.inixindosurabaya.id/" TargetMode="External"/><Relationship Id="rId161" Type="http://schemas.openxmlformats.org/officeDocument/2006/relationships/hyperlink" Target="http://shorturl.at/qGU16" TargetMode="External"/><Relationship Id="rId2799" Type="http://schemas.openxmlformats.org/officeDocument/2006/relationships/hyperlink" Target="http://pic.twitter.com/69KuBJtywa" TargetMode="External"/><Relationship Id="rId3100" Type="http://schemas.openxmlformats.org/officeDocument/2006/relationships/hyperlink" Target="https://www.calibraint.com/services/blockchain-services" TargetMode="External"/><Relationship Id="rId978" Type="http://schemas.openxmlformats.org/officeDocument/2006/relationships/hyperlink" Target="https://www.datacamp.com/courses/practicing-machine-learning-interview-questions-in-r?tap_a=5644-dce66f&amp;tap_s=411670-1f1ebc" TargetMode="External"/><Relationship Id="rId2659" Type="http://schemas.openxmlformats.org/officeDocument/2006/relationships/hyperlink" Target="https://pbs.twimg.com/media/Eu5rheSWQAcNd7H.png" TargetMode="External"/><Relationship Id="rId2866" Type="http://schemas.openxmlformats.org/officeDocument/2006/relationships/hyperlink" Target="https://www.linkedin.com/in/iainljbrown/" TargetMode="External"/><Relationship Id="rId3917" Type="http://schemas.openxmlformats.org/officeDocument/2006/relationships/hyperlink" Target="https://darsa.ai/" TargetMode="External"/><Relationship Id="rId838" Type="http://schemas.openxmlformats.org/officeDocument/2006/relationships/hyperlink" Target="https://pbs.twimg.com/media/Eu7CXCOVoAADWtN.jpg" TargetMode="External"/><Relationship Id="rId1468" Type="http://schemas.openxmlformats.org/officeDocument/2006/relationships/hyperlink" Target="https://www.globaltechcouncil.org/" TargetMode="External"/><Relationship Id="rId1675" Type="http://schemas.openxmlformats.org/officeDocument/2006/relationships/hyperlink" Target="http://odsc.com/" TargetMode="External"/><Relationship Id="rId1882" Type="http://schemas.openxmlformats.org/officeDocument/2006/relationships/hyperlink" Target="https://www.ralphstraumann.ch/" TargetMode="External"/><Relationship Id="rId2519" Type="http://schemas.openxmlformats.org/officeDocument/2006/relationships/hyperlink" Target="http://pic.twitter.com/4n8zyqXLxw" TargetMode="External"/><Relationship Id="rId2726" Type="http://schemas.openxmlformats.org/officeDocument/2006/relationships/hyperlink" Target="https://pbs.twimg.com/media/Eu5nqfKWQAAtrqv.jpg" TargetMode="External"/><Relationship Id="rId4081" Type="http://schemas.openxmlformats.org/officeDocument/2006/relationships/hyperlink" Target="https://pbs.twimg.com/media/Eu36QYrVcAA7ymU.jpg" TargetMode="External"/><Relationship Id="rId1328" Type="http://schemas.openxmlformats.org/officeDocument/2006/relationships/hyperlink" Target="https://pbs.twimg.com/media/Eu6sO_4WQAAM3iJ.jpg" TargetMode="External"/><Relationship Id="rId1535" Type="http://schemas.openxmlformats.org/officeDocument/2006/relationships/hyperlink" Target="https://portal.mambo.co.ke/index.php?rp=/store/ssl-certificates" TargetMode="External"/><Relationship Id="rId2933" Type="http://schemas.openxmlformats.org/officeDocument/2006/relationships/hyperlink" Target="http://www.awakenai.org/" TargetMode="External"/><Relationship Id="rId905" Type="http://schemas.openxmlformats.org/officeDocument/2006/relationships/hyperlink" Target="https://bit.ly/2HcgPpG" TargetMode="External"/><Relationship Id="rId1742" Type="http://schemas.openxmlformats.org/officeDocument/2006/relationships/hyperlink" Target="https://bit.ly/2NvCmhH" TargetMode="External"/><Relationship Id="rId34" Type="http://schemas.openxmlformats.org/officeDocument/2006/relationships/hyperlink" Target="https://pbs.twimg.com/media/Eu7g-fpXEAYYdJr.jpg" TargetMode="External"/><Relationship Id="rId1602" Type="http://schemas.openxmlformats.org/officeDocument/2006/relationships/hyperlink" Target="http://www.thebetterworld.asia/" TargetMode="External"/><Relationship Id="rId3567" Type="http://schemas.openxmlformats.org/officeDocument/2006/relationships/hyperlink" Target="http://www.blackwomeninai.com/" TargetMode="External"/><Relationship Id="rId3774" Type="http://schemas.openxmlformats.org/officeDocument/2006/relationships/hyperlink" Target="https://widspune.com/" TargetMode="External"/><Relationship Id="rId3981" Type="http://schemas.openxmlformats.org/officeDocument/2006/relationships/hyperlink" Target="http://sima.ai/" TargetMode="External"/><Relationship Id="rId488" Type="http://schemas.openxmlformats.org/officeDocument/2006/relationships/hyperlink" Target="https://tcairem.utoronto.ca/" TargetMode="External"/><Relationship Id="rId695" Type="http://schemas.openxmlformats.org/officeDocument/2006/relationships/hyperlink" Target="https://ailab.mti-vietnam.vn/" TargetMode="External"/><Relationship Id="rId2169" Type="http://schemas.openxmlformats.org/officeDocument/2006/relationships/hyperlink" Target="http://about.me/paulhector" TargetMode="External"/><Relationship Id="rId2376" Type="http://schemas.openxmlformats.org/officeDocument/2006/relationships/hyperlink" Target="http://datacoast.in/" TargetMode="External"/><Relationship Id="rId2583" Type="http://schemas.openxmlformats.org/officeDocument/2006/relationships/hyperlink" Target="https://www.linkedin.com/in/iainljbrown/" TargetMode="External"/><Relationship Id="rId2790" Type="http://schemas.openxmlformats.org/officeDocument/2006/relationships/hyperlink" Target="https://www.digitalscouting.de/" TargetMode="External"/><Relationship Id="rId3427" Type="http://schemas.openxmlformats.org/officeDocument/2006/relationships/hyperlink" Target="http://itvibes.com.au/" TargetMode="External"/><Relationship Id="rId3634" Type="http://schemas.openxmlformats.org/officeDocument/2006/relationships/hyperlink" Target="https://dataly.st/blog-post/how-can-i-become-a-data-scientist/" TargetMode="External"/><Relationship Id="rId3841" Type="http://schemas.openxmlformats.org/officeDocument/2006/relationships/hyperlink" Target="http://www.dreamsplus.in/all-events/" TargetMode="External"/><Relationship Id="rId348" Type="http://schemas.openxmlformats.org/officeDocument/2006/relationships/hyperlink" Target="https://smallfirmforum.com/" TargetMode="External"/><Relationship Id="rId555" Type="http://schemas.openxmlformats.org/officeDocument/2006/relationships/hyperlink" Target="https://alphasignal.ai/" TargetMode="External"/><Relationship Id="rId762" Type="http://schemas.openxmlformats.org/officeDocument/2006/relationships/hyperlink" Target="https://deepai.org/machine-learning-glossary-and-terms/beta-distribution" TargetMode="External"/><Relationship Id="rId1185" Type="http://schemas.openxmlformats.org/officeDocument/2006/relationships/hyperlink" Target="https://ai-summary.com/summary-dont-ask-if-artificial-intelligence-is-good-or-fair-ask-how-it-shifts-po/?utm_medium=social-organic&amp;utm_source=twitter" TargetMode="External"/><Relationship Id="rId1392" Type="http://schemas.openxmlformats.org/officeDocument/2006/relationships/hyperlink" Target="http://notreal.ai/" TargetMode="External"/><Relationship Id="rId2029" Type="http://schemas.openxmlformats.org/officeDocument/2006/relationships/hyperlink" Target="http://ow.ly/Soxc50DGm2N" TargetMode="External"/><Relationship Id="rId2236" Type="http://schemas.openxmlformats.org/officeDocument/2006/relationships/hyperlink" Target="https://pbs.twimg.com/media/Eu6B5yXXYAAs-DV.jpg" TargetMode="External"/><Relationship Id="rId2443" Type="http://schemas.openxmlformats.org/officeDocument/2006/relationships/hyperlink" Target="https://amzn.to/3unvTpJ" TargetMode="External"/><Relationship Id="rId2650" Type="http://schemas.openxmlformats.org/officeDocument/2006/relationships/hyperlink" Target="http://amp.gs/Qj1M" TargetMode="External"/><Relationship Id="rId3701" Type="http://schemas.openxmlformats.org/officeDocument/2006/relationships/hyperlink" Target="https://www.pcmag.com/news/in-2020-people-looked-to-algorithms-and-asked-what-should-i-do" TargetMode="External"/><Relationship Id="rId208" Type="http://schemas.openxmlformats.org/officeDocument/2006/relationships/hyperlink" Target="https://liwaiwai.com/" TargetMode="External"/><Relationship Id="rId415" Type="http://schemas.openxmlformats.org/officeDocument/2006/relationships/hyperlink" Target="https://pbs.twimg.com/media/Eu6qRemWQAgH_kX.jpg" TargetMode="External"/><Relationship Id="rId622" Type="http://schemas.openxmlformats.org/officeDocument/2006/relationships/hyperlink" Target="https://www.linkedin.com/in/paulapiccard/" TargetMode="External"/><Relationship Id="rId1045" Type="http://schemas.openxmlformats.org/officeDocument/2006/relationships/hyperlink" Target="https://pbs.twimg.com/media/Eu65YnNWYAEOvgx.jpg" TargetMode="External"/><Relationship Id="rId1252" Type="http://schemas.openxmlformats.org/officeDocument/2006/relationships/hyperlink" Target="http://www.wissenakademie.com/" TargetMode="External"/><Relationship Id="rId2303" Type="http://schemas.openxmlformats.org/officeDocument/2006/relationships/hyperlink" Target="https://pbs.twimg.com/media/Eu5_Yu4XEAAqeUK.jpg" TargetMode="External"/><Relationship Id="rId2510" Type="http://schemas.openxmlformats.org/officeDocument/2006/relationships/hyperlink" Target="http://ipfconline.fr/contacts-eng.html" TargetMode="External"/><Relationship Id="rId1112" Type="http://schemas.openxmlformats.org/officeDocument/2006/relationships/hyperlink" Target="https://pbs.twimg.com/media/Eu2or_tVkAEdNZk.jpg" TargetMode="External"/><Relationship Id="rId4268" Type="http://schemas.openxmlformats.org/officeDocument/2006/relationships/hyperlink" Target="https://twitter.com/zachking/status/1322544425281626115" TargetMode="External"/><Relationship Id="rId3077" Type="http://schemas.openxmlformats.org/officeDocument/2006/relationships/hyperlink" Target="https://builtin.com/data-science/deep-learning-python" TargetMode="External"/><Relationship Id="rId3284" Type="http://schemas.openxmlformats.org/officeDocument/2006/relationships/hyperlink" Target="https://www.analyticsvidhya.com/blog/2021/02/why-programming-is-essential-for-data-science/?utm_source=feedburner&amp;utm_medium=email&amp;utm_campaign=Feed%3A+AnalyticsVidhya+%28Analytics+Vidhya%29" TargetMode="External"/><Relationship Id="rId4128" Type="http://schemas.openxmlformats.org/officeDocument/2006/relationships/hyperlink" Target="https://teachtechu.com/" TargetMode="External"/><Relationship Id="rId1929" Type="http://schemas.openxmlformats.org/officeDocument/2006/relationships/hyperlink" Target="https://www.onelink.to/programminghero" TargetMode="External"/><Relationship Id="rId2093" Type="http://schemas.openxmlformats.org/officeDocument/2006/relationships/hyperlink" Target="https://neurons.ai/blog/news-stories/machine-learning-chip-market-size-competitive-landscape-regional-outlook-and-covid-19-2/" TargetMode="External"/><Relationship Id="rId3491" Type="http://schemas.openxmlformats.org/officeDocument/2006/relationships/hyperlink" Target="https://thenextweb.com/neural/2021/02/22/microsoft-word-launching-ai-text-predictions-spelling-grammar/" TargetMode="External"/><Relationship Id="rId3144" Type="http://schemas.openxmlformats.org/officeDocument/2006/relationships/hyperlink" Target="https://tegeria.com/" TargetMode="External"/><Relationship Id="rId3351" Type="http://schemas.openxmlformats.org/officeDocument/2006/relationships/hyperlink" Target="https://www.datacamp.com/community/tutorials/deep-learning-python" TargetMode="External"/><Relationship Id="rId272" Type="http://schemas.openxmlformats.org/officeDocument/2006/relationships/hyperlink" Target="https://pbs.twimg.com/media/Eu7ZDfKXMAMGk1O.jpg" TargetMode="External"/><Relationship Id="rId2160" Type="http://schemas.openxmlformats.org/officeDocument/2006/relationships/hyperlink" Target="https://www.linkedin.com/in/francoronconi/" TargetMode="External"/><Relationship Id="rId3004" Type="http://schemas.openxmlformats.org/officeDocument/2006/relationships/hyperlink" Target="https://ift.tt/2NoHowA" TargetMode="External"/><Relationship Id="rId3211" Type="http://schemas.openxmlformats.org/officeDocument/2006/relationships/hyperlink" Target="https://pbs.twimg.com/media/Eu5QNZ7VcAMXMZR.jpg" TargetMode="External"/><Relationship Id="rId132" Type="http://schemas.openxmlformats.org/officeDocument/2006/relationships/hyperlink" Target="https://thecloudgirl.dev/" TargetMode="External"/><Relationship Id="rId2020" Type="http://schemas.openxmlformats.org/officeDocument/2006/relationships/hyperlink" Target="http://bigml.com/" TargetMode="External"/><Relationship Id="rId1579" Type="http://schemas.openxmlformats.org/officeDocument/2006/relationships/hyperlink" Target="http://pic.twitter.com/d1jVBeUTvZ" TargetMode="External"/><Relationship Id="rId2977" Type="http://schemas.openxmlformats.org/officeDocument/2006/relationships/hyperlink" Target="https://pbs.twimg.com/media/Eu5eBJnXcAkjZ45.jpg" TargetMode="External"/><Relationship Id="rId4192" Type="http://schemas.openxmlformats.org/officeDocument/2006/relationships/hyperlink" Target="https://twitter.com/lexfridman/status/1363912996595118080" TargetMode="External"/><Relationship Id="rId949" Type="http://schemas.openxmlformats.org/officeDocument/2006/relationships/hyperlink" Target="http://www.bbva.es/" TargetMode="External"/><Relationship Id="rId1786" Type="http://schemas.openxmlformats.org/officeDocument/2006/relationships/hyperlink" Target="http://bkltd.creativemf.com/twitter" TargetMode="External"/><Relationship Id="rId1993" Type="http://schemas.openxmlformats.org/officeDocument/2006/relationships/hyperlink" Target="https://www.flexgigzz.com/" TargetMode="External"/><Relationship Id="rId2837" Type="http://schemas.openxmlformats.org/officeDocument/2006/relationships/hyperlink" Target="https://bit.ly/3aauvyD" TargetMode="External"/><Relationship Id="rId4052" Type="http://schemas.openxmlformats.org/officeDocument/2006/relationships/hyperlink" Target="https://pbs.twimg.com/media/Eu4Ag30UUAAZPb_.jpg" TargetMode="External"/><Relationship Id="rId78" Type="http://schemas.openxmlformats.org/officeDocument/2006/relationships/hyperlink" Target="https://pbs.twimg.com/media/Euqws74XEAAwhf_.jpg" TargetMode="External"/><Relationship Id="rId809" Type="http://schemas.openxmlformats.org/officeDocument/2006/relationships/hyperlink" Target="https://diagnostics.roche.com/" TargetMode="External"/><Relationship Id="rId1439" Type="http://schemas.openxmlformats.org/officeDocument/2006/relationships/hyperlink" Target="https://www.linkedin.com/in/bill-fox-j-d-m-a-03ba40b/" TargetMode="External"/><Relationship Id="rId1646" Type="http://schemas.openxmlformats.org/officeDocument/2006/relationships/hyperlink" Target="https://pbs.twimg.com/media/Eu6ePRiWYAEQaMA.jpg" TargetMode="External"/><Relationship Id="rId1853" Type="http://schemas.openxmlformats.org/officeDocument/2006/relationships/hyperlink" Target="https://crimacode.com/" TargetMode="External"/><Relationship Id="rId2904" Type="http://schemas.openxmlformats.org/officeDocument/2006/relationships/hyperlink" Target="https://twitter.com/Theslimevids/status/1320884791013568512" TargetMode="External"/><Relationship Id="rId1506" Type="http://schemas.openxmlformats.org/officeDocument/2006/relationships/hyperlink" Target="http://www.margarisventures.com/" TargetMode="External"/><Relationship Id="rId1713" Type="http://schemas.openxmlformats.org/officeDocument/2006/relationships/hyperlink" Target="https://www.send2press.com/" TargetMode="External"/><Relationship Id="rId1920" Type="http://schemas.openxmlformats.org/officeDocument/2006/relationships/hyperlink" Target="https://brianthomas.me/" TargetMode="External"/><Relationship Id="rId3678" Type="http://schemas.openxmlformats.org/officeDocument/2006/relationships/hyperlink" Target="https://www.hsph.harvard.edu/news/hsph-in-the-news/machine-learning-sheds-new-light-on-how-walnuts-benefit-health/" TargetMode="External"/><Relationship Id="rId3885" Type="http://schemas.openxmlformats.org/officeDocument/2006/relationships/hyperlink" Target="https://pbs.twimg.com/media/Eu4SDSnXYAYoZiK.jpg" TargetMode="External"/><Relationship Id="rId599" Type="http://schemas.openxmlformats.org/officeDocument/2006/relationships/hyperlink" Target="http://mhdodick.com/" TargetMode="External"/><Relationship Id="rId2487" Type="http://schemas.openxmlformats.org/officeDocument/2006/relationships/hyperlink" Target="http://www.ai3sd.org/" TargetMode="External"/><Relationship Id="rId2694" Type="http://schemas.openxmlformats.org/officeDocument/2006/relationships/hyperlink" Target="https://pbs.twimg.com/media/Eu5pfhuXMAA6fLc.jpg" TargetMode="External"/><Relationship Id="rId3538" Type="http://schemas.openxmlformats.org/officeDocument/2006/relationships/hyperlink" Target="https://pbs.twimg.com/media/Eu40y7_VcAYsj3q.jpg" TargetMode="External"/><Relationship Id="rId3745" Type="http://schemas.openxmlformats.org/officeDocument/2006/relationships/hyperlink" Target="https://pbs.twimg.com/media/Eu4iTjnVkAEonEd.jpg" TargetMode="External"/><Relationship Id="rId459" Type="http://schemas.openxmlformats.org/officeDocument/2006/relationships/hyperlink" Target="http://nvda.ws/2LgJ1Ga" TargetMode="External"/><Relationship Id="rId666" Type="http://schemas.openxmlformats.org/officeDocument/2006/relationships/hyperlink" Target="https://go.logianalytics.com/webinar-maximizing-business-impact-of-data.html?utm_medium=email&amp;utm_source=logi&amp;utm_campaign=weekly-content" TargetMode="External"/><Relationship Id="rId873" Type="http://schemas.openxmlformats.org/officeDocument/2006/relationships/hyperlink" Target="https://twitter.com/HarmanManchanda/status/1364165340796657670" TargetMode="External"/><Relationship Id="rId1089" Type="http://schemas.openxmlformats.org/officeDocument/2006/relationships/hyperlink" Target="https://pbs.twimg.com/media/Eu63IJ7XYAYi2-q.jpg" TargetMode="External"/><Relationship Id="rId1296" Type="http://schemas.openxmlformats.org/officeDocument/2006/relationships/hyperlink" Target="http://pic.twitter.com/euGN58T02d" TargetMode="External"/><Relationship Id="rId2347" Type="http://schemas.openxmlformats.org/officeDocument/2006/relationships/hyperlink" Target="https://paper.li/socialpathZA/1539082009?edition_id=c2a057a0-75c4-11eb-a5c8-0cc47a0d15fd" TargetMode="External"/><Relationship Id="rId2554" Type="http://schemas.openxmlformats.org/officeDocument/2006/relationships/hyperlink" Target="http://www.linkedin.com/in/sajid-mirza1" TargetMode="External"/><Relationship Id="rId3952" Type="http://schemas.openxmlformats.org/officeDocument/2006/relationships/hyperlink" Target="https://www.reddit.com/r/MachineLearning/comments/lq5epz/people_report_flops_but_actually_use_macc_r/" TargetMode="External"/><Relationship Id="rId319" Type="http://schemas.openxmlformats.org/officeDocument/2006/relationships/hyperlink" Target="https://bit.ly/3siMF7o" TargetMode="External"/><Relationship Id="rId526" Type="http://schemas.openxmlformats.org/officeDocument/2006/relationships/hyperlink" Target="http://crossinvalidation.com/" TargetMode="External"/><Relationship Id="rId1156" Type="http://schemas.openxmlformats.org/officeDocument/2006/relationships/hyperlink" Target="https://bit.ly/3bvutAW" TargetMode="External"/><Relationship Id="rId1363" Type="http://schemas.openxmlformats.org/officeDocument/2006/relationships/hyperlink" Target="https://deepai.org/research" TargetMode="External"/><Relationship Id="rId2207" Type="http://schemas.openxmlformats.org/officeDocument/2006/relationships/hyperlink" Target="https://pbs.twimg.com/media/Eu6DVa6XYAQGUfq.jpg" TargetMode="External"/><Relationship Id="rId2761" Type="http://schemas.openxmlformats.org/officeDocument/2006/relationships/hyperlink" Target="https://analyticsindiamag.com/what-is-geometric-deep-learning/" TargetMode="External"/><Relationship Id="rId3605" Type="http://schemas.openxmlformats.org/officeDocument/2006/relationships/hyperlink" Target="https://lnkd.in/gvVnpcm" TargetMode="External"/><Relationship Id="rId3812" Type="http://schemas.openxmlformats.org/officeDocument/2006/relationships/hyperlink" Target="https://www.analyticsvidhya.com/blog/2021/02/introduction-to-machine-learning-for-absolute-beginners/" TargetMode="External"/><Relationship Id="rId733" Type="http://schemas.openxmlformats.org/officeDocument/2006/relationships/hyperlink" Target="https://hubs.li/H0H235F0" TargetMode="External"/><Relationship Id="rId940" Type="http://schemas.openxmlformats.org/officeDocument/2006/relationships/hyperlink" Target="http://www.edmontoncfa.ca/" TargetMode="External"/><Relationship Id="rId1016" Type="http://schemas.openxmlformats.org/officeDocument/2006/relationships/hyperlink" Target="https://pbs.twimg.com/media/Eu66EouVkAAfQ4K.png" TargetMode="External"/><Relationship Id="rId1570" Type="http://schemas.openxmlformats.org/officeDocument/2006/relationships/hyperlink" Target="http://www.emt.ae/" TargetMode="External"/><Relationship Id="rId2414" Type="http://schemas.openxmlformats.org/officeDocument/2006/relationships/hyperlink" Target="http://pic.twitter.com/nQk7bG8TKx" TargetMode="External"/><Relationship Id="rId2621" Type="http://schemas.openxmlformats.org/officeDocument/2006/relationships/hyperlink" Target="https://www.techradar.com/news/this-72-hour-hp-flash-sale-is-slashing-prices-on-a-massive-range-of-laptop-deals/" TargetMode="External"/><Relationship Id="rId800" Type="http://schemas.openxmlformats.org/officeDocument/2006/relationships/hyperlink" Target="https://pbs.twimg.com/media/Eu7D8mdXIAUo7jD.jpg" TargetMode="External"/><Relationship Id="rId1223" Type="http://schemas.openxmlformats.org/officeDocument/2006/relationships/hyperlink" Target="https://pbs.twimg.com/media/Eu6yOsfVEAMjE-3.jpg" TargetMode="External"/><Relationship Id="rId1430" Type="http://schemas.openxmlformats.org/officeDocument/2006/relationships/hyperlink" Target="https://github.com/davidrpugh" TargetMode="External"/><Relationship Id="rId3188" Type="http://schemas.openxmlformats.org/officeDocument/2006/relationships/hyperlink" Target="https://linktr.ee/mlearning" TargetMode="External"/><Relationship Id="rId3395" Type="http://schemas.openxmlformats.org/officeDocument/2006/relationships/hyperlink" Target="http://neurons.ai/" TargetMode="External"/><Relationship Id="rId4239" Type="http://schemas.openxmlformats.org/officeDocument/2006/relationships/hyperlink" Target="https://datasciencevault.com/" TargetMode="External"/><Relationship Id="rId3048" Type="http://schemas.openxmlformats.org/officeDocument/2006/relationships/hyperlink" Target="https://datasciencevault.com/" TargetMode="External"/><Relationship Id="rId3255" Type="http://schemas.openxmlformats.org/officeDocument/2006/relationships/hyperlink" Target="http://www.brainial.com/" TargetMode="External"/><Relationship Id="rId3462" Type="http://schemas.openxmlformats.org/officeDocument/2006/relationships/hyperlink" Target="https://pbs.twimg.com/media/Eu47QRCXEAAUhzN.jpg" TargetMode="External"/><Relationship Id="rId176" Type="http://schemas.openxmlformats.org/officeDocument/2006/relationships/hyperlink" Target="http://www.linkedin.com/in/gauravj49" TargetMode="External"/><Relationship Id="rId383" Type="http://schemas.openxmlformats.org/officeDocument/2006/relationships/hyperlink" Target="https://bit.ly/3aJilgr" TargetMode="External"/><Relationship Id="rId590" Type="http://schemas.openxmlformats.org/officeDocument/2006/relationships/hyperlink" Target="https://pbs.twimg.com/media/Eu7MXkTVkAM6cJk.png" TargetMode="External"/><Relationship Id="rId2064" Type="http://schemas.openxmlformats.org/officeDocument/2006/relationships/hyperlink" Target="http://pic.twitter.com/VCOiflonEO" TargetMode="External"/><Relationship Id="rId2271" Type="http://schemas.openxmlformats.org/officeDocument/2006/relationships/hyperlink" Target="https://www.linkedin.com/in/ludmilamorozova/" TargetMode="External"/><Relationship Id="rId3115" Type="http://schemas.openxmlformats.org/officeDocument/2006/relationships/hyperlink" Target="https://pbs.twimg.com/media/Eu5Xoo9XEAEjbPe.jpg" TargetMode="External"/><Relationship Id="rId3322" Type="http://schemas.openxmlformats.org/officeDocument/2006/relationships/hyperlink" Target="https://pbs.twimg.com/media/Eu5J53iXEAASQc4.png" TargetMode="External"/><Relationship Id="rId243" Type="http://schemas.openxmlformats.org/officeDocument/2006/relationships/hyperlink" Target="https://the-tech-trend.com/" TargetMode="External"/><Relationship Id="rId450" Type="http://schemas.openxmlformats.org/officeDocument/2006/relationships/hyperlink" Target="https://pbs.twimg.com/media/Eu7SJKEXEAYWvAs.jpg" TargetMode="External"/><Relationship Id="rId1080" Type="http://schemas.openxmlformats.org/officeDocument/2006/relationships/hyperlink" Target="http://www.synapps.it/" TargetMode="External"/><Relationship Id="rId2131" Type="http://schemas.openxmlformats.org/officeDocument/2006/relationships/hyperlink" Target="https://bit.ly/3bAVbYZ" TargetMode="External"/><Relationship Id="rId103" Type="http://schemas.openxmlformats.org/officeDocument/2006/relationships/hyperlink" Target="https://buff.ly/3azOFlO" TargetMode="External"/><Relationship Id="rId310" Type="http://schemas.openxmlformats.org/officeDocument/2006/relationships/hyperlink" Target="https://www.forbes.com/sites/charliefink/2021/02/23/qualcomm-accelerates-ar-with-new-smart-viewer/?sh=f4567572737f" TargetMode="External"/><Relationship Id="rId4096" Type="http://schemas.openxmlformats.org/officeDocument/2006/relationships/hyperlink" Target="https://www.kdnuggets.com/2021/02/approaching-almost-any-machine-learning-problem.html" TargetMode="External"/><Relationship Id="rId1897" Type="http://schemas.openxmlformats.org/officeDocument/2006/relationships/hyperlink" Target="https://lnkd.in/ddWabXv" TargetMode="External"/><Relationship Id="rId2948" Type="http://schemas.openxmlformats.org/officeDocument/2006/relationships/hyperlink" Target="https://www.youtube.com/watch?v=EaMkUDVR21Y" TargetMode="External"/><Relationship Id="rId1757" Type="http://schemas.openxmlformats.org/officeDocument/2006/relationships/hyperlink" Target="http://ow.ly/BGrz30ry2hI" TargetMode="External"/><Relationship Id="rId1964" Type="http://schemas.openxmlformats.org/officeDocument/2006/relationships/hyperlink" Target="https://via.socxo.net/m5NjSmzFvKpu3" TargetMode="External"/><Relationship Id="rId2808" Type="http://schemas.openxmlformats.org/officeDocument/2006/relationships/hyperlink" Target="https://pbs.twimg.com/media/Eu5kUXcXIAEkAbx.jpg" TargetMode="External"/><Relationship Id="rId4163" Type="http://schemas.openxmlformats.org/officeDocument/2006/relationships/hyperlink" Target="https://twitter.com/joaoleitao/status/1363769125722554372" TargetMode="External"/><Relationship Id="rId49" Type="http://schemas.openxmlformats.org/officeDocument/2006/relationships/hyperlink" Target="http://yield-farm.com/" TargetMode="External"/><Relationship Id="rId1617" Type="http://schemas.openxmlformats.org/officeDocument/2006/relationships/hyperlink" Target="https://pbs.twimg.com/media/Eu6fdPKXAAE92lz.jpg" TargetMode="External"/><Relationship Id="rId1824" Type="http://schemas.openxmlformats.org/officeDocument/2006/relationships/hyperlink" Target="https://www.linkedin.com/in/michael-cavaretta-ph-d-795a965" TargetMode="External"/><Relationship Id="rId4023" Type="http://schemas.openxmlformats.org/officeDocument/2006/relationships/hyperlink" Target="https://pbs.twimg.com/media/Eu4D-KjVEAQ8o7U.jpg" TargetMode="External"/><Relationship Id="rId4230" Type="http://schemas.openxmlformats.org/officeDocument/2006/relationships/hyperlink" Target="https://www.itviconsultants.com/" TargetMode="External"/><Relationship Id="rId3789" Type="http://schemas.openxmlformats.org/officeDocument/2006/relationships/hyperlink" Target="http://www.jasonmpittman.com/" TargetMode="External"/><Relationship Id="rId2598" Type="http://schemas.openxmlformats.org/officeDocument/2006/relationships/hyperlink" Target="http://www.lyrium.co/" TargetMode="External"/><Relationship Id="rId3996" Type="http://schemas.openxmlformats.org/officeDocument/2006/relationships/hyperlink" Target="http://frankvtaylor.com/" TargetMode="External"/><Relationship Id="rId3649" Type="http://schemas.openxmlformats.org/officeDocument/2006/relationships/hyperlink" Target="https://pbs.twimg.com/media/Eu4q_-cUYAIiZNA.png" TargetMode="External"/><Relationship Id="rId3856" Type="http://schemas.openxmlformats.org/officeDocument/2006/relationships/hyperlink" Target="http://www.margarisventures.com/" TargetMode="External"/><Relationship Id="rId777" Type="http://schemas.openxmlformats.org/officeDocument/2006/relationships/hyperlink" Target="https://bit.ly/3aMyDVY" TargetMode="External"/><Relationship Id="rId984" Type="http://schemas.openxmlformats.org/officeDocument/2006/relationships/hyperlink" Target="http://ow.ly/ET0730rxVI5" TargetMode="External"/><Relationship Id="rId2458" Type="http://schemas.openxmlformats.org/officeDocument/2006/relationships/hyperlink" Target="https://neurons.ai/blog/news-stories/data-digest-explaining-streamlining-and-selecting-machine-learning-models/" TargetMode="External"/><Relationship Id="rId2665" Type="http://schemas.openxmlformats.org/officeDocument/2006/relationships/hyperlink" Target="http://bit.ly/2Zw6sFU" TargetMode="External"/><Relationship Id="rId2872" Type="http://schemas.openxmlformats.org/officeDocument/2006/relationships/hyperlink" Target="https://www.linkedin.com/in/iainljbrown/" TargetMode="External"/><Relationship Id="rId3509" Type="http://schemas.openxmlformats.org/officeDocument/2006/relationships/hyperlink" Target="https://www.monash.edu/it/dsai/machine-learning/research-projects/analysis-of-social-media-for-socia" TargetMode="External"/><Relationship Id="rId3716" Type="http://schemas.openxmlformats.org/officeDocument/2006/relationships/hyperlink" Target="https://bit.ly/3buEkqr" TargetMode="External"/><Relationship Id="rId3923" Type="http://schemas.openxmlformats.org/officeDocument/2006/relationships/hyperlink" Target="https://www.youtube.com/channel/UCWCR-8Dphul-9zp2feRVIlQ" TargetMode="External"/><Relationship Id="rId637" Type="http://schemas.openxmlformats.org/officeDocument/2006/relationships/hyperlink" Target="http://jimczuprynski.wordpress.com/" TargetMode="External"/><Relationship Id="rId844" Type="http://schemas.openxmlformats.org/officeDocument/2006/relationships/hyperlink" Target="https://khalil-o.medium.com/machine-learning-iris-data-set-27aefe52a665" TargetMode="External"/><Relationship Id="rId1267" Type="http://schemas.openxmlformats.org/officeDocument/2006/relationships/hyperlink" Target="https://www.weforum.org/agenda/2021/02/study-robots-service-sector-japan/" TargetMode="External"/><Relationship Id="rId1474" Type="http://schemas.openxmlformats.org/officeDocument/2006/relationships/hyperlink" Target="http://amp.gs/QjFE" TargetMode="External"/><Relationship Id="rId1681" Type="http://schemas.openxmlformats.org/officeDocument/2006/relationships/hyperlink" Target="http://www.zerone-consulting.com/" TargetMode="External"/><Relationship Id="rId2318" Type="http://schemas.openxmlformats.org/officeDocument/2006/relationships/hyperlink" Target="http://www.fisheyebox.com/" TargetMode="External"/><Relationship Id="rId2525" Type="http://schemas.openxmlformats.org/officeDocument/2006/relationships/hyperlink" Target="http://ghostwriter.ai/" TargetMode="External"/><Relationship Id="rId2732" Type="http://schemas.openxmlformats.org/officeDocument/2006/relationships/hyperlink" Target="http://racpro.blogspot.com/" TargetMode="External"/><Relationship Id="rId704" Type="http://schemas.openxmlformats.org/officeDocument/2006/relationships/hyperlink" Target="http://ow.ly/tQZP50DHbYb" TargetMode="External"/><Relationship Id="rId911" Type="http://schemas.openxmlformats.org/officeDocument/2006/relationships/hyperlink" Target="https://www.sciencedaily.com/releases/2021/02/210212094120.htm" TargetMode="External"/><Relationship Id="rId1127" Type="http://schemas.openxmlformats.org/officeDocument/2006/relationships/hyperlink" Target="https://pbs.twimg.com/media/Eu62aADXEAMu-s2.jpg" TargetMode="External"/><Relationship Id="rId1334" Type="http://schemas.openxmlformats.org/officeDocument/2006/relationships/hyperlink" Target="https://hyspeedcomputing.com/" TargetMode="External"/><Relationship Id="rId1541" Type="http://schemas.openxmlformats.org/officeDocument/2006/relationships/hyperlink" Target="https://pbs.twimg.com/media/Eu6jJi3UUAI-XAU.jpg" TargetMode="External"/><Relationship Id="rId40" Type="http://schemas.openxmlformats.org/officeDocument/2006/relationships/hyperlink" Target="https://buff.ly/3t5UPS4" TargetMode="External"/><Relationship Id="rId1401" Type="http://schemas.openxmlformats.org/officeDocument/2006/relationships/hyperlink" Target="http://ow.ly/DaKh50DHk6z" TargetMode="External"/><Relationship Id="rId3299" Type="http://schemas.openxmlformats.org/officeDocument/2006/relationships/hyperlink" Target="http://pic.twitter.com/n6XJ3lqqoC" TargetMode="External"/><Relationship Id="rId3159" Type="http://schemas.openxmlformats.org/officeDocument/2006/relationships/hyperlink" Target="https://lnkd.in/g_JWiEY" TargetMode="External"/><Relationship Id="rId3366" Type="http://schemas.openxmlformats.org/officeDocument/2006/relationships/hyperlink" Target="https://pbs.twimg.com/media/Eu5BQ2yVcAArcID.jpg" TargetMode="External"/><Relationship Id="rId3573" Type="http://schemas.openxmlformats.org/officeDocument/2006/relationships/hyperlink" Target="http://bit.ly/2QVn4k5" TargetMode="External"/><Relationship Id="rId287" Type="http://schemas.openxmlformats.org/officeDocument/2006/relationships/hyperlink" Target="http://www.dataworkout.com/" TargetMode="External"/><Relationship Id="rId494" Type="http://schemas.openxmlformats.org/officeDocument/2006/relationships/hyperlink" Target="https://www.frontiersin.org/articles/10.3389/fmicb.2021.634511/full" TargetMode="External"/><Relationship Id="rId2175" Type="http://schemas.openxmlformats.org/officeDocument/2006/relationships/hyperlink" Target="https://bit.ly/36Kwndi" TargetMode="External"/><Relationship Id="rId2382" Type="http://schemas.openxmlformats.org/officeDocument/2006/relationships/hyperlink" Target="https://cutt.ly/glzsP5P" TargetMode="External"/><Relationship Id="rId3019" Type="http://schemas.openxmlformats.org/officeDocument/2006/relationships/hyperlink" Target="http://www.networks.imdea.org/" TargetMode="External"/><Relationship Id="rId3226" Type="http://schemas.openxmlformats.org/officeDocument/2006/relationships/hyperlink" Target="http://pic.twitter.com/dL9dBXsq0O" TargetMode="External"/><Relationship Id="rId3780" Type="http://schemas.openxmlformats.org/officeDocument/2006/relationships/hyperlink" Target="https://fcld.ly/9uvkjbi" TargetMode="External"/><Relationship Id="rId147" Type="http://schemas.openxmlformats.org/officeDocument/2006/relationships/hyperlink" Target="https://pbs.twimg.com/media/Eu7erfUXUAANOIJ.jpg" TargetMode="External"/><Relationship Id="rId354" Type="http://schemas.openxmlformats.org/officeDocument/2006/relationships/hyperlink" Target="https://pbs.twimg.com/media/Eu7Ve2ZVcAEQTtR.jpg" TargetMode="External"/><Relationship Id="rId1191" Type="http://schemas.openxmlformats.org/officeDocument/2006/relationships/hyperlink" Target="http://ipfconline.fr/contacts-eng.html" TargetMode="External"/><Relationship Id="rId2035" Type="http://schemas.openxmlformats.org/officeDocument/2006/relationships/hyperlink" Target="http://www.linkedin.com/in/haroldsinnott/" TargetMode="External"/><Relationship Id="rId3433" Type="http://schemas.openxmlformats.org/officeDocument/2006/relationships/hyperlink" Target="https://www.eventbrite.co.uk/e/what-its-like-to-be-a-data-scientist-tickets-136944090461?aff=ebdsoporgprofile" TargetMode="External"/><Relationship Id="rId3640" Type="http://schemas.openxmlformats.org/officeDocument/2006/relationships/hyperlink" Target="https://lnkd.in/gB4XrYY" TargetMode="External"/><Relationship Id="rId561" Type="http://schemas.openxmlformats.org/officeDocument/2006/relationships/hyperlink" Target="https://www.programming-hero.com/" TargetMode="External"/><Relationship Id="rId2242" Type="http://schemas.openxmlformats.org/officeDocument/2006/relationships/hyperlink" Target="https://www.insofe.edu.in/certification/msc-in-artificial-intelligence-and-machine-learning-ops.html" TargetMode="External"/><Relationship Id="rId3500" Type="http://schemas.openxmlformats.org/officeDocument/2006/relationships/hyperlink" Target="http://www.margarisventures.com/" TargetMode="External"/><Relationship Id="rId214" Type="http://schemas.openxmlformats.org/officeDocument/2006/relationships/hyperlink" Target="https://pbs.twimg.com/media/Eu7a-VPWQAMDUrh.jpg" TargetMode="External"/><Relationship Id="rId421" Type="http://schemas.openxmlformats.org/officeDocument/2006/relationships/hyperlink" Target="https://www.journeyhero.net/technology/" TargetMode="External"/><Relationship Id="rId1051" Type="http://schemas.openxmlformats.org/officeDocument/2006/relationships/hyperlink" Target="https://forms.gle/RNjWZX3abtnCXMvf6" TargetMode="External"/><Relationship Id="rId2102" Type="http://schemas.openxmlformats.org/officeDocument/2006/relationships/hyperlink" Target="https://jobhunt.ai/" TargetMode="External"/><Relationship Id="rId1868" Type="http://schemas.openxmlformats.org/officeDocument/2006/relationships/hyperlink" Target="https://tryviumdesk.sensiple.com/" TargetMode="External"/><Relationship Id="rId4067" Type="http://schemas.openxmlformats.org/officeDocument/2006/relationships/hyperlink" Target="https://pbs.twimg.com/media/Eu3-9QkWgAMEviq.png" TargetMode="External"/><Relationship Id="rId4274" Type="http://schemas.openxmlformats.org/officeDocument/2006/relationships/hyperlink" Target="https://buff.ly/2CNPlW9" TargetMode="External"/><Relationship Id="rId2919" Type="http://schemas.openxmlformats.org/officeDocument/2006/relationships/hyperlink" Target="https://bit.ly/3bA8d8Q" TargetMode="External"/><Relationship Id="rId3083" Type="http://schemas.openxmlformats.org/officeDocument/2006/relationships/hyperlink" Target="https://pbs.twimg.com/media/Eu5Yx0RXcAAtIYJ.jpg" TargetMode="External"/><Relationship Id="rId3290" Type="http://schemas.openxmlformats.org/officeDocument/2006/relationships/hyperlink" Target="https://pbs.twimg.com/media/Eu5MQF4WgAA7R_b.jpg" TargetMode="External"/><Relationship Id="rId4134" Type="http://schemas.openxmlformats.org/officeDocument/2006/relationships/hyperlink" Target="https://www.patreon.com/user?u=49159547&amp;fan_landing=true" TargetMode="External"/><Relationship Id="rId1728" Type="http://schemas.openxmlformats.org/officeDocument/2006/relationships/hyperlink" Target="https://www.networkworld.com/article/3574910/edge-computing-the-next-generation-of-innovation.html" TargetMode="External"/><Relationship Id="rId1935" Type="http://schemas.openxmlformats.org/officeDocument/2006/relationships/hyperlink" Target="https://www.forbes.com/sites/evansparks/2021/02/10/four-predictions-for-artificial-intelligence-and-machine-learning-in-2021/" TargetMode="External"/><Relationship Id="rId3150" Type="http://schemas.openxmlformats.org/officeDocument/2006/relationships/hyperlink" Target="https://lnkd.in/dMXZ2uV" TargetMode="External"/><Relationship Id="rId4201" Type="http://schemas.openxmlformats.org/officeDocument/2006/relationships/hyperlink" Target="https://berkeley.catalog.instructure.com/courses/joint-initiative-for-causal-inference-webinar" TargetMode="External"/><Relationship Id="rId3010" Type="http://schemas.openxmlformats.org/officeDocument/2006/relationships/hyperlink" Target="https://ift.tt/2NDGITs" TargetMode="External"/><Relationship Id="rId3967" Type="http://schemas.openxmlformats.org/officeDocument/2006/relationships/hyperlink" Target="https://pbs.twimg.com/media/Eu4IHWIVcAUeA9n.jpg" TargetMode="External"/><Relationship Id="rId4" Type="http://schemas.openxmlformats.org/officeDocument/2006/relationships/hyperlink" Target="https://www.youtube.com/channel/UChyDkl0l6W4VebsaKSW2sDw" TargetMode="External"/><Relationship Id="rId888" Type="http://schemas.openxmlformats.org/officeDocument/2006/relationships/hyperlink" Target="https://pbs.twimg.com/media/Eu7A6w5XAAA3rYG.jpg" TargetMode="External"/><Relationship Id="rId2569" Type="http://schemas.openxmlformats.org/officeDocument/2006/relationships/hyperlink" Target="https://amzn.to/3aHVPEH" TargetMode="External"/><Relationship Id="rId2776" Type="http://schemas.openxmlformats.org/officeDocument/2006/relationships/hyperlink" Target="https://bit.ly/3umvaVA" TargetMode="External"/><Relationship Id="rId2983" Type="http://schemas.openxmlformats.org/officeDocument/2006/relationships/hyperlink" Target="http://careers.criteo.com/working-in-R&amp;D" TargetMode="External"/><Relationship Id="rId3827" Type="http://schemas.openxmlformats.org/officeDocument/2006/relationships/hyperlink" Target="https://prn.to/2ZliSyr" TargetMode="External"/><Relationship Id="rId748" Type="http://schemas.openxmlformats.org/officeDocument/2006/relationships/hyperlink" Target="http://www.skyl.ai/" TargetMode="External"/><Relationship Id="rId955" Type="http://schemas.openxmlformats.org/officeDocument/2006/relationships/hyperlink" Target="https://pbs.twimg.com/media/Eu69iQaXcAo44Uu.png" TargetMode="External"/><Relationship Id="rId1378" Type="http://schemas.openxmlformats.org/officeDocument/2006/relationships/hyperlink" Target="http://www.smartlogic.com/" TargetMode="External"/><Relationship Id="rId1585" Type="http://schemas.openxmlformats.org/officeDocument/2006/relationships/hyperlink" Target="https://pbs.twimg.com/media/Eu6cCIpXEAUbqqZ.jpg" TargetMode="External"/><Relationship Id="rId1792" Type="http://schemas.openxmlformats.org/officeDocument/2006/relationships/hyperlink" Target="https://buff.ly/2MGcI90" TargetMode="External"/><Relationship Id="rId2429" Type="http://schemas.openxmlformats.org/officeDocument/2006/relationships/hyperlink" Target="https://pbs.twimg.com/media/Eu5NBbkU4AAUCJL.jpg" TargetMode="External"/><Relationship Id="rId2636" Type="http://schemas.openxmlformats.org/officeDocument/2006/relationships/hyperlink" Target="https://pbs.twimg.com/media/Eu5U0LCXYAIfBpX.jpg" TargetMode="External"/><Relationship Id="rId2843" Type="http://schemas.openxmlformats.org/officeDocument/2006/relationships/hyperlink" Target="http://pic.twitter.com/jWeLJkUyrA" TargetMode="External"/><Relationship Id="rId84" Type="http://schemas.openxmlformats.org/officeDocument/2006/relationships/hyperlink" Target="http://www.youtube.com/channel/UCxsSHt_xJriRkYNv2LoiCyw" TargetMode="External"/><Relationship Id="rId608" Type="http://schemas.openxmlformats.org/officeDocument/2006/relationships/hyperlink" Target="https://pbs.twimg.com/media/Eu7LiIvXcAAQoDc.jpg" TargetMode="External"/><Relationship Id="rId815" Type="http://schemas.openxmlformats.org/officeDocument/2006/relationships/hyperlink" Target="https://neurons.ai/blog/news-stories/machine-learning-operationalization-software-market-segmented-by-product-top-manufacturers-2/" TargetMode="External"/><Relationship Id="rId1238" Type="http://schemas.openxmlformats.org/officeDocument/2006/relationships/hyperlink" Target="https://www.programming-hero.com/" TargetMode="External"/><Relationship Id="rId1445" Type="http://schemas.openxmlformats.org/officeDocument/2006/relationships/hyperlink" Target="https://www.jucktion.com/forum/udemy-coupon/practical-regression-analysis-in-r-59-99-to-free-ai-cloudcomputing-ml-programmin/" TargetMode="External"/><Relationship Id="rId1652" Type="http://schemas.openxmlformats.org/officeDocument/2006/relationships/hyperlink" Target="https://bmcbioinformatics.biomedcentral.com/articles/10.1186/s12859-021-04011-z" TargetMode="External"/><Relationship Id="rId1305" Type="http://schemas.openxmlformats.org/officeDocument/2006/relationships/hyperlink" Target="https://medium.com/@jrodthoughts" TargetMode="External"/><Relationship Id="rId2703" Type="http://schemas.openxmlformats.org/officeDocument/2006/relationships/hyperlink" Target="http://www.universityworldnews.com/" TargetMode="External"/><Relationship Id="rId2910" Type="http://schemas.openxmlformats.org/officeDocument/2006/relationships/hyperlink" Target="https://www.linkedin.com/in/serinenazaryan/" TargetMode="External"/><Relationship Id="rId1512" Type="http://schemas.openxmlformats.org/officeDocument/2006/relationships/hyperlink" Target="https://pbs.twimg.com/media/Eu6kSMEWgAEKd-w.jpg" TargetMode="External"/><Relationship Id="rId11" Type="http://schemas.openxmlformats.org/officeDocument/2006/relationships/hyperlink" Target="https://techcrunch.com/2021/02/23/ag-monitoring-startup-flurostat-merges-with-soil-carbon-expert-dagan-to-form-regrow/?utm_source=dlvr.it&amp;utm_medium=twitter" TargetMode="External"/><Relationship Id="rId398" Type="http://schemas.openxmlformats.org/officeDocument/2006/relationships/hyperlink" Target="http://www.nature.com/natcancer" TargetMode="External"/><Relationship Id="rId2079" Type="http://schemas.openxmlformats.org/officeDocument/2006/relationships/hyperlink" Target="https://liwaiwai.com/2021/02/10/how-artificial-intelligence-is-reshaping-the-it-industry/" TargetMode="External"/><Relationship Id="rId3477" Type="http://schemas.openxmlformats.org/officeDocument/2006/relationships/hyperlink" Target="http://mainly.fun/" TargetMode="External"/><Relationship Id="rId3684" Type="http://schemas.openxmlformats.org/officeDocument/2006/relationships/hyperlink" Target="https://www.engadget.com/facebook-bans-myawaddy-tv-station-171950609.html" TargetMode="External"/><Relationship Id="rId3891" Type="http://schemas.openxmlformats.org/officeDocument/2006/relationships/hyperlink" Target="https://bigdata-madesimple.com/big-data-battling-child-abuse" TargetMode="External"/><Relationship Id="rId2286" Type="http://schemas.openxmlformats.org/officeDocument/2006/relationships/hyperlink" Target="https://www.linkedin.com/today/author/sanjay-das-2071872" TargetMode="External"/><Relationship Id="rId2493" Type="http://schemas.openxmlformats.org/officeDocument/2006/relationships/hyperlink" Target="https://bit.ly/2w2Zdsg" TargetMode="External"/><Relationship Id="rId3337" Type="http://schemas.openxmlformats.org/officeDocument/2006/relationships/hyperlink" Target="https://pbs.twimg.com/media/Eu5IxL3XIAE2LUn.jpg" TargetMode="External"/><Relationship Id="rId3544" Type="http://schemas.openxmlformats.org/officeDocument/2006/relationships/hyperlink" Target="https://sites.google.com/view/21enohpi/home" TargetMode="External"/><Relationship Id="rId3751" Type="http://schemas.openxmlformats.org/officeDocument/2006/relationships/hyperlink" Target="https://github.com/HipsterSantos" TargetMode="External"/><Relationship Id="rId258" Type="http://schemas.openxmlformats.org/officeDocument/2006/relationships/hyperlink" Target="https://pbs.twimg.com/media/Eu7ZpgoVcAMEUb8.jpg" TargetMode="External"/><Relationship Id="rId465" Type="http://schemas.openxmlformats.org/officeDocument/2006/relationships/hyperlink" Target="https://www.freeag8.com/" TargetMode="External"/><Relationship Id="rId672" Type="http://schemas.openxmlformats.org/officeDocument/2006/relationships/hyperlink" Target="https://towardsdatascience.com/data-science-learning-roadmap-for-2021-84f2ba09a44f" TargetMode="External"/><Relationship Id="rId1095" Type="http://schemas.openxmlformats.org/officeDocument/2006/relationships/hyperlink" Target="https://pbs.twimg.com/media/Eu6271MXMAA2_xa.jpg" TargetMode="External"/><Relationship Id="rId2146" Type="http://schemas.openxmlformats.org/officeDocument/2006/relationships/hyperlink" Target="https://smebook.eu/knowledge-base/early-stage-startups/what-mistakes-should-you-avoid-when-hiring-for-an/" TargetMode="External"/><Relationship Id="rId2353" Type="http://schemas.openxmlformats.org/officeDocument/2006/relationships/hyperlink" Target="https://pbs.twimg.com/media/Eu588PwXUAMAFKK.jpg" TargetMode="External"/><Relationship Id="rId2560" Type="http://schemas.openxmlformats.org/officeDocument/2006/relationships/hyperlink" Target="https://technative.io/the-fintech-future-accelerating-the-ai-ml-journey/" TargetMode="External"/><Relationship Id="rId3404" Type="http://schemas.openxmlformats.org/officeDocument/2006/relationships/hyperlink" Target="http://ipfconline.fr/contacts-eng.html" TargetMode="External"/><Relationship Id="rId3611" Type="http://schemas.openxmlformats.org/officeDocument/2006/relationships/hyperlink" Target="https://pbs.twimg.com/media/Eu4vnRdVoAU1nyr.jpg" TargetMode="External"/><Relationship Id="rId118" Type="http://schemas.openxmlformats.org/officeDocument/2006/relationships/hyperlink" Target="https://towardsdatascience.com/numbers-can-lie-3474e0efa1e1" TargetMode="External"/><Relationship Id="rId325" Type="http://schemas.openxmlformats.org/officeDocument/2006/relationships/hyperlink" Target="https://thedatascientist.com/about-dr-stylianos-stelios-kampakis/" TargetMode="External"/><Relationship Id="rId532" Type="http://schemas.openxmlformats.org/officeDocument/2006/relationships/hyperlink" Target="https://www.linkedin.com/in/colinrbristow/" TargetMode="External"/><Relationship Id="rId1162" Type="http://schemas.openxmlformats.org/officeDocument/2006/relationships/hyperlink" Target="http://www.quantuniversity.com/" TargetMode="External"/><Relationship Id="rId2006" Type="http://schemas.openxmlformats.org/officeDocument/2006/relationships/hyperlink" Target="https://www.mdpi.com/2072-4292/12/12/1986/htm" TargetMode="External"/><Relationship Id="rId2213" Type="http://schemas.openxmlformats.org/officeDocument/2006/relationships/hyperlink" Target="https://radwell.link/39i8Jsc" TargetMode="External"/><Relationship Id="rId2420" Type="http://schemas.openxmlformats.org/officeDocument/2006/relationships/hyperlink" Target="https://www.linkedin.com/pulse/machine-learning-y-el-negocio-asegurador-antonio-barriendos-sol%25C3%25A9/" TargetMode="External"/><Relationship Id="rId1022" Type="http://schemas.openxmlformats.org/officeDocument/2006/relationships/hyperlink" Target="https://www.aujas.com/" TargetMode="External"/><Relationship Id="rId4178" Type="http://schemas.openxmlformats.org/officeDocument/2006/relationships/hyperlink" Target="http://xn--009h.blogspot.com" TargetMode="External"/><Relationship Id="rId1979" Type="http://schemas.openxmlformats.org/officeDocument/2006/relationships/hyperlink" Target="http://pic.twitter.com/nEmPmWGDGW" TargetMode="External"/><Relationship Id="rId3194" Type="http://schemas.openxmlformats.org/officeDocument/2006/relationships/hyperlink" Target="https://pbs.twimg.com/media/Eu1od8rWgAUvRgl.png" TargetMode="External"/><Relationship Id="rId4038" Type="http://schemas.openxmlformats.org/officeDocument/2006/relationships/hyperlink" Target="https://ml.auckland.ac.nz/" TargetMode="External"/><Relationship Id="rId4245" Type="http://schemas.openxmlformats.org/officeDocument/2006/relationships/hyperlink" Target="https://twitter.com/zachking/status/1259231895004475393" TargetMode="External"/><Relationship Id="rId1839" Type="http://schemas.openxmlformats.org/officeDocument/2006/relationships/hyperlink" Target="http://www.corizance.com/" TargetMode="External"/><Relationship Id="rId3054" Type="http://schemas.openxmlformats.org/officeDocument/2006/relationships/hyperlink" Target="https://datasciencevault.com/" TargetMode="External"/><Relationship Id="rId182" Type="http://schemas.openxmlformats.org/officeDocument/2006/relationships/hyperlink" Target="https://informatics.wustl.edu/" TargetMode="External"/><Relationship Id="rId1906" Type="http://schemas.openxmlformats.org/officeDocument/2006/relationships/hyperlink" Target="http://pic.twitter.com/rdpN1lJhKf" TargetMode="External"/><Relationship Id="rId3261" Type="http://schemas.openxmlformats.org/officeDocument/2006/relationships/hyperlink" Target="https://www.theverge.com/2020/12/20/22191951/fall-guys-ninja-skin-now-available-mediatonic-crowns-charity" TargetMode="External"/><Relationship Id="rId4105" Type="http://schemas.openxmlformats.org/officeDocument/2006/relationships/hyperlink" Target="https://pub.towardsai.net/" TargetMode="External"/><Relationship Id="rId2070" Type="http://schemas.openxmlformats.org/officeDocument/2006/relationships/hyperlink" Target="https://bit.ly/3aKBGxA" TargetMode="External"/><Relationship Id="rId3121" Type="http://schemas.openxmlformats.org/officeDocument/2006/relationships/hyperlink" Target="https://www.youtube.com/channel/UCklYFlwYOxUPougzY1ck4uA?sub_confirmation=1" TargetMode="External"/><Relationship Id="rId999" Type="http://schemas.openxmlformats.org/officeDocument/2006/relationships/hyperlink" Target="http://www.js.padoan.me/" TargetMode="External"/><Relationship Id="rId2887" Type="http://schemas.openxmlformats.org/officeDocument/2006/relationships/hyperlink" Target="http://www.irits.org/irs10" TargetMode="External"/><Relationship Id="rId859" Type="http://schemas.openxmlformats.org/officeDocument/2006/relationships/hyperlink" Target="https://business-analytics-info.fr/" TargetMode="External"/><Relationship Id="rId1489" Type="http://schemas.openxmlformats.org/officeDocument/2006/relationships/hyperlink" Target="https://bit.ly/376Ecw0" TargetMode="External"/><Relationship Id="rId1696" Type="http://schemas.openxmlformats.org/officeDocument/2006/relationships/hyperlink" Target="http://www.linkedin.com/in/sandeep-sharma-00389755" TargetMode="External"/><Relationship Id="rId3938" Type="http://schemas.openxmlformats.org/officeDocument/2006/relationships/hyperlink" Target="https://www.netcarreiras.com.br/curriculo-suprimentos-114295" TargetMode="External"/><Relationship Id="rId1349" Type="http://schemas.openxmlformats.org/officeDocument/2006/relationships/hyperlink" Target="https://pbs.twimg.com/media/Eu6rLcdWQAgGymu.jpg" TargetMode="External"/><Relationship Id="rId2747" Type="http://schemas.openxmlformats.org/officeDocument/2006/relationships/hyperlink" Target="https://twitter.com/Theslimevids/status/1328517404436041729" TargetMode="External"/><Relationship Id="rId2954" Type="http://schemas.openxmlformats.org/officeDocument/2006/relationships/hyperlink" Target="https://www.israeldefense.co.il/en/node/48486" TargetMode="External"/><Relationship Id="rId719" Type="http://schemas.openxmlformats.org/officeDocument/2006/relationships/hyperlink" Target="http://dlvr.it/RtKFbf" TargetMode="External"/><Relationship Id="rId926" Type="http://schemas.openxmlformats.org/officeDocument/2006/relationships/hyperlink" Target="https://ai.plainenglish.io/" TargetMode="External"/><Relationship Id="rId1556" Type="http://schemas.openxmlformats.org/officeDocument/2006/relationships/hyperlink" Target="https://bit.ly/2Ne51rg" TargetMode="External"/><Relationship Id="rId1763" Type="http://schemas.openxmlformats.org/officeDocument/2006/relationships/hyperlink" Target="https://www.linkedin.com/in/iainljbrown/" TargetMode="External"/><Relationship Id="rId1970" Type="http://schemas.openxmlformats.org/officeDocument/2006/relationships/hyperlink" Target="http://pic.twitter.com/QXFjNNdMhX" TargetMode="External"/><Relationship Id="rId2607" Type="http://schemas.openxmlformats.org/officeDocument/2006/relationships/hyperlink" Target="http://www.insofe.edu.in/" TargetMode="External"/><Relationship Id="rId2814" Type="http://schemas.openxmlformats.org/officeDocument/2006/relationships/hyperlink" Target="https://bit.ly/3umoSFE" TargetMode="External"/><Relationship Id="rId55" Type="http://schemas.openxmlformats.org/officeDocument/2006/relationships/hyperlink" Target="https://pbs.twimg.com/media/Eu7iHkPXYAYqYI_.jpg" TargetMode="External"/><Relationship Id="rId1209" Type="http://schemas.openxmlformats.org/officeDocument/2006/relationships/hyperlink" Target="http://cloudilab.com/" TargetMode="External"/><Relationship Id="rId1416" Type="http://schemas.openxmlformats.org/officeDocument/2006/relationships/hyperlink" Target="http://pic.twitter.com/rjWmqIlKqp" TargetMode="External"/><Relationship Id="rId1623" Type="http://schemas.openxmlformats.org/officeDocument/2006/relationships/hyperlink" Target="https://bit.ly/3qZrVlb" TargetMode="External"/><Relationship Id="rId1830" Type="http://schemas.openxmlformats.org/officeDocument/2006/relationships/hyperlink" Target="https://brianthomas.me/" TargetMode="External"/><Relationship Id="rId3588" Type="http://schemas.openxmlformats.org/officeDocument/2006/relationships/hyperlink" Target="http://katonic.ai/" TargetMode="External"/><Relationship Id="rId3795" Type="http://schemas.openxmlformats.org/officeDocument/2006/relationships/hyperlink" Target="http://pic.twitter.com/k1dEJ5wtNb" TargetMode="External"/><Relationship Id="rId2397" Type="http://schemas.openxmlformats.org/officeDocument/2006/relationships/hyperlink" Target="https://pbs.twimg.com/media/Eu54UtEXEAAvFJ2.png" TargetMode="External"/><Relationship Id="rId3448" Type="http://schemas.openxmlformats.org/officeDocument/2006/relationships/hyperlink" Target="https://teksands.ai/article/best-machine-learning-books-scripting-your-own-space-odyssey/" TargetMode="External"/><Relationship Id="rId3655" Type="http://schemas.openxmlformats.org/officeDocument/2006/relationships/hyperlink" Target="https://becominghuman.ai/machine-learning-concepts-every-data-scientist-should-know-4d70bed18a8a" TargetMode="External"/><Relationship Id="rId3862" Type="http://schemas.openxmlformats.org/officeDocument/2006/relationships/hyperlink" Target="https://buff.ly/3dvbRDD" TargetMode="External"/><Relationship Id="rId369" Type="http://schemas.openxmlformats.org/officeDocument/2006/relationships/hyperlink" Target="http://hearing.nihr.ac.uk/" TargetMode="External"/><Relationship Id="rId576" Type="http://schemas.openxmlformats.org/officeDocument/2006/relationships/hyperlink" Target="http://www.vircourses.com/" TargetMode="External"/><Relationship Id="rId783" Type="http://schemas.openxmlformats.org/officeDocument/2006/relationships/hyperlink" Target="https://www.vertica.com/" TargetMode="External"/><Relationship Id="rId990" Type="http://schemas.openxmlformats.org/officeDocument/2006/relationships/hyperlink" Target="https://pbs.twimg.com/media/Eu68Dt_XIAQ1dt_.jpg" TargetMode="External"/><Relationship Id="rId2257" Type="http://schemas.openxmlformats.org/officeDocument/2006/relationships/hyperlink" Target="https://bit.ly/3pJsfmA" TargetMode="External"/><Relationship Id="rId2464" Type="http://schemas.openxmlformats.org/officeDocument/2006/relationships/hyperlink" Target="https://www.microfocus.com/en-us/trend/security-risk-governance?utm_campaign=00164297" TargetMode="External"/><Relationship Id="rId2671" Type="http://schemas.openxmlformats.org/officeDocument/2006/relationships/hyperlink" Target="https://twitter.com/segundoatdell/status/1363915984009101314" TargetMode="External"/><Relationship Id="rId3308" Type="http://schemas.openxmlformats.org/officeDocument/2006/relationships/hyperlink" Target="https://www.paypal.me/Torilove82.com" TargetMode="External"/><Relationship Id="rId3515" Type="http://schemas.openxmlformats.org/officeDocument/2006/relationships/hyperlink" Target="https://www.bacancytechnology.com/blog/python-libraries-for-machine-learning" TargetMode="External"/><Relationship Id="rId229" Type="http://schemas.openxmlformats.org/officeDocument/2006/relationships/hyperlink" Target="https://amzn.to/3qZN91W" TargetMode="External"/><Relationship Id="rId436" Type="http://schemas.openxmlformats.org/officeDocument/2006/relationships/hyperlink" Target="http://zetane.com/" TargetMode="External"/><Relationship Id="rId643" Type="http://schemas.openxmlformats.org/officeDocument/2006/relationships/hyperlink" Target="http://www.jaisonjacob.com/" TargetMode="External"/><Relationship Id="rId1066" Type="http://schemas.openxmlformats.org/officeDocument/2006/relationships/hyperlink" Target="http://www.jeddababderrahim.ml/" TargetMode="External"/><Relationship Id="rId1273" Type="http://schemas.openxmlformats.org/officeDocument/2006/relationships/hyperlink" Target="https://pbs.twimg.com/media/Eu6unrOWYAct3sB.jpg" TargetMode="External"/><Relationship Id="rId1480" Type="http://schemas.openxmlformats.org/officeDocument/2006/relationships/hyperlink" Target="https://bit.ly/3dHWIPo" TargetMode="External"/><Relationship Id="rId2117" Type="http://schemas.openxmlformats.org/officeDocument/2006/relationships/hyperlink" Target="http://www.ifia.com/" TargetMode="External"/><Relationship Id="rId2324" Type="http://schemas.openxmlformats.org/officeDocument/2006/relationships/hyperlink" Target="https://vaarst.com/" TargetMode="External"/><Relationship Id="rId3722" Type="http://schemas.openxmlformats.org/officeDocument/2006/relationships/hyperlink" Target="https://www.getrevue.co/profile/olivier-salomon" TargetMode="External"/><Relationship Id="rId850" Type="http://schemas.openxmlformats.org/officeDocument/2006/relationships/hyperlink" Target="https://pub.towardsai.net/%E2%84%82-%E2%84%9D-62efb53acc8a?source=rss----98111c9905da---4?source=social.tw" TargetMode="External"/><Relationship Id="rId1133" Type="http://schemas.openxmlformats.org/officeDocument/2006/relationships/hyperlink" Target="https://pbs.twimg.com/media/Eu61-tJUUAoIXHY.png" TargetMode="External"/><Relationship Id="rId2531" Type="http://schemas.openxmlformats.org/officeDocument/2006/relationships/hyperlink" Target="http://www.cmcc.it/" TargetMode="External"/><Relationship Id="rId503" Type="http://schemas.openxmlformats.org/officeDocument/2006/relationships/hyperlink" Target="http://www.digindaily.com/?edition_id=292cdcf0-75f7-11eb-a5c8-0cc47a0d15fd" TargetMode="External"/><Relationship Id="rId710" Type="http://schemas.openxmlformats.org/officeDocument/2006/relationships/hyperlink" Target="https://pbs.twimg.com/media/Eu7HYFZXIAow0Y1.jpg" TargetMode="External"/><Relationship Id="rId1340" Type="http://schemas.openxmlformats.org/officeDocument/2006/relationships/hyperlink" Target="https://www.businessinsider.com/wall-street-technology-spend-cloud-ai-blockchain-budget-finance-2021-2" TargetMode="External"/><Relationship Id="rId3098" Type="http://schemas.openxmlformats.org/officeDocument/2006/relationships/hyperlink" Target="https://pbs.twimg.com/media/Eu5YjVPXcAQeUq2.jpg" TargetMode="External"/><Relationship Id="rId1200" Type="http://schemas.openxmlformats.org/officeDocument/2006/relationships/hyperlink" Target="https://builtin.com/data-science/data-literacy" TargetMode="External"/><Relationship Id="rId4149" Type="http://schemas.openxmlformats.org/officeDocument/2006/relationships/hyperlink" Target="https://www.linkedin.com/in/paulapiccard/" TargetMode="External"/><Relationship Id="rId3165" Type="http://schemas.openxmlformats.org/officeDocument/2006/relationships/hyperlink" Target="http://neurons.ai/" TargetMode="External"/><Relationship Id="rId3372" Type="http://schemas.openxmlformats.org/officeDocument/2006/relationships/hyperlink" Target="http://www.advatera.com/" TargetMode="External"/><Relationship Id="rId4009" Type="http://schemas.openxmlformats.org/officeDocument/2006/relationships/hyperlink" Target="https://pbs.twimg.com/media/Eu4EUmfWQAYN7Qy.jpg" TargetMode="External"/><Relationship Id="rId4216" Type="http://schemas.openxmlformats.org/officeDocument/2006/relationships/hyperlink" Target="http://pic.twitter.com/Iupj8RCfH4" TargetMode="External"/><Relationship Id="rId293" Type="http://schemas.openxmlformats.org/officeDocument/2006/relationships/hyperlink" Target="http://www.unfoldlabs.com/" TargetMode="External"/><Relationship Id="rId2181" Type="http://schemas.openxmlformats.org/officeDocument/2006/relationships/hyperlink" Target="https://towardsdatascience.com/how-to-effortlessly-optimize-jupyter-notebooks-e864162a06ee" TargetMode="External"/><Relationship Id="rId3025" Type="http://schemas.openxmlformats.org/officeDocument/2006/relationships/hyperlink" Target="http://www.awakenai.org/" TargetMode="External"/><Relationship Id="rId3232" Type="http://schemas.openxmlformats.org/officeDocument/2006/relationships/hyperlink" Target="https://pbs.twimg.com/media/Eu5PAEfVEAAwbb-.jpg" TargetMode="External"/><Relationship Id="rId153" Type="http://schemas.openxmlformats.org/officeDocument/2006/relationships/hyperlink" Target="https://cobadisec.com/" TargetMode="External"/><Relationship Id="rId360" Type="http://schemas.openxmlformats.org/officeDocument/2006/relationships/hyperlink" Target="https://www.npxinnovation.ca/thought-leadership" TargetMode="External"/><Relationship Id="rId2041" Type="http://schemas.openxmlformats.org/officeDocument/2006/relationships/hyperlink" Target="https://ift.tt/3aIeP5Q" TargetMode="External"/><Relationship Id="rId220" Type="http://schemas.openxmlformats.org/officeDocument/2006/relationships/hyperlink" Target="https://www.linkedin.com/in/colinrbristow/" TargetMode="External"/><Relationship Id="rId2998" Type="http://schemas.openxmlformats.org/officeDocument/2006/relationships/hyperlink" Target="http://htl.li/jnUu30ry0nK" TargetMode="External"/><Relationship Id="rId2858" Type="http://schemas.openxmlformats.org/officeDocument/2006/relationships/hyperlink" Target="https://ift.tt/3pO7wOm" TargetMode="External"/><Relationship Id="rId3909" Type="http://schemas.openxmlformats.org/officeDocument/2006/relationships/hyperlink" Target="http://www.gabosl.es/ourproducts" TargetMode="External"/><Relationship Id="rId4073" Type="http://schemas.openxmlformats.org/officeDocument/2006/relationships/hyperlink" Target="https://www.linkedin.com/in/craigbrownphd" TargetMode="External"/><Relationship Id="rId99" Type="http://schemas.openxmlformats.org/officeDocument/2006/relationships/hyperlink" Target="https://www.forbes.com/sites/forbestechcouncil/2020/08/25/despite-what-they-tell-you-the-prevention-of-cyberattacks-is-achievable/" TargetMode="External"/><Relationship Id="rId1667" Type="http://schemas.openxmlformats.org/officeDocument/2006/relationships/hyperlink" Target="https://pub.towardsai.net/understanding-functions-in-ai-d2fd52c72b37?source=rss----98111c9905da---4?source=social.tw" TargetMode="External"/><Relationship Id="rId1874" Type="http://schemas.openxmlformats.org/officeDocument/2006/relationships/hyperlink" Target="https://pbs.twimg.com/media/Eu6USCLU4Ac_MMT.jpg" TargetMode="External"/><Relationship Id="rId2718" Type="http://schemas.openxmlformats.org/officeDocument/2006/relationships/hyperlink" Target="https://www.linkedin.com/in/aleluciani/" TargetMode="External"/><Relationship Id="rId2925" Type="http://schemas.openxmlformats.org/officeDocument/2006/relationships/hyperlink" Target="https://realpython.com/python-api/" TargetMode="External"/><Relationship Id="rId1527" Type="http://schemas.openxmlformats.org/officeDocument/2006/relationships/hyperlink" Target="http://www.iac.cnr.it/" TargetMode="External"/><Relationship Id="rId1734" Type="http://schemas.openxmlformats.org/officeDocument/2006/relationships/hyperlink" Target="https://hubs.li/H0GRZCD0" TargetMode="External"/><Relationship Id="rId1941" Type="http://schemas.openxmlformats.org/officeDocument/2006/relationships/hyperlink" Target="https://bit.ly/37X1rt5" TargetMode="External"/><Relationship Id="rId4140" Type="http://schemas.openxmlformats.org/officeDocument/2006/relationships/hyperlink" Target="http://dlvr.it/RtGdWQ" TargetMode="External"/><Relationship Id="rId26" Type="http://schemas.openxmlformats.org/officeDocument/2006/relationships/hyperlink" Target="https://google.smh.re/200" TargetMode="External"/><Relationship Id="rId3699" Type="http://schemas.openxmlformats.org/officeDocument/2006/relationships/hyperlink" Target="https://www.henryharvin.com/" TargetMode="External"/><Relationship Id="rId4000" Type="http://schemas.openxmlformats.org/officeDocument/2006/relationships/hyperlink" Target="https://tinyurl.com/Steph-LinkedIn" TargetMode="External"/><Relationship Id="rId1801" Type="http://schemas.openxmlformats.org/officeDocument/2006/relationships/hyperlink" Target="https://pbs.twimg.com/media/Eu6YPvhWYAMKLo3.jpg" TargetMode="External"/><Relationship Id="rId3559" Type="http://schemas.openxmlformats.org/officeDocument/2006/relationships/hyperlink" Target="https://developer.nexmo.com/" TargetMode="External"/><Relationship Id="rId687" Type="http://schemas.openxmlformats.org/officeDocument/2006/relationships/hyperlink" Target="http://techbusinessguide.com/" TargetMode="External"/><Relationship Id="rId2368" Type="http://schemas.openxmlformats.org/officeDocument/2006/relationships/hyperlink" Target="http://www.richardvanhooijdonk.com/" TargetMode="External"/><Relationship Id="rId3766" Type="http://schemas.openxmlformats.org/officeDocument/2006/relationships/hyperlink" Target="http://odsc.com/" TargetMode="External"/><Relationship Id="rId3973" Type="http://schemas.openxmlformats.org/officeDocument/2006/relationships/hyperlink" Target="http://www.margarisventures.com/" TargetMode="External"/><Relationship Id="rId894" Type="http://schemas.openxmlformats.org/officeDocument/2006/relationships/hyperlink" Target="https://bit.ly/3uAzK2S" TargetMode="External"/><Relationship Id="rId1177" Type="http://schemas.openxmlformats.org/officeDocument/2006/relationships/hyperlink" Target="https://pbs.twimg.com/media/Eu2_HDpXIAM0u3n.png" TargetMode="External"/><Relationship Id="rId2575" Type="http://schemas.openxmlformats.org/officeDocument/2006/relationships/hyperlink" Target="https://pbs.twimg.com/media/Eu5wq2vUUAAqkUo.jpg" TargetMode="External"/><Relationship Id="rId2782" Type="http://schemas.openxmlformats.org/officeDocument/2006/relationships/hyperlink" Target="https://www.linkedin.com/posts/kopjesland_ai-machinelearning-computational-activity-6769899042940993536-iIeJ" TargetMode="External"/><Relationship Id="rId3419" Type="http://schemas.openxmlformats.org/officeDocument/2006/relationships/hyperlink" Target="http://instagram.com/ml.india" TargetMode="External"/><Relationship Id="rId3626" Type="http://schemas.openxmlformats.org/officeDocument/2006/relationships/hyperlink" Target="http://neurons.ai/" TargetMode="External"/><Relationship Id="rId3833" Type="http://schemas.openxmlformats.org/officeDocument/2006/relationships/hyperlink" Target="https://buff.ly/3chtjLt" TargetMode="External"/><Relationship Id="rId547" Type="http://schemas.openxmlformats.org/officeDocument/2006/relationships/hyperlink" Target="https://pbs.twimg.com/media/Eu7N26WXUAEoBbP.png" TargetMode="External"/><Relationship Id="rId754" Type="http://schemas.openxmlformats.org/officeDocument/2006/relationships/hyperlink" Target="https://techflx.com/product-category/books/" TargetMode="External"/><Relationship Id="rId961" Type="http://schemas.openxmlformats.org/officeDocument/2006/relationships/hyperlink" Target="https://pbs.twimg.com/media/Eu1StanXEAABosf.jpg" TargetMode="External"/><Relationship Id="rId1384" Type="http://schemas.openxmlformats.org/officeDocument/2006/relationships/hyperlink" Target="https://paullopez.ai/" TargetMode="External"/><Relationship Id="rId1591" Type="http://schemas.openxmlformats.org/officeDocument/2006/relationships/hyperlink" Target="https://pbs.twimg.com/media/Eu6gXONXYAED2_-.jpg" TargetMode="External"/><Relationship Id="rId2228" Type="http://schemas.openxmlformats.org/officeDocument/2006/relationships/hyperlink" Target="http://www.gsoflog.de/" TargetMode="External"/><Relationship Id="rId2435" Type="http://schemas.openxmlformats.org/officeDocument/2006/relationships/hyperlink" Target="https://pbs.twimg.com/media/Eu54G-BUUAA8BrO.jpg" TargetMode="External"/><Relationship Id="rId2642" Type="http://schemas.openxmlformats.org/officeDocument/2006/relationships/hyperlink" Target="http://psi-k.net/jobs/phd-position-on-hydrogen-diffusion-along-dislocati-2/" TargetMode="External"/><Relationship Id="rId3900" Type="http://schemas.openxmlformats.org/officeDocument/2006/relationships/hyperlink" Target="http://www.facebook.com/bulgermedia" TargetMode="External"/><Relationship Id="rId90" Type="http://schemas.openxmlformats.org/officeDocument/2006/relationships/hyperlink" Target="https://paper.li/stratorob/1494514886?edition_id=80eca790-7601-11eb-a5c8-0cc47a0d15fd" TargetMode="External"/><Relationship Id="rId407" Type="http://schemas.openxmlformats.org/officeDocument/2006/relationships/hyperlink" Target="https://bit.ly/37FWEvS" TargetMode="External"/><Relationship Id="rId614" Type="http://schemas.openxmlformats.org/officeDocument/2006/relationships/hyperlink" Target="https://aster.cloud/programming/" TargetMode="External"/><Relationship Id="rId821" Type="http://schemas.openxmlformats.org/officeDocument/2006/relationships/hyperlink" Target="https://neurons.ai/blog/news-stories/machine-learning-in-manufacturing-market-next-big-thing-major-giants-dataiku-bosch-nvidia/" TargetMode="External"/><Relationship Id="rId1037" Type="http://schemas.openxmlformats.org/officeDocument/2006/relationships/hyperlink" Target="http://www.corizance.com/" TargetMode="External"/><Relationship Id="rId1244" Type="http://schemas.openxmlformats.org/officeDocument/2006/relationships/hyperlink" Target="http://www.thirdeyemedia.press/" TargetMode="External"/><Relationship Id="rId1451" Type="http://schemas.openxmlformats.org/officeDocument/2006/relationships/hyperlink" Target="http://www.linkedin.com/in/jamesg2006" TargetMode="External"/><Relationship Id="rId2502" Type="http://schemas.openxmlformats.org/officeDocument/2006/relationships/hyperlink" Target="https://bit.ly/3peDPWv" TargetMode="External"/><Relationship Id="rId1104" Type="http://schemas.openxmlformats.org/officeDocument/2006/relationships/hyperlink" Target="https://pbs.twimg.com/media/Eu62upwWgAM2nxD.jpg" TargetMode="External"/><Relationship Id="rId1311" Type="http://schemas.openxmlformats.org/officeDocument/2006/relationships/hyperlink" Target="https://zpy.io/2979bad3" TargetMode="External"/><Relationship Id="rId3069" Type="http://schemas.openxmlformats.org/officeDocument/2006/relationships/hyperlink" Target="http://www.awakenai.org/" TargetMode="External"/><Relationship Id="rId3276" Type="http://schemas.openxmlformats.org/officeDocument/2006/relationships/hyperlink" Target="http://neptune.ai/" TargetMode="External"/><Relationship Id="rId3483" Type="http://schemas.openxmlformats.org/officeDocument/2006/relationships/hyperlink" Target="https://lnkd.in/ggXFbxY" TargetMode="External"/><Relationship Id="rId3690" Type="http://schemas.openxmlformats.org/officeDocument/2006/relationships/hyperlink" Target="https://bit.ly/3bKPK9Z" TargetMode="External"/><Relationship Id="rId197" Type="http://schemas.openxmlformats.org/officeDocument/2006/relationships/hyperlink" Target="https://buff.ly/37yYcrt" TargetMode="External"/><Relationship Id="rId2085" Type="http://schemas.openxmlformats.org/officeDocument/2006/relationships/hyperlink" Target="http://brainkey.ai/" TargetMode="External"/><Relationship Id="rId2292" Type="http://schemas.openxmlformats.org/officeDocument/2006/relationships/hyperlink" Target="http://bit.ly/3pFXS0c" TargetMode="External"/><Relationship Id="rId3136" Type="http://schemas.openxmlformats.org/officeDocument/2006/relationships/hyperlink" Target="https://sprou.tt/1N1DMLH4AWf" TargetMode="External"/><Relationship Id="rId3343" Type="http://schemas.openxmlformats.org/officeDocument/2006/relationships/hyperlink" Target="https://exonomousid.com/" TargetMode="External"/><Relationship Id="rId264" Type="http://schemas.openxmlformats.org/officeDocument/2006/relationships/hyperlink" Target="http://ipfconline.fr/contacts-eng.html" TargetMode="External"/><Relationship Id="rId471" Type="http://schemas.openxmlformats.org/officeDocument/2006/relationships/hyperlink" Target="http://mlwhiz.com/" TargetMode="External"/><Relationship Id="rId2152" Type="http://schemas.openxmlformats.org/officeDocument/2006/relationships/hyperlink" Target="http://htl.li/vvcu30ry0oz" TargetMode="External"/><Relationship Id="rId3550" Type="http://schemas.openxmlformats.org/officeDocument/2006/relationships/hyperlink" Target="https://pbs.twimg.com/media/Eu40PL6VIAIvPrN.jpg" TargetMode="External"/><Relationship Id="rId124" Type="http://schemas.openxmlformats.org/officeDocument/2006/relationships/hyperlink" Target="https://pbs.twimg.com/media/Eu7f6KSWQAMh_QO.jpg" TargetMode="External"/><Relationship Id="rId3203" Type="http://schemas.openxmlformats.org/officeDocument/2006/relationships/hyperlink" Target="https://www.linkedin.com/in/lucian-andrei-119a3130/" TargetMode="External"/><Relationship Id="rId3410" Type="http://schemas.openxmlformats.org/officeDocument/2006/relationships/hyperlink" Target="http://linkedin.com/in/sidheshwar-pandhare-0a47b7110" TargetMode="External"/><Relationship Id="rId331" Type="http://schemas.openxmlformats.org/officeDocument/2006/relationships/hyperlink" Target="https://jelvix.com/blog/machine-learning-project-ideas" TargetMode="External"/><Relationship Id="rId2012" Type="http://schemas.openxmlformats.org/officeDocument/2006/relationships/hyperlink" Target="https://bit.ly/3eUdJEJ" TargetMode="External"/><Relationship Id="rId2969" Type="http://schemas.openxmlformats.org/officeDocument/2006/relationships/hyperlink" Target="https://pbs.twimg.com/media/Eu5ef4JXIAEgBvk.jpg" TargetMode="External"/><Relationship Id="rId1778" Type="http://schemas.openxmlformats.org/officeDocument/2006/relationships/hyperlink" Target="https://bit.ly/3dRbB2b" TargetMode="External"/><Relationship Id="rId1985" Type="http://schemas.openxmlformats.org/officeDocument/2006/relationships/hyperlink" Target="https://asterisminfosoft.com/" TargetMode="External"/><Relationship Id="rId2829" Type="http://schemas.openxmlformats.org/officeDocument/2006/relationships/hyperlink" Target="http://pic.twitter.com/dutn6fXMry" TargetMode="External"/><Relationship Id="rId4184" Type="http://schemas.openxmlformats.org/officeDocument/2006/relationships/hyperlink" Target="http://www.syncedreview.com/" TargetMode="External"/><Relationship Id="rId1638" Type="http://schemas.openxmlformats.org/officeDocument/2006/relationships/hyperlink" Target="https://pbs.twimg.com/media/Eu6eiZ0WYAAdDix.png" TargetMode="External"/><Relationship Id="rId4044" Type="http://schemas.openxmlformats.org/officeDocument/2006/relationships/hyperlink" Target="http://bitcoinhodler.ca/" TargetMode="External"/><Relationship Id="rId4251" Type="http://schemas.openxmlformats.org/officeDocument/2006/relationships/hyperlink" Target="https://bit.ly/3aLnRPM" TargetMode="External"/><Relationship Id="rId1845" Type="http://schemas.openxmlformats.org/officeDocument/2006/relationships/hyperlink" Target="https://crimacode.com/" TargetMode="External"/><Relationship Id="rId3060" Type="http://schemas.openxmlformats.org/officeDocument/2006/relationships/hyperlink" Target="https://empresas.blogthinkbig.com/criptografia-funcional-alternativa-cifrado-homomorfico-calculos-sobre-datos-cifrados/?tw4" TargetMode="External"/><Relationship Id="rId4111" Type="http://schemas.openxmlformats.org/officeDocument/2006/relationships/hyperlink" Target="https://www.raywang.org/" TargetMode="External"/><Relationship Id="rId1705" Type="http://schemas.openxmlformats.org/officeDocument/2006/relationships/hyperlink" Target="http://www.impetus.com/" TargetMode="External"/><Relationship Id="rId1912" Type="http://schemas.openxmlformats.org/officeDocument/2006/relationships/hyperlink" Target="https://youtu.be/q_ohzm8OcQ0" TargetMode="External"/><Relationship Id="rId3877" Type="http://schemas.openxmlformats.org/officeDocument/2006/relationships/hyperlink" Target="https://freehipwee.blogspot.com/2020/01/r-programming-advanced-analytics-in-r.html" TargetMode="External"/><Relationship Id="rId798" Type="http://schemas.openxmlformats.org/officeDocument/2006/relationships/hyperlink" Target="https://fave.co/39GBKOG" TargetMode="External"/><Relationship Id="rId2479" Type="http://schemas.openxmlformats.org/officeDocument/2006/relationships/hyperlink" Target="https://www.youtube.com/watch?v=E_gWr3_n7jg" TargetMode="External"/><Relationship Id="rId2686" Type="http://schemas.openxmlformats.org/officeDocument/2006/relationships/hyperlink" Target="https://github.com/mljar/mljar-supervised/issues/179" TargetMode="External"/><Relationship Id="rId2893" Type="http://schemas.openxmlformats.org/officeDocument/2006/relationships/hyperlink" Target="https://pbs.twimg.com/media/Eu5iFXAXYAA6x8T.jpg" TargetMode="External"/><Relationship Id="rId3737" Type="http://schemas.openxmlformats.org/officeDocument/2006/relationships/hyperlink" Target="https://lnkd.in/dTgrJ8E" TargetMode="External"/><Relationship Id="rId3944" Type="http://schemas.openxmlformats.org/officeDocument/2006/relationships/hyperlink" Target="https://pbs.twimg.com/media/Eu4K5FRVgAIKjuL.jpg" TargetMode="External"/><Relationship Id="rId658" Type="http://schemas.openxmlformats.org/officeDocument/2006/relationships/hyperlink" Target="https://www.muycanal.com/?p=123716" TargetMode="External"/><Relationship Id="rId865" Type="http://schemas.openxmlformats.org/officeDocument/2006/relationships/hyperlink" Target="https://pbs.twimg.com/media/Eu7B1SAWgAUJaH0.jpg" TargetMode="External"/><Relationship Id="rId1288" Type="http://schemas.openxmlformats.org/officeDocument/2006/relationships/hyperlink" Target="http://neurons.ai/" TargetMode="External"/><Relationship Id="rId1495" Type="http://schemas.openxmlformats.org/officeDocument/2006/relationships/hyperlink" Target="https://counterfraudconference.co.uk/" TargetMode="External"/><Relationship Id="rId2339" Type="http://schemas.openxmlformats.org/officeDocument/2006/relationships/hyperlink" Target="https://bit.ly/3pMWVmI" TargetMode="External"/><Relationship Id="rId2546" Type="http://schemas.openxmlformats.org/officeDocument/2006/relationships/hyperlink" Target="https://pbs.twimg.com/media/Eu5x-sMXEAM7UsY.jpg" TargetMode="External"/><Relationship Id="rId2753" Type="http://schemas.openxmlformats.org/officeDocument/2006/relationships/hyperlink" Target="https://buff.ly/2L0DIvd" TargetMode="External"/><Relationship Id="rId2960" Type="http://schemas.openxmlformats.org/officeDocument/2006/relationships/hyperlink" Target="https://lnkd.in/ejdBSBj" TargetMode="External"/><Relationship Id="rId3804" Type="http://schemas.openxmlformats.org/officeDocument/2006/relationships/hyperlink" Target="https://cutt.ly/nkVT09u" TargetMode="External"/><Relationship Id="rId518" Type="http://schemas.openxmlformats.org/officeDocument/2006/relationships/hyperlink" Target="https://ai-summary.com/summary-intuit-uses-ai-to-make-tax-day-easier/?utm_medium=social-organic&amp;utm_source=twitter" TargetMode="External"/><Relationship Id="rId725" Type="http://schemas.openxmlformats.org/officeDocument/2006/relationships/hyperlink" Target="http://www.educabily.com/" TargetMode="External"/><Relationship Id="rId932" Type="http://schemas.openxmlformats.org/officeDocument/2006/relationships/hyperlink" Target="http://semf.org.es/" TargetMode="External"/><Relationship Id="rId1148" Type="http://schemas.openxmlformats.org/officeDocument/2006/relationships/hyperlink" Target="https://pbs.twimg.com/media/Eu60s-ZVgA0c5lC.jpg" TargetMode="External"/><Relationship Id="rId1355" Type="http://schemas.openxmlformats.org/officeDocument/2006/relationships/hyperlink" Target="https://pbs.twimg.com/media/Eu6rBNvXMAEMH4J.jpg" TargetMode="External"/><Relationship Id="rId1562" Type="http://schemas.openxmlformats.org/officeDocument/2006/relationships/hyperlink" Target="https://digiday.com/marketing/ai-is-being-used-to-recruit-and-onboard-talent/" TargetMode="External"/><Relationship Id="rId2406" Type="http://schemas.openxmlformats.org/officeDocument/2006/relationships/hyperlink" Target="https://bit.ly/3pJlEbQ" TargetMode="External"/><Relationship Id="rId2613" Type="http://schemas.openxmlformats.org/officeDocument/2006/relationships/hyperlink" Target="https://pbs.twimg.com/media/EuwIDTsWgAANnXT.jpg" TargetMode="External"/><Relationship Id="rId1008" Type="http://schemas.openxmlformats.org/officeDocument/2006/relationships/hyperlink" Target="https://www.linkedin.com/in/aleluciani/" TargetMode="External"/><Relationship Id="rId1215" Type="http://schemas.openxmlformats.org/officeDocument/2006/relationships/hyperlink" Target="http://www.syncedreview.com/" TargetMode="External"/><Relationship Id="rId1422" Type="http://schemas.openxmlformats.org/officeDocument/2006/relationships/hyperlink" Target="http://studentsuccessdata.com/" TargetMode="External"/><Relationship Id="rId2820" Type="http://schemas.openxmlformats.org/officeDocument/2006/relationships/hyperlink" Target="http://teraflow.ai/" TargetMode="External"/><Relationship Id="rId61" Type="http://schemas.openxmlformats.org/officeDocument/2006/relationships/hyperlink" Target="http://www.arshadaman.tech/" TargetMode="External"/><Relationship Id="rId3387" Type="http://schemas.openxmlformats.org/officeDocument/2006/relationships/hyperlink" Target="https://bit.ly/37zMzR5" TargetMode="External"/><Relationship Id="rId2196" Type="http://schemas.openxmlformats.org/officeDocument/2006/relationships/hyperlink" Target="http://provectus.com/" TargetMode="External"/><Relationship Id="rId3594" Type="http://schemas.openxmlformats.org/officeDocument/2006/relationships/hyperlink" Target="http://pic.twitter.com/FUIbqdtu2z" TargetMode="External"/><Relationship Id="rId168" Type="http://schemas.openxmlformats.org/officeDocument/2006/relationships/hyperlink" Target="https://pbs.twimg.com/media/Eu7dis7XAAEzW7I.jpg" TargetMode="External"/><Relationship Id="rId3247" Type="http://schemas.openxmlformats.org/officeDocument/2006/relationships/hyperlink" Target="https://choyou.com/" TargetMode="External"/><Relationship Id="rId3454" Type="http://schemas.openxmlformats.org/officeDocument/2006/relationships/hyperlink" Target="http://www.alpins.de/" TargetMode="External"/><Relationship Id="rId3661" Type="http://schemas.openxmlformats.org/officeDocument/2006/relationships/hyperlink" Target="https://pbs.twimg.com/media/Eu4qcmsUcAYzMMO.jpg" TargetMode="External"/><Relationship Id="rId375" Type="http://schemas.openxmlformats.org/officeDocument/2006/relationships/hyperlink" Target="http://www.enredo.org/" TargetMode="External"/><Relationship Id="rId582" Type="http://schemas.openxmlformats.org/officeDocument/2006/relationships/hyperlink" Target="http://fakerfact.org/" TargetMode="External"/><Relationship Id="rId2056" Type="http://schemas.openxmlformats.org/officeDocument/2006/relationships/hyperlink" Target="https://pbs.twimg.com/media/Eu6L7HAVcAIx0Vd.png" TargetMode="External"/><Relationship Id="rId2263" Type="http://schemas.openxmlformats.org/officeDocument/2006/relationships/hyperlink" Target="https://viso.ai/deep-learning/object-detection/" TargetMode="External"/><Relationship Id="rId2470" Type="http://schemas.openxmlformats.org/officeDocument/2006/relationships/hyperlink" Target="http://www.ipfconline.fr/contact-eng.html" TargetMode="External"/><Relationship Id="rId3107" Type="http://schemas.openxmlformats.org/officeDocument/2006/relationships/hyperlink" Target="http://www.recodeminds.com/" TargetMode="External"/><Relationship Id="rId3314" Type="http://schemas.openxmlformats.org/officeDocument/2006/relationships/hyperlink" Target="http://ow.ly/aAsJ30ry0Yf" TargetMode="External"/><Relationship Id="rId3521" Type="http://schemas.openxmlformats.org/officeDocument/2006/relationships/hyperlink" Target="http://pic.twitter.com/PUsNfRb2Vj" TargetMode="External"/><Relationship Id="rId235" Type="http://schemas.openxmlformats.org/officeDocument/2006/relationships/hyperlink" Target="http://www.reveleer.com/" TargetMode="External"/><Relationship Id="rId442" Type="http://schemas.openxmlformats.org/officeDocument/2006/relationships/hyperlink" Target="https://bit.ly/2ZERFXX" TargetMode="External"/><Relationship Id="rId1072" Type="http://schemas.openxmlformats.org/officeDocument/2006/relationships/hyperlink" Target="https://www.linkedin.com/pub/william-ramarques/25/175/1a0" TargetMode="External"/><Relationship Id="rId2123" Type="http://schemas.openxmlformats.org/officeDocument/2006/relationships/hyperlink" Target="http://instagram.com/simonper" TargetMode="External"/><Relationship Id="rId2330" Type="http://schemas.openxmlformats.org/officeDocument/2006/relationships/hyperlink" Target="https://ift.tt/2OTg61t" TargetMode="External"/><Relationship Id="rId302" Type="http://schemas.openxmlformats.org/officeDocument/2006/relationships/hyperlink" Target="http://htor.inf.ethz.ch/" TargetMode="External"/><Relationship Id="rId4088" Type="http://schemas.openxmlformats.org/officeDocument/2006/relationships/hyperlink" Target="https://www.innovationmerge.com/" TargetMode="External"/><Relationship Id="rId1889" Type="http://schemas.openxmlformats.org/officeDocument/2006/relationships/hyperlink" Target="http://www.reformreality.com/" TargetMode="External"/><Relationship Id="rId4155" Type="http://schemas.openxmlformats.org/officeDocument/2006/relationships/hyperlink" Target="https://www.reddit.com/r/MachineLearning/comments/lpvb1z/r_calibrate_before_use_improving_fewshot/" TargetMode="External"/><Relationship Id="rId1749" Type="http://schemas.openxmlformats.org/officeDocument/2006/relationships/hyperlink" Target="https://pbs.twimg.com/media/Eu6a3h8XEAMh3SL.jpg" TargetMode="External"/><Relationship Id="rId1956" Type="http://schemas.openxmlformats.org/officeDocument/2006/relationships/hyperlink" Target="http://dlvr.it/RtJNFC" TargetMode="External"/><Relationship Id="rId3171" Type="http://schemas.openxmlformats.org/officeDocument/2006/relationships/hyperlink" Target="http://www.linkedin.com/in/sajid-mirza1" TargetMode="External"/><Relationship Id="rId4015" Type="http://schemas.openxmlformats.org/officeDocument/2006/relationships/hyperlink" Target="https://pbs.twimg.com/media/Eu4ENswXAAIuE_G.jpg" TargetMode="External"/><Relationship Id="rId1609" Type="http://schemas.openxmlformats.org/officeDocument/2006/relationships/hyperlink" Target="https://www.quantib.com/blog/https/www.quantib.com/blog/how-does-deep-learning-in-radiology-work" TargetMode="External"/><Relationship Id="rId1816" Type="http://schemas.openxmlformats.org/officeDocument/2006/relationships/hyperlink" Target="https://www.abtassociates.com/insights/podcast/data-racial-equity-how-do-we-eliminate-bias-from-ai-machine-learning-and-more?utm_campaign=data_is_biased_by_centuri&amp;utm_content=1613581317&amp;utm_medium=twitter&amp;utm_source=abtassociates" TargetMode="External"/><Relationship Id="rId4222" Type="http://schemas.openxmlformats.org/officeDocument/2006/relationships/hyperlink" Target="https://threatwatch.io/" TargetMode="External"/><Relationship Id="rId3031" Type="http://schemas.openxmlformats.org/officeDocument/2006/relationships/hyperlink" Target="https://pbs.twimg.com/media/Eu5bTDkXcAAtITZ.jpg" TargetMode="External"/><Relationship Id="rId3988" Type="http://schemas.openxmlformats.org/officeDocument/2006/relationships/hyperlink" Target="https://ca.linkedin.com/in/mikedewaal" TargetMode="External"/><Relationship Id="rId2797" Type="http://schemas.openxmlformats.org/officeDocument/2006/relationships/hyperlink" Target="http://pic.twitter.com/GEdI820PjP" TargetMode="External"/><Relationship Id="rId3848" Type="http://schemas.openxmlformats.org/officeDocument/2006/relationships/hyperlink" Target="https://hubs.ly/H0GXlX90" TargetMode="External"/><Relationship Id="rId769" Type="http://schemas.openxmlformats.org/officeDocument/2006/relationships/hyperlink" Target="https://pbs.twimg.com/media/Eu7EqYyWYAk58Sd.jpg" TargetMode="External"/><Relationship Id="rId976" Type="http://schemas.openxmlformats.org/officeDocument/2006/relationships/hyperlink" Target="https://www.ienupm.com/" TargetMode="External"/><Relationship Id="rId1399" Type="http://schemas.openxmlformats.org/officeDocument/2006/relationships/hyperlink" Target="https://pbs.twimg.com/media/Eu6pF3OXMAcml6a.jpg" TargetMode="External"/><Relationship Id="rId2657" Type="http://schemas.openxmlformats.org/officeDocument/2006/relationships/hyperlink" Target="https://pbs.twimg.com/media/Eu5rheeXEAAy9Lu.jpg" TargetMode="External"/><Relationship Id="rId629" Type="http://schemas.openxmlformats.org/officeDocument/2006/relationships/hyperlink" Target="http://bit.ly/3rKAQXs" TargetMode="External"/><Relationship Id="rId1259" Type="http://schemas.openxmlformats.org/officeDocument/2006/relationships/hyperlink" Target="https://pbs.twimg.com/media/Eu6vwJbVgAE5qJ6.jpg" TargetMode="External"/><Relationship Id="rId1466" Type="http://schemas.openxmlformats.org/officeDocument/2006/relationships/hyperlink" Target="https://bit.ly/3sfDiW1" TargetMode="External"/><Relationship Id="rId2864" Type="http://schemas.openxmlformats.org/officeDocument/2006/relationships/hyperlink" Target="https://www.linkedin.com/in/iainljbrown/" TargetMode="External"/><Relationship Id="rId3708" Type="http://schemas.openxmlformats.org/officeDocument/2006/relationships/hyperlink" Target="https://pbs.twimg.com/media/Eu4l8zdVIAcf-Yk.png" TargetMode="External"/><Relationship Id="rId3915" Type="http://schemas.openxmlformats.org/officeDocument/2006/relationships/hyperlink" Target="https://ocw.mit.edu/courses/electrical-engineering-and-computer-science/6-s897-machine-learning-for-healthcare-spring-2019/" TargetMode="External"/><Relationship Id="rId836" Type="http://schemas.openxmlformats.org/officeDocument/2006/relationships/hyperlink" Target="https://pbs.twimg.com/media/Eu2J_MUXcAAL0EZ.jpg" TargetMode="External"/><Relationship Id="rId1119" Type="http://schemas.openxmlformats.org/officeDocument/2006/relationships/hyperlink" Target="https://sprou.tt/1QPvI7417jV" TargetMode="External"/><Relationship Id="rId1673" Type="http://schemas.openxmlformats.org/officeDocument/2006/relationships/hyperlink" Target="https://hubs.ly/H0GVqzR0" TargetMode="External"/><Relationship Id="rId1880" Type="http://schemas.openxmlformats.org/officeDocument/2006/relationships/hyperlink" Target="https://ift.tt/2ZKxJmt" TargetMode="External"/><Relationship Id="rId2517" Type="http://schemas.openxmlformats.org/officeDocument/2006/relationships/hyperlink" Target="http://www.linkedin.com/pub/frank-vullers/3/503/51a" TargetMode="External"/><Relationship Id="rId2724" Type="http://schemas.openxmlformats.org/officeDocument/2006/relationships/hyperlink" Target="http://kgourgou.me/" TargetMode="External"/><Relationship Id="rId2931" Type="http://schemas.openxmlformats.org/officeDocument/2006/relationships/hyperlink" Target="https://bit.ly/3sa6EFs" TargetMode="External"/><Relationship Id="rId903" Type="http://schemas.openxmlformats.org/officeDocument/2006/relationships/hyperlink" Target="https://amazonsagemakerfridays.splashthat.com/" TargetMode="External"/><Relationship Id="rId1326" Type="http://schemas.openxmlformats.org/officeDocument/2006/relationships/hyperlink" Target="https://www.darkwolfsolutions.com/" TargetMode="External"/><Relationship Id="rId1533" Type="http://schemas.openxmlformats.org/officeDocument/2006/relationships/hyperlink" Target="https://venturebeat.com/2021/02/23/fundguard-raises-12-million-to-help-manage-assets-with-ai/?utm_source=dlvr.it&amp;utm_medium=twitter" TargetMode="External"/><Relationship Id="rId1740" Type="http://schemas.openxmlformats.org/officeDocument/2006/relationships/hyperlink" Target="https://www.reddit.com/r/MachineLearning/" TargetMode="External"/><Relationship Id="rId32" Type="http://schemas.openxmlformats.org/officeDocument/2006/relationships/hyperlink" Target="https://pbs.twimg.com/media/Eu7jQP6XIAEJDvp.jpg" TargetMode="External"/><Relationship Id="rId1600" Type="http://schemas.openxmlformats.org/officeDocument/2006/relationships/hyperlink" Target="https://machinelearningflx.com/" TargetMode="External"/><Relationship Id="rId3498" Type="http://schemas.openxmlformats.org/officeDocument/2006/relationships/hyperlink" Target="https://buff.ly/3dE2SjB" TargetMode="External"/><Relationship Id="rId3358" Type="http://schemas.openxmlformats.org/officeDocument/2006/relationships/hyperlink" Target="https://www.couponed12.com/" TargetMode="External"/><Relationship Id="rId3565" Type="http://schemas.openxmlformats.org/officeDocument/2006/relationships/hyperlink" Target="https://machinelearningflx.com/" TargetMode="External"/><Relationship Id="rId3772" Type="http://schemas.openxmlformats.org/officeDocument/2006/relationships/hyperlink" Target="https://pbs.twimg.com/media/Eu4gPqAXEAEHKZH.jpg" TargetMode="External"/><Relationship Id="rId279" Type="http://schemas.openxmlformats.org/officeDocument/2006/relationships/hyperlink" Target="https://pbs.twimg.com/media/Eu7Y-LjXIAI5POT.jpg" TargetMode="External"/><Relationship Id="rId486" Type="http://schemas.openxmlformats.org/officeDocument/2006/relationships/hyperlink" Target="https://lnkd.in/gWCY6hx" TargetMode="External"/><Relationship Id="rId693" Type="http://schemas.openxmlformats.org/officeDocument/2006/relationships/hyperlink" Target="http://essentials.news/future-of-ai" TargetMode="External"/><Relationship Id="rId2167" Type="http://schemas.openxmlformats.org/officeDocument/2006/relationships/hyperlink" Target="https://ift.tt/3qO1U7Z" TargetMode="External"/><Relationship Id="rId2374" Type="http://schemas.openxmlformats.org/officeDocument/2006/relationships/hyperlink" Target="http://dragonweaver.net/" TargetMode="External"/><Relationship Id="rId2581" Type="http://schemas.openxmlformats.org/officeDocument/2006/relationships/hyperlink" Target="https://www.programming-hero.com/" TargetMode="External"/><Relationship Id="rId3218" Type="http://schemas.openxmlformats.org/officeDocument/2006/relationships/hyperlink" Target="https://www.dialecticsofnature.com/post/are-we-all-misaligned" TargetMode="External"/><Relationship Id="rId3425" Type="http://schemas.openxmlformats.org/officeDocument/2006/relationships/hyperlink" Target="https://www.veracitiz.com/" TargetMode="External"/><Relationship Id="rId3632" Type="http://schemas.openxmlformats.org/officeDocument/2006/relationships/hyperlink" Target="http://www.marktechpost.com/" TargetMode="External"/><Relationship Id="rId139" Type="http://schemas.openxmlformats.org/officeDocument/2006/relationships/hyperlink" Target="http://www.itnumeric.com/?p=46355" TargetMode="External"/><Relationship Id="rId346" Type="http://schemas.openxmlformats.org/officeDocument/2006/relationships/hyperlink" Target="http://pic.twitter.com/ie5nQhU4GM" TargetMode="External"/><Relationship Id="rId553" Type="http://schemas.openxmlformats.org/officeDocument/2006/relationships/hyperlink" Target="https://pbs.twimg.com/media/Eu7Nhj7VoAY1TnL.jpg" TargetMode="External"/><Relationship Id="rId760" Type="http://schemas.openxmlformats.org/officeDocument/2006/relationships/hyperlink" Target="https://youtu.be/7sMhvLn02P8" TargetMode="External"/><Relationship Id="rId1183" Type="http://schemas.openxmlformats.org/officeDocument/2006/relationships/hyperlink" Target="https://www.techrepublic.com/article/what-cios-need-to-know-about-adding-ai-to-their-processes/" TargetMode="External"/><Relationship Id="rId1390" Type="http://schemas.openxmlformats.org/officeDocument/2006/relationships/hyperlink" Target="http://notreal.ai/" TargetMode="External"/><Relationship Id="rId2027" Type="http://schemas.openxmlformats.org/officeDocument/2006/relationships/hyperlink" Target="https://pbs.twimg.com/media/Eu6NfckWgAUBAYq.jpg" TargetMode="External"/><Relationship Id="rId2234" Type="http://schemas.openxmlformats.org/officeDocument/2006/relationships/hyperlink" Target="https://bit.ly/3pMpgd9" TargetMode="External"/><Relationship Id="rId2441" Type="http://schemas.openxmlformats.org/officeDocument/2006/relationships/hyperlink" Target="https://www.hw.ac.uk/uk/jobs/job-SVJDMzA3NDQ.htm" TargetMode="External"/><Relationship Id="rId206" Type="http://schemas.openxmlformats.org/officeDocument/2006/relationships/hyperlink" Target="https://pbs.twimg.com/media/Eu7bcRLWgAYcJIE.png" TargetMode="External"/><Relationship Id="rId413" Type="http://schemas.openxmlformats.org/officeDocument/2006/relationships/hyperlink" Target="https://pbs.twimg.com/media/Eu7TO39XYAABjLM.png" TargetMode="External"/><Relationship Id="rId1043" Type="http://schemas.openxmlformats.org/officeDocument/2006/relationships/hyperlink" Target="http://www.gppulipaka.org/" TargetMode="External"/><Relationship Id="rId4199" Type="http://schemas.openxmlformats.org/officeDocument/2006/relationships/hyperlink" Target="https://pbs.twimg.com/media/Eu3wovVXMAINYxe.jpg" TargetMode="External"/><Relationship Id="rId620" Type="http://schemas.openxmlformats.org/officeDocument/2006/relationships/hyperlink" Target="http://www.acuvate.com/" TargetMode="External"/><Relationship Id="rId1250" Type="http://schemas.openxmlformats.org/officeDocument/2006/relationships/hyperlink" Target="http://www.bioinspirationlab.org/" TargetMode="External"/><Relationship Id="rId2301" Type="http://schemas.openxmlformats.org/officeDocument/2006/relationships/hyperlink" Target="https://baumeister-consulting.de/" TargetMode="External"/><Relationship Id="rId4059" Type="http://schemas.openxmlformats.org/officeDocument/2006/relationships/hyperlink" Target="https://www.cnet.com/news/buy-an-amazon-echo-4th-gen-and-get-a-pair-of-philips-hue-bulbs-for-free/" TargetMode="External"/><Relationship Id="rId1110" Type="http://schemas.openxmlformats.org/officeDocument/2006/relationships/hyperlink" Target="https://pbs.twimg.com/media/Eu62senUYAUYwFm.jpg" TargetMode="External"/><Relationship Id="rId4266" Type="http://schemas.openxmlformats.org/officeDocument/2006/relationships/hyperlink" Target="https://techflx.com/product-category/books/" TargetMode="External"/><Relationship Id="rId1927" Type="http://schemas.openxmlformats.org/officeDocument/2006/relationships/hyperlink" Target="https://www.programming-hero.com/blog/10-steps-to-become-a-hacker.html" TargetMode="External"/><Relationship Id="rId3075" Type="http://schemas.openxmlformats.org/officeDocument/2006/relationships/hyperlink" Target="http://www.clairvoyantsoft.com/" TargetMode="External"/><Relationship Id="rId3282" Type="http://schemas.openxmlformats.org/officeDocument/2006/relationships/hyperlink" Target="https://pbs.twimg.com/media/Eu2NE1kXEAIUa-G.png" TargetMode="External"/><Relationship Id="rId4126" Type="http://schemas.openxmlformats.org/officeDocument/2006/relationships/hyperlink" Target="http://www.1qbit.com/" TargetMode="External"/><Relationship Id="rId2091" Type="http://schemas.openxmlformats.org/officeDocument/2006/relationships/hyperlink" Target="http://linkedin.com/in/sidheshwar-pandhare-0a47b7110" TargetMode="External"/><Relationship Id="rId3142" Type="http://schemas.openxmlformats.org/officeDocument/2006/relationships/hyperlink" Target="https://bit.ly/2W6jIxf" TargetMode="External"/><Relationship Id="rId270" Type="http://schemas.openxmlformats.org/officeDocument/2006/relationships/hyperlink" Target="https://venturebeat.com/2021/02/23/saltmine-raises-20-million-to-automate-office-space-design/?utm_source=dlvr.it&amp;utm_medium=twitter" TargetMode="External"/><Relationship Id="rId3002" Type="http://schemas.openxmlformats.org/officeDocument/2006/relationships/hyperlink" Target="http://www.thatneedle.com/" TargetMode="External"/><Relationship Id="rId130" Type="http://schemas.openxmlformats.org/officeDocument/2006/relationships/hyperlink" Target="https://aiml.events/events/applied-ai-summit-boston-2021?utm_source=twitter&amp;utm_medium=social&amp;utm_campaign=30days&amp;utm_content=Applied+AI+Summit+Boston+2021" TargetMode="External"/><Relationship Id="rId3959" Type="http://schemas.openxmlformats.org/officeDocument/2006/relationships/hyperlink" Target="http://neurons.ai/" TargetMode="External"/><Relationship Id="rId2768" Type="http://schemas.openxmlformats.org/officeDocument/2006/relationships/hyperlink" Target="https://www.plattform-lernende-systeme.de/konferenz-2021.html" TargetMode="External"/><Relationship Id="rId2975" Type="http://schemas.openxmlformats.org/officeDocument/2006/relationships/hyperlink" Target="http://about.me/innovate4good" TargetMode="External"/><Relationship Id="rId3819" Type="http://schemas.openxmlformats.org/officeDocument/2006/relationships/hyperlink" Target="https://towardsdatascience.com/visualizing-twitter-statistics-with-python-and-pandas-956125b369e5" TargetMode="External"/><Relationship Id="rId947" Type="http://schemas.openxmlformats.org/officeDocument/2006/relationships/hyperlink" Target="https://bbva.info/3kgiwCV" TargetMode="External"/><Relationship Id="rId1577" Type="http://schemas.openxmlformats.org/officeDocument/2006/relationships/hyperlink" Target="https://ift.tt/3pNGtTc" TargetMode="External"/><Relationship Id="rId1784" Type="http://schemas.openxmlformats.org/officeDocument/2006/relationships/hyperlink" Target="https://www.inexture.com/" TargetMode="External"/><Relationship Id="rId1991" Type="http://schemas.openxmlformats.org/officeDocument/2006/relationships/hyperlink" Target="https://pbs.twimg.com/media/Eu6PLiPXEAAfwk0.jpg" TargetMode="External"/><Relationship Id="rId2628" Type="http://schemas.openxmlformats.org/officeDocument/2006/relationships/hyperlink" Target="https://phys.org/news/2021-02-machine-theory-nature-science.amp?__twitter_impression=true" TargetMode="External"/><Relationship Id="rId2835" Type="http://schemas.openxmlformats.org/officeDocument/2006/relationships/hyperlink" Target="https://twitter.com/Theslimevids/status/1347173844759416832" TargetMode="External"/><Relationship Id="rId4190" Type="http://schemas.openxmlformats.org/officeDocument/2006/relationships/hyperlink" Target="https://twitter.com/TechAmazing/status/1363994794939346951" TargetMode="External"/><Relationship Id="rId76" Type="http://schemas.openxmlformats.org/officeDocument/2006/relationships/hyperlink" Target="https://pbs.twimg.com/media/Eu7hR1YXAAAl-0f.jpg" TargetMode="External"/><Relationship Id="rId807" Type="http://schemas.openxmlformats.org/officeDocument/2006/relationships/hyperlink" Target="http://bit.ly/37FjXGe" TargetMode="External"/><Relationship Id="rId1437" Type="http://schemas.openxmlformats.org/officeDocument/2006/relationships/hyperlink" Target="https://pbs.twimg.com/media/Eu6oGjoXUAIFIUE.jpg" TargetMode="External"/><Relationship Id="rId1644" Type="http://schemas.openxmlformats.org/officeDocument/2006/relationships/hyperlink" Target="https://machinelearningflx.com/" TargetMode="External"/><Relationship Id="rId1851" Type="http://schemas.openxmlformats.org/officeDocument/2006/relationships/hyperlink" Target="https://pbs.twimg.com/media/Eu6T6n3XUAc49kh.jpg" TargetMode="External"/><Relationship Id="rId2902" Type="http://schemas.openxmlformats.org/officeDocument/2006/relationships/hyperlink" Target="https://twitter.com/Theslimevids/status/1362021141020217345" TargetMode="External"/><Relationship Id="rId4050" Type="http://schemas.openxmlformats.org/officeDocument/2006/relationships/hyperlink" Target="http://www.margarisventures.com/" TargetMode="External"/><Relationship Id="rId1504" Type="http://schemas.openxmlformats.org/officeDocument/2006/relationships/hyperlink" Target="https://buff.ly/3sokQKT" TargetMode="External"/><Relationship Id="rId1711" Type="http://schemas.openxmlformats.org/officeDocument/2006/relationships/hyperlink" Target="https://i.send2press.com/zTEU2" TargetMode="External"/><Relationship Id="rId3469" Type="http://schemas.openxmlformats.org/officeDocument/2006/relationships/hyperlink" Target="https://atentec.com/" TargetMode="External"/><Relationship Id="rId3676" Type="http://schemas.openxmlformats.org/officeDocument/2006/relationships/hyperlink" Target="https://pbs.twimg.com/media/Eu3DUMKWgAAb1kK.jpg" TargetMode="External"/><Relationship Id="rId597" Type="http://schemas.openxmlformats.org/officeDocument/2006/relationships/hyperlink" Target="https://pbs.twimg.com/media/Eu7LsS9VcAMLSaX.jpg" TargetMode="External"/><Relationship Id="rId2278" Type="http://schemas.openxmlformats.org/officeDocument/2006/relationships/hyperlink" Target="https://twitter.com/rubiscape/status/1364166086191550465" TargetMode="External"/><Relationship Id="rId2485" Type="http://schemas.openxmlformats.org/officeDocument/2006/relationships/hyperlink" Target="https://www.itproportal.com/features/new-year-new-language/" TargetMode="External"/><Relationship Id="rId3329" Type="http://schemas.openxmlformats.org/officeDocument/2006/relationships/hyperlink" Target="https://deepai.org/publication/kbcnmujal-hasoc-dravidian-codemix-fire2020-using-machine-learning-for-detection-of-hate-speech-and-offensive-code-mixed-social-media-text" TargetMode="External"/><Relationship Id="rId3883" Type="http://schemas.openxmlformats.org/officeDocument/2006/relationships/hyperlink" Target="http://www.margarisventures.com/" TargetMode="External"/><Relationship Id="rId457" Type="http://schemas.openxmlformats.org/officeDocument/2006/relationships/hyperlink" Target="https://nvda.ws/3pAu8Sk" TargetMode="External"/><Relationship Id="rId1087" Type="http://schemas.openxmlformats.org/officeDocument/2006/relationships/hyperlink" Target="https://towardsdatascience.com/the-human-bias-accuracy-trade-off-ad95e3c612a9" TargetMode="External"/><Relationship Id="rId1294" Type="http://schemas.openxmlformats.org/officeDocument/2006/relationships/hyperlink" Target="http://andreina-francisco.github.io/" TargetMode="External"/><Relationship Id="rId2138" Type="http://schemas.openxmlformats.org/officeDocument/2006/relationships/hyperlink" Target="https://pbs.twimg.com/media/Eu6Gx1TXIAcVqbG.jpg" TargetMode="External"/><Relationship Id="rId2692" Type="http://schemas.openxmlformats.org/officeDocument/2006/relationships/hyperlink" Target="https://www.selfdrivingcars360.com/" TargetMode="External"/><Relationship Id="rId3536" Type="http://schemas.openxmlformats.org/officeDocument/2006/relationships/hyperlink" Target="http://github.com/amesk3" TargetMode="External"/><Relationship Id="rId3743" Type="http://schemas.openxmlformats.org/officeDocument/2006/relationships/hyperlink" Target="http://www.gppulipaka.org/" TargetMode="External"/><Relationship Id="rId3950" Type="http://schemas.openxmlformats.org/officeDocument/2006/relationships/hyperlink" Target="http://dlvr.it/RtGpR8" TargetMode="External"/><Relationship Id="rId664" Type="http://schemas.openxmlformats.org/officeDocument/2006/relationships/hyperlink" Target="http://pic.twitter.com/nPPXzvCwbu" TargetMode="External"/><Relationship Id="rId871" Type="http://schemas.openxmlformats.org/officeDocument/2006/relationships/hyperlink" Target="https://pbs.twimg.com/media/Eu7BepdUcAAzCuN.jpg" TargetMode="External"/><Relationship Id="rId2345" Type="http://schemas.openxmlformats.org/officeDocument/2006/relationships/hyperlink" Target="http://pic.twitter.com/spYdwfuFKu" TargetMode="External"/><Relationship Id="rId2552" Type="http://schemas.openxmlformats.org/officeDocument/2006/relationships/hyperlink" Target="https://twitter.com/MotorcycleTwitt" TargetMode="External"/><Relationship Id="rId3603" Type="http://schemas.openxmlformats.org/officeDocument/2006/relationships/hyperlink" Target="http://pic.twitter.com/MGPqnmTG8q" TargetMode="External"/><Relationship Id="rId3810" Type="http://schemas.openxmlformats.org/officeDocument/2006/relationships/hyperlink" Target="http://pic.twitter.com/5NPTZeFvgI" TargetMode="External"/><Relationship Id="rId317" Type="http://schemas.openxmlformats.org/officeDocument/2006/relationships/hyperlink" Target="http://www.technossus.com/" TargetMode="External"/><Relationship Id="rId524" Type="http://schemas.openxmlformats.org/officeDocument/2006/relationships/hyperlink" Target="https://datarishi.in/" TargetMode="External"/><Relationship Id="rId731" Type="http://schemas.openxmlformats.org/officeDocument/2006/relationships/hyperlink" Target="https://arxiv.org/pdf/2102.10423.pdf" TargetMode="External"/><Relationship Id="rId1154" Type="http://schemas.openxmlformats.org/officeDocument/2006/relationships/hyperlink" Target="https://pbs.twimg.com/media/Eu22RbeUYAEh3fM.jpg" TargetMode="External"/><Relationship Id="rId1361" Type="http://schemas.openxmlformats.org/officeDocument/2006/relationships/hyperlink" Target="https://linktr.ee/edgetech" TargetMode="External"/><Relationship Id="rId2205" Type="http://schemas.openxmlformats.org/officeDocument/2006/relationships/hyperlink" Target="http://pic.twitter.com/sY3DI2HwxQ" TargetMode="External"/><Relationship Id="rId2412" Type="http://schemas.openxmlformats.org/officeDocument/2006/relationships/hyperlink" Target="https://pbs.twimg.com/media/Eu541WfXUAAHjO-.jpg" TargetMode="External"/><Relationship Id="rId1014" Type="http://schemas.openxmlformats.org/officeDocument/2006/relationships/hyperlink" Target="http://www.burnstorm.com/" TargetMode="External"/><Relationship Id="rId1221" Type="http://schemas.openxmlformats.org/officeDocument/2006/relationships/hyperlink" Target="https://www.natlawreview.com/article/will-final-chapter-come-fda-s-action-plan-oversight-artificial-intelligencemachine" TargetMode="External"/><Relationship Id="rId3186" Type="http://schemas.openxmlformats.org/officeDocument/2006/relationships/hyperlink" Target="https://machinelearningflx.com/" TargetMode="External"/><Relationship Id="rId3393" Type="http://schemas.openxmlformats.org/officeDocument/2006/relationships/hyperlink" Target="http://neurons.ai/" TargetMode="External"/><Relationship Id="rId4237" Type="http://schemas.openxmlformats.org/officeDocument/2006/relationships/hyperlink" Target="http://tesseract.academy/" TargetMode="External"/><Relationship Id="rId3046" Type="http://schemas.openxmlformats.org/officeDocument/2006/relationships/hyperlink" Target="http://www.tampalini.net/" TargetMode="External"/><Relationship Id="rId3253" Type="http://schemas.openxmlformats.org/officeDocument/2006/relationships/hyperlink" Target="https://brainial.com/a-warm-welcome-for-pepijn-and-rogier-the-new-brainials/" TargetMode="External"/><Relationship Id="rId3460" Type="http://schemas.openxmlformats.org/officeDocument/2006/relationships/hyperlink" Target="https://via.socxo.net/MR3KFQwS0aYiw" TargetMode="External"/><Relationship Id="rId174" Type="http://schemas.openxmlformats.org/officeDocument/2006/relationships/hyperlink" Target="http://magnimindacademy.com/" TargetMode="External"/><Relationship Id="rId381" Type="http://schemas.openxmlformats.org/officeDocument/2006/relationships/hyperlink" Target="https://pbs.twimg.com/media/Eu7UX1kWgAIN5Ne.jpg" TargetMode="External"/><Relationship Id="rId2062" Type="http://schemas.openxmlformats.org/officeDocument/2006/relationships/hyperlink" Target="https://pbs.twimg.com/media/Eu6LaFsVkAED3EC.jpg" TargetMode="External"/><Relationship Id="rId3113" Type="http://schemas.openxmlformats.org/officeDocument/2006/relationships/hyperlink" Target="https://google.smh.re/1rr" TargetMode="External"/><Relationship Id="rId241" Type="http://schemas.openxmlformats.org/officeDocument/2006/relationships/hyperlink" Target="http://www.globalbigdataconference.com/santa-clara/global-artificial-intelligence-virtual-bootcamp/s" TargetMode="External"/><Relationship Id="rId3320" Type="http://schemas.openxmlformats.org/officeDocument/2006/relationships/hyperlink" Target="http://ipfconline.fr/contacts-eng.html" TargetMode="External"/><Relationship Id="rId2879" Type="http://schemas.openxmlformats.org/officeDocument/2006/relationships/hyperlink" Target="https://neurons.ai/blog/news-stories/machine-learning-as-a-service-mlaas-market-2021-industry-analysis-by-application-emerging/" TargetMode="External"/><Relationship Id="rId101" Type="http://schemas.openxmlformats.org/officeDocument/2006/relationships/hyperlink" Target="https://www.bloomberg.com/news/articles/2021-02-23/t-cell-screening-test-launched-to-detect-prior-covid-infections" TargetMode="External"/><Relationship Id="rId1688" Type="http://schemas.openxmlformats.org/officeDocument/2006/relationships/hyperlink" Target="https://www.digitalinsuranceagenda.com/featured-insurtechs/whats-happening-in-the-dia-community-vol-13/?utm_source=agorapulse&amp;utm_medium=cybercube" TargetMode="External"/><Relationship Id="rId1895" Type="http://schemas.openxmlformats.org/officeDocument/2006/relationships/hyperlink" Target="http://www.whyyoushouldgogreen.com/" TargetMode="External"/><Relationship Id="rId2739" Type="http://schemas.openxmlformats.org/officeDocument/2006/relationships/hyperlink" Target="https://arxiv.org/abs/2102.10936" TargetMode="External"/><Relationship Id="rId2946" Type="http://schemas.openxmlformats.org/officeDocument/2006/relationships/hyperlink" Target="https://bit.ly/3k0IWJ1" TargetMode="External"/><Relationship Id="rId4094" Type="http://schemas.openxmlformats.org/officeDocument/2006/relationships/hyperlink" Target="https://pbs.twimg.com/media/Eu388gbVEAQ99vn.jpg" TargetMode="External"/><Relationship Id="rId918" Type="http://schemas.openxmlformats.org/officeDocument/2006/relationships/hyperlink" Target="https://amzn.to/3bBdrRK" TargetMode="External"/><Relationship Id="rId1548" Type="http://schemas.openxmlformats.org/officeDocument/2006/relationships/hyperlink" Target="https://pbs.twimg.com/media/Eu6irolXMAgMV25.jpg" TargetMode="External"/><Relationship Id="rId1755" Type="http://schemas.openxmlformats.org/officeDocument/2006/relationships/hyperlink" Target="http://www.necio.ch/" TargetMode="External"/><Relationship Id="rId4161" Type="http://schemas.openxmlformats.org/officeDocument/2006/relationships/hyperlink" Target="http://pic.twitter.com/iU63mV742T" TargetMode="External"/><Relationship Id="rId1408" Type="http://schemas.openxmlformats.org/officeDocument/2006/relationships/hyperlink" Target="https://buff.ly/2NBiFoj" TargetMode="External"/><Relationship Id="rId1962" Type="http://schemas.openxmlformats.org/officeDocument/2006/relationships/hyperlink" Target="https://pbs.twimg.com/media/Eu6Qnf1XAAENgTd.jpg" TargetMode="External"/><Relationship Id="rId2806" Type="http://schemas.openxmlformats.org/officeDocument/2006/relationships/hyperlink" Target="https://www.sdxcentral.com/" TargetMode="External"/><Relationship Id="rId4021" Type="http://schemas.openxmlformats.org/officeDocument/2006/relationships/hyperlink" Target="https://cotemponet.blogspot.com/2021/02/data-science-real-world-projects-in.html" TargetMode="External"/><Relationship Id="rId47" Type="http://schemas.openxmlformats.org/officeDocument/2006/relationships/hyperlink" Target="https://venturebeat.com/2021/02/23/saltmine-raises-20-million-to-automate-office-space-design/" TargetMode="External"/><Relationship Id="rId1615" Type="http://schemas.openxmlformats.org/officeDocument/2006/relationships/hyperlink" Target="https://jeffhale.net/" TargetMode="External"/><Relationship Id="rId1822" Type="http://schemas.openxmlformats.org/officeDocument/2006/relationships/hyperlink" Target="https://pbs.twimg.com/media/Eu6WfWYXEAAonq9.jpg" TargetMode="External"/><Relationship Id="rId3787" Type="http://schemas.openxmlformats.org/officeDocument/2006/relationships/hyperlink" Target="https://www.linkedin.com/in/eric-feuilleaubois-ph-d-43ab0925/" TargetMode="External"/><Relationship Id="rId3994" Type="http://schemas.openxmlformats.org/officeDocument/2006/relationships/hyperlink" Target="https://paullopez.ai/" TargetMode="External"/><Relationship Id="rId2389" Type="http://schemas.openxmlformats.org/officeDocument/2006/relationships/hyperlink" Target="https://www.eletimes.com/the-first-no-code-voice-ai-platform-for-microcontrollers" TargetMode="External"/><Relationship Id="rId2596" Type="http://schemas.openxmlformats.org/officeDocument/2006/relationships/hyperlink" Target="https://www.etsy.com/shop/AdPositive" TargetMode="External"/><Relationship Id="rId3647" Type="http://schemas.openxmlformats.org/officeDocument/2006/relationships/hyperlink" Target="https://pbs.twimg.com/media/Eu4smq_XYAAUdk1.jpg" TargetMode="External"/><Relationship Id="rId3854" Type="http://schemas.openxmlformats.org/officeDocument/2006/relationships/hyperlink" Target="https://buff.ly/3sjyxeo" TargetMode="External"/><Relationship Id="rId568" Type="http://schemas.openxmlformats.org/officeDocument/2006/relationships/hyperlink" Target="https://www.extensionschool.ch/" TargetMode="External"/><Relationship Id="rId775" Type="http://schemas.openxmlformats.org/officeDocument/2006/relationships/hyperlink" Target="https://pbs.twimg.com/media/Eu7EiZPWgAQVerX.jpg" TargetMode="External"/><Relationship Id="rId982" Type="http://schemas.openxmlformats.org/officeDocument/2006/relationships/hyperlink" Target="https://icloudseven.com/4-tipos-de-analitica-que-seran-la-clave-para-la-toma-de-decisiones/" TargetMode="External"/><Relationship Id="rId1198" Type="http://schemas.openxmlformats.org/officeDocument/2006/relationships/hyperlink" Target="https://academic.oup.com/advances/advance-article-abstract/doi/10.1093/advances/nmaa183/6145052" TargetMode="External"/><Relationship Id="rId2249" Type="http://schemas.openxmlformats.org/officeDocument/2006/relationships/hyperlink" Target="https://www.linkedin.com/in/mmasensi/" TargetMode="External"/><Relationship Id="rId2456" Type="http://schemas.openxmlformats.org/officeDocument/2006/relationships/hyperlink" Target="https://neurons.ai/blog/news-stories/unravelling-transfer-learning-to-make-machines-more-advanced/" TargetMode="External"/><Relationship Id="rId2663" Type="http://schemas.openxmlformats.org/officeDocument/2006/relationships/hyperlink" Target="https://pbs.twimg.com/media/Eu5rUpXXAAA4E-d.jpg" TargetMode="External"/><Relationship Id="rId2870" Type="http://schemas.openxmlformats.org/officeDocument/2006/relationships/hyperlink" Target="https://www.linkedin.com/in/iainljbrown/" TargetMode="External"/><Relationship Id="rId3507" Type="http://schemas.openxmlformats.org/officeDocument/2006/relationships/hyperlink" Target="http://www.corizance.com/" TargetMode="External"/><Relationship Id="rId3714" Type="http://schemas.openxmlformats.org/officeDocument/2006/relationships/hyperlink" Target="https://pbs.twimg.com/media/Eu4lHB9U4AARS2h.jpg" TargetMode="External"/><Relationship Id="rId3921" Type="http://schemas.openxmlformats.org/officeDocument/2006/relationships/hyperlink" Target="https://pbs.twimg.com/media/Eu3OY0LVoAI6stR.png" TargetMode="External"/><Relationship Id="rId428" Type="http://schemas.openxmlformats.org/officeDocument/2006/relationships/hyperlink" Target="http://7wd.at/yvesmulkers" TargetMode="External"/><Relationship Id="rId635" Type="http://schemas.openxmlformats.org/officeDocument/2006/relationships/hyperlink" Target="https://www.visive.ai/" TargetMode="External"/><Relationship Id="rId842" Type="http://schemas.openxmlformats.org/officeDocument/2006/relationships/hyperlink" Target="https://h3tech.dev/" TargetMode="External"/><Relationship Id="rId1058" Type="http://schemas.openxmlformats.org/officeDocument/2006/relationships/hyperlink" Target="https://pbs.twimg.com/media/Eu64jYGXcAERLc9.jpg" TargetMode="External"/><Relationship Id="rId1265" Type="http://schemas.openxmlformats.org/officeDocument/2006/relationships/hyperlink" Target="https://codewithmosh.com/?affcode=146684_8qgz9mhy" TargetMode="External"/><Relationship Id="rId1472" Type="http://schemas.openxmlformats.org/officeDocument/2006/relationships/hyperlink" Target="https://pbs.twimg.com/media/Eu6mDknWQAUbbkQ.png" TargetMode="External"/><Relationship Id="rId2109" Type="http://schemas.openxmlformats.org/officeDocument/2006/relationships/hyperlink" Target="https://twitter.com/_TechMode/status/1363824609741611020" TargetMode="External"/><Relationship Id="rId2316" Type="http://schemas.openxmlformats.org/officeDocument/2006/relationships/hyperlink" Target="https://medium.com/@alexrachnog" TargetMode="External"/><Relationship Id="rId2523" Type="http://schemas.openxmlformats.org/officeDocument/2006/relationships/hyperlink" Target="https://technative.io/the-fintech-future-accelerating-the-ai-ml-journey/" TargetMode="External"/><Relationship Id="rId2730" Type="http://schemas.openxmlformats.org/officeDocument/2006/relationships/hyperlink" Target="https://www.jucktion.com/forum/udemy-coupon/azure-machine-learning-studio-19-99-to-free-turkishml-machinelearning-iot-linux-/" TargetMode="External"/><Relationship Id="rId702" Type="http://schemas.openxmlformats.org/officeDocument/2006/relationships/hyperlink" Target="https://buff.ly/3t4FYad" TargetMode="External"/><Relationship Id="rId1125" Type="http://schemas.openxmlformats.org/officeDocument/2006/relationships/hyperlink" Target="https://www.ecgmc.com/thought-leadership/blog/healthcare-executives-outlook-on-2021" TargetMode="External"/><Relationship Id="rId1332" Type="http://schemas.openxmlformats.org/officeDocument/2006/relationships/hyperlink" Target="http://pic.twitter.com/wXL7r1I5Dn" TargetMode="External"/><Relationship Id="rId3297" Type="http://schemas.openxmlformats.org/officeDocument/2006/relationships/hyperlink" Target="https://www.wired.co.uk/article/google-chrome-cookies-third-party-ads" TargetMode="External"/><Relationship Id="rId3157" Type="http://schemas.openxmlformats.org/officeDocument/2006/relationships/hyperlink" Target="http://ow.ly/7sZA30rxXap" TargetMode="External"/><Relationship Id="rId285" Type="http://schemas.openxmlformats.org/officeDocument/2006/relationships/hyperlink" Target="http://www.synergyit.ca/" TargetMode="External"/><Relationship Id="rId3364" Type="http://schemas.openxmlformats.org/officeDocument/2006/relationships/hyperlink" Target="https://machinelearningflx.com/" TargetMode="External"/><Relationship Id="rId3571" Type="http://schemas.openxmlformats.org/officeDocument/2006/relationships/hyperlink" Target="https://pbs.twimg.com/media/Eu4zYxhWQAAKe0i.jpg" TargetMode="External"/><Relationship Id="rId4208" Type="http://schemas.openxmlformats.org/officeDocument/2006/relationships/hyperlink" Target="http://bit.ly/2LXAYC8" TargetMode="External"/><Relationship Id="rId492" Type="http://schemas.openxmlformats.org/officeDocument/2006/relationships/hyperlink" Target="https://pbs.twimg.com/media/Eu7OszKVIAMkoMe.jpg" TargetMode="External"/><Relationship Id="rId2173" Type="http://schemas.openxmlformats.org/officeDocument/2006/relationships/hyperlink" Target="https://www.fiverr.com/share/6XmGwP" TargetMode="External"/><Relationship Id="rId2380" Type="http://schemas.openxmlformats.org/officeDocument/2006/relationships/hyperlink" Target="http://datacoast.in/" TargetMode="External"/><Relationship Id="rId3017" Type="http://schemas.openxmlformats.org/officeDocument/2006/relationships/hyperlink" Target="https://superdigital.agency/" TargetMode="External"/><Relationship Id="rId3224" Type="http://schemas.openxmlformats.org/officeDocument/2006/relationships/hyperlink" Target="http://www.camera-module.com/" TargetMode="External"/><Relationship Id="rId3431" Type="http://schemas.openxmlformats.org/officeDocument/2006/relationships/hyperlink" Target="http://facebook.com/alvaro.sebastian.macias" TargetMode="External"/><Relationship Id="rId145" Type="http://schemas.openxmlformats.org/officeDocument/2006/relationships/hyperlink" Target="https://pbs.twimg.com/media/EumAiT6XIAUNzv8.jpg" TargetMode="External"/><Relationship Id="rId352" Type="http://schemas.openxmlformats.org/officeDocument/2006/relationships/hyperlink" Target="https://pbs.twimg.com/media/Eu7VjevWQAgS4CY.jpg" TargetMode="External"/><Relationship Id="rId2033" Type="http://schemas.openxmlformats.org/officeDocument/2006/relationships/hyperlink" Target="http://ipfconline.fr/contacts-eng.html" TargetMode="External"/><Relationship Id="rId2240" Type="http://schemas.openxmlformats.org/officeDocument/2006/relationships/hyperlink" Target="https://pbs.twimg.com/media/Eu6B1lrWgAcvuaa.jpg" TargetMode="External"/><Relationship Id="rId212" Type="http://schemas.openxmlformats.org/officeDocument/2006/relationships/hyperlink" Target="http://www.sumillion.com/" TargetMode="External"/><Relationship Id="rId1799" Type="http://schemas.openxmlformats.org/officeDocument/2006/relationships/hyperlink" Target="https://pbs.twimg.com/media/Eu6M4t7XAAIWDKA.jpg" TargetMode="External"/><Relationship Id="rId2100" Type="http://schemas.openxmlformats.org/officeDocument/2006/relationships/hyperlink" Target="http://jobhunt.ai/" TargetMode="External"/><Relationship Id="rId4065" Type="http://schemas.openxmlformats.org/officeDocument/2006/relationships/hyperlink" Target="http://www.heliosantos.org/" TargetMode="External"/><Relationship Id="rId4272" Type="http://schemas.openxmlformats.org/officeDocument/2006/relationships/hyperlink" Target="https://twitter.com/zachking/status/1185688146266083329" TargetMode="External"/><Relationship Id="rId1659" Type="http://schemas.openxmlformats.org/officeDocument/2006/relationships/hyperlink" Target="https://dataka.globalunderdog.com/" TargetMode="External"/><Relationship Id="rId1866" Type="http://schemas.openxmlformats.org/officeDocument/2006/relationships/hyperlink" Target="https://pbs.twimg.com/media/Eu6UYvUXUAIN0V7.png" TargetMode="External"/><Relationship Id="rId2917" Type="http://schemas.openxmlformats.org/officeDocument/2006/relationships/hyperlink" Target="https://pbs.twimg.com/media/Eu5TDGZXEAAI26Z.jpg" TargetMode="External"/><Relationship Id="rId3081" Type="http://schemas.openxmlformats.org/officeDocument/2006/relationships/hyperlink" Target="https://toncarrera.com/" TargetMode="External"/><Relationship Id="rId4132" Type="http://schemas.openxmlformats.org/officeDocument/2006/relationships/hyperlink" Target="https://stuf.in/b54v8w" TargetMode="External"/><Relationship Id="rId1519" Type="http://schemas.openxmlformats.org/officeDocument/2006/relationships/hyperlink" Target="https://pbs.twimg.com/media/Eu6kJzxXcAY73Gw.jpg" TargetMode="External"/><Relationship Id="rId1726" Type="http://schemas.openxmlformats.org/officeDocument/2006/relationships/hyperlink" Target="https://www.machinecurve.com/index.php/2021/01/19/visualizing-transformer-behavior-with-ecco/" TargetMode="External"/><Relationship Id="rId1933" Type="http://schemas.openxmlformats.org/officeDocument/2006/relationships/hyperlink" Target="https://pbs.twimg.com/media/EmYQI_WUcAACBVE.jpg" TargetMode="External"/><Relationship Id="rId18" Type="http://schemas.openxmlformats.org/officeDocument/2006/relationships/hyperlink" Target="http://ipfconline.fr/contacts-eng.html" TargetMode="External"/><Relationship Id="rId3898" Type="http://schemas.openxmlformats.org/officeDocument/2006/relationships/hyperlink" Target="https://ift.tt/3bu9JJH" TargetMode="External"/><Relationship Id="rId3758" Type="http://schemas.openxmlformats.org/officeDocument/2006/relationships/hyperlink" Target="https://okt.to/TwYIPZ" TargetMode="External"/><Relationship Id="rId3965" Type="http://schemas.openxmlformats.org/officeDocument/2006/relationships/hyperlink" Target="http://www.couponfree.uk/2019/08/deep-learning-with-python-and-keras.html" TargetMode="External"/><Relationship Id="rId679" Type="http://schemas.openxmlformats.org/officeDocument/2006/relationships/hyperlink" Target="https://bit.ly/2ZKt7MY" TargetMode="External"/><Relationship Id="rId886" Type="http://schemas.openxmlformats.org/officeDocument/2006/relationships/hyperlink" Target="http://www.techsandiego.org/" TargetMode="External"/><Relationship Id="rId2567" Type="http://schemas.openxmlformats.org/officeDocument/2006/relationships/hyperlink" Target="http://ai.stanford.edu/blog/weak-supervision/" TargetMode="External"/><Relationship Id="rId2774" Type="http://schemas.openxmlformats.org/officeDocument/2006/relationships/hyperlink" Target="https://pbs.twimg.com/media/Eu5lm_vXMAQQGgB.jpg" TargetMode="External"/><Relationship Id="rId3618" Type="http://schemas.openxmlformats.org/officeDocument/2006/relationships/hyperlink" Target="https://paullopez.ai/" TargetMode="External"/><Relationship Id="rId2" Type="http://schemas.openxmlformats.org/officeDocument/2006/relationships/hyperlink" Target="https://www.sefiks.com/" TargetMode="External"/><Relationship Id="rId539" Type="http://schemas.openxmlformats.org/officeDocument/2006/relationships/hyperlink" Target="https://bit.ly/3aJqUIa" TargetMode="External"/><Relationship Id="rId746" Type="http://schemas.openxmlformats.org/officeDocument/2006/relationships/hyperlink" Target="http://skyl.ai/" TargetMode="External"/><Relationship Id="rId1169" Type="http://schemas.openxmlformats.org/officeDocument/2006/relationships/hyperlink" Target="http://www.biorankings.com/" TargetMode="External"/><Relationship Id="rId1376" Type="http://schemas.openxmlformats.org/officeDocument/2006/relationships/hyperlink" Target="http://smartlogic.com/" TargetMode="External"/><Relationship Id="rId1583" Type="http://schemas.openxmlformats.org/officeDocument/2006/relationships/hyperlink" Target="https://pbs.twimg.com/media/Eu6dclbU4AIisKM.jpg" TargetMode="External"/><Relationship Id="rId2427" Type="http://schemas.openxmlformats.org/officeDocument/2006/relationships/hyperlink" Target="http://www.linkedin.com/in/katherine-munro" TargetMode="External"/><Relationship Id="rId2981" Type="http://schemas.openxmlformats.org/officeDocument/2006/relationships/hyperlink" Target="http://www.aspira.ie/" TargetMode="External"/><Relationship Id="rId3825" Type="http://schemas.openxmlformats.org/officeDocument/2006/relationships/hyperlink" Target="https://pbs.twimg.com/media/Eu4EUmfWQAYN7Qy.jpg" TargetMode="External"/><Relationship Id="rId953" Type="http://schemas.openxmlformats.org/officeDocument/2006/relationships/hyperlink" Target="http://www.gppulipaka.org/" TargetMode="External"/><Relationship Id="rId1029" Type="http://schemas.openxmlformats.org/officeDocument/2006/relationships/hyperlink" Target="https://pub.towardsai.net/" TargetMode="External"/><Relationship Id="rId1236" Type="http://schemas.openxmlformats.org/officeDocument/2006/relationships/hyperlink" Target="https://pbs.twimg.com/media/Eu6xlZKXUAES933.jpg" TargetMode="External"/><Relationship Id="rId1790" Type="http://schemas.openxmlformats.org/officeDocument/2006/relationships/hyperlink" Target="https://buff.ly/2NZfJQ4" TargetMode="External"/><Relationship Id="rId2634" Type="http://schemas.openxmlformats.org/officeDocument/2006/relationships/hyperlink" Target="http://medium.com/theymakedesign" TargetMode="External"/><Relationship Id="rId2841" Type="http://schemas.openxmlformats.org/officeDocument/2006/relationships/hyperlink" Target="https://www.linkedin.com/in/colinrbristow/" TargetMode="External"/><Relationship Id="rId82" Type="http://schemas.openxmlformats.org/officeDocument/2006/relationships/hyperlink" Target="https://www.couponed12.com/" TargetMode="External"/><Relationship Id="rId606" Type="http://schemas.openxmlformats.org/officeDocument/2006/relationships/hyperlink" Target="https://www.linkedin.com/in/francoronconi/" TargetMode="External"/><Relationship Id="rId813" Type="http://schemas.openxmlformats.org/officeDocument/2006/relationships/hyperlink" Target="https://edition.cnn.com/2021/02/16/tech/emotion-recognition-ai-education-spc-intl-hnk/index.html" TargetMode="External"/><Relationship Id="rId1443" Type="http://schemas.openxmlformats.org/officeDocument/2006/relationships/hyperlink" Target="https://pbs.twimg.com/media/Eu6nv6JWQAQ31E6.png" TargetMode="External"/><Relationship Id="rId1650" Type="http://schemas.openxmlformats.org/officeDocument/2006/relationships/hyperlink" Target="https://www.m3-konferenz.de/" TargetMode="External"/><Relationship Id="rId2701" Type="http://schemas.openxmlformats.org/officeDocument/2006/relationships/hyperlink" Target="http://www.chemanager-online.com/" TargetMode="External"/><Relationship Id="rId1303" Type="http://schemas.openxmlformats.org/officeDocument/2006/relationships/hyperlink" Target="https://www.couponed12.com/" TargetMode="External"/><Relationship Id="rId1510" Type="http://schemas.openxmlformats.org/officeDocument/2006/relationships/hyperlink" Target="http://www.mambo.co.ke/" TargetMode="External"/><Relationship Id="rId3268" Type="http://schemas.openxmlformats.org/officeDocument/2006/relationships/hyperlink" Target="https://cispa.saarland/group/fritz/" TargetMode="External"/><Relationship Id="rId3475" Type="http://schemas.openxmlformats.org/officeDocument/2006/relationships/hyperlink" Target="https://byp.ee/bgk2Sg" TargetMode="External"/><Relationship Id="rId3682" Type="http://schemas.openxmlformats.org/officeDocument/2006/relationships/hyperlink" Target="https://www.youtube.com/watch?v=8Ng-BXxAZzY" TargetMode="External"/><Relationship Id="rId189" Type="http://schemas.openxmlformats.org/officeDocument/2006/relationships/hyperlink" Target="https://pbs.twimg.com/media/Eu7bBcaXIAkPqxI.jpg" TargetMode="External"/><Relationship Id="rId396" Type="http://schemas.openxmlformats.org/officeDocument/2006/relationships/hyperlink" Target="https://www.nature.com/natcancer/volumes/2/issues/2" TargetMode="External"/><Relationship Id="rId2077" Type="http://schemas.openxmlformats.org/officeDocument/2006/relationships/hyperlink" Target="https://liwaiwai.com/2019/06/12/to-stop-the-machines-taking-over-we-need-to-think-about-fuzzy-logic/" TargetMode="External"/><Relationship Id="rId2284" Type="http://schemas.openxmlformats.org/officeDocument/2006/relationships/hyperlink" Target="https://bit.ly/35Qgv9F" TargetMode="External"/><Relationship Id="rId2491" Type="http://schemas.openxmlformats.org/officeDocument/2006/relationships/hyperlink" Target="http://pic.twitter.com/vEfTUwLlhV" TargetMode="External"/><Relationship Id="rId3128" Type="http://schemas.openxmlformats.org/officeDocument/2006/relationships/hyperlink" Target="https://okt.to/NOhnr6" TargetMode="External"/><Relationship Id="rId3335" Type="http://schemas.openxmlformats.org/officeDocument/2006/relationships/hyperlink" Target="http://heptagon.in/" TargetMode="External"/><Relationship Id="rId3542" Type="http://schemas.openxmlformats.org/officeDocument/2006/relationships/hyperlink" Target="https://pbs.twimg.com/media/Eu40jUkXEAAkQom.jpg" TargetMode="External"/><Relationship Id="rId256" Type="http://schemas.openxmlformats.org/officeDocument/2006/relationships/hyperlink" Target="https://pbs.twimg.com/media/Eu7ZutNXUA0ulIQ.png" TargetMode="External"/><Relationship Id="rId463" Type="http://schemas.openxmlformats.org/officeDocument/2006/relationships/hyperlink" Target="https://pbs.twimg.com/media/Eu7RyIRWQAMyRy5.jpg" TargetMode="External"/><Relationship Id="rId670" Type="http://schemas.openxmlformats.org/officeDocument/2006/relationships/hyperlink" Target="https://pbs.twimg.com/media/Eu7IH0rXUAMv-tg.jpg" TargetMode="External"/><Relationship Id="rId1093" Type="http://schemas.openxmlformats.org/officeDocument/2006/relationships/hyperlink" Target="http://www.atlassystems.com/" TargetMode="External"/><Relationship Id="rId2144" Type="http://schemas.openxmlformats.org/officeDocument/2006/relationships/hyperlink" Target="http://pic.twitter.com/heyRkIQbQB" TargetMode="External"/><Relationship Id="rId2351" Type="http://schemas.openxmlformats.org/officeDocument/2006/relationships/hyperlink" Target="https://convit.de/" TargetMode="External"/><Relationship Id="rId3402" Type="http://schemas.openxmlformats.org/officeDocument/2006/relationships/hyperlink" Target="https://www.marktechpost.com/2021/01/16/kosinskis-latest-paper-claims-facial-recognition-technology-can-expose-political-orientation-from-naturalistic-facial-images/" TargetMode="External"/><Relationship Id="rId116" Type="http://schemas.openxmlformats.org/officeDocument/2006/relationships/hyperlink" Target="https://bit.ly/3aLYlKc" TargetMode="External"/><Relationship Id="rId323" Type="http://schemas.openxmlformats.org/officeDocument/2006/relationships/hyperlink" Target="https://www.linkedin.com/in/ingliguori/" TargetMode="External"/><Relationship Id="rId530" Type="http://schemas.openxmlformats.org/officeDocument/2006/relationships/hyperlink" Target="https://black.host/" TargetMode="External"/><Relationship Id="rId1160" Type="http://schemas.openxmlformats.org/officeDocument/2006/relationships/hyperlink" Target="http://medicalethicshealthpolicy.med.upenn.edu/faculty-all/ravi-b-parikh" TargetMode="External"/><Relationship Id="rId2004" Type="http://schemas.openxmlformats.org/officeDocument/2006/relationships/hyperlink" Target="https://pbs.twimg.com/media/Eu6OGwGWQAMLGyf.jpg" TargetMode="External"/><Relationship Id="rId2211" Type="http://schemas.openxmlformats.org/officeDocument/2006/relationships/hyperlink" Target="https://pbs.twimg.com/media/Eu6DIIJXAAASGs6.jpg" TargetMode="External"/><Relationship Id="rId4176" Type="http://schemas.openxmlformats.org/officeDocument/2006/relationships/hyperlink" Target="http://www.domesticatedbrain.com/" TargetMode="External"/><Relationship Id="rId1020" Type="http://schemas.openxmlformats.org/officeDocument/2006/relationships/hyperlink" Target="https://hubs.ly/H0H2S2H0" TargetMode="External"/><Relationship Id="rId1977" Type="http://schemas.openxmlformats.org/officeDocument/2006/relationships/hyperlink" Target="https://buff.ly/3sgKb9K" TargetMode="External"/><Relationship Id="rId1837" Type="http://schemas.openxmlformats.org/officeDocument/2006/relationships/hyperlink" Target="https://edvicer.com/" TargetMode="External"/><Relationship Id="rId3192" Type="http://schemas.openxmlformats.org/officeDocument/2006/relationships/hyperlink" Target="https://business-analytics-info.fr/" TargetMode="External"/><Relationship Id="rId4036" Type="http://schemas.openxmlformats.org/officeDocument/2006/relationships/hyperlink" Target="http://morioh.com/" TargetMode="External"/><Relationship Id="rId4243" Type="http://schemas.openxmlformats.org/officeDocument/2006/relationships/hyperlink" Target="https://twitter.com/zachking/status/1254795611456462849" TargetMode="External"/><Relationship Id="rId3052" Type="http://schemas.openxmlformats.org/officeDocument/2006/relationships/hyperlink" Target="https://datasciencevault.com/" TargetMode="External"/><Relationship Id="rId4103" Type="http://schemas.openxmlformats.org/officeDocument/2006/relationships/hyperlink" Target="https://pbs.twimg.com/media/Eu3sNLsXAAIYfdR.jpg" TargetMode="External"/><Relationship Id="rId180" Type="http://schemas.openxmlformats.org/officeDocument/2006/relationships/hyperlink" Target="https://pbs.twimg.com/media/Eu7dAJAVIAAd0TB.jpg" TargetMode="External"/><Relationship Id="rId1904" Type="http://schemas.openxmlformats.org/officeDocument/2006/relationships/hyperlink" Target="http://rsna.org/ai" TargetMode="External"/><Relationship Id="rId3869" Type="http://schemas.openxmlformats.org/officeDocument/2006/relationships/hyperlink" Target="https://twitter.com/MargaretSiegien/status/1364036443367231491" TargetMode="External"/><Relationship Id="rId997" Type="http://schemas.openxmlformats.org/officeDocument/2006/relationships/hyperlink" Target="https://catanacapital.com/" TargetMode="External"/><Relationship Id="rId2678" Type="http://schemas.openxmlformats.org/officeDocument/2006/relationships/hyperlink" Target="https://medium.com/deepfake/what-is-a-deepfake-9bcc72f3eb1e" TargetMode="External"/><Relationship Id="rId2885" Type="http://schemas.openxmlformats.org/officeDocument/2006/relationships/hyperlink" Target="https://www.velmie.com/post/technology-trends-shaping-the-fintech-industry-in-2021" TargetMode="External"/><Relationship Id="rId3729" Type="http://schemas.openxmlformats.org/officeDocument/2006/relationships/hyperlink" Target="http://www.vikez.com/" TargetMode="External"/><Relationship Id="rId3936" Type="http://schemas.openxmlformats.org/officeDocument/2006/relationships/hyperlink" Target="https://publications.iamroyakash.com/machine-learning-issue-02" TargetMode="External"/><Relationship Id="rId857" Type="http://schemas.openxmlformats.org/officeDocument/2006/relationships/hyperlink" Target="http://linkedin.com/company/ai-guild" TargetMode="External"/><Relationship Id="rId1487" Type="http://schemas.openxmlformats.org/officeDocument/2006/relationships/hyperlink" Target="https://register.gotowebinar.com/register/610992427691622158" TargetMode="External"/><Relationship Id="rId1694" Type="http://schemas.openxmlformats.org/officeDocument/2006/relationships/hyperlink" Target="https://www.information-age.com/" TargetMode="External"/><Relationship Id="rId2538" Type="http://schemas.openxmlformats.org/officeDocument/2006/relationships/hyperlink" Target="https://bit.ly/37jmgOP" TargetMode="External"/><Relationship Id="rId2745" Type="http://schemas.openxmlformats.org/officeDocument/2006/relationships/hyperlink" Target="https://red.ht/3tPaaXo" TargetMode="External"/><Relationship Id="rId2952" Type="http://schemas.openxmlformats.org/officeDocument/2006/relationships/hyperlink" Target="https://buff.ly/2ZDEaaQ" TargetMode="External"/><Relationship Id="rId717" Type="http://schemas.openxmlformats.org/officeDocument/2006/relationships/hyperlink" Target="https://pbs.twimg.com/media/Eu6qRemWQAgH_kX.jpg" TargetMode="External"/><Relationship Id="rId924" Type="http://schemas.openxmlformats.org/officeDocument/2006/relationships/hyperlink" Target="https://www.linkedin.com/in/rosshraphael/" TargetMode="External"/><Relationship Id="rId1347" Type="http://schemas.openxmlformats.org/officeDocument/2006/relationships/hyperlink" Target="https://paper.li/AlexanderNet/1325473720?edition_id=ea418a60-75e0-11eb-9bb6-0cc47a0d1605" TargetMode="External"/><Relationship Id="rId1554" Type="http://schemas.openxmlformats.org/officeDocument/2006/relationships/hyperlink" Target="https://pbs.twimg.com/media/Eu6iNd_XYAIZSdb.jpg" TargetMode="External"/><Relationship Id="rId1761" Type="http://schemas.openxmlformats.org/officeDocument/2006/relationships/hyperlink" Target="http://www.thecybersecurityplace.com/" TargetMode="External"/><Relationship Id="rId2605" Type="http://schemas.openxmlformats.org/officeDocument/2006/relationships/hyperlink" Target="http://bit.ly/2NVRBAb" TargetMode="External"/><Relationship Id="rId2812" Type="http://schemas.openxmlformats.org/officeDocument/2006/relationships/hyperlink" Target="https://www.pimloc.com/blog-1/what-do-the-machines-think" TargetMode="External"/><Relationship Id="rId53" Type="http://schemas.openxmlformats.org/officeDocument/2006/relationships/hyperlink" Target="http://linktr.ee/juergen.vonau" TargetMode="External"/><Relationship Id="rId1207" Type="http://schemas.openxmlformats.org/officeDocument/2006/relationships/hyperlink" Target="https://blogs.idc.com/2021/02/08/the-internet-of-things-market-at-a-glance" TargetMode="External"/><Relationship Id="rId1414" Type="http://schemas.openxmlformats.org/officeDocument/2006/relationships/hyperlink" Target="https://pbs.twimg.com/media/Eu6o57HXYAEVCLe.jpg" TargetMode="External"/><Relationship Id="rId1621" Type="http://schemas.openxmlformats.org/officeDocument/2006/relationships/hyperlink" Target="https://pbs.twimg.com/media/Eu3vJDIVgAAGBrF.png" TargetMode="External"/><Relationship Id="rId3379" Type="http://schemas.openxmlformats.org/officeDocument/2006/relationships/hyperlink" Target="http://www.featsystems.com/" TargetMode="External"/><Relationship Id="rId3586" Type="http://schemas.openxmlformats.org/officeDocument/2006/relationships/hyperlink" Target="https://youtu.be/lkfHEeecmEc" TargetMode="External"/><Relationship Id="rId3793" Type="http://schemas.openxmlformats.org/officeDocument/2006/relationships/hyperlink" Target="https://cutt.ly/nkVT09u" TargetMode="External"/><Relationship Id="rId2188" Type="http://schemas.openxmlformats.org/officeDocument/2006/relationships/hyperlink" Target="https://youtu.be/TW8DDFTmVoo" TargetMode="External"/><Relationship Id="rId2395" Type="http://schemas.openxmlformats.org/officeDocument/2006/relationships/hyperlink" Target="https://youtu.be/2UPsgi1PMUQ" TargetMode="External"/><Relationship Id="rId3239" Type="http://schemas.openxmlformats.org/officeDocument/2006/relationships/hyperlink" Target="https://pbs.twimg.com/media/Eu5Oe9hU4AE8qx0.jpg" TargetMode="External"/><Relationship Id="rId3446" Type="http://schemas.openxmlformats.org/officeDocument/2006/relationships/hyperlink" Target="http://edapt.me/" TargetMode="External"/><Relationship Id="rId367" Type="http://schemas.openxmlformats.org/officeDocument/2006/relationships/hyperlink" Target="http://claritychallenge.org/" TargetMode="External"/><Relationship Id="rId574" Type="http://schemas.openxmlformats.org/officeDocument/2006/relationships/hyperlink" Target="https://buff.ly/3kh0XCH" TargetMode="External"/><Relationship Id="rId2048" Type="http://schemas.openxmlformats.org/officeDocument/2006/relationships/hyperlink" Target="https://pbs.twimg.com/media/Eu6M0f9XAAMjR1m.jpg" TargetMode="External"/><Relationship Id="rId2255" Type="http://schemas.openxmlformats.org/officeDocument/2006/relationships/hyperlink" Target="https://ibm.co/2OT7hoo" TargetMode="External"/><Relationship Id="rId3653" Type="http://schemas.openxmlformats.org/officeDocument/2006/relationships/hyperlink" Target="https://pbs.twimg.com/media/Eu4rO6cVcAAh9Lo.jpg" TargetMode="External"/><Relationship Id="rId3860" Type="http://schemas.openxmlformats.org/officeDocument/2006/relationships/hyperlink" Target="http://pic.twitter.com/1QzhBO4S5V" TargetMode="External"/><Relationship Id="rId227" Type="http://schemas.openxmlformats.org/officeDocument/2006/relationships/hyperlink" Target="https://youtube.com/watch?v=XVGR0doR0mk" TargetMode="External"/><Relationship Id="rId781" Type="http://schemas.openxmlformats.org/officeDocument/2006/relationships/hyperlink" Target="http://www.techjunkieblog.com/" TargetMode="External"/><Relationship Id="rId2462" Type="http://schemas.openxmlformats.org/officeDocument/2006/relationships/hyperlink" Target="http://ms.spr.ly/6014pA0Ow" TargetMode="External"/><Relationship Id="rId3306" Type="http://schemas.openxmlformats.org/officeDocument/2006/relationships/hyperlink" Target="http://www.linkedin.com/in/sajid-mirza1" TargetMode="External"/><Relationship Id="rId3513" Type="http://schemas.openxmlformats.org/officeDocument/2006/relationships/hyperlink" Target="https://www.bacancytechnology.com/blog/python-libraries-for-machine-learning" TargetMode="External"/><Relationship Id="rId3720" Type="http://schemas.openxmlformats.org/officeDocument/2006/relationships/hyperlink" Target="https://pbs.twimg.com/media/Eu4kseoUYAMEgv9.jpg" TargetMode="External"/><Relationship Id="rId434" Type="http://schemas.openxmlformats.org/officeDocument/2006/relationships/hyperlink" Target="https://hubs.la/H0H4dBf0" TargetMode="External"/><Relationship Id="rId641" Type="http://schemas.openxmlformats.org/officeDocument/2006/relationships/hyperlink" Target="http://www.jaisonjacob.com/" TargetMode="External"/><Relationship Id="rId1064" Type="http://schemas.openxmlformats.org/officeDocument/2006/relationships/hyperlink" Target="https://pbs.twimg.com/media/EZHdUvrWsAAQyms.jpg" TargetMode="External"/><Relationship Id="rId1271" Type="http://schemas.openxmlformats.org/officeDocument/2006/relationships/hyperlink" Target="http://ssidecisions.com/" TargetMode="External"/><Relationship Id="rId2115" Type="http://schemas.openxmlformats.org/officeDocument/2006/relationships/hyperlink" Target="http://successanalytix.blogspot.com/" TargetMode="External"/><Relationship Id="rId2322" Type="http://schemas.openxmlformats.org/officeDocument/2006/relationships/hyperlink" Target="https://vaarst.com/" TargetMode="External"/><Relationship Id="rId501" Type="http://schemas.openxmlformats.org/officeDocument/2006/relationships/hyperlink" Target="https://buff.ly/3dG4FED" TargetMode="External"/><Relationship Id="rId1131" Type="http://schemas.openxmlformats.org/officeDocument/2006/relationships/hyperlink" Target="http://dfdnews.com/" TargetMode="External"/><Relationship Id="rId3096" Type="http://schemas.openxmlformats.org/officeDocument/2006/relationships/hyperlink" Target="https://bit.ly/3soOj7L" TargetMode="External"/><Relationship Id="rId4147" Type="http://schemas.openxmlformats.org/officeDocument/2006/relationships/hyperlink" Target="https://bit.ly/3bwOmHA" TargetMode="External"/><Relationship Id="rId1948" Type="http://schemas.openxmlformats.org/officeDocument/2006/relationships/hyperlink" Target="http://www.learnbay.co/" TargetMode="External"/><Relationship Id="rId3163" Type="http://schemas.openxmlformats.org/officeDocument/2006/relationships/hyperlink" Target="https://www.reddit.com/r/MachineLearning/comments/lqb7le/rcstr_a_classification_perspective_on_scene_text/" TargetMode="External"/><Relationship Id="rId3370" Type="http://schemas.openxmlformats.org/officeDocument/2006/relationships/hyperlink" Target="https://www.advatera.com/en/digital-leadership-forum-sign-up/" TargetMode="External"/><Relationship Id="rId4007" Type="http://schemas.openxmlformats.org/officeDocument/2006/relationships/hyperlink" Target="https://youtu.be/44H-yU0ZQqY" TargetMode="External"/><Relationship Id="rId4214" Type="http://schemas.openxmlformats.org/officeDocument/2006/relationships/hyperlink" Target="https://pbs.twimg.com/media/Eu3vfJoXIAAxHBy.jpg" TargetMode="External"/><Relationship Id="rId291" Type="http://schemas.openxmlformats.org/officeDocument/2006/relationships/hyperlink" Target="https://aisear.ch/" TargetMode="External"/><Relationship Id="rId1808" Type="http://schemas.openxmlformats.org/officeDocument/2006/relationships/hyperlink" Target="https://pbs.twimg.com/media/Eu6XvYYXMAEpbao.jpg" TargetMode="External"/><Relationship Id="rId3023" Type="http://schemas.openxmlformats.org/officeDocument/2006/relationships/hyperlink" Target="https://bit.ly/3keBIRr" TargetMode="External"/><Relationship Id="rId151" Type="http://schemas.openxmlformats.org/officeDocument/2006/relationships/hyperlink" Target="https://predera.com/predera-aiq-automated-mlops-solution-to-manage-machine-learning-projects-with-minimum-effort/" TargetMode="External"/><Relationship Id="rId3230" Type="http://schemas.openxmlformats.org/officeDocument/2006/relationships/hyperlink" Target="https://pbs.twimg.com/media/Eu5OADIWYAAvG12.jpg" TargetMode="External"/><Relationship Id="rId2789" Type="http://schemas.openxmlformats.org/officeDocument/2006/relationships/hyperlink" Target="https://pbs.twimg.com/media/Eu5lFYfWYAEgrxB.jpg" TargetMode="External"/><Relationship Id="rId2996" Type="http://schemas.openxmlformats.org/officeDocument/2006/relationships/hyperlink" Target="https://pbs.twimg.com/media/Eu5dXmSXIAAEfMo.jpg" TargetMode="External"/><Relationship Id="rId968" Type="http://schemas.openxmlformats.org/officeDocument/2006/relationships/hyperlink" Target="https://nytimes.com/2020/11/24/science/artificial-intelligence-gpt3-writing-love.html" TargetMode="External"/><Relationship Id="rId1598" Type="http://schemas.openxmlformats.org/officeDocument/2006/relationships/hyperlink" Target="https://harshkumar.godaddysites.com/" TargetMode="External"/><Relationship Id="rId2649" Type="http://schemas.openxmlformats.org/officeDocument/2006/relationships/hyperlink" Target="https://www.journals.elsevier.com/energy-and-ai" TargetMode="External"/><Relationship Id="rId2856" Type="http://schemas.openxmlformats.org/officeDocument/2006/relationships/hyperlink" Target="https://twitter.com/Theslimevids/status/1357735819771957248" TargetMode="External"/><Relationship Id="rId3907" Type="http://schemas.openxmlformats.org/officeDocument/2006/relationships/hyperlink" Target="http://www.annodomaini.com/" TargetMode="External"/><Relationship Id="rId97" Type="http://schemas.openxmlformats.org/officeDocument/2006/relationships/hyperlink" Target="https://buff.ly/3sdgCWC" TargetMode="External"/><Relationship Id="rId828" Type="http://schemas.openxmlformats.org/officeDocument/2006/relationships/hyperlink" Target="http://neurons.ai/" TargetMode="External"/><Relationship Id="rId1458" Type="http://schemas.openxmlformats.org/officeDocument/2006/relationships/hyperlink" Target="https://www.weforum.org/agenda/2021/02/heres-what-you-need-to-know-about-the-new-ai-arms-race/" TargetMode="External"/><Relationship Id="rId1665" Type="http://schemas.openxmlformats.org/officeDocument/2006/relationships/hyperlink" Target="https://deepai.org/publication/inductive-logic-programming-at-30" TargetMode="External"/><Relationship Id="rId1872" Type="http://schemas.openxmlformats.org/officeDocument/2006/relationships/hyperlink" Target="https://brianthomas.me/" TargetMode="External"/><Relationship Id="rId2509" Type="http://schemas.openxmlformats.org/officeDocument/2006/relationships/hyperlink" Target="https://pbs.twimg.com/media/Eu5zGvcXUAM9K2b.jpg" TargetMode="External"/><Relationship Id="rId2716" Type="http://schemas.openxmlformats.org/officeDocument/2006/relationships/hyperlink" Target="https://www.muycanal.com/2021/02/23/10-recomendaciones-machine-learning-eficiente" TargetMode="External"/><Relationship Id="rId4071" Type="http://schemas.openxmlformats.org/officeDocument/2006/relationships/hyperlink" Target="http://www.huawei.com/en/news/2021/2/digital-operations-transformation-services-platform-technology-ecosystem?utm_source=dlvr.it&amp;utm_medium=twitter" TargetMode="External"/><Relationship Id="rId1318" Type="http://schemas.openxmlformats.org/officeDocument/2006/relationships/hyperlink" Target="http://jyotisahai.wordpress.com/" TargetMode="External"/><Relationship Id="rId1525" Type="http://schemas.openxmlformats.org/officeDocument/2006/relationships/hyperlink" Target="https://youtube.com/watch?v=E_gWr3_n7jg" TargetMode="External"/><Relationship Id="rId2923" Type="http://schemas.openxmlformats.org/officeDocument/2006/relationships/hyperlink" Target="https://greatbot.io/" TargetMode="External"/><Relationship Id="rId1732" Type="http://schemas.openxmlformats.org/officeDocument/2006/relationships/hyperlink" Target="https://pbs.twimg.com/media/Eu6bL6iXAAA3A5D.jpg" TargetMode="External"/><Relationship Id="rId24" Type="http://schemas.openxmlformats.org/officeDocument/2006/relationships/hyperlink" Target="https://pbs.twimg.com/media/Eu7jRorWQAcuJ3K.png" TargetMode="External"/><Relationship Id="rId2299" Type="http://schemas.openxmlformats.org/officeDocument/2006/relationships/hyperlink" Target="https://twitter.com/Fisheyebox/status/1364167323179835393" TargetMode="External"/><Relationship Id="rId3697" Type="http://schemas.openxmlformats.org/officeDocument/2006/relationships/hyperlink" Target="https://pbs.twimg.com/media/Eu4mweYWgAEpiZF.png" TargetMode="External"/><Relationship Id="rId3557" Type="http://schemas.openxmlformats.org/officeDocument/2006/relationships/hyperlink" Target="http://linktr.ee/analyticstraininginstitute" TargetMode="External"/><Relationship Id="rId3764" Type="http://schemas.openxmlformats.org/officeDocument/2006/relationships/hyperlink" Target="https://hubs.ly/H0GSkMc0" TargetMode="External"/><Relationship Id="rId3971" Type="http://schemas.openxmlformats.org/officeDocument/2006/relationships/hyperlink" Target="https://buff.ly/2ZCI9Vf" TargetMode="External"/><Relationship Id="rId478" Type="http://schemas.openxmlformats.org/officeDocument/2006/relationships/hyperlink" Target="http://www.metoffice.gov.uk/research" TargetMode="External"/><Relationship Id="rId685" Type="http://schemas.openxmlformats.org/officeDocument/2006/relationships/hyperlink" Target="https://buff.ly/2NfqoZs" TargetMode="External"/><Relationship Id="rId892" Type="http://schemas.openxmlformats.org/officeDocument/2006/relationships/hyperlink" Target="https://machinelearningflx.com/" TargetMode="External"/><Relationship Id="rId2159" Type="http://schemas.openxmlformats.org/officeDocument/2006/relationships/hyperlink" Target="http://pic.twitter.com/fR5wlzYSa0" TargetMode="External"/><Relationship Id="rId2366" Type="http://schemas.openxmlformats.org/officeDocument/2006/relationships/hyperlink" Target="http://ow.ly/qfBu50DGd4e" TargetMode="External"/><Relationship Id="rId2573" Type="http://schemas.openxmlformats.org/officeDocument/2006/relationships/hyperlink" Target="http://www.pangaeax.com/" TargetMode="External"/><Relationship Id="rId2780" Type="http://schemas.openxmlformats.org/officeDocument/2006/relationships/hyperlink" Target="http://pic.twitter.com/iijFh6Mcm3" TargetMode="External"/><Relationship Id="rId3417" Type="http://schemas.openxmlformats.org/officeDocument/2006/relationships/hyperlink" Target="http://www.domesticatedbrain.com/" TargetMode="External"/><Relationship Id="rId3624" Type="http://schemas.openxmlformats.org/officeDocument/2006/relationships/hyperlink" Target="https://www.linkedin.com/in/eric-feuilleaubois-ph-d-43ab0925/" TargetMode="External"/><Relationship Id="rId3831" Type="http://schemas.openxmlformats.org/officeDocument/2006/relationships/hyperlink" Target="https://youtu.be/42iIOU-nb3w" TargetMode="External"/><Relationship Id="rId338" Type="http://schemas.openxmlformats.org/officeDocument/2006/relationships/hyperlink" Target="https://www.linkedin.com/in/bobcarver/detail/recent-activity/posts/" TargetMode="External"/><Relationship Id="rId545" Type="http://schemas.openxmlformats.org/officeDocument/2006/relationships/hyperlink" Target="https://buff.ly/2NgIhH5" TargetMode="External"/><Relationship Id="rId752" Type="http://schemas.openxmlformats.org/officeDocument/2006/relationships/hyperlink" Target="https://plainenglish.io/" TargetMode="External"/><Relationship Id="rId1175" Type="http://schemas.openxmlformats.org/officeDocument/2006/relationships/hyperlink" Target="http://www.rootsautomation.com/" TargetMode="External"/><Relationship Id="rId1382" Type="http://schemas.openxmlformats.org/officeDocument/2006/relationships/hyperlink" Target="http://dlvr.it/RtJm7w" TargetMode="External"/><Relationship Id="rId2019" Type="http://schemas.openxmlformats.org/officeDocument/2006/relationships/hyperlink" Target="https://blog.bigml.com/2018/05/01/prediction-explanation-adding-transparency-to-machine-learning/" TargetMode="External"/><Relationship Id="rId2226" Type="http://schemas.openxmlformats.org/officeDocument/2006/relationships/hyperlink" Target="https://youtu.be/Ul2GkNtNAbw" TargetMode="External"/><Relationship Id="rId2433" Type="http://schemas.openxmlformats.org/officeDocument/2006/relationships/hyperlink" Target="https://ift.tt/3k9aNGW" TargetMode="External"/><Relationship Id="rId2640" Type="http://schemas.openxmlformats.org/officeDocument/2006/relationships/hyperlink" Target="https://technative.io/machine-learning-in-software-delivery/" TargetMode="External"/><Relationship Id="rId405" Type="http://schemas.openxmlformats.org/officeDocument/2006/relationships/hyperlink" Target="https://pbs.twimg.com/media/Eu7TYssXUAUoD9j.png" TargetMode="External"/><Relationship Id="rId612" Type="http://schemas.openxmlformats.org/officeDocument/2006/relationships/hyperlink" Target="https://pbs.twimg.com/media/Eu7LVYiXYAYbxxb.jpg" TargetMode="External"/><Relationship Id="rId1035" Type="http://schemas.openxmlformats.org/officeDocument/2006/relationships/hyperlink" Target="https://pbs.twimg.com/media/Eu65e-rUUAMG4L_.jpg" TargetMode="External"/><Relationship Id="rId1242" Type="http://schemas.openxmlformats.org/officeDocument/2006/relationships/hyperlink" Target="https://lnkd.in/guxmy_k" TargetMode="External"/><Relationship Id="rId2500" Type="http://schemas.openxmlformats.org/officeDocument/2006/relationships/hyperlink" Target="https://www.mdpi.com/1420-3049/26/3/672" TargetMode="External"/><Relationship Id="rId1102" Type="http://schemas.openxmlformats.org/officeDocument/2006/relationships/hyperlink" Target="https://www.journeyhero.net/technology/" TargetMode="External"/><Relationship Id="rId4258" Type="http://schemas.openxmlformats.org/officeDocument/2006/relationships/hyperlink" Target="https://pbs.twimg.com/media/Eu3raTaXEAMH0wk.jpg" TargetMode="External"/><Relationship Id="rId3067" Type="http://schemas.openxmlformats.org/officeDocument/2006/relationships/hyperlink" Target="https://bit.ly/3siMF7o" TargetMode="External"/><Relationship Id="rId3274" Type="http://schemas.openxmlformats.org/officeDocument/2006/relationships/hyperlink" Target="https://starship-knowledge.com/" TargetMode="External"/><Relationship Id="rId4118" Type="http://schemas.openxmlformats.org/officeDocument/2006/relationships/hyperlink" Target="https://anoortech.com/" TargetMode="External"/><Relationship Id="rId195" Type="http://schemas.openxmlformats.org/officeDocument/2006/relationships/hyperlink" Target="https://pbs.twimg.com/media/Eu7cZ6kXEAIJE7g.jpg" TargetMode="External"/><Relationship Id="rId1919" Type="http://schemas.openxmlformats.org/officeDocument/2006/relationships/hyperlink" Target="https://buff.ly/3tPdLEK" TargetMode="External"/><Relationship Id="rId3481" Type="http://schemas.openxmlformats.org/officeDocument/2006/relationships/hyperlink" Target="https://pbs.twimg.com/media/Eu45m8YXAAIBg8z.jpg" TargetMode="External"/><Relationship Id="rId2083" Type="http://schemas.openxmlformats.org/officeDocument/2006/relationships/hyperlink" Target="http://www.brainkey.ai/demo" TargetMode="External"/><Relationship Id="rId2290" Type="http://schemas.openxmlformats.org/officeDocument/2006/relationships/hyperlink" Target="https://pbs.twimg.com/media/Eu5_voEXEAIMZi8.jpg" TargetMode="External"/><Relationship Id="rId3134" Type="http://schemas.openxmlformats.org/officeDocument/2006/relationships/hyperlink" Target="https://pbs.twimg.com/media/Eu5Wm18XcAAFvmx.jpg" TargetMode="External"/><Relationship Id="rId3341" Type="http://schemas.openxmlformats.org/officeDocument/2006/relationships/hyperlink" Target="https://en.wikipedia.org/wiki/Deep_learning" TargetMode="External"/><Relationship Id="rId262" Type="http://schemas.openxmlformats.org/officeDocument/2006/relationships/hyperlink" Target="https://tnw.to/f67dG" TargetMode="External"/><Relationship Id="rId2150" Type="http://schemas.openxmlformats.org/officeDocument/2006/relationships/hyperlink" Target="https://pbs.twimg.com/media/Eu6GmJcXcAA0GVV.jpg" TargetMode="External"/><Relationship Id="rId3201" Type="http://schemas.openxmlformats.org/officeDocument/2006/relationships/hyperlink" Target="http://odsc.com/" TargetMode="External"/><Relationship Id="rId122" Type="http://schemas.openxmlformats.org/officeDocument/2006/relationships/hyperlink" Target="http://www.reciprocityroi.com/" TargetMode="External"/><Relationship Id="rId2010" Type="http://schemas.openxmlformats.org/officeDocument/2006/relationships/hyperlink" Target="http://www.linkedin.com/in/josemiguelcacho" TargetMode="External"/><Relationship Id="rId1569" Type="http://schemas.openxmlformats.org/officeDocument/2006/relationships/hyperlink" Target="https://zcu.io/CzmB" TargetMode="External"/><Relationship Id="rId2967" Type="http://schemas.openxmlformats.org/officeDocument/2006/relationships/hyperlink" Target="http://www.master-cesma.it/" TargetMode="External"/><Relationship Id="rId4182" Type="http://schemas.openxmlformats.org/officeDocument/2006/relationships/hyperlink" Target="http://ipfconline.fr/contacts-eng.html" TargetMode="External"/><Relationship Id="rId939" Type="http://schemas.openxmlformats.org/officeDocument/2006/relationships/hyperlink" Target="https://pbs.twimg.com/media/Eu698bDXEAU_r8s.png" TargetMode="External"/><Relationship Id="rId1776" Type="http://schemas.openxmlformats.org/officeDocument/2006/relationships/hyperlink" Target="https://www.reddit.com/r/MachineLearning/comments/lqh9br/d_a_good_title_is_all_you_need/" TargetMode="External"/><Relationship Id="rId1983" Type="http://schemas.openxmlformats.org/officeDocument/2006/relationships/hyperlink" Target="https://medium.com/@guidaautonoma" TargetMode="External"/><Relationship Id="rId2827" Type="http://schemas.openxmlformats.org/officeDocument/2006/relationships/hyperlink" Target="https://pbs.twimg.com/media/Eu2sik6VIAE5-TA.jpg" TargetMode="External"/><Relationship Id="rId4042" Type="http://schemas.openxmlformats.org/officeDocument/2006/relationships/hyperlink" Target="https://pub.towardsai.net/tensorflow-accelerate-numpy-with-gpus-964e9087fdab?source=rss----98111c9905da---4?source=social.tw" TargetMode="External"/><Relationship Id="rId68" Type="http://schemas.openxmlformats.org/officeDocument/2006/relationships/hyperlink" Target="http://www.linkedin.com/in/mangut-sunday" TargetMode="External"/><Relationship Id="rId1429" Type="http://schemas.openxmlformats.org/officeDocument/2006/relationships/hyperlink" Target="https://pbs.twimg.com/media/Eu54qZiXEAEHSuQ.jpg" TargetMode="External"/><Relationship Id="rId1636" Type="http://schemas.openxmlformats.org/officeDocument/2006/relationships/hyperlink" Target="https://artificialtwin.com/" TargetMode="External"/><Relationship Id="rId1843" Type="http://schemas.openxmlformats.org/officeDocument/2006/relationships/hyperlink" Target="https://ai.plainenglish.io/" TargetMode="External"/><Relationship Id="rId1703" Type="http://schemas.openxmlformats.org/officeDocument/2006/relationships/hyperlink" Target="https://bit.ly/2ZH2auz" TargetMode="External"/><Relationship Id="rId1910" Type="http://schemas.openxmlformats.org/officeDocument/2006/relationships/hyperlink" Target="https://bit.ly/2P4YKPt" TargetMode="External"/><Relationship Id="rId3668" Type="http://schemas.openxmlformats.org/officeDocument/2006/relationships/hyperlink" Target="https://torch.classcat.com/2021/02/22/pytorch-lightning-1-1-notebooks-05-trainer-flags-overview-2/" TargetMode="External"/><Relationship Id="rId3875" Type="http://schemas.openxmlformats.org/officeDocument/2006/relationships/hyperlink" Target="https://pbs.twimg.com/media/Eu4SUq3VcAArTvw.jpg" TargetMode="External"/><Relationship Id="rId589" Type="http://schemas.openxmlformats.org/officeDocument/2006/relationships/hyperlink" Target="http://doi.org/10.1038/s41467-020-20657-4" TargetMode="External"/><Relationship Id="rId796" Type="http://schemas.openxmlformats.org/officeDocument/2006/relationships/hyperlink" Target="https://pkglobal.com/" TargetMode="External"/><Relationship Id="rId2477" Type="http://schemas.openxmlformats.org/officeDocument/2006/relationships/hyperlink" Target="https://bit.ly/3sp08Lb" TargetMode="External"/><Relationship Id="rId2684" Type="http://schemas.openxmlformats.org/officeDocument/2006/relationships/hyperlink" Target="https://pbs.twimg.com/media/Eu5p8rIWYAIp7o3.jpg" TargetMode="External"/><Relationship Id="rId3528" Type="http://schemas.openxmlformats.org/officeDocument/2006/relationships/hyperlink" Target="http://www.neuzida.com/" TargetMode="External"/><Relationship Id="rId3735" Type="http://schemas.openxmlformats.org/officeDocument/2006/relationships/hyperlink" Target="https://github.community/t/community-ama-featuring-mike-mcquaid-2021-02-26-2pm-utc/157900?u=hipstersantos" TargetMode="External"/><Relationship Id="rId449" Type="http://schemas.openxmlformats.org/officeDocument/2006/relationships/hyperlink" Target="https://buff.ly/3aCBCAd" TargetMode="External"/><Relationship Id="rId656" Type="http://schemas.openxmlformats.org/officeDocument/2006/relationships/hyperlink" Target="https://atg-abhishek.github.io/actionable-ai-ethics/algorithmic_content_moderation.html" TargetMode="External"/><Relationship Id="rId863" Type="http://schemas.openxmlformats.org/officeDocument/2006/relationships/hyperlink" Target="http://www.musehc.com/" TargetMode="External"/><Relationship Id="rId1079" Type="http://schemas.openxmlformats.org/officeDocument/2006/relationships/hyperlink" Target="http://pic.twitter.com/Y98AsISO4z" TargetMode="External"/><Relationship Id="rId1286" Type="http://schemas.openxmlformats.org/officeDocument/2006/relationships/hyperlink" Target="http://neurons.ai/" TargetMode="External"/><Relationship Id="rId1493" Type="http://schemas.openxmlformats.org/officeDocument/2006/relationships/hyperlink" Target="https://thedatascientist.com/about-dr-stylianos-stelios-kampakis/" TargetMode="External"/><Relationship Id="rId2337" Type="http://schemas.openxmlformats.org/officeDocument/2006/relationships/hyperlink" Target="https://bit.ly/2NW6vX9" TargetMode="External"/><Relationship Id="rId2544" Type="http://schemas.openxmlformats.org/officeDocument/2006/relationships/hyperlink" Target="http://www.datascientists.fr/" TargetMode="External"/><Relationship Id="rId2891" Type="http://schemas.openxmlformats.org/officeDocument/2006/relationships/hyperlink" Target="http://www.icrar.org/people/iwong/" TargetMode="External"/><Relationship Id="rId3942" Type="http://schemas.openxmlformats.org/officeDocument/2006/relationships/hyperlink" Target="http://bit.ly/2FGUUUd" TargetMode="External"/><Relationship Id="rId309" Type="http://schemas.openxmlformats.org/officeDocument/2006/relationships/hyperlink" Target="https://www.linkedin.com/in/paulranjan" TargetMode="External"/><Relationship Id="rId516" Type="http://schemas.openxmlformats.org/officeDocument/2006/relationships/hyperlink" Target="https://paper.li/ChristianMcM/1523033095?edition_id=b6b51f20-75f6-11eb-9fda-0cc47a0d1609" TargetMode="External"/><Relationship Id="rId1146" Type="http://schemas.openxmlformats.org/officeDocument/2006/relationships/hyperlink" Target="https://dy.si/9DszR" TargetMode="External"/><Relationship Id="rId2751" Type="http://schemas.openxmlformats.org/officeDocument/2006/relationships/hyperlink" Target="http://sdxcentral.com/" TargetMode="External"/><Relationship Id="rId3802" Type="http://schemas.openxmlformats.org/officeDocument/2006/relationships/hyperlink" Target="https://www.relecura.com/" TargetMode="External"/><Relationship Id="rId723" Type="http://schemas.openxmlformats.org/officeDocument/2006/relationships/hyperlink" Target="http://www.nordicaiinstitute.com/" TargetMode="External"/><Relationship Id="rId930" Type="http://schemas.openxmlformats.org/officeDocument/2006/relationships/hyperlink" Target="https://www.alexcastrounis.com/" TargetMode="External"/><Relationship Id="rId1006" Type="http://schemas.openxmlformats.org/officeDocument/2006/relationships/hyperlink" Target="http://www.gppulipaka.org/" TargetMode="External"/><Relationship Id="rId1353" Type="http://schemas.openxmlformats.org/officeDocument/2006/relationships/hyperlink" Target="http://www.couponfree.uk/2020/10/2020-machine-learning-and-deep-learning.html" TargetMode="External"/><Relationship Id="rId1560" Type="http://schemas.openxmlformats.org/officeDocument/2006/relationships/hyperlink" Target="https://www.cnet.com/news/twitter-labels-trump-tweet-about-mail-in-voting-for-being-potentially-misleading/" TargetMode="External"/><Relationship Id="rId2404" Type="http://schemas.openxmlformats.org/officeDocument/2006/relationships/hyperlink" Target="https://pbs.twimg.com/media/Eu55DSDXAAILQH6.png" TargetMode="External"/><Relationship Id="rId2611" Type="http://schemas.openxmlformats.org/officeDocument/2006/relationships/hyperlink" Target="https://www.youtube.com/watch?v=LnrjapbyAts" TargetMode="External"/><Relationship Id="rId1213" Type="http://schemas.openxmlformats.org/officeDocument/2006/relationships/hyperlink" Target="https://ailab.mti-vietnam.vn/" TargetMode="External"/><Relationship Id="rId1420" Type="http://schemas.openxmlformats.org/officeDocument/2006/relationships/hyperlink" Target="https://www.reddit.com/r/MachineLearning/comments/lpo2ih/theoretical_foundations_of_graph_neural_networks/" TargetMode="External"/><Relationship Id="rId3178" Type="http://schemas.openxmlformats.org/officeDocument/2006/relationships/hyperlink" Target="http://www.10alytics.org/" TargetMode="External"/><Relationship Id="rId3385" Type="http://schemas.openxmlformats.org/officeDocument/2006/relationships/hyperlink" Target="https://medium.com/ai-in-plain-english/car-repair-with-google-b4007e8deb12" TargetMode="External"/><Relationship Id="rId3592" Type="http://schemas.openxmlformats.org/officeDocument/2006/relationships/hyperlink" Target="https://pbs.twimg.com/media/Eu4wQl6XIAASp19.png" TargetMode="External"/><Relationship Id="rId4229" Type="http://schemas.openxmlformats.org/officeDocument/2006/relationships/hyperlink" Target="https://pbs.twimg.com/media/Eu3ulhmVgAMvg1c.jpg" TargetMode="External"/><Relationship Id="rId2194" Type="http://schemas.openxmlformats.org/officeDocument/2006/relationships/hyperlink" Target="https://lnkd.in/eNBvsSv" TargetMode="External"/><Relationship Id="rId3038" Type="http://schemas.openxmlformats.org/officeDocument/2006/relationships/hyperlink" Target="https://lnkd.in/ea5V_7v" TargetMode="External"/><Relationship Id="rId3245" Type="http://schemas.openxmlformats.org/officeDocument/2006/relationships/hyperlink" Target="http://www.qavalley.com/" TargetMode="External"/><Relationship Id="rId3452" Type="http://schemas.openxmlformats.org/officeDocument/2006/relationships/hyperlink" Target="https://pbs.twimg.com/media/Eu48ZmpWgAMObue.jpg" TargetMode="External"/><Relationship Id="rId166" Type="http://schemas.openxmlformats.org/officeDocument/2006/relationships/hyperlink" Target="http://www.linkedin.com/in/sajid-mirza1" TargetMode="External"/><Relationship Id="rId373" Type="http://schemas.openxmlformats.org/officeDocument/2006/relationships/hyperlink" Target="https://twitter.com/ikingofml1/status/1363691895877107715" TargetMode="External"/><Relationship Id="rId580" Type="http://schemas.openxmlformats.org/officeDocument/2006/relationships/hyperlink" Target="https://bit.ly/2MsZRrk" TargetMode="External"/><Relationship Id="rId2054" Type="http://schemas.openxmlformats.org/officeDocument/2006/relationships/hyperlink" Target="https://www.linkedin.com/in/iainljbrown/" TargetMode="External"/><Relationship Id="rId2261" Type="http://schemas.openxmlformats.org/officeDocument/2006/relationships/hyperlink" Target="https://www.inno3.it/" TargetMode="External"/><Relationship Id="rId3105" Type="http://schemas.openxmlformats.org/officeDocument/2006/relationships/hyperlink" Target="https://pbs.twimg.com/media/Eu5YHO9WgAAC5GW.png" TargetMode="External"/><Relationship Id="rId3312" Type="http://schemas.openxmlformats.org/officeDocument/2006/relationships/hyperlink" Target="https://www.couponed12.com/" TargetMode="External"/><Relationship Id="rId233" Type="http://schemas.openxmlformats.org/officeDocument/2006/relationships/hyperlink" Target="https://bit.ly/3kbPp3P" TargetMode="External"/><Relationship Id="rId440" Type="http://schemas.openxmlformats.org/officeDocument/2006/relationships/hyperlink" Target="https://pbs.twimg.com/media/Eu7SM50UUAQS4vM.jpg" TargetMode="External"/><Relationship Id="rId1070" Type="http://schemas.openxmlformats.org/officeDocument/2006/relationships/hyperlink" Target="https://bit.ly/2ZJr4ZC" TargetMode="External"/><Relationship Id="rId2121" Type="http://schemas.openxmlformats.org/officeDocument/2006/relationships/hyperlink" Target="https://techxplore.com/news/2021-02-algorithm-healthy-behaviors-social-network.html" TargetMode="External"/><Relationship Id="rId300" Type="http://schemas.openxmlformats.org/officeDocument/2006/relationships/hyperlink" Target="http://www.marktechpost.com/" TargetMode="External"/><Relationship Id="rId4086" Type="http://schemas.openxmlformats.org/officeDocument/2006/relationships/hyperlink" Target="https://bit.ly/2OYU0ux" TargetMode="External"/><Relationship Id="rId1887" Type="http://schemas.openxmlformats.org/officeDocument/2006/relationships/hyperlink" Target="https://zpy.io/d133386c" TargetMode="External"/><Relationship Id="rId2938" Type="http://schemas.openxmlformats.org/officeDocument/2006/relationships/hyperlink" Target="https://pbs.twimg.com/media/Eu5fk-LXcAARlO7.png" TargetMode="External"/><Relationship Id="rId1747" Type="http://schemas.openxmlformats.org/officeDocument/2006/relationships/hyperlink" Target="http://pubs.acs.org/jcim" TargetMode="External"/><Relationship Id="rId1954" Type="http://schemas.openxmlformats.org/officeDocument/2006/relationships/hyperlink" Target="https://pbs.twimg.com/media/Eu6Q3uGXIAEaEuu.jpg" TargetMode="External"/><Relationship Id="rId4153" Type="http://schemas.openxmlformats.org/officeDocument/2006/relationships/hyperlink" Target="https://pbs.twimg.com/media/Eu32Xr9UUAUmIAA.png" TargetMode="External"/><Relationship Id="rId39" Type="http://schemas.openxmlformats.org/officeDocument/2006/relationships/hyperlink" Target="http://www.linkedin.com/in/kirkdborne" TargetMode="External"/><Relationship Id="rId1607" Type="http://schemas.openxmlformats.org/officeDocument/2006/relationships/hyperlink" Target="https://pbs.twimg.com/media/Eu6f3MmXEAIyr1P.jpg" TargetMode="External"/><Relationship Id="rId1814" Type="http://schemas.openxmlformats.org/officeDocument/2006/relationships/hyperlink" Target="https://pbs.twimg.com/media/Eu4lGBxXIAEu4P5.jpg" TargetMode="External"/><Relationship Id="rId4013" Type="http://schemas.openxmlformats.org/officeDocument/2006/relationships/hyperlink" Target="https://www.bernardleong.com/" TargetMode="External"/><Relationship Id="rId4220" Type="http://schemas.openxmlformats.org/officeDocument/2006/relationships/hyperlink" Target="http://threatwatch.io/" TargetMode="External"/><Relationship Id="rId3779" Type="http://schemas.openxmlformats.org/officeDocument/2006/relationships/hyperlink" Target="https://www.linkedin.com/in/paulapiccard/" TargetMode="External"/><Relationship Id="rId2588" Type="http://schemas.openxmlformats.org/officeDocument/2006/relationships/hyperlink" Target="https://pbs.twimg.com/media/Eu5wWFlXUAAaxTI.jpg" TargetMode="External"/><Relationship Id="rId3986" Type="http://schemas.openxmlformats.org/officeDocument/2006/relationships/hyperlink" Target="https://buff.ly/37xcGrT" TargetMode="External"/><Relationship Id="rId1397" Type="http://schemas.openxmlformats.org/officeDocument/2006/relationships/hyperlink" Target="http://www.datascientists.fr/" TargetMode="External"/><Relationship Id="rId2795" Type="http://schemas.openxmlformats.org/officeDocument/2006/relationships/hyperlink" Target="http://www.mdpi.com/journal/computers" TargetMode="External"/><Relationship Id="rId3639" Type="http://schemas.openxmlformats.org/officeDocument/2006/relationships/hyperlink" Target="http://ow.ly/rDhT30ry0cB" TargetMode="External"/><Relationship Id="rId3846" Type="http://schemas.openxmlformats.org/officeDocument/2006/relationships/hyperlink" Target="https://superdigital.agency/" TargetMode="External"/><Relationship Id="rId767" Type="http://schemas.openxmlformats.org/officeDocument/2006/relationships/hyperlink" Target="http://www.jadbio.com/" TargetMode="External"/><Relationship Id="rId974" Type="http://schemas.openxmlformats.org/officeDocument/2006/relationships/hyperlink" Target="https://ift.tt/3pNTCMj" TargetMode="External"/><Relationship Id="rId2448" Type="http://schemas.openxmlformats.org/officeDocument/2006/relationships/hyperlink" Target="https://pbs.twimg.com/media/Eu53MYXXEAEnhyT.jpg" TargetMode="External"/><Relationship Id="rId2655" Type="http://schemas.openxmlformats.org/officeDocument/2006/relationships/hyperlink" Target="https://analyticsindiamag.com/" TargetMode="External"/><Relationship Id="rId2862" Type="http://schemas.openxmlformats.org/officeDocument/2006/relationships/hyperlink" Target="https://www.linkedin.com/in/iainljbrown/" TargetMode="External"/><Relationship Id="rId3706" Type="http://schemas.openxmlformats.org/officeDocument/2006/relationships/hyperlink" Target="https://zcu.io/aTCG" TargetMode="External"/><Relationship Id="rId3913" Type="http://schemas.openxmlformats.org/officeDocument/2006/relationships/hyperlink" Target="https://www.theverge.com/2021/1/8/22220880/hmd-nokia-6-3-4-phone-design-release-date-features-price-cameras" TargetMode="External"/><Relationship Id="rId627" Type="http://schemas.openxmlformats.org/officeDocument/2006/relationships/hyperlink" Target="https://hubs.ly/H0H463Y0" TargetMode="External"/><Relationship Id="rId834" Type="http://schemas.openxmlformats.org/officeDocument/2006/relationships/hyperlink" Target="https://neurons.ai/blog/news-stories/ct-colonography-identifies-pre-malignant-polyps-with-machine-based-learning-algorithm/" TargetMode="External"/><Relationship Id="rId1257" Type="http://schemas.openxmlformats.org/officeDocument/2006/relationships/hyperlink" Target="http://dfdnews.com/" TargetMode="External"/><Relationship Id="rId1464" Type="http://schemas.openxmlformats.org/officeDocument/2006/relationships/hyperlink" Target="https://bit.ly/3ky3zLi" TargetMode="External"/><Relationship Id="rId1671" Type="http://schemas.openxmlformats.org/officeDocument/2006/relationships/hyperlink" Target="https://buff.ly/35GWJym" TargetMode="External"/><Relationship Id="rId2308" Type="http://schemas.openxmlformats.org/officeDocument/2006/relationships/hyperlink" Target="https://pbs.twimg.com/media/Eu5-0RzUYAktXw1.jpg" TargetMode="External"/><Relationship Id="rId2515" Type="http://schemas.openxmlformats.org/officeDocument/2006/relationships/hyperlink" Target="https://bit.ly/37F0MfH" TargetMode="External"/><Relationship Id="rId2722" Type="http://schemas.openxmlformats.org/officeDocument/2006/relationships/hyperlink" Target="https://pbs.twimg.com/media/Eu5nvdoXAAYOHVY.png" TargetMode="External"/><Relationship Id="rId901" Type="http://schemas.openxmlformats.org/officeDocument/2006/relationships/hyperlink" Target="https://pbs.twimg.com/media/Eu7AVTWU4AEvdDg.jpg" TargetMode="External"/><Relationship Id="rId1117" Type="http://schemas.openxmlformats.org/officeDocument/2006/relationships/hyperlink" Target="https://pbs.twimg.com/media/Eu62oMMVgAAfznX.png" TargetMode="External"/><Relationship Id="rId1324" Type="http://schemas.openxmlformats.org/officeDocument/2006/relationships/hyperlink" Target="http://www.teldat.com/" TargetMode="External"/><Relationship Id="rId1531" Type="http://schemas.openxmlformats.org/officeDocument/2006/relationships/hyperlink" Target="https://hubs.la/H0H38Vy0" TargetMode="External"/><Relationship Id="rId30" Type="http://schemas.openxmlformats.org/officeDocument/2006/relationships/hyperlink" Target="http://www.awakenai.org/" TargetMode="External"/><Relationship Id="rId3289" Type="http://schemas.openxmlformats.org/officeDocument/2006/relationships/hyperlink" Target="http://bit.ly/3l4db0D" TargetMode="External"/><Relationship Id="rId3496" Type="http://schemas.openxmlformats.org/officeDocument/2006/relationships/hyperlink" Target="https://pbs.twimg.com/media/Eu43VIxVcAEmjzd.jpg" TargetMode="External"/><Relationship Id="rId2098" Type="http://schemas.openxmlformats.org/officeDocument/2006/relationships/hyperlink" Target="http://neurons.ai/" TargetMode="External"/><Relationship Id="rId3149" Type="http://schemas.openxmlformats.org/officeDocument/2006/relationships/hyperlink" Target="https://balavenkatesh.com/" TargetMode="External"/><Relationship Id="rId3356" Type="http://schemas.openxmlformats.org/officeDocument/2006/relationships/hyperlink" Target="https://bit.ly/2ZgRP7u" TargetMode="External"/><Relationship Id="rId3563" Type="http://schemas.openxmlformats.org/officeDocument/2006/relationships/hyperlink" Target="https://appadvice.com/app/lets-talk-app/1445392001" TargetMode="External"/><Relationship Id="rId277" Type="http://schemas.openxmlformats.org/officeDocument/2006/relationships/hyperlink" Target="https://github.com/akshitagupta15june" TargetMode="External"/><Relationship Id="rId484" Type="http://schemas.openxmlformats.org/officeDocument/2006/relationships/hyperlink" Target="https://medium.com/product-ai/how-to-save-340-on-a-single-ml-experiment-using-rapids-2f7273979f1a" TargetMode="External"/><Relationship Id="rId2165" Type="http://schemas.openxmlformats.org/officeDocument/2006/relationships/hyperlink" Target="http://www.blackwomeninai.com/" TargetMode="External"/><Relationship Id="rId3009" Type="http://schemas.openxmlformats.org/officeDocument/2006/relationships/hyperlink" Target="https://ift.tt/3bgXKPx" TargetMode="External"/><Relationship Id="rId3216" Type="http://schemas.openxmlformats.org/officeDocument/2006/relationships/hyperlink" Target="https://pbs.twimg.com/media/Eu5P2iSWQAA-fel.jpg" TargetMode="External"/><Relationship Id="rId3770" Type="http://schemas.openxmlformats.org/officeDocument/2006/relationships/hyperlink" Target="https://www.linkedin.com/in/danieluriol/" TargetMode="External"/><Relationship Id="rId137" Type="http://schemas.openxmlformats.org/officeDocument/2006/relationships/hyperlink" Target="http://www.relx.com/" TargetMode="External"/><Relationship Id="rId344" Type="http://schemas.openxmlformats.org/officeDocument/2006/relationships/hyperlink" Target="http://www.quantiacs.com/" TargetMode="External"/><Relationship Id="rId691" Type="http://schemas.openxmlformats.org/officeDocument/2006/relationships/hyperlink" Target="https://anoortech.com/" TargetMode="External"/><Relationship Id="rId2025" Type="http://schemas.openxmlformats.org/officeDocument/2006/relationships/hyperlink" Target="https://www.youtube.com/channel/UCsIEOS0xrU7jUmQ_5l8m-RA" TargetMode="External"/><Relationship Id="rId2372" Type="http://schemas.openxmlformats.org/officeDocument/2006/relationships/hyperlink" Target="http://datamining24.com/" TargetMode="External"/><Relationship Id="rId3423" Type="http://schemas.openxmlformats.org/officeDocument/2006/relationships/hyperlink" Target="https://www.itviconsultants.com/" TargetMode="External"/><Relationship Id="rId3630" Type="http://schemas.openxmlformats.org/officeDocument/2006/relationships/hyperlink" Target="https://arxiv.org/ftp/arxiv/papers/2102/2102.10052.pdf" TargetMode="External"/><Relationship Id="rId551" Type="http://schemas.openxmlformats.org/officeDocument/2006/relationships/hyperlink" Target="https://twitter.com/elonmusk/status/1364180853866131456" TargetMode="External"/><Relationship Id="rId1181" Type="http://schemas.openxmlformats.org/officeDocument/2006/relationships/hyperlink" Target="https://apple.news/AsWdweMzNSku8ynS3QnOhGg" TargetMode="External"/><Relationship Id="rId2232" Type="http://schemas.openxmlformats.org/officeDocument/2006/relationships/hyperlink" Target="https://bit.ly/2Np7kYY" TargetMode="External"/><Relationship Id="rId204" Type="http://schemas.openxmlformats.org/officeDocument/2006/relationships/hyperlink" Target="https://www.sayistay.gov.tr/en/?p=2&amp;CategoryId=43" TargetMode="External"/><Relationship Id="rId411" Type="http://schemas.openxmlformats.org/officeDocument/2006/relationships/hyperlink" Target="https://eugeniozuccarelli.com/" TargetMode="External"/><Relationship Id="rId1041" Type="http://schemas.openxmlformats.org/officeDocument/2006/relationships/hyperlink" Target="https://bit.ly/3qNgwok" TargetMode="External"/><Relationship Id="rId1998" Type="http://schemas.openxmlformats.org/officeDocument/2006/relationships/hyperlink" Target="http://pic.twitter.com/Oh2vSLdSMJ" TargetMode="External"/><Relationship Id="rId4197" Type="http://schemas.openxmlformats.org/officeDocument/2006/relationships/hyperlink" Target="https://ai.plainenglish.io/" TargetMode="External"/><Relationship Id="rId1858" Type="http://schemas.openxmlformats.org/officeDocument/2006/relationships/hyperlink" Target="http://pic.twitter.com/bd6dl1mZGm" TargetMode="External"/><Relationship Id="rId4057" Type="http://schemas.openxmlformats.org/officeDocument/2006/relationships/hyperlink" Target="http://pic.twitter.com/ipQVjB4OUM" TargetMode="External"/><Relationship Id="rId4264" Type="http://schemas.openxmlformats.org/officeDocument/2006/relationships/hyperlink" Target="http://tamaramccleary.com/" TargetMode="External"/><Relationship Id="rId2909" Type="http://schemas.openxmlformats.org/officeDocument/2006/relationships/hyperlink" Target="https://pbs.twimg.com/media/Eu5hU3BXYAEXgm9.jpg" TargetMode="External"/><Relationship Id="rId3073" Type="http://schemas.openxmlformats.org/officeDocument/2006/relationships/hyperlink" Target="https://catherinescareercorner.com/" TargetMode="External"/><Relationship Id="rId3280" Type="http://schemas.openxmlformats.org/officeDocument/2006/relationships/hyperlink" Target="http://dataisgood.com/" TargetMode="External"/><Relationship Id="rId4124" Type="http://schemas.openxmlformats.org/officeDocument/2006/relationships/hyperlink" Target="https://bit.ly/37GmyzD" TargetMode="External"/><Relationship Id="rId1718" Type="http://schemas.openxmlformats.org/officeDocument/2006/relationships/hyperlink" Target="http://kevindewalt.com/" TargetMode="External"/><Relationship Id="rId1925" Type="http://schemas.openxmlformats.org/officeDocument/2006/relationships/hyperlink" Target="https://pbs.twimg.com/media/EnAQSQlXIAsOmyQ.jpg" TargetMode="External"/><Relationship Id="rId3140" Type="http://schemas.openxmlformats.org/officeDocument/2006/relationships/hyperlink" Target="http://www.bittimeprofessionals.it/" TargetMode="External"/><Relationship Id="rId2699" Type="http://schemas.openxmlformats.org/officeDocument/2006/relationships/hyperlink" Target="https://supersalo.herokuapp.com/" TargetMode="External"/><Relationship Id="rId3000" Type="http://schemas.openxmlformats.org/officeDocument/2006/relationships/hyperlink" Target="https://pbs.twimg.com/media/EUqnDQSUYAAheUH.png" TargetMode="External"/><Relationship Id="rId3957" Type="http://schemas.openxmlformats.org/officeDocument/2006/relationships/hyperlink" Target="http://neurons.ai/" TargetMode="External"/><Relationship Id="rId878" Type="http://schemas.openxmlformats.org/officeDocument/2006/relationships/hyperlink" Target="https://link.medium.com/rMX8iBn86db" TargetMode="External"/><Relationship Id="rId2559" Type="http://schemas.openxmlformats.org/officeDocument/2006/relationships/hyperlink" Target="https://www.healthcareitnews.com/news/ai-enabled-radiomics-next-frontier-oncology" TargetMode="External"/><Relationship Id="rId2766" Type="http://schemas.openxmlformats.org/officeDocument/2006/relationships/hyperlink" Target="https://bit.ly/3dCznhY" TargetMode="External"/><Relationship Id="rId2973" Type="http://schemas.openxmlformats.org/officeDocument/2006/relationships/hyperlink" Target="http://aithority.com/" TargetMode="External"/><Relationship Id="rId3817" Type="http://schemas.openxmlformats.org/officeDocument/2006/relationships/hyperlink" Target="https://bit.ly/3pRzH03" TargetMode="External"/><Relationship Id="rId738" Type="http://schemas.openxmlformats.org/officeDocument/2006/relationships/hyperlink" Target="http://news.andreasmunzel.com/?edition_id=7824ae10-75f1-11eb-a51d-0cc47a0d164b" TargetMode="External"/><Relationship Id="rId945" Type="http://schemas.openxmlformats.org/officeDocument/2006/relationships/hyperlink" Target="https://www.youtube.com/juliensimonfr" TargetMode="External"/><Relationship Id="rId1368" Type="http://schemas.openxmlformats.org/officeDocument/2006/relationships/hyperlink" Target="http://www.cambridgeconsultants.com/" TargetMode="External"/><Relationship Id="rId1575" Type="http://schemas.openxmlformats.org/officeDocument/2006/relationships/hyperlink" Target="https://www.poetryassessor.com/" TargetMode="External"/><Relationship Id="rId1782" Type="http://schemas.openxmlformats.org/officeDocument/2006/relationships/hyperlink" Target="http://bit.ly/ML-Development-Company" TargetMode="External"/><Relationship Id="rId2419" Type="http://schemas.openxmlformats.org/officeDocument/2006/relationships/hyperlink" Target="http://www.domesticatedbrain.com/" TargetMode="External"/><Relationship Id="rId2626" Type="http://schemas.openxmlformats.org/officeDocument/2006/relationships/hyperlink" Target="https://nituno.com/home/complete-guide-to-sell-ai/" TargetMode="External"/><Relationship Id="rId2833" Type="http://schemas.openxmlformats.org/officeDocument/2006/relationships/hyperlink" Target="https://twitter.com/Theslimevids/status/1345702787930230785" TargetMode="External"/><Relationship Id="rId74" Type="http://schemas.openxmlformats.org/officeDocument/2006/relationships/hyperlink" Target="https://paullopez.ai/" TargetMode="External"/><Relationship Id="rId805" Type="http://schemas.openxmlformats.org/officeDocument/2006/relationships/hyperlink" Target="https://bit.ly/2LpxdXv" TargetMode="External"/><Relationship Id="rId1228" Type="http://schemas.openxmlformats.org/officeDocument/2006/relationships/hyperlink" Target="http://pic.twitter.com/pdqEkPS5ow" TargetMode="External"/><Relationship Id="rId1435" Type="http://schemas.openxmlformats.org/officeDocument/2006/relationships/hyperlink" Target="https://pbs.twimg.com/media/Eu6oKjhU4AMycPj.jpg" TargetMode="External"/><Relationship Id="rId1642" Type="http://schemas.openxmlformats.org/officeDocument/2006/relationships/hyperlink" Target="https://www.itviconsultants.com/" TargetMode="External"/><Relationship Id="rId2900" Type="http://schemas.openxmlformats.org/officeDocument/2006/relationships/hyperlink" Target="http://www.awakenai.org/" TargetMode="External"/><Relationship Id="rId1502" Type="http://schemas.openxmlformats.org/officeDocument/2006/relationships/hyperlink" Target="https://deepai.org/machine-learning-glossary-and-terms/vector" TargetMode="External"/><Relationship Id="rId388" Type="http://schemas.openxmlformats.org/officeDocument/2006/relationships/hyperlink" Target="https://pbs.twimg.com/media/Eu7StShXIAE_2yk.png" TargetMode="External"/><Relationship Id="rId2069" Type="http://schemas.openxmlformats.org/officeDocument/2006/relationships/hyperlink" Target="http://www.robofied.com/" TargetMode="External"/><Relationship Id="rId3467" Type="http://schemas.openxmlformats.org/officeDocument/2006/relationships/hyperlink" Target="https://pbs.twimg.com/media/Eu47CawXMAE5SOG.jpg" TargetMode="External"/><Relationship Id="rId3674" Type="http://schemas.openxmlformats.org/officeDocument/2006/relationships/hyperlink" Target="https://www.wevolver.com/article/a-machine-learning-approach-to-finding-treatment-options-for-covid-19" TargetMode="External"/><Relationship Id="rId3881" Type="http://schemas.openxmlformats.org/officeDocument/2006/relationships/hyperlink" Target="https://buff.ly/3pLdwaw" TargetMode="External"/><Relationship Id="rId595" Type="http://schemas.openxmlformats.org/officeDocument/2006/relationships/hyperlink" Target="http://ssidecisions.com/" TargetMode="External"/><Relationship Id="rId2276" Type="http://schemas.openxmlformats.org/officeDocument/2006/relationships/hyperlink" Target="https://pbs.twimg.com/media/Eu6ABCNXYAI3_6t.jpg" TargetMode="External"/><Relationship Id="rId2483" Type="http://schemas.openxmlformats.org/officeDocument/2006/relationships/hyperlink" Target="https://pbs.twimg.com/media/Eu50y2zWQAMzF_h.jpg" TargetMode="External"/><Relationship Id="rId2690" Type="http://schemas.openxmlformats.org/officeDocument/2006/relationships/hyperlink" Target="http://bit.ly/2QVn4k5" TargetMode="External"/><Relationship Id="rId3327" Type="http://schemas.openxmlformats.org/officeDocument/2006/relationships/hyperlink" Target="https://youtu.be/VnTlW572Sc4" TargetMode="External"/><Relationship Id="rId3534" Type="http://schemas.openxmlformats.org/officeDocument/2006/relationships/hyperlink" Target="https://pbs.twimg.com/media/Eu41F0bVkAA6sZP.jpg" TargetMode="External"/><Relationship Id="rId3741" Type="http://schemas.openxmlformats.org/officeDocument/2006/relationships/hyperlink" Target="https://bit.ly/2OZ7WER" TargetMode="External"/><Relationship Id="rId248" Type="http://schemas.openxmlformats.org/officeDocument/2006/relationships/hyperlink" Target="https://pbs.twimg.com/media/Eu5ntNPUYAMGM1J.jpg" TargetMode="External"/><Relationship Id="rId455" Type="http://schemas.openxmlformats.org/officeDocument/2006/relationships/hyperlink" Target="https://pbs.twimg.com/media/Eu7SGgkXEAIxYiP.png" TargetMode="External"/><Relationship Id="rId662" Type="http://schemas.openxmlformats.org/officeDocument/2006/relationships/hyperlink" Target="https://hubs.ly/H0H45gG0" TargetMode="External"/><Relationship Id="rId1085" Type="http://schemas.openxmlformats.org/officeDocument/2006/relationships/hyperlink" Target="https://searchenterpriseai.techtarget.com/quiz/Do-you-have-competitive-data-science-key-skills" TargetMode="External"/><Relationship Id="rId1292" Type="http://schemas.openxmlformats.org/officeDocument/2006/relationships/hyperlink" Target="http://neurons.ai/" TargetMode="External"/><Relationship Id="rId2136" Type="http://schemas.openxmlformats.org/officeDocument/2006/relationships/hyperlink" Target="http://dice.com/" TargetMode="External"/><Relationship Id="rId2343" Type="http://schemas.openxmlformats.org/officeDocument/2006/relationships/hyperlink" Target="https://dataly.st/blog-post/what-is-the-future-of-data-science-courses-post-covid/" TargetMode="External"/><Relationship Id="rId2550" Type="http://schemas.openxmlformats.org/officeDocument/2006/relationships/hyperlink" Target="https://medium.com/swlh/sentiment-analysis-from-scratch-with-logistic-regression-ca6f119256ab?source=rss-------8-----------------artificial_intelligence" TargetMode="External"/><Relationship Id="rId3601" Type="http://schemas.openxmlformats.org/officeDocument/2006/relationships/hyperlink" Target="http://gamuts.net/" TargetMode="External"/><Relationship Id="rId108" Type="http://schemas.openxmlformats.org/officeDocument/2006/relationships/hyperlink" Target="http://bit.ly/3qHT3Vy" TargetMode="External"/><Relationship Id="rId315" Type="http://schemas.openxmlformats.org/officeDocument/2006/relationships/hyperlink" Target="https://www.wojcieh.net/" TargetMode="External"/><Relationship Id="rId522" Type="http://schemas.openxmlformats.org/officeDocument/2006/relationships/hyperlink" Target="https://pbs.twimg.com/media/Eu7OszKVIAMkoMe.jpg" TargetMode="External"/><Relationship Id="rId1152" Type="http://schemas.openxmlformats.org/officeDocument/2006/relationships/hyperlink" Target="https://www.pyimagesearch.com/" TargetMode="External"/><Relationship Id="rId2203" Type="http://schemas.openxmlformats.org/officeDocument/2006/relationships/hyperlink" Target="https://pbs.twimg.com/media/Eu6Dg4GXIAArGBz.jpg" TargetMode="External"/><Relationship Id="rId2410" Type="http://schemas.openxmlformats.org/officeDocument/2006/relationships/hyperlink" Target="https://tinyurl.com/y7g2jk8c" TargetMode="External"/><Relationship Id="rId1012" Type="http://schemas.openxmlformats.org/officeDocument/2006/relationships/hyperlink" Target="http://bit.ly/3qZM0YB" TargetMode="External"/><Relationship Id="rId4168" Type="http://schemas.openxmlformats.org/officeDocument/2006/relationships/hyperlink" Target="http://www.sw4c.org/" TargetMode="External"/><Relationship Id="rId1969" Type="http://schemas.openxmlformats.org/officeDocument/2006/relationships/hyperlink" Target="http://www.nigeriabroad.com/" TargetMode="External"/><Relationship Id="rId3184" Type="http://schemas.openxmlformats.org/officeDocument/2006/relationships/hyperlink" Target="http://www.methods-online.com/" TargetMode="External"/><Relationship Id="rId4028" Type="http://schemas.openxmlformats.org/officeDocument/2006/relationships/hyperlink" Target="http://www.margarisventures.com/" TargetMode="External"/><Relationship Id="rId4235" Type="http://schemas.openxmlformats.org/officeDocument/2006/relationships/hyperlink" Target="http://www.corizance.com/" TargetMode="External"/><Relationship Id="rId1829" Type="http://schemas.openxmlformats.org/officeDocument/2006/relationships/hyperlink" Target="https://buff.ly/3pOOFUa" TargetMode="External"/><Relationship Id="rId3391" Type="http://schemas.openxmlformats.org/officeDocument/2006/relationships/hyperlink" Target="http://neurons.ai/" TargetMode="External"/><Relationship Id="rId3044" Type="http://schemas.openxmlformats.org/officeDocument/2006/relationships/hyperlink" Target="https://www.linkedin.com/in/ingliguori/" TargetMode="External"/><Relationship Id="rId3251" Type="http://schemas.openxmlformats.org/officeDocument/2006/relationships/hyperlink" Target="https://pbs.twimg.com/media/Eu5AqrDUYAYbgCO.jpg" TargetMode="External"/><Relationship Id="rId172" Type="http://schemas.openxmlformats.org/officeDocument/2006/relationships/hyperlink" Target="https://bit.ly/36l0zNQ" TargetMode="External"/><Relationship Id="rId2060" Type="http://schemas.openxmlformats.org/officeDocument/2006/relationships/hyperlink" Target="https://www.linkedin.com/pulse/ftc-consent-order-shines-light-term-conspicuous-odia" TargetMode="External"/><Relationship Id="rId3111" Type="http://schemas.openxmlformats.org/officeDocument/2006/relationships/hyperlink" Target="https://pbs.twimg.com/media/Eu5XwBJVcAMq43R.jpg" TargetMode="External"/><Relationship Id="rId989" Type="http://schemas.openxmlformats.org/officeDocument/2006/relationships/hyperlink" Target="https://bit.ly/3bRwu8B" TargetMode="External"/><Relationship Id="rId2877" Type="http://schemas.openxmlformats.org/officeDocument/2006/relationships/hyperlink" Target="https://essentials.news/cybersecurity/innovations-and-trends/article?url=https://www.forbes.com/sites/forbestechcouncil/2021/02/18/four-ways-ai-and-machine-learning-will-drive-future-innovation-and-change/amp/%3Fsh%3D7b12c5eb21a8%26__twitter_impression%3Dtrue" TargetMode="External"/><Relationship Id="rId849" Type="http://schemas.openxmlformats.org/officeDocument/2006/relationships/hyperlink" Target="http://dfdnews.com/" TargetMode="External"/><Relationship Id="rId1479" Type="http://schemas.openxmlformats.org/officeDocument/2006/relationships/hyperlink" Target="https://www.cogneed.ai/" TargetMode="External"/><Relationship Id="rId1686" Type="http://schemas.openxmlformats.org/officeDocument/2006/relationships/hyperlink" Target="https://youtu.be/ne9eZ4ezg0Y" TargetMode="External"/><Relationship Id="rId3928" Type="http://schemas.openxmlformats.org/officeDocument/2006/relationships/hyperlink" Target="http://www.buysidereport.com/" TargetMode="External"/><Relationship Id="rId4092" Type="http://schemas.openxmlformats.org/officeDocument/2006/relationships/hyperlink" Target="http://ipfconline.fr/contacts-eng.html" TargetMode="External"/><Relationship Id="rId1339" Type="http://schemas.openxmlformats.org/officeDocument/2006/relationships/hyperlink" Target="https://www.itviconsultants.com/" TargetMode="External"/><Relationship Id="rId1893" Type="http://schemas.openxmlformats.org/officeDocument/2006/relationships/hyperlink" Target="https://pbs.twimg.com/media/Eu56-lNXcAImW2t.jpg" TargetMode="External"/><Relationship Id="rId2737" Type="http://schemas.openxmlformats.org/officeDocument/2006/relationships/hyperlink" Target="https://pbs.twimg.com/media/Eu5k-XXXMAA16Z4.jpg" TargetMode="External"/><Relationship Id="rId2944" Type="http://schemas.openxmlformats.org/officeDocument/2006/relationships/hyperlink" Target="https://www.youtube.com/watch?v=3mQfd5YxxRA" TargetMode="External"/><Relationship Id="rId709" Type="http://schemas.openxmlformats.org/officeDocument/2006/relationships/hyperlink" Target="https://tinyurl.com/y8duyu2w" TargetMode="External"/><Relationship Id="rId916" Type="http://schemas.openxmlformats.org/officeDocument/2006/relationships/hyperlink" Target="http://bit.ly/2NTjzNf" TargetMode="External"/><Relationship Id="rId1546" Type="http://schemas.openxmlformats.org/officeDocument/2006/relationships/hyperlink" Target="https://machinelearningflx.com/" TargetMode="External"/><Relationship Id="rId1753" Type="http://schemas.openxmlformats.org/officeDocument/2006/relationships/hyperlink" Target="https://www.pro-sapien.com/blog/how-ai-has-advanced-during-21st-century-and-where-its-headed/" TargetMode="External"/><Relationship Id="rId1960" Type="http://schemas.openxmlformats.org/officeDocument/2006/relationships/hyperlink" Target="https://www.linkedin.com/in/craigbrownphd" TargetMode="External"/><Relationship Id="rId2804" Type="http://schemas.openxmlformats.org/officeDocument/2006/relationships/hyperlink" Target="https://the-next-tech.com/" TargetMode="External"/><Relationship Id="rId45" Type="http://schemas.openxmlformats.org/officeDocument/2006/relationships/hyperlink" Target="http://www.dld.co/" TargetMode="External"/><Relationship Id="rId1406" Type="http://schemas.openxmlformats.org/officeDocument/2006/relationships/hyperlink" Target="https://pbs.twimg.com/media/Eu6o9vGVIAEIUfl.jpg" TargetMode="External"/><Relationship Id="rId1613" Type="http://schemas.openxmlformats.org/officeDocument/2006/relationships/hyperlink" Target="https://pbs.twimg.com/media/Eu6fTwyXEAUPzPW.jpg" TargetMode="External"/><Relationship Id="rId1820" Type="http://schemas.openxmlformats.org/officeDocument/2006/relationships/hyperlink" Target="https://mailchi.mp/facespace.ai/home" TargetMode="External"/><Relationship Id="rId3578" Type="http://schemas.openxmlformats.org/officeDocument/2006/relationships/hyperlink" Target="https://pbs.twimg.com/media/Eu4ylNmVgAMj8Et.jpg" TargetMode="External"/><Relationship Id="rId3785" Type="http://schemas.openxmlformats.org/officeDocument/2006/relationships/hyperlink" Target="http://verinite.com/" TargetMode="External"/><Relationship Id="rId3992" Type="http://schemas.openxmlformats.org/officeDocument/2006/relationships/hyperlink" Target="http://dlvr.it/RtGmPc" TargetMode="External"/><Relationship Id="rId499" Type="http://schemas.openxmlformats.org/officeDocument/2006/relationships/hyperlink" Target="https://pbs.twimg.com/media/Eu7P7VvVIAEoaxd.jpg" TargetMode="External"/><Relationship Id="rId2387" Type="http://schemas.openxmlformats.org/officeDocument/2006/relationships/hyperlink" Target="https://pbs.twimg.com/media/Eu54LObVgAUS0OW.jpg" TargetMode="External"/><Relationship Id="rId2594" Type="http://schemas.openxmlformats.org/officeDocument/2006/relationships/hyperlink" Target="http://www.informationweek.com/big-data/ai-machine-learning/what-lawyers-want-everyone-to-know-about-ai-liability/a/d-id/1340211" TargetMode="External"/><Relationship Id="rId3438" Type="http://schemas.openxmlformats.org/officeDocument/2006/relationships/hyperlink" Target="https://pbs.twimg.com/media/Eu494wNVkAA0xlJ.jpg" TargetMode="External"/><Relationship Id="rId3645" Type="http://schemas.openxmlformats.org/officeDocument/2006/relationships/hyperlink" Target="https://www.c-sharpcorner.com/blogs/top-3-giant-tech-trends-in-2021" TargetMode="External"/><Relationship Id="rId3852" Type="http://schemas.openxmlformats.org/officeDocument/2006/relationships/hyperlink" Target="https://pbs.twimg.com/media/Eu4Vys6XEAI-Aq5.png" TargetMode="External"/><Relationship Id="rId359" Type="http://schemas.openxmlformats.org/officeDocument/2006/relationships/hyperlink" Target="http://nature.com/natcancer" TargetMode="External"/><Relationship Id="rId566" Type="http://schemas.openxmlformats.org/officeDocument/2006/relationships/hyperlink" Target="https://pbs.twimg.com/media/EunwY0DXMAMPzmV.png" TargetMode="External"/><Relationship Id="rId773" Type="http://schemas.openxmlformats.org/officeDocument/2006/relationships/hyperlink" Target="http://ow.ly/JGI230rxLIa" TargetMode="External"/><Relationship Id="rId1196" Type="http://schemas.openxmlformats.org/officeDocument/2006/relationships/hyperlink" Target="http://ow.ly/JbXP50DHDUM" TargetMode="External"/><Relationship Id="rId2247" Type="http://schemas.openxmlformats.org/officeDocument/2006/relationships/hyperlink" Target="http://www.aqai.io/" TargetMode="External"/><Relationship Id="rId2454" Type="http://schemas.openxmlformats.org/officeDocument/2006/relationships/hyperlink" Target="https://neurons.ai/blog/news-stories/what-is-geometric-deep-learning/" TargetMode="External"/><Relationship Id="rId3505" Type="http://schemas.openxmlformats.org/officeDocument/2006/relationships/hyperlink" Target="https://pbs.twimg.com/media/Eu43qBVXMAI8XHh.jpg" TargetMode="External"/><Relationship Id="rId219" Type="http://schemas.openxmlformats.org/officeDocument/2006/relationships/hyperlink" Target="https://bit.ly/3seLFBg" TargetMode="External"/><Relationship Id="rId426" Type="http://schemas.openxmlformats.org/officeDocument/2006/relationships/hyperlink" Target="https://pbs.twimg.com/media/Eu7Sp2LXMAAb_pQ.jpg" TargetMode="External"/><Relationship Id="rId633" Type="http://schemas.openxmlformats.org/officeDocument/2006/relationships/hyperlink" Target="http://www.bioenabletech.com/" TargetMode="External"/><Relationship Id="rId980" Type="http://schemas.openxmlformats.org/officeDocument/2006/relationships/hyperlink" Target="https://linktr.ee/mlearning" TargetMode="External"/><Relationship Id="rId1056" Type="http://schemas.openxmlformats.org/officeDocument/2006/relationships/hyperlink" Target="http://mey-research.org/" TargetMode="External"/><Relationship Id="rId1263" Type="http://schemas.openxmlformats.org/officeDocument/2006/relationships/hyperlink" Target="https://pbs.twimg.com/media/Eu5BDsOVkAI77ec.jpg" TargetMode="External"/><Relationship Id="rId2107" Type="http://schemas.openxmlformats.org/officeDocument/2006/relationships/hyperlink" Target="https://pbs.twimg.com/media/Eu6IMpaXEAEh_v5.jpg" TargetMode="External"/><Relationship Id="rId2314" Type="http://schemas.openxmlformats.org/officeDocument/2006/relationships/hyperlink" Target="http://www.xors.com/" TargetMode="External"/><Relationship Id="rId2661" Type="http://schemas.openxmlformats.org/officeDocument/2006/relationships/hyperlink" Target="http://www.grupocmc.es/" TargetMode="External"/><Relationship Id="rId3712" Type="http://schemas.openxmlformats.org/officeDocument/2006/relationships/hyperlink" Target="http://adnanhashmi.co/" TargetMode="External"/><Relationship Id="rId840" Type="http://schemas.openxmlformats.org/officeDocument/2006/relationships/hyperlink" Target="https://twitter.com/0xBanana/status/1363297507913191425" TargetMode="External"/><Relationship Id="rId1470" Type="http://schemas.openxmlformats.org/officeDocument/2006/relationships/hyperlink" Target="http://linkedin.com/in/shanebrighton" TargetMode="External"/><Relationship Id="rId2521" Type="http://schemas.openxmlformats.org/officeDocument/2006/relationships/hyperlink" Target="https://okt.to/HtN1cA" TargetMode="External"/><Relationship Id="rId700" Type="http://schemas.openxmlformats.org/officeDocument/2006/relationships/hyperlink" Target="http://ow.ly/C9OW30rxVdK" TargetMode="External"/><Relationship Id="rId1123" Type="http://schemas.openxmlformats.org/officeDocument/2006/relationships/hyperlink" Target="https://www.reddit.com/r/MachineLearning/" TargetMode="External"/><Relationship Id="rId1330" Type="http://schemas.openxmlformats.org/officeDocument/2006/relationships/hyperlink" Target="https://bit.ly/3qOgBrJ" TargetMode="External"/><Relationship Id="rId3088" Type="http://schemas.openxmlformats.org/officeDocument/2006/relationships/hyperlink" Target="https://machinelearningmastery.com/regression-metrics-for-machine-learning/" TargetMode="External"/><Relationship Id="rId3295" Type="http://schemas.openxmlformats.org/officeDocument/2006/relationships/hyperlink" Target="http://pic.twitter.com/wTpk2vEdKH" TargetMode="External"/><Relationship Id="rId4139" Type="http://schemas.openxmlformats.org/officeDocument/2006/relationships/hyperlink" Target="http://www.margarisventures.com/" TargetMode="External"/><Relationship Id="rId3155" Type="http://schemas.openxmlformats.org/officeDocument/2006/relationships/hyperlink" Target="https://venturebeat.com/2021/02/22/googles-voice-ai-accelerator-launches-12-startups/" TargetMode="External"/><Relationship Id="rId3362" Type="http://schemas.openxmlformats.org/officeDocument/2006/relationships/hyperlink" Target="https://jovian.ai/learn/data-analysis-with-python-zero-to-pandas" TargetMode="External"/><Relationship Id="rId4206" Type="http://schemas.openxmlformats.org/officeDocument/2006/relationships/hyperlink" Target="https://pbs.twimg.com/media/Eu3waJhWgAUb4hq.jpg" TargetMode="External"/><Relationship Id="rId283" Type="http://schemas.openxmlformats.org/officeDocument/2006/relationships/hyperlink" Target="http://www.la-forge.ai/" TargetMode="External"/><Relationship Id="rId490" Type="http://schemas.openxmlformats.org/officeDocument/2006/relationships/hyperlink" Target="https://cutt.ly/QgAUsF0" TargetMode="External"/><Relationship Id="rId2171" Type="http://schemas.openxmlformats.org/officeDocument/2006/relationships/hyperlink" Target="https://pbs.twimg.com/media/Eu6Fdl5VkAUDT7R.jpg" TargetMode="External"/><Relationship Id="rId3015" Type="http://schemas.openxmlformats.org/officeDocument/2006/relationships/hyperlink" Target="https://medium.com/@guidaautonoma" TargetMode="External"/><Relationship Id="rId3222" Type="http://schemas.openxmlformats.org/officeDocument/2006/relationships/hyperlink" Target="https://pbs.twimg.com/media/Eu5PnP7WQAATVH8.jpg" TargetMode="External"/><Relationship Id="rId143" Type="http://schemas.openxmlformats.org/officeDocument/2006/relationships/hyperlink" Target="https://medicalxpress.com/news/2021-02-machine-method-precancerous-colon-polyps.html" TargetMode="External"/><Relationship Id="rId350" Type="http://schemas.openxmlformats.org/officeDocument/2006/relationships/hyperlink" Target="https://www.aineurocare.com/junaidkalia" TargetMode="External"/><Relationship Id="rId2031" Type="http://schemas.openxmlformats.org/officeDocument/2006/relationships/hyperlink" Target="https://buff.ly/3iwvTy5" TargetMode="External"/><Relationship Id="rId9" Type="http://schemas.openxmlformats.org/officeDocument/2006/relationships/hyperlink" Target="https://fortune.com/2021/01/31/ai-ethics-why-companies-are-thinking-twice-artificial-intelligence/" TargetMode="External"/><Relationship Id="rId210" Type="http://schemas.openxmlformats.org/officeDocument/2006/relationships/hyperlink" Target="https://www.instagram.com/dailycodinghabit/" TargetMode="External"/><Relationship Id="rId2988" Type="http://schemas.openxmlformats.org/officeDocument/2006/relationships/hyperlink" Target="https://bit.ly/3bzvWpR" TargetMode="External"/><Relationship Id="rId1797" Type="http://schemas.openxmlformats.org/officeDocument/2006/relationships/hyperlink" Target="https://techflx.com/product-category/books/" TargetMode="External"/><Relationship Id="rId2848" Type="http://schemas.openxmlformats.org/officeDocument/2006/relationships/hyperlink" Target="https://buff.ly/3bnX909" TargetMode="External"/><Relationship Id="rId89" Type="http://schemas.openxmlformats.org/officeDocument/2006/relationships/hyperlink" Target="http://about.me/tariqrashid" TargetMode="External"/><Relationship Id="rId1657" Type="http://schemas.openxmlformats.org/officeDocument/2006/relationships/hyperlink" Target="http://pic.twitter.com/QtoCLkAFDY" TargetMode="External"/><Relationship Id="rId1864" Type="http://schemas.openxmlformats.org/officeDocument/2006/relationships/hyperlink" Target="http://ethrworld.com/" TargetMode="External"/><Relationship Id="rId2708" Type="http://schemas.openxmlformats.org/officeDocument/2006/relationships/hyperlink" Target="https://tudip.com/" TargetMode="External"/><Relationship Id="rId2915" Type="http://schemas.openxmlformats.org/officeDocument/2006/relationships/hyperlink" Target="http://www.awakenai.org/" TargetMode="External"/><Relationship Id="rId4063" Type="http://schemas.openxmlformats.org/officeDocument/2006/relationships/hyperlink" Target="http://www.manyworlds.com/" TargetMode="External"/><Relationship Id="rId4270" Type="http://schemas.openxmlformats.org/officeDocument/2006/relationships/hyperlink" Target="https://hubs.ly/H0GXl_40" TargetMode="External"/><Relationship Id="rId1517" Type="http://schemas.openxmlformats.org/officeDocument/2006/relationships/hyperlink" Target="https://pbs.twimg.com/media/Eu6jvxnVcAId0Uz.png" TargetMode="External"/><Relationship Id="rId1724" Type="http://schemas.openxmlformats.org/officeDocument/2006/relationships/hyperlink" Target="http://www.rogerpeverelli.com/" TargetMode="External"/><Relationship Id="rId4130" Type="http://schemas.openxmlformats.org/officeDocument/2006/relationships/hyperlink" Target="https://pbs.twimg.com/media/Eu33RKyXEAEHKmH.jpg" TargetMode="External"/><Relationship Id="rId16" Type="http://schemas.openxmlformats.org/officeDocument/2006/relationships/hyperlink" Target="https://analyticsindiamag.com/8-ai-innovations-showcased-at-ces-2021/" TargetMode="External"/><Relationship Id="rId1931" Type="http://schemas.openxmlformats.org/officeDocument/2006/relationships/hyperlink" Target="https://pbs.twimg.com/media/Eu6P8PTWYAEs6gl.jpg" TargetMode="External"/><Relationship Id="rId3689" Type="http://schemas.openxmlformats.org/officeDocument/2006/relationships/hyperlink" Target="https://tectales.com/" TargetMode="External"/><Relationship Id="rId3896" Type="http://schemas.openxmlformats.org/officeDocument/2006/relationships/hyperlink" Target="https://www.reddit.com/r/MachineLearning/comments/lq5epz/people_report_flops_but_actually_use_macc_r/" TargetMode="External"/><Relationship Id="rId2498" Type="http://schemas.openxmlformats.org/officeDocument/2006/relationships/hyperlink" Target="https://www.datacamp.com/statement-of-accomplishment/course/2e4f35730854e6021fbad32c648db8bcc306be8c" TargetMode="External"/><Relationship Id="rId3549" Type="http://schemas.openxmlformats.org/officeDocument/2006/relationships/hyperlink" Target="https://bit.ly/2NONXrV" TargetMode="External"/><Relationship Id="rId677" Type="http://schemas.openxmlformats.org/officeDocument/2006/relationships/hyperlink" Target="https://www.pioneeringminds.com/explainable-ai-decoding-regulatory-instructions-dna/" TargetMode="External"/><Relationship Id="rId2358" Type="http://schemas.openxmlformats.org/officeDocument/2006/relationships/hyperlink" Target="http://bit.ly/2SpnEHZ" TargetMode="External"/><Relationship Id="rId3756" Type="http://schemas.openxmlformats.org/officeDocument/2006/relationships/hyperlink" Target="https://buff.ly/3pHgUmJ" TargetMode="External"/><Relationship Id="rId3963" Type="http://schemas.openxmlformats.org/officeDocument/2006/relationships/hyperlink" Target="http://neurons.ai/" TargetMode="External"/><Relationship Id="rId884" Type="http://schemas.openxmlformats.org/officeDocument/2006/relationships/hyperlink" Target="https://pbs.twimg.com/media/Eu7A8r3VkAIfRfj.jpg" TargetMode="External"/><Relationship Id="rId2565" Type="http://schemas.openxmlformats.org/officeDocument/2006/relationships/hyperlink" Target="http://www.necio.ch/" TargetMode="External"/><Relationship Id="rId2772" Type="http://schemas.openxmlformats.org/officeDocument/2006/relationships/hyperlink" Target="http://pic.twitter.com/MqCnDCdL5V" TargetMode="External"/><Relationship Id="rId3409" Type="http://schemas.openxmlformats.org/officeDocument/2006/relationships/hyperlink" Target="https://pbs.twimg.com/media/Eu30uGQUYAMyIOH.jpg" TargetMode="External"/><Relationship Id="rId3616" Type="http://schemas.openxmlformats.org/officeDocument/2006/relationships/hyperlink" Target="http://dlvr.it/RtH6Wd" TargetMode="External"/><Relationship Id="rId3823" Type="http://schemas.openxmlformats.org/officeDocument/2006/relationships/hyperlink" Target="https://buff.ly/3aKTmb9" TargetMode="External"/><Relationship Id="rId537" Type="http://schemas.openxmlformats.org/officeDocument/2006/relationships/hyperlink" Target="https://www.bmnxt.com/" TargetMode="External"/><Relationship Id="rId744" Type="http://schemas.openxmlformats.org/officeDocument/2006/relationships/hyperlink" Target="https://pbs.twimg.com/media/Eu7FaK1XYAQWBu6.png" TargetMode="External"/><Relationship Id="rId951" Type="http://schemas.openxmlformats.org/officeDocument/2006/relationships/hyperlink" Target="https://bit.ly/3pN8w5s" TargetMode="External"/><Relationship Id="rId1167" Type="http://schemas.openxmlformats.org/officeDocument/2006/relationships/hyperlink" Target="http://www.argosmultilingual.com/" TargetMode="External"/><Relationship Id="rId1374" Type="http://schemas.openxmlformats.org/officeDocument/2006/relationships/hyperlink" Target="https://pbs.twimg.com/media/Eu6qCdkXcAQKAnQ.jpg" TargetMode="External"/><Relationship Id="rId1581" Type="http://schemas.openxmlformats.org/officeDocument/2006/relationships/hyperlink" Target="http://www.reformreality.com/" TargetMode="External"/><Relationship Id="rId2218" Type="http://schemas.openxmlformats.org/officeDocument/2006/relationships/hyperlink" Target="http://itnumeric.com/" TargetMode="External"/><Relationship Id="rId2425" Type="http://schemas.openxmlformats.org/officeDocument/2006/relationships/hyperlink" Target="http://louisdorard.com/machine-learning-canvas" TargetMode="External"/><Relationship Id="rId2632" Type="http://schemas.openxmlformats.org/officeDocument/2006/relationships/hyperlink" Target="http://thebeebs.net/" TargetMode="External"/><Relationship Id="rId80" Type="http://schemas.openxmlformats.org/officeDocument/2006/relationships/hyperlink" Target="http://bit.ly/3skrj9N" TargetMode="External"/><Relationship Id="rId604" Type="http://schemas.openxmlformats.org/officeDocument/2006/relationships/hyperlink" Target="http://www.marktechpost.com/" TargetMode="External"/><Relationship Id="rId811" Type="http://schemas.openxmlformats.org/officeDocument/2006/relationships/hyperlink" Target="https://neurons.ai/blog/news-stories/international-lab-to-focus-on-interface-of-ai-and-humans/" TargetMode="External"/><Relationship Id="rId1027" Type="http://schemas.openxmlformats.org/officeDocument/2006/relationships/hyperlink" Target="https://infl.tv/i7cz" TargetMode="External"/><Relationship Id="rId1234" Type="http://schemas.openxmlformats.org/officeDocument/2006/relationships/hyperlink" Target="https://sea.mashable.com/tech/14642/spotify-announces-new-hifi-streaming-tier-for-lossless-audio" TargetMode="External"/><Relationship Id="rId1441" Type="http://schemas.openxmlformats.org/officeDocument/2006/relationships/hyperlink" Target="http://blueorange.digital/" TargetMode="External"/><Relationship Id="rId1301" Type="http://schemas.openxmlformats.org/officeDocument/2006/relationships/hyperlink" Target="http://bit.ly/3slk5SS" TargetMode="External"/><Relationship Id="rId3199" Type="http://schemas.openxmlformats.org/officeDocument/2006/relationships/hyperlink" Target="https://www.couponed12.com/" TargetMode="External"/><Relationship Id="rId3059" Type="http://schemas.openxmlformats.org/officeDocument/2006/relationships/hyperlink" Target="https://www.itviconsultants.com/" TargetMode="External"/><Relationship Id="rId3266" Type="http://schemas.openxmlformats.org/officeDocument/2006/relationships/hyperlink" Target="http://adnanhashmi.co/" TargetMode="External"/><Relationship Id="rId3473" Type="http://schemas.openxmlformats.org/officeDocument/2006/relationships/hyperlink" Target="https://ift.tt/2MfKsuj" TargetMode="External"/><Relationship Id="rId187" Type="http://schemas.openxmlformats.org/officeDocument/2006/relationships/hyperlink" Target="https://liwaiwai.com/" TargetMode="External"/><Relationship Id="rId394" Type="http://schemas.openxmlformats.org/officeDocument/2006/relationships/hyperlink" Target="https://bit.ly/3aJx62M" TargetMode="External"/><Relationship Id="rId2075" Type="http://schemas.openxmlformats.org/officeDocument/2006/relationships/hyperlink" Target="https://gamer-geek-news.com/" TargetMode="External"/><Relationship Id="rId2282" Type="http://schemas.openxmlformats.org/officeDocument/2006/relationships/hyperlink" Target="https://pbs.twimg.com/media/Eu5_7zQWgAAEowq.jpg" TargetMode="External"/><Relationship Id="rId3126" Type="http://schemas.openxmlformats.org/officeDocument/2006/relationships/hyperlink" Target="https://bit.ly/2ZDR0G4" TargetMode="External"/><Relationship Id="rId3680" Type="http://schemas.openxmlformats.org/officeDocument/2006/relationships/hyperlink" Target="https://theonebrief.com/wish-vr-ai-new-world-work/" TargetMode="External"/><Relationship Id="rId254" Type="http://schemas.openxmlformats.org/officeDocument/2006/relationships/hyperlink" Target="https://sbee.link/xqfa49ujgm" TargetMode="External"/><Relationship Id="rId1091" Type="http://schemas.openxmlformats.org/officeDocument/2006/relationships/hyperlink" Target="https://hubs.li/H0H3zJ20" TargetMode="External"/><Relationship Id="rId3333" Type="http://schemas.openxmlformats.org/officeDocument/2006/relationships/hyperlink" Target="https://roaringelephant.org/2021/02/23/episode-233-combating-global-misinformation-no-more-cookies-from-github/" TargetMode="External"/><Relationship Id="rId3540" Type="http://schemas.openxmlformats.org/officeDocument/2006/relationships/hyperlink" Target="https://www.predictly.co/" TargetMode="External"/><Relationship Id="rId114" Type="http://schemas.openxmlformats.org/officeDocument/2006/relationships/hyperlink" Target="http://www.virixcore.net/" TargetMode="External"/><Relationship Id="rId461" Type="http://schemas.openxmlformats.org/officeDocument/2006/relationships/hyperlink" Target="http://successanalytix.blogspot.com/" TargetMode="External"/><Relationship Id="rId2142" Type="http://schemas.openxmlformats.org/officeDocument/2006/relationships/hyperlink" Target="https://pbs.twimg.com/media/Eu6E69YVEAAp1JB.jpg" TargetMode="External"/><Relationship Id="rId3400" Type="http://schemas.openxmlformats.org/officeDocument/2006/relationships/hyperlink" Target="http://pic.twitter.com/1S5UftfUWr" TargetMode="External"/><Relationship Id="rId321" Type="http://schemas.openxmlformats.org/officeDocument/2006/relationships/hyperlink" Target="http://www.awakenai.org/" TargetMode="External"/><Relationship Id="rId2002" Type="http://schemas.openxmlformats.org/officeDocument/2006/relationships/hyperlink" Target="http://bit.ly/2OZ7WER" TargetMode="External"/><Relationship Id="rId2959" Type="http://schemas.openxmlformats.org/officeDocument/2006/relationships/hyperlink" Target="https://machinelearningflx.com/" TargetMode="External"/><Relationship Id="rId1768" Type="http://schemas.openxmlformats.org/officeDocument/2006/relationships/hyperlink" Target="http://www.techsutram.com/" TargetMode="External"/><Relationship Id="rId2819" Type="http://schemas.openxmlformats.org/officeDocument/2006/relationships/hyperlink" Target="http://ipfconline.fr/contacts-eng.html" TargetMode="External"/><Relationship Id="rId4174" Type="http://schemas.openxmlformats.org/officeDocument/2006/relationships/hyperlink" Target="http://neurons.ai/" TargetMode="External"/><Relationship Id="rId1628" Type="http://schemas.openxmlformats.org/officeDocument/2006/relationships/hyperlink" Target="https://www.topprofessionalrecruits.com/enews/" TargetMode="External"/><Relationship Id="rId1975" Type="http://schemas.openxmlformats.org/officeDocument/2006/relationships/hyperlink" Target="https://pbs.twimg.com/media/Eu6Pca7WQAAxk0v.jpg" TargetMode="External"/><Relationship Id="rId3190" Type="http://schemas.openxmlformats.org/officeDocument/2006/relationships/hyperlink" Target="http://www.clairvoyantsoft.com/" TargetMode="External"/><Relationship Id="rId4034" Type="http://schemas.openxmlformats.org/officeDocument/2006/relationships/hyperlink" Target="http://www.darkreading.com/vulnerabilities---threats/advanced-threats/microsoft-says-its-time-to-attack-your-machine-learning-models/d/d-id/1340072" TargetMode="External"/><Relationship Id="rId4241" Type="http://schemas.openxmlformats.org/officeDocument/2006/relationships/hyperlink" Target="https://www.statssolver.com/" TargetMode="External"/><Relationship Id="rId1835" Type="http://schemas.openxmlformats.org/officeDocument/2006/relationships/hyperlink" Target="https://www.edvicer.com/course/Artificial-Intelligence-For-Trading-34" TargetMode="External"/><Relationship Id="rId3050" Type="http://schemas.openxmlformats.org/officeDocument/2006/relationships/hyperlink" Target="https://datasciencevault.com/" TargetMode="External"/><Relationship Id="rId4101" Type="http://schemas.openxmlformats.org/officeDocument/2006/relationships/hyperlink" Target="https://pbs.twimg.com/media/Eu38ah0XUAADF9L.jpg" TargetMode="External"/><Relationship Id="rId1902" Type="http://schemas.openxmlformats.org/officeDocument/2006/relationships/hyperlink" Target="https://pubs.rsna.org/page/ai/magicians_corner" TargetMode="External"/><Relationship Id="rId3867" Type="http://schemas.openxmlformats.org/officeDocument/2006/relationships/hyperlink" Target="http://pic.twitter.com/fnM5DTamVK" TargetMode="External"/><Relationship Id="rId788" Type="http://schemas.openxmlformats.org/officeDocument/2006/relationships/hyperlink" Target="https://pbs.twimg.com/media/Eu7EX-YWgAQfz8p.jpg" TargetMode="External"/><Relationship Id="rId995" Type="http://schemas.openxmlformats.org/officeDocument/2006/relationships/hyperlink" Target="http://zumolabs.ai/" TargetMode="External"/><Relationship Id="rId2469" Type="http://schemas.openxmlformats.org/officeDocument/2006/relationships/hyperlink" Target="https://pbs.twimg.com/media/Eu52HTGXMAU-A_x.png" TargetMode="External"/><Relationship Id="rId2676" Type="http://schemas.openxmlformats.org/officeDocument/2006/relationships/hyperlink" Target="https://www.dftgames.com/" TargetMode="External"/><Relationship Id="rId2883" Type="http://schemas.openxmlformats.org/officeDocument/2006/relationships/hyperlink" Target="https://bit.ly/3pOkHPg" TargetMode="External"/><Relationship Id="rId3727" Type="http://schemas.openxmlformats.org/officeDocument/2006/relationships/hyperlink" Target="http://www.xorlogics.com/" TargetMode="External"/><Relationship Id="rId3934" Type="http://schemas.openxmlformats.org/officeDocument/2006/relationships/hyperlink" Target="https://www.forbes.com/sites/enriquedans/2021/01/21/the-future-is-taking-shape-before-oureyes" TargetMode="External"/><Relationship Id="rId648" Type="http://schemas.openxmlformats.org/officeDocument/2006/relationships/hyperlink" Target="http://www.iresearchinstitute.com/" TargetMode="External"/><Relationship Id="rId855" Type="http://schemas.openxmlformats.org/officeDocument/2006/relationships/hyperlink" Target="https://towardsai.net/p" TargetMode="External"/><Relationship Id="rId1278" Type="http://schemas.openxmlformats.org/officeDocument/2006/relationships/hyperlink" Target="https://www.forbes.com/sites/charliefink/2021/02/23/qualcomm-accelerates-ar-with-new-smart-viewer/?sh=f4567572737f" TargetMode="External"/><Relationship Id="rId1485" Type="http://schemas.openxmlformats.org/officeDocument/2006/relationships/hyperlink" Target="https://business-analytics-info.fr/" TargetMode="External"/><Relationship Id="rId1692" Type="http://schemas.openxmlformats.org/officeDocument/2006/relationships/hyperlink" Target="https://www.information-age.com/training-machine-learning-models-future-ready-123493865/" TargetMode="External"/><Relationship Id="rId2329" Type="http://schemas.openxmlformats.org/officeDocument/2006/relationships/hyperlink" Target="https://www.linkedin.com/in/iainljbrown/" TargetMode="External"/><Relationship Id="rId2536" Type="http://schemas.openxmlformats.org/officeDocument/2006/relationships/hyperlink" Target="https://pbs.twimg.com/media/Eu5yEVNXEAAwuuB.jpg" TargetMode="External"/><Relationship Id="rId2743" Type="http://schemas.openxmlformats.org/officeDocument/2006/relationships/hyperlink" Target="https://pbs.twimg.com/media/Eu29yKvU4AAykry.jpg" TargetMode="External"/><Relationship Id="rId508" Type="http://schemas.openxmlformats.org/officeDocument/2006/relationships/hyperlink" Target="https://pbs.twimg.com/media/Eu0NcjhXcAIw6rr.jpg" TargetMode="External"/><Relationship Id="rId715" Type="http://schemas.openxmlformats.org/officeDocument/2006/relationships/hyperlink" Target="https://pbs.twimg.com/media/Eu7G1I3VcAUg-OW.jpg" TargetMode="External"/><Relationship Id="rId922" Type="http://schemas.openxmlformats.org/officeDocument/2006/relationships/hyperlink" Target="http://www.marktechpost.com/" TargetMode="External"/><Relationship Id="rId1138" Type="http://schemas.openxmlformats.org/officeDocument/2006/relationships/hyperlink" Target="http://pic.twitter.com/xjRRGMhq2M" TargetMode="External"/><Relationship Id="rId1345" Type="http://schemas.openxmlformats.org/officeDocument/2006/relationships/hyperlink" Target="https://pbs.twimg.com/media/Eu6rZxzXEAM97-L.jpg" TargetMode="External"/><Relationship Id="rId1552" Type="http://schemas.openxmlformats.org/officeDocument/2006/relationships/hyperlink" Target="http://ipfconline.fr/contacts-eng.html" TargetMode="External"/><Relationship Id="rId2603" Type="http://schemas.openxmlformats.org/officeDocument/2006/relationships/hyperlink" Target="https://pbs.twimg.com/media/Eu5vnU_XEAQ1Ica.jpg" TargetMode="External"/><Relationship Id="rId2950" Type="http://schemas.openxmlformats.org/officeDocument/2006/relationships/hyperlink" Target="https://bit.ly/37q60vw" TargetMode="External"/><Relationship Id="rId1205" Type="http://schemas.openxmlformats.org/officeDocument/2006/relationships/hyperlink" Target="https://pbs.twimg.com/media/Eu6yiowVgAAQAZt.jpg" TargetMode="External"/><Relationship Id="rId2810" Type="http://schemas.openxmlformats.org/officeDocument/2006/relationships/hyperlink" Target="https://www.pimloc.com/blog-1/what-do-the-machines-think" TargetMode="External"/><Relationship Id="rId51" Type="http://schemas.openxmlformats.org/officeDocument/2006/relationships/hyperlink" Target="http://www.philippe-fournier-viger.com/spmf/" TargetMode="External"/><Relationship Id="rId1412" Type="http://schemas.openxmlformats.org/officeDocument/2006/relationships/hyperlink" Target="https://radiosheit.home.blog/" TargetMode="External"/><Relationship Id="rId3377" Type="http://schemas.openxmlformats.org/officeDocument/2006/relationships/hyperlink" Target="https://choyou.com/" TargetMode="External"/><Relationship Id="rId298" Type="http://schemas.openxmlformats.org/officeDocument/2006/relationships/hyperlink" Target="http://www.awakenai.org/" TargetMode="External"/><Relationship Id="rId3584" Type="http://schemas.openxmlformats.org/officeDocument/2006/relationships/hyperlink" Target="http://www.karunadutechnologies.com/" TargetMode="External"/><Relationship Id="rId3791" Type="http://schemas.openxmlformats.org/officeDocument/2006/relationships/hyperlink" Target="https://pbs.twimg.com/media/Eu4fFHeWQAIKHWa.jpg" TargetMode="External"/><Relationship Id="rId158" Type="http://schemas.openxmlformats.org/officeDocument/2006/relationships/hyperlink" Target="http://www.dld.co/" TargetMode="External"/><Relationship Id="rId2186" Type="http://schemas.openxmlformats.org/officeDocument/2006/relationships/hyperlink" Target="http://www.datascientists.fr/" TargetMode="External"/><Relationship Id="rId2393" Type="http://schemas.openxmlformats.org/officeDocument/2006/relationships/hyperlink" Target="https://pbs.twimg.com/media/Eu55-PaVEAEmMSK.png" TargetMode="External"/><Relationship Id="rId3237" Type="http://schemas.openxmlformats.org/officeDocument/2006/relationships/hyperlink" Target="https://pbs.twimg.com/media/Eu5Or_DUYAcrwbC.jpg" TargetMode="External"/><Relationship Id="rId3444" Type="http://schemas.openxmlformats.org/officeDocument/2006/relationships/hyperlink" Target="http://onelink.to/ymurw6" TargetMode="External"/><Relationship Id="rId3651" Type="http://schemas.openxmlformats.org/officeDocument/2006/relationships/hyperlink" Target="http://pic.twitter.com/4wqUPw9vaT" TargetMode="External"/><Relationship Id="rId365" Type="http://schemas.openxmlformats.org/officeDocument/2006/relationships/hyperlink" Target="https://bit.ly/3kihgiY" TargetMode="External"/><Relationship Id="rId572" Type="http://schemas.openxmlformats.org/officeDocument/2006/relationships/hyperlink" Target="https://bit.ly/3pKmeGg" TargetMode="External"/><Relationship Id="rId2046" Type="http://schemas.openxmlformats.org/officeDocument/2006/relationships/hyperlink" Target="https://www.campusbigdata.com/" TargetMode="External"/><Relationship Id="rId2253" Type="http://schemas.openxmlformats.org/officeDocument/2006/relationships/hyperlink" Target="https://pbs.twimg.com/media/Eu6AxnQXcAIa3ln.jpg" TargetMode="External"/><Relationship Id="rId2460" Type="http://schemas.openxmlformats.org/officeDocument/2006/relationships/hyperlink" Target="https://neurons.ai/blog/news-stories/machine-learning-as-a-service-mlaas-market-growth-size-opportunities-and-analysis-forecast-2/" TargetMode="External"/><Relationship Id="rId3304" Type="http://schemas.openxmlformats.org/officeDocument/2006/relationships/hyperlink" Target="https://bit.ly/2ZF77mX" TargetMode="External"/><Relationship Id="rId3511" Type="http://schemas.openxmlformats.org/officeDocument/2006/relationships/hyperlink" Target="https://pbs.twimg.com/media/Eu42cjWXMAEr6XP.jpg" TargetMode="External"/><Relationship Id="rId225" Type="http://schemas.openxmlformats.org/officeDocument/2006/relationships/hyperlink" Target="https://www.linkedin.com/in/imtiaz-adam-7467528/" TargetMode="External"/><Relationship Id="rId432" Type="http://schemas.openxmlformats.org/officeDocument/2006/relationships/hyperlink" Target="https://pbs.twimg.com/media/Eu7ScxlWgAUGfzg.jpg" TargetMode="External"/><Relationship Id="rId1062" Type="http://schemas.openxmlformats.org/officeDocument/2006/relationships/hyperlink" Target="https://www.couponed12.com/" TargetMode="External"/><Relationship Id="rId2113" Type="http://schemas.openxmlformats.org/officeDocument/2006/relationships/hyperlink" Target="https://www.linkedin.com/in/cciauri/" TargetMode="External"/><Relationship Id="rId2320" Type="http://schemas.openxmlformats.org/officeDocument/2006/relationships/hyperlink" Target="https://bit.ly/2Mf7lOk" TargetMode="External"/><Relationship Id="rId4078" Type="http://schemas.openxmlformats.org/officeDocument/2006/relationships/hyperlink" Target="https://pbs.twimg.com/media/Eu3-T89VIAc5_e3.jpg" TargetMode="External"/><Relationship Id="rId1879" Type="http://schemas.openxmlformats.org/officeDocument/2006/relationships/hyperlink" Target="https://pbs.twimg.com/media/Eu6TtapVcAIp3P2.jpg" TargetMode="External"/><Relationship Id="rId3094" Type="http://schemas.openxmlformats.org/officeDocument/2006/relationships/hyperlink" Target="https://bit.ly/3qQnfhe" TargetMode="External"/><Relationship Id="rId4145" Type="http://schemas.openxmlformats.org/officeDocument/2006/relationships/hyperlink" Target="http://www.marktechpost.com/" TargetMode="External"/><Relationship Id="rId1739" Type="http://schemas.openxmlformats.org/officeDocument/2006/relationships/hyperlink" Target="https://www.reddit.com/r/MachineLearning/comments/lqh9br/d_a_good_title_is_all_you_need/" TargetMode="External"/><Relationship Id="rId1946" Type="http://schemas.openxmlformats.org/officeDocument/2006/relationships/hyperlink" Target="http://www.pandata.qa/" TargetMode="External"/><Relationship Id="rId4005" Type="http://schemas.openxmlformats.org/officeDocument/2006/relationships/hyperlink" Target="https://pbs.twimg.com/media/Eu35ml7VkAQbX7g.jpg" TargetMode="External"/><Relationship Id="rId1806" Type="http://schemas.openxmlformats.org/officeDocument/2006/relationships/hyperlink" Target="https://informalai.com/" TargetMode="External"/><Relationship Id="rId3161" Type="http://schemas.openxmlformats.org/officeDocument/2006/relationships/hyperlink" Target="https://upcommons.upc.edu/handle/2117/340312" TargetMode="External"/><Relationship Id="rId4212" Type="http://schemas.openxmlformats.org/officeDocument/2006/relationships/hyperlink" Target="http://businessoverbroadway.com/" TargetMode="External"/><Relationship Id="rId3021" Type="http://schemas.openxmlformats.org/officeDocument/2006/relationships/hyperlink" Target="https://pbs.twimg.com/media/Eu5cO4qXUAEJNS_.png" TargetMode="External"/><Relationship Id="rId3978" Type="http://schemas.openxmlformats.org/officeDocument/2006/relationships/hyperlink" Target="http://www.couponfree.uk/2019/08/data-science-career-guide-interview.html" TargetMode="External"/><Relationship Id="rId899" Type="http://schemas.openxmlformats.org/officeDocument/2006/relationships/hyperlink" Target="https://moveforward100.com/scheduler/" TargetMode="External"/><Relationship Id="rId2787" Type="http://schemas.openxmlformats.org/officeDocument/2006/relationships/hyperlink" Target="http://www.qavalley.com/" TargetMode="External"/><Relationship Id="rId3838" Type="http://schemas.openxmlformats.org/officeDocument/2006/relationships/hyperlink" Target="http://www.clari5.com/" TargetMode="External"/><Relationship Id="rId759" Type="http://schemas.openxmlformats.org/officeDocument/2006/relationships/hyperlink" Target="https://www.ijyi.com/software-development-news/executive-roundtable-events-at-ijyi/" TargetMode="External"/><Relationship Id="rId966" Type="http://schemas.openxmlformats.org/officeDocument/2006/relationships/hyperlink" Target="http://stemify.ai/" TargetMode="External"/><Relationship Id="rId1389" Type="http://schemas.openxmlformats.org/officeDocument/2006/relationships/hyperlink" Target="http://kaam.de/" TargetMode="External"/><Relationship Id="rId1596" Type="http://schemas.openxmlformats.org/officeDocument/2006/relationships/hyperlink" Target="http://financemoney.net/" TargetMode="External"/><Relationship Id="rId2647" Type="http://schemas.openxmlformats.org/officeDocument/2006/relationships/hyperlink" Target="https://techflx.com/product-category/books/" TargetMode="External"/><Relationship Id="rId2994" Type="http://schemas.openxmlformats.org/officeDocument/2006/relationships/hyperlink" Target="http://dronefins.ai/" TargetMode="External"/><Relationship Id="rId619" Type="http://schemas.openxmlformats.org/officeDocument/2006/relationships/hyperlink" Target="http://ow.ly/3s1E50DHA2R" TargetMode="External"/><Relationship Id="rId1249" Type="http://schemas.openxmlformats.org/officeDocument/2006/relationships/hyperlink" Target="https://twitter.com/sueoceanphoton/status/1363966537548394502" TargetMode="External"/><Relationship Id="rId2854" Type="http://schemas.openxmlformats.org/officeDocument/2006/relationships/hyperlink" Target="https://twitter.com/Theslimevids/status/1353194137785409537" TargetMode="External"/><Relationship Id="rId3905" Type="http://schemas.openxmlformats.org/officeDocument/2006/relationships/hyperlink" Target="http://www.apistartup.com/" TargetMode="External"/><Relationship Id="rId95" Type="http://schemas.openxmlformats.org/officeDocument/2006/relationships/hyperlink" Target="https://www.unite.ai/top-machine-learning-certifications/" TargetMode="External"/><Relationship Id="rId826" Type="http://schemas.openxmlformats.org/officeDocument/2006/relationships/hyperlink" Target="http://neurons.ai/" TargetMode="External"/><Relationship Id="rId1109" Type="http://schemas.openxmlformats.org/officeDocument/2006/relationships/hyperlink" Target="https://buff.ly/3qCGnz6" TargetMode="External"/><Relationship Id="rId1456" Type="http://schemas.openxmlformats.org/officeDocument/2006/relationships/hyperlink" Target="https://www.linkedin.com/in/iainljbrown/" TargetMode="External"/><Relationship Id="rId1663" Type="http://schemas.openxmlformats.org/officeDocument/2006/relationships/hyperlink" Target="https://www.frontiersin.org/articles/10.3389/fmicb.2021.635781/full" TargetMode="External"/><Relationship Id="rId1870" Type="http://schemas.openxmlformats.org/officeDocument/2006/relationships/hyperlink" Target="https://www.botomation.ai/" TargetMode="External"/><Relationship Id="rId2507" Type="http://schemas.openxmlformats.org/officeDocument/2006/relationships/hyperlink" Target="https://bit.ly/3kggCSW" TargetMode="External"/><Relationship Id="rId2714" Type="http://schemas.openxmlformats.org/officeDocument/2006/relationships/hyperlink" Target="https://pbs.twimg.com/media/Eu5oKGKVoAgJblX.jpg" TargetMode="External"/><Relationship Id="rId2921" Type="http://schemas.openxmlformats.org/officeDocument/2006/relationships/hyperlink" Target="http://greatbot.io/" TargetMode="External"/><Relationship Id="rId1316" Type="http://schemas.openxmlformats.org/officeDocument/2006/relationships/hyperlink" Target="http://www.e-medtools.com/Medicare_Coding_Tool.html" TargetMode="External"/><Relationship Id="rId1523" Type="http://schemas.openxmlformats.org/officeDocument/2006/relationships/hyperlink" Target="https://twitter.com/AjpCards/status/1364043954707128320" TargetMode="External"/><Relationship Id="rId1730" Type="http://schemas.openxmlformats.org/officeDocument/2006/relationships/hyperlink" Target="http://ipfconline.fr/contacts-eng.html" TargetMode="External"/><Relationship Id="rId22" Type="http://schemas.openxmlformats.org/officeDocument/2006/relationships/hyperlink" Target="http://www.globalbigdataconference.com/santa-clara/global-artificial-intelligence-virtual-bootcamp/s" TargetMode="External"/><Relationship Id="rId3488" Type="http://schemas.openxmlformats.org/officeDocument/2006/relationships/hyperlink" Target="https://www.mygreatlearning.com/blog/machine-learning-interview-questions/" TargetMode="External"/><Relationship Id="rId3695" Type="http://schemas.openxmlformats.org/officeDocument/2006/relationships/hyperlink" Target="https://pbs.twimg.com/media/Eu4nBQJWgAUKjI_.png" TargetMode="External"/><Relationship Id="rId2297" Type="http://schemas.openxmlformats.org/officeDocument/2006/relationships/hyperlink" Target="https://hubs.la/H0DsqzB0" TargetMode="External"/><Relationship Id="rId3348" Type="http://schemas.openxmlformats.org/officeDocument/2006/relationships/hyperlink" Target="https://towardsdatascience.com/best-python-libraries-for-machine-learning-and-deep-learning-b0bd40c7e8c" TargetMode="External"/><Relationship Id="rId3555" Type="http://schemas.openxmlformats.org/officeDocument/2006/relationships/hyperlink" Target="https://www.unfsu.org/" TargetMode="External"/><Relationship Id="rId3762" Type="http://schemas.openxmlformats.org/officeDocument/2006/relationships/hyperlink" Target="https://buff.ly/3bqdorU" TargetMode="External"/><Relationship Id="rId269" Type="http://schemas.openxmlformats.org/officeDocument/2006/relationships/hyperlink" Target="https://github.com/akshitagupta15june" TargetMode="External"/><Relationship Id="rId476" Type="http://schemas.openxmlformats.org/officeDocument/2006/relationships/hyperlink" Target="http://bit.ly/3oHZtTG" TargetMode="External"/><Relationship Id="rId683" Type="http://schemas.openxmlformats.org/officeDocument/2006/relationships/hyperlink" Target="http://pic.twitter.com/GcMBHLXlzu" TargetMode="External"/><Relationship Id="rId890" Type="http://schemas.openxmlformats.org/officeDocument/2006/relationships/hyperlink" Target="https://www.ida.liu.se/research/machinelearning/seminars/" TargetMode="External"/><Relationship Id="rId2157" Type="http://schemas.openxmlformats.org/officeDocument/2006/relationships/hyperlink" Target="https://blogs.idc.com/2021/02/08/the-internet-of-things-market-at-a-glance/" TargetMode="External"/><Relationship Id="rId2364" Type="http://schemas.openxmlformats.org/officeDocument/2006/relationships/hyperlink" Target="https://pbs.twimg.com/media/Eu58QyjXIAc6-cO.jpg" TargetMode="External"/><Relationship Id="rId2571" Type="http://schemas.openxmlformats.org/officeDocument/2006/relationships/hyperlink" Target="https://cutt.ly/IllNbt7" TargetMode="External"/><Relationship Id="rId3208" Type="http://schemas.openxmlformats.org/officeDocument/2006/relationships/hyperlink" Target="https://www.sigmoid.com/" TargetMode="External"/><Relationship Id="rId3415" Type="http://schemas.openxmlformats.org/officeDocument/2006/relationships/hyperlink" Target="https://www.allsoftsolutions.in/" TargetMode="External"/><Relationship Id="rId129" Type="http://schemas.openxmlformats.org/officeDocument/2006/relationships/hyperlink" Target="https://go.hotmart.com/N45925741D" TargetMode="External"/><Relationship Id="rId336" Type="http://schemas.openxmlformats.org/officeDocument/2006/relationships/hyperlink" Target="http://www.digitalinsuranceagenda.com/" TargetMode="External"/><Relationship Id="rId543" Type="http://schemas.openxmlformats.org/officeDocument/2006/relationships/hyperlink" Target="https://pbs.twimg.com/media/Eu7N9y2XYAUEUn3.jpg" TargetMode="External"/><Relationship Id="rId1173" Type="http://schemas.openxmlformats.org/officeDocument/2006/relationships/hyperlink" Target="https://buff.ly/3aJyouC" TargetMode="External"/><Relationship Id="rId1380" Type="http://schemas.openxmlformats.org/officeDocument/2006/relationships/hyperlink" Target="https://www.nexsoftsys.com/" TargetMode="External"/><Relationship Id="rId2017" Type="http://schemas.openxmlformats.org/officeDocument/2006/relationships/hyperlink" Target="https://www.theverge.com/2021/2/22/22295043/microsoft-word-text-predictions-feature-march-release-date" TargetMode="External"/><Relationship Id="rId2224" Type="http://schemas.openxmlformats.org/officeDocument/2006/relationships/hyperlink" Target="https://pbs.twimg.com/media/Eu6CTA0XUAEbp4B.jpg" TargetMode="External"/><Relationship Id="rId3622" Type="http://schemas.openxmlformats.org/officeDocument/2006/relationships/hyperlink" Target="http://www.margarisventures.com/" TargetMode="External"/><Relationship Id="rId403" Type="http://schemas.openxmlformats.org/officeDocument/2006/relationships/hyperlink" Target="https://vaaaaanquish.jp/" TargetMode="External"/><Relationship Id="rId750" Type="http://schemas.openxmlformats.org/officeDocument/2006/relationships/hyperlink" Target="https://pbs.twimg.com/media/Eu7F97tWYAAJowQ.jpg" TargetMode="External"/><Relationship Id="rId1033" Type="http://schemas.openxmlformats.org/officeDocument/2006/relationships/hyperlink" Target="https://pub.towardsai.net/" TargetMode="External"/><Relationship Id="rId2431" Type="http://schemas.openxmlformats.org/officeDocument/2006/relationships/hyperlink" Target="https://www.journeyhero.net/technology/" TargetMode="External"/><Relationship Id="rId4189" Type="http://schemas.openxmlformats.org/officeDocument/2006/relationships/hyperlink" Target="https://machinelearningflx.com/" TargetMode="External"/><Relationship Id="rId610" Type="http://schemas.openxmlformats.org/officeDocument/2006/relationships/hyperlink" Target="https://google.smh.re/1zL" TargetMode="External"/><Relationship Id="rId1240" Type="http://schemas.openxmlformats.org/officeDocument/2006/relationships/hyperlink" Target="http://www.globalfloodsystem.com/" TargetMode="External"/><Relationship Id="rId4049" Type="http://schemas.openxmlformats.org/officeDocument/2006/relationships/hyperlink" Target="https://pbs.twimg.com/media/Eu4AqHXWgAAPdjw.jpg" TargetMode="External"/><Relationship Id="rId1100" Type="http://schemas.openxmlformats.org/officeDocument/2006/relationships/hyperlink" Target="https://pbs.twimg.com/media/Eu620_xVEAMKB2D.jpg" TargetMode="External"/><Relationship Id="rId4256" Type="http://schemas.openxmlformats.org/officeDocument/2006/relationships/hyperlink" Target="https://twitter.com/zachking/status/1287772758256959488" TargetMode="External"/><Relationship Id="rId1917" Type="http://schemas.openxmlformats.org/officeDocument/2006/relationships/hyperlink" Target="https://pbs.twimg.com/media/EsW_MOHW4AAEh8h.jpg" TargetMode="External"/><Relationship Id="rId3065" Type="http://schemas.openxmlformats.org/officeDocument/2006/relationships/hyperlink" Target="https://pbs.twimg.com/media/Eu5aHBUVgAAr2Fi.jpg" TargetMode="External"/><Relationship Id="rId3272" Type="http://schemas.openxmlformats.org/officeDocument/2006/relationships/hyperlink" Target="http://pic.twitter.com/hsr9wmvWmz" TargetMode="External"/><Relationship Id="rId4116" Type="http://schemas.openxmlformats.org/officeDocument/2006/relationships/hyperlink" Target="http://www.margarisventures.com/" TargetMode="External"/><Relationship Id="rId193" Type="http://schemas.openxmlformats.org/officeDocument/2006/relationships/hyperlink" Target="https://goo.gl/3TFrjv" TargetMode="External"/><Relationship Id="rId2081" Type="http://schemas.openxmlformats.org/officeDocument/2006/relationships/hyperlink" Target="https://www.engadget.com/spotify-npr-podcasts-global-streaming-110006310.html" TargetMode="External"/><Relationship Id="rId3132" Type="http://schemas.openxmlformats.org/officeDocument/2006/relationships/hyperlink" Target="https://pbs.twimg.com/media/Eu5WrAsXMAQagKj.jpg" TargetMode="External"/><Relationship Id="rId260" Type="http://schemas.openxmlformats.org/officeDocument/2006/relationships/hyperlink" Target="https://howtolearnmachinelearning.com/books/machine-learning-books/deep-learning-goodfellow/" TargetMode="External"/><Relationship Id="rId120" Type="http://schemas.openxmlformats.org/officeDocument/2006/relationships/hyperlink" Target="http://discovranalytics.co/" TargetMode="External"/><Relationship Id="rId2898" Type="http://schemas.openxmlformats.org/officeDocument/2006/relationships/hyperlink" Target="https://bit.ly/3uhkWWJ" TargetMode="External"/><Relationship Id="rId3949" Type="http://schemas.openxmlformats.org/officeDocument/2006/relationships/hyperlink" Target="http://pic.twitter.com/0GZPO58606" TargetMode="External"/><Relationship Id="rId2758" Type="http://schemas.openxmlformats.org/officeDocument/2006/relationships/hyperlink" Target="https://bit.ly/3qQw8HC" TargetMode="External"/><Relationship Id="rId2965" Type="http://schemas.openxmlformats.org/officeDocument/2006/relationships/hyperlink" Target="http://www.master-cesma.it/" TargetMode="External"/><Relationship Id="rId3809" Type="http://schemas.openxmlformats.org/officeDocument/2006/relationships/hyperlink" Target="https://machinelearningflx.com/" TargetMode="External"/><Relationship Id="rId937" Type="http://schemas.openxmlformats.org/officeDocument/2006/relationships/hyperlink" Target="http://homacapital.fr/" TargetMode="External"/><Relationship Id="rId1567" Type="http://schemas.openxmlformats.org/officeDocument/2006/relationships/hyperlink" Target="https://lnkd.in/drdcmSX" TargetMode="External"/><Relationship Id="rId1774" Type="http://schemas.openxmlformats.org/officeDocument/2006/relationships/hyperlink" Target="http://www.lifebit.ai/" TargetMode="External"/><Relationship Id="rId1981" Type="http://schemas.openxmlformats.org/officeDocument/2006/relationships/hyperlink" Target="https://www.continental.com/en/press/press-releases/invest-in-recogni-247604" TargetMode="External"/><Relationship Id="rId2618" Type="http://schemas.openxmlformats.org/officeDocument/2006/relationships/hyperlink" Target="https://machinelearningflx.com/" TargetMode="External"/><Relationship Id="rId2825" Type="http://schemas.openxmlformats.org/officeDocument/2006/relationships/hyperlink" Target="https://www.reddit.com/r/MachineLearning/comments/ljx92n/d_machine_learning_wayr_what_are_you_reading_week/" TargetMode="External"/><Relationship Id="rId4180" Type="http://schemas.openxmlformats.org/officeDocument/2006/relationships/hyperlink" Target="https://www.marktechpost.com/2021/01/22/max-planck-institute-and-facebook-reality-labs-develop-a-model-that-performs-human-re-rendering-from-a-single-image" TargetMode="External"/><Relationship Id="rId66" Type="http://schemas.openxmlformats.org/officeDocument/2006/relationships/hyperlink" Target="http://www.linkedin.com/in/sajid-mirza1" TargetMode="External"/><Relationship Id="rId1427" Type="http://schemas.openxmlformats.org/officeDocument/2006/relationships/hyperlink" Target="https://ift.tt/2ZEb23c" TargetMode="External"/><Relationship Id="rId1634" Type="http://schemas.openxmlformats.org/officeDocument/2006/relationships/hyperlink" Target="https://buff.ly/2Nl2ig1" TargetMode="External"/><Relationship Id="rId1841" Type="http://schemas.openxmlformats.org/officeDocument/2006/relationships/hyperlink" Target="https://independent.academia.edu/FrancMilburn" TargetMode="External"/><Relationship Id="rId4040" Type="http://schemas.openxmlformats.org/officeDocument/2006/relationships/hyperlink" Target="https://www.hsph.harvard.edu/news/hsph-in-the-news/machine-learning-sheds-new-light-on-how-walnuts-benefit-health/" TargetMode="External"/><Relationship Id="rId3599" Type="http://schemas.openxmlformats.org/officeDocument/2006/relationships/hyperlink" Target="https://pbs.twimg.com/media/Eu4wu0JXUAApO-J.png" TargetMode="External"/><Relationship Id="rId1701" Type="http://schemas.openxmlformats.org/officeDocument/2006/relationships/hyperlink" Target="https://pbs.twimg.com/media/Eu6bvnLXcAYGl-K.jpg" TargetMode="External"/><Relationship Id="rId3459" Type="http://schemas.openxmlformats.org/officeDocument/2006/relationships/hyperlink" Target="https://machinelearningflx.com/" TargetMode="External"/><Relationship Id="rId3666" Type="http://schemas.openxmlformats.org/officeDocument/2006/relationships/hyperlink" Target="https://pbs.twimg.com/media/Eu4pgweVkAEKqQl.jpg" TargetMode="External"/><Relationship Id="rId587" Type="http://schemas.openxmlformats.org/officeDocument/2006/relationships/hyperlink" Target="https://pbs.twimg.com/media/Eu7MXlfXUAIYmKo.png" TargetMode="External"/><Relationship Id="rId2268" Type="http://schemas.openxmlformats.org/officeDocument/2006/relationships/hyperlink" Target="https://paullopez.ai/" TargetMode="External"/><Relationship Id="rId3319" Type="http://schemas.openxmlformats.org/officeDocument/2006/relationships/hyperlink" Target="https://pbs.twimg.com/media/Eu5J6HsXcAIJpWZ.jpg" TargetMode="External"/><Relationship Id="rId3873" Type="http://schemas.openxmlformats.org/officeDocument/2006/relationships/hyperlink" Target="https://hubs.ly/H0G-_MK0" TargetMode="External"/><Relationship Id="rId447" Type="http://schemas.openxmlformats.org/officeDocument/2006/relationships/hyperlink" Target="https://buff.ly/2ZJ5Gnb" TargetMode="External"/><Relationship Id="rId794" Type="http://schemas.openxmlformats.org/officeDocument/2006/relationships/hyperlink" Target="http://ow.ly/vw9H50DHKx1" TargetMode="External"/><Relationship Id="rId1077" Type="http://schemas.openxmlformats.org/officeDocument/2006/relationships/hyperlink" Target="https://pbs.twimg.com/media/Eu6qRemWQAgH_kX.jpg" TargetMode="External"/><Relationship Id="rId2128" Type="http://schemas.openxmlformats.org/officeDocument/2006/relationships/hyperlink" Target="https://pbs.twimg.com/media/Eu6HmJVUYAQH90A.jpg" TargetMode="External"/><Relationship Id="rId2475" Type="http://schemas.openxmlformats.org/officeDocument/2006/relationships/hyperlink" Target="https://youtu.be/4h0T6GLLlUo" TargetMode="External"/><Relationship Id="rId2682" Type="http://schemas.openxmlformats.org/officeDocument/2006/relationships/hyperlink" Target="https://babin-business-consulting.com/blog" TargetMode="External"/><Relationship Id="rId3526" Type="http://schemas.openxmlformats.org/officeDocument/2006/relationships/hyperlink" Target="http://wellthatsinteresting.tech/" TargetMode="External"/><Relationship Id="rId3733" Type="http://schemas.openxmlformats.org/officeDocument/2006/relationships/hyperlink" Target="https://theparlour.substack.com/p/history-of-machine-learning-in-finance?utm_campaign=post&amp;utm_medium=web&amp;utm_source=twitter" TargetMode="External"/><Relationship Id="rId3940" Type="http://schemas.openxmlformats.org/officeDocument/2006/relationships/hyperlink" Target="https://pbs.twimg.com/media/Eu4LBtPXAAAfKMb.jpg" TargetMode="External"/><Relationship Id="rId654" Type="http://schemas.openxmlformats.org/officeDocument/2006/relationships/hyperlink" Target="https://pbs.twimg.com/media/Eu7KPQ3XcAMmgDX.png" TargetMode="External"/><Relationship Id="rId861" Type="http://schemas.openxmlformats.org/officeDocument/2006/relationships/hyperlink" Target="https://www.musehc.com/recent-visits-m-use-case" TargetMode="External"/><Relationship Id="rId1284" Type="http://schemas.openxmlformats.org/officeDocument/2006/relationships/hyperlink" Target="https://www.bbva.com.ar/" TargetMode="External"/><Relationship Id="rId1491" Type="http://schemas.openxmlformats.org/officeDocument/2006/relationships/hyperlink" Target="https://www.mosio.com/" TargetMode="External"/><Relationship Id="rId2335" Type="http://schemas.openxmlformats.org/officeDocument/2006/relationships/hyperlink" Target="https://blog.f-secure.com/it/" TargetMode="External"/><Relationship Id="rId2542" Type="http://schemas.openxmlformats.org/officeDocument/2006/relationships/hyperlink" Target="https://www.linkedin.com/in/eric-feuilleaubois-ph-d-43ab0925/" TargetMode="External"/><Relationship Id="rId3800" Type="http://schemas.openxmlformats.org/officeDocument/2006/relationships/hyperlink" Target="https://lnkd.in/dxU2NDS" TargetMode="External"/><Relationship Id="rId307" Type="http://schemas.openxmlformats.org/officeDocument/2006/relationships/hyperlink" Target="https://www.reddit.com/r/MachineLearning/comments/lqg3z9/r_tensorflow_functional_implementation_of/" TargetMode="External"/><Relationship Id="rId514" Type="http://schemas.openxmlformats.org/officeDocument/2006/relationships/hyperlink" Target="https://pbs.twimg.com/media/Eu7OvXJXcAE8tLl.jpg" TargetMode="External"/><Relationship Id="rId721" Type="http://schemas.openxmlformats.org/officeDocument/2006/relationships/hyperlink" Target="https://www.itviconsultants.com/" TargetMode="External"/><Relationship Id="rId1144" Type="http://schemas.openxmlformats.org/officeDocument/2006/relationships/hyperlink" Target="https://pbs.twimg.com/media/Eu605vYVgAISqwX.jpg" TargetMode="External"/><Relationship Id="rId1351" Type="http://schemas.openxmlformats.org/officeDocument/2006/relationships/hyperlink" Target="https://technode.com/2021/02/23/saic-taps-chinese-chip-startup-for-self-driving-cars/" TargetMode="External"/><Relationship Id="rId2402" Type="http://schemas.openxmlformats.org/officeDocument/2006/relationships/hyperlink" Target="http://www.jadirectives.com/" TargetMode="External"/><Relationship Id="rId1004" Type="http://schemas.openxmlformats.org/officeDocument/2006/relationships/hyperlink" Target="https://bit.ly/2YoqC2w" TargetMode="External"/><Relationship Id="rId1211" Type="http://schemas.openxmlformats.org/officeDocument/2006/relationships/hyperlink" Target="http://academy.titansofcnc.com/" TargetMode="External"/><Relationship Id="rId3176" Type="http://schemas.openxmlformats.org/officeDocument/2006/relationships/hyperlink" Target="http://bit.ly/dataactivatormasterclass" TargetMode="External"/><Relationship Id="rId3383" Type="http://schemas.openxmlformats.org/officeDocument/2006/relationships/hyperlink" Target="https://zpy.io/176309ad" TargetMode="External"/><Relationship Id="rId3590" Type="http://schemas.openxmlformats.org/officeDocument/2006/relationships/hyperlink" Target="https://pbs.twimg.com/media/Eu4x4WZXEAAHxMa.jpg" TargetMode="External"/><Relationship Id="rId4227" Type="http://schemas.openxmlformats.org/officeDocument/2006/relationships/hyperlink" Target="https://pbs.twimg.com/media/Eu3ul6oWQAQBzGC.jpg" TargetMode="External"/><Relationship Id="rId2192" Type="http://schemas.openxmlformats.org/officeDocument/2006/relationships/hyperlink" Target="https://www.thestar.com.my/tech/tech-news/2021/02/22/citizens-band-radio-from-trucks-may-have-a-future-in-autonomous-cars" TargetMode="External"/><Relationship Id="rId3036" Type="http://schemas.openxmlformats.org/officeDocument/2006/relationships/hyperlink" Target="https://pbs.twimg.com/media/Eu5aD1QXYAIKOqw.jpg" TargetMode="External"/><Relationship Id="rId3243" Type="http://schemas.openxmlformats.org/officeDocument/2006/relationships/hyperlink" Target="http://bit.ly/2TRZ1V5" TargetMode="External"/><Relationship Id="rId164" Type="http://schemas.openxmlformats.org/officeDocument/2006/relationships/hyperlink" Target="https://pub.towardsai.net/roi-based-hybrid-lossy-and-lossless-image-compression-a73ce6f9d2ea?source=rss----98111c9905da---4?source=social.tw" TargetMode="External"/><Relationship Id="rId371" Type="http://schemas.openxmlformats.org/officeDocument/2006/relationships/hyperlink" Target="https://pbs.twimg.com/media/Eu7Ubi8XEAErZDj.jpg" TargetMode="External"/><Relationship Id="rId2052" Type="http://schemas.openxmlformats.org/officeDocument/2006/relationships/hyperlink" Target="http://www.coreon.com/" TargetMode="External"/><Relationship Id="rId3450" Type="http://schemas.openxmlformats.org/officeDocument/2006/relationships/hyperlink" Target="https://teksands.ai/" TargetMode="External"/><Relationship Id="rId3103" Type="http://schemas.openxmlformats.org/officeDocument/2006/relationships/hyperlink" Target="https://www.journeyhero.net/technology/" TargetMode="External"/><Relationship Id="rId3310" Type="http://schemas.openxmlformats.org/officeDocument/2006/relationships/hyperlink" Target="https://neo4j.com/" TargetMode="External"/><Relationship Id="rId231" Type="http://schemas.openxmlformats.org/officeDocument/2006/relationships/hyperlink" Target="https://pbs.twimg.com/media/Eu7aVQcVcAUE1v1.jpg" TargetMode="External"/><Relationship Id="rId2869" Type="http://schemas.openxmlformats.org/officeDocument/2006/relationships/hyperlink" Target="https://ift.tt/37sabH2" TargetMode="External"/><Relationship Id="rId1678" Type="http://schemas.openxmlformats.org/officeDocument/2006/relationships/hyperlink" Target="http://www.optickssecurity.com/" TargetMode="External"/><Relationship Id="rId1885" Type="http://schemas.openxmlformats.org/officeDocument/2006/relationships/hyperlink" Target="https://twitter.com/jblefevre60/status/1364106297940070400" TargetMode="External"/><Relationship Id="rId2729" Type="http://schemas.openxmlformats.org/officeDocument/2006/relationships/hyperlink" Target="http://pic.twitter.com/9MNKjHATpW" TargetMode="External"/><Relationship Id="rId2936" Type="http://schemas.openxmlformats.org/officeDocument/2006/relationships/hyperlink" Target="https://aws.amazon.com/es/" TargetMode="External"/><Relationship Id="rId4084" Type="http://schemas.openxmlformats.org/officeDocument/2006/relationships/hyperlink" Target="http://pic.twitter.com/flyHOpCQSs" TargetMode="External"/><Relationship Id="rId908" Type="http://schemas.openxmlformats.org/officeDocument/2006/relationships/hyperlink" Target="https://www.careerservice.polimi.it/it-IT/Meetings/Home/Index/?eventId=23667" TargetMode="External"/><Relationship Id="rId1538" Type="http://schemas.openxmlformats.org/officeDocument/2006/relationships/hyperlink" Target="https://aisear.ch/" TargetMode="External"/><Relationship Id="rId4151" Type="http://schemas.openxmlformats.org/officeDocument/2006/relationships/hyperlink" Target="https://www.aphid.io/" TargetMode="External"/><Relationship Id="rId1745" Type="http://schemas.openxmlformats.org/officeDocument/2006/relationships/hyperlink" Target="https://pubs.acs.org/doi/10.1021/acs.jcim.0c00908" TargetMode="External"/><Relationship Id="rId1952" Type="http://schemas.openxmlformats.org/officeDocument/2006/relationships/hyperlink" Target="http://segmentive.ai/" TargetMode="External"/><Relationship Id="rId4011" Type="http://schemas.openxmlformats.org/officeDocument/2006/relationships/hyperlink" Target="https://amzn.to/3uhGvGu" TargetMode="External"/><Relationship Id="rId37" Type="http://schemas.openxmlformats.org/officeDocument/2006/relationships/hyperlink" Target="https://linktr.ee/jovianai" TargetMode="External"/><Relationship Id="rId1605" Type="http://schemas.openxmlformats.org/officeDocument/2006/relationships/hyperlink" Target="http://cariindata.id/" TargetMode="External"/><Relationship Id="rId1812" Type="http://schemas.openxmlformats.org/officeDocument/2006/relationships/hyperlink" Target="http://www.addalia.com/" TargetMode="External"/><Relationship Id="rId3777" Type="http://schemas.openxmlformats.org/officeDocument/2006/relationships/hyperlink" Target="https://bit.ly/37zzI10" TargetMode="External"/><Relationship Id="rId3984" Type="http://schemas.openxmlformats.org/officeDocument/2006/relationships/hyperlink" Target="https://pbs.twimg.com/media/Eu4GUy1UYAM4wWc.jpg" TargetMode="External"/><Relationship Id="rId698" Type="http://schemas.openxmlformats.org/officeDocument/2006/relationships/hyperlink" Target="https://www.quantamagazine.org/artificial-neural-nets-finally-yield-clues-to-how-brains-learn-20210218/" TargetMode="External"/><Relationship Id="rId2379" Type="http://schemas.openxmlformats.org/officeDocument/2006/relationships/hyperlink" Target="https://www.eletimes.com/this-robot-doesnt-need-any-electronics82959-2" TargetMode="External"/><Relationship Id="rId2586" Type="http://schemas.openxmlformats.org/officeDocument/2006/relationships/hyperlink" Target="https://medium.com/nerd-for-tech/please-human-can-you-teach-me-how-to-ai-9b272920f16f" TargetMode="External"/><Relationship Id="rId2793" Type="http://schemas.openxmlformats.org/officeDocument/2006/relationships/hyperlink" Target="https://www.mdpi.com/2073-431X/10/2/24" TargetMode="External"/><Relationship Id="rId3637" Type="http://schemas.openxmlformats.org/officeDocument/2006/relationships/hyperlink" Target="https://pbs.twimg.com/media/Eu4tTPOVoAcM9Yk.png" TargetMode="External"/><Relationship Id="rId3844" Type="http://schemas.openxmlformats.org/officeDocument/2006/relationships/hyperlink" Target="https://pbs.twimg.com/media/Eu4X-JXVkAAuXtN.jpg" TargetMode="External"/><Relationship Id="rId558" Type="http://schemas.openxmlformats.org/officeDocument/2006/relationships/hyperlink" Target="https://pbs.twimg.com/media/Eu7Nav8XEAQWGWM.jpg" TargetMode="External"/><Relationship Id="rId765" Type="http://schemas.openxmlformats.org/officeDocument/2006/relationships/hyperlink" Target="https://anoortech.com/" TargetMode="External"/><Relationship Id="rId972" Type="http://schemas.openxmlformats.org/officeDocument/2006/relationships/hyperlink" Target="https://web.br.de/interaktiv/ki-bewerbung/en/" TargetMode="External"/><Relationship Id="rId1188" Type="http://schemas.openxmlformats.org/officeDocument/2006/relationships/hyperlink" Target="https://hyspeedcomputing.com/" TargetMode="External"/><Relationship Id="rId1395" Type="http://schemas.openxmlformats.org/officeDocument/2006/relationships/hyperlink" Target="https://ca.linkedin.com/in/mikedewaal" TargetMode="External"/><Relationship Id="rId2239" Type="http://schemas.openxmlformats.org/officeDocument/2006/relationships/hyperlink" Target="https://pbs.twimg.com/media/Eu6BuYcVoAAbwnS.jpg" TargetMode="External"/><Relationship Id="rId2446" Type="http://schemas.openxmlformats.org/officeDocument/2006/relationships/hyperlink" Target="https://pbs.twimg.com/media/Eu53Z9mVgAY4dHB.jpg" TargetMode="External"/><Relationship Id="rId2653" Type="http://schemas.openxmlformats.org/officeDocument/2006/relationships/hyperlink" Target="https://pbs.twimg.com/media/Eu5rsm6WgAMbStT.jpg" TargetMode="External"/><Relationship Id="rId2860" Type="http://schemas.openxmlformats.org/officeDocument/2006/relationships/hyperlink" Target="https://www.linkedin.com/in/iainljbrown/" TargetMode="External"/><Relationship Id="rId3704" Type="http://schemas.openxmlformats.org/officeDocument/2006/relationships/hyperlink" Target="https://www.visive.ai/" TargetMode="External"/><Relationship Id="rId418" Type="http://schemas.openxmlformats.org/officeDocument/2006/relationships/hyperlink" Target="http://pic.twitter.com/Kf4eXnVcT3" TargetMode="External"/><Relationship Id="rId625" Type="http://schemas.openxmlformats.org/officeDocument/2006/relationships/hyperlink" Target="http://pnptc.com/" TargetMode="External"/><Relationship Id="rId832" Type="http://schemas.openxmlformats.org/officeDocument/2006/relationships/hyperlink" Target="http://neurons.ai/" TargetMode="External"/><Relationship Id="rId1048" Type="http://schemas.openxmlformats.org/officeDocument/2006/relationships/hyperlink" Target="https://linktr.ee/mlearning" TargetMode="External"/><Relationship Id="rId1255" Type="http://schemas.openxmlformats.org/officeDocument/2006/relationships/hyperlink" Target="https://dfdnews.com/2021/02/19/the-roller-coaster-goes-on-food-delivery-companies-in-asia-ii" TargetMode="External"/><Relationship Id="rId1462" Type="http://schemas.openxmlformats.org/officeDocument/2006/relationships/hyperlink" Target="https://www.youtube.com/watch?v=yrSz6dywOc8" TargetMode="External"/><Relationship Id="rId2306" Type="http://schemas.openxmlformats.org/officeDocument/2006/relationships/hyperlink" Target="https://lnkd.in/dZaYz7G" TargetMode="External"/><Relationship Id="rId2513" Type="http://schemas.openxmlformats.org/officeDocument/2006/relationships/hyperlink" Target="https://youtu.be/fRKhao2bzsY" TargetMode="External"/><Relationship Id="rId3911" Type="http://schemas.openxmlformats.org/officeDocument/2006/relationships/hyperlink" Target="http://www.everyday-mba.com/" TargetMode="External"/><Relationship Id="rId1115" Type="http://schemas.openxmlformats.org/officeDocument/2006/relationships/hyperlink" Target="http://www.deepdata.com/" TargetMode="External"/><Relationship Id="rId1322" Type="http://schemas.openxmlformats.org/officeDocument/2006/relationships/hyperlink" Target="https://lnkd.in/dqvG6Gh" TargetMode="External"/><Relationship Id="rId2720" Type="http://schemas.openxmlformats.org/officeDocument/2006/relationships/hyperlink" Target="https://twitter.com/Theslimevids/status/1321414501023895555" TargetMode="External"/><Relationship Id="rId3287" Type="http://schemas.openxmlformats.org/officeDocument/2006/relationships/hyperlink" Target="https://pbs.twimg.com/media/Eu5MATmWQAEykTT.jpg" TargetMode="External"/><Relationship Id="rId2096" Type="http://schemas.openxmlformats.org/officeDocument/2006/relationships/hyperlink" Target="http://neurons.ai/" TargetMode="External"/><Relationship Id="rId3494" Type="http://schemas.openxmlformats.org/officeDocument/2006/relationships/hyperlink" Target="http://www.asiainsurancereview.com/" TargetMode="External"/><Relationship Id="rId3147" Type="http://schemas.openxmlformats.org/officeDocument/2006/relationships/hyperlink" Target="https://pbs.twimg.com/media/Eu5We9kWQAIfhXT.jpg" TargetMode="External"/><Relationship Id="rId3354" Type="http://schemas.openxmlformats.org/officeDocument/2006/relationships/hyperlink" Target="http://pic.twitter.com/bxvyF3usWF" TargetMode="External"/><Relationship Id="rId3561" Type="http://schemas.openxmlformats.org/officeDocument/2006/relationships/hyperlink" Target="https://pbs.twimg.com/media/Eu4z3fiXcAEz0lM.jpg" TargetMode="External"/><Relationship Id="rId275" Type="http://schemas.openxmlformats.org/officeDocument/2006/relationships/hyperlink" Target="https://www.crossminds.ai/" TargetMode="External"/><Relationship Id="rId482" Type="http://schemas.openxmlformats.org/officeDocument/2006/relationships/hyperlink" Target="https://pbs.twimg.com/media/Eu7QOyYWgAEjBtk.jpg" TargetMode="External"/><Relationship Id="rId2163" Type="http://schemas.openxmlformats.org/officeDocument/2006/relationships/hyperlink" Target="https://www.linkedin.com/in/allakos" TargetMode="External"/><Relationship Id="rId2370" Type="http://schemas.openxmlformats.org/officeDocument/2006/relationships/hyperlink" Target="https://pbs.twimg.com/media/Eu58QexWYAUyM_6.jpg" TargetMode="External"/><Relationship Id="rId3007" Type="http://schemas.openxmlformats.org/officeDocument/2006/relationships/hyperlink" Target="https://ift.tt/3sihp8x" TargetMode="External"/><Relationship Id="rId3214" Type="http://schemas.openxmlformats.org/officeDocument/2006/relationships/hyperlink" Target="https://rubikscode.net/" TargetMode="External"/><Relationship Id="rId3421" Type="http://schemas.openxmlformats.org/officeDocument/2006/relationships/hyperlink" Target="http://www.ismg.io/" TargetMode="External"/><Relationship Id="rId135" Type="http://schemas.openxmlformats.org/officeDocument/2006/relationships/hyperlink" Target="https://qoo.ly/3avt59" TargetMode="External"/><Relationship Id="rId342" Type="http://schemas.openxmlformats.org/officeDocument/2006/relationships/hyperlink" Target="https://technative.io/ais-bias-problem-why-humanity-must-be-returned-to-ai/" TargetMode="External"/><Relationship Id="rId2023" Type="http://schemas.openxmlformats.org/officeDocument/2006/relationships/hyperlink" Target="https://www.linkedin.com/in/eric-feuilleaubois-ph-d-43ab0925/" TargetMode="External"/><Relationship Id="rId2230" Type="http://schemas.openxmlformats.org/officeDocument/2006/relationships/hyperlink" Target="http://pic.twitter.com/7dzJ4hCLnT" TargetMode="External"/><Relationship Id="rId202" Type="http://schemas.openxmlformats.org/officeDocument/2006/relationships/hyperlink" Target="http://www.awakenai.org/" TargetMode="External"/><Relationship Id="rId4195" Type="http://schemas.openxmlformats.org/officeDocument/2006/relationships/hyperlink" Target="http://www.amcsolutions.net/" TargetMode="External"/><Relationship Id="rId1789" Type="http://schemas.openxmlformats.org/officeDocument/2006/relationships/hyperlink" Target="http://khaleejmag.com/" TargetMode="External"/><Relationship Id="rId1996" Type="http://schemas.openxmlformats.org/officeDocument/2006/relationships/hyperlink" Target="https://pbs.twimg.com/media/Eu6OlLJXcAAwl-9.jpg" TargetMode="External"/><Relationship Id="rId4055" Type="http://schemas.openxmlformats.org/officeDocument/2006/relationships/hyperlink" Target="https://www.techradar.com/news/the-cheapest-5g-rugged-smartphone-costs-far-less-than-you-think/" TargetMode="External"/><Relationship Id="rId4262" Type="http://schemas.openxmlformats.org/officeDocument/2006/relationships/hyperlink" Target="https://fortune.com/2021/02/09/using-a-i-can-be-risky-business/" TargetMode="External"/><Relationship Id="rId1649" Type="http://schemas.openxmlformats.org/officeDocument/2006/relationships/hyperlink" Target="http://www.spotyourdeal.com/" TargetMode="External"/><Relationship Id="rId1856" Type="http://schemas.openxmlformats.org/officeDocument/2006/relationships/hyperlink" Target="http://github.com/ehuntober" TargetMode="External"/><Relationship Id="rId2907" Type="http://schemas.openxmlformats.org/officeDocument/2006/relationships/hyperlink" Target="https://link.medium.com/2SAx91Hw6db" TargetMode="External"/><Relationship Id="rId3071" Type="http://schemas.openxmlformats.org/officeDocument/2006/relationships/hyperlink" Target="https://likeabot.io/" TargetMode="External"/><Relationship Id="rId1509" Type="http://schemas.openxmlformats.org/officeDocument/2006/relationships/hyperlink" Target="https://pbs.twimg.com/media/Eu6kDjYXAAQnYb7.png" TargetMode="External"/><Relationship Id="rId1716" Type="http://schemas.openxmlformats.org/officeDocument/2006/relationships/hyperlink" Target="http://www.teldat.com/" TargetMode="External"/><Relationship Id="rId1923" Type="http://schemas.openxmlformats.org/officeDocument/2006/relationships/hyperlink" Target="https://www.onelink.to/programminghero" TargetMode="External"/><Relationship Id="rId4122" Type="http://schemas.openxmlformats.org/officeDocument/2006/relationships/hyperlink" Target="https://www.forbes.com/sites/jenniferhicks/2021/02/22/take-a-look-at-how-artificial-intelligence-can-improve-your-pets-health/" TargetMode="External"/><Relationship Id="rId3888" Type="http://schemas.openxmlformats.org/officeDocument/2006/relationships/hyperlink" Target="https://arxiv.org/pdf/2102.10106.pdf" TargetMode="External"/><Relationship Id="rId2697" Type="http://schemas.openxmlformats.org/officeDocument/2006/relationships/hyperlink" Target="https://www.deposy.org/en/" TargetMode="External"/><Relationship Id="rId3748" Type="http://schemas.openxmlformats.org/officeDocument/2006/relationships/hyperlink" Target="https://www.news-medical.net/news/20210222/Applications-of-Artificial-Intelligence-in-COVID-19-ICU-and-ER-situations.aspx" TargetMode="External"/><Relationship Id="rId669" Type="http://schemas.openxmlformats.org/officeDocument/2006/relationships/hyperlink" Target="https://bigdatatechwarsaw.eu/agenda/" TargetMode="External"/><Relationship Id="rId876" Type="http://schemas.openxmlformats.org/officeDocument/2006/relationships/hyperlink" Target="https://pbs.twimg.com/media/Eu7BbDOXcAAsV3G.jpg" TargetMode="External"/><Relationship Id="rId1299" Type="http://schemas.openxmlformats.org/officeDocument/2006/relationships/hyperlink" Target="https://pbs.twimg.com/media/Eu6tZvbXUAIi9x3.jpg" TargetMode="External"/><Relationship Id="rId2557" Type="http://schemas.openxmlformats.org/officeDocument/2006/relationships/hyperlink" Target="https://bit.ly/3natpGf" TargetMode="External"/><Relationship Id="rId3608" Type="http://schemas.openxmlformats.org/officeDocument/2006/relationships/hyperlink" Target="https://analyticsindiamag.com/" TargetMode="External"/><Relationship Id="rId3955" Type="http://schemas.openxmlformats.org/officeDocument/2006/relationships/hyperlink" Target="http://neurons.ai/" TargetMode="External"/><Relationship Id="rId529" Type="http://schemas.openxmlformats.org/officeDocument/2006/relationships/hyperlink" Target="https://opensource.com/article/21/1/machine-learning-python" TargetMode="External"/><Relationship Id="rId736" Type="http://schemas.openxmlformats.org/officeDocument/2006/relationships/hyperlink" Target="https://pbs.twimg.com/media/Eu7GfdRWYAMjMcq.jpg" TargetMode="External"/><Relationship Id="rId1159" Type="http://schemas.openxmlformats.org/officeDocument/2006/relationships/hyperlink" Target="https://pbs.twimg.com/media/Eu6xha9XAAECjcP.png" TargetMode="External"/><Relationship Id="rId1366" Type="http://schemas.openxmlformats.org/officeDocument/2006/relationships/hyperlink" Target="https://strathprints.strath.ac.uk/" TargetMode="External"/><Relationship Id="rId2417" Type="http://schemas.openxmlformats.org/officeDocument/2006/relationships/hyperlink" Target="http://www.audioanalytic.com/" TargetMode="External"/><Relationship Id="rId2764" Type="http://schemas.openxmlformats.org/officeDocument/2006/relationships/hyperlink" Target="https://twitter.com/new081082/status/1364139152120274950" TargetMode="External"/><Relationship Id="rId2971" Type="http://schemas.openxmlformats.org/officeDocument/2006/relationships/hyperlink" Target="http://aithority.com/" TargetMode="External"/><Relationship Id="rId3815" Type="http://schemas.openxmlformats.org/officeDocument/2006/relationships/hyperlink" Target="http://www.github.com/aravind-naidu/" TargetMode="External"/><Relationship Id="rId943" Type="http://schemas.openxmlformats.org/officeDocument/2006/relationships/hyperlink" Target="https://www.myfrugalfitness.com/" TargetMode="External"/><Relationship Id="rId1019" Type="http://schemas.openxmlformats.org/officeDocument/2006/relationships/hyperlink" Target="http://peerj.com/" TargetMode="External"/><Relationship Id="rId1573" Type="http://schemas.openxmlformats.org/officeDocument/2006/relationships/hyperlink" Target="http://dataisgood.com/" TargetMode="External"/><Relationship Id="rId1780" Type="http://schemas.openxmlformats.org/officeDocument/2006/relationships/hyperlink" Target="https://bit.ly/3dDIFdH" TargetMode="External"/><Relationship Id="rId2624" Type="http://schemas.openxmlformats.org/officeDocument/2006/relationships/hyperlink" Target="http://beyond-machine.com/" TargetMode="External"/><Relationship Id="rId2831" Type="http://schemas.openxmlformats.org/officeDocument/2006/relationships/hyperlink" Target="https://pbs.twimg.com/media/Eu5j4keWQAE0mxn.jpg" TargetMode="External"/><Relationship Id="rId72" Type="http://schemas.openxmlformats.org/officeDocument/2006/relationships/hyperlink" Target="http://dlvr.it/RtKf6d" TargetMode="External"/><Relationship Id="rId803" Type="http://schemas.openxmlformats.org/officeDocument/2006/relationships/hyperlink" Target="https://pbs.twimg.com/media/Eu7DaG4XEAA8JNw.png" TargetMode="External"/><Relationship Id="rId1226" Type="http://schemas.openxmlformats.org/officeDocument/2006/relationships/hyperlink" Target="https://www.weforum.org/agenda/2021/02/flying-ai-robot-harvest-fresh-fruit/" TargetMode="External"/><Relationship Id="rId1433" Type="http://schemas.openxmlformats.org/officeDocument/2006/relationships/hyperlink" Target="http://dailydigest.apolloenergiesinc.com/?edition_id=38464c20-75df-11eb-ae29-002590a5ba2d" TargetMode="External"/><Relationship Id="rId1640" Type="http://schemas.openxmlformats.org/officeDocument/2006/relationships/hyperlink" Target="http://dlvr.it/RtJbVP" TargetMode="External"/><Relationship Id="rId1500" Type="http://schemas.openxmlformats.org/officeDocument/2006/relationships/hyperlink" Target="https://bit.ly/2Wk46EN" TargetMode="External"/><Relationship Id="rId3398" Type="http://schemas.openxmlformats.org/officeDocument/2006/relationships/hyperlink" Target="https://www.engineeringbigdata.com/will-machine-learning-play-vital-role-2018-big-data/" TargetMode="External"/><Relationship Id="rId3258" Type="http://schemas.openxmlformats.org/officeDocument/2006/relationships/hyperlink" Target="https://bit.ly/3kJNIKw" TargetMode="External"/><Relationship Id="rId3465" Type="http://schemas.openxmlformats.org/officeDocument/2006/relationships/hyperlink" Target="https://www.linkedin.com/in/eric-feuilleaubois-ph-d-43ab0925/" TargetMode="External"/><Relationship Id="rId3672" Type="http://schemas.openxmlformats.org/officeDocument/2006/relationships/hyperlink" Target="https://stuf.in/b54wqx" TargetMode="External"/><Relationship Id="rId179" Type="http://schemas.openxmlformats.org/officeDocument/2006/relationships/hyperlink" Target="https://www.dataseer.digital/" TargetMode="External"/><Relationship Id="rId386" Type="http://schemas.openxmlformats.org/officeDocument/2006/relationships/hyperlink" Target="https://pbs.twimg.com/media/Eu7QxZSUYAg5WFD.jpg" TargetMode="External"/><Relationship Id="rId593" Type="http://schemas.openxmlformats.org/officeDocument/2006/relationships/hyperlink" Target="https://pbs.twimg.com/media/Eu7MTe8XAAcTaDG.jpg" TargetMode="External"/><Relationship Id="rId2067" Type="http://schemas.openxmlformats.org/officeDocument/2006/relationships/hyperlink" Target="https://machinelearningflx.com/" TargetMode="External"/><Relationship Id="rId2274" Type="http://schemas.openxmlformats.org/officeDocument/2006/relationships/hyperlink" Target="http://www.myrestai.com/" TargetMode="External"/><Relationship Id="rId2481" Type="http://schemas.openxmlformats.org/officeDocument/2006/relationships/hyperlink" Target="http://www.iac.cnr.it/" TargetMode="External"/><Relationship Id="rId3118" Type="http://schemas.openxmlformats.org/officeDocument/2006/relationships/hyperlink" Target="https://bit.ly/3ptJ054" TargetMode="External"/><Relationship Id="rId3325" Type="http://schemas.openxmlformats.org/officeDocument/2006/relationships/hyperlink" Target="https://pbs.twimg.com/media/Eu5J5NTVoAIF7TT.jpg" TargetMode="External"/><Relationship Id="rId3532" Type="http://schemas.openxmlformats.org/officeDocument/2006/relationships/hyperlink" Target="http://www.domesticatedbrain.com/" TargetMode="External"/><Relationship Id="rId246" Type="http://schemas.openxmlformats.org/officeDocument/2006/relationships/hyperlink" Target="http://www.awakenai.org/" TargetMode="External"/><Relationship Id="rId453" Type="http://schemas.openxmlformats.org/officeDocument/2006/relationships/hyperlink" Target="https://pbs.twimg.com/media/Eu7SGcfXIAIdyYL.jpg" TargetMode="External"/><Relationship Id="rId660" Type="http://schemas.openxmlformats.org/officeDocument/2006/relationships/hyperlink" Target="https://lnkd.in/d643GAf" TargetMode="External"/><Relationship Id="rId1083" Type="http://schemas.openxmlformats.org/officeDocument/2006/relationships/hyperlink" Target="https://paper.li/shashib/1511535667?edition_id=4fad44f0-75e8-11eb-a5c8-0cc47a0d15fd" TargetMode="External"/><Relationship Id="rId1290" Type="http://schemas.openxmlformats.org/officeDocument/2006/relationships/hyperlink" Target="http://neurons.ai/" TargetMode="External"/><Relationship Id="rId2134" Type="http://schemas.openxmlformats.org/officeDocument/2006/relationships/hyperlink" Target="https://technative.io/securing-healthcare-ai-confidential-computing/" TargetMode="External"/><Relationship Id="rId2341" Type="http://schemas.openxmlformats.org/officeDocument/2006/relationships/hyperlink" Target="https://twitter.com/nowthisnews/status/1364043048943050752" TargetMode="External"/><Relationship Id="rId106" Type="http://schemas.openxmlformats.org/officeDocument/2006/relationships/hyperlink" Target="https://buff.ly/3boqhmc" TargetMode="External"/><Relationship Id="rId313" Type="http://schemas.openxmlformats.org/officeDocument/2006/relationships/hyperlink" Target="https://machinelearningflx.com/" TargetMode="External"/><Relationship Id="rId1150" Type="http://schemas.openxmlformats.org/officeDocument/2006/relationships/hyperlink" Target="https://pyimg.co/university" TargetMode="External"/><Relationship Id="rId4099" Type="http://schemas.openxmlformats.org/officeDocument/2006/relationships/hyperlink" Target="https://machinelearningflx.com/" TargetMode="External"/><Relationship Id="rId520" Type="http://schemas.openxmlformats.org/officeDocument/2006/relationships/hyperlink" Target="https://cloudofboobs.com/" TargetMode="External"/><Relationship Id="rId2201" Type="http://schemas.openxmlformats.org/officeDocument/2006/relationships/hyperlink" Target="http://meaningoflife.blog/" TargetMode="External"/><Relationship Id="rId1010" Type="http://schemas.openxmlformats.org/officeDocument/2006/relationships/hyperlink" Target="http://www.e-medtools.com/Medicare_Coding_Tool.html" TargetMode="External"/><Relationship Id="rId1967" Type="http://schemas.openxmlformats.org/officeDocument/2006/relationships/hyperlink" Target="http://fin-ai.eu/" TargetMode="External"/><Relationship Id="rId4166" Type="http://schemas.openxmlformats.org/officeDocument/2006/relationships/hyperlink" Target="https://pbs.twimg.com/media/Eu30lksXIAAMsox.jpg" TargetMode="External"/><Relationship Id="rId4026" Type="http://schemas.openxmlformats.org/officeDocument/2006/relationships/hyperlink" Target="https://buff.ly/3kpnWMh" TargetMode="External"/><Relationship Id="rId3042" Type="http://schemas.openxmlformats.org/officeDocument/2006/relationships/hyperlink" Target="http://www.awakenai.org/" TargetMode="External"/><Relationship Id="rId3859" Type="http://schemas.openxmlformats.org/officeDocument/2006/relationships/hyperlink" Target="https://twitter.com/MachinePix/status/1349087453622185989" TargetMode="External"/><Relationship Id="rId2875" Type="http://schemas.openxmlformats.org/officeDocument/2006/relationships/hyperlink" Target="https://neurons.ai/blog/news-stories/spotify-improving-podcast-discovery-with-machine-learning/" TargetMode="External"/><Relationship Id="rId3926" Type="http://schemas.openxmlformats.org/officeDocument/2006/relationships/hyperlink" Target="https://openstatistics.org/" TargetMode="External"/><Relationship Id="rId847" Type="http://schemas.openxmlformats.org/officeDocument/2006/relationships/hyperlink" Target="https://dfdnews.com/2021/02/18/time-spent-in-video-streaming-apps-hit-nearly-1-trillion-hours-in-2020/" TargetMode="External"/><Relationship Id="rId1477" Type="http://schemas.openxmlformats.org/officeDocument/2006/relationships/hyperlink" Target="https://www.globaltechoutlook.com/" TargetMode="External"/><Relationship Id="rId1891" Type="http://schemas.openxmlformats.org/officeDocument/2006/relationships/hyperlink" Target="https://pbs.twimg.com/media/Eu6TauBUYAEC3UM.jpg" TargetMode="External"/><Relationship Id="rId2528" Type="http://schemas.openxmlformats.org/officeDocument/2006/relationships/hyperlink" Target="https://www.computing.co.uk/news/4027534/microsoft-word-ai-powered-text-prediction-feature" TargetMode="External"/><Relationship Id="rId2942" Type="http://schemas.openxmlformats.org/officeDocument/2006/relationships/hyperlink" Target="https://www.analyticsinsight.net/the-10-best-machine-learning-tools-to-look-for-in-2021/" TargetMode="External"/><Relationship Id="rId914" Type="http://schemas.openxmlformats.org/officeDocument/2006/relationships/hyperlink" Target="https://pbs.twimg.com/media/Eu6_LI2VEAAnADZ.jpg" TargetMode="External"/><Relationship Id="rId1544" Type="http://schemas.openxmlformats.org/officeDocument/2006/relationships/hyperlink" Target="http://www.data-vault.co.uk/" TargetMode="External"/><Relationship Id="rId1611" Type="http://schemas.openxmlformats.org/officeDocument/2006/relationships/hyperlink" Target="http://orcid.org/0000-0002-9106-4063" TargetMode="External"/><Relationship Id="rId3369" Type="http://schemas.openxmlformats.org/officeDocument/2006/relationships/hyperlink" Target="http://www.domesticatedbrain.com/" TargetMode="External"/><Relationship Id="rId2385" Type="http://schemas.openxmlformats.org/officeDocument/2006/relationships/hyperlink" Target="https://pbs.twimg.com/media/Eu56WJGVIAkT5oJ.jpg" TargetMode="External"/><Relationship Id="rId3783" Type="http://schemas.openxmlformats.org/officeDocument/2006/relationships/hyperlink" Target="https://bit.ly/37gENLA" TargetMode="External"/><Relationship Id="rId357" Type="http://schemas.openxmlformats.org/officeDocument/2006/relationships/hyperlink" Target="https://go.nature.com/2NQgMo2" TargetMode="External"/><Relationship Id="rId2038" Type="http://schemas.openxmlformats.org/officeDocument/2006/relationships/hyperlink" Target="https://www.reddit.com/r/MachineLearning/comments/lqdzzo/how_to_control_emotions_when_doing_research_d/" TargetMode="External"/><Relationship Id="rId3436" Type="http://schemas.openxmlformats.org/officeDocument/2006/relationships/hyperlink" Target="http://pic.twitter.com/NKJ3LbYW88" TargetMode="External"/><Relationship Id="rId3850" Type="http://schemas.openxmlformats.org/officeDocument/2006/relationships/hyperlink" Target="https://zpy.io/4ac079a2" TargetMode="External"/><Relationship Id="rId771" Type="http://schemas.openxmlformats.org/officeDocument/2006/relationships/hyperlink" Target="https://youtu.be/ZZ-kORb8grA" TargetMode="External"/><Relationship Id="rId2452" Type="http://schemas.openxmlformats.org/officeDocument/2006/relationships/hyperlink" Target="https://neurons.ai/blog/news-stories/machine-learning-in-communication-market-potential-growth-attractive-valuation-make-it-is-a-long/" TargetMode="External"/><Relationship Id="rId3503" Type="http://schemas.openxmlformats.org/officeDocument/2006/relationships/hyperlink" Target="https://ai-summary.com/summary-removing-the-wall-in-ml-ops/?utm_medium=social-organic&amp;utm_source=twitter" TargetMode="External"/><Relationship Id="rId424" Type="http://schemas.openxmlformats.org/officeDocument/2006/relationships/hyperlink" Target="http://marktechpost.com/" TargetMode="External"/><Relationship Id="rId1054" Type="http://schemas.openxmlformats.org/officeDocument/2006/relationships/hyperlink" Target="https://pbs.twimg.com/media/Eu64IyEXMAc7U_D.jpg" TargetMode="External"/><Relationship Id="rId2105" Type="http://schemas.openxmlformats.org/officeDocument/2006/relationships/hyperlink" Target="https://cutt.ly/Klzmgwj" TargetMode="External"/><Relationship Id="rId1121" Type="http://schemas.openxmlformats.org/officeDocument/2006/relationships/hyperlink" Target="http://pic.twitter.com/0gXR61RLk5" TargetMode="External"/><Relationship Id="rId4277" Type="http://schemas.openxmlformats.org/officeDocument/2006/relationships/table" Target="../tables/table2.xml"/><Relationship Id="rId3293" Type="http://schemas.openxmlformats.org/officeDocument/2006/relationships/hyperlink" Target="https://starship-knowledge.com/" TargetMode="External"/><Relationship Id="rId1938" Type="http://schemas.openxmlformats.org/officeDocument/2006/relationships/hyperlink" Target="http://www.computerworld.es/" TargetMode="External"/><Relationship Id="rId3360" Type="http://schemas.openxmlformats.org/officeDocument/2006/relationships/hyperlink" Target="https://pbs.twimg.com/media/Eu5Fe1SVkAQkAeZ.jpg" TargetMode="External"/><Relationship Id="rId281" Type="http://schemas.openxmlformats.org/officeDocument/2006/relationships/hyperlink" Target="https://www.weforum.org/agenda/2021/02/we-need-to-talk-about-artificial-intelligence/" TargetMode="External"/><Relationship Id="rId3013" Type="http://schemas.openxmlformats.org/officeDocument/2006/relationships/hyperlink" Target="https://forbes.it/2021/02/22/toyota-aurora-insieme-guida-autonoma/" TargetMode="External"/><Relationship Id="rId2779" Type="http://schemas.openxmlformats.org/officeDocument/2006/relationships/hyperlink" Target="https://twitter.com/Theslimevids/status/1335996359644565504" TargetMode="External"/><Relationship Id="rId1795" Type="http://schemas.openxmlformats.org/officeDocument/2006/relationships/hyperlink" Target="https://otoro.net/ml/" TargetMode="External"/><Relationship Id="rId2846" Type="http://schemas.openxmlformats.org/officeDocument/2006/relationships/hyperlink" Target="https://twitter.com/Theslimevids/status/1350825730062520323" TargetMode="External"/><Relationship Id="rId87" Type="http://schemas.openxmlformats.org/officeDocument/2006/relationships/hyperlink" Target="http://www.awakenai.org/" TargetMode="External"/><Relationship Id="rId818" Type="http://schemas.openxmlformats.org/officeDocument/2006/relationships/hyperlink" Target="http://neurons.ai/" TargetMode="External"/><Relationship Id="rId1448" Type="http://schemas.openxmlformats.org/officeDocument/2006/relationships/hyperlink" Target="https://www.madana.io/" TargetMode="External"/><Relationship Id="rId1862" Type="http://schemas.openxmlformats.org/officeDocument/2006/relationships/hyperlink" Target="https://link.medium.com/YVBbQcTw6db" TargetMode="External"/><Relationship Id="rId2913" Type="http://schemas.openxmlformats.org/officeDocument/2006/relationships/hyperlink" Target="https://bit.ly/3qNtTor" TargetMode="External"/><Relationship Id="rId1515" Type="http://schemas.openxmlformats.org/officeDocument/2006/relationships/hyperlink" Target="https://pbs.twimg.com/media/Eu6kUIYXEAMlhaS.png" TargetMode="External"/><Relationship Id="rId3687" Type="http://schemas.openxmlformats.org/officeDocument/2006/relationships/hyperlink" Target="https://tectales.com/ai/ai-tool-can-detect-covid-19-outbreaks.html" TargetMode="External"/><Relationship Id="rId2289" Type="http://schemas.openxmlformats.org/officeDocument/2006/relationships/hyperlink" Target="http://ow.ly/1U2s50BJpAV" TargetMode="External"/><Relationship Id="rId3754" Type="http://schemas.openxmlformats.org/officeDocument/2006/relationships/hyperlink" Target="http://htl.li/lQwR30ry0nn" TargetMode="External"/><Relationship Id="rId675" Type="http://schemas.openxmlformats.org/officeDocument/2006/relationships/hyperlink" Target="https://www.ifatticapitali.it/lupin-e-cybercrime-aumentano-furti-e-investimenti-nella-sicurezza-digitale/" TargetMode="External"/><Relationship Id="rId2356" Type="http://schemas.openxmlformats.org/officeDocument/2006/relationships/hyperlink" Target="https://machinelearningflx.com/" TargetMode="External"/><Relationship Id="rId2770" Type="http://schemas.openxmlformats.org/officeDocument/2006/relationships/hyperlink" Target="https://twitter.com/Theslimevids/status/1332289394854699012" TargetMode="External"/><Relationship Id="rId3407" Type="http://schemas.openxmlformats.org/officeDocument/2006/relationships/hyperlink" Target="https://pbs.twimg.com/media/Eu5B4fWXYAQL3YX.jpg" TargetMode="External"/><Relationship Id="rId3821" Type="http://schemas.openxmlformats.org/officeDocument/2006/relationships/hyperlink" Target="http://linkedin.com/in/gulshanyadav" TargetMode="External"/><Relationship Id="rId328" Type="http://schemas.openxmlformats.org/officeDocument/2006/relationships/hyperlink" Target="https://twitter.com/AllStreetsWolf/status/1364261746798514176" TargetMode="External"/><Relationship Id="rId742" Type="http://schemas.openxmlformats.org/officeDocument/2006/relationships/hyperlink" Target="https://bit.ly/373fxsd" TargetMode="External"/><Relationship Id="rId1372" Type="http://schemas.openxmlformats.org/officeDocument/2006/relationships/hyperlink" Target="https://pbs.twimg.com/media/Eu6chPgXAAU1OTt.jpg" TargetMode="External"/><Relationship Id="rId2009" Type="http://schemas.openxmlformats.org/officeDocument/2006/relationships/hyperlink" Target="http://geekdoctor.blogspot.com/2021/02/diabetes-meets-machine-learning-part-1.html" TargetMode="External"/><Relationship Id="rId2423" Type="http://schemas.openxmlformats.org/officeDocument/2006/relationships/hyperlink" Target="https://pbs.twimg.com/media/Eu5iyVWVkAQ6_DP.jpg" TargetMode="External"/><Relationship Id="rId1025" Type="http://schemas.openxmlformats.org/officeDocument/2006/relationships/hyperlink" Target="http://vengerovski.com/" TargetMode="External"/><Relationship Id="rId3197" Type="http://schemas.openxmlformats.org/officeDocument/2006/relationships/hyperlink" Target="http://bit.ly/2ZFbcaL" TargetMode="External"/><Relationship Id="rId4248" Type="http://schemas.openxmlformats.org/officeDocument/2006/relationships/hyperlink" Target="http://pic.twitter.com/ZAhvu8ti1Z" TargetMode="External"/><Relationship Id="rId185" Type="http://schemas.openxmlformats.org/officeDocument/2006/relationships/hyperlink" Target="https://www.linkedin.com/in/danieluriol/" TargetMode="External"/><Relationship Id="rId1909" Type="http://schemas.openxmlformats.org/officeDocument/2006/relationships/hyperlink" Target="https://www.bacancytechnology.com/blog/python-libraries-for-machine-learning" TargetMode="External"/><Relationship Id="rId3264" Type="http://schemas.openxmlformats.org/officeDocument/2006/relationships/hyperlink" Target="https://bit.ly/3aI23EA" TargetMode="External"/><Relationship Id="rId2280" Type="http://schemas.openxmlformats.org/officeDocument/2006/relationships/hyperlink" Target="http://www.rubiscape.com/" TargetMode="External"/><Relationship Id="rId3331" Type="http://schemas.openxmlformats.org/officeDocument/2006/relationships/hyperlink" Target="http://bwnews.pr/3pN0Gst" TargetMode="External"/><Relationship Id="rId252" Type="http://schemas.openxmlformats.org/officeDocument/2006/relationships/hyperlink" Target="https://buff.ly/3dCNZhr" TargetMode="External"/><Relationship Id="rId1699" Type="http://schemas.openxmlformats.org/officeDocument/2006/relationships/hyperlink" Target="https://cdait.gatech.edu/" TargetMode="External"/><Relationship Id="rId2000" Type="http://schemas.openxmlformats.org/officeDocument/2006/relationships/hyperlink" Target="https://pbs.twimg.com/media/Eu6ORihXUAEdSX-.png" TargetMode="External"/><Relationship Id="rId4172" Type="http://schemas.openxmlformats.org/officeDocument/2006/relationships/hyperlink" Target="http://bit.ly/IHhZkz" TargetMode="External"/><Relationship Id="rId1766" Type="http://schemas.openxmlformats.org/officeDocument/2006/relationships/hyperlink" Target="https://www.techsutram.com/2021/02/advanced-analytics-ai-ml-tigergraph-16-million-.html" TargetMode="External"/><Relationship Id="rId2817" Type="http://schemas.openxmlformats.org/officeDocument/2006/relationships/hyperlink" Target="https://brighterion.com/ai-powered-decision-making-for-global-credit-card-security-brighterion-ai-a-mastercard-company" TargetMode="External"/><Relationship Id="rId58" Type="http://schemas.openxmlformats.org/officeDocument/2006/relationships/hyperlink" Target="https://tinyurl.com/y7m22h3v" TargetMode="External"/><Relationship Id="rId1419" Type="http://schemas.openxmlformats.org/officeDocument/2006/relationships/hyperlink" Target="http://www.manning.com/" TargetMode="External"/><Relationship Id="rId1833" Type="http://schemas.openxmlformats.org/officeDocument/2006/relationships/hyperlink" Target="https://pbs.twimg.com/media/Eu6VrwDXMAAP1c_.jpg" TargetMode="External"/><Relationship Id="rId1900" Type="http://schemas.openxmlformats.org/officeDocument/2006/relationships/hyperlink" Target="https://pbs.twimg.com/media/Eu6TLsqXAAECU9h.png" TargetMode="External"/><Relationship Id="rId3658" Type="http://schemas.openxmlformats.org/officeDocument/2006/relationships/hyperlink" Target="https://pbs.twimg.com/media/Eu4rCApUcAcKXXC.jpg" TargetMode="External"/><Relationship Id="rId579" Type="http://schemas.openxmlformats.org/officeDocument/2006/relationships/hyperlink" Target="https://www.onelink.to/programminghero" TargetMode="External"/><Relationship Id="rId993" Type="http://schemas.openxmlformats.org/officeDocument/2006/relationships/hyperlink" Target="https://openstatistics.org/" TargetMode="External"/><Relationship Id="rId2674" Type="http://schemas.openxmlformats.org/officeDocument/2006/relationships/hyperlink" Target="https://buff.ly/3kpnWMh" TargetMode="External"/><Relationship Id="rId646" Type="http://schemas.openxmlformats.org/officeDocument/2006/relationships/hyperlink" Target="https://www.aviso.com/" TargetMode="External"/><Relationship Id="rId1276" Type="http://schemas.openxmlformats.org/officeDocument/2006/relationships/hyperlink" Target="https://pbs.twimg.com/media/Eu6ulStXMAILHIF.jpg" TargetMode="External"/><Relationship Id="rId2327" Type="http://schemas.openxmlformats.org/officeDocument/2006/relationships/hyperlink" Target="https://pbs.twimg.com/media/ERKv4FMWoAAQ8-i.jpg" TargetMode="External"/><Relationship Id="rId3725" Type="http://schemas.openxmlformats.org/officeDocument/2006/relationships/hyperlink" Target="https://buff.ly/2Z3rjz8" TargetMode="External"/><Relationship Id="rId1690" Type="http://schemas.openxmlformats.org/officeDocument/2006/relationships/hyperlink" Target="http://www.digitalinsuranceagenda.com/" TargetMode="External"/><Relationship Id="rId2741" Type="http://schemas.openxmlformats.org/officeDocument/2006/relationships/hyperlink" Target="http://www.desy.de/~apaul" TargetMode="External"/><Relationship Id="rId713" Type="http://schemas.openxmlformats.org/officeDocument/2006/relationships/hyperlink" Target="http://www.lavenir.com.co/" TargetMode="External"/><Relationship Id="rId1343" Type="http://schemas.openxmlformats.org/officeDocument/2006/relationships/hyperlink" Target="http://www.narrasoft.com/" TargetMode="External"/><Relationship Id="rId1410" Type="http://schemas.openxmlformats.org/officeDocument/2006/relationships/hyperlink" Target="http://www.geisel-software.com/" TargetMode="External"/><Relationship Id="rId3168" Type="http://schemas.openxmlformats.org/officeDocument/2006/relationships/hyperlink" Target="https://www.youtube.com/channel/UCklYFlwYOxUPougzY1ck4uA?sub_confirmation=1" TargetMode="External"/><Relationship Id="rId3582" Type="http://schemas.openxmlformats.org/officeDocument/2006/relationships/hyperlink" Target="https://bit.ly/35KbXSi" TargetMode="External"/><Relationship Id="rId4219" Type="http://schemas.openxmlformats.org/officeDocument/2006/relationships/hyperlink" Target="https://www.linkedin.com/in/danieluriol/" TargetMode="External"/><Relationship Id="rId2184" Type="http://schemas.openxmlformats.org/officeDocument/2006/relationships/hyperlink" Target="http://www.speedieconsulting.co.uk/" TargetMode="External"/><Relationship Id="rId3235" Type="http://schemas.openxmlformats.org/officeDocument/2006/relationships/hyperlink" Target="http://www.camera-module.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92A27-E29A-4056-8ECB-E3F3F50FA1BB}">
  <sheetPr codeName="Hoja1">
    <outlinePr summaryBelow="0" summaryRight="0"/>
  </sheetPr>
  <dimension ref="A1:Z3218"/>
  <sheetViews>
    <sheetView tabSelected="1" workbookViewId="0">
      <pane ySplit="2" topLeftCell="A24" activePane="bottomLeft" state="frozen"/>
      <selection pane="bottomLeft" activeCell="I43" sqref="I43"/>
    </sheetView>
  </sheetViews>
  <sheetFormatPr baseColWidth="10" defaultColWidth="14.44140625" defaultRowHeight="15.75" customHeight="1"/>
  <cols>
    <col min="1" max="2" width="15.88671875" customWidth="1"/>
    <col min="3" max="3" width="21.5546875" customWidth="1"/>
    <col min="4" max="4" width="43" customWidth="1"/>
    <col min="5" max="5" width="18.6640625" customWidth="1"/>
    <col min="6" max="6" width="21.5546875" customWidth="1"/>
  </cols>
  <sheetData>
    <row r="1" spans="1:26" ht="24" customHeight="1">
      <c r="A1" s="1"/>
      <c r="B1" s="2" t="s">
        <v>0</v>
      </c>
      <c r="C1" s="2"/>
      <c r="D1" s="2"/>
      <c r="E1" s="2"/>
      <c r="F1" s="2"/>
      <c r="G1" s="2"/>
      <c r="H1" s="2"/>
      <c r="I1" s="2"/>
      <c r="J1" s="2"/>
      <c r="K1" s="2"/>
      <c r="L1" s="3"/>
      <c r="M1" s="3"/>
      <c r="N1" s="3"/>
      <c r="O1" s="3"/>
      <c r="P1" s="3"/>
      <c r="Q1" s="2"/>
      <c r="R1" s="2"/>
      <c r="S1" s="2"/>
      <c r="T1" s="2"/>
      <c r="U1" s="3"/>
      <c r="V1" s="2"/>
      <c r="W1" s="2"/>
      <c r="X1" s="2"/>
      <c r="Y1" s="2"/>
      <c r="Z1" s="2"/>
    </row>
    <row r="2" spans="1:26" ht="24" customHeight="1">
      <c r="A2" s="4" t="s">
        <v>1</v>
      </c>
      <c r="B2" s="5" t="s">
        <v>2</v>
      </c>
      <c r="C2" s="5" t="s">
        <v>3</v>
      </c>
      <c r="D2" s="5" t="s">
        <v>4</v>
      </c>
      <c r="E2" s="5" t="s">
        <v>5</v>
      </c>
      <c r="F2" s="5" t="s">
        <v>6</v>
      </c>
      <c r="G2" s="5" t="s">
        <v>7</v>
      </c>
      <c r="H2" s="5" t="s">
        <v>8</v>
      </c>
      <c r="I2" s="5" t="s">
        <v>9</v>
      </c>
      <c r="J2" s="5" t="s">
        <v>10</v>
      </c>
      <c r="K2" s="5" t="s">
        <v>11</v>
      </c>
      <c r="L2" s="4" t="s">
        <v>12</v>
      </c>
      <c r="M2" s="4" t="s">
        <v>13</v>
      </c>
      <c r="N2" s="4" t="s">
        <v>14</v>
      </c>
      <c r="O2" s="4" t="s">
        <v>15</v>
      </c>
      <c r="P2" s="4" t="s">
        <v>16</v>
      </c>
      <c r="Q2" s="5" t="s">
        <v>8</v>
      </c>
      <c r="R2" s="5" t="s">
        <v>17</v>
      </c>
      <c r="S2" s="5" t="s">
        <v>18</v>
      </c>
      <c r="T2" s="5" t="s">
        <v>19</v>
      </c>
      <c r="U2" s="4" t="s">
        <v>20</v>
      </c>
      <c r="V2" s="5"/>
      <c r="W2" s="5"/>
      <c r="X2" s="5"/>
      <c r="Y2" s="5"/>
      <c r="Z2" s="5"/>
    </row>
    <row r="3" spans="1:26" ht="13.2">
      <c r="A3" s="13">
        <v>44250.804409722223</v>
      </c>
      <c r="B3" s="6" t="str">
        <f>HYPERLINK("https://twitter.com/serengil","@serengil")</f>
        <v>@serengil</v>
      </c>
      <c r="C3" s="14" t="s">
        <v>21</v>
      </c>
      <c r="D3" s="14" t="s">
        <v>22</v>
      </c>
      <c r="E3" s="6" t="str">
        <f>HYPERLINK("https://twitter.com/serengil/status/1364278439847591946","1364278439847591946")</f>
        <v>1364278439847591946</v>
      </c>
      <c r="F3" s="7" t="s">
        <v>23</v>
      </c>
      <c r="G3" s="8"/>
      <c r="H3" s="8"/>
      <c r="I3" s="14">
        <v>0</v>
      </c>
      <c r="J3" s="14">
        <v>0</v>
      </c>
      <c r="K3" s="6" t="str">
        <f t="shared" ref="K3:K4" si="0">HYPERLINK("https://mobile.twitter.com","Twitter Web App")</f>
        <v>Twitter Web App</v>
      </c>
      <c r="L3" s="15">
        <v>807</v>
      </c>
      <c r="M3" s="15">
        <v>664</v>
      </c>
      <c r="N3" s="15">
        <v>20</v>
      </c>
      <c r="O3" s="9"/>
      <c r="P3" s="10">
        <v>40028.975081018521</v>
      </c>
      <c r="Q3" s="14" t="s">
        <v>24</v>
      </c>
      <c r="R3" s="14" t="s">
        <v>25</v>
      </c>
      <c r="S3" s="7" t="s">
        <v>26</v>
      </c>
      <c r="T3" s="8"/>
      <c r="U3" s="11" t="str">
        <f>HYPERLINK("https://pbs.twimg.com/profile_images/1325435670794530816/6Agr7yzN.jpg","View")</f>
        <v>View</v>
      </c>
      <c r="V3" s="8"/>
      <c r="W3" s="8"/>
      <c r="X3" s="8"/>
      <c r="Y3" s="8"/>
      <c r="Z3" s="8"/>
    </row>
    <row r="4" spans="1:26" ht="13.2">
      <c r="A4" s="13">
        <v>44250.804166666669</v>
      </c>
      <c r="B4" s="6" t="str">
        <f>HYPERLINK("https://twitter.com/BotPoetsSociety","@BotPoetsSociety")</f>
        <v>@BotPoetsSociety</v>
      </c>
      <c r="C4" s="14" t="s">
        <v>27</v>
      </c>
      <c r="D4" s="14" t="s">
        <v>28</v>
      </c>
      <c r="E4" s="6" t="str">
        <f>HYPERLINK("https://twitter.com/BotPoetsSociety/status/1364278349451776006","1364278349451776006")</f>
        <v>1364278349451776006</v>
      </c>
      <c r="F4" s="8"/>
      <c r="G4" s="7" t="s">
        <v>29</v>
      </c>
      <c r="H4" s="8"/>
      <c r="I4" s="14">
        <v>2</v>
      </c>
      <c r="J4" s="14">
        <v>0</v>
      </c>
      <c r="K4" s="6" t="str">
        <f t="shared" si="0"/>
        <v>Twitter Web App</v>
      </c>
      <c r="L4" s="15">
        <v>28</v>
      </c>
      <c r="M4" s="15">
        <v>49</v>
      </c>
      <c r="N4" s="15">
        <v>1</v>
      </c>
      <c r="O4" s="9"/>
      <c r="P4" s="10">
        <v>44130.486342592594</v>
      </c>
      <c r="Q4" s="8"/>
      <c r="R4" s="14" t="s">
        <v>30</v>
      </c>
      <c r="S4" s="7" t="s">
        <v>31</v>
      </c>
      <c r="T4" s="8"/>
      <c r="U4" s="11" t="str">
        <f>HYPERLINK("https://pbs.twimg.com/profile_images/1320676707683258368/Ne9-DmuD.jpg","View")</f>
        <v>View</v>
      </c>
      <c r="V4" s="8"/>
      <c r="W4" s="8"/>
      <c r="X4" s="8"/>
      <c r="Y4" s="8"/>
      <c r="Z4" s="8"/>
    </row>
    <row r="5" spans="1:26" ht="13.2">
      <c r="A5" s="13">
        <v>44250.80369212963</v>
      </c>
      <c r="B5" s="6" t="str">
        <f>HYPERLINK("https://twitter.com/Analytics_699","@Analytics_699")</f>
        <v>@Analytics_699</v>
      </c>
      <c r="C5" s="14" t="s">
        <v>32</v>
      </c>
      <c r="D5" s="14" t="s">
        <v>33</v>
      </c>
      <c r="E5" s="6" t="str">
        <f>HYPERLINK("https://twitter.com/Analytics_699/status/1364278177271410688","1364278177271410688")</f>
        <v>1364278177271410688</v>
      </c>
      <c r="F5" s="7" t="s">
        <v>34</v>
      </c>
      <c r="G5" s="7" t="s">
        <v>35</v>
      </c>
      <c r="H5" s="8"/>
      <c r="I5" s="14">
        <v>2</v>
      </c>
      <c r="J5" s="14">
        <v>1</v>
      </c>
      <c r="K5" s="6" t="str">
        <f>HYPERLINK("http://twitter.com/download/android","Twitter for Android")</f>
        <v>Twitter for Android</v>
      </c>
      <c r="L5" s="15">
        <v>6859</v>
      </c>
      <c r="M5" s="15">
        <v>5645</v>
      </c>
      <c r="N5" s="15">
        <v>48</v>
      </c>
      <c r="O5" s="9"/>
      <c r="P5" s="10">
        <v>43674.644641203704</v>
      </c>
      <c r="Q5" s="8"/>
      <c r="R5" s="14" t="s">
        <v>36</v>
      </c>
      <c r="S5" s="7" t="s">
        <v>37</v>
      </c>
      <c r="T5" s="8"/>
      <c r="U5" s="11" t="str">
        <f>HYPERLINK("https://pbs.twimg.com/profile_images/1270928144229437440/Ie08vEBd.jpg","View")</f>
        <v>View</v>
      </c>
      <c r="V5" s="8"/>
      <c r="W5" s="8"/>
      <c r="X5" s="8"/>
      <c r="Y5" s="8"/>
      <c r="Z5" s="8"/>
    </row>
    <row r="6" spans="1:26" ht="13.2">
      <c r="A6" s="13">
        <v>44250.80368055556</v>
      </c>
      <c r="B6" s="6" t="str">
        <f>HYPERLINK("https://twitter.com/hempel_joel","@hempel_joel")</f>
        <v>@hempel_joel</v>
      </c>
      <c r="C6" s="14" t="s">
        <v>38</v>
      </c>
      <c r="D6" s="14" t="s">
        <v>39</v>
      </c>
      <c r="E6" s="6" t="str">
        <f>HYPERLINK("https://twitter.com/hempel_joel/status/1364278173060464642","1364278173060464642")</f>
        <v>1364278173060464642</v>
      </c>
      <c r="F6" s="14" t="s">
        <v>40</v>
      </c>
      <c r="G6" s="8"/>
      <c r="H6" s="8"/>
      <c r="I6" s="14">
        <v>1</v>
      </c>
      <c r="J6" s="14">
        <v>0</v>
      </c>
      <c r="K6" s="6" t="str">
        <f>HYPERLINK("http://twinybots.com","TwinyBots")</f>
        <v>TwinyBots</v>
      </c>
      <c r="L6" s="15">
        <v>243</v>
      </c>
      <c r="M6" s="15">
        <v>1102</v>
      </c>
      <c r="N6" s="15">
        <v>7</v>
      </c>
      <c r="O6" s="9"/>
      <c r="P6" s="10">
        <v>43608.726215277777</v>
      </c>
      <c r="Q6" s="14" t="s">
        <v>41</v>
      </c>
      <c r="R6" s="14" t="s">
        <v>42</v>
      </c>
      <c r="S6" s="7" t="s">
        <v>43</v>
      </c>
      <c r="T6" s="8"/>
      <c r="U6" s="11" t="str">
        <f>HYPERLINK("https://pbs.twimg.com/profile_images/1266921234455027713/UHe-aVhX.jpg","View")</f>
        <v>View</v>
      </c>
      <c r="V6" s="8"/>
      <c r="W6" s="8"/>
      <c r="X6" s="8"/>
      <c r="Y6" s="8"/>
      <c r="Z6" s="8"/>
    </row>
    <row r="7" spans="1:26" ht="13.2">
      <c r="A7" s="13">
        <v>44250.803368055553</v>
      </c>
      <c r="B7" s="6" t="str">
        <f>HYPERLINK("https://twitter.com/sakai_makoto","@sakai_makoto")</f>
        <v>@sakai_makoto</v>
      </c>
      <c r="C7" s="14" t="s">
        <v>44</v>
      </c>
      <c r="D7" s="14" t="s">
        <v>45</v>
      </c>
      <c r="E7" s="6" t="str">
        <f>HYPERLINK("https://twitter.com/sakai_makoto/status/1364278059763965952","1364278059763965952")</f>
        <v>1364278059763965952</v>
      </c>
      <c r="F7" s="7" t="s">
        <v>46</v>
      </c>
      <c r="G7" s="8"/>
      <c r="H7" s="8"/>
      <c r="I7" s="14">
        <v>1</v>
      </c>
      <c r="J7" s="14">
        <v>0</v>
      </c>
      <c r="K7" s="6" t="str">
        <f t="shared" ref="K7:K8" si="1">HYPERLINK("https://mobile.twitter.com","Twitter Web App")</f>
        <v>Twitter Web App</v>
      </c>
      <c r="L7" s="15">
        <v>269</v>
      </c>
      <c r="M7" s="15">
        <v>278</v>
      </c>
      <c r="N7" s="15">
        <v>12</v>
      </c>
      <c r="O7" s="9"/>
      <c r="P7" s="10">
        <v>43186.702164351853</v>
      </c>
      <c r="Q7" s="14" t="s">
        <v>47</v>
      </c>
      <c r="R7" s="14" t="s">
        <v>48</v>
      </c>
      <c r="S7" s="8"/>
      <c r="T7" s="8"/>
      <c r="U7" s="11" t="str">
        <f>HYPERLINK("https://pbs.twimg.com/profile_images/1353048877113421825/aq2em4Q7.jpg","View")</f>
        <v>View</v>
      </c>
      <c r="V7" s="8"/>
      <c r="W7" s="8"/>
      <c r="X7" s="8"/>
      <c r="Y7" s="8"/>
      <c r="Z7" s="8"/>
    </row>
    <row r="8" spans="1:26" ht="13.2">
      <c r="A8" s="13">
        <v>44250.80268518519</v>
      </c>
      <c r="B8" s="6" t="str">
        <f>HYPERLINK("https://twitter.com/re_mahmoudi","@re_mahmoudi")</f>
        <v>@re_mahmoudi</v>
      </c>
      <c r="C8" s="14" t="s">
        <v>49</v>
      </c>
      <c r="D8" s="14" t="s">
        <v>50</v>
      </c>
      <c r="E8" s="6" t="str">
        <f>HYPERLINK("https://twitter.com/re_mahmoudi/status/1364277815634501638","1364277815634501638")</f>
        <v>1364277815634501638</v>
      </c>
      <c r="F8" s="7" t="s">
        <v>51</v>
      </c>
      <c r="G8" s="8"/>
      <c r="H8" s="8"/>
      <c r="I8" s="14">
        <v>1</v>
      </c>
      <c r="J8" s="14">
        <v>0</v>
      </c>
      <c r="K8" s="6" t="str">
        <f t="shared" si="1"/>
        <v>Twitter Web App</v>
      </c>
      <c r="L8" s="15">
        <v>228</v>
      </c>
      <c r="M8" s="15">
        <v>1176</v>
      </c>
      <c r="N8" s="15">
        <v>7</v>
      </c>
      <c r="O8" s="9"/>
      <c r="P8" s="10">
        <v>43243.971828703703</v>
      </c>
      <c r="Q8" s="8"/>
      <c r="R8" s="14" t="s">
        <v>52</v>
      </c>
      <c r="S8" s="8"/>
      <c r="T8" s="8"/>
      <c r="U8" s="11" t="str">
        <f>HYPERLINK("https://pbs.twimg.com/profile_images/1004433019707379712/U3dGDlAD.jpg","View")</f>
        <v>View</v>
      </c>
      <c r="V8" s="8"/>
      <c r="W8" s="8"/>
      <c r="X8" s="8"/>
      <c r="Y8" s="8"/>
      <c r="Z8" s="8"/>
    </row>
    <row r="9" spans="1:26" ht="13.2">
      <c r="A9" s="13">
        <v>44250.802453703705</v>
      </c>
      <c r="B9" s="6" t="str">
        <f>HYPERLINK("https://twitter.com/asifrazzaq1988","@asifrazzaq1988")</f>
        <v>@asifrazzaq1988</v>
      </c>
      <c r="C9" s="14" t="s">
        <v>53</v>
      </c>
      <c r="D9" s="14" t="s">
        <v>54</v>
      </c>
      <c r="E9" s="6" t="str">
        <f>HYPERLINK("https://twitter.com/asifrazzaq1988/status/1364277729831514113","1364277729831514113")</f>
        <v>1364277729831514113</v>
      </c>
      <c r="F9" s="7" t="s">
        <v>55</v>
      </c>
      <c r="G9" s="8"/>
      <c r="H9" s="8"/>
      <c r="I9" s="14">
        <v>1</v>
      </c>
      <c r="J9" s="14">
        <v>0</v>
      </c>
      <c r="K9" s="6" t="str">
        <f>HYPERLINK("https://dlvrit.com/","dlvr.it")</f>
        <v>dlvr.it</v>
      </c>
      <c r="L9" s="15">
        <v>5022</v>
      </c>
      <c r="M9" s="15">
        <v>3191</v>
      </c>
      <c r="N9" s="15">
        <v>77</v>
      </c>
      <c r="O9" s="9"/>
      <c r="P9" s="10">
        <v>42237.408136574071</v>
      </c>
      <c r="Q9" s="14" t="s">
        <v>56</v>
      </c>
      <c r="R9" s="14" t="s">
        <v>57</v>
      </c>
      <c r="S9" s="7" t="s">
        <v>58</v>
      </c>
      <c r="T9" s="8"/>
      <c r="U9" s="11" t="str">
        <f>HYPERLINK("https://pbs.twimg.com/profile_images/1329326638589382657/lE7wr_tF.jpg","View")</f>
        <v>View</v>
      </c>
      <c r="V9" s="8"/>
      <c r="W9" s="8"/>
      <c r="X9" s="8"/>
      <c r="Y9" s="8"/>
      <c r="Z9" s="8"/>
    </row>
    <row r="10" spans="1:26" ht="13.2">
      <c r="A10" s="13">
        <v>44250.802337962959</v>
      </c>
      <c r="B10" s="6" t="str">
        <f>HYPERLINK("https://twitter.com/MicroFocusCP","@MicroFocusCP")</f>
        <v>@MicroFocusCP</v>
      </c>
      <c r="C10" s="14" t="s">
        <v>59</v>
      </c>
      <c r="D10" s="14" t="s">
        <v>60</v>
      </c>
      <c r="E10" s="6" t="str">
        <f>HYPERLINK("https://twitter.com/MicroFocusCP/status/1364277688857419778","1364277688857419778")</f>
        <v>1364277688857419778</v>
      </c>
      <c r="F10" s="7" t="s">
        <v>61</v>
      </c>
      <c r="G10" s="7" t="s">
        <v>62</v>
      </c>
      <c r="H10" s="8"/>
      <c r="I10" s="14">
        <v>1</v>
      </c>
      <c r="J10" s="14">
        <v>0</v>
      </c>
      <c r="K10" s="6" t="str">
        <f>HYPERLINK("http://www.everyonesocial.com","EveryoneSocial")</f>
        <v>EveryoneSocial</v>
      </c>
      <c r="L10" s="15">
        <v>108</v>
      </c>
      <c r="M10" s="15">
        <v>200</v>
      </c>
      <c r="N10" s="15">
        <v>3</v>
      </c>
      <c r="O10" s="9"/>
      <c r="P10" s="10">
        <v>43985.633252314816</v>
      </c>
      <c r="Q10" s="8"/>
      <c r="R10" s="14" t="s">
        <v>63</v>
      </c>
      <c r="S10" s="7" t="s">
        <v>64</v>
      </c>
      <c r="T10" s="8"/>
      <c r="U10" s="11" t="str">
        <f>HYPERLINK("https://pbs.twimg.com/profile_images/1270413016429989888/FlfFPk7P.jpg","View")</f>
        <v>View</v>
      </c>
      <c r="V10" s="8"/>
      <c r="W10" s="8"/>
      <c r="X10" s="8"/>
      <c r="Y10" s="8"/>
      <c r="Z10" s="8"/>
    </row>
    <row r="11" spans="1:26" ht="13.2">
      <c r="A11" s="13">
        <v>44250.802280092597</v>
      </c>
      <c r="B11" s="6" t="str">
        <f>HYPERLINK("https://twitter.com/ipfconline1","@ipfconline1")</f>
        <v>@ipfconline1</v>
      </c>
      <c r="C11" s="14" t="s">
        <v>65</v>
      </c>
      <c r="D11" s="14" t="s">
        <v>66</v>
      </c>
      <c r="E11" s="6" t="str">
        <f>HYPERLINK("https://twitter.com/ipfconline1/status/1364277666019434497","1364277666019434497")</f>
        <v>1364277666019434497</v>
      </c>
      <c r="F11" s="7" t="s">
        <v>67</v>
      </c>
      <c r="G11" s="7" t="s">
        <v>68</v>
      </c>
      <c r="H11" s="8"/>
      <c r="I11" s="14">
        <v>2</v>
      </c>
      <c r="J11" s="14">
        <v>1</v>
      </c>
      <c r="K11" s="6" t="str">
        <f>HYPERLINK("https://twittimer.com","Twittimer")</f>
        <v>Twittimer</v>
      </c>
      <c r="L11" s="15">
        <v>112675</v>
      </c>
      <c r="M11" s="15">
        <v>107162</v>
      </c>
      <c r="N11" s="15">
        <v>7806</v>
      </c>
      <c r="O11" s="9"/>
      <c r="P11" s="10">
        <v>42433.031967592593</v>
      </c>
      <c r="Q11" s="14" t="s">
        <v>69</v>
      </c>
      <c r="R11" s="14" t="s">
        <v>70</v>
      </c>
      <c r="S11" s="7" t="s">
        <v>71</v>
      </c>
      <c r="T11" s="8"/>
      <c r="U11" s="11" t="str">
        <f>HYPERLINK("https://pbs.twimg.com/profile_images/729065804004769793/St2_Pum9.jpg","View")</f>
        <v>View</v>
      </c>
      <c r="V11" s="8"/>
      <c r="W11" s="8"/>
      <c r="X11" s="8"/>
      <c r="Y11" s="8"/>
      <c r="Z11" s="8"/>
    </row>
    <row r="12" spans="1:26" ht="13.2">
      <c r="A12" s="13">
        <v>44250.802222222221</v>
      </c>
      <c r="B12" s="6" t="str">
        <f>HYPERLINK("https://twitter.com/andresvilarino","@andresvilarino")</f>
        <v>@andresvilarino</v>
      </c>
      <c r="C12" s="14" t="s">
        <v>72</v>
      </c>
      <c r="D12" s="14" t="s">
        <v>73</v>
      </c>
      <c r="E12" s="6" t="str">
        <f>HYPERLINK("https://twitter.com/andresvilarino/status/1364277647858143233","1364277647858143233")</f>
        <v>1364277647858143233</v>
      </c>
      <c r="F12" s="7" t="s">
        <v>74</v>
      </c>
      <c r="G12" s="8"/>
      <c r="H12" s="8"/>
      <c r="I12" s="14">
        <v>1</v>
      </c>
      <c r="J12" s="14">
        <v>0</v>
      </c>
      <c r="K12" s="6" t="str">
        <f>HYPERLINK("https://www.hootsuite.com","Hootsuite Inc.")</f>
        <v>Hootsuite Inc.</v>
      </c>
      <c r="L12" s="15">
        <v>5136</v>
      </c>
      <c r="M12" s="15">
        <v>5043</v>
      </c>
      <c r="N12" s="15">
        <v>79</v>
      </c>
      <c r="O12" s="9"/>
      <c r="P12" s="10">
        <v>40346.43136574074</v>
      </c>
      <c r="Q12" s="14" t="s">
        <v>75</v>
      </c>
      <c r="R12" s="14" t="s">
        <v>76</v>
      </c>
      <c r="S12" s="7" t="s">
        <v>77</v>
      </c>
      <c r="T12" s="8"/>
      <c r="U12" s="11" t="str">
        <f>HYPERLINK("https://pbs.twimg.com/profile_images/1015329397929177088/9OR3sIzf.jpg","View")</f>
        <v>View</v>
      </c>
      <c r="V12" s="8"/>
      <c r="W12" s="8"/>
      <c r="X12" s="8"/>
      <c r="Y12" s="8"/>
      <c r="Z12" s="8"/>
    </row>
    <row r="13" spans="1:26" ht="13.2">
      <c r="A13" s="13">
        <v>44250.802199074074</v>
      </c>
      <c r="B13" s="6" t="str">
        <f>HYPERLINK("https://twitter.com/bigdataconf","@bigdataconf")</f>
        <v>@bigdataconf</v>
      </c>
      <c r="C13" s="14" t="s">
        <v>78</v>
      </c>
      <c r="D13" s="14" t="s">
        <v>79</v>
      </c>
      <c r="E13" s="6" t="str">
        <f>HYPERLINK("https://twitter.com/bigdataconf/status/1364277636361560066","1364277636361560066")</f>
        <v>1364277636361560066</v>
      </c>
      <c r="F13" s="7" t="s">
        <v>80</v>
      </c>
      <c r="G13" s="8"/>
      <c r="H13" s="8"/>
      <c r="I13" s="14">
        <v>4</v>
      </c>
      <c r="J13" s="14">
        <v>0</v>
      </c>
      <c r="K13" s="6" t="str">
        <f>HYPERLINK("https://buffer.com","Buffer")</f>
        <v>Buffer</v>
      </c>
      <c r="L13" s="15">
        <v>6752</v>
      </c>
      <c r="M13" s="15">
        <v>4333</v>
      </c>
      <c r="N13" s="15">
        <v>1236</v>
      </c>
      <c r="O13" s="9"/>
      <c r="P13" s="10">
        <v>41238.332962962959</v>
      </c>
      <c r="Q13" s="14" t="s">
        <v>81</v>
      </c>
      <c r="R13" s="14" t="s">
        <v>82</v>
      </c>
      <c r="S13" s="7" t="s">
        <v>83</v>
      </c>
      <c r="T13" s="8"/>
      <c r="U13" s="11" t="str">
        <f>HYPERLINK("https://pbs.twimg.com/profile_images/1347252050757709824/mnYHBPAA.jpg","View")</f>
        <v>View</v>
      </c>
      <c r="V13" s="8"/>
      <c r="W13" s="8"/>
      <c r="X13" s="8"/>
      <c r="Y13" s="8"/>
      <c r="Z13" s="8"/>
    </row>
    <row r="14" spans="1:26" ht="13.2">
      <c r="A14" s="13">
        <v>44250.802187499998</v>
      </c>
      <c r="B14" s="6" t="str">
        <f>HYPERLINK("https://twitter.com/AsgardData","@AsgardData")</f>
        <v>@AsgardData</v>
      </c>
      <c r="C14" s="14" t="s">
        <v>84</v>
      </c>
      <c r="D14" s="14" t="s">
        <v>85</v>
      </c>
      <c r="E14" s="6" t="str">
        <f>HYPERLINK("https://twitter.com/AsgardData/status/1364277631328407553","1364277631328407553")</f>
        <v>1364277631328407553</v>
      </c>
      <c r="F14" s="7" t="s">
        <v>86</v>
      </c>
      <c r="G14" s="7" t="s">
        <v>87</v>
      </c>
      <c r="H14" s="8"/>
      <c r="I14" s="14">
        <v>2</v>
      </c>
      <c r="J14" s="14">
        <v>0</v>
      </c>
      <c r="K14" s="6" t="str">
        <f>HYPERLINK("https://www.hootsuite.com","Hootsuite Inc.")</f>
        <v>Hootsuite Inc.</v>
      </c>
      <c r="L14" s="15">
        <v>737</v>
      </c>
      <c r="M14" s="15">
        <v>838</v>
      </c>
      <c r="N14" s="15">
        <v>0</v>
      </c>
      <c r="O14" s="9"/>
      <c r="P14" s="10">
        <v>43721.023217592592</v>
      </c>
      <c r="Q14" s="8"/>
      <c r="R14" s="8"/>
      <c r="S14" s="7" t="s">
        <v>88</v>
      </c>
      <c r="T14" s="8"/>
      <c r="U14" s="11" t="str">
        <f>HYPERLINK("https://pbs.twimg.com/profile_images/1195077221334913024/eVR8toUK.jpg","View")</f>
        <v>View</v>
      </c>
      <c r="V14" s="8"/>
      <c r="W14" s="8"/>
      <c r="X14" s="8"/>
      <c r="Y14" s="8"/>
      <c r="Z14" s="8"/>
    </row>
    <row r="15" spans="1:26" ht="13.2">
      <c r="A15" s="13">
        <v>44250.802175925928</v>
      </c>
      <c r="B15" s="6" t="str">
        <f>HYPERLINK("https://twitter.com/IvanFemia","@IvanFemia")</f>
        <v>@IvanFemia</v>
      </c>
      <c r="C15" s="14" t="s">
        <v>89</v>
      </c>
      <c r="D15" s="14" t="s">
        <v>90</v>
      </c>
      <c r="E15" s="6" t="str">
        <f>HYPERLINK("https://twitter.com/IvanFemia/status/1364277627905843200","1364277627905843200")</f>
        <v>1364277627905843200</v>
      </c>
      <c r="F15" s="7" t="s">
        <v>91</v>
      </c>
      <c r="G15" s="8"/>
      <c r="H15" s="8"/>
      <c r="I15" s="14">
        <v>1</v>
      </c>
      <c r="J15" s="14">
        <v>1</v>
      </c>
      <c r="K15" s="6" t="str">
        <f>HYPERLINK("http://smarp.com","Smarp.")</f>
        <v>Smarp.</v>
      </c>
      <c r="L15" s="15">
        <v>1947</v>
      </c>
      <c r="M15" s="15">
        <v>480</v>
      </c>
      <c r="N15" s="15">
        <v>85</v>
      </c>
      <c r="O15" s="9"/>
      <c r="P15" s="10">
        <v>39856.655439814815</v>
      </c>
      <c r="Q15" s="14" t="s">
        <v>92</v>
      </c>
      <c r="R15" s="14" t="s">
        <v>93</v>
      </c>
      <c r="S15" s="7" t="s">
        <v>94</v>
      </c>
      <c r="T15" s="8"/>
      <c r="U15" s="11" t="str">
        <f>HYPERLINK("https://pbs.twimg.com/profile_images/1194407420056895489/W01f6cEI.jpg","View")</f>
        <v>View</v>
      </c>
      <c r="V15" s="8"/>
      <c r="W15" s="8"/>
      <c r="X15" s="8"/>
      <c r="Y15" s="8"/>
      <c r="Z15" s="8"/>
    </row>
    <row r="16" spans="1:26" ht="13.2">
      <c r="A16" s="13">
        <v>44250.802152777775</v>
      </c>
      <c r="B16" s="6" t="str">
        <f>HYPERLINK("https://twitter.com/nigewillson","@nigewillson")</f>
        <v>@nigewillson</v>
      </c>
      <c r="C16" s="14" t="s">
        <v>95</v>
      </c>
      <c r="D16" s="14" t="s">
        <v>96</v>
      </c>
      <c r="E16" s="6" t="str">
        <f>HYPERLINK("https://twitter.com/nigewillson/status/1364277620280594441","1364277620280594441")</f>
        <v>1364277620280594441</v>
      </c>
      <c r="F16" s="7" t="s">
        <v>97</v>
      </c>
      <c r="G16" s="7" t="s">
        <v>98</v>
      </c>
      <c r="H16" s="8"/>
      <c r="I16" s="14">
        <v>1</v>
      </c>
      <c r="J16" s="14">
        <v>1</v>
      </c>
      <c r="K16" s="6" t="str">
        <f>HYPERLINK("https://buffer.com","Buffer")</f>
        <v>Buffer</v>
      </c>
      <c r="L16" s="15">
        <v>57515</v>
      </c>
      <c r="M16" s="15">
        <v>49523</v>
      </c>
      <c r="N16" s="15">
        <v>1688</v>
      </c>
      <c r="O16" s="9"/>
      <c r="P16" s="10">
        <v>40530.666805555556</v>
      </c>
      <c r="Q16" s="14" t="s">
        <v>99</v>
      </c>
      <c r="R16" s="14" t="s">
        <v>100</v>
      </c>
      <c r="S16" s="7" t="s">
        <v>101</v>
      </c>
      <c r="T16" s="8"/>
      <c r="U16" s="11" t="str">
        <f>HYPERLINK("https://pbs.twimg.com/profile_images/1085251590997622784/x9mWVQ1d.jpg","View")</f>
        <v>View</v>
      </c>
      <c r="V16" s="8"/>
      <c r="W16" s="8"/>
      <c r="X16" s="8"/>
      <c r="Y16" s="8"/>
      <c r="Z16" s="8"/>
    </row>
    <row r="17" spans="1:26" ht="13.2">
      <c r="A17" s="13">
        <v>44250.802118055552</v>
      </c>
      <c r="B17" s="6" t="str">
        <f>HYPERLINK("https://twitter.com/LaForge_AI","@LaForge_AI")</f>
        <v>@LaForge_AI</v>
      </c>
      <c r="C17" s="14" t="s">
        <v>102</v>
      </c>
      <c r="D17" s="14" t="s">
        <v>103</v>
      </c>
      <c r="E17" s="6" t="str">
        <f>HYPERLINK("https://twitter.com/LaForge_AI/status/1364277607513137157","1364277607513137157")</f>
        <v>1364277607513137157</v>
      </c>
      <c r="F17" s="7" t="s">
        <v>104</v>
      </c>
      <c r="G17" s="7" t="s">
        <v>105</v>
      </c>
      <c r="H17" s="8"/>
      <c r="I17" s="14">
        <v>3</v>
      </c>
      <c r="J17" s="14">
        <v>0</v>
      </c>
      <c r="K17" s="6" t="str">
        <f>HYPERLINK("https://www.la-forge.ai","Rss2Twitter for La Forge")</f>
        <v>Rss2Twitter for La Forge</v>
      </c>
      <c r="L17" s="15">
        <v>9854</v>
      </c>
      <c r="M17" s="15">
        <v>10507</v>
      </c>
      <c r="N17" s="15">
        <v>126</v>
      </c>
      <c r="O17" s="9"/>
      <c r="P17" s="10">
        <v>43660.755891203706</v>
      </c>
      <c r="Q17" s="14" t="s">
        <v>106</v>
      </c>
      <c r="R17" s="14" t="s">
        <v>107</v>
      </c>
      <c r="S17" s="7" t="s">
        <v>108</v>
      </c>
      <c r="T17" s="8"/>
      <c r="U17" s="11" t="str">
        <f>HYPERLINK("https://pbs.twimg.com/profile_images/1261961910020423681/fC-WUmbt.jpg","View")</f>
        <v>View</v>
      </c>
      <c r="V17" s="8"/>
      <c r="W17" s="8"/>
      <c r="X17" s="8"/>
      <c r="Y17" s="8"/>
      <c r="Z17" s="8"/>
    </row>
    <row r="18" spans="1:26" ht="13.2">
      <c r="A18" s="13">
        <v>44250.801898148144</v>
      </c>
      <c r="B18" s="6" t="str">
        <f>HYPERLINK("https://twitter.com/kikeledesmanet","@kikeledesmanet")</f>
        <v>@kikeledesmanet</v>
      </c>
      <c r="C18" s="14" t="s">
        <v>109</v>
      </c>
      <c r="D18" s="14" t="s">
        <v>110</v>
      </c>
      <c r="E18" s="6" t="str">
        <f>HYPERLINK("https://twitter.com/kikeledesmanet/status/1364277527905067008","1364277527905067008")</f>
        <v>1364277527905067008</v>
      </c>
      <c r="F18" s="14" t="s">
        <v>111</v>
      </c>
      <c r="G18" s="8"/>
      <c r="H18" s="8"/>
      <c r="I18" s="14">
        <v>1</v>
      </c>
      <c r="J18" s="14">
        <v>0</v>
      </c>
      <c r="K18" s="6" t="str">
        <f>HYPERLINK("http://twitter.com/download/android","Twitter for Android")</f>
        <v>Twitter for Android</v>
      </c>
      <c r="L18" s="15">
        <v>120</v>
      </c>
      <c r="M18" s="15">
        <v>63</v>
      </c>
      <c r="N18" s="15">
        <v>31</v>
      </c>
      <c r="O18" s="9"/>
      <c r="P18" s="10">
        <v>42401.823333333334</v>
      </c>
      <c r="Q18" s="14" t="s">
        <v>112</v>
      </c>
      <c r="R18" s="14" t="s">
        <v>113</v>
      </c>
      <c r="S18" s="8"/>
      <c r="T18" s="8"/>
      <c r="U18" s="11" t="str">
        <f>HYPERLINK("https://pbs.twimg.com/profile_images/980192835751198721/Fgie_VVB.jpg","View")</f>
        <v>View</v>
      </c>
      <c r="V18" s="8"/>
      <c r="W18" s="8"/>
      <c r="X18" s="8"/>
      <c r="Y18" s="8"/>
      <c r="Z18" s="8"/>
    </row>
    <row r="19" spans="1:26" ht="13.2">
      <c r="A19" s="13">
        <v>44250.801851851851</v>
      </c>
      <c r="B19" s="6" t="str">
        <f>HYPERLINK("https://twitter.com/WhiteheartVic","@WhiteheartVic")</f>
        <v>@WhiteheartVic</v>
      </c>
      <c r="C19" s="14" t="s">
        <v>114</v>
      </c>
      <c r="D19" s="14" t="s">
        <v>115</v>
      </c>
      <c r="E19" s="6" t="str">
        <f>HYPERLINK("https://twitter.com/WhiteheartVic/status/1364277511488753667","1364277511488753667")</f>
        <v>1364277511488753667</v>
      </c>
      <c r="F19" s="14" t="s">
        <v>116</v>
      </c>
      <c r="G19" s="7" t="s">
        <v>117</v>
      </c>
      <c r="H19" s="8"/>
      <c r="I19" s="14">
        <v>1</v>
      </c>
      <c r="J19" s="14">
        <v>0</v>
      </c>
      <c r="K19" s="6" t="str">
        <f t="shared" ref="K19:K22" si="2">HYPERLINK("https://mobile.twitter.com","Twitter Web App")</f>
        <v>Twitter Web App</v>
      </c>
      <c r="L19" s="15">
        <v>3146</v>
      </c>
      <c r="M19" s="15">
        <v>4964</v>
      </c>
      <c r="N19" s="15">
        <v>35</v>
      </c>
      <c r="O19" s="9"/>
      <c r="P19" s="10">
        <v>43986.105486111112</v>
      </c>
      <c r="Q19" s="14" t="s">
        <v>118</v>
      </c>
      <c r="R19" s="14" t="s">
        <v>119</v>
      </c>
      <c r="S19" s="8"/>
      <c r="T19" s="8"/>
      <c r="U19" s="11" t="str">
        <f>HYPERLINK("https://pbs.twimg.com/profile_images/1268347384511201283/CHCU-bga.jpg","View")</f>
        <v>View</v>
      </c>
      <c r="V19" s="8"/>
      <c r="W19" s="8"/>
      <c r="X19" s="8"/>
      <c r="Y19" s="8"/>
      <c r="Z19" s="8"/>
    </row>
    <row r="20" spans="1:26" ht="13.2">
      <c r="A20" s="13">
        <v>44250.801817129628</v>
      </c>
      <c r="B20" s="6" t="str">
        <f>HYPERLINK("https://twitter.com/sakai_makoto","@sakai_makoto")</f>
        <v>@sakai_makoto</v>
      </c>
      <c r="C20" s="14" t="s">
        <v>44</v>
      </c>
      <c r="D20" s="14" t="s">
        <v>120</v>
      </c>
      <c r="E20" s="6" t="str">
        <f>HYPERLINK("https://twitter.com/sakai_makoto/status/1364277497140027392","1364277497140027392")</f>
        <v>1364277497140027392</v>
      </c>
      <c r="F20" s="7" t="s">
        <v>121</v>
      </c>
      <c r="G20" s="8"/>
      <c r="H20" s="8"/>
      <c r="I20" s="14">
        <v>3</v>
      </c>
      <c r="J20" s="14">
        <v>0</v>
      </c>
      <c r="K20" s="6" t="str">
        <f t="shared" si="2"/>
        <v>Twitter Web App</v>
      </c>
      <c r="L20" s="15">
        <v>269</v>
      </c>
      <c r="M20" s="15">
        <v>278</v>
      </c>
      <c r="N20" s="15">
        <v>12</v>
      </c>
      <c r="O20" s="9"/>
      <c r="P20" s="10">
        <v>43186.702164351853</v>
      </c>
      <c r="Q20" s="14" t="s">
        <v>47</v>
      </c>
      <c r="R20" s="14" t="s">
        <v>48</v>
      </c>
      <c r="S20" s="8"/>
      <c r="T20" s="8"/>
      <c r="U20" s="11" t="str">
        <f>HYPERLINK("https://pbs.twimg.com/profile_images/1353048877113421825/aq2em4Q7.jpg","View")</f>
        <v>View</v>
      </c>
      <c r="V20" s="8"/>
      <c r="W20" s="8"/>
      <c r="X20" s="8"/>
      <c r="Y20" s="8"/>
      <c r="Z20" s="8"/>
    </row>
    <row r="21" spans="1:26" ht="13.2">
      <c r="A21" s="13">
        <v>44250.801215277781</v>
      </c>
      <c r="B21" s="6" t="str">
        <f>HYPERLINK("https://twitter.com/JovianML","@JovianML")</f>
        <v>@JovianML</v>
      </c>
      <c r="C21" s="14" t="s">
        <v>122</v>
      </c>
      <c r="D21" s="14" t="s">
        <v>123</v>
      </c>
      <c r="E21" s="6" t="str">
        <f>HYPERLINK("https://twitter.com/JovianML/status/1364277282534289409","1364277282534289409")</f>
        <v>1364277282534289409</v>
      </c>
      <c r="F21" s="7" t="s">
        <v>124</v>
      </c>
      <c r="G21" s="8"/>
      <c r="H21" s="8"/>
      <c r="I21" s="14">
        <v>3</v>
      </c>
      <c r="J21" s="14">
        <v>1</v>
      </c>
      <c r="K21" s="6" t="str">
        <f t="shared" si="2"/>
        <v>Twitter Web App</v>
      </c>
      <c r="L21" s="15">
        <v>2221</v>
      </c>
      <c r="M21" s="15">
        <v>34</v>
      </c>
      <c r="N21" s="15">
        <v>18</v>
      </c>
      <c r="O21" s="9"/>
      <c r="P21" s="10">
        <v>43461.70480324074</v>
      </c>
      <c r="Q21" s="8"/>
      <c r="R21" s="14" t="s">
        <v>125</v>
      </c>
      <c r="S21" s="7" t="s">
        <v>126</v>
      </c>
      <c r="T21" s="8"/>
      <c r="U21" s="11" t="str">
        <f>HYPERLINK("https://pbs.twimg.com/profile_images/1356138813622415360/sGWTRE_G.jpg","View")</f>
        <v>View</v>
      </c>
      <c r="V21" s="8"/>
      <c r="W21" s="8"/>
      <c r="X21" s="8"/>
      <c r="Y21" s="8"/>
      <c r="Z21" s="8"/>
    </row>
    <row r="22" spans="1:26" ht="13.2">
      <c r="A22" s="13">
        <v>44250.800856481481</v>
      </c>
      <c r="B22" s="6" t="str">
        <f>HYPERLINK("https://twitter.com/KirkDBorne","@KirkDBorne")</f>
        <v>@KirkDBorne</v>
      </c>
      <c r="C22" s="14" t="s">
        <v>127</v>
      </c>
      <c r="D22" s="14" t="s">
        <v>128</v>
      </c>
      <c r="E22" s="6" t="str">
        <f>HYPERLINK("https://twitter.com/KirkDBorne/status/1364277152456278019","1364277152456278019")</f>
        <v>1364277152456278019</v>
      </c>
      <c r="F22" s="7" t="s">
        <v>129</v>
      </c>
      <c r="G22" s="8"/>
      <c r="H22" s="8"/>
      <c r="I22" s="14">
        <v>2</v>
      </c>
      <c r="J22" s="14">
        <v>2</v>
      </c>
      <c r="K22" s="6" t="str">
        <f t="shared" si="2"/>
        <v>Twitter Web App</v>
      </c>
      <c r="L22" s="15">
        <v>273892</v>
      </c>
      <c r="M22" s="15">
        <v>8969</v>
      </c>
      <c r="N22" s="15">
        <v>8299</v>
      </c>
      <c r="O22" s="15" t="s">
        <v>130</v>
      </c>
      <c r="P22" s="10">
        <v>40991.732835648145</v>
      </c>
      <c r="Q22" s="14" t="s">
        <v>131</v>
      </c>
      <c r="R22" s="14" t="s">
        <v>132</v>
      </c>
      <c r="S22" s="7" t="s">
        <v>133</v>
      </c>
      <c r="T22" s="8"/>
      <c r="U22" s="11" t="str">
        <f>HYPERLINK("https://pbs.twimg.com/profile_images/1112733580948635648/s-8d1avb.jpg","View")</f>
        <v>View</v>
      </c>
      <c r="V22" s="8"/>
      <c r="W22" s="8"/>
      <c r="X22" s="8"/>
      <c r="Y22" s="8"/>
      <c r="Z22" s="8"/>
    </row>
    <row r="23" spans="1:26" ht="13.2">
      <c r="A23" s="13">
        <v>44250.800717592589</v>
      </c>
      <c r="B23" s="6" t="str">
        <f>HYPERLINK("https://twitter.com/USGRADEnet","@USGRADEnet")</f>
        <v>@USGRADEnet</v>
      </c>
      <c r="C23" s="14" t="s">
        <v>134</v>
      </c>
      <c r="D23" s="14" t="s">
        <v>135</v>
      </c>
      <c r="E23" s="6" t="str">
        <f>HYPERLINK("https://twitter.com/USGRADEnet/status/1364277100648271877","1364277100648271877")</f>
        <v>1364277100648271877</v>
      </c>
      <c r="F23" s="7" t="s">
        <v>136</v>
      </c>
      <c r="G23" s="7" t="s">
        <v>137</v>
      </c>
      <c r="H23" s="8"/>
      <c r="I23" s="14">
        <v>2</v>
      </c>
      <c r="J23" s="14">
        <v>0</v>
      </c>
      <c r="K23" s="6" t="str">
        <f>HYPERLINK("https://buffer.com","Buffer")</f>
        <v>Buffer</v>
      </c>
      <c r="L23" s="15">
        <v>1466</v>
      </c>
      <c r="M23" s="15">
        <v>499</v>
      </c>
      <c r="N23" s="15">
        <v>9</v>
      </c>
      <c r="O23" s="9"/>
      <c r="P23" s="10">
        <v>41884.569895833338</v>
      </c>
      <c r="Q23" s="14" t="s">
        <v>138</v>
      </c>
      <c r="R23" s="14" t="s">
        <v>139</v>
      </c>
      <c r="S23" s="7" t="s">
        <v>140</v>
      </c>
      <c r="T23" s="8"/>
      <c r="U23" s="11" t="str">
        <f>HYPERLINK("https://pbs.twimg.com/profile_images/1126839002974310401/35RivTI6.png","View")</f>
        <v>View</v>
      </c>
      <c r="V23" s="8"/>
      <c r="W23" s="8"/>
      <c r="X23" s="8"/>
      <c r="Y23" s="8"/>
      <c r="Z23" s="8"/>
    </row>
    <row r="24" spans="1:26" ht="13.2">
      <c r="A24" s="13">
        <v>44250.800335648149</v>
      </c>
      <c r="B24" s="6" t="str">
        <f>HYPERLINK("https://twitter.com/DLDConference","@DLDConference")</f>
        <v>@DLDConference</v>
      </c>
      <c r="C24" s="14" t="s">
        <v>141</v>
      </c>
      <c r="D24" s="14" t="s">
        <v>142</v>
      </c>
      <c r="E24" s="6" t="str">
        <f>HYPERLINK("https://twitter.com/DLDConference/status/1364276964257841153","1364276964257841153")</f>
        <v>1364276964257841153</v>
      </c>
      <c r="F24" s="7" t="s">
        <v>143</v>
      </c>
      <c r="G24" s="7" t="s">
        <v>144</v>
      </c>
      <c r="H24" s="8"/>
      <c r="I24" s="14">
        <v>1</v>
      </c>
      <c r="J24" s="14">
        <v>0</v>
      </c>
      <c r="K24" s="6" t="str">
        <f>HYPERLINK("http://twitter.com/#!/download/ipad","Twitter for iPad")</f>
        <v>Twitter for iPad</v>
      </c>
      <c r="L24" s="15">
        <v>22674</v>
      </c>
      <c r="M24" s="15">
        <v>1830</v>
      </c>
      <c r="N24" s="15">
        <v>850</v>
      </c>
      <c r="O24" s="15" t="s">
        <v>130</v>
      </c>
      <c r="P24" s="10">
        <v>39790.889502314814</v>
      </c>
      <c r="Q24" s="14" t="s">
        <v>145</v>
      </c>
      <c r="R24" s="14" t="s">
        <v>146</v>
      </c>
      <c r="S24" s="7" t="s">
        <v>147</v>
      </c>
      <c r="T24" s="8"/>
      <c r="U24" s="11" t="str">
        <f>HYPERLINK("https://pbs.twimg.com/profile_images/66773901/dld.png","View")</f>
        <v>View</v>
      </c>
      <c r="V24" s="8"/>
      <c r="W24" s="8"/>
      <c r="X24" s="8"/>
      <c r="Y24" s="8"/>
      <c r="Z24" s="8"/>
    </row>
    <row r="25" spans="1:26" ht="13.2">
      <c r="A25" s="13">
        <v>44250.800219907411</v>
      </c>
      <c r="B25" s="6" t="str">
        <f>HYPERLINK("https://twitter.com/sakai_makoto","@sakai_makoto")</f>
        <v>@sakai_makoto</v>
      </c>
      <c r="C25" s="14" t="s">
        <v>44</v>
      </c>
      <c r="D25" s="14" t="s">
        <v>148</v>
      </c>
      <c r="E25" s="6" t="str">
        <f>HYPERLINK("https://twitter.com/sakai_makoto/status/1364276919726964741","1364276919726964741")</f>
        <v>1364276919726964741</v>
      </c>
      <c r="F25" s="7" t="s">
        <v>149</v>
      </c>
      <c r="G25" s="8"/>
      <c r="H25" s="8"/>
      <c r="I25" s="14">
        <v>1</v>
      </c>
      <c r="J25" s="14">
        <v>0</v>
      </c>
      <c r="K25" s="6" t="str">
        <f>HYPERLINK("https://mobile.twitter.com","Twitter Web App")</f>
        <v>Twitter Web App</v>
      </c>
      <c r="L25" s="15">
        <v>269</v>
      </c>
      <c r="M25" s="15">
        <v>278</v>
      </c>
      <c r="N25" s="15">
        <v>12</v>
      </c>
      <c r="O25" s="9"/>
      <c r="P25" s="10">
        <v>43186.702164351853</v>
      </c>
      <c r="Q25" s="14" t="s">
        <v>47</v>
      </c>
      <c r="R25" s="14" t="s">
        <v>48</v>
      </c>
      <c r="S25" s="8"/>
      <c r="T25" s="8"/>
      <c r="U25" s="11" t="str">
        <f>HYPERLINK("https://pbs.twimg.com/profile_images/1353048877113421825/aq2em4Q7.jpg","View")</f>
        <v>View</v>
      </c>
      <c r="V25" s="8"/>
      <c r="W25" s="8"/>
      <c r="X25" s="8"/>
      <c r="Y25" s="8"/>
      <c r="Z25" s="8"/>
    </row>
    <row r="26" spans="1:26" ht="13.2">
      <c r="A26" s="13">
        <v>44250.800173611111</v>
      </c>
      <c r="B26" s="6" t="str">
        <f>HYPERLINK("https://twitter.com/PMProuk","@PMProuk")</f>
        <v>@PMProuk</v>
      </c>
      <c r="C26" s="14" t="s">
        <v>150</v>
      </c>
      <c r="D26" s="14" t="s">
        <v>151</v>
      </c>
      <c r="E26" s="6" t="str">
        <f>HYPERLINK("https://twitter.com/PMProuk/status/1364276902052118528","1364276902052118528")</f>
        <v>1364276902052118528</v>
      </c>
      <c r="F26" s="7" t="s">
        <v>152</v>
      </c>
      <c r="G26" s="8"/>
      <c r="H26" s="8"/>
      <c r="I26" s="14">
        <v>0</v>
      </c>
      <c r="J26" s="14">
        <v>0</v>
      </c>
      <c r="K26" s="6" t="str">
        <f>HYPERLINK("http://twinybots.com","TwinyBots")</f>
        <v>TwinyBots</v>
      </c>
      <c r="L26" s="15">
        <v>1439</v>
      </c>
      <c r="M26" s="15">
        <v>3697</v>
      </c>
      <c r="N26" s="15">
        <v>73</v>
      </c>
      <c r="O26" s="9"/>
      <c r="P26" s="10">
        <v>40577.810150462959</v>
      </c>
      <c r="Q26" s="14" t="s">
        <v>153</v>
      </c>
      <c r="R26" s="14" t="s">
        <v>154</v>
      </c>
      <c r="S26" s="8"/>
      <c r="T26" s="8"/>
      <c r="U26" s="11" t="str">
        <f>HYPERLINK("https://pbs.twimg.com/profile_images/1257339284027314177/AhbOFVVY.jpg","View")</f>
        <v>View</v>
      </c>
      <c r="V26" s="8"/>
      <c r="W26" s="8"/>
      <c r="X26" s="8"/>
      <c r="Y26" s="8"/>
      <c r="Z26" s="8"/>
    </row>
    <row r="27" spans="1:26" ht="13.2">
      <c r="A27" s="13">
        <v>44250.799456018518</v>
      </c>
      <c r="B27" s="6" t="str">
        <f>HYPERLINK("https://twitter.com/readroutine","@readroutine")</f>
        <v>@readroutine</v>
      </c>
      <c r="C27" s="14" t="s">
        <v>155</v>
      </c>
      <c r="D27" s="14" t="s">
        <v>156</v>
      </c>
      <c r="E27" s="6" t="str">
        <f>HYPERLINK("https://twitter.com/readroutine/status/1364276644253491203","1364276644253491203")</f>
        <v>1364276644253491203</v>
      </c>
      <c r="F27" s="7" t="s">
        <v>157</v>
      </c>
      <c r="G27" s="8"/>
      <c r="H27" s="8"/>
      <c r="I27" s="14">
        <v>0</v>
      </c>
      <c r="J27" s="14">
        <v>3</v>
      </c>
      <c r="K27" s="6" t="str">
        <f>HYPERLINK("http://twitter.com/download/android","Twitter for Android")</f>
        <v>Twitter for Android</v>
      </c>
      <c r="L27" s="15">
        <v>2</v>
      </c>
      <c r="M27" s="15">
        <v>18</v>
      </c>
      <c r="N27" s="15">
        <v>0</v>
      </c>
      <c r="O27" s="9"/>
      <c r="P27" s="10">
        <v>44077.77175925926</v>
      </c>
      <c r="Q27" s="8"/>
      <c r="R27" s="14" t="s">
        <v>158</v>
      </c>
      <c r="S27" s="7" t="s">
        <v>159</v>
      </c>
      <c r="T27" s="8"/>
      <c r="U27" s="11" t="str">
        <f>HYPERLINK("https://pbs.twimg.com/profile_images/1355316492322172928/ckJwDEXt.jpg","View")</f>
        <v>View</v>
      </c>
      <c r="V27" s="8"/>
      <c r="W27" s="8"/>
      <c r="X27" s="8"/>
      <c r="Y27" s="8"/>
      <c r="Z27" s="8"/>
    </row>
    <row r="28" spans="1:26" ht="13.2">
      <c r="A28" s="13">
        <v>44250.799351851849</v>
      </c>
      <c r="B28" s="6" t="str">
        <f>HYPERLINK("https://twitter.com/philfv","@philfv")</f>
        <v>@philfv</v>
      </c>
      <c r="C28" s="14" t="s">
        <v>160</v>
      </c>
      <c r="D28" s="14" t="s">
        <v>161</v>
      </c>
      <c r="E28" s="6" t="str">
        <f>HYPERLINK("https://twitter.com/philfv/status/1364276604449423361","1364276604449423361")</f>
        <v>1364276604449423361</v>
      </c>
      <c r="F28" s="7" t="s">
        <v>162</v>
      </c>
      <c r="G28" s="8"/>
      <c r="H28" s="8"/>
      <c r="I28" s="14">
        <v>0</v>
      </c>
      <c r="J28" s="14">
        <v>1</v>
      </c>
      <c r="K28" s="6" t="str">
        <f>HYPERLINK("https://mobile.twitter.com","Twitter Web App")</f>
        <v>Twitter Web App</v>
      </c>
      <c r="L28" s="15">
        <v>779</v>
      </c>
      <c r="M28" s="15">
        <v>1881</v>
      </c>
      <c r="N28" s="15">
        <v>42</v>
      </c>
      <c r="O28" s="9"/>
      <c r="P28" s="10">
        <v>40133.009467592594</v>
      </c>
      <c r="Q28" s="14" t="s">
        <v>163</v>
      </c>
      <c r="R28" s="14" t="s">
        <v>164</v>
      </c>
      <c r="S28" s="7" t="s">
        <v>165</v>
      </c>
      <c r="T28" s="8"/>
      <c r="U28" s="11" t="str">
        <f>HYPERLINK("https://pbs.twimg.com/profile_images/629830403541598208/rypntSbc.jpg","View")</f>
        <v>View</v>
      </c>
      <c r="V28" s="8"/>
      <c r="W28" s="8"/>
      <c r="X28" s="8"/>
      <c r="Y28" s="8"/>
      <c r="Z28" s="8"/>
    </row>
    <row r="29" spans="1:26" ht="13.2">
      <c r="A29" s="13">
        <v>44250.798750000002</v>
      </c>
      <c r="B29" s="6" t="str">
        <f>HYPERLINK("https://twitter.com/vonau_business","@vonau_business")</f>
        <v>@vonau_business</v>
      </c>
      <c r="C29" s="14" t="s">
        <v>166</v>
      </c>
      <c r="D29" s="14" t="s">
        <v>167</v>
      </c>
      <c r="E29" s="6" t="str">
        <f>HYPERLINK("https://twitter.com/vonau_business/status/1364276389000732679","1364276389000732679")</f>
        <v>1364276389000732679</v>
      </c>
      <c r="F29" s="7" t="s">
        <v>168</v>
      </c>
      <c r="G29" s="8"/>
      <c r="H29" s="8"/>
      <c r="I29" s="14">
        <v>0</v>
      </c>
      <c r="J29" s="14">
        <v>0</v>
      </c>
      <c r="K29" s="6" t="str">
        <f>HYPERLINK("https://www.hootsuite.com","Hootsuite Inc.")</f>
        <v>Hootsuite Inc.</v>
      </c>
      <c r="L29" s="15">
        <v>46</v>
      </c>
      <c r="M29" s="15">
        <v>173</v>
      </c>
      <c r="N29" s="15">
        <v>2</v>
      </c>
      <c r="O29" s="9"/>
      <c r="P29" s="10">
        <v>43383.385081018518</v>
      </c>
      <c r="Q29" s="14" t="s">
        <v>169</v>
      </c>
      <c r="R29" s="8"/>
      <c r="S29" s="7" t="s">
        <v>170</v>
      </c>
      <c r="T29" s="8"/>
      <c r="U29" s="11" t="str">
        <f>HYPERLINK("https://pbs.twimg.com/profile_images/1220393798213292033/br69OCDR.jpg","View")</f>
        <v>View</v>
      </c>
      <c r="V29" s="8"/>
      <c r="W29" s="8"/>
      <c r="X29" s="8"/>
      <c r="Y29" s="8"/>
      <c r="Z29" s="8"/>
    </row>
    <row r="30" spans="1:26" ht="13.2">
      <c r="A30" s="13">
        <v>44250.798668981486</v>
      </c>
      <c r="B30" s="6" t="str">
        <f>HYPERLINK("https://twitter.com/nigewillson","@nigewillson")</f>
        <v>@nigewillson</v>
      </c>
      <c r="C30" s="14" t="s">
        <v>95</v>
      </c>
      <c r="D30" s="14" t="s">
        <v>171</v>
      </c>
      <c r="E30" s="6" t="str">
        <f>HYPERLINK("https://twitter.com/nigewillson/status/1364276358298361867","1364276358298361867")</f>
        <v>1364276358298361867</v>
      </c>
      <c r="F30" s="7" t="s">
        <v>172</v>
      </c>
      <c r="G30" s="7" t="s">
        <v>173</v>
      </c>
      <c r="H30" s="8"/>
      <c r="I30" s="14">
        <v>3</v>
      </c>
      <c r="J30" s="14">
        <v>0</v>
      </c>
      <c r="K30" s="6" t="str">
        <f>HYPERLINK("https://buffer.com","Buffer")</f>
        <v>Buffer</v>
      </c>
      <c r="L30" s="15">
        <v>57515</v>
      </c>
      <c r="M30" s="15">
        <v>49523</v>
      </c>
      <c r="N30" s="15">
        <v>1688</v>
      </c>
      <c r="O30" s="9"/>
      <c r="P30" s="10">
        <v>40530.666805555556</v>
      </c>
      <c r="Q30" s="14" t="s">
        <v>99</v>
      </c>
      <c r="R30" s="14" t="s">
        <v>100</v>
      </c>
      <c r="S30" s="7" t="s">
        <v>101</v>
      </c>
      <c r="T30" s="8"/>
      <c r="U30" s="11" t="str">
        <f>HYPERLINK("https://pbs.twimg.com/profile_images/1085251590997622784/x9mWVQ1d.jpg","View")</f>
        <v>View</v>
      </c>
      <c r="V30" s="8"/>
      <c r="W30" s="8"/>
      <c r="X30" s="8"/>
      <c r="Y30" s="8"/>
      <c r="Z30" s="8"/>
    </row>
    <row r="31" spans="1:26" ht="13.2">
      <c r="A31" s="13">
        <v>44250.798483796301</v>
      </c>
      <c r="B31" s="6" t="str">
        <f>HYPERLINK("https://twitter.com/sakai_makoto","@sakai_makoto")</f>
        <v>@sakai_makoto</v>
      </c>
      <c r="C31" s="14" t="s">
        <v>44</v>
      </c>
      <c r="D31" s="14" t="s">
        <v>174</v>
      </c>
      <c r="E31" s="6" t="str">
        <f>HYPERLINK("https://twitter.com/sakai_makoto/status/1364276292225482755","1364276292225482755")</f>
        <v>1364276292225482755</v>
      </c>
      <c r="F31" s="7" t="s">
        <v>175</v>
      </c>
      <c r="G31" s="8"/>
      <c r="H31" s="8"/>
      <c r="I31" s="14">
        <v>2</v>
      </c>
      <c r="J31" s="14">
        <v>0</v>
      </c>
      <c r="K31" s="6" t="str">
        <f t="shared" ref="K31:K32" si="3">HYPERLINK("https://mobile.twitter.com","Twitter Web App")</f>
        <v>Twitter Web App</v>
      </c>
      <c r="L31" s="15">
        <v>269</v>
      </c>
      <c r="M31" s="15">
        <v>278</v>
      </c>
      <c r="N31" s="15">
        <v>12</v>
      </c>
      <c r="O31" s="9"/>
      <c r="P31" s="10">
        <v>43186.702164351853</v>
      </c>
      <c r="Q31" s="14" t="s">
        <v>47</v>
      </c>
      <c r="R31" s="14" t="s">
        <v>48</v>
      </c>
      <c r="S31" s="8"/>
      <c r="T31" s="8"/>
      <c r="U31" s="11" t="str">
        <f>HYPERLINK("https://pbs.twimg.com/profile_images/1353048877113421825/aq2em4Q7.jpg","View")</f>
        <v>View</v>
      </c>
      <c r="V31" s="8"/>
      <c r="W31" s="8"/>
      <c r="X31" s="8"/>
      <c r="Y31" s="8"/>
      <c r="Z31" s="8"/>
    </row>
    <row r="32" spans="1:26" ht="13.2">
      <c r="A32" s="13">
        <v>44250.798437500001</v>
      </c>
      <c r="B32" s="6" t="str">
        <f>HYPERLINK("https://twitter.com/vubblePOP","@vubblePOP")</f>
        <v>@vubblePOP</v>
      </c>
      <c r="C32" s="14" t="s">
        <v>176</v>
      </c>
      <c r="D32" s="14" t="s">
        <v>177</v>
      </c>
      <c r="E32" s="6" t="str">
        <f>HYPERLINK("https://twitter.com/vubblePOP/status/1364276273963491328","1364276273963491328")</f>
        <v>1364276273963491328</v>
      </c>
      <c r="F32" s="7" t="s">
        <v>178</v>
      </c>
      <c r="G32" s="8"/>
      <c r="H32" s="8"/>
      <c r="I32" s="14">
        <v>0</v>
      </c>
      <c r="J32" s="14">
        <v>0</v>
      </c>
      <c r="K32" s="6" t="str">
        <f t="shared" si="3"/>
        <v>Twitter Web App</v>
      </c>
      <c r="L32" s="15">
        <v>3160</v>
      </c>
      <c r="M32" s="15">
        <v>2078</v>
      </c>
      <c r="N32" s="15">
        <v>763</v>
      </c>
      <c r="O32" s="9"/>
      <c r="P32" s="10">
        <v>41861.985347222224</v>
      </c>
      <c r="Q32" s="14" t="s">
        <v>179</v>
      </c>
      <c r="R32" s="14" t="s">
        <v>180</v>
      </c>
      <c r="S32" s="7" t="s">
        <v>181</v>
      </c>
      <c r="T32" s="8"/>
      <c r="U32" s="11" t="str">
        <f>HYPERLINK("https://pbs.twimg.com/profile_images/1351612972829970437/jAnSaK-S.jpg","View")</f>
        <v>View</v>
      </c>
      <c r="V32" s="8"/>
      <c r="W32" s="8"/>
      <c r="X32" s="8"/>
      <c r="Y32" s="8"/>
      <c r="Z32" s="8"/>
    </row>
    <row r="33" spans="1:26" ht="13.2">
      <c r="A33" s="13">
        <v>44250.798055555555</v>
      </c>
      <c r="B33" s="6" t="str">
        <f>HYPERLINK("https://twitter.com/MeArshadaman","@MeArshadaman")</f>
        <v>@MeArshadaman</v>
      </c>
      <c r="C33" s="14" t="s">
        <v>182</v>
      </c>
      <c r="D33" s="14" t="s">
        <v>183</v>
      </c>
      <c r="E33" s="6" t="str">
        <f>HYPERLINK("https://twitter.com/MeArshadaman/status/1364276135823990786","1364276135823990786")</f>
        <v>1364276135823990786</v>
      </c>
      <c r="F33" s="7" t="s">
        <v>184</v>
      </c>
      <c r="G33" s="8"/>
      <c r="H33" s="8"/>
      <c r="I33" s="14">
        <v>4</v>
      </c>
      <c r="J33" s="14">
        <v>0</v>
      </c>
      <c r="K33" s="6" t="str">
        <f>HYPERLINK("http://twitter.com/download/android","Twitter for Android")</f>
        <v>Twitter for Android</v>
      </c>
      <c r="L33" s="15">
        <v>198</v>
      </c>
      <c r="M33" s="15">
        <v>460</v>
      </c>
      <c r="N33" s="15">
        <v>0</v>
      </c>
      <c r="O33" s="9"/>
      <c r="P33" s="10">
        <v>42673.786203703705</v>
      </c>
      <c r="Q33" s="14" t="s">
        <v>185</v>
      </c>
      <c r="R33" s="14" t="s">
        <v>186</v>
      </c>
      <c r="S33" s="7" t="s">
        <v>184</v>
      </c>
      <c r="T33" s="8"/>
      <c r="U33" s="11" t="str">
        <f>HYPERLINK("https://pbs.twimg.com/profile_images/1346873108095848450/SqSnp9Bq.jpg","View")</f>
        <v>View</v>
      </c>
      <c r="V33" s="8"/>
      <c r="W33" s="8"/>
      <c r="X33" s="8"/>
      <c r="Y33" s="8"/>
      <c r="Z33" s="8"/>
    </row>
    <row r="34" spans="1:26" ht="13.2">
      <c r="A34" s="13">
        <v>44250.797650462962</v>
      </c>
      <c r="B34" s="6" t="str">
        <f>HYPERLINK("https://twitter.com/psb_dc","@psb_dc")</f>
        <v>@psb_dc</v>
      </c>
      <c r="C34" s="14" t="s">
        <v>187</v>
      </c>
      <c r="D34" s="14" t="s">
        <v>188</v>
      </c>
      <c r="E34" s="6" t="str">
        <f>HYPERLINK("https://twitter.com/psb_dc/status/1364275990688587779","1364275990688587779")</f>
        <v>1364275990688587779</v>
      </c>
      <c r="F34" s="7" t="s">
        <v>189</v>
      </c>
      <c r="G34" s="14" t="s">
        <v>190</v>
      </c>
      <c r="H34" s="8"/>
      <c r="I34" s="14">
        <v>0</v>
      </c>
      <c r="J34" s="14">
        <v>7</v>
      </c>
      <c r="K34" s="6" t="str">
        <f t="shared" ref="K34:K35" si="4">HYPERLINK("https://mobile.twitter.com","Twitter Web App")</f>
        <v>Twitter Web App</v>
      </c>
      <c r="L34" s="15">
        <v>49876</v>
      </c>
      <c r="M34" s="15">
        <v>6865</v>
      </c>
      <c r="N34" s="15">
        <v>2117</v>
      </c>
      <c r="O34" s="9"/>
      <c r="P34" s="10">
        <v>41966.559004629627</v>
      </c>
      <c r="Q34" s="14" t="s">
        <v>191</v>
      </c>
      <c r="R34" s="14" t="s">
        <v>192</v>
      </c>
      <c r="S34" s="7" t="s">
        <v>193</v>
      </c>
      <c r="T34" s="8"/>
      <c r="U34" s="11" t="str">
        <f>HYPERLINK("https://pbs.twimg.com/profile_images/1208067259287179264/AzFGeUdo.jpg","View")</f>
        <v>View</v>
      </c>
      <c r="V34" s="8"/>
      <c r="W34" s="8"/>
      <c r="X34" s="8"/>
      <c r="Y34" s="8"/>
      <c r="Z34" s="8"/>
    </row>
    <row r="35" spans="1:26" ht="13.2">
      <c r="A35" s="13">
        <v>44250.797361111108</v>
      </c>
      <c r="B35" s="6" t="str">
        <f>HYPERLINK("https://twitter.com/SmarteConseil","@SmarteConseil")</f>
        <v>@SmarteConseil</v>
      </c>
      <c r="C35" s="14" t="s">
        <v>194</v>
      </c>
      <c r="D35" s="14" t="s">
        <v>195</v>
      </c>
      <c r="E35" s="6" t="str">
        <f>HYPERLINK("https://twitter.com/SmarteConseil/status/1364275882936926208","1364275882936926208")</f>
        <v>1364275882936926208</v>
      </c>
      <c r="F35" s="8"/>
      <c r="G35" s="7" t="s">
        <v>196</v>
      </c>
      <c r="H35" s="8"/>
      <c r="I35" s="14">
        <v>0</v>
      </c>
      <c r="J35" s="14">
        <v>0</v>
      </c>
      <c r="K35" s="6" t="str">
        <f t="shared" si="4"/>
        <v>Twitter Web App</v>
      </c>
      <c r="L35" s="15">
        <v>1</v>
      </c>
      <c r="M35" s="15">
        <v>9</v>
      </c>
      <c r="N35" s="15">
        <v>0</v>
      </c>
      <c r="O35" s="9"/>
      <c r="P35" s="10">
        <v>44231.570081018523</v>
      </c>
      <c r="Q35" s="14" t="s">
        <v>197</v>
      </c>
      <c r="R35" s="14" t="s">
        <v>198</v>
      </c>
      <c r="S35" s="7" t="s">
        <v>199</v>
      </c>
      <c r="T35" s="8"/>
      <c r="U35" s="11" t="str">
        <f>HYPERLINK("https://pbs.twimg.com/profile_images/1357333911219523586/qdOD4Upc.jpg","View")</f>
        <v>View</v>
      </c>
      <c r="V35" s="8"/>
      <c r="W35" s="8"/>
      <c r="X35" s="8"/>
      <c r="Y35" s="8"/>
      <c r="Z35" s="8"/>
    </row>
    <row r="36" spans="1:26" ht="13.2">
      <c r="A36" s="13">
        <v>44250.797326388885</v>
      </c>
      <c r="B36" s="6" t="str">
        <f>HYPERLINK("https://twitter.com/sajidmirza","@sajidmirza")</f>
        <v>@sajidmirza</v>
      </c>
      <c r="C36" s="14" t="s">
        <v>200</v>
      </c>
      <c r="D36" s="14" t="s">
        <v>201</v>
      </c>
      <c r="E36" s="6" t="str">
        <f>HYPERLINK("https://twitter.com/sajidmirza/status/1364275872199499777","1364275872199499777")</f>
        <v>1364275872199499777</v>
      </c>
      <c r="F36" s="14" t="s">
        <v>202</v>
      </c>
      <c r="G36" s="8"/>
      <c r="H36" s="8"/>
      <c r="I36" s="14">
        <v>0</v>
      </c>
      <c r="J36" s="14">
        <v>0</v>
      </c>
      <c r="K36" s="6" t="str">
        <f>HYPERLINK("http://twinybots.com","TwinyBots")</f>
        <v>TwinyBots</v>
      </c>
      <c r="L36" s="15">
        <v>2160</v>
      </c>
      <c r="M36" s="15">
        <v>1495</v>
      </c>
      <c r="N36" s="15">
        <v>43</v>
      </c>
      <c r="O36" s="9"/>
      <c r="P36" s="10">
        <v>39986.264884259261</v>
      </c>
      <c r="Q36" s="14" t="s">
        <v>203</v>
      </c>
      <c r="R36" s="14" t="s">
        <v>204</v>
      </c>
      <c r="S36" s="7" t="s">
        <v>205</v>
      </c>
      <c r="T36" s="8"/>
      <c r="U36" s="11" t="str">
        <f>HYPERLINK("https://pbs.twimg.com/profile_images/900709336309276672/M5XpdeQJ.jpg","View")</f>
        <v>View</v>
      </c>
      <c r="V36" s="8"/>
      <c r="W36" s="8"/>
      <c r="X36" s="8"/>
      <c r="Y36" s="8"/>
      <c r="Z36" s="8"/>
    </row>
    <row r="37" spans="1:26" ht="13.2">
      <c r="A37" s="13">
        <v>44250.797013888892</v>
      </c>
      <c r="B37" s="6" t="str">
        <f>HYPERLINK("https://twitter.com/JikmyanM","@JikmyanM")</f>
        <v>@JikmyanM</v>
      </c>
      <c r="C37" s="14" t="s">
        <v>206</v>
      </c>
      <c r="D37" s="14" t="s">
        <v>207</v>
      </c>
      <c r="E37" s="6" t="str">
        <f>HYPERLINK("https://twitter.com/JikmyanM/status/1364275759603453955","1364275759603453955")</f>
        <v>1364275759603453955</v>
      </c>
      <c r="F37" s="7" t="s">
        <v>208</v>
      </c>
      <c r="G37" s="8"/>
      <c r="H37" s="8"/>
      <c r="I37" s="14">
        <v>0</v>
      </c>
      <c r="J37" s="14">
        <v>0</v>
      </c>
      <c r="K37" s="6" t="str">
        <f>HYPERLINK("https://mobile.twitter.com","Twitter Web App")</f>
        <v>Twitter Web App</v>
      </c>
      <c r="L37" s="15">
        <v>857</v>
      </c>
      <c r="M37" s="15">
        <v>1106</v>
      </c>
      <c r="N37" s="15">
        <v>0</v>
      </c>
      <c r="O37" s="9"/>
      <c r="P37" s="10">
        <v>41627.537557870368</v>
      </c>
      <c r="Q37" s="14" t="s">
        <v>209</v>
      </c>
      <c r="R37" s="14" t="s">
        <v>210</v>
      </c>
      <c r="S37" s="7" t="s">
        <v>211</v>
      </c>
      <c r="T37" s="8"/>
      <c r="U37" s="11" t="str">
        <f>HYPERLINK("https://pbs.twimg.com/profile_images/1334713415735136257/Pyrm11kq.jpg","View")</f>
        <v>View</v>
      </c>
      <c r="V37" s="8"/>
      <c r="W37" s="8"/>
      <c r="X37" s="8"/>
      <c r="Y37" s="8"/>
      <c r="Z37" s="8"/>
    </row>
    <row r="38" spans="1:26" ht="13.2">
      <c r="A38" s="13">
        <v>44250.796666666662</v>
      </c>
      <c r="B38" s="6" t="str">
        <f>HYPERLINK("https://twitter.com/DecisionsSmart","@DecisionsSmart")</f>
        <v>@DecisionsSmart</v>
      </c>
      <c r="C38" s="14" t="s">
        <v>212</v>
      </c>
      <c r="D38" s="14" t="s">
        <v>213</v>
      </c>
      <c r="E38" s="6" t="str">
        <f>HYPERLINK("https://twitter.com/DecisionsSmart/status/1364275633405181960","1364275633405181960")</f>
        <v>1364275633405181960</v>
      </c>
      <c r="F38" s="14" t="s">
        <v>214</v>
      </c>
      <c r="G38" s="8"/>
      <c r="H38" s="8"/>
      <c r="I38" s="14">
        <v>1</v>
      </c>
      <c r="J38" s="14">
        <v>0</v>
      </c>
      <c r="K38" s="6" t="str">
        <f>HYPERLINK("http://twinybots.com","TwinyBots")</f>
        <v>TwinyBots</v>
      </c>
      <c r="L38" s="15">
        <v>6690</v>
      </c>
      <c r="M38" s="15">
        <v>5126</v>
      </c>
      <c r="N38" s="15">
        <v>88</v>
      </c>
      <c r="O38" s="9"/>
      <c r="P38" s="10">
        <v>43282.143495370372</v>
      </c>
      <c r="Q38" s="14" t="s">
        <v>215</v>
      </c>
      <c r="R38" s="14" t="s">
        <v>216</v>
      </c>
      <c r="S38" s="8"/>
      <c r="T38" s="8"/>
      <c r="U38" s="11" t="str">
        <f>HYPERLINK("https://pbs.twimg.com/profile_images/1273753380373004289/crFq1msz.jpg","View")</f>
        <v>View</v>
      </c>
      <c r="V38" s="8"/>
      <c r="W38" s="8"/>
      <c r="X38" s="8"/>
      <c r="Y38" s="8"/>
      <c r="Z38" s="8"/>
    </row>
    <row r="39" spans="1:26" ht="13.2">
      <c r="A39" s="13">
        <v>44250.79623842593</v>
      </c>
      <c r="B39" s="6" t="str">
        <f>HYPERLINK("https://twitter.com/odsc","@odsc")</f>
        <v>@odsc</v>
      </c>
      <c r="C39" s="14" t="s">
        <v>217</v>
      </c>
      <c r="D39" s="14" t="s">
        <v>218</v>
      </c>
      <c r="E39" s="6" t="str">
        <f>HYPERLINK("https://twitter.com/odsc/status/1364275477129670656","1364275477129670656")</f>
        <v>1364275477129670656</v>
      </c>
      <c r="F39" s="7" t="s">
        <v>219</v>
      </c>
      <c r="G39" s="7" t="s">
        <v>220</v>
      </c>
      <c r="H39" s="8"/>
      <c r="I39" s="14">
        <v>2</v>
      </c>
      <c r="J39" s="14">
        <v>1</v>
      </c>
      <c r="K39" s="6" t="str">
        <f>HYPERLINK("http://www.hubspot.com/","HubSpot")</f>
        <v>HubSpot</v>
      </c>
      <c r="L39" s="15">
        <v>78817</v>
      </c>
      <c r="M39" s="15">
        <v>27883</v>
      </c>
      <c r="N39" s="15">
        <v>2461</v>
      </c>
      <c r="O39" s="9"/>
      <c r="P39" s="10">
        <v>42039.982766203699</v>
      </c>
      <c r="Q39" s="14" t="s">
        <v>221</v>
      </c>
      <c r="R39" s="14" t="s">
        <v>222</v>
      </c>
      <c r="S39" s="7" t="s">
        <v>223</v>
      </c>
      <c r="T39" s="8"/>
      <c r="U39" s="11" t="str">
        <f>HYPERLINK("https://pbs.twimg.com/profile_images/1115210960271228929/lHua2G3l.png","View")</f>
        <v>View</v>
      </c>
      <c r="V39" s="8"/>
      <c r="W39" s="8"/>
      <c r="X39" s="8"/>
      <c r="Y39" s="8"/>
      <c r="Z39" s="8"/>
    </row>
    <row r="40" spans="1:26" ht="13.2">
      <c r="A40" s="13">
        <v>44250.796203703707</v>
      </c>
      <c r="B40" s="6" t="str">
        <f>HYPERLINK("https://twitter.com/lopezunwired","@lopezunwired")</f>
        <v>@lopezunwired</v>
      </c>
      <c r="C40" s="14" t="s">
        <v>224</v>
      </c>
      <c r="D40" s="14" t="s">
        <v>225</v>
      </c>
      <c r="E40" s="6" t="str">
        <f>HYPERLINK("https://twitter.com/lopezunwired/status/1364275465809108992","1364275465809108992")</f>
        <v>1364275465809108992</v>
      </c>
      <c r="F40" s="7" t="s">
        <v>226</v>
      </c>
      <c r="G40" s="7" t="s">
        <v>227</v>
      </c>
      <c r="H40" s="8"/>
      <c r="I40" s="14">
        <v>3</v>
      </c>
      <c r="J40" s="14">
        <v>0</v>
      </c>
      <c r="K40" s="6" t="str">
        <f>HYPERLINK("https://dlvrit.com/","dlvr.it")</f>
        <v>dlvr.it</v>
      </c>
      <c r="L40" s="15">
        <v>1803</v>
      </c>
      <c r="M40" s="15">
        <v>800</v>
      </c>
      <c r="N40" s="15">
        <v>586</v>
      </c>
      <c r="O40" s="9"/>
      <c r="P40" s="10">
        <v>39831.947152777779</v>
      </c>
      <c r="Q40" s="14" t="s">
        <v>228</v>
      </c>
      <c r="R40" s="14" t="s">
        <v>229</v>
      </c>
      <c r="S40" s="7" t="s">
        <v>230</v>
      </c>
      <c r="T40" s="8"/>
      <c r="U40" s="11" t="str">
        <f>HYPERLINK("https://pbs.twimg.com/profile_images/3326137784/c6c1c2570fc7b9711dd8de812b996a66.jpeg","View")</f>
        <v>View</v>
      </c>
      <c r="V40" s="8"/>
      <c r="W40" s="8"/>
      <c r="X40" s="8"/>
      <c r="Y40" s="8"/>
      <c r="Z40" s="8"/>
    </row>
    <row r="41" spans="1:26" ht="13.2">
      <c r="A41" s="13">
        <v>44250.796122685184</v>
      </c>
      <c r="B41" s="6" t="str">
        <f>HYPERLINK("https://twitter.com/aiplustraining","@aiplustraining")</f>
        <v>@aiplustraining</v>
      </c>
      <c r="C41" s="14" t="s">
        <v>231</v>
      </c>
      <c r="D41" s="14" t="s">
        <v>232</v>
      </c>
      <c r="E41" s="6" t="str">
        <f>HYPERLINK("https://twitter.com/aiplustraining/status/1364275435513724929","1364275435513724929")</f>
        <v>1364275435513724929</v>
      </c>
      <c r="F41" s="7" t="s">
        <v>233</v>
      </c>
      <c r="G41" s="7" t="s">
        <v>234</v>
      </c>
      <c r="H41" s="8"/>
      <c r="I41" s="14">
        <v>1</v>
      </c>
      <c r="J41" s="14">
        <v>0</v>
      </c>
      <c r="K41" s="6" t="str">
        <f>HYPERLINK("http://www.hubspot.com/","HubSpot")</f>
        <v>HubSpot</v>
      </c>
      <c r="L41" s="15">
        <v>5</v>
      </c>
      <c r="M41" s="15">
        <v>2</v>
      </c>
      <c r="N41" s="15">
        <v>0</v>
      </c>
      <c r="O41" s="9"/>
      <c r="P41" s="10">
        <v>44237.778668981482</v>
      </c>
      <c r="Q41" s="14" t="s">
        <v>221</v>
      </c>
      <c r="R41" s="14" t="s">
        <v>235</v>
      </c>
      <c r="S41" s="7" t="s">
        <v>236</v>
      </c>
      <c r="T41" s="8"/>
      <c r="U41" s="11" t="str">
        <f>HYPERLINK("https://pbs.twimg.com/profile_images/1359558269157707783/sqig3Ehi.png","View")</f>
        <v>View</v>
      </c>
      <c r="V41" s="8"/>
      <c r="W41" s="8"/>
      <c r="X41" s="8"/>
      <c r="Y41" s="8"/>
      <c r="Z41" s="8"/>
    </row>
    <row r="42" spans="1:26" ht="13.2">
      <c r="A42" s="13">
        <v>44250.795833333337</v>
      </c>
      <c r="B42" s="6" t="str">
        <f>HYPERLINK("https://twitter.com/jancavelle","@jancavelle")</f>
        <v>@jancavelle</v>
      </c>
      <c r="C42" s="14" t="s">
        <v>237</v>
      </c>
      <c r="D42" s="14" t="s">
        <v>238</v>
      </c>
      <c r="E42" s="6" t="str">
        <f>HYPERLINK("https://twitter.com/jancavelle/status/1364275329624277123","1364275329624277123")</f>
        <v>1364275329624277123</v>
      </c>
      <c r="F42" s="14" t="s">
        <v>239</v>
      </c>
      <c r="G42" s="7" t="s">
        <v>240</v>
      </c>
      <c r="H42" s="8"/>
      <c r="I42" s="14">
        <v>0</v>
      </c>
      <c r="J42" s="14">
        <v>0</v>
      </c>
      <c r="K42" s="6" t="str">
        <f>HYPERLINK("https://about.twitter.com/products/tweetdeck","TweetDeck")</f>
        <v>TweetDeck</v>
      </c>
      <c r="L42" s="15">
        <v>12361</v>
      </c>
      <c r="M42" s="15">
        <v>11723</v>
      </c>
      <c r="N42" s="15">
        <v>118</v>
      </c>
      <c r="O42" s="9"/>
      <c r="P42" s="10">
        <v>39835.781446759262</v>
      </c>
      <c r="Q42" s="14" t="s">
        <v>241</v>
      </c>
      <c r="R42" s="14" t="s">
        <v>242</v>
      </c>
      <c r="S42" s="7" t="s">
        <v>243</v>
      </c>
      <c r="T42" s="8"/>
      <c r="U42" s="11" t="str">
        <f>HYPERLINK("https://pbs.twimg.com/profile_images/971411591659966465/liJWsXpe.jpg","View")</f>
        <v>View</v>
      </c>
      <c r="V42" s="8"/>
      <c r="W42" s="8"/>
      <c r="X42" s="8"/>
      <c r="Y42" s="8"/>
      <c r="Z42" s="8"/>
    </row>
    <row r="43" spans="1:26" ht="13.2">
      <c r="A43" s="13">
        <v>44250.795567129629</v>
      </c>
      <c r="B43" s="6" t="str">
        <f>HYPERLINK("https://twitter.com/BlackfreeNiken","@BlackfreeNiken")</f>
        <v>@BlackfreeNiken</v>
      </c>
      <c r="C43" s="14" t="s">
        <v>244</v>
      </c>
      <c r="D43" s="14" t="s">
        <v>245</v>
      </c>
      <c r="E43" s="6" t="str">
        <f>HYPERLINK("https://twitter.com/BlackfreeNiken/status/1364275236108034050","1364275236108034050")</f>
        <v>1364275236108034050</v>
      </c>
      <c r="F43" s="7" t="s">
        <v>246</v>
      </c>
      <c r="G43" s="7" t="s">
        <v>247</v>
      </c>
      <c r="H43" s="8"/>
      <c r="I43" s="14">
        <v>18</v>
      </c>
      <c r="J43" s="14">
        <v>2</v>
      </c>
      <c r="K43" s="6" t="str">
        <f>HYPERLINK("https://mobile.twitter.com","Twitter Web App")</f>
        <v>Twitter Web App</v>
      </c>
      <c r="L43" s="15">
        <v>266</v>
      </c>
      <c r="M43" s="15">
        <v>167</v>
      </c>
      <c r="N43" s="15">
        <v>11</v>
      </c>
      <c r="O43" s="9"/>
      <c r="P43" s="10">
        <v>43630.661504629628</v>
      </c>
      <c r="Q43" s="8"/>
      <c r="R43" s="14" t="s">
        <v>248</v>
      </c>
      <c r="S43" s="7" t="s">
        <v>249</v>
      </c>
      <c r="T43" s="8"/>
      <c r="U43" s="11" t="str">
        <f>HYPERLINK("https://pbs.twimg.com/profile_images/1198566533317844997/LJzP5iY7.jpg","View")</f>
        <v>View</v>
      </c>
      <c r="V43" s="8"/>
      <c r="W43" s="8"/>
      <c r="X43" s="8"/>
      <c r="Y43" s="8"/>
      <c r="Z43" s="8"/>
    </row>
    <row r="44" spans="1:26" ht="13.2">
      <c r="A44" s="13">
        <v>44250.79552083333</v>
      </c>
      <c r="B44" s="6" t="str">
        <f>HYPERLINK("https://twitter.com/flowrax_x","@flowrax_x")</f>
        <v>@flowrax_x</v>
      </c>
      <c r="C44" s="14" t="s">
        <v>250</v>
      </c>
      <c r="D44" s="14" t="s">
        <v>251</v>
      </c>
      <c r="E44" s="6" t="str">
        <f>HYPERLINK("https://twitter.com/flowrax_x/status/1364275216407552001","1364275216407552001")</f>
        <v>1364275216407552001</v>
      </c>
      <c r="F44" s="8"/>
      <c r="G44" s="7" t="s">
        <v>252</v>
      </c>
      <c r="H44" s="8"/>
      <c r="I44" s="14">
        <v>6</v>
      </c>
      <c r="J44" s="14">
        <v>1</v>
      </c>
      <c r="K44" s="6" t="str">
        <f>HYPERLINK("https://www.later.com","LaterMedia")</f>
        <v>LaterMedia</v>
      </c>
      <c r="L44" s="15">
        <v>18</v>
      </c>
      <c r="M44" s="15">
        <v>78</v>
      </c>
      <c r="N44" s="15">
        <v>0</v>
      </c>
      <c r="O44" s="9"/>
      <c r="P44" s="10">
        <v>44238.855486111112</v>
      </c>
      <c r="Q44" s="8"/>
      <c r="R44" s="14" t="s">
        <v>253</v>
      </c>
      <c r="S44" s="7" t="s">
        <v>254</v>
      </c>
      <c r="T44" s="8"/>
      <c r="U44" s="11" t="str">
        <f>HYPERLINK("https://pbs.twimg.com/profile_images/1359948560158978050/uGqG2sUw.jpg","View")</f>
        <v>View</v>
      </c>
      <c r="V44" s="8"/>
      <c r="W44" s="8"/>
      <c r="X44" s="8"/>
      <c r="Y44" s="8"/>
      <c r="Z44" s="8"/>
    </row>
    <row r="45" spans="1:26" ht="13.2">
      <c r="A45" s="13">
        <v>44250.795208333337</v>
      </c>
      <c r="B45" s="6" t="str">
        <f>HYPERLINK("https://twitter.com/nigewillson","@nigewillson")</f>
        <v>@nigewillson</v>
      </c>
      <c r="C45" s="14" t="s">
        <v>95</v>
      </c>
      <c r="D45" s="14" t="s">
        <v>255</v>
      </c>
      <c r="E45" s="6" t="str">
        <f>HYPERLINK("https://twitter.com/nigewillson/status/1364275102993571841","1364275102993571841")</f>
        <v>1364275102993571841</v>
      </c>
      <c r="F45" s="7" t="s">
        <v>256</v>
      </c>
      <c r="G45" s="7" t="s">
        <v>117</v>
      </c>
      <c r="H45" s="8"/>
      <c r="I45" s="14">
        <v>6</v>
      </c>
      <c r="J45" s="14">
        <v>4</v>
      </c>
      <c r="K45" s="6" t="str">
        <f>HYPERLINK("https://buffer.com","Buffer")</f>
        <v>Buffer</v>
      </c>
      <c r="L45" s="15">
        <v>57515</v>
      </c>
      <c r="M45" s="15">
        <v>49523</v>
      </c>
      <c r="N45" s="15">
        <v>1688</v>
      </c>
      <c r="O45" s="9"/>
      <c r="P45" s="10">
        <v>40530.666805555556</v>
      </c>
      <c r="Q45" s="14" t="s">
        <v>99</v>
      </c>
      <c r="R45" s="14" t="s">
        <v>100</v>
      </c>
      <c r="S45" s="7" t="s">
        <v>101</v>
      </c>
      <c r="T45" s="8"/>
      <c r="U45" s="11" t="str">
        <f>HYPERLINK("https://pbs.twimg.com/profile_images/1085251590997622784/x9mWVQ1d.jpg","View")</f>
        <v>View</v>
      </c>
      <c r="V45" s="8"/>
      <c r="W45" s="8"/>
      <c r="X45" s="8"/>
      <c r="Y45" s="8"/>
      <c r="Z45" s="8"/>
    </row>
    <row r="46" spans="1:26" ht="13.2">
      <c r="A46" s="13">
        <v>44250.79478009259</v>
      </c>
      <c r="B46" s="6" t="str">
        <f>HYPERLINK("https://twitter.com/rzeta0","@rzeta0")</f>
        <v>@rzeta0</v>
      </c>
      <c r="C46" s="14" t="s">
        <v>257</v>
      </c>
      <c r="D46" s="14" t="s">
        <v>258</v>
      </c>
      <c r="E46" s="6" t="str">
        <f>HYPERLINK("https://twitter.com/rzeta0/status/1364274949620391937","1364274949620391937")</f>
        <v>1364274949620391937</v>
      </c>
      <c r="F46" s="7" t="s">
        <v>259</v>
      </c>
      <c r="G46" s="8"/>
      <c r="H46" s="8"/>
      <c r="I46" s="14">
        <v>1</v>
      </c>
      <c r="J46" s="14">
        <v>0</v>
      </c>
      <c r="K46" s="6" t="str">
        <f>HYPERLINK("https://mobile.twitter.com","Twitter Web App")</f>
        <v>Twitter Web App</v>
      </c>
      <c r="L46" s="15">
        <v>1365</v>
      </c>
      <c r="M46" s="15">
        <v>520</v>
      </c>
      <c r="N46" s="15">
        <v>43</v>
      </c>
      <c r="O46" s="9"/>
      <c r="P46" s="10">
        <v>43284.916759259257</v>
      </c>
      <c r="Q46" s="14" t="s">
        <v>260</v>
      </c>
      <c r="R46" s="14" t="s">
        <v>261</v>
      </c>
      <c r="S46" s="7" t="s">
        <v>262</v>
      </c>
      <c r="T46" s="8"/>
      <c r="U46" s="11" t="str">
        <f>HYPERLINK("https://pbs.twimg.com/profile_images/1320540412856205315/NJFykmko.jpg","View")</f>
        <v>View</v>
      </c>
      <c r="V46" s="8"/>
      <c r="W46" s="8"/>
      <c r="X46" s="8"/>
      <c r="Y46" s="8"/>
      <c r="Z46" s="8"/>
    </row>
    <row r="47" spans="1:26" ht="13.2">
      <c r="A47" s="13">
        <v>44250.794444444444</v>
      </c>
      <c r="B47" s="6" t="str">
        <f>HYPERLINK("https://twitter.com/stratorob","@stratorob")</f>
        <v>@stratorob</v>
      </c>
      <c r="C47" s="14" t="s">
        <v>263</v>
      </c>
      <c r="D47" s="14" t="s">
        <v>264</v>
      </c>
      <c r="E47" s="6" t="str">
        <f>HYPERLINK("https://twitter.com/stratorob/status/1364274828824481792","1364274828824481792")</f>
        <v>1364274828824481792</v>
      </c>
      <c r="F47" s="7" t="s">
        <v>265</v>
      </c>
      <c r="G47" s="8"/>
      <c r="H47" s="8"/>
      <c r="I47" s="14">
        <v>1</v>
      </c>
      <c r="J47" s="14">
        <v>0</v>
      </c>
      <c r="K47" s="6" t="str">
        <f>HYPERLINK("https://paper.li","Paper.li")</f>
        <v>Paper.li</v>
      </c>
      <c r="L47" s="15">
        <v>32477</v>
      </c>
      <c r="M47" s="15">
        <v>12996</v>
      </c>
      <c r="N47" s="15">
        <v>657</v>
      </c>
      <c r="O47" s="9"/>
      <c r="P47" s="10">
        <v>40570.461076388892</v>
      </c>
      <c r="Q47" s="14" t="s">
        <v>266</v>
      </c>
      <c r="R47" s="14" t="s">
        <v>267</v>
      </c>
      <c r="S47" s="7" t="s">
        <v>268</v>
      </c>
      <c r="T47" s="8"/>
      <c r="U47" s="11" t="str">
        <f>HYPERLINK("https://pbs.twimg.com/profile_images/1081644975333478401/_Csd-JKp.jpg","View")</f>
        <v>View</v>
      </c>
      <c r="V47" s="8"/>
      <c r="W47" s="8"/>
      <c r="X47" s="8"/>
      <c r="Y47" s="8"/>
      <c r="Z47" s="8"/>
    </row>
    <row r="48" spans="1:26" ht="13.2">
      <c r="A48" s="13">
        <v>44250.794247685189</v>
      </c>
      <c r="B48" s="6" t="str">
        <f>HYPERLINK("https://twitter.com/MedicaliPhone","@MedicaliPhone")</f>
        <v>@MedicaliPhone</v>
      </c>
      <c r="C48" s="14" t="s">
        <v>269</v>
      </c>
      <c r="D48" s="14" t="s">
        <v>213</v>
      </c>
      <c r="E48" s="6" t="str">
        <f>HYPERLINK("https://twitter.com/MedicaliPhone/status/1364274756082663425","1364274756082663425")</f>
        <v>1364274756082663425</v>
      </c>
      <c r="F48" s="14" t="s">
        <v>214</v>
      </c>
      <c r="G48" s="8"/>
      <c r="H48" s="8"/>
      <c r="I48" s="14">
        <v>1</v>
      </c>
      <c r="J48" s="14">
        <v>0</v>
      </c>
      <c r="K48" s="6" t="str">
        <f>HYPERLINK("http://twinybots.com","TwinyBots")</f>
        <v>TwinyBots</v>
      </c>
      <c r="L48" s="15">
        <v>18689</v>
      </c>
      <c r="M48" s="15">
        <v>19077</v>
      </c>
      <c r="N48" s="15">
        <v>450</v>
      </c>
      <c r="O48" s="9"/>
      <c r="P48" s="10">
        <v>39978.071932870371</v>
      </c>
      <c r="Q48" s="14" t="s">
        <v>270</v>
      </c>
      <c r="R48" s="14" t="s">
        <v>271</v>
      </c>
      <c r="S48" s="7" t="s">
        <v>272</v>
      </c>
      <c r="T48" s="8"/>
      <c r="U48" s="11" t="str">
        <f>HYPERLINK("https://pbs.twimg.com/profile_images/671869096389021696/Z1Kr3P0K.png","View")</f>
        <v>View</v>
      </c>
      <c r="V48" s="8"/>
      <c r="W48" s="8"/>
      <c r="X48" s="8"/>
      <c r="Y48" s="8"/>
      <c r="Z48" s="8"/>
    </row>
    <row r="49" spans="1:26" ht="13.2">
      <c r="A49" s="13">
        <v>44250.793923611112</v>
      </c>
      <c r="B49" s="6" t="str">
        <f>HYPERLINK("https://twitter.com/ttaulli","@ttaulli")</f>
        <v>@ttaulli</v>
      </c>
      <c r="C49" s="14" t="s">
        <v>273</v>
      </c>
      <c r="D49" s="14" t="s">
        <v>274</v>
      </c>
      <c r="E49" s="6" t="str">
        <f>HYPERLINK("https://twitter.com/ttaulli/status/1364274639891886080","1364274639891886080")</f>
        <v>1364274639891886080</v>
      </c>
      <c r="F49" s="7" t="s">
        <v>275</v>
      </c>
      <c r="G49" s="8"/>
      <c r="H49" s="8"/>
      <c r="I49" s="14">
        <v>1</v>
      </c>
      <c r="J49" s="14">
        <v>0</v>
      </c>
      <c r="K49" s="6" t="str">
        <f>HYPERLINK("https://mobile.twitter.com","Twitter Web App")</f>
        <v>Twitter Web App</v>
      </c>
      <c r="L49" s="15">
        <v>4905</v>
      </c>
      <c r="M49" s="15">
        <v>1681</v>
      </c>
      <c r="N49" s="15">
        <v>161</v>
      </c>
      <c r="O49" s="9"/>
      <c r="P49" s="10">
        <v>39877.143969907411</v>
      </c>
      <c r="Q49" s="14" t="s">
        <v>276</v>
      </c>
      <c r="R49" s="14" t="s">
        <v>277</v>
      </c>
      <c r="S49" s="7" t="s">
        <v>278</v>
      </c>
      <c r="T49" s="8"/>
      <c r="U49" s="11" t="str">
        <f>HYPERLINK("https://pbs.twimg.com/profile_images/493075191132454913/ihuKGBBI.png","View")</f>
        <v>View</v>
      </c>
      <c r="V49" s="8"/>
      <c r="W49" s="8"/>
      <c r="X49" s="8"/>
      <c r="Y49" s="8"/>
      <c r="Z49" s="8"/>
    </row>
    <row r="50" spans="1:26" ht="13.2">
      <c r="A50" s="13">
        <v>44250.793599537035</v>
      </c>
      <c r="B50" s="6" t="str">
        <f>HYPERLINK("https://twitter.com/machinelearnflx","@machinelearnflx")</f>
        <v>@machinelearnflx</v>
      </c>
      <c r="C50" s="14" t="s">
        <v>279</v>
      </c>
      <c r="D50" s="14" t="s">
        <v>280</v>
      </c>
      <c r="E50" s="6" t="str">
        <f>HYPERLINK("https://twitter.com/machinelearnflx/status/1364274521583341570","1364274521583341570")</f>
        <v>1364274521583341570</v>
      </c>
      <c r="F50" s="7" t="s">
        <v>281</v>
      </c>
      <c r="G50" s="8"/>
      <c r="H50" s="8"/>
      <c r="I50" s="14">
        <v>1</v>
      </c>
      <c r="J50" s="14">
        <v>2</v>
      </c>
      <c r="K50" s="6" t="str">
        <f>HYPERLINK("https://twitter.com/pythonbot_","Postmatico")</f>
        <v>Postmatico</v>
      </c>
      <c r="L50" s="15">
        <v>90451</v>
      </c>
      <c r="M50" s="15">
        <v>35464</v>
      </c>
      <c r="N50" s="15">
        <v>2227</v>
      </c>
      <c r="O50" s="9"/>
      <c r="P50" s="10">
        <v>42386.538865740746</v>
      </c>
      <c r="Q50" s="8"/>
      <c r="R50" s="14" t="s">
        <v>282</v>
      </c>
      <c r="S50" s="7" t="s">
        <v>283</v>
      </c>
      <c r="T50" s="8"/>
      <c r="U50" s="11" t="str">
        <f>HYPERLINK("https://pbs.twimg.com/profile_images/688735459892195329/v8sHaWSG.jpg","View")</f>
        <v>View</v>
      </c>
      <c r="V50" s="8"/>
      <c r="W50" s="8"/>
      <c r="X50" s="8"/>
      <c r="Y50" s="8"/>
      <c r="Z50" s="8"/>
    </row>
    <row r="51" spans="1:26" ht="13.2">
      <c r="A51" s="13">
        <v>44250.793587962966</v>
      </c>
      <c r="B51" s="6" t="str">
        <f>HYPERLINK("https://twitter.com/future_of_AI","@future_of_AI")</f>
        <v>@future_of_AI</v>
      </c>
      <c r="C51" s="14" t="s">
        <v>284</v>
      </c>
      <c r="D51" s="14" t="s">
        <v>285</v>
      </c>
      <c r="E51" s="6" t="str">
        <f>HYPERLINK("https://twitter.com/future_of_AI/status/1364274515195346946","1364274515195346946")</f>
        <v>1364274515195346946</v>
      </c>
      <c r="F51" s="7" t="s">
        <v>286</v>
      </c>
      <c r="G51" s="8"/>
      <c r="H51" s="8"/>
      <c r="I51" s="14">
        <v>1</v>
      </c>
      <c r="J51" s="14">
        <v>0</v>
      </c>
      <c r="K51" s="6" t="str">
        <f>HYPERLINK("https://buffer.com","Buffer")</f>
        <v>Buffer</v>
      </c>
      <c r="L51" s="15">
        <v>2893</v>
      </c>
      <c r="M51" s="15">
        <v>1348</v>
      </c>
      <c r="N51" s="15">
        <v>130</v>
      </c>
      <c r="O51" s="9"/>
      <c r="P51" s="10">
        <v>42816.80840277778</v>
      </c>
      <c r="Q51" s="8"/>
      <c r="R51" s="14" t="s">
        <v>287</v>
      </c>
      <c r="S51" s="7" t="s">
        <v>288</v>
      </c>
      <c r="T51" s="8"/>
      <c r="U51" s="11" t="str">
        <f>HYPERLINK("https://pbs.twimg.com/profile_images/1047866034970140673/ZBhSks16.jpg","View")</f>
        <v>View</v>
      </c>
      <c r="V51" s="8"/>
      <c r="W51" s="8"/>
      <c r="X51" s="8"/>
      <c r="Y51" s="8"/>
      <c r="Z51" s="8"/>
    </row>
    <row r="52" spans="1:26" ht="13.2">
      <c r="A52" s="13">
        <v>44250.79351851852</v>
      </c>
      <c r="B52" s="6" t="str">
        <f>HYPERLINK("https://twitter.com/swisstfrazer","@swisstfrazer")</f>
        <v>@swisstfrazer</v>
      </c>
      <c r="C52" s="14" t="s">
        <v>289</v>
      </c>
      <c r="D52" s="14" t="s">
        <v>290</v>
      </c>
      <c r="E52" s="6" t="str">
        <f>HYPERLINK("https://twitter.com/swisstfrazer/status/1364274492315344897","1364274492315344897")</f>
        <v>1364274492315344897</v>
      </c>
      <c r="F52" s="7" t="s">
        <v>291</v>
      </c>
      <c r="G52" s="8"/>
      <c r="H52" s="8"/>
      <c r="I52" s="14">
        <v>0</v>
      </c>
      <c r="J52" s="14">
        <v>0</v>
      </c>
      <c r="K52" s="6" t="str">
        <f t="shared" ref="K52:K53" si="5">HYPERLINK("https://mobile.twitter.com","Twitter Web App")</f>
        <v>Twitter Web App</v>
      </c>
      <c r="L52" s="15">
        <v>531</v>
      </c>
      <c r="M52" s="15">
        <v>479</v>
      </c>
      <c r="N52" s="15">
        <v>50</v>
      </c>
      <c r="O52" s="9"/>
      <c r="P52" s="10">
        <v>42212.728090277778</v>
      </c>
      <c r="Q52" s="14" t="s">
        <v>292</v>
      </c>
      <c r="R52" s="14" t="s">
        <v>293</v>
      </c>
      <c r="S52" s="7" t="s">
        <v>294</v>
      </c>
      <c r="T52" s="8"/>
      <c r="U52" s="11" t="str">
        <f>HYPERLINK("https://pbs.twimg.com/profile_images/1164006962826104832/z4ZiBUHI.jpg","View")</f>
        <v>View</v>
      </c>
      <c r="V52" s="8"/>
      <c r="W52" s="8"/>
      <c r="X52" s="8"/>
      <c r="Y52" s="8"/>
      <c r="Z52" s="8"/>
    </row>
    <row r="53" spans="1:26" ht="13.2">
      <c r="A53" s="13">
        <v>44250.793182870373</v>
      </c>
      <c r="B53" s="6" t="str">
        <f>HYPERLINK("https://twitter.com/gnv_dam","@gnv_dam")</f>
        <v>@gnv_dam</v>
      </c>
      <c r="C53" s="14" t="s">
        <v>295</v>
      </c>
      <c r="D53" s="14" t="s">
        <v>296</v>
      </c>
      <c r="E53" s="6" t="str">
        <f>HYPERLINK("https://twitter.com/gnv_dam/status/1364274369170669573","1364274369170669573")</f>
        <v>1364274369170669573</v>
      </c>
      <c r="F53" s="7" t="s">
        <v>297</v>
      </c>
      <c r="G53" s="8"/>
      <c r="H53" s="8"/>
      <c r="I53" s="14">
        <v>1</v>
      </c>
      <c r="J53" s="14">
        <v>0</v>
      </c>
      <c r="K53" s="6" t="str">
        <f t="shared" si="5"/>
        <v>Twitter Web App</v>
      </c>
      <c r="L53" s="15">
        <v>4207</v>
      </c>
      <c r="M53" s="15">
        <v>3961</v>
      </c>
      <c r="N53" s="15">
        <v>34</v>
      </c>
      <c r="O53" s="9"/>
      <c r="P53" s="10">
        <v>43269.585266203707</v>
      </c>
      <c r="Q53" s="14" t="s">
        <v>298</v>
      </c>
      <c r="R53" s="14" t="s">
        <v>299</v>
      </c>
      <c r="S53" s="8"/>
      <c r="T53" s="8"/>
      <c r="U53" s="11" t="str">
        <f>HYPERLINK("https://pbs.twimg.com/profile_images/1343628816674123777/ZdRT0ceF.jpg","View")</f>
        <v>View</v>
      </c>
      <c r="V53" s="8"/>
      <c r="W53" s="8"/>
      <c r="X53" s="8"/>
      <c r="Y53" s="8"/>
      <c r="Z53" s="8"/>
    </row>
    <row r="54" spans="1:26" ht="13.2">
      <c r="A54" s="13">
        <v>44250.792939814812</v>
      </c>
      <c r="B54" s="6" t="str">
        <f>HYPERLINK("https://twitter.com/netdove","@netdove")</f>
        <v>@netdove</v>
      </c>
      <c r="C54" s="14" t="s">
        <v>300</v>
      </c>
      <c r="D54" s="14" t="s">
        <v>301</v>
      </c>
      <c r="E54" s="6" t="str">
        <f>HYPERLINK("https://twitter.com/netdove/status/1364274281048379394","1364274281048379394")</f>
        <v>1364274281048379394</v>
      </c>
      <c r="F54" s="7" t="s">
        <v>302</v>
      </c>
      <c r="G54" s="8"/>
      <c r="H54" s="8"/>
      <c r="I54" s="14">
        <v>0</v>
      </c>
      <c r="J54" s="14">
        <v>0</v>
      </c>
      <c r="K54" s="6" t="str">
        <f>HYPERLINK("https://paper.li","Paper.li")</f>
        <v>Paper.li</v>
      </c>
      <c r="L54" s="15">
        <v>125</v>
      </c>
      <c r="M54" s="15">
        <v>614</v>
      </c>
      <c r="N54" s="15">
        <v>22</v>
      </c>
      <c r="O54" s="9"/>
      <c r="P54" s="10">
        <v>39926.094872685186</v>
      </c>
      <c r="Q54" s="14" t="s">
        <v>303</v>
      </c>
      <c r="R54" s="14" t="s">
        <v>304</v>
      </c>
      <c r="S54" s="8"/>
      <c r="T54" s="8"/>
      <c r="U54" s="11" t="str">
        <f>HYPERLINK("https://pbs.twimg.com/profile_images/485282154935382016/64tdQSO0.png","View")</f>
        <v>View</v>
      </c>
      <c r="V54" s="8"/>
      <c r="W54" s="8"/>
      <c r="X54" s="8"/>
      <c r="Y54" s="8"/>
      <c r="Z54" s="8"/>
    </row>
    <row r="55" spans="1:26" ht="13.2">
      <c r="A55" s="13">
        <v>44250.792465277773</v>
      </c>
      <c r="B55" s="6" t="str">
        <f>HYPERLINK("https://twitter.com/globaliqx","@globaliqx")</f>
        <v>@globaliqx</v>
      </c>
      <c r="C55" s="14" t="s">
        <v>305</v>
      </c>
      <c r="D55" s="14" t="s">
        <v>306</v>
      </c>
      <c r="E55" s="6" t="str">
        <f>HYPERLINK("https://twitter.com/globaliqx/status/1364274109081878533","1364274109081878533")</f>
        <v>1364274109081878533</v>
      </c>
      <c r="F55" s="7" t="s">
        <v>307</v>
      </c>
      <c r="G55" s="7" t="s">
        <v>308</v>
      </c>
      <c r="H55" s="8"/>
      <c r="I55" s="14">
        <v>3</v>
      </c>
      <c r="J55" s="14">
        <v>2</v>
      </c>
      <c r="K55" s="6" t="str">
        <f t="shared" ref="K55:K56" si="6">HYPERLINK("https://buffer.com","Buffer")</f>
        <v>Buffer</v>
      </c>
      <c r="L55" s="15">
        <v>10339</v>
      </c>
      <c r="M55" s="15">
        <v>7808</v>
      </c>
      <c r="N55" s="15">
        <v>868</v>
      </c>
      <c r="O55" s="9"/>
      <c r="P55" s="10">
        <v>41565.721296296295</v>
      </c>
      <c r="Q55" s="14" t="s">
        <v>309</v>
      </c>
      <c r="R55" s="14" t="s">
        <v>310</v>
      </c>
      <c r="S55" s="7" t="s">
        <v>311</v>
      </c>
      <c r="T55" s="8"/>
      <c r="U55" s="11" t="str">
        <f>HYPERLINK("https://pbs.twimg.com/profile_images/695005663492247556/v0EQSRal.jpg","View")</f>
        <v>View</v>
      </c>
      <c r="V55" s="8"/>
      <c r="W55" s="8"/>
      <c r="X55" s="8"/>
      <c r="Y55" s="8"/>
      <c r="Z55" s="8"/>
    </row>
    <row r="56" spans="1:26" ht="13.2">
      <c r="A56" s="13">
        <v>44250.792372685188</v>
      </c>
      <c r="B56" s="6" t="str">
        <f>HYPERLINK("https://twitter.com/Deep_In_Depth","@Deep_In_Depth")</f>
        <v>@Deep_In_Depth</v>
      </c>
      <c r="C56" s="14" t="s">
        <v>312</v>
      </c>
      <c r="D56" s="14" t="s">
        <v>313</v>
      </c>
      <c r="E56" s="6" t="str">
        <f>HYPERLINK("https://twitter.com/Deep_In_Depth/status/1364274076752240640","1364274076752240640")</f>
        <v>1364274076752240640</v>
      </c>
      <c r="F56" s="7" t="s">
        <v>314</v>
      </c>
      <c r="G56" s="8"/>
      <c r="H56" s="8"/>
      <c r="I56" s="14">
        <v>1</v>
      </c>
      <c r="J56" s="14">
        <v>0</v>
      </c>
      <c r="K56" s="6" t="str">
        <f t="shared" si="6"/>
        <v>Buffer</v>
      </c>
      <c r="L56" s="15">
        <v>10954</v>
      </c>
      <c r="M56" s="15">
        <v>9176</v>
      </c>
      <c r="N56" s="15">
        <v>159</v>
      </c>
      <c r="O56" s="9"/>
      <c r="P56" s="10">
        <v>42864.439525462964</v>
      </c>
      <c r="Q56" s="14" t="s">
        <v>315</v>
      </c>
      <c r="R56" s="14" t="s">
        <v>316</v>
      </c>
      <c r="S56" s="7" t="s">
        <v>317</v>
      </c>
      <c r="T56" s="8"/>
      <c r="U56" s="11" t="str">
        <f>HYPERLINK("https://pbs.twimg.com/profile_images/861866967493431296/PIjaSD4g.jpg","View")</f>
        <v>View</v>
      </c>
      <c r="V56" s="8"/>
      <c r="W56" s="8"/>
      <c r="X56" s="8"/>
      <c r="Y56" s="8"/>
      <c r="Z56" s="8"/>
    </row>
    <row r="57" spans="1:26" ht="13.2">
      <c r="A57" s="13">
        <v>44250.792256944449</v>
      </c>
      <c r="B57" s="6" t="str">
        <f>HYPERLINK("https://twitter.com/ParolaAnalytics","@ParolaAnalytics")</f>
        <v>@ParolaAnalytics</v>
      </c>
      <c r="C57" s="14" t="s">
        <v>318</v>
      </c>
      <c r="D57" s="14" t="s">
        <v>319</v>
      </c>
      <c r="E57" s="6" t="str">
        <f>HYPERLINK("https://twitter.com/ParolaAnalytics/status/1364274033542328323","1364274033542328323")</f>
        <v>1364274033542328323</v>
      </c>
      <c r="F57" s="7" t="s">
        <v>320</v>
      </c>
      <c r="G57" s="7" t="s">
        <v>321</v>
      </c>
      <c r="H57" s="8"/>
      <c r="I57" s="14">
        <v>0</v>
      </c>
      <c r="J57" s="14">
        <v>0</v>
      </c>
      <c r="K57" s="6" t="str">
        <f t="shared" ref="K57:K58" si="7">HYPERLINK("https://www.hootsuite.com","Hootsuite Inc.")</f>
        <v>Hootsuite Inc.</v>
      </c>
      <c r="L57" s="15">
        <v>886</v>
      </c>
      <c r="M57" s="15">
        <v>984</v>
      </c>
      <c r="N57" s="15">
        <v>20</v>
      </c>
      <c r="O57" s="9"/>
      <c r="P57" s="10">
        <v>42620.378506944442</v>
      </c>
      <c r="Q57" s="14" t="s">
        <v>322</v>
      </c>
      <c r="R57" s="14" t="s">
        <v>323</v>
      </c>
      <c r="S57" s="7" t="s">
        <v>324</v>
      </c>
      <c r="T57" s="8"/>
      <c r="U57" s="11" t="str">
        <f>HYPERLINK("https://pbs.twimg.com/profile_images/773418864138936321/WqlxAkrf.jpg","View")</f>
        <v>View</v>
      </c>
      <c r="V57" s="8"/>
      <c r="W57" s="8"/>
      <c r="X57" s="8"/>
      <c r="Y57" s="8"/>
      <c r="Z57" s="8"/>
    </row>
    <row r="58" spans="1:26" ht="13.2">
      <c r="A58" s="13">
        <v>44250.792187500003</v>
      </c>
      <c r="B58" s="6" t="str">
        <f>HYPERLINK("https://twitter.com/ESGI","@ESGI")</f>
        <v>@ESGI</v>
      </c>
      <c r="C58" s="14" t="s">
        <v>325</v>
      </c>
      <c r="D58" s="14" t="s">
        <v>326</v>
      </c>
      <c r="E58" s="6" t="str">
        <f>HYPERLINK("https://twitter.com/ESGI/status/1364274009723068425","1364274009723068425")</f>
        <v>1364274009723068425</v>
      </c>
      <c r="F58" s="7" t="s">
        <v>327</v>
      </c>
      <c r="G58" s="8"/>
      <c r="H58" s="8"/>
      <c r="I58" s="14">
        <v>0</v>
      </c>
      <c r="J58" s="14">
        <v>0</v>
      </c>
      <c r="K58" s="6" t="str">
        <f t="shared" si="7"/>
        <v>Hootsuite Inc.</v>
      </c>
      <c r="L58" s="15">
        <v>1247</v>
      </c>
      <c r="M58" s="15">
        <v>150</v>
      </c>
      <c r="N58" s="15">
        <v>53</v>
      </c>
      <c r="O58" s="9"/>
      <c r="P58" s="10">
        <v>41181.623344907406</v>
      </c>
      <c r="Q58" s="14" t="s">
        <v>328</v>
      </c>
      <c r="R58" s="14" t="s">
        <v>329</v>
      </c>
      <c r="S58" s="7" t="s">
        <v>330</v>
      </c>
      <c r="T58" s="8"/>
      <c r="U58" s="11" t="str">
        <f>HYPERLINK("https://pbs.twimg.com/profile_images/1196790082725961728/Qe73dpjr.jpg","View")</f>
        <v>View</v>
      </c>
      <c r="V58" s="8"/>
      <c r="W58" s="8"/>
      <c r="X58" s="8"/>
      <c r="Y58" s="8"/>
      <c r="Z58" s="8"/>
    </row>
    <row r="59" spans="1:26" ht="13.2">
      <c r="A59" s="13">
        <v>44250.792175925926</v>
      </c>
      <c r="B59" s="6" t="str">
        <f>HYPERLINK("https://twitter.com/ViRiX_Dreamcore","@ViRiX_Dreamcore")</f>
        <v>@ViRiX_Dreamcore</v>
      </c>
      <c r="C59" s="14" t="s">
        <v>331</v>
      </c>
      <c r="D59" s="14" t="s">
        <v>332</v>
      </c>
      <c r="E59" s="6" t="str">
        <f>HYPERLINK("https://twitter.com/ViRiX_Dreamcore/status/1364274004824117258","1364274004824117258")</f>
        <v>1364274004824117258</v>
      </c>
      <c r="F59" s="14" t="s">
        <v>333</v>
      </c>
      <c r="G59" s="7" t="s">
        <v>334</v>
      </c>
      <c r="H59" s="8"/>
      <c r="I59" s="14">
        <v>0</v>
      </c>
      <c r="J59" s="14">
        <v>2</v>
      </c>
      <c r="K59" s="6" t="str">
        <f>HYPERLINK("http://twitter.com/download/iphone","Twitter for iPhone")</f>
        <v>Twitter for iPhone</v>
      </c>
      <c r="L59" s="15">
        <v>527</v>
      </c>
      <c r="M59" s="15">
        <v>316</v>
      </c>
      <c r="N59" s="15">
        <v>32</v>
      </c>
      <c r="O59" s="9"/>
      <c r="P59" s="10">
        <v>40042.692662037036</v>
      </c>
      <c r="Q59" s="14" t="s">
        <v>335</v>
      </c>
      <c r="R59" s="14" t="s">
        <v>336</v>
      </c>
      <c r="S59" s="7" t="s">
        <v>337</v>
      </c>
      <c r="T59" s="8"/>
      <c r="U59" s="11" t="str">
        <f>HYPERLINK("https://pbs.twimg.com/profile_images/1052265271921074176/ud8rS2dv.jpg","View")</f>
        <v>View</v>
      </c>
      <c r="V59" s="8"/>
      <c r="W59" s="8"/>
      <c r="X59" s="8"/>
      <c r="Y59" s="8"/>
      <c r="Z59" s="8"/>
    </row>
    <row r="60" spans="1:26" ht="13.2">
      <c r="A60" s="13">
        <v>44250.792141203703</v>
      </c>
      <c r="B60" s="6" t="str">
        <f>HYPERLINK("https://twitter.com/Surya_Systems","@Surya_Systems")</f>
        <v>@Surya_Systems</v>
      </c>
      <c r="C60" s="14" t="s">
        <v>338</v>
      </c>
      <c r="D60" s="14" t="s">
        <v>339</v>
      </c>
      <c r="E60" s="6" t="str">
        <f>HYPERLINK("https://twitter.com/Surya_Systems/status/1364273991129706498","1364273991129706498")</f>
        <v>1364273991129706498</v>
      </c>
      <c r="F60" s="7" t="s">
        <v>340</v>
      </c>
      <c r="G60" s="8"/>
      <c r="H60" s="8"/>
      <c r="I60" s="14">
        <v>3</v>
      </c>
      <c r="J60" s="14">
        <v>1</v>
      </c>
      <c r="K60" s="6" t="str">
        <f>HYPERLINK("https://app.socialpilot.co/","SocialPilot.co")</f>
        <v>SocialPilot.co</v>
      </c>
      <c r="L60" s="15">
        <v>0</v>
      </c>
      <c r="M60" s="15">
        <v>1</v>
      </c>
      <c r="N60" s="15">
        <v>0</v>
      </c>
      <c r="O60" s="9"/>
      <c r="P60" s="10">
        <v>44209.655046296291</v>
      </c>
      <c r="Q60" s="8"/>
      <c r="R60" s="8"/>
      <c r="S60" s="8"/>
      <c r="T60" s="8"/>
      <c r="U60" s="11" t="str">
        <f>HYPERLINK("https://pbs.twimg.com/profile_images/1349367345278574595/WkAynfh-.jpg","View")</f>
        <v>View</v>
      </c>
      <c r="V60" s="8"/>
      <c r="W60" s="8"/>
      <c r="X60" s="8"/>
      <c r="Y60" s="8"/>
      <c r="Z60" s="8"/>
    </row>
    <row r="61" spans="1:26" ht="13.2">
      <c r="A61" s="13">
        <v>44250.792129629626</v>
      </c>
      <c r="B61" s="6" t="str">
        <f>HYPERLINK("https://twitter.com/RichardEudes","@RichardEudes")</f>
        <v>@RichardEudes</v>
      </c>
      <c r="C61" s="14" t="s">
        <v>341</v>
      </c>
      <c r="D61" s="14" t="s">
        <v>342</v>
      </c>
      <c r="E61" s="6" t="str">
        <f>HYPERLINK("https://twitter.com/RichardEudes/status/1364273989879795716","1364273989879795716")</f>
        <v>1364273989879795716</v>
      </c>
      <c r="F61" s="7" t="s">
        <v>343</v>
      </c>
      <c r="G61" s="8"/>
      <c r="H61" s="8"/>
      <c r="I61" s="14">
        <v>4</v>
      </c>
      <c r="J61" s="14">
        <v>0</v>
      </c>
      <c r="K61" s="6" t="str">
        <f>HYPERLINK("https://buffer.com","Buffer")</f>
        <v>Buffer</v>
      </c>
      <c r="L61" s="15">
        <v>16960</v>
      </c>
      <c r="M61" s="15">
        <v>1979</v>
      </c>
      <c r="N61" s="15">
        <v>668</v>
      </c>
      <c r="O61" s="9"/>
      <c r="P61" s="10">
        <v>39985.961481481485</v>
      </c>
      <c r="Q61" s="14" t="s">
        <v>106</v>
      </c>
      <c r="R61" s="14" t="s">
        <v>344</v>
      </c>
      <c r="S61" s="7" t="s">
        <v>345</v>
      </c>
      <c r="T61" s="8"/>
      <c r="U61" s="11" t="str">
        <f>HYPERLINK("https://pbs.twimg.com/profile_images/1332753391886491648/I9fBm3kf.jpg","View")</f>
        <v>View</v>
      </c>
      <c r="V61" s="8"/>
      <c r="W61" s="8"/>
      <c r="X61" s="8"/>
      <c r="Y61" s="8"/>
      <c r="Z61" s="8"/>
    </row>
    <row r="62" spans="1:26" ht="13.2">
      <c r="A62" s="13">
        <v>44250.792071759264</v>
      </c>
      <c r="B62" s="6" t="str">
        <f>HYPERLINK("https://twitter.com/DiscovrAnalytic","@DiscovrAnalytic")</f>
        <v>@DiscovrAnalytic</v>
      </c>
      <c r="C62" s="14" t="s">
        <v>346</v>
      </c>
      <c r="D62" s="14" t="s">
        <v>347</v>
      </c>
      <c r="E62" s="6" t="str">
        <f>HYPERLINK("https://twitter.com/DiscovrAnalytic/status/1364273968065245186","1364273968065245186")</f>
        <v>1364273968065245186</v>
      </c>
      <c r="F62" s="7" t="s">
        <v>348</v>
      </c>
      <c r="G62" s="7" t="s">
        <v>349</v>
      </c>
      <c r="H62" s="8"/>
      <c r="I62" s="14">
        <v>1</v>
      </c>
      <c r="J62" s="14">
        <v>1</v>
      </c>
      <c r="K62" s="6" t="str">
        <f>HYPERLINK("http://twitter.com/download/iphone","Twitter for iPhone")</f>
        <v>Twitter for iPhone</v>
      </c>
      <c r="L62" s="15">
        <v>22</v>
      </c>
      <c r="M62" s="15">
        <v>73</v>
      </c>
      <c r="N62" s="15">
        <v>1</v>
      </c>
      <c r="O62" s="9"/>
      <c r="P62" s="10">
        <v>42944.513599537036</v>
      </c>
      <c r="Q62" s="14" t="s">
        <v>350</v>
      </c>
      <c r="R62" s="14" t="s">
        <v>351</v>
      </c>
      <c r="S62" s="7" t="s">
        <v>352</v>
      </c>
      <c r="T62" s="8"/>
      <c r="U62" s="11" t="str">
        <f>HYPERLINK("https://pbs.twimg.com/profile_images/1242773390026575873/-hnG03OF.jpg","View")</f>
        <v>View</v>
      </c>
      <c r="V62" s="8"/>
      <c r="W62" s="8"/>
      <c r="X62" s="8"/>
      <c r="Y62" s="8"/>
      <c r="Z62" s="8"/>
    </row>
    <row r="63" spans="1:26" ht="13.2">
      <c r="A63" s="13">
        <v>44250.792002314818</v>
      </c>
      <c r="B63" s="6" t="str">
        <f>HYPERLINK("https://twitter.com/ReciprocityRoi","@ReciprocityRoi")</f>
        <v>@ReciprocityRoi</v>
      </c>
      <c r="C63" s="14" t="s">
        <v>353</v>
      </c>
      <c r="D63" s="14" t="s">
        <v>354</v>
      </c>
      <c r="E63" s="6" t="str">
        <f>HYPERLINK("https://twitter.com/ReciprocityRoi/status/1364273941066432514","1364273941066432514")</f>
        <v>1364273941066432514</v>
      </c>
      <c r="F63" s="8"/>
      <c r="G63" s="7" t="s">
        <v>355</v>
      </c>
      <c r="H63" s="8"/>
      <c r="I63" s="14">
        <v>0</v>
      </c>
      <c r="J63" s="14">
        <v>0</v>
      </c>
      <c r="K63" s="6" t="str">
        <f>HYPERLINK("https://www.hootsuite.com","Hootsuite Inc.")</f>
        <v>Hootsuite Inc.</v>
      </c>
      <c r="L63" s="15">
        <v>36</v>
      </c>
      <c r="M63" s="15">
        <v>76</v>
      </c>
      <c r="N63" s="15">
        <v>2</v>
      </c>
      <c r="O63" s="9"/>
      <c r="P63" s="10">
        <v>42670.02611111111</v>
      </c>
      <c r="Q63" s="14" t="s">
        <v>356</v>
      </c>
      <c r="R63" s="14" t="s">
        <v>357</v>
      </c>
      <c r="S63" s="7" t="s">
        <v>358</v>
      </c>
      <c r="T63" s="8"/>
      <c r="U63" s="11" t="str">
        <f>HYPERLINK("https://pbs.twimg.com/profile_images/1312785967737167872/_4-pZVXQ.jpg","View")</f>
        <v>View</v>
      </c>
      <c r="V63" s="8"/>
      <c r="W63" s="8"/>
      <c r="X63" s="8"/>
      <c r="Y63" s="8"/>
      <c r="Z63" s="8"/>
    </row>
    <row r="64" spans="1:26" ht="13.2">
      <c r="A64" s="13">
        <v>44250.791967592595</v>
      </c>
      <c r="B64" s="6" t="str">
        <f>HYPERLINK("https://twitter.com/nigewillson","@nigewillson")</f>
        <v>@nigewillson</v>
      </c>
      <c r="C64" s="14" t="s">
        <v>95</v>
      </c>
      <c r="D64" s="14" t="s">
        <v>359</v>
      </c>
      <c r="E64" s="6" t="str">
        <f>HYPERLINK("https://twitter.com/nigewillson/status/1364273928982691844","1364273928982691844")</f>
        <v>1364273928982691844</v>
      </c>
      <c r="F64" s="7" t="s">
        <v>360</v>
      </c>
      <c r="G64" s="7" t="s">
        <v>361</v>
      </c>
      <c r="H64" s="8"/>
      <c r="I64" s="14">
        <v>1</v>
      </c>
      <c r="J64" s="14">
        <v>1</v>
      </c>
      <c r="K64" s="6" t="str">
        <f>HYPERLINK("https://buffer.com","Buffer")</f>
        <v>Buffer</v>
      </c>
      <c r="L64" s="15">
        <v>57515</v>
      </c>
      <c r="M64" s="15">
        <v>49523</v>
      </c>
      <c r="N64" s="15">
        <v>1688</v>
      </c>
      <c r="O64" s="9"/>
      <c r="P64" s="10">
        <v>40530.666805555556</v>
      </c>
      <c r="Q64" s="14" t="s">
        <v>99</v>
      </c>
      <c r="R64" s="14" t="s">
        <v>100</v>
      </c>
      <c r="S64" s="7" t="s">
        <v>101</v>
      </c>
      <c r="T64" s="8"/>
      <c r="U64" s="11" t="str">
        <f>HYPERLINK("https://pbs.twimg.com/profile_images/1085251590997622784/x9mWVQ1d.jpg","View")</f>
        <v>View</v>
      </c>
      <c r="V64" s="8"/>
      <c r="W64" s="8"/>
      <c r="X64" s="8"/>
      <c r="Y64" s="8"/>
      <c r="Z64" s="8"/>
    </row>
    <row r="65" spans="1:26" ht="13.2">
      <c r="A65" s="13">
        <v>44250.791805555556</v>
      </c>
      <c r="B65" s="6" t="str">
        <f>HYPERLINK("https://twitter.com/themlguru","@themlguru")</f>
        <v>@themlguru</v>
      </c>
      <c r="C65" s="14" t="s">
        <v>362</v>
      </c>
      <c r="D65" s="14" t="s">
        <v>363</v>
      </c>
      <c r="E65" s="6" t="str">
        <f>HYPERLINK("https://twitter.com/themlguru/status/1364273872120524804","1364273872120524804")</f>
        <v>1364273872120524804</v>
      </c>
      <c r="F65" s="8"/>
      <c r="G65" s="8"/>
      <c r="H65" s="8"/>
      <c r="I65" s="14">
        <v>1</v>
      </c>
      <c r="J65" s="14">
        <v>0</v>
      </c>
      <c r="K65" s="6" t="str">
        <f>HYPERLINK("https://twittimer.com","Twittimer")</f>
        <v>Twittimer</v>
      </c>
      <c r="L65" s="15">
        <v>10</v>
      </c>
      <c r="M65" s="15">
        <v>33</v>
      </c>
      <c r="N65" s="15">
        <v>0</v>
      </c>
      <c r="O65" s="9"/>
      <c r="P65" s="10">
        <v>44242.188148148147</v>
      </c>
      <c r="Q65" s="14" t="s">
        <v>364</v>
      </c>
      <c r="R65" s="8"/>
      <c r="S65" s="8"/>
      <c r="T65" s="8"/>
      <c r="U65" s="11" t="str">
        <f>HYPERLINK("https://pbs.twimg.com/profile_images/1361967087623700484/-6UQQ_sZ.jpg","View")</f>
        <v>View</v>
      </c>
      <c r="V65" s="8"/>
      <c r="W65" s="8"/>
      <c r="X65" s="8"/>
      <c r="Y65" s="8"/>
      <c r="Z65" s="8"/>
    </row>
    <row r="66" spans="1:26" ht="13.2">
      <c r="A66" s="13">
        <v>44250.79178240741</v>
      </c>
      <c r="B66" s="6" t="str">
        <f>HYPERLINK("https://twitter.com/coursesvir","@coursesvir")</f>
        <v>@coursesvir</v>
      </c>
      <c r="C66" s="14" t="s">
        <v>365</v>
      </c>
      <c r="D66" s="14" t="s">
        <v>366</v>
      </c>
      <c r="E66" s="6" t="str">
        <f>HYPERLINK("https://twitter.com/coursesvir/status/1364273860812677122","1364273860812677122")</f>
        <v>1364273860812677122</v>
      </c>
      <c r="F66" s="7" t="s">
        <v>367</v>
      </c>
      <c r="G66" s="7" t="s">
        <v>368</v>
      </c>
      <c r="H66" s="8"/>
      <c r="I66" s="14">
        <v>8</v>
      </c>
      <c r="J66" s="14">
        <v>1</v>
      </c>
      <c r="K66" s="6" t="str">
        <f>HYPERLINK("https://buffer.com","Buffer")</f>
        <v>Buffer</v>
      </c>
      <c r="L66" s="15">
        <v>348</v>
      </c>
      <c r="M66" s="15">
        <v>57</v>
      </c>
      <c r="N66" s="15">
        <v>3</v>
      </c>
      <c r="O66" s="9"/>
      <c r="P66" s="10">
        <v>43408.174849537041</v>
      </c>
      <c r="Q66" s="8"/>
      <c r="R66" s="14" t="s">
        <v>369</v>
      </c>
      <c r="S66" s="7" t="s">
        <v>370</v>
      </c>
      <c r="T66" s="8"/>
      <c r="U66" s="11" t="str">
        <f>HYPERLINK("https://pbs.twimg.com/profile_images/1327806002717192192/wWEiVHhn.jpg","View")</f>
        <v>View</v>
      </c>
      <c r="V66" s="8"/>
      <c r="W66" s="8"/>
      <c r="X66" s="8"/>
      <c r="Y66" s="8"/>
      <c r="Z66" s="8"/>
    </row>
    <row r="67" spans="1:26" ht="13.2">
      <c r="A67" s="13">
        <v>44250.791747685187</v>
      </c>
      <c r="B67" s="6" t="str">
        <f>HYPERLINK("https://twitter.com/paanalytics1","@paanalytics1")</f>
        <v>@paanalytics1</v>
      </c>
      <c r="C67" s="14" t="s">
        <v>371</v>
      </c>
      <c r="D67" s="14" t="s">
        <v>372</v>
      </c>
      <c r="E67" s="6" t="str">
        <f>HYPERLINK("https://twitter.com/paanalytics1/status/1364273851748745222","1364273851748745222")</f>
        <v>1364273851748745222</v>
      </c>
      <c r="F67" s="7" t="s">
        <v>373</v>
      </c>
      <c r="G67" s="8"/>
      <c r="H67" s="8"/>
      <c r="I67" s="14">
        <v>2</v>
      </c>
      <c r="J67" s="14">
        <v>0</v>
      </c>
      <c r="K67" s="8"/>
      <c r="L67" s="15">
        <v>73</v>
      </c>
      <c r="M67" s="15">
        <v>554</v>
      </c>
      <c r="N67" s="15">
        <v>0</v>
      </c>
      <c r="O67" s="9"/>
      <c r="P67" s="10">
        <v>44191.766574074078</v>
      </c>
      <c r="Q67" s="8"/>
      <c r="R67" s="14" t="s">
        <v>374</v>
      </c>
      <c r="S67" s="8"/>
      <c r="T67" s="8"/>
      <c r="U67" s="11" t="str">
        <f>HYPERLINK("https://pbs.twimg.com/profile_images/1342883897722474499/nN75CEGr.jpg","View")</f>
        <v>View</v>
      </c>
      <c r="V67" s="8"/>
      <c r="W67" s="8"/>
      <c r="X67" s="8"/>
      <c r="Y67" s="8"/>
      <c r="Z67" s="8"/>
    </row>
    <row r="68" spans="1:26" ht="13.2">
      <c r="A68" s="13">
        <v>44250.791701388887</v>
      </c>
      <c r="B68" s="6" t="str">
        <f>HYPERLINK("https://twitter.com/aimlevents","@aimlevents")</f>
        <v>@aimlevents</v>
      </c>
      <c r="C68" s="14" t="s">
        <v>375</v>
      </c>
      <c r="D68" s="14" t="s">
        <v>376</v>
      </c>
      <c r="E68" s="6" t="str">
        <f>HYPERLINK("https://twitter.com/aimlevents/status/1364273834963132420","1364273834963132420")</f>
        <v>1364273834963132420</v>
      </c>
      <c r="F68" s="7" t="s">
        <v>377</v>
      </c>
      <c r="G68" s="8"/>
      <c r="H68" s="8" t="str">
        <f>HYPERLINK("https://ctrlq.org/maps/address/#42.3600825,-71.0588801","Map")</f>
        <v>Map</v>
      </c>
      <c r="I68" s="14">
        <v>1</v>
      </c>
      <c r="J68" s="14">
        <v>0</v>
      </c>
      <c r="K68" s="6" t="str">
        <f>HYPERLINK("https://aiml.events","AI &amp; ML Events")</f>
        <v>AI &amp; ML Events</v>
      </c>
      <c r="L68" s="15">
        <v>3123</v>
      </c>
      <c r="M68" s="15">
        <v>2770</v>
      </c>
      <c r="N68" s="15">
        <v>20</v>
      </c>
      <c r="O68" s="9"/>
      <c r="P68" s="10">
        <v>43789.819826388892</v>
      </c>
      <c r="Q68" s="8"/>
      <c r="R68" s="14" t="s">
        <v>378</v>
      </c>
      <c r="S68" s="7" t="s">
        <v>379</v>
      </c>
      <c r="T68" s="8"/>
      <c r="U68" s="11" t="str">
        <f>HYPERLINK("https://pbs.twimg.com/profile_images/1197224948819021825/Cyqtf2wR.jpg","View")</f>
        <v>View</v>
      </c>
      <c r="V68" s="8"/>
      <c r="W68" s="8"/>
      <c r="X68" s="8"/>
      <c r="Y68" s="8"/>
      <c r="Z68" s="8"/>
    </row>
    <row r="69" spans="1:26" ht="13.2">
      <c r="A69" s="13">
        <v>44250.791701388887</v>
      </c>
      <c r="B69" s="6" t="str">
        <f>HYPERLINK("https://twitter.com/pvergadia","@pvergadia")</f>
        <v>@pvergadia</v>
      </c>
      <c r="C69" s="14" t="s">
        <v>380</v>
      </c>
      <c r="D69" s="14" t="s">
        <v>381</v>
      </c>
      <c r="E69" s="6" t="str">
        <f>HYPERLINK("https://twitter.com/pvergadia/status/1364273833973215236","1364273833973215236")</f>
        <v>1364273833973215236</v>
      </c>
      <c r="F69" s="8"/>
      <c r="G69" s="8"/>
      <c r="H69" s="8"/>
      <c r="I69" s="14">
        <v>0</v>
      </c>
      <c r="J69" s="14">
        <v>4</v>
      </c>
      <c r="K69" s="6" t="str">
        <f>HYPERLINK("https://zlappo.com","Zlappo.com")</f>
        <v>Zlappo.com</v>
      </c>
      <c r="L69" s="15">
        <v>7301</v>
      </c>
      <c r="M69" s="15">
        <v>820</v>
      </c>
      <c r="N69" s="15">
        <v>93</v>
      </c>
      <c r="O69" s="9"/>
      <c r="P69" s="10">
        <v>40379.798113425924</v>
      </c>
      <c r="Q69" s="8"/>
      <c r="R69" s="14" t="s">
        <v>382</v>
      </c>
      <c r="S69" s="7" t="s">
        <v>383</v>
      </c>
      <c r="T69" s="8"/>
      <c r="U69" s="11" t="str">
        <f>HYPERLINK("https://pbs.twimg.com/profile_images/1274894611744296962/_O2DIsTp.jpg","View")</f>
        <v>View</v>
      </c>
      <c r="V69" s="8"/>
      <c r="W69" s="8"/>
      <c r="X69" s="8"/>
      <c r="Y69" s="8"/>
      <c r="Z69" s="8"/>
    </row>
    <row r="70" spans="1:26" ht="13.2">
      <c r="A70" s="13">
        <v>44250.791678240741</v>
      </c>
      <c r="B70" s="6" t="str">
        <f>HYPERLINK("https://twitter.com/mekatronik_p","@mekatronik_p")</f>
        <v>@mekatronik_p</v>
      </c>
      <c r="C70" s="14" t="s">
        <v>384</v>
      </c>
      <c r="D70" s="14" t="s">
        <v>385</v>
      </c>
      <c r="E70" s="6" t="str">
        <f>HYPERLINK("https://twitter.com/mekatronik_p/status/1364273825224003598","1364273825224003598")</f>
        <v>1364273825224003598</v>
      </c>
      <c r="F70" s="8"/>
      <c r="G70" s="7" t="s">
        <v>386</v>
      </c>
      <c r="H70" s="8"/>
      <c r="I70" s="14">
        <v>1</v>
      </c>
      <c r="J70" s="14">
        <v>0</v>
      </c>
      <c r="K70" s="6" t="str">
        <f>HYPERLINK("https://mobile.twitter.com","Twitter Web App")</f>
        <v>Twitter Web App</v>
      </c>
      <c r="L70" s="15">
        <v>67</v>
      </c>
      <c r="M70" s="15">
        <v>1</v>
      </c>
      <c r="N70" s="15">
        <v>0</v>
      </c>
      <c r="O70" s="9"/>
      <c r="P70" s="10">
        <v>44109.854756944449</v>
      </c>
      <c r="Q70" s="8"/>
      <c r="R70" s="14" t="s">
        <v>387</v>
      </c>
      <c r="S70" s="8"/>
      <c r="T70" s="8"/>
      <c r="U70" s="11" t="str">
        <f>HYPERLINK("https://pbs.twimg.com/profile_images/1313188373624958976/SPe0w7x4.jpg","View")</f>
        <v>View</v>
      </c>
      <c r="V70" s="8"/>
      <c r="W70" s="8"/>
      <c r="X70" s="8"/>
      <c r="Y70" s="8"/>
      <c r="Z70" s="8"/>
    </row>
    <row r="71" spans="1:26" ht="13.2">
      <c r="A71" s="13">
        <v>44250.791666666672</v>
      </c>
      <c r="B71" s="6" t="str">
        <f>HYPERLINK("https://twitter.com/scanta_io","@scanta_io")</f>
        <v>@scanta_io</v>
      </c>
      <c r="C71" s="14" t="s">
        <v>388</v>
      </c>
      <c r="D71" s="14" t="s">
        <v>389</v>
      </c>
      <c r="E71" s="6" t="str">
        <f>HYPERLINK("https://twitter.com/scanta_io/status/1364273822329888769","1364273822329888769")</f>
        <v>1364273822329888769</v>
      </c>
      <c r="F71" s="8"/>
      <c r="G71" s="8"/>
      <c r="H71" s="8"/>
      <c r="I71" s="14">
        <v>3</v>
      </c>
      <c r="J71" s="14">
        <v>0</v>
      </c>
      <c r="K71" s="6" t="str">
        <f>HYPERLINK("https://about.twitter.com/products/tweetdeck","TweetDeck")</f>
        <v>TweetDeck</v>
      </c>
      <c r="L71" s="15">
        <v>307</v>
      </c>
      <c r="M71" s="15">
        <v>474</v>
      </c>
      <c r="N71" s="15">
        <v>6</v>
      </c>
      <c r="O71" s="9"/>
      <c r="P71" s="10">
        <v>42927.621400462958</v>
      </c>
      <c r="Q71" s="14" t="s">
        <v>390</v>
      </c>
      <c r="R71" s="14" t="s">
        <v>391</v>
      </c>
      <c r="S71" s="7" t="s">
        <v>392</v>
      </c>
      <c r="T71" s="8"/>
      <c r="U71" s="11" t="str">
        <f>HYPERLINK("https://pbs.twimg.com/profile_images/884759857240227841/TPVpzh1Z.jpg","View")</f>
        <v>View</v>
      </c>
      <c r="V71" s="8"/>
      <c r="W71" s="8"/>
      <c r="X71" s="8"/>
      <c r="Y71" s="8"/>
      <c r="Z71" s="8"/>
    </row>
    <row r="72" spans="1:26" ht="13.2">
      <c r="A72" s="13">
        <v>44250.791377314818</v>
      </c>
      <c r="B72" s="6" t="str">
        <f>HYPERLINK("https://twitter.com/RELXHQ","@RELXHQ")</f>
        <v>@RELXHQ</v>
      </c>
      <c r="C72" s="14" t="s">
        <v>393</v>
      </c>
      <c r="D72" s="14" t="s">
        <v>394</v>
      </c>
      <c r="E72" s="6" t="str">
        <f>HYPERLINK("https://twitter.com/RELXHQ/status/1364273714074820610","1364273714074820610")</f>
        <v>1364273714074820610</v>
      </c>
      <c r="F72" s="7" t="s">
        <v>395</v>
      </c>
      <c r="G72" s="7" t="s">
        <v>396</v>
      </c>
      <c r="H72" s="8"/>
      <c r="I72" s="14">
        <v>2</v>
      </c>
      <c r="J72" s="14">
        <v>0</v>
      </c>
      <c r="K72" s="6" t="str">
        <f>HYPERLINK("https://fanbooster.com","Fanbooster by Traject")</f>
        <v>Fanbooster by Traject</v>
      </c>
      <c r="L72" s="15">
        <v>8905</v>
      </c>
      <c r="M72" s="15">
        <v>1344</v>
      </c>
      <c r="N72" s="15">
        <v>190</v>
      </c>
      <c r="O72" s="9"/>
      <c r="P72" s="10">
        <v>40233.643379629633</v>
      </c>
      <c r="Q72" s="14" t="s">
        <v>397</v>
      </c>
      <c r="R72" s="14" t="s">
        <v>398</v>
      </c>
      <c r="S72" s="7" t="s">
        <v>399</v>
      </c>
      <c r="T72" s="8"/>
      <c r="U72" s="11" t="str">
        <f>HYPERLINK("https://pbs.twimg.com/profile_images/1136974755893063681/JWeLW9LU.png","View")</f>
        <v>View</v>
      </c>
      <c r="V72" s="8"/>
      <c r="W72" s="8"/>
      <c r="X72" s="8"/>
      <c r="Y72" s="8"/>
      <c r="Z72" s="8"/>
    </row>
    <row r="73" spans="1:26" ht="13.2">
      <c r="A73" s="13">
        <v>44250.791030092594</v>
      </c>
      <c r="B73" s="6" t="str">
        <f>HYPERLINK("https://twitter.com/NeurAutomata","@NeurAutomata")</f>
        <v>@NeurAutomata</v>
      </c>
      <c r="C73" s="14" t="s">
        <v>400</v>
      </c>
      <c r="D73" s="14" t="s">
        <v>401</v>
      </c>
      <c r="E73" s="6" t="str">
        <f>HYPERLINK("https://twitter.com/NeurAutomata/status/1364273590514962432","1364273590514962432")</f>
        <v>1364273590514962432</v>
      </c>
      <c r="F73" s="7" t="s">
        <v>402</v>
      </c>
      <c r="G73" s="8"/>
      <c r="H73" s="8"/>
      <c r="I73" s="14">
        <v>0</v>
      </c>
      <c r="J73" s="14">
        <v>0</v>
      </c>
      <c r="K73" s="6" t="str">
        <f>HYPERLINK("https://ifttt.com","IFTTT")</f>
        <v>IFTTT</v>
      </c>
      <c r="L73" s="15">
        <v>83</v>
      </c>
      <c r="M73" s="15">
        <v>14</v>
      </c>
      <c r="N73" s="15">
        <v>3</v>
      </c>
      <c r="O73" s="9"/>
      <c r="P73" s="10">
        <v>42862.083414351851</v>
      </c>
      <c r="Q73" s="14" t="s">
        <v>403</v>
      </c>
      <c r="R73" s="14" t="s">
        <v>404</v>
      </c>
      <c r="S73" s="8"/>
      <c r="T73" s="8"/>
      <c r="U73" s="11" t="str">
        <f>HYPERLINK("https://pbs.twimg.com/profile_images/861050448672718848/oHUlrvEK.jpg","View")</f>
        <v>View</v>
      </c>
      <c r="V73" s="8"/>
      <c r="W73" s="8"/>
      <c r="X73" s="8"/>
      <c r="Y73" s="8"/>
      <c r="Z73" s="8"/>
    </row>
    <row r="74" spans="1:26" ht="13.2">
      <c r="A74" s="13">
        <v>44250.790949074071</v>
      </c>
      <c r="B74" s="6" t="str">
        <f>HYPERLINK("https://twitter.com/it_numeric","@it_numeric")</f>
        <v>@it_numeric</v>
      </c>
      <c r="C74" s="14" t="s">
        <v>405</v>
      </c>
      <c r="D74" s="14" t="s">
        <v>406</v>
      </c>
      <c r="E74" s="6" t="str">
        <f>HYPERLINK("https://twitter.com/it_numeric/status/1364273559275716610","1364273559275716610")</f>
        <v>1364273559275716610</v>
      </c>
      <c r="F74" s="7" t="s">
        <v>407</v>
      </c>
      <c r="G74" s="8"/>
      <c r="H74" s="8"/>
      <c r="I74" s="14">
        <v>1</v>
      </c>
      <c r="J74" s="14">
        <v>1</v>
      </c>
      <c r="K74" s="6" t="str">
        <f t="shared" ref="K74:K76" si="8">HYPERLINK("https://mobile.twitter.com","Twitter Web App")</f>
        <v>Twitter Web App</v>
      </c>
      <c r="L74" s="15">
        <v>539</v>
      </c>
      <c r="M74" s="15">
        <v>882</v>
      </c>
      <c r="N74" s="15">
        <v>9</v>
      </c>
      <c r="O74" s="9"/>
      <c r="P74" s="10">
        <v>42515.564513888894</v>
      </c>
      <c r="Q74" s="14" t="s">
        <v>408</v>
      </c>
      <c r="R74" s="14" t="s">
        <v>409</v>
      </c>
      <c r="S74" s="7" t="s">
        <v>410</v>
      </c>
      <c r="T74" s="8"/>
      <c r="U74" s="11" t="str">
        <f>HYPERLINK("https://pbs.twimg.com/profile_images/735442514665181185/3cfSKZAn.jpg","View")</f>
        <v>View</v>
      </c>
      <c r="V74" s="8"/>
      <c r="W74" s="8"/>
      <c r="X74" s="8"/>
      <c r="Y74" s="8"/>
      <c r="Z74" s="8"/>
    </row>
    <row r="75" spans="1:26" ht="13.2">
      <c r="A75" s="13">
        <v>44250.790277777778</v>
      </c>
      <c r="B75" s="6" t="str">
        <f>HYPERLINK("https://twitter.com/nerdsshop","@nerdsshop")</f>
        <v>@nerdsshop</v>
      </c>
      <c r="C75" s="14" t="s">
        <v>411</v>
      </c>
      <c r="D75" s="14" t="s">
        <v>412</v>
      </c>
      <c r="E75" s="6" t="str">
        <f>HYPERLINK("https://twitter.com/nerdsshop/status/1364273316190511105","1364273316190511105")</f>
        <v>1364273316190511105</v>
      </c>
      <c r="F75" s="7" t="s">
        <v>413</v>
      </c>
      <c r="G75" s="8"/>
      <c r="H75" s="8"/>
      <c r="I75" s="14">
        <v>0</v>
      </c>
      <c r="J75" s="14">
        <v>0</v>
      </c>
      <c r="K75" s="6" t="str">
        <f t="shared" si="8"/>
        <v>Twitter Web App</v>
      </c>
      <c r="L75" s="15">
        <v>690</v>
      </c>
      <c r="M75" s="15">
        <v>226</v>
      </c>
      <c r="N75" s="15">
        <v>39</v>
      </c>
      <c r="O75" s="9"/>
      <c r="P75" s="10">
        <v>42456.948194444441</v>
      </c>
      <c r="Q75" s="14" t="s">
        <v>414</v>
      </c>
      <c r="R75" s="14" t="s">
        <v>415</v>
      </c>
      <c r="S75" s="7" t="s">
        <v>416</v>
      </c>
      <c r="T75" s="8"/>
      <c r="U75" s="11" t="str">
        <f>HYPERLINK("https://pbs.twimg.com/profile_images/1081283496402923520/fHMHVSlz.jpg","View")</f>
        <v>View</v>
      </c>
      <c r="V75" s="8"/>
      <c r="W75" s="8"/>
      <c r="X75" s="8"/>
      <c r="Y75" s="8"/>
      <c r="Z75" s="8"/>
    </row>
    <row r="76" spans="1:26" ht="13.2">
      <c r="A76" s="13">
        <v>44250.789988425924</v>
      </c>
      <c r="B76" s="6" t="str">
        <f>HYPERLINK("https://twitter.com/rawat2deepanshu","@rawat2deepanshu")</f>
        <v>@rawat2deepanshu</v>
      </c>
      <c r="C76" s="14" t="s">
        <v>417</v>
      </c>
      <c r="D76" s="14" t="s">
        <v>418</v>
      </c>
      <c r="E76" s="6" t="str">
        <f>HYPERLINK("https://twitter.com/rawat2deepanshu/status/1364273213010636804","1364273213010636804")</f>
        <v>1364273213010636804</v>
      </c>
      <c r="F76" s="8"/>
      <c r="G76" s="8"/>
      <c r="H76" s="8"/>
      <c r="I76" s="14">
        <v>13</v>
      </c>
      <c r="J76" s="14">
        <v>3</v>
      </c>
      <c r="K76" s="6" t="str">
        <f t="shared" si="8"/>
        <v>Twitter Web App</v>
      </c>
      <c r="L76" s="15">
        <v>23</v>
      </c>
      <c r="M76" s="15">
        <v>374</v>
      </c>
      <c r="N76" s="15">
        <v>1</v>
      </c>
      <c r="O76" s="9"/>
      <c r="P76" s="10">
        <v>42828.395543981482</v>
      </c>
      <c r="Q76" s="14" t="s">
        <v>419</v>
      </c>
      <c r="R76" s="14" t="s">
        <v>420</v>
      </c>
      <c r="S76" s="8"/>
      <c r="T76" s="8"/>
      <c r="U76" s="11" t="str">
        <f>HYPERLINK("https://pbs.twimg.com/profile_images/1003846860895760385/KUu5JJ89.jpg","View")</f>
        <v>View</v>
      </c>
      <c r="V76" s="8"/>
      <c r="W76" s="8"/>
      <c r="X76" s="8"/>
      <c r="Y76" s="8"/>
      <c r="Z76" s="8"/>
    </row>
    <row r="77" spans="1:26" ht="13.2">
      <c r="A77" s="13">
        <v>44250.789861111116</v>
      </c>
      <c r="B77" s="6" t="str">
        <f>HYPERLINK("https://twitter.com/physorg_health","@physorg_health")</f>
        <v>@physorg_health</v>
      </c>
      <c r="C77" s="14" t="s">
        <v>421</v>
      </c>
      <c r="D77" s="14" t="s">
        <v>422</v>
      </c>
      <c r="E77" s="6" t="str">
        <f>HYPERLINK("https://twitter.com/physorg_health/status/1364273165610987522","1364273165610987522")</f>
        <v>1364273165610987522</v>
      </c>
      <c r="F77" s="7" t="s">
        <v>423</v>
      </c>
      <c r="G77" s="8"/>
      <c r="H77" s="8"/>
      <c r="I77" s="14">
        <v>0</v>
      </c>
      <c r="J77" s="14">
        <v>0</v>
      </c>
      <c r="K77" s="6" t="str">
        <f>HYPERLINK("https://sciencex.com/","Science X Status Updates")</f>
        <v>Science X Status Updates</v>
      </c>
      <c r="L77" s="15">
        <v>7135</v>
      </c>
      <c r="M77" s="15">
        <v>1</v>
      </c>
      <c r="N77" s="15">
        <v>639</v>
      </c>
      <c r="O77" s="9"/>
      <c r="P77" s="10">
        <v>39854.597870370373</v>
      </c>
      <c r="Q77" s="8"/>
      <c r="R77" s="14" t="s">
        <v>424</v>
      </c>
      <c r="S77" s="7" t="s">
        <v>425</v>
      </c>
      <c r="T77" s="8"/>
      <c r="U77" s="11" t="str">
        <f>HYPERLINK("https://pbs.twimg.com/profile_images/2644869948/d4360b6aca11e833f9bd112301eb1147.jpeg","View")</f>
        <v>View</v>
      </c>
      <c r="V77" s="8"/>
      <c r="W77" s="8"/>
      <c r="X77" s="8"/>
      <c r="Y77" s="8"/>
      <c r="Z77" s="8"/>
    </row>
    <row r="78" spans="1:26" ht="13.2">
      <c r="A78" s="13">
        <v>44250.788553240738</v>
      </c>
      <c r="B78" s="6" t="str">
        <f>HYPERLINK("https://twitter.com/mconnormurphy","@mconnormurphy")</f>
        <v>@mconnormurphy</v>
      </c>
      <c r="C78" s="14" t="s">
        <v>426</v>
      </c>
      <c r="D78" s="14" t="s">
        <v>427</v>
      </c>
      <c r="E78" s="6" t="str">
        <f>HYPERLINK("https://twitter.com/mconnormurphy/status/1364272690618658816","1364272690618658816")</f>
        <v>1364272690618658816</v>
      </c>
      <c r="F78" s="14" t="s">
        <v>428</v>
      </c>
      <c r="G78" s="7" t="s">
        <v>429</v>
      </c>
      <c r="H78" s="8"/>
      <c r="I78" s="14">
        <v>0</v>
      </c>
      <c r="J78" s="14">
        <v>0</v>
      </c>
      <c r="K78" s="6" t="str">
        <f>HYPERLINK("http://twitter.com/download/iphone","Twitter for iPhone")</f>
        <v>Twitter for iPhone</v>
      </c>
      <c r="L78" s="15">
        <v>659</v>
      </c>
      <c r="M78" s="15">
        <v>900</v>
      </c>
      <c r="N78" s="15">
        <v>47</v>
      </c>
      <c r="O78" s="9"/>
      <c r="P78" s="10">
        <v>39981.773275462961</v>
      </c>
      <c r="Q78" s="14" t="s">
        <v>430</v>
      </c>
      <c r="R78" s="14" t="s">
        <v>431</v>
      </c>
      <c r="S78" s="8"/>
      <c r="T78" s="8"/>
      <c r="U78" s="11" t="str">
        <f>HYPERLINK("https://pbs.twimg.com/profile_images/646777696916127744/DAu8-eLd.jpg","View")</f>
        <v>View</v>
      </c>
      <c r="V78" s="8"/>
      <c r="W78" s="8"/>
      <c r="X78" s="8"/>
      <c r="Y78" s="8"/>
      <c r="Z78" s="8"/>
    </row>
    <row r="79" spans="1:26" ht="13.2">
      <c r="A79" s="13">
        <v>44250.788240740745</v>
      </c>
      <c r="B79" s="6" t="str">
        <f>HYPERLINK("https://twitter.com/nigewillson","@nigewillson")</f>
        <v>@nigewillson</v>
      </c>
      <c r="C79" s="14" t="s">
        <v>95</v>
      </c>
      <c r="D79" s="14" t="s">
        <v>432</v>
      </c>
      <c r="E79" s="6" t="str">
        <f>HYPERLINK("https://twitter.com/nigewillson/status/1364272577674362883","1364272577674362883")</f>
        <v>1364272577674362883</v>
      </c>
      <c r="F79" s="7" t="s">
        <v>433</v>
      </c>
      <c r="G79" s="7" t="s">
        <v>434</v>
      </c>
      <c r="H79" s="8"/>
      <c r="I79" s="14">
        <v>1</v>
      </c>
      <c r="J79" s="14">
        <v>1</v>
      </c>
      <c r="K79" s="6" t="str">
        <f>HYPERLINK("https://buffer.com","Buffer")</f>
        <v>Buffer</v>
      </c>
      <c r="L79" s="15">
        <v>57515</v>
      </c>
      <c r="M79" s="15">
        <v>49523</v>
      </c>
      <c r="N79" s="15">
        <v>1688</v>
      </c>
      <c r="O79" s="9"/>
      <c r="P79" s="10">
        <v>40530.666805555556</v>
      </c>
      <c r="Q79" s="14" t="s">
        <v>99</v>
      </c>
      <c r="R79" s="14" t="s">
        <v>100</v>
      </c>
      <c r="S79" s="7" t="s">
        <v>101</v>
      </c>
      <c r="T79" s="8"/>
      <c r="U79" s="11" t="str">
        <f>HYPERLINK("https://pbs.twimg.com/profile_images/1085251590997622784/x9mWVQ1d.jpg","View")</f>
        <v>View</v>
      </c>
      <c r="V79" s="8"/>
      <c r="W79" s="8"/>
      <c r="X79" s="8"/>
      <c r="Y79" s="8"/>
      <c r="Z79" s="8"/>
    </row>
    <row r="80" spans="1:26" ht="13.2">
      <c r="A80" s="13">
        <v>44250.788194444445</v>
      </c>
      <c r="B80" s="6" t="str">
        <f>HYPERLINK("https://twitter.com/jgodard2","@jgodard2")</f>
        <v>@jgodard2</v>
      </c>
      <c r="C80" s="14" t="s">
        <v>435</v>
      </c>
      <c r="D80" s="14" t="s">
        <v>436</v>
      </c>
      <c r="E80" s="6" t="str">
        <f>HYPERLINK("https://twitter.com/jgodard2/status/1364272561295478786","1364272561295478786")</f>
        <v>1364272561295478786</v>
      </c>
      <c r="F80" s="8"/>
      <c r="G80" s="7" t="s">
        <v>437</v>
      </c>
      <c r="H80" s="8"/>
      <c r="I80" s="14">
        <v>1</v>
      </c>
      <c r="J80" s="14">
        <v>0</v>
      </c>
      <c r="K80" s="6" t="str">
        <f t="shared" ref="K80:K81" si="9">HYPERLINK("https://mobile.twitter.com","Twitter Web App")</f>
        <v>Twitter Web App</v>
      </c>
      <c r="L80" s="15">
        <v>6648</v>
      </c>
      <c r="M80" s="15">
        <v>7235</v>
      </c>
      <c r="N80" s="15">
        <v>183</v>
      </c>
      <c r="O80" s="9"/>
      <c r="P80" s="10">
        <v>40003.379525462966</v>
      </c>
      <c r="Q80" s="14" t="s">
        <v>438</v>
      </c>
      <c r="R80" s="14" t="s">
        <v>439</v>
      </c>
      <c r="S80" s="7" t="s">
        <v>440</v>
      </c>
      <c r="T80" s="8"/>
      <c r="U80" s="11" t="str">
        <f>HYPERLINK("https://pbs.twimg.com/profile_images/779905991819169792/AZJAxT3c.jpg","View")</f>
        <v>View</v>
      </c>
      <c r="V80" s="8"/>
      <c r="W80" s="8"/>
      <c r="X80" s="8"/>
      <c r="Y80" s="8"/>
      <c r="Z80" s="8"/>
    </row>
    <row r="81" spans="1:26" ht="13.2">
      <c r="A81" s="13">
        <v>44250.788078703699</v>
      </c>
      <c r="B81" s="6" t="str">
        <f>HYPERLINK("https://twitter.com/Predera2","@Predera2")</f>
        <v>@Predera2</v>
      </c>
      <c r="C81" s="14" t="s">
        <v>441</v>
      </c>
      <c r="D81" s="14" t="s">
        <v>442</v>
      </c>
      <c r="E81" s="6" t="str">
        <f>HYPERLINK("https://twitter.com/Predera2/status/1364272519159574529","1364272519159574529")</f>
        <v>1364272519159574529</v>
      </c>
      <c r="F81" s="7" t="s">
        <v>443</v>
      </c>
      <c r="G81" s="8"/>
      <c r="H81" s="8"/>
      <c r="I81" s="14">
        <v>0</v>
      </c>
      <c r="J81" s="14">
        <v>0</v>
      </c>
      <c r="K81" s="6" t="str">
        <f t="shared" si="9"/>
        <v>Twitter Web App</v>
      </c>
      <c r="L81" s="15">
        <v>1</v>
      </c>
      <c r="M81" s="15">
        <v>0</v>
      </c>
      <c r="N81" s="15">
        <v>0</v>
      </c>
      <c r="O81" s="9"/>
      <c r="P81" s="10">
        <v>44249.904062500005</v>
      </c>
      <c r="Q81" s="8"/>
      <c r="R81" s="14" t="s">
        <v>444</v>
      </c>
      <c r="S81" s="8"/>
      <c r="T81" s="8"/>
      <c r="U81" s="11" t="str">
        <f>HYPERLINK("https://pbs.twimg.com/profile_images/1363952290105749507/voRGLSpH.jpg","View")</f>
        <v>View</v>
      </c>
      <c r="V81" s="8"/>
      <c r="W81" s="8"/>
      <c r="X81" s="8"/>
      <c r="Y81" s="8"/>
      <c r="Z81" s="8"/>
    </row>
    <row r="82" spans="1:26" ht="13.2">
      <c r="A82" s="13">
        <v>44250.787615740745</v>
      </c>
      <c r="B82" s="6" t="str">
        <f>HYPERLINK("https://twitter.com/cobadisec","@cobadisec")</f>
        <v>@cobadisec</v>
      </c>
      <c r="C82" s="14" t="s">
        <v>445</v>
      </c>
      <c r="D82" s="14" t="s">
        <v>446</v>
      </c>
      <c r="E82" s="6" t="str">
        <f>HYPERLINK("https://twitter.com/cobadisec/status/1364272353811849220","1364272353811849220")</f>
        <v>1364272353811849220</v>
      </c>
      <c r="F82" s="8"/>
      <c r="G82" s="7" t="s">
        <v>447</v>
      </c>
      <c r="H82" s="8"/>
      <c r="I82" s="14">
        <v>12</v>
      </c>
      <c r="J82" s="14">
        <v>5</v>
      </c>
      <c r="K82" s="6" t="str">
        <f>HYPERLINK("http://twitter.com/download/android","Twitter for Android")</f>
        <v>Twitter for Android</v>
      </c>
      <c r="L82" s="15">
        <v>352</v>
      </c>
      <c r="M82" s="15">
        <v>320</v>
      </c>
      <c r="N82" s="15">
        <v>0</v>
      </c>
      <c r="O82" s="9"/>
      <c r="P82" s="10">
        <v>43735.575104166666</v>
      </c>
      <c r="Q82" s="8"/>
      <c r="R82" s="14" t="s">
        <v>448</v>
      </c>
      <c r="S82" s="7" t="s">
        <v>449</v>
      </c>
      <c r="T82" s="8"/>
      <c r="U82" s="11" t="str">
        <f>HYPERLINK("https://pbs.twimg.com/profile_images/1356348038864887815/BjxhEWos.jpg","View")</f>
        <v>View</v>
      </c>
      <c r="V82" s="8"/>
      <c r="W82" s="8"/>
      <c r="X82" s="8"/>
      <c r="Y82" s="8"/>
      <c r="Z82" s="8"/>
    </row>
    <row r="83" spans="1:26" ht="13.2">
      <c r="A83" s="13">
        <v>44250.787604166668</v>
      </c>
      <c r="B83" s="6" t="str">
        <f>HYPERLINK("https://twitter.com/raspundere","@raspundere")</f>
        <v>@raspundere</v>
      </c>
      <c r="C83" s="14" t="s">
        <v>450</v>
      </c>
      <c r="D83" s="14" t="s">
        <v>451</v>
      </c>
      <c r="E83" s="6" t="str">
        <f>HYPERLINK("https://twitter.com/raspundere/status/1364272348858318856","1364272348858318856")</f>
        <v>1364272348858318856</v>
      </c>
      <c r="F83" s="7" t="s">
        <v>452</v>
      </c>
      <c r="G83" s="7" t="s">
        <v>453</v>
      </c>
      <c r="H83" s="8"/>
      <c r="I83" s="14">
        <v>5</v>
      </c>
      <c r="J83" s="14">
        <v>1</v>
      </c>
      <c r="K83" s="6" t="str">
        <f>HYPERLINK("https://www.integromat.com","Integromat")</f>
        <v>Integromat</v>
      </c>
      <c r="L83" s="15">
        <v>16</v>
      </c>
      <c r="M83" s="15">
        <v>62</v>
      </c>
      <c r="N83" s="15">
        <v>0</v>
      </c>
      <c r="O83" s="9"/>
      <c r="P83" s="10">
        <v>43922.560173611113</v>
      </c>
      <c r="Q83" s="14" t="s">
        <v>454</v>
      </c>
      <c r="R83" s="14" t="s">
        <v>455</v>
      </c>
      <c r="S83" s="8"/>
      <c r="T83" s="8"/>
      <c r="U83" s="11" t="str">
        <f>HYPERLINK("https://pbs.twimg.com/profile_images/1245311893742510083/G5gW3FNu.png","View")</f>
        <v>View</v>
      </c>
      <c r="V83" s="8"/>
      <c r="W83" s="8"/>
      <c r="X83" s="8"/>
      <c r="Y83" s="8"/>
      <c r="Z83" s="8"/>
    </row>
    <row r="84" spans="1:26" ht="13.2">
      <c r="A84" s="13">
        <v>44250.786817129629</v>
      </c>
      <c r="B84" s="6" t="str">
        <f>HYPERLINK("https://twitter.com/krmarko","@krmarko")</f>
        <v>@krmarko</v>
      </c>
      <c r="C84" s="14" t="s">
        <v>456</v>
      </c>
      <c r="D84" s="14" t="s">
        <v>457</v>
      </c>
      <c r="E84" s="6" t="str">
        <f>HYPERLINK("https://twitter.com/krmarko/status/1364272064111267840","1364272064111267840")</f>
        <v>1364272064111267840</v>
      </c>
      <c r="F84" s="14" t="s">
        <v>458</v>
      </c>
      <c r="G84" s="8"/>
      <c r="H84" s="8"/>
      <c r="I84" s="14">
        <v>0</v>
      </c>
      <c r="J84" s="14">
        <v>0</v>
      </c>
      <c r="K84" s="6" t="str">
        <f t="shared" ref="K84:K85" si="10">HYPERLINK("http://twitter.com/#!/download/ipad","Twitter for iPad")</f>
        <v>Twitter for iPad</v>
      </c>
      <c r="L84" s="15">
        <v>3404</v>
      </c>
      <c r="M84" s="15">
        <v>403</v>
      </c>
      <c r="N84" s="15">
        <v>359</v>
      </c>
      <c r="O84" s="9"/>
      <c r="P84" s="10">
        <v>39938.020057870366</v>
      </c>
      <c r="Q84" s="14" t="s">
        <v>459</v>
      </c>
      <c r="R84" s="14" t="s">
        <v>460</v>
      </c>
      <c r="S84" s="7" t="s">
        <v>461</v>
      </c>
      <c r="T84" s="8"/>
      <c r="U84" s="11" t="str">
        <f>HYPERLINK("https://pbs.twimg.com/profile_images/1354192997236133888/6vTpFBnq.jpg","View")</f>
        <v>View</v>
      </c>
      <c r="V84" s="8"/>
      <c r="W84" s="8"/>
      <c r="X84" s="8"/>
      <c r="Y84" s="8"/>
      <c r="Z84" s="8"/>
    </row>
    <row r="85" spans="1:26" ht="13.2">
      <c r="A85" s="13">
        <v>44250.786493055552</v>
      </c>
      <c r="B85" s="6" t="str">
        <f>HYPERLINK("https://twitter.com/DLDConference","@DLDConference")</f>
        <v>@DLDConference</v>
      </c>
      <c r="C85" s="14" t="s">
        <v>141</v>
      </c>
      <c r="D85" s="14" t="s">
        <v>462</v>
      </c>
      <c r="E85" s="6" t="str">
        <f>HYPERLINK("https://twitter.com/DLDConference/status/1364271945320136706","1364271945320136706")</f>
        <v>1364271945320136706</v>
      </c>
      <c r="F85" s="8"/>
      <c r="G85" s="7" t="s">
        <v>463</v>
      </c>
      <c r="H85" s="8"/>
      <c r="I85" s="14">
        <v>0</v>
      </c>
      <c r="J85" s="14">
        <v>0</v>
      </c>
      <c r="K85" s="6" t="str">
        <f t="shared" si="10"/>
        <v>Twitter for iPad</v>
      </c>
      <c r="L85" s="15">
        <v>22674</v>
      </c>
      <c r="M85" s="15">
        <v>1830</v>
      </c>
      <c r="N85" s="15">
        <v>850</v>
      </c>
      <c r="O85" s="15" t="s">
        <v>130</v>
      </c>
      <c r="P85" s="10">
        <v>39790.889502314814</v>
      </c>
      <c r="Q85" s="14" t="s">
        <v>145</v>
      </c>
      <c r="R85" s="14" t="s">
        <v>146</v>
      </c>
      <c r="S85" s="7" t="s">
        <v>147</v>
      </c>
      <c r="T85" s="8"/>
      <c r="U85" s="11" t="str">
        <f>HYPERLINK("https://pbs.twimg.com/profile_images/66773901/dld.png","View")</f>
        <v>View</v>
      </c>
      <c r="V85" s="8"/>
      <c r="W85" s="8"/>
      <c r="X85" s="8"/>
      <c r="Y85" s="8"/>
      <c r="Z85" s="8"/>
    </row>
    <row r="86" spans="1:26" ht="13.2">
      <c r="A86" s="13">
        <v>44250.785532407404</v>
      </c>
      <c r="B86" s="6" t="str">
        <f>HYPERLINK("https://twitter.com/jblefevre60","@jblefevre60")</f>
        <v>@jblefevre60</v>
      </c>
      <c r="C86" s="14" t="s">
        <v>464</v>
      </c>
      <c r="D86" s="14" t="s">
        <v>465</v>
      </c>
      <c r="E86" s="6" t="str">
        <f>HYPERLINK("https://twitter.com/jblefevre60/status/1364271596437970951","1364271596437970951")</f>
        <v>1364271596437970951</v>
      </c>
      <c r="F86" s="8"/>
      <c r="G86" s="7" t="s">
        <v>466</v>
      </c>
      <c r="H86" s="8"/>
      <c r="I86" s="14">
        <v>17</v>
      </c>
      <c r="J86" s="14">
        <v>10</v>
      </c>
      <c r="K86" s="6" t="str">
        <f>HYPERLINK("http://twitter.com/download/android","Twitter for Android")</f>
        <v>Twitter for Android</v>
      </c>
      <c r="L86" s="15">
        <v>80848</v>
      </c>
      <c r="M86" s="15">
        <v>5582</v>
      </c>
      <c r="N86" s="15">
        <v>5070</v>
      </c>
      <c r="O86" s="9"/>
      <c r="P86" s="10">
        <v>42342.801134259258</v>
      </c>
      <c r="Q86" s="14" t="s">
        <v>106</v>
      </c>
      <c r="R86" s="14" t="s">
        <v>467</v>
      </c>
      <c r="S86" s="7" t="s">
        <v>468</v>
      </c>
      <c r="T86" s="8"/>
      <c r="U86" s="11" t="str">
        <f>HYPERLINK("https://pbs.twimg.com/profile_images/915247803248599040/GsF3avSn.jpg","View")</f>
        <v>View</v>
      </c>
      <c r="V86" s="8"/>
      <c r="W86" s="8"/>
      <c r="X86" s="8"/>
      <c r="Y86" s="8"/>
      <c r="Z86" s="8"/>
    </row>
    <row r="87" spans="1:26" ht="13.2">
      <c r="A87" s="13">
        <v>44250.78524305555</v>
      </c>
      <c r="B87" s="6" t="str">
        <f>HYPERLINK("https://twitter.com/TheRealDAGsHub","@TheRealDAGsHub")</f>
        <v>@TheRealDAGsHub</v>
      </c>
      <c r="C87" s="14" t="s">
        <v>469</v>
      </c>
      <c r="D87" s="14" t="s">
        <v>470</v>
      </c>
      <c r="E87" s="6" t="str">
        <f>HYPERLINK("https://twitter.com/TheRealDAGsHub/status/1364271494185050113","1364271494185050113")</f>
        <v>1364271494185050113</v>
      </c>
      <c r="F87" s="7" t="s">
        <v>471</v>
      </c>
      <c r="G87" s="7" t="s">
        <v>472</v>
      </c>
      <c r="H87" s="8"/>
      <c r="I87" s="14">
        <v>0</v>
      </c>
      <c r="J87" s="14">
        <v>1</v>
      </c>
      <c r="K87" s="6" t="str">
        <f>HYPERLINK("https://mobile.twitter.com","Twitter Web App")</f>
        <v>Twitter Web App</v>
      </c>
      <c r="L87" s="15">
        <v>161</v>
      </c>
      <c r="M87" s="15">
        <v>154</v>
      </c>
      <c r="N87" s="15">
        <v>7</v>
      </c>
      <c r="O87" s="9"/>
      <c r="P87" s="10">
        <v>43486.933738425927</v>
      </c>
      <c r="Q87" s="8"/>
      <c r="R87" s="14" t="s">
        <v>473</v>
      </c>
      <c r="S87" s="7" t="s">
        <v>474</v>
      </c>
      <c r="T87" s="8"/>
      <c r="U87" s="11" t="str">
        <f>HYPERLINK("https://pbs.twimg.com/profile_images/1337825990115028993/-tJqXMG0.jpg","View")</f>
        <v>View</v>
      </c>
      <c r="V87" s="8"/>
      <c r="W87" s="8"/>
      <c r="X87" s="8"/>
      <c r="Y87" s="8"/>
      <c r="Z87" s="8"/>
    </row>
    <row r="88" spans="1:26" ht="13.2">
      <c r="A88" s="13">
        <v>44250.784861111111</v>
      </c>
      <c r="B88" s="6" t="str">
        <f>HYPERLINK("https://twitter.com/stanford__ai","@stanford__ai")</f>
        <v>@stanford__ai</v>
      </c>
      <c r="C88" s="14" t="s">
        <v>475</v>
      </c>
      <c r="D88" s="14" t="s">
        <v>476</v>
      </c>
      <c r="E88" s="6" t="str">
        <f>HYPERLINK("https://twitter.com/stanford__ai/status/1364271355886247938","1364271355886247938")</f>
        <v>1364271355886247938</v>
      </c>
      <c r="F88" s="7" t="s">
        <v>477</v>
      </c>
      <c r="G88" s="8"/>
      <c r="H88" s="8"/>
      <c r="I88" s="14">
        <v>0</v>
      </c>
      <c r="J88" s="14">
        <v>0</v>
      </c>
      <c r="K88" s="6" t="str">
        <f>HYPERLINK("https://ifttt.com","IFTTT")</f>
        <v>IFTTT</v>
      </c>
      <c r="L88" s="15">
        <v>928</v>
      </c>
      <c r="M88" s="15">
        <v>1487</v>
      </c>
      <c r="N88" s="15">
        <v>20</v>
      </c>
      <c r="O88" s="9"/>
      <c r="P88" s="10">
        <v>43558.915891203702</v>
      </c>
      <c r="Q88" s="14" t="s">
        <v>478</v>
      </c>
      <c r="R88" s="14" t="s">
        <v>479</v>
      </c>
      <c r="S88" s="7" t="s">
        <v>480</v>
      </c>
      <c r="T88" s="8"/>
      <c r="U88" s="11" t="str">
        <f>HYPERLINK("https://pbs.twimg.com/profile_images/1113531441625935878/OR4W_sLY.jpg","View")</f>
        <v>View</v>
      </c>
      <c r="V88" s="8"/>
      <c r="W88" s="8"/>
      <c r="X88" s="8"/>
      <c r="Y88" s="8"/>
      <c r="Z88" s="8"/>
    </row>
    <row r="89" spans="1:26" ht="13.2">
      <c r="A89" s="13">
        <v>44250.784826388888</v>
      </c>
      <c r="B89" s="6" t="str">
        <f>HYPERLINK("https://twitter.com/sajidmirza","@sajidmirza")</f>
        <v>@sajidmirza</v>
      </c>
      <c r="C89" s="14" t="s">
        <v>200</v>
      </c>
      <c r="D89" s="14" t="s">
        <v>39</v>
      </c>
      <c r="E89" s="6" t="str">
        <f>HYPERLINK("https://twitter.com/sajidmirza/status/1364271339872399364","1364271339872399364")</f>
        <v>1364271339872399364</v>
      </c>
      <c r="F89" s="14" t="s">
        <v>40</v>
      </c>
      <c r="G89" s="8"/>
      <c r="H89" s="8"/>
      <c r="I89" s="14">
        <v>0</v>
      </c>
      <c r="J89" s="14">
        <v>0</v>
      </c>
      <c r="K89" s="6" t="str">
        <f>HYPERLINK("http://twinybots.com","TwinyBots")</f>
        <v>TwinyBots</v>
      </c>
      <c r="L89" s="15">
        <v>2160</v>
      </c>
      <c r="M89" s="15">
        <v>1495</v>
      </c>
      <c r="N89" s="15">
        <v>43</v>
      </c>
      <c r="O89" s="9"/>
      <c r="P89" s="10">
        <v>39986.264884259261</v>
      </c>
      <c r="Q89" s="14" t="s">
        <v>203</v>
      </c>
      <c r="R89" s="14" t="s">
        <v>204</v>
      </c>
      <c r="S89" s="7" t="s">
        <v>205</v>
      </c>
      <c r="T89" s="8"/>
      <c r="U89" s="11" t="str">
        <f>HYPERLINK("https://pbs.twimg.com/profile_images/900709336309276672/M5XpdeQJ.jpg","View")</f>
        <v>View</v>
      </c>
      <c r="V89" s="8"/>
      <c r="W89" s="8"/>
      <c r="X89" s="8"/>
      <c r="Y89" s="8"/>
      <c r="Z89" s="8"/>
    </row>
    <row r="90" spans="1:26" ht="13.2">
      <c r="A90" s="13">
        <v>44250.784791666665</v>
      </c>
      <c r="B90" s="6" t="str">
        <f>HYPERLINK("https://twitter.com/nigewillson","@nigewillson")</f>
        <v>@nigewillson</v>
      </c>
      <c r="C90" s="14" t="s">
        <v>95</v>
      </c>
      <c r="D90" s="14" t="s">
        <v>481</v>
      </c>
      <c r="E90" s="6" t="str">
        <f>HYPERLINK("https://twitter.com/nigewillson/status/1364271327432101890","1364271327432101890")</f>
        <v>1364271327432101890</v>
      </c>
      <c r="F90" s="7" t="s">
        <v>482</v>
      </c>
      <c r="G90" s="7" t="s">
        <v>483</v>
      </c>
      <c r="H90" s="8"/>
      <c r="I90" s="14">
        <v>3</v>
      </c>
      <c r="J90" s="14">
        <v>4</v>
      </c>
      <c r="K90" s="6" t="str">
        <f>HYPERLINK("https://buffer.com","Buffer")</f>
        <v>Buffer</v>
      </c>
      <c r="L90" s="15">
        <v>57515</v>
      </c>
      <c r="M90" s="15">
        <v>49523</v>
      </c>
      <c r="N90" s="15">
        <v>1688</v>
      </c>
      <c r="O90" s="9"/>
      <c r="P90" s="10">
        <v>40530.666805555556</v>
      </c>
      <c r="Q90" s="14" t="s">
        <v>99</v>
      </c>
      <c r="R90" s="14" t="s">
        <v>100</v>
      </c>
      <c r="S90" s="7" t="s">
        <v>101</v>
      </c>
      <c r="T90" s="8"/>
      <c r="U90" s="11" t="str">
        <f>HYPERLINK("https://pbs.twimg.com/profile_images/1085251590997622784/x9mWVQ1d.jpg","View")</f>
        <v>View</v>
      </c>
      <c r="V90" s="8"/>
      <c r="W90" s="8"/>
      <c r="X90" s="8"/>
      <c r="Y90" s="8"/>
      <c r="Z90" s="8"/>
    </row>
    <row r="91" spans="1:26" ht="13.2">
      <c r="A91" s="13">
        <v>44250.784791666665</v>
      </c>
      <c r="B91" s="6" t="str">
        <f>HYPERLINK("https://twitter.com/MetalAMMag","@MetalAMMag")</f>
        <v>@MetalAMMag</v>
      </c>
      <c r="C91" s="14" t="s">
        <v>484</v>
      </c>
      <c r="D91" s="14" t="s">
        <v>485</v>
      </c>
      <c r="E91" s="6" t="str">
        <f>HYPERLINK("https://twitter.com/MetalAMMag/status/1364271327427891207","1364271327427891207")</f>
        <v>1364271327427891207</v>
      </c>
      <c r="F91" s="7" t="s">
        <v>486</v>
      </c>
      <c r="G91" s="8"/>
      <c r="H91" s="8"/>
      <c r="I91" s="14">
        <v>1</v>
      </c>
      <c r="J91" s="14">
        <v>1</v>
      </c>
      <c r="K91" s="6" t="str">
        <f>HYPERLINK("https://www.hootsuite.com","Hootsuite Inc.")</f>
        <v>Hootsuite Inc.</v>
      </c>
      <c r="L91" s="15">
        <v>1949</v>
      </c>
      <c r="M91" s="15">
        <v>758</v>
      </c>
      <c r="N91" s="15">
        <v>33</v>
      </c>
      <c r="O91" s="9"/>
      <c r="P91" s="10">
        <v>42814.47729166667</v>
      </c>
      <c r="Q91" s="8"/>
      <c r="R91" s="14" t="s">
        <v>487</v>
      </c>
      <c r="S91" s="7" t="s">
        <v>488</v>
      </c>
      <c r="T91" s="8"/>
      <c r="U91" s="11" t="str">
        <f>HYPERLINK("https://pbs.twimg.com/profile_images/907972861360570368/6torArCi.jpg","View")</f>
        <v>View</v>
      </c>
      <c r="V91" s="8"/>
      <c r="W91" s="8"/>
      <c r="X91" s="8"/>
      <c r="Y91" s="8"/>
      <c r="Z91" s="8"/>
    </row>
    <row r="92" spans="1:26" ht="13.2">
      <c r="A92" s="13">
        <v>44250.784745370373</v>
      </c>
      <c r="B92" s="6" t="str">
        <f>HYPERLINK("https://twitter.com/MagnimindA","@MagnimindA")</f>
        <v>@MagnimindA</v>
      </c>
      <c r="C92" s="14" t="s">
        <v>489</v>
      </c>
      <c r="D92" s="14" t="s">
        <v>490</v>
      </c>
      <c r="E92" s="6" t="str">
        <f>HYPERLINK("https://twitter.com/MagnimindA/status/1364271313456533505","1364271313456533505")</f>
        <v>1364271313456533505</v>
      </c>
      <c r="F92" s="7" t="s">
        <v>491</v>
      </c>
      <c r="G92" s="7" t="s">
        <v>492</v>
      </c>
      <c r="H92" s="8"/>
      <c r="I92" s="14">
        <v>0</v>
      </c>
      <c r="J92" s="14">
        <v>0</v>
      </c>
      <c r="K92" s="6" t="str">
        <f>HYPERLINK("https://buffer.com","Buffer")</f>
        <v>Buffer</v>
      </c>
      <c r="L92" s="15">
        <v>1715</v>
      </c>
      <c r="M92" s="15">
        <v>3337</v>
      </c>
      <c r="N92" s="15">
        <v>14</v>
      </c>
      <c r="O92" s="9"/>
      <c r="P92" s="10">
        <v>43379.057673611111</v>
      </c>
      <c r="Q92" s="14" t="s">
        <v>81</v>
      </c>
      <c r="R92" s="14" t="s">
        <v>493</v>
      </c>
      <c r="S92" s="7" t="s">
        <v>494</v>
      </c>
      <c r="T92" s="8"/>
      <c r="U92" s="11" t="str">
        <f>HYPERLINK("https://pbs.twimg.com/profile_images/1050446122626375681/rKN2ZFJc.jpg","View")</f>
        <v>View</v>
      </c>
      <c r="V92" s="8"/>
      <c r="W92" s="8"/>
      <c r="X92" s="8"/>
      <c r="Y92" s="8"/>
      <c r="Z92" s="8"/>
    </row>
    <row r="93" spans="1:26" ht="13.2">
      <c r="A93" s="13">
        <v>44250.784583333334</v>
      </c>
      <c r="B93" s="6" t="str">
        <f>HYPERLINK("https://twitter.com/gauravjain49","@gauravjain49")</f>
        <v>@gauravjain49</v>
      </c>
      <c r="C93" s="14" t="s">
        <v>495</v>
      </c>
      <c r="D93" s="14" t="s">
        <v>496</v>
      </c>
      <c r="E93" s="6" t="str">
        <f>HYPERLINK("https://twitter.com/gauravjain49/status/1364271254245576708","1364271254245576708")</f>
        <v>1364271254245576708</v>
      </c>
      <c r="F93" s="7" t="s">
        <v>497</v>
      </c>
      <c r="G93" s="8"/>
      <c r="H93" s="8"/>
      <c r="I93" s="14">
        <v>5</v>
      </c>
      <c r="J93" s="14">
        <v>4</v>
      </c>
      <c r="K93" s="6" t="str">
        <f t="shared" ref="K93:K95" si="11">HYPERLINK("https://mobile.twitter.com","Twitter Web App")</f>
        <v>Twitter Web App</v>
      </c>
      <c r="L93" s="15">
        <v>463</v>
      </c>
      <c r="M93" s="15">
        <v>510</v>
      </c>
      <c r="N93" s="15">
        <v>140</v>
      </c>
      <c r="O93" s="9"/>
      <c r="P93" s="10">
        <v>40696.139108796298</v>
      </c>
      <c r="Q93" s="14" t="s">
        <v>145</v>
      </c>
      <c r="R93" s="14" t="s">
        <v>498</v>
      </c>
      <c r="S93" s="7" t="s">
        <v>499</v>
      </c>
      <c r="T93" s="8"/>
      <c r="U93" s="11" t="str">
        <f>HYPERLINK("https://pbs.twimg.com/profile_images/378800000228610142/d5ded083836c479aa4b0337bfd58bbd4.png","View")</f>
        <v>View</v>
      </c>
      <c r="V93" s="8"/>
      <c r="W93" s="8"/>
      <c r="X93" s="8"/>
      <c r="Y93" s="8"/>
      <c r="Z93" s="8"/>
    </row>
    <row r="94" spans="1:26" ht="13.2">
      <c r="A94" s="13">
        <v>44250.783645833333</v>
      </c>
      <c r="B94" s="6" t="str">
        <f>HYPERLINK("https://twitter.com/santoshshevade","@santoshshevade")</f>
        <v>@santoshshevade</v>
      </c>
      <c r="C94" s="14" t="s">
        <v>500</v>
      </c>
      <c r="D94" s="14" t="s">
        <v>501</v>
      </c>
      <c r="E94" s="6" t="str">
        <f>HYPERLINK("https://twitter.com/santoshshevade/status/1364270912653074432","1364270912653074432")</f>
        <v>1364270912653074432</v>
      </c>
      <c r="F94" s="7" t="s">
        <v>502</v>
      </c>
      <c r="G94" s="8"/>
      <c r="H94" s="8"/>
      <c r="I94" s="14">
        <v>2</v>
      </c>
      <c r="J94" s="14">
        <v>0</v>
      </c>
      <c r="K94" s="6" t="str">
        <f t="shared" si="11"/>
        <v>Twitter Web App</v>
      </c>
      <c r="L94" s="15">
        <v>96</v>
      </c>
      <c r="M94" s="15">
        <v>144</v>
      </c>
      <c r="N94" s="15">
        <v>4</v>
      </c>
      <c r="O94" s="9"/>
      <c r="P94" s="10">
        <v>40412.694178240738</v>
      </c>
      <c r="Q94" s="14" t="s">
        <v>364</v>
      </c>
      <c r="R94" s="14" t="s">
        <v>503</v>
      </c>
      <c r="S94" s="7" t="s">
        <v>504</v>
      </c>
      <c r="T94" s="8"/>
      <c r="U94" s="11" t="str">
        <f>HYPERLINK("https://pbs.twimg.com/profile_images/1012203266686509059/pwuBt8ks.jpg","View")</f>
        <v>View</v>
      </c>
      <c r="V94" s="8"/>
      <c r="W94" s="8"/>
      <c r="X94" s="8"/>
      <c r="Y94" s="8"/>
      <c r="Z94" s="8"/>
    </row>
    <row r="95" spans="1:26" ht="13.2">
      <c r="A95" s="13">
        <v>44250.783194444448</v>
      </c>
      <c r="B95" s="6" t="str">
        <f>HYPERLINK("https://twitter.com/DataSeerDigital","@DataSeerDigital")</f>
        <v>@DataSeerDigital</v>
      </c>
      <c r="C95" s="14" t="s">
        <v>505</v>
      </c>
      <c r="D95" s="14" t="s">
        <v>506</v>
      </c>
      <c r="E95" s="6" t="str">
        <f>HYPERLINK("https://twitter.com/DataSeerDigital/status/1364270750308331520","1364270750308331520")</f>
        <v>1364270750308331520</v>
      </c>
      <c r="F95" s="7" t="s">
        <v>507</v>
      </c>
      <c r="G95" s="7" t="s">
        <v>508</v>
      </c>
      <c r="H95" s="8"/>
      <c r="I95" s="14">
        <v>1</v>
      </c>
      <c r="J95" s="14">
        <v>0</v>
      </c>
      <c r="K95" s="6" t="str">
        <f t="shared" si="11"/>
        <v>Twitter Web App</v>
      </c>
      <c r="L95" s="15">
        <v>2</v>
      </c>
      <c r="M95" s="15">
        <v>9</v>
      </c>
      <c r="N95" s="15">
        <v>0</v>
      </c>
      <c r="O95" s="9"/>
      <c r="P95" s="10">
        <v>44167.053449074076</v>
      </c>
      <c r="Q95" s="14" t="s">
        <v>509</v>
      </c>
      <c r="R95" s="14" t="s">
        <v>510</v>
      </c>
      <c r="S95" s="7" t="s">
        <v>511</v>
      </c>
      <c r="T95" s="8"/>
      <c r="U95" s="11" t="str">
        <f>HYPERLINK("https://pbs.twimg.com/profile_images/1334261165661302784/xiu8x1ql.png","View")</f>
        <v>View</v>
      </c>
      <c r="V95" s="8"/>
      <c r="W95" s="8"/>
      <c r="X95" s="8"/>
      <c r="Y95" s="8"/>
      <c r="Z95" s="8"/>
    </row>
    <row r="96" spans="1:26" ht="13.2">
      <c r="A96" s="13">
        <v>44250.782893518517</v>
      </c>
      <c r="B96" s="6" t="str">
        <f>HYPERLINK("https://twitter.com/randi_epi","@randi_epi")</f>
        <v>@randi_epi</v>
      </c>
      <c r="C96" s="14" t="s">
        <v>512</v>
      </c>
      <c r="D96" s="14" t="s">
        <v>513</v>
      </c>
      <c r="E96" s="6" t="str">
        <f>HYPERLINK("https://twitter.com/randi_epi/status/1364270640535068672","1364270640535068672")</f>
        <v>1364270640535068672</v>
      </c>
      <c r="F96" s="8"/>
      <c r="G96" s="8"/>
      <c r="H96" s="8"/>
      <c r="I96" s="14">
        <v>2</v>
      </c>
      <c r="J96" s="14">
        <v>2</v>
      </c>
      <c r="K96" s="6" t="str">
        <f>HYPERLINK("http://twitter.com/download/iphone","Twitter for iPhone")</f>
        <v>Twitter for iPhone</v>
      </c>
      <c r="L96" s="15">
        <v>1090</v>
      </c>
      <c r="M96" s="15">
        <v>1154</v>
      </c>
      <c r="N96" s="15">
        <v>57</v>
      </c>
      <c r="O96" s="9"/>
      <c r="P96" s="10">
        <v>41288.011678240742</v>
      </c>
      <c r="Q96" s="14" t="s">
        <v>514</v>
      </c>
      <c r="R96" s="14" t="s">
        <v>515</v>
      </c>
      <c r="S96" s="7" t="s">
        <v>516</v>
      </c>
      <c r="T96" s="8"/>
      <c r="U96" s="11" t="str">
        <f>HYPERLINK("https://pbs.twimg.com/profile_images/1328074504166400000/QtcpcpEH.jpg","View")</f>
        <v>View</v>
      </c>
      <c r="V96" s="8"/>
      <c r="W96" s="8"/>
      <c r="X96" s="8"/>
      <c r="Y96" s="8"/>
      <c r="Z96" s="8"/>
    </row>
    <row r="97" spans="1:26" ht="13.2">
      <c r="A97" s="13">
        <v>44250.782662037032</v>
      </c>
      <c r="B97" s="6" t="str">
        <f>HYPERLINK("https://twitter.com/danieluriol","@danieluriol")</f>
        <v>@danieluriol</v>
      </c>
      <c r="C97" s="14" t="s">
        <v>517</v>
      </c>
      <c r="D97" s="14" t="s">
        <v>518</v>
      </c>
      <c r="E97" s="6" t="str">
        <f>HYPERLINK("https://twitter.com/danieluriol/status/1364270558075043844","1364270558075043844")</f>
        <v>1364270558075043844</v>
      </c>
      <c r="F97" s="7" t="s">
        <v>519</v>
      </c>
      <c r="G97" s="7" t="s">
        <v>520</v>
      </c>
      <c r="H97" s="8"/>
      <c r="I97" s="14">
        <v>1</v>
      </c>
      <c r="J97" s="14">
        <v>1</v>
      </c>
      <c r="K97" s="6" t="str">
        <f>HYPERLINK("https://buffer.com","Buffer")</f>
        <v>Buffer</v>
      </c>
      <c r="L97" s="15">
        <v>3441</v>
      </c>
      <c r="M97" s="15">
        <v>455</v>
      </c>
      <c r="N97" s="15">
        <v>8</v>
      </c>
      <c r="O97" s="9"/>
      <c r="P97" s="10">
        <v>39707.014618055553</v>
      </c>
      <c r="Q97" s="8"/>
      <c r="R97" s="14" t="s">
        <v>521</v>
      </c>
      <c r="S97" s="7" t="s">
        <v>522</v>
      </c>
      <c r="T97" s="8"/>
      <c r="U97" s="11" t="str">
        <f>HYPERLINK("https://pbs.twimg.com/profile_images/1284935813604814848/mVDJVdEi.jpg","View")</f>
        <v>View</v>
      </c>
      <c r="V97" s="8"/>
      <c r="W97" s="8"/>
      <c r="X97" s="8"/>
      <c r="Y97" s="8"/>
      <c r="Z97" s="8"/>
    </row>
    <row r="98" spans="1:26" ht="13.2">
      <c r="A98" s="13">
        <v>44250.781967592593</v>
      </c>
      <c r="B98" s="6" t="str">
        <f>HYPERLINK("https://twitter.com/liwaiwaicom","@liwaiwaicom")</f>
        <v>@liwaiwaicom</v>
      </c>
      <c r="C98" s="14" t="s">
        <v>523</v>
      </c>
      <c r="D98" s="14" t="s">
        <v>524</v>
      </c>
      <c r="E98" s="6" t="str">
        <f>HYPERLINK("https://twitter.com/liwaiwaicom/status/1364270306265731073","1364270306265731073")</f>
        <v>1364270306265731073</v>
      </c>
      <c r="F98" s="7" t="s">
        <v>525</v>
      </c>
      <c r="G98" s="8"/>
      <c r="H98" s="8"/>
      <c r="I98" s="14">
        <v>2</v>
      </c>
      <c r="J98" s="14">
        <v>1</v>
      </c>
      <c r="K98" s="6" t="str">
        <f>HYPERLINK("https://mobile.twitter.com","Twitter Web App")</f>
        <v>Twitter Web App</v>
      </c>
      <c r="L98" s="15">
        <v>205</v>
      </c>
      <c r="M98" s="15">
        <v>185</v>
      </c>
      <c r="N98" s="15">
        <v>9</v>
      </c>
      <c r="O98" s="9"/>
      <c r="P98" s="10">
        <v>43586.715312500004</v>
      </c>
      <c r="Q98" s="8"/>
      <c r="R98" s="14" t="s">
        <v>526</v>
      </c>
      <c r="S98" s="7" t="s">
        <v>527</v>
      </c>
      <c r="T98" s="8"/>
      <c r="U98" s="11" t="str">
        <f>HYPERLINK("https://pbs.twimg.com/profile_images/1123618661485252608/jUDPhHbR.png","View")</f>
        <v>View</v>
      </c>
      <c r="V98" s="8"/>
      <c r="W98" s="8"/>
      <c r="X98" s="8"/>
      <c r="Y98" s="8"/>
      <c r="Z98" s="8"/>
    </row>
    <row r="99" spans="1:26" ht="13.2">
      <c r="A99" s="13">
        <v>44250.781724537039</v>
      </c>
      <c r="B99" s="6" t="str">
        <f>HYPERLINK("https://twitter.com/ai_summary","@ai_summary")</f>
        <v>@ai_summary</v>
      </c>
      <c r="C99" s="14" t="s">
        <v>528</v>
      </c>
      <c r="D99" s="14" t="s">
        <v>529</v>
      </c>
      <c r="E99" s="6" t="str">
        <f>HYPERLINK("https://twitter.com/ai_summary/status/1364270219494125569","1364270219494125569")</f>
        <v>1364270219494125569</v>
      </c>
      <c r="F99" s="7" t="s">
        <v>530</v>
      </c>
      <c r="G99" s="8"/>
      <c r="H99" s="8"/>
      <c r="I99" s="14">
        <v>2</v>
      </c>
      <c r="J99" s="14">
        <v>0</v>
      </c>
      <c r="K99" s="8"/>
      <c r="L99" s="15">
        <v>47</v>
      </c>
      <c r="M99" s="15">
        <v>7</v>
      </c>
      <c r="N99" s="15">
        <v>2</v>
      </c>
      <c r="O99" s="9"/>
      <c r="P99" s="10">
        <v>44039.504699074074</v>
      </c>
      <c r="Q99" s="8"/>
      <c r="R99" s="14" t="s">
        <v>531</v>
      </c>
      <c r="S99" s="8"/>
      <c r="T99" s="8"/>
      <c r="U99" s="11" t="str">
        <f>HYPERLINK("https://pbs.twimg.com/profile_images/1315240281206382592/-i10o6Yg.jpg","View")</f>
        <v>View</v>
      </c>
      <c r="V99" s="8"/>
      <c r="W99" s="8"/>
      <c r="X99" s="8"/>
      <c r="Y99" s="8"/>
      <c r="Z99" s="8"/>
    </row>
    <row r="100" spans="1:26" ht="13.2">
      <c r="A100" s="13">
        <v>44250.781400462962</v>
      </c>
      <c r="B100" s="6" t="str">
        <f>HYPERLINK("https://twitter.com/lyakovet","@lyakovet")</f>
        <v>@lyakovet</v>
      </c>
      <c r="C100" s="14" t="s">
        <v>532</v>
      </c>
      <c r="D100" s="14" t="s">
        <v>533</v>
      </c>
      <c r="E100" s="6" t="str">
        <f>HYPERLINK("https://twitter.com/lyakovet/status/1364270101973901316","1364270101973901316")</f>
        <v>1364270101973901316</v>
      </c>
      <c r="F100" s="14" t="s">
        <v>534</v>
      </c>
      <c r="G100" s="7" t="s">
        <v>535</v>
      </c>
      <c r="H100" s="8"/>
      <c r="I100" s="14">
        <v>1</v>
      </c>
      <c r="J100" s="14">
        <v>2</v>
      </c>
      <c r="K100" s="6" t="str">
        <f>HYPERLINK("https://mobile.twitter.com","Twitter Web App")</f>
        <v>Twitter Web App</v>
      </c>
      <c r="L100" s="15">
        <v>1108</v>
      </c>
      <c r="M100" s="15">
        <v>924</v>
      </c>
      <c r="N100" s="15">
        <v>29</v>
      </c>
      <c r="O100" s="9"/>
      <c r="P100" s="10">
        <v>41024.699884259258</v>
      </c>
      <c r="Q100" s="14" t="s">
        <v>536</v>
      </c>
      <c r="R100" s="14" t="s">
        <v>537</v>
      </c>
      <c r="S100" s="7" t="s">
        <v>538</v>
      </c>
      <c r="T100" s="8"/>
      <c r="U100" s="11" t="str">
        <f>HYPERLINK("https://pbs.twimg.com/profile_images/890328543187447808/_Qj8ZD8d.jpg","View")</f>
        <v>View</v>
      </c>
      <c r="V100" s="8"/>
      <c r="W100" s="8"/>
      <c r="X100" s="8"/>
      <c r="Y100" s="8"/>
      <c r="Z100" s="8"/>
    </row>
    <row r="101" spans="1:26" ht="13.2">
      <c r="A101" s="13">
        <v>44250.781400462962</v>
      </c>
      <c r="B101" s="6" t="str">
        <f>HYPERLINK("https://twitter.com/andresvilarino","@andresvilarino")</f>
        <v>@andresvilarino</v>
      </c>
      <c r="C101" s="14" t="s">
        <v>72</v>
      </c>
      <c r="D101" s="14" t="s">
        <v>539</v>
      </c>
      <c r="E101" s="6" t="str">
        <f>HYPERLINK("https://twitter.com/andresvilarino/status/1364270099331432450","1364270099331432450")</f>
        <v>1364270099331432450</v>
      </c>
      <c r="F101" s="7" t="s">
        <v>540</v>
      </c>
      <c r="G101" s="7" t="s">
        <v>541</v>
      </c>
      <c r="H101" s="8"/>
      <c r="I101" s="14">
        <v>3</v>
      </c>
      <c r="J101" s="14">
        <v>2</v>
      </c>
      <c r="K101" s="6" t="str">
        <f>HYPERLINK("https://www.hootsuite.com","Hootsuite Inc.")</f>
        <v>Hootsuite Inc.</v>
      </c>
      <c r="L101" s="15">
        <v>5136</v>
      </c>
      <c r="M101" s="15">
        <v>5043</v>
      </c>
      <c r="N101" s="15">
        <v>79</v>
      </c>
      <c r="O101" s="9"/>
      <c r="P101" s="10">
        <v>40346.43136574074</v>
      </c>
      <c r="Q101" s="14" t="s">
        <v>75</v>
      </c>
      <c r="R101" s="14" t="s">
        <v>76</v>
      </c>
      <c r="S101" s="7" t="s">
        <v>77</v>
      </c>
      <c r="T101" s="8"/>
      <c r="U101" s="11" t="str">
        <f>HYPERLINK("https://pbs.twimg.com/profile_images/1015329397929177088/9OR3sIzf.jpg","View")</f>
        <v>View</v>
      </c>
      <c r="V101" s="8"/>
      <c r="W101" s="8"/>
      <c r="X101" s="8"/>
      <c r="Y101" s="8"/>
      <c r="Z101" s="8"/>
    </row>
    <row r="102" spans="1:26" ht="13.2">
      <c r="A102" s="13">
        <v>44250.781331018516</v>
      </c>
      <c r="B102" s="6" t="str">
        <f>HYPERLINK("https://twitter.com/LaForge_AI","@LaForge_AI")</f>
        <v>@LaForge_AI</v>
      </c>
      <c r="C102" s="14" t="s">
        <v>102</v>
      </c>
      <c r="D102" s="14" t="s">
        <v>542</v>
      </c>
      <c r="E102" s="6" t="str">
        <f>HYPERLINK("https://twitter.com/LaForge_AI/status/1364270077227499524","1364270077227499524")</f>
        <v>1364270077227499524</v>
      </c>
      <c r="F102" s="7" t="s">
        <v>543</v>
      </c>
      <c r="G102" s="7" t="s">
        <v>544</v>
      </c>
      <c r="H102" s="8"/>
      <c r="I102" s="14">
        <v>2</v>
      </c>
      <c r="J102" s="14">
        <v>3</v>
      </c>
      <c r="K102" s="6" t="str">
        <f>HYPERLINK("https://www.la-forge.ai","Rss2Twitter for La Forge")</f>
        <v>Rss2Twitter for La Forge</v>
      </c>
      <c r="L102" s="15">
        <v>9854</v>
      </c>
      <c r="M102" s="15">
        <v>10507</v>
      </c>
      <c r="N102" s="15">
        <v>126</v>
      </c>
      <c r="O102" s="9"/>
      <c r="P102" s="10">
        <v>43660.755891203706</v>
      </c>
      <c r="Q102" s="14" t="s">
        <v>106</v>
      </c>
      <c r="R102" s="14" t="s">
        <v>107</v>
      </c>
      <c r="S102" s="7" t="s">
        <v>108</v>
      </c>
      <c r="T102" s="8"/>
      <c r="U102" s="11" t="str">
        <f>HYPERLINK("https://pbs.twimg.com/profile_images/1261961910020423681/fC-WUmbt.jpg","View")</f>
        <v>View</v>
      </c>
      <c r="V102" s="8"/>
      <c r="W102" s="8"/>
      <c r="X102" s="8"/>
      <c r="Y102" s="8"/>
      <c r="Z102" s="8"/>
    </row>
    <row r="103" spans="1:26" ht="13.2">
      <c r="A103" s="13">
        <v>44250.781331018516</v>
      </c>
      <c r="B103" s="6" t="str">
        <f>HYPERLINK("https://twitter.com/Artificial_Twin","@Artificial_Twin")</f>
        <v>@Artificial_Twin</v>
      </c>
      <c r="C103" s="14" t="s">
        <v>545</v>
      </c>
      <c r="D103" s="14" t="s">
        <v>546</v>
      </c>
      <c r="E103" s="6" t="str">
        <f>HYPERLINK("https://twitter.com/Artificial_Twin/status/1364270074425655299","1364270074425655299")</f>
        <v>1364270074425655299</v>
      </c>
      <c r="F103" s="7" t="s">
        <v>547</v>
      </c>
      <c r="G103" s="7" t="s">
        <v>548</v>
      </c>
      <c r="H103" s="8"/>
      <c r="I103" s="14">
        <v>0</v>
      </c>
      <c r="J103" s="14">
        <v>1</v>
      </c>
      <c r="K103" s="6" t="str">
        <f t="shared" ref="K103:K104" si="12">HYPERLINK("https://buffer.com","Buffer")</f>
        <v>Buffer</v>
      </c>
      <c r="L103" s="15">
        <v>200</v>
      </c>
      <c r="M103" s="15">
        <v>3</v>
      </c>
      <c r="N103" s="15">
        <v>4</v>
      </c>
      <c r="O103" s="9"/>
      <c r="P103" s="10">
        <v>43717.989490740743</v>
      </c>
      <c r="Q103" s="14" t="s">
        <v>549</v>
      </c>
      <c r="R103" s="14" t="s">
        <v>550</v>
      </c>
      <c r="S103" s="7" t="s">
        <v>551</v>
      </c>
      <c r="T103" s="8"/>
      <c r="U103" s="11" t="str">
        <f>HYPERLINK("https://pbs.twimg.com/profile_images/1171178802019483653/YP9R7IMl.jpg","View")</f>
        <v>View</v>
      </c>
      <c r="V103" s="8"/>
      <c r="W103" s="8"/>
      <c r="X103" s="8"/>
      <c r="Y103" s="8"/>
      <c r="Z103" s="8"/>
    </row>
    <row r="104" spans="1:26" ht="13.2">
      <c r="A104" s="13">
        <v>44250.781319444446</v>
      </c>
      <c r="B104" s="6" t="str">
        <f>HYPERLINK("https://twitter.com/nigewillson","@nigewillson")</f>
        <v>@nigewillson</v>
      </c>
      <c r="C104" s="14" t="s">
        <v>95</v>
      </c>
      <c r="D104" s="14" t="s">
        <v>552</v>
      </c>
      <c r="E104" s="6" t="str">
        <f>HYPERLINK("https://twitter.com/nigewillson/status/1364270069124063242","1364270069124063242")</f>
        <v>1364270069124063242</v>
      </c>
      <c r="F104" s="7" t="s">
        <v>553</v>
      </c>
      <c r="G104" s="7" t="s">
        <v>554</v>
      </c>
      <c r="H104" s="8"/>
      <c r="I104" s="14">
        <v>7</v>
      </c>
      <c r="J104" s="14">
        <v>3</v>
      </c>
      <c r="K104" s="6" t="str">
        <f t="shared" si="12"/>
        <v>Buffer</v>
      </c>
      <c r="L104" s="15">
        <v>57515</v>
      </c>
      <c r="M104" s="15">
        <v>49523</v>
      </c>
      <c r="N104" s="15">
        <v>1688</v>
      </c>
      <c r="O104" s="9"/>
      <c r="P104" s="10">
        <v>40530.666805555556</v>
      </c>
      <c r="Q104" s="14" t="s">
        <v>99</v>
      </c>
      <c r="R104" s="14" t="s">
        <v>100</v>
      </c>
      <c r="S104" s="7" t="s">
        <v>101</v>
      </c>
      <c r="T104" s="8"/>
      <c r="U104" s="11" t="str">
        <f>HYPERLINK("https://pbs.twimg.com/profile_images/1085251590997622784/x9mWVQ1d.jpg","View")</f>
        <v>View</v>
      </c>
      <c r="V104" s="8"/>
      <c r="W104" s="8"/>
      <c r="X104" s="8"/>
      <c r="Y104" s="8"/>
      <c r="Z104" s="8"/>
    </row>
    <row r="105" spans="1:26" ht="13.2">
      <c r="A105" s="13">
        <v>44250.78126157407</v>
      </c>
      <c r="B105" s="6" t="str">
        <f>HYPERLINK("https://twitter.com/Data_TurkishSAI","@Data_TurkishSAI")</f>
        <v>@Data_TurkishSAI</v>
      </c>
      <c r="C105" s="14" t="s">
        <v>555</v>
      </c>
      <c r="D105" s="14" t="s">
        <v>556</v>
      </c>
      <c r="E105" s="6" t="str">
        <f>HYPERLINK("https://twitter.com/Data_TurkishSAI/status/1364270050887290880","1364270050887290880")</f>
        <v>1364270050887290880</v>
      </c>
      <c r="F105" s="7" t="s">
        <v>557</v>
      </c>
      <c r="G105" s="8"/>
      <c r="H105" s="8"/>
      <c r="I105" s="14">
        <v>1</v>
      </c>
      <c r="J105" s="14">
        <v>0</v>
      </c>
      <c r="K105" s="6" t="str">
        <f>HYPERLINK("http://twitter.com/download/iphone","Twitter for iPhone")</f>
        <v>Twitter for iPhone</v>
      </c>
      <c r="L105" s="15">
        <v>184</v>
      </c>
      <c r="M105" s="15">
        <v>129</v>
      </c>
      <c r="N105" s="15">
        <v>0</v>
      </c>
      <c r="O105" s="9"/>
      <c r="P105" s="10">
        <v>43699.926111111112</v>
      </c>
      <c r="Q105" s="8"/>
      <c r="R105" s="14" t="s">
        <v>558</v>
      </c>
      <c r="S105" s="7" t="s">
        <v>559</v>
      </c>
      <c r="T105" s="8"/>
      <c r="U105" s="11" t="str">
        <f>HYPERLINK("https://pbs.twimg.com/profile_images/1164637140388667401/KVgIQ_U3.png","View")</f>
        <v>View</v>
      </c>
      <c r="V105" s="8"/>
      <c r="W105" s="8"/>
      <c r="X105" s="8"/>
      <c r="Y105" s="8"/>
      <c r="Z105" s="8"/>
    </row>
    <row r="106" spans="1:26" ht="13.2">
      <c r="A106" s="13">
        <v>44250.78125</v>
      </c>
      <c r="B106" s="6" t="str">
        <f>HYPERLINK("https://twitter.com/TimIntel","@TimIntel")</f>
        <v>@TimIntel</v>
      </c>
      <c r="C106" s="14" t="s">
        <v>560</v>
      </c>
      <c r="D106" s="14" t="s">
        <v>561</v>
      </c>
      <c r="E106" s="6" t="str">
        <f>HYPERLINK("https://twitter.com/TimIntel/status/1364270045371760641","1364270045371760641")</f>
        <v>1364270045371760641</v>
      </c>
      <c r="F106" s="7" t="s">
        <v>562</v>
      </c>
      <c r="G106" s="8"/>
      <c r="H106" s="8"/>
      <c r="I106" s="14">
        <v>0</v>
      </c>
      <c r="J106" s="14">
        <v>0</v>
      </c>
      <c r="K106" s="6" t="str">
        <f>HYPERLINK("https://about.twitter.com/products/tweetdeck","TweetDeck")</f>
        <v>TweetDeck</v>
      </c>
      <c r="L106" s="15">
        <v>13434</v>
      </c>
      <c r="M106" s="15">
        <v>11587</v>
      </c>
      <c r="N106" s="15">
        <v>708</v>
      </c>
      <c r="O106" s="9"/>
      <c r="P106" s="10">
        <v>40960.777638888889</v>
      </c>
      <c r="Q106" s="14" t="s">
        <v>563</v>
      </c>
      <c r="R106" s="14" t="s">
        <v>564</v>
      </c>
      <c r="S106" s="8"/>
      <c r="T106" s="8"/>
      <c r="U106" s="11" t="str">
        <f>HYPERLINK("https://pbs.twimg.com/profile_images/562397314090680321/iyDeHS1l.jpeg","View")</f>
        <v>View</v>
      </c>
      <c r="V106" s="8"/>
      <c r="W106" s="8"/>
      <c r="X106" s="8"/>
      <c r="Y106" s="8"/>
      <c r="Z106" s="8"/>
    </row>
    <row r="107" spans="1:26" ht="13.2">
      <c r="A107" s="13">
        <v>44250.781030092592</v>
      </c>
      <c r="B107" s="6" t="str">
        <f>HYPERLINK("https://twitter.com/AnnaKondratiuk_","@AnnaKondratiuk_")</f>
        <v>@AnnaKondratiuk_</v>
      </c>
      <c r="C107" s="14" t="s">
        <v>565</v>
      </c>
      <c r="D107" s="14" t="s">
        <v>566</v>
      </c>
      <c r="E107" s="6" t="str">
        <f>HYPERLINK("https://twitter.com/AnnaKondratiuk_/status/1364269966338490370","1364269966338490370")</f>
        <v>1364269966338490370</v>
      </c>
      <c r="F107" s="8"/>
      <c r="G107" s="7" t="s">
        <v>567</v>
      </c>
      <c r="H107" s="8"/>
      <c r="I107" s="14">
        <v>11</v>
      </c>
      <c r="J107" s="14">
        <v>4</v>
      </c>
      <c r="K107" s="6" t="str">
        <f t="shared" ref="K107:K108" si="13">HYPERLINK("https://mobile.twitter.com","Twitter Web App")</f>
        <v>Twitter Web App</v>
      </c>
      <c r="L107" s="15">
        <v>62</v>
      </c>
      <c r="M107" s="15">
        <v>77</v>
      </c>
      <c r="N107" s="15">
        <v>2</v>
      </c>
      <c r="O107" s="9"/>
      <c r="P107" s="10">
        <v>42009.428495370375</v>
      </c>
      <c r="Q107" s="8"/>
      <c r="R107" s="14" t="s">
        <v>568</v>
      </c>
      <c r="S107" s="8"/>
      <c r="T107" s="8"/>
      <c r="U107" s="11" t="str">
        <f>HYPERLINK("https://pbs.twimg.com/profile_images/1023271264968994823/LtUO5r4y.jpg","View")</f>
        <v>View</v>
      </c>
      <c r="V107" s="8"/>
      <c r="W107" s="8"/>
      <c r="X107" s="8"/>
      <c r="Y107" s="8"/>
      <c r="Z107" s="8"/>
    </row>
    <row r="108" spans="1:26" ht="13.2">
      <c r="A108" s="13">
        <v>44250.780925925923</v>
      </c>
      <c r="B108" s="6" t="str">
        <f>HYPERLINK("https://twitter.com/liwaiwaicom","@liwaiwaicom")</f>
        <v>@liwaiwaicom</v>
      </c>
      <c r="C108" s="14" t="s">
        <v>523</v>
      </c>
      <c r="D108" s="14" t="s">
        <v>569</v>
      </c>
      <c r="E108" s="6" t="str">
        <f>HYPERLINK("https://twitter.com/liwaiwaicom/status/1364269928019161090","1364269928019161090")</f>
        <v>1364269928019161090</v>
      </c>
      <c r="F108" s="7" t="s">
        <v>570</v>
      </c>
      <c r="G108" s="8"/>
      <c r="H108" s="8"/>
      <c r="I108" s="14">
        <v>0</v>
      </c>
      <c r="J108" s="14">
        <v>0</v>
      </c>
      <c r="K108" s="6" t="str">
        <f t="shared" si="13"/>
        <v>Twitter Web App</v>
      </c>
      <c r="L108" s="15">
        <v>205</v>
      </c>
      <c r="M108" s="15">
        <v>185</v>
      </c>
      <c r="N108" s="15">
        <v>9</v>
      </c>
      <c r="O108" s="9"/>
      <c r="P108" s="10">
        <v>43586.715312500004</v>
      </c>
      <c r="Q108" s="8"/>
      <c r="R108" s="14" t="s">
        <v>526</v>
      </c>
      <c r="S108" s="7" t="s">
        <v>527</v>
      </c>
      <c r="T108" s="8"/>
      <c r="U108" s="11" t="str">
        <f>HYPERLINK("https://pbs.twimg.com/profile_images/1123618661485252608/jUDPhHbR.png","View")</f>
        <v>View</v>
      </c>
      <c r="V108" s="8"/>
      <c r="W108" s="8"/>
      <c r="X108" s="8"/>
      <c r="Y108" s="8"/>
      <c r="Z108" s="8"/>
    </row>
    <row r="109" spans="1:26" ht="13.2">
      <c r="A109" s="13">
        <v>44250.780601851853</v>
      </c>
      <c r="B109" s="6" t="str">
        <f>HYPERLINK("https://twitter.com/Dailycodinghab1","@Dailycodinghab1")</f>
        <v>@Dailycodinghab1</v>
      </c>
      <c r="C109" s="14" t="s">
        <v>571</v>
      </c>
      <c r="D109" s="14" t="s">
        <v>572</v>
      </c>
      <c r="E109" s="6" t="str">
        <f>HYPERLINK("https://twitter.com/Dailycodinghab1/status/1364269812516552707","1364269812516552707")</f>
        <v>1364269812516552707</v>
      </c>
      <c r="F109" s="8"/>
      <c r="G109" s="7" t="s">
        <v>573</v>
      </c>
      <c r="H109" s="8"/>
      <c r="I109" s="14">
        <v>4</v>
      </c>
      <c r="J109" s="14">
        <v>0</v>
      </c>
      <c r="K109" s="6" t="str">
        <f>HYPERLINK("http://twitter.com/download/android","Twitter for Android")</f>
        <v>Twitter for Android</v>
      </c>
      <c r="L109" s="15">
        <v>177</v>
      </c>
      <c r="M109" s="15">
        <v>753</v>
      </c>
      <c r="N109" s="15">
        <v>4</v>
      </c>
      <c r="O109" s="9"/>
      <c r="P109" s="10">
        <v>44205.800682870366</v>
      </c>
      <c r="Q109" s="14" t="s">
        <v>574</v>
      </c>
      <c r="R109" s="14" t="s">
        <v>575</v>
      </c>
      <c r="S109" s="7" t="s">
        <v>576</v>
      </c>
      <c r="T109" s="8"/>
      <c r="U109" s="11" t="str">
        <f>HYPERLINK("https://pbs.twimg.com/profile_images/1347969853227995136/5CIurECo.jpg","View")</f>
        <v>View</v>
      </c>
      <c r="V109" s="8"/>
      <c r="W109" s="8"/>
      <c r="X109" s="8"/>
      <c r="Y109" s="8"/>
      <c r="Z109" s="8"/>
    </row>
    <row r="110" spans="1:26" ht="13.2">
      <c r="A110" s="13">
        <v>44250.780324074076</v>
      </c>
      <c r="B110" s="6" t="str">
        <f>HYPERLINK("https://twitter.com/mlmemoirs","@mlmemoirs")</f>
        <v>@mlmemoirs</v>
      </c>
      <c r="C110" s="14" t="s">
        <v>577</v>
      </c>
      <c r="D110" s="14" t="s">
        <v>476</v>
      </c>
      <c r="E110" s="6" t="str">
        <f>HYPERLINK("https://twitter.com/mlmemoirs/status/1364269709374484481","1364269709374484481")</f>
        <v>1364269709374484481</v>
      </c>
      <c r="F110" s="7" t="s">
        <v>578</v>
      </c>
      <c r="G110" s="8"/>
      <c r="H110" s="8"/>
      <c r="I110" s="14">
        <v>0</v>
      </c>
      <c r="J110" s="14">
        <v>0</v>
      </c>
      <c r="K110" s="6" t="str">
        <f>HYPERLINK("https://ifttt.com","IFTTT")</f>
        <v>IFTTT</v>
      </c>
      <c r="L110" s="15">
        <v>1674</v>
      </c>
      <c r="M110" s="15">
        <v>2216</v>
      </c>
      <c r="N110" s="15">
        <v>30</v>
      </c>
      <c r="O110" s="9"/>
      <c r="P110" s="10">
        <v>43238.970069444447</v>
      </c>
      <c r="Q110" s="14" t="s">
        <v>478</v>
      </c>
      <c r="R110" s="14" t="s">
        <v>579</v>
      </c>
      <c r="S110" s="8"/>
      <c r="T110" s="8"/>
      <c r="U110" s="11" t="str">
        <f>HYPERLINK("https://pbs.twimg.com/profile_images/1050964116729413637/Q5tLLPAf.jpg","View")</f>
        <v>View</v>
      </c>
      <c r="V110" s="8"/>
      <c r="W110" s="8"/>
      <c r="X110" s="8"/>
      <c r="Y110" s="8"/>
      <c r="Z110" s="8"/>
    </row>
    <row r="111" spans="1:26" ht="13.2">
      <c r="A111" s="13">
        <v>44250.779444444444</v>
      </c>
      <c r="B111" s="6" t="str">
        <f>HYPERLINK("https://twitter.com/DataStorage2","@DataStorage2")</f>
        <v>@DataStorage2</v>
      </c>
      <c r="C111" s="14" t="s">
        <v>580</v>
      </c>
      <c r="D111" s="14" t="s">
        <v>581</v>
      </c>
      <c r="E111" s="6" t="str">
        <f>HYPERLINK("https://twitter.com/DataStorage2/status/1364269389688819713","1364269389688819713")</f>
        <v>1364269389688819713</v>
      </c>
      <c r="F111" s="14" t="s">
        <v>582</v>
      </c>
      <c r="G111" s="8"/>
      <c r="H111" s="8"/>
      <c r="I111" s="14">
        <v>1</v>
      </c>
      <c r="J111" s="14">
        <v>1</v>
      </c>
      <c r="K111" s="6" t="str">
        <f>HYPERLINK("http://twinybots.com","TwinyBots")</f>
        <v>TwinyBots</v>
      </c>
      <c r="L111" s="15">
        <v>263</v>
      </c>
      <c r="M111" s="15">
        <v>1002</v>
      </c>
      <c r="N111" s="15">
        <v>2</v>
      </c>
      <c r="O111" s="9"/>
      <c r="P111" s="10">
        <v>43613.520729166667</v>
      </c>
      <c r="Q111" s="14" t="s">
        <v>583</v>
      </c>
      <c r="R111" s="14" t="s">
        <v>584</v>
      </c>
      <c r="S111" s="7" t="s">
        <v>585</v>
      </c>
      <c r="T111" s="8"/>
      <c r="U111" s="11" t="str">
        <f>HYPERLINK("https://pbs.twimg.com/profile_images/1133319745263079424/Aji5EnJ6.jpg","View")</f>
        <v>View</v>
      </c>
      <c r="V111" s="8"/>
      <c r="W111" s="8"/>
      <c r="X111" s="8"/>
      <c r="Y111" s="8"/>
      <c r="Z111" s="8"/>
    </row>
    <row r="112" spans="1:26" ht="13.2">
      <c r="A112" s="13">
        <v>44250.778715277775</v>
      </c>
      <c r="B112" s="6" t="str">
        <f>HYPERLINK("https://twitter.com/RoyalVoxPost","@RoyalVoxPost")</f>
        <v>@RoyalVoxPost</v>
      </c>
      <c r="C112" s="14" t="s">
        <v>586</v>
      </c>
      <c r="D112" s="14" t="s">
        <v>587</v>
      </c>
      <c r="E112" s="6" t="str">
        <f>HYPERLINK("https://twitter.com/RoyalVoxPost/status/1364269126966005764","1364269126966005764")</f>
        <v>1364269126966005764</v>
      </c>
      <c r="F112" s="7" t="s">
        <v>588</v>
      </c>
      <c r="G112" s="7" t="s">
        <v>589</v>
      </c>
      <c r="H112" s="8"/>
      <c r="I112" s="14">
        <v>1</v>
      </c>
      <c r="J112" s="14">
        <v>0</v>
      </c>
      <c r="K112" s="6" t="str">
        <f>HYPERLINK("https://mobile.twitter.com","Twitter Web App")</f>
        <v>Twitter Web App</v>
      </c>
      <c r="L112" s="15">
        <v>1938</v>
      </c>
      <c r="M112" s="15">
        <v>1582</v>
      </c>
      <c r="N112" s="15">
        <v>630</v>
      </c>
      <c r="O112" s="9"/>
      <c r="P112" s="10">
        <v>42428.268518518518</v>
      </c>
      <c r="Q112" s="14" t="s">
        <v>590</v>
      </c>
      <c r="R112" s="14" t="s">
        <v>591</v>
      </c>
      <c r="S112" s="7" t="s">
        <v>592</v>
      </c>
      <c r="T112" s="8"/>
      <c r="U112" s="11" t="str">
        <f>HYPERLINK("https://pbs.twimg.com/profile_images/1271220489114062851/_36YVf5k.png","View")</f>
        <v>View</v>
      </c>
      <c r="V112" s="8"/>
      <c r="W112" s="8"/>
      <c r="X112" s="8"/>
      <c r="Y112" s="8"/>
      <c r="Z112" s="8"/>
    </row>
    <row r="113" spans="1:26" ht="13.2">
      <c r="A113" s="13">
        <v>44250.77789351852</v>
      </c>
      <c r="B113" s="6" t="str">
        <f>HYPERLINK("https://twitter.com/nigewillson","@nigewillson")</f>
        <v>@nigewillson</v>
      </c>
      <c r="C113" s="14" t="s">
        <v>95</v>
      </c>
      <c r="D113" s="14" t="s">
        <v>593</v>
      </c>
      <c r="E113" s="6" t="str">
        <f>HYPERLINK("https://twitter.com/nigewillson/status/1364268829199790081","1364268829199790081")</f>
        <v>1364268829199790081</v>
      </c>
      <c r="F113" s="7" t="s">
        <v>594</v>
      </c>
      <c r="G113" s="7" t="s">
        <v>595</v>
      </c>
      <c r="H113" s="8"/>
      <c r="I113" s="14">
        <v>3</v>
      </c>
      <c r="J113" s="14">
        <v>3</v>
      </c>
      <c r="K113" s="6" t="str">
        <f>HYPERLINK("https://buffer.com","Buffer")</f>
        <v>Buffer</v>
      </c>
      <c r="L113" s="15">
        <v>57515</v>
      </c>
      <c r="M113" s="15">
        <v>49523</v>
      </c>
      <c r="N113" s="15">
        <v>1688</v>
      </c>
      <c r="O113" s="9"/>
      <c r="P113" s="10">
        <v>40530.666805555556</v>
      </c>
      <c r="Q113" s="14" t="s">
        <v>99</v>
      </c>
      <c r="R113" s="14" t="s">
        <v>100</v>
      </c>
      <c r="S113" s="7" t="s">
        <v>101</v>
      </c>
      <c r="T113" s="8"/>
      <c r="U113" s="11" t="str">
        <f>HYPERLINK("https://pbs.twimg.com/profile_images/1085251590997622784/x9mWVQ1d.jpg","View")</f>
        <v>View</v>
      </c>
      <c r="V113" s="8"/>
      <c r="W113" s="8"/>
      <c r="X113" s="8"/>
      <c r="Y113" s="8"/>
      <c r="Z113" s="8"/>
    </row>
    <row r="114" spans="1:26" ht="13.2">
      <c r="A114" s="13">
        <v>44250.777824074074</v>
      </c>
      <c r="B114" s="6" t="str">
        <f>HYPERLINK("https://twitter.com/BristowColin","@BristowColin")</f>
        <v>@BristowColin</v>
      </c>
      <c r="C114" s="14" t="s">
        <v>596</v>
      </c>
      <c r="D114" s="14" t="s">
        <v>597</v>
      </c>
      <c r="E114" s="6" t="str">
        <f>HYPERLINK("https://twitter.com/BristowColin/status/1364268804801392641","1364268804801392641")</f>
        <v>1364268804801392641</v>
      </c>
      <c r="F114" s="7" t="s">
        <v>598</v>
      </c>
      <c r="G114" s="8"/>
      <c r="H114" s="8"/>
      <c r="I114" s="14">
        <v>11</v>
      </c>
      <c r="J114" s="14">
        <v>3</v>
      </c>
      <c r="K114" s="6" t="str">
        <f>HYPERLINK("http://dynamicsignal.com/","Dynamic Signal")</f>
        <v>Dynamic Signal</v>
      </c>
      <c r="L114" s="15">
        <v>12149</v>
      </c>
      <c r="M114" s="15">
        <v>9707</v>
      </c>
      <c r="N114" s="15">
        <v>155</v>
      </c>
      <c r="O114" s="9"/>
      <c r="P114" s="10">
        <v>40900.478090277778</v>
      </c>
      <c r="Q114" s="14" t="s">
        <v>599</v>
      </c>
      <c r="R114" s="14" t="s">
        <v>600</v>
      </c>
      <c r="S114" s="7" t="s">
        <v>601</v>
      </c>
      <c r="T114" s="8"/>
      <c r="U114" s="11" t="str">
        <f>HYPERLINK("https://pbs.twimg.com/profile_images/692994884270198784/jQX64C1s.jpg","View")</f>
        <v>View</v>
      </c>
      <c r="V114" s="8"/>
      <c r="W114" s="8"/>
      <c r="X114" s="8"/>
      <c r="Y114" s="8"/>
      <c r="Z114" s="8"/>
    </row>
    <row r="115" spans="1:26" ht="13.2">
      <c r="A115" s="13">
        <v>44250.777604166666</v>
      </c>
      <c r="B115" s="6" t="str">
        <f>HYPERLINK("https://twitter.com/jayxanaya","@jayxanaya")</f>
        <v>@jayxanaya</v>
      </c>
      <c r="C115" s="14" t="s">
        <v>602</v>
      </c>
      <c r="D115" s="14" t="s">
        <v>603</v>
      </c>
      <c r="E115" s="6" t="str">
        <f>HYPERLINK("https://twitter.com/jayxanaya/status/1364268726728687620","1364268726728687620")</f>
        <v>1364268726728687620</v>
      </c>
      <c r="F115" s="8"/>
      <c r="G115" s="7" t="s">
        <v>604</v>
      </c>
      <c r="H115" s="8"/>
      <c r="I115" s="14">
        <v>2</v>
      </c>
      <c r="J115" s="14">
        <v>1</v>
      </c>
      <c r="K115" s="6" t="str">
        <f t="shared" ref="K115:K116" si="14">HYPERLINK("https://mobile.twitter.com","Twitter Web App")</f>
        <v>Twitter Web App</v>
      </c>
      <c r="L115" s="15">
        <v>969</v>
      </c>
      <c r="M115" s="15">
        <v>764</v>
      </c>
      <c r="N115" s="15">
        <v>23</v>
      </c>
      <c r="O115" s="9"/>
      <c r="P115" s="10">
        <v>40045.279861111107</v>
      </c>
      <c r="Q115" s="14" t="s">
        <v>191</v>
      </c>
      <c r="R115" s="14" t="s">
        <v>605</v>
      </c>
      <c r="S115" s="7" t="s">
        <v>606</v>
      </c>
      <c r="T115" s="8"/>
      <c r="U115" s="11" t="str">
        <f>HYPERLINK("https://pbs.twimg.com/profile_images/1363494419375263751/wQ5vhzkR.jpg","View")</f>
        <v>View</v>
      </c>
      <c r="V115" s="8"/>
      <c r="W115" s="8"/>
      <c r="X115" s="8"/>
      <c r="Y115" s="8"/>
      <c r="Z115" s="8"/>
    </row>
    <row r="116" spans="1:26" ht="13.2">
      <c r="A116" s="13">
        <v>44250.777141203704</v>
      </c>
      <c r="B116" s="6" t="str">
        <f>HYPERLINK("https://twitter.com/DeepLearn007","@DeepLearn007")</f>
        <v>@DeepLearn007</v>
      </c>
      <c r="C116" s="14" t="s">
        <v>607</v>
      </c>
      <c r="D116" s="14" t="s">
        <v>608</v>
      </c>
      <c r="E116" s="6" t="str">
        <f>HYPERLINK("https://twitter.com/DeepLearn007/status/1364268558923014148","1364268558923014148")</f>
        <v>1364268558923014148</v>
      </c>
      <c r="F116" s="7" t="s">
        <v>543</v>
      </c>
      <c r="G116" s="7" t="s">
        <v>535</v>
      </c>
      <c r="H116" s="8"/>
      <c r="I116" s="14">
        <v>29</v>
      </c>
      <c r="J116" s="14">
        <v>25</v>
      </c>
      <c r="K116" s="6" t="str">
        <f t="shared" si="14"/>
        <v>Twitter Web App</v>
      </c>
      <c r="L116" s="15">
        <v>125437</v>
      </c>
      <c r="M116" s="15">
        <v>118372</v>
      </c>
      <c r="N116" s="15">
        <v>3893</v>
      </c>
      <c r="O116" s="9"/>
      <c r="P116" s="10">
        <v>41175.508946759262</v>
      </c>
      <c r="Q116" s="8"/>
      <c r="R116" s="14" t="s">
        <v>609</v>
      </c>
      <c r="S116" s="7" t="s">
        <v>610</v>
      </c>
      <c r="T116" s="8"/>
      <c r="U116" s="11" t="str">
        <f>HYPERLINK("https://pbs.twimg.com/profile_images/748695622140719104/6j_LVovF.jpg","View")</f>
        <v>View</v>
      </c>
      <c r="V116" s="8"/>
      <c r="W116" s="8"/>
      <c r="X116" s="8"/>
      <c r="Y116" s="8"/>
      <c r="Z116" s="8"/>
    </row>
    <row r="117" spans="1:26" ht="13.2">
      <c r="A117" s="13">
        <v>44250.776585648149</v>
      </c>
      <c r="B117" s="6" t="str">
        <f>HYPERLINK("https://twitter.com/nghtxlite","@nghtxlite")</f>
        <v>@nghtxlite</v>
      </c>
      <c r="C117" s="14" t="s">
        <v>611</v>
      </c>
      <c r="D117" s="14" t="s">
        <v>612</v>
      </c>
      <c r="E117" s="6" t="str">
        <f>HYPERLINK("https://twitter.com/nghtxlite/status/1364268356048723970","1364268356048723970")</f>
        <v>1364268356048723970</v>
      </c>
      <c r="F117" s="8"/>
      <c r="G117" s="8"/>
      <c r="H117" s="8"/>
      <c r="I117" s="14">
        <v>0</v>
      </c>
      <c r="J117" s="14">
        <v>0</v>
      </c>
      <c r="K117" s="6" t="str">
        <f>HYPERLINK("http://twitter.com/download/android","Twitter for Android")</f>
        <v>Twitter for Android</v>
      </c>
      <c r="L117" s="15">
        <v>4</v>
      </c>
      <c r="M117" s="15">
        <v>75</v>
      </c>
      <c r="N117" s="15">
        <v>0</v>
      </c>
      <c r="O117" s="9"/>
      <c r="P117" s="10">
        <v>44248.065868055557</v>
      </c>
      <c r="Q117" s="8"/>
      <c r="R117" s="14" t="s">
        <v>613</v>
      </c>
      <c r="S117" s="8"/>
      <c r="T117" s="8"/>
      <c r="U117" s="11" t="str">
        <f>HYPERLINK("https://pbs.twimg.com/profile_images/1363286313433260034/RjHWSZ4i.jpg","View")</f>
        <v>View</v>
      </c>
      <c r="V117" s="8"/>
      <c r="W117" s="8"/>
      <c r="X117" s="8"/>
      <c r="Y117" s="8"/>
      <c r="Z117" s="8"/>
    </row>
    <row r="118" spans="1:26" ht="13.2">
      <c r="A118" s="13">
        <v>44250.775509259256</v>
      </c>
      <c r="B118" s="6" t="str">
        <f>HYPERLINK("https://twitter.com/h2oai","@h2oai")</f>
        <v>@h2oai</v>
      </c>
      <c r="C118" s="7" t="s">
        <v>614</v>
      </c>
      <c r="D118" s="14" t="s">
        <v>615</v>
      </c>
      <c r="E118" s="6" t="str">
        <f>HYPERLINK("https://twitter.com/h2oai/status/1364267967563841541","1364267967563841541")</f>
        <v>1364267967563841541</v>
      </c>
      <c r="F118" s="7" t="s">
        <v>616</v>
      </c>
      <c r="G118" s="8"/>
      <c r="H118" s="8"/>
      <c r="I118" s="14">
        <v>0</v>
      </c>
      <c r="J118" s="14">
        <v>2</v>
      </c>
      <c r="K118" s="6" t="str">
        <f>HYPERLINK("https://mobile.twitter.com","Twitter Web App")</f>
        <v>Twitter Web App</v>
      </c>
      <c r="L118" s="15">
        <v>21298</v>
      </c>
      <c r="M118" s="15">
        <v>3771</v>
      </c>
      <c r="N118" s="15">
        <v>965</v>
      </c>
      <c r="O118" s="9"/>
      <c r="P118" s="10">
        <v>40942.384039351848</v>
      </c>
      <c r="Q118" s="14" t="s">
        <v>617</v>
      </c>
      <c r="R118" s="14" t="s">
        <v>618</v>
      </c>
      <c r="S118" s="7" t="s">
        <v>619</v>
      </c>
      <c r="T118" s="8"/>
      <c r="U118" s="11" t="str">
        <f>HYPERLINK("https://pbs.twimg.com/profile_images/1024818828809629699/m8X9zY2c.jpg","View")</f>
        <v>View</v>
      </c>
      <c r="V118" s="8"/>
      <c r="W118" s="8"/>
      <c r="X118" s="8"/>
      <c r="Y118" s="8"/>
      <c r="Z118" s="8"/>
    </row>
    <row r="119" spans="1:26" ht="13.2">
      <c r="A119" s="13">
        <v>44250.77516203704</v>
      </c>
      <c r="B119" s="6" t="str">
        <f>HYPERLINK("https://twitter.com/okeee0315","@okeee0315")</f>
        <v>@okeee0315</v>
      </c>
      <c r="C119" s="14" t="s">
        <v>620</v>
      </c>
      <c r="D119" s="14" t="s">
        <v>621</v>
      </c>
      <c r="E119" s="6" t="str">
        <f>HYPERLINK("https://twitter.com/okeee0315/status/1364267839604072449","1364267839604072449")</f>
        <v>1364267839604072449</v>
      </c>
      <c r="F119" s="7" t="s">
        <v>622</v>
      </c>
      <c r="G119" s="8"/>
      <c r="H119" s="8"/>
      <c r="I119" s="14">
        <v>1</v>
      </c>
      <c r="J119" s="14">
        <v>1</v>
      </c>
      <c r="K119" s="6" t="str">
        <f>HYPERLINK("https://ifttt.com","IFTTT")</f>
        <v>IFTTT</v>
      </c>
      <c r="L119" s="15">
        <v>828</v>
      </c>
      <c r="M119" s="15">
        <v>299</v>
      </c>
      <c r="N119" s="15">
        <v>72</v>
      </c>
      <c r="O119" s="9"/>
      <c r="P119" s="10">
        <v>40437.043703703705</v>
      </c>
      <c r="Q119" s="14" t="s">
        <v>623</v>
      </c>
      <c r="R119" s="14" t="s">
        <v>624</v>
      </c>
      <c r="S119" s="8"/>
      <c r="T119" s="8"/>
      <c r="U119" s="11" t="str">
        <f>HYPERLINK("https://pbs.twimg.com/profile_images/638327937788329984/2IXCQIE9.jpg","View")</f>
        <v>View</v>
      </c>
      <c r="V119" s="8"/>
      <c r="W119" s="8"/>
      <c r="X119" s="8"/>
      <c r="Y119" s="8"/>
      <c r="Z119" s="8"/>
    </row>
    <row r="120" spans="1:26" ht="13.2">
      <c r="A120" s="13">
        <v>44250.775092592594</v>
      </c>
      <c r="B120" s="6" t="str">
        <f>HYPERLINK("https://twitter.com/BlackfreeNiken","@BlackfreeNiken")</f>
        <v>@BlackfreeNiken</v>
      </c>
      <c r="C120" s="14" t="s">
        <v>244</v>
      </c>
      <c r="D120" s="14" t="s">
        <v>625</v>
      </c>
      <c r="E120" s="6" t="str">
        <f>HYPERLINK("https://twitter.com/BlackfreeNiken/status/1364267814475816962","1364267814475816962")</f>
        <v>1364267814475816962</v>
      </c>
      <c r="F120" s="7" t="s">
        <v>626</v>
      </c>
      <c r="G120" s="7" t="s">
        <v>627</v>
      </c>
      <c r="H120" s="8"/>
      <c r="I120" s="14">
        <v>10</v>
      </c>
      <c r="J120" s="14">
        <v>1</v>
      </c>
      <c r="K120" s="6" t="str">
        <f>HYPERLINK("https://mobile.twitter.com","Twitter Web App")</f>
        <v>Twitter Web App</v>
      </c>
      <c r="L120" s="15">
        <v>266</v>
      </c>
      <c r="M120" s="15">
        <v>167</v>
      </c>
      <c r="N120" s="15">
        <v>11</v>
      </c>
      <c r="O120" s="9"/>
      <c r="P120" s="10">
        <v>43630.661504629628</v>
      </c>
      <c r="Q120" s="8"/>
      <c r="R120" s="14" t="s">
        <v>248</v>
      </c>
      <c r="S120" s="7" t="s">
        <v>249</v>
      </c>
      <c r="T120" s="8"/>
      <c r="U120" s="11" t="str">
        <f>HYPERLINK("https://pbs.twimg.com/profile_images/1198566533317844997/LJzP5iY7.jpg","View")</f>
        <v>View</v>
      </c>
      <c r="V120" s="8"/>
      <c r="W120" s="8"/>
      <c r="X120" s="8"/>
      <c r="Y120" s="8"/>
      <c r="Z120" s="8"/>
    </row>
    <row r="121" spans="1:26" ht="13.2">
      <c r="A121" s="13">
        <v>44250.774988425925</v>
      </c>
      <c r="B121" s="6" t="str">
        <f>HYPERLINK("https://twitter.com/reveleer","@reveleer")</f>
        <v>@reveleer</v>
      </c>
      <c r="C121" s="14" t="s">
        <v>628</v>
      </c>
      <c r="D121" s="14" t="s">
        <v>629</v>
      </c>
      <c r="E121" s="6" t="str">
        <f>HYPERLINK("https://twitter.com/reveleer/status/1364267778518233090","1364267778518233090")</f>
        <v>1364267778518233090</v>
      </c>
      <c r="F121" s="7" t="s">
        <v>630</v>
      </c>
      <c r="G121" s="7" t="s">
        <v>631</v>
      </c>
      <c r="H121" s="8"/>
      <c r="I121" s="14">
        <v>1</v>
      </c>
      <c r="J121" s="14">
        <v>1</v>
      </c>
      <c r="K121" s="6" t="str">
        <f>HYPERLINK("http://www.hubspot.com/","HubSpot")</f>
        <v>HubSpot</v>
      </c>
      <c r="L121" s="15">
        <v>1780</v>
      </c>
      <c r="M121" s="15">
        <v>2017</v>
      </c>
      <c r="N121" s="15">
        <v>139</v>
      </c>
      <c r="O121" s="9"/>
      <c r="P121" s="10">
        <v>41689.835555555554</v>
      </c>
      <c r="Q121" s="14" t="s">
        <v>632</v>
      </c>
      <c r="R121" s="14" t="s">
        <v>633</v>
      </c>
      <c r="S121" s="7" t="s">
        <v>634</v>
      </c>
      <c r="T121" s="8"/>
      <c r="U121" s="11" t="str">
        <f>HYPERLINK("https://pbs.twimg.com/profile_images/1157033532625182720/xHWIbeXR.jpg","View")</f>
        <v>View</v>
      </c>
      <c r="V121" s="8"/>
      <c r="W121" s="8"/>
      <c r="X121" s="8"/>
      <c r="Y121" s="8"/>
      <c r="Z121" s="8"/>
    </row>
    <row r="122" spans="1:26" ht="13.2">
      <c r="A122" s="13">
        <v>44250.774907407409</v>
      </c>
      <c r="B122" s="6" t="str">
        <f>HYPERLINK("https://twitter.com/KirkDBorne","@KirkDBorne")</f>
        <v>@KirkDBorne</v>
      </c>
      <c r="C122" s="14" t="s">
        <v>127</v>
      </c>
      <c r="D122" s="14" t="s">
        <v>635</v>
      </c>
      <c r="E122" s="6" t="str">
        <f>HYPERLINK("https://twitter.com/KirkDBorne/status/1364267745441898497","1364267745441898497")</f>
        <v>1364267745441898497</v>
      </c>
      <c r="F122" s="14" t="s">
        <v>636</v>
      </c>
      <c r="G122" s="7" t="s">
        <v>637</v>
      </c>
      <c r="H122" s="8"/>
      <c r="I122" s="14">
        <v>3</v>
      </c>
      <c r="J122" s="14">
        <v>3</v>
      </c>
      <c r="K122" s="6" t="str">
        <f>HYPERLINK("https://mobile.twitter.com","Twitter Web App")</f>
        <v>Twitter Web App</v>
      </c>
      <c r="L122" s="15">
        <v>273892</v>
      </c>
      <c r="M122" s="15">
        <v>8969</v>
      </c>
      <c r="N122" s="15">
        <v>8299</v>
      </c>
      <c r="O122" s="15" t="s">
        <v>130</v>
      </c>
      <c r="P122" s="10">
        <v>40991.732835648145</v>
      </c>
      <c r="Q122" s="14" t="s">
        <v>131</v>
      </c>
      <c r="R122" s="14" t="s">
        <v>132</v>
      </c>
      <c r="S122" s="7" t="s">
        <v>133</v>
      </c>
      <c r="T122" s="8"/>
      <c r="U122" s="11" t="str">
        <f>HYPERLINK("https://pbs.twimg.com/profile_images/1112733580948635648/s-8d1avb.jpg","View")</f>
        <v>View</v>
      </c>
      <c r="V122" s="8"/>
      <c r="W122" s="8"/>
      <c r="X122" s="8"/>
      <c r="Y122" s="8"/>
      <c r="Z122" s="8"/>
    </row>
    <row r="123" spans="1:26" ht="13.2">
      <c r="A123" s="13">
        <v>44250.774548611109</v>
      </c>
      <c r="B123" s="6" t="str">
        <f>HYPERLINK("https://twitter.com/MichaelMallari","@MichaelMallari")</f>
        <v>@MichaelMallari</v>
      </c>
      <c r="C123" s="14" t="s">
        <v>638</v>
      </c>
      <c r="D123" s="14" t="s">
        <v>639</v>
      </c>
      <c r="E123" s="6" t="str">
        <f>HYPERLINK("https://twitter.com/MichaelMallari/status/1364267618635550724","1364267618635550724")</f>
        <v>1364267618635550724</v>
      </c>
      <c r="F123" s="14" t="s">
        <v>640</v>
      </c>
      <c r="G123" s="7" t="s">
        <v>641</v>
      </c>
      <c r="H123" s="8"/>
      <c r="I123" s="14">
        <v>0</v>
      </c>
      <c r="J123" s="14">
        <v>0</v>
      </c>
      <c r="K123" s="6" t="str">
        <f>HYPERLINK("https://ifttt.com","IFTTT")</f>
        <v>IFTTT</v>
      </c>
      <c r="L123" s="15">
        <v>323</v>
      </c>
      <c r="M123" s="15">
        <v>877</v>
      </c>
      <c r="N123" s="15">
        <v>31</v>
      </c>
      <c r="O123" s="9"/>
      <c r="P123" s="10">
        <v>39985.855231481481</v>
      </c>
      <c r="Q123" s="14" t="s">
        <v>642</v>
      </c>
      <c r="R123" s="14" t="s">
        <v>643</v>
      </c>
      <c r="S123" s="7" t="s">
        <v>644</v>
      </c>
      <c r="T123" s="8"/>
      <c r="U123" s="11" t="str">
        <f>HYPERLINK("https://pbs.twimg.com/profile_images/1238625460239532032/OJW4jiyV.jpg","View")</f>
        <v>View</v>
      </c>
      <c r="V123" s="8"/>
      <c r="W123" s="8"/>
      <c r="X123" s="8"/>
      <c r="Y123" s="8"/>
      <c r="Z123" s="8"/>
    </row>
    <row r="124" spans="1:26" ht="13.2">
      <c r="A124" s="13">
        <v>44250.774328703701</v>
      </c>
      <c r="B124" s="6" t="str">
        <f>HYPERLINK("https://twitter.com/bigdataconf","@bigdataconf")</f>
        <v>@bigdataconf</v>
      </c>
      <c r="C124" s="14" t="s">
        <v>78</v>
      </c>
      <c r="D124" s="14" t="s">
        <v>645</v>
      </c>
      <c r="E124" s="6" t="str">
        <f>HYPERLINK("https://twitter.com/bigdataconf/status/1364267539459694602","1364267539459694602")</f>
        <v>1364267539459694602</v>
      </c>
      <c r="F124" s="7" t="s">
        <v>646</v>
      </c>
      <c r="G124" s="8"/>
      <c r="H124" s="8"/>
      <c r="I124" s="14">
        <v>3</v>
      </c>
      <c r="J124" s="14">
        <v>1</v>
      </c>
      <c r="K124" s="6" t="str">
        <f>HYPERLINK("https://buffer.com","Buffer")</f>
        <v>Buffer</v>
      </c>
      <c r="L124" s="15">
        <v>6752</v>
      </c>
      <c r="M124" s="15">
        <v>4333</v>
      </c>
      <c r="N124" s="15">
        <v>1236</v>
      </c>
      <c r="O124" s="9"/>
      <c r="P124" s="10">
        <v>41238.332962962959</v>
      </c>
      <c r="Q124" s="14" t="s">
        <v>81</v>
      </c>
      <c r="R124" s="14" t="s">
        <v>82</v>
      </c>
      <c r="S124" s="7" t="s">
        <v>83</v>
      </c>
      <c r="T124" s="8"/>
      <c r="U124" s="11" t="str">
        <f>HYPERLINK("https://pbs.twimg.com/profile_images/1347252050757709824/mnYHBPAA.jpg","View")</f>
        <v>View</v>
      </c>
      <c r="V124" s="8"/>
      <c r="W124" s="8"/>
      <c r="X124" s="8"/>
      <c r="Y124" s="8"/>
      <c r="Z124" s="8"/>
    </row>
    <row r="125" spans="1:26" ht="13.2">
      <c r="A125" s="13">
        <v>44250.774328703701</v>
      </c>
      <c r="B125" s="6" t="str">
        <f>HYPERLINK("https://twitter.com/techtrendworld","@techtrendworld")</f>
        <v>@techtrendworld</v>
      </c>
      <c r="C125" s="14" t="s">
        <v>647</v>
      </c>
      <c r="D125" s="14" t="s">
        <v>648</v>
      </c>
      <c r="E125" s="6" t="str">
        <f>HYPERLINK("https://twitter.com/techtrendworld/status/1364267538146811908","1364267538146811908")</f>
        <v>1364267538146811908</v>
      </c>
      <c r="F125" s="7" t="s">
        <v>649</v>
      </c>
      <c r="G125" s="8"/>
      <c r="H125" s="8"/>
      <c r="I125" s="14">
        <v>1</v>
      </c>
      <c r="J125" s="14">
        <v>0</v>
      </c>
      <c r="K125" s="6" t="str">
        <f>HYPERLINK("https://www.hootsuite.com","Hootsuite Inc.")</f>
        <v>Hootsuite Inc.</v>
      </c>
      <c r="L125" s="15">
        <v>68</v>
      </c>
      <c r="M125" s="15">
        <v>226</v>
      </c>
      <c r="N125" s="15">
        <v>0</v>
      </c>
      <c r="O125" s="9"/>
      <c r="P125" s="10">
        <v>44089.734456018516</v>
      </c>
      <c r="Q125" s="14" t="s">
        <v>650</v>
      </c>
      <c r="R125" s="14" t="s">
        <v>651</v>
      </c>
      <c r="S125" s="7" t="s">
        <v>652</v>
      </c>
      <c r="T125" s="8"/>
      <c r="U125" s="11" t="str">
        <f>HYPERLINK("https://pbs.twimg.com/profile_images/1305893898217123840/zny1CZdf.jpg","View")</f>
        <v>View</v>
      </c>
      <c r="V125" s="8"/>
      <c r="W125" s="8"/>
      <c r="X125" s="8"/>
      <c r="Y125" s="8"/>
      <c r="Z125" s="8"/>
    </row>
    <row r="126" spans="1:26" ht="13.2">
      <c r="A126" s="13">
        <v>44250.774328703701</v>
      </c>
      <c r="B126" s="6" t="str">
        <f>HYPERLINK("https://twitter.com/nigewillson","@nigewillson")</f>
        <v>@nigewillson</v>
      </c>
      <c r="C126" s="14" t="s">
        <v>95</v>
      </c>
      <c r="D126" s="14" t="s">
        <v>653</v>
      </c>
      <c r="E126" s="6" t="str">
        <f>HYPERLINK("https://twitter.com/nigewillson/status/1364267537668702208","1364267537668702208")</f>
        <v>1364267537668702208</v>
      </c>
      <c r="F126" s="7" t="s">
        <v>654</v>
      </c>
      <c r="G126" s="7" t="s">
        <v>655</v>
      </c>
      <c r="H126" s="8"/>
      <c r="I126" s="14">
        <v>2</v>
      </c>
      <c r="J126" s="14">
        <v>1</v>
      </c>
      <c r="K126" s="6" t="str">
        <f>HYPERLINK("https://buffer.com","Buffer")</f>
        <v>Buffer</v>
      </c>
      <c r="L126" s="15">
        <v>57515</v>
      </c>
      <c r="M126" s="15">
        <v>49523</v>
      </c>
      <c r="N126" s="15">
        <v>1688</v>
      </c>
      <c r="O126" s="9"/>
      <c r="P126" s="10">
        <v>40530.666805555556</v>
      </c>
      <c r="Q126" s="14" t="s">
        <v>99</v>
      </c>
      <c r="R126" s="14" t="s">
        <v>100</v>
      </c>
      <c r="S126" s="7" t="s">
        <v>101</v>
      </c>
      <c r="T126" s="8"/>
      <c r="U126" s="11" t="str">
        <f>HYPERLINK("https://pbs.twimg.com/profile_images/1085251590997622784/x9mWVQ1d.jpg","View")</f>
        <v>View</v>
      </c>
      <c r="V126" s="8"/>
      <c r="W126" s="8"/>
      <c r="X126" s="8"/>
      <c r="Y126" s="8"/>
      <c r="Z126" s="8"/>
    </row>
    <row r="127" spans="1:26" ht="13.2">
      <c r="A127" s="13">
        <v>44250.774305555555</v>
      </c>
      <c r="B127" s="6" t="str">
        <f>HYPERLINK("https://twitter.com/SSI_Innovations","@SSI_Innovations")</f>
        <v>@SSI_Innovations</v>
      </c>
      <c r="C127" s="14" t="s">
        <v>656</v>
      </c>
      <c r="D127" s="14" t="s">
        <v>657</v>
      </c>
      <c r="E127" s="6" t="str">
        <f>HYPERLINK("https://twitter.com/SSI_Innovations/status/1364267528449650688","1364267528449650688")</f>
        <v>1364267528449650688</v>
      </c>
      <c r="F127" s="7" t="s">
        <v>658</v>
      </c>
      <c r="G127" s="7" t="s">
        <v>659</v>
      </c>
      <c r="H127" s="8"/>
      <c r="I127" s="14">
        <v>4</v>
      </c>
      <c r="J127" s="14">
        <v>3</v>
      </c>
      <c r="K127" s="6" t="str">
        <f>HYPERLINK("https://about.twitter.com/products/tweetdeck","TweetDeck")</f>
        <v>TweetDeck</v>
      </c>
      <c r="L127" s="15">
        <v>4449</v>
      </c>
      <c r="M127" s="15">
        <v>5002</v>
      </c>
      <c r="N127" s="15">
        <v>270</v>
      </c>
      <c r="O127" s="9"/>
      <c r="P127" s="10">
        <v>42264.36791666667</v>
      </c>
      <c r="Q127" s="14" t="s">
        <v>660</v>
      </c>
      <c r="R127" s="14" t="s">
        <v>661</v>
      </c>
      <c r="S127" s="7" t="s">
        <v>662</v>
      </c>
      <c r="T127" s="8"/>
      <c r="U127" s="11" t="str">
        <f>HYPERLINK("https://pbs.twimg.com/profile_images/649205321848631296/u39Qrzjg.jpg","View")</f>
        <v>View</v>
      </c>
      <c r="V127" s="8"/>
      <c r="W127" s="8"/>
      <c r="X127" s="8"/>
      <c r="Y127" s="8"/>
      <c r="Z127" s="8"/>
    </row>
    <row r="128" spans="1:26" ht="13.2">
      <c r="A128" s="13">
        <v>44250.773692129631</v>
      </c>
      <c r="B128" s="6" t="str">
        <f>HYPERLINK("https://twitter.com/DrSCoffin","@DrSCoffin")</f>
        <v>@DrSCoffin</v>
      </c>
      <c r="C128" s="14" t="s">
        <v>663</v>
      </c>
      <c r="D128" s="14" t="s">
        <v>664</v>
      </c>
      <c r="E128" s="6" t="str">
        <f>HYPERLINK("https://twitter.com/DrSCoffin/status/1364267306914775042","1364267306914775042")</f>
        <v>1364267306914775042</v>
      </c>
      <c r="F128" s="7" t="s">
        <v>665</v>
      </c>
      <c r="G128" s="8"/>
      <c r="H128" s="8"/>
      <c r="I128" s="14">
        <v>3</v>
      </c>
      <c r="J128" s="14">
        <v>4</v>
      </c>
      <c r="K128" s="6" t="str">
        <f>HYPERLINK("https://mobile.twitter.com","Twitter Web App")</f>
        <v>Twitter Web App</v>
      </c>
      <c r="L128" s="15">
        <v>1193</v>
      </c>
      <c r="M128" s="15">
        <v>812</v>
      </c>
      <c r="N128" s="15">
        <v>15</v>
      </c>
      <c r="O128" s="9"/>
      <c r="P128" s="10">
        <v>43402.501168981486</v>
      </c>
      <c r="Q128" s="14" t="s">
        <v>666</v>
      </c>
      <c r="R128" s="14" t="s">
        <v>667</v>
      </c>
      <c r="S128" s="7" t="s">
        <v>668</v>
      </c>
      <c r="T128" s="8"/>
      <c r="U128" s="11" t="str">
        <f>HYPERLINK("https://pbs.twimg.com/profile_images/1319119421965701122/zPS-RKmV.jpg","View")</f>
        <v>View</v>
      </c>
      <c r="V128" s="8"/>
      <c r="W128" s="8"/>
      <c r="X128" s="8"/>
      <c r="Y128" s="8"/>
      <c r="Z128" s="8"/>
    </row>
    <row r="129" spans="1:26" ht="13.2">
      <c r="A129" s="13">
        <v>44250.773622685185</v>
      </c>
      <c r="B129" s="6" t="str">
        <f>HYPERLINK("https://twitter.com/future_of_AI","@future_of_AI")</f>
        <v>@future_of_AI</v>
      </c>
      <c r="C129" s="14" t="s">
        <v>284</v>
      </c>
      <c r="D129" s="14" t="s">
        <v>669</v>
      </c>
      <c r="E129" s="6" t="str">
        <f>HYPERLINK("https://twitter.com/future_of_AI/status/1364267281048604677","1364267281048604677")</f>
        <v>1364267281048604677</v>
      </c>
      <c r="F129" s="7" t="s">
        <v>670</v>
      </c>
      <c r="G129" s="8"/>
      <c r="H129" s="8"/>
      <c r="I129" s="14">
        <v>1</v>
      </c>
      <c r="J129" s="14">
        <v>1</v>
      </c>
      <c r="K129" s="6" t="str">
        <f>HYPERLINK("https://buffer.com","Buffer")</f>
        <v>Buffer</v>
      </c>
      <c r="L129" s="15">
        <v>2893</v>
      </c>
      <c r="M129" s="15">
        <v>1348</v>
      </c>
      <c r="N129" s="15">
        <v>130</v>
      </c>
      <c r="O129" s="9"/>
      <c r="P129" s="10">
        <v>42816.80840277778</v>
      </c>
      <c r="Q129" s="8"/>
      <c r="R129" s="14" t="s">
        <v>287</v>
      </c>
      <c r="S129" s="7" t="s">
        <v>288</v>
      </c>
      <c r="T129" s="8"/>
      <c r="U129" s="11" t="str">
        <f>HYPERLINK("https://pbs.twimg.com/profile_images/1047866034970140673/ZBhSks16.jpg","View")</f>
        <v>View</v>
      </c>
      <c r="V129" s="8"/>
      <c r="W129" s="8"/>
      <c r="X129" s="8"/>
      <c r="Y129" s="8"/>
      <c r="Z129" s="8"/>
    </row>
    <row r="130" spans="1:26" ht="13.2">
      <c r="A130" s="13">
        <v>44250.773611111115</v>
      </c>
      <c r="B130" s="6" t="str">
        <f>HYPERLINK("https://twitter.com/LaughlinPaul","@LaughlinPaul")</f>
        <v>@LaughlinPaul</v>
      </c>
      <c r="C130" s="14" t="s">
        <v>671</v>
      </c>
      <c r="D130" s="14" t="s">
        <v>672</v>
      </c>
      <c r="E130" s="6" t="str">
        <f>HYPERLINK("https://twitter.com/LaughlinPaul/status/1364267277261152256","1364267277261152256")</f>
        <v>1364267277261152256</v>
      </c>
      <c r="F130" s="7" t="s">
        <v>673</v>
      </c>
      <c r="G130" s="8"/>
      <c r="H130" s="8"/>
      <c r="I130" s="14">
        <v>1</v>
      </c>
      <c r="J130" s="14">
        <v>0</v>
      </c>
      <c r="K130" s="6" t="str">
        <f>HYPERLINK("https://socialbee.io/","SocialBee.io v2")</f>
        <v>SocialBee.io v2</v>
      </c>
      <c r="L130" s="15">
        <v>1511</v>
      </c>
      <c r="M130" s="15">
        <v>976</v>
      </c>
      <c r="N130" s="15">
        <v>0</v>
      </c>
      <c r="O130" s="9"/>
      <c r="P130" s="10">
        <v>41029.808622685188</v>
      </c>
      <c r="Q130" s="14" t="s">
        <v>674</v>
      </c>
      <c r="R130" s="14" t="s">
        <v>675</v>
      </c>
      <c r="S130" s="7" t="s">
        <v>676</v>
      </c>
      <c r="T130" s="8"/>
      <c r="U130" s="11" t="str">
        <f>HYPERLINK("https://pbs.twimg.com/profile_images/1362006321550270466/EPMxohH3.jpg","View")</f>
        <v>View</v>
      </c>
      <c r="V130" s="8"/>
      <c r="W130" s="8"/>
      <c r="X130" s="8"/>
      <c r="Y130" s="8"/>
      <c r="Z130" s="8"/>
    </row>
    <row r="131" spans="1:26" ht="13.2">
      <c r="A131" s="13">
        <v>44250.773217592592</v>
      </c>
      <c r="B131" s="6" t="str">
        <f>HYPERLINK("https://twitter.com/GannyMcGANFace","@GannyMcGANFace")</f>
        <v>@GannyMcGANFace</v>
      </c>
      <c r="C131" s="14" t="s">
        <v>677</v>
      </c>
      <c r="D131" s="14" t="s">
        <v>678</v>
      </c>
      <c r="E131" s="6" t="str">
        <f>HYPERLINK("https://twitter.com/GannyMcGANFace/status/1364267135514660865","1364267135514660865")</f>
        <v>1364267135514660865</v>
      </c>
      <c r="F131" s="8"/>
      <c r="G131" s="7" t="s">
        <v>679</v>
      </c>
      <c r="H131" s="8"/>
      <c r="I131" s="14">
        <v>0</v>
      </c>
      <c r="J131" s="14">
        <v>0</v>
      </c>
      <c r="K131" s="6" t="str">
        <f>HYPERLINK("https://cheapbotsdonequick.com","Cheap Bots, Done Quick!")</f>
        <v>Cheap Bots, Done Quick!</v>
      </c>
      <c r="L131" s="15">
        <v>109</v>
      </c>
      <c r="M131" s="15">
        <v>241</v>
      </c>
      <c r="N131" s="15">
        <v>1</v>
      </c>
      <c r="O131" s="9"/>
      <c r="P131" s="10">
        <v>42779.006909722222</v>
      </c>
      <c r="Q131" s="8"/>
      <c r="R131" s="14" t="s">
        <v>680</v>
      </c>
      <c r="S131" s="8"/>
      <c r="T131" s="8"/>
      <c r="U131" s="11" t="str">
        <f>HYPERLINK("https://pbs.twimg.com/profile_images/1323328546505428994/-DcHTlvo.png","View")</f>
        <v>View</v>
      </c>
      <c r="V131" s="8"/>
      <c r="W131" s="8"/>
      <c r="X131" s="8"/>
      <c r="Y131" s="8"/>
      <c r="Z131" s="8"/>
    </row>
    <row r="132" spans="1:26" ht="13.2">
      <c r="A132" s="13">
        <v>44250.772974537038</v>
      </c>
      <c r="B132" s="6" t="str">
        <f>HYPERLINK("https://twitter.com/lopezunwired","@lopezunwired")</f>
        <v>@lopezunwired</v>
      </c>
      <c r="C132" s="14" t="s">
        <v>224</v>
      </c>
      <c r="D132" s="14" t="s">
        <v>681</v>
      </c>
      <c r="E132" s="6" t="str">
        <f>HYPERLINK("https://twitter.com/lopezunwired/status/1364267045810921472","1364267045810921472")</f>
        <v>1364267045810921472</v>
      </c>
      <c r="F132" s="7" t="s">
        <v>682</v>
      </c>
      <c r="G132" s="7" t="s">
        <v>683</v>
      </c>
      <c r="H132" s="8"/>
      <c r="I132" s="14">
        <v>1</v>
      </c>
      <c r="J132" s="14">
        <v>0</v>
      </c>
      <c r="K132" s="6" t="str">
        <f>HYPERLINK("https://dlvrit.com/","dlvr.it")</f>
        <v>dlvr.it</v>
      </c>
      <c r="L132" s="15">
        <v>1803</v>
      </c>
      <c r="M132" s="15">
        <v>800</v>
      </c>
      <c r="N132" s="15">
        <v>586</v>
      </c>
      <c r="O132" s="9"/>
      <c r="P132" s="10">
        <v>39831.947152777779</v>
      </c>
      <c r="Q132" s="14" t="s">
        <v>228</v>
      </c>
      <c r="R132" s="14" t="s">
        <v>229</v>
      </c>
      <c r="S132" s="7" t="s">
        <v>230</v>
      </c>
      <c r="T132" s="8"/>
      <c r="U132" s="11" t="str">
        <f>HYPERLINK("https://pbs.twimg.com/profile_images/3326137784/c6c1c2570fc7b9711dd8de812b996a66.jpeg","View")</f>
        <v>View</v>
      </c>
      <c r="V132" s="8"/>
      <c r="W132" s="8"/>
      <c r="X132" s="8"/>
      <c r="Y132" s="8"/>
      <c r="Z132" s="8"/>
    </row>
    <row r="133" spans="1:26" ht="13.2">
      <c r="A133" s="13">
        <v>44250.772627314815</v>
      </c>
      <c r="B133" s="6" t="str">
        <f>HYPERLINK("https://twitter.com/howtolearnmach1","@howtolearnmach1")</f>
        <v>@howtolearnmach1</v>
      </c>
      <c r="C133" s="14" t="s">
        <v>684</v>
      </c>
      <c r="D133" s="14" t="s">
        <v>685</v>
      </c>
      <c r="E133" s="6" t="str">
        <f>HYPERLINK("https://twitter.com/howtolearnmach1/status/1364266919621230596","1364266919621230596")</f>
        <v>1364266919621230596</v>
      </c>
      <c r="F133" s="7" t="s">
        <v>686</v>
      </c>
      <c r="G133" s="8"/>
      <c r="H133" s="8"/>
      <c r="I133" s="14">
        <v>2</v>
      </c>
      <c r="J133" s="14">
        <v>3</v>
      </c>
      <c r="K133" s="6" t="str">
        <f>HYPERLINK("https://mobile.twitter.com","Twitter Web App")</f>
        <v>Twitter Web App</v>
      </c>
      <c r="L133" s="15">
        <v>217</v>
      </c>
      <c r="M133" s="15">
        <v>634</v>
      </c>
      <c r="N133" s="15">
        <v>1</v>
      </c>
      <c r="O133" s="9"/>
      <c r="P133" s="10">
        <v>43976.619733796295</v>
      </c>
      <c r="Q133" s="8"/>
      <c r="R133" s="14" t="s">
        <v>687</v>
      </c>
      <c r="S133" s="7" t="s">
        <v>688</v>
      </c>
      <c r="T133" s="8"/>
      <c r="U133" s="11" t="str">
        <f>HYPERLINK("https://pbs.twimg.com/profile_images/1264902877509750784/oW0bCHcS.jpg","View")</f>
        <v>View</v>
      </c>
      <c r="V133" s="8"/>
      <c r="W133" s="8"/>
      <c r="X133" s="8"/>
      <c r="Y133" s="8"/>
      <c r="Z133" s="8"/>
    </row>
    <row r="134" spans="1:26" ht="13.2">
      <c r="A134" s="13">
        <v>44250.772268518514</v>
      </c>
      <c r="B134" s="6" t="str">
        <f>HYPERLINK("https://twitter.com/ipfconline1","@ipfconline1")</f>
        <v>@ipfconline1</v>
      </c>
      <c r="C134" s="14" t="s">
        <v>65</v>
      </c>
      <c r="D134" s="14" t="s">
        <v>689</v>
      </c>
      <c r="E134" s="6" t="str">
        <f>HYPERLINK("https://twitter.com/ipfconline1/status/1364266789748760578","1364266789748760578")</f>
        <v>1364266789748760578</v>
      </c>
      <c r="F134" s="7" t="s">
        <v>690</v>
      </c>
      <c r="G134" s="7" t="s">
        <v>691</v>
      </c>
      <c r="H134" s="8"/>
      <c r="I134" s="14">
        <v>15</v>
      </c>
      <c r="J134" s="14">
        <v>13</v>
      </c>
      <c r="K134" s="6" t="str">
        <f>HYPERLINK("https://twittimer.com","Twittimer")</f>
        <v>Twittimer</v>
      </c>
      <c r="L134" s="15">
        <v>112675</v>
      </c>
      <c r="M134" s="15">
        <v>107162</v>
      </c>
      <c r="N134" s="15">
        <v>7806</v>
      </c>
      <c r="O134" s="9"/>
      <c r="P134" s="10">
        <v>42433.031967592593</v>
      </c>
      <c r="Q134" s="14" t="s">
        <v>69</v>
      </c>
      <c r="R134" s="14" t="s">
        <v>70</v>
      </c>
      <c r="S134" s="7" t="s">
        <v>71</v>
      </c>
      <c r="T134" s="8"/>
      <c r="U134" s="11" t="str">
        <f>HYPERLINK("https://pbs.twimg.com/profile_images/729065804004769793/St2_Pum9.jpg","View")</f>
        <v>View</v>
      </c>
      <c r="V134" s="8"/>
      <c r="W134" s="8"/>
      <c r="X134" s="8"/>
      <c r="Y134" s="8"/>
      <c r="Z134" s="8"/>
    </row>
    <row r="135" spans="1:26" ht="13.2">
      <c r="A135" s="13">
        <v>44250.772268518514</v>
      </c>
      <c r="B135" s="6" t="str">
        <f>HYPERLINK("https://twitter.com/Jack_Xin_Ge","@Jack_Xin_Ge")</f>
        <v>@Jack_Xin_Ge</v>
      </c>
      <c r="C135" s="14" t="s">
        <v>692</v>
      </c>
      <c r="D135" s="14" t="s">
        <v>693</v>
      </c>
      <c r="E135" s="6" t="str">
        <f>HYPERLINK("https://twitter.com/Jack_Xin_Ge/status/1364266789211930631","1364266789211930631")</f>
        <v>1364266789211930631</v>
      </c>
      <c r="F135" s="7" t="s">
        <v>694</v>
      </c>
      <c r="G135" s="7" t="s">
        <v>695</v>
      </c>
      <c r="H135" s="8"/>
      <c r="I135" s="14">
        <v>0</v>
      </c>
      <c r="J135" s="14">
        <v>0</v>
      </c>
      <c r="K135" s="6" t="str">
        <f>HYPERLINK("https://mobile.twitter.com","Twitter Web App")</f>
        <v>Twitter Web App</v>
      </c>
      <c r="L135" s="15">
        <v>26</v>
      </c>
      <c r="M135" s="15">
        <v>250</v>
      </c>
      <c r="N135" s="15">
        <v>0</v>
      </c>
      <c r="O135" s="9"/>
      <c r="P135" s="10">
        <v>42542.04886574074</v>
      </c>
      <c r="Q135" s="14" t="s">
        <v>696</v>
      </c>
      <c r="R135" s="14" t="s">
        <v>697</v>
      </c>
      <c r="S135" s="8"/>
      <c r="T135" s="8"/>
      <c r="U135" s="11" t="str">
        <f>HYPERLINK("https://pbs.twimg.com/profile_images/1186154716155142145/7jvF0_35.png","View")</f>
        <v>View</v>
      </c>
      <c r="V135" s="8"/>
      <c r="W135" s="8"/>
      <c r="X135" s="8"/>
      <c r="Y135" s="8"/>
      <c r="Z135" s="8"/>
    </row>
    <row r="136" spans="1:26" ht="13.2">
      <c r="A136" s="13">
        <v>44250.771747685183</v>
      </c>
      <c r="B136" s="6" t="str">
        <f>HYPERLINK("https://twitter.com/Akshita_archer","@Akshita_archer")</f>
        <v>@Akshita_archer</v>
      </c>
      <c r="C136" s="14" t="s">
        <v>698</v>
      </c>
      <c r="D136" s="14" t="s">
        <v>699</v>
      </c>
      <c r="E136" s="6" t="str">
        <f>HYPERLINK("https://twitter.com/Akshita_archer/status/1364266600396853250","1364266600396853250")</f>
        <v>1364266600396853250</v>
      </c>
      <c r="F136" s="7" t="s">
        <v>700</v>
      </c>
      <c r="G136" s="7" t="s">
        <v>701</v>
      </c>
      <c r="H136" s="8"/>
      <c r="I136" s="14">
        <v>18</v>
      </c>
      <c r="J136" s="14">
        <v>4</v>
      </c>
      <c r="K136" s="6" t="str">
        <f>HYPERLINK("http://twitter.com/download/android","Twitter for Android")</f>
        <v>Twitter for Android</v>
      </c>
      <c r="L136" s="15">
        <v>235</v>
      </c>
      <c r="M136" s="15">
        <v>8</v>
      </c>
      <c r="N136" s="15">
        <v>3</v>
      </c>
      <c r="O136" s="9"/>
      <c r="P136" s="10">
        <v>43746.745127314818</v>
      </c>
      <c r="Q136" s="8"/>
      <c r="R136" s="14" t="s">
        <v>702</v>
      </c>
      <c r="S136" s="7" t="s">
        <v>700</v>
      </c>
      <c r="T136" s="8"/>
      <c r="U136" s="11" t="str">
        <f>HYPERLINK("https://pbs.twimg.com/profile_images/1293573075598848000/46NjJT52.jpg","View")</f>
        <v>View</v>
      </c>
      <c r="V136" s="8"/>
      <c r="W136" s="8"/>
      <c r="X136" s="8"/>
      <c r="Y136" s="8"/>
      <c r="Z136" s="8"/>
    </row>
    <row r="137" spans="1:26" ht="13.2">
      <c r="A137" s="13">
        <v>44250.771203703705</v>
      </c>
      <c r="B137" s="6" t="str">
        <f>HYPERLINK("https://twitter.com/asifrazzaq1988","@asifrazzaq1988")</f>
        <v>@asifrazzaq1988</v>
      </c>
      <c r="C137" s="14" t="s">
        <v>53</v>
      </c>
      <c r="D137" s="14" t="s">
        <v>703</v>
      </c>
      <c r="E137" s="6" t="str">
        <f>HYPERLINK("https://twitter.com/asifrazzaq1988/status/1364266404094992385","1364266404094992385")</f>
        <v>1364266404094992385</v>
      </c>
      <c r="F137" s="7" t="s">
        <v>704</v>
      </c>
      <c r="G137" s="8"/>
      <c r="H137" s="8"/>
      <c r="I137" s="14">
        <v>2</v>
      </c>
      <c r="J137" s="14">
        <v>0</v>
      </c>
      <c r="K137" s="6" t="str">
        <f>HYPERLINK("https://dlvrit.com/","dlvr.it")</f>
        <v>dlvr.it</v>
      </c>
      <c r="L137" s="15">
        <v>5022</v>
      </c>
      <c r="M137" s="15">
        <v>3191</v>
      </c>
      <c r="N137" s="15">
        <v>77</v>
      </c>
      <c r="O137" s="9"/>
      <c r="P137" s="10">
        <v>42237.408136574071</v>
      </c>
      <c r="Q137" s="14" t="s">
        <v>56</v>
      </c>
      <c r="R137" s="14" t="s">
        <v>57</v>
      </c>
      <c r="S137" s="7" t="s">
        <v>58</v>
      </c>
      <c r="T137" s="8"/>
      <c r="U137" s="11" t="str">
        <f>HYPERLINK("https://pbs.twimg.com/profile_images/1329326638589382657/lE7wr_tF.jpg","View")</f>
        <v>View</v>
      </c>
      <c r="V137" s="8"/>
      <c r="W137" s="8"/>
      <c r="X137" s="8"/>
      <c r="Y137" s="8"/>
      <c r="Z137" s="8"/>
    </row>
    <row r="138" spans="1:26" ht="13.2">
      <c r="A138" s="13">
        <v>44250.771168981482</v>
      </c>
      <c r="B138" s="6" t="str">
        <f>HYPERLINK("https://twitter.com/Temnography","@Temnography")</f>
        <v>@Temnography</v>
      </c>
      <c r="C138" s="14" t="s">
        <v>705</v>
      </c>
      <c r="D138" s="14" t="s">
        <v>706</v>
      </c>
      <c r="E138" s="6" t="str">
        <f>HYPERLINK("https://twitter.com/Temnography/status/1364266392862789640","1364266392862789640")</f>
        <v>1364266392862789640</v>
      </c>
      <c r="F138" s="8"/>
      <c r="G138" s="7" t="s">
        <v>707</v>
      </c>
      <c r="H138" s="8"/>
      <c r="I138" s="14">
        <v>1</v>
      </c>
      <c r="J138" s="14">
        <v>3</v>
      </c>
      <c r="K138" s="6" t="str">
        <f>HYPERLINK("https://buffer.com","Buffer")</f>
        <v>Buffer</v>
      </c>
      <c r="L138" s="15">
        <v>76</v>
      </c>
      <c r="M138" s="15">
        <v>7</v>
      </c>
      <c r="N138" s="15">
        <v>2</v>
      </c>
      <c r="O138" s="9"/>
      <c r="P138" s="10">
        <v>43818.596643518518</v>
      </c>
      <c r="Q138" s="8"/>
      <c r="R138" s="14" t="s">
        <v>708</v>
      </c>
      <c r="S138" s="8"/>
      <c r="T138" s="8"/>
      <c r="U138" s="11" t="str">
        <f>HYPERLINK("https://pbs.twimg.com/profile_images/1207652265567412225/KnkFQ7vh.jpg","View")</f>
        <v>View</v>
      </c>
      <c r="V138" s="8"/>
      <c r="W138" s="8"/>
      <c r="X138" s="8"/>
      <c r="Y138" s="8"/>
      <c r="Z138" s="8"/>
    </row>
    <row r="139" spans="1:26" ht="13.2">
      <c r="A139" s="13">
        <v>44250.771018518513</v>
      </c>
      <c r="B139" s="6" t="str">
        <f>HYPERLINK("https://twitter.com/CrossmindsAI","@CrossmindsAI")</f>
        <v>@CrossmindsAI</v>
      </c>
      <c r="C139" s="7" t="s">
        <v>709</v>
      </c>
      <c r="D139" s="14" t="s">
        <v>710</v>
      </c>
      <c r="E139" s="6" t="str">
        <f>HYPERLINK("https://twitter.com/CrossmindsAI/status/1364266338483601415","1364266338483601415")</f>
        <v>1364266338483601415</v>
      </c>
      <c r="F139" s="7" t="s">
        <v>711</v>
      </c>
      <c r="G139" s="8"/>
      <c r="H139" s="8"/>
      <c r="I139" s="14">
        <v>1</v>
      </c>
      <c r="J139" s="14">
        <v>0</v>
      </c>
      <c r="K139" s="6" t="str">
        <f>HYPERLINK("https://www.hootsuite.com","Hootsuite Inc.")</f>
        <v>Hootsuite Inc.</v>
      </c>
      <c r="L139" s="15">
        <v>211</v>
      </c>
      <c r="M139" s="15">
        <v>283</v>
      </c>
      <c r="N139" s="15">
        <v>1</v>
      </c>
      <c r="O139" s="9"/>
      <c r="P139" s="10">
        <v>43970.37981481482</v>
      </c>
      <c r="Q139" s="14" t="s">
        <v>712</v>
      </c>
      <c r="R139" s="14" t="s">
        <v>713</v>
      </c>
      <c r="S139" s="7" t="s">
        <v>714</v>
      </c>
      <c r="T139" s="8"/>
      <c r="U139" s="11" t="str">
        <f>HYPERLINK("https://pbs.twimg.com/profile_images/1321863960157515777/B2LPg0xn.png","View")</f>
        <v>View</v>
      </c>
      <c r="V139" s="8"/>
      <c r="W139" s="8"/>
      <c r="X139" s="8"/>
      <c r="Y139" s="8"/>
      <c r="Z139" s="8"/>
    </row>
    <row r="140" spans="1:26" ht="13.2">
      <c r="A140" s="13">
        <v>44250.770960648151</v>
      </c>
      <c r="B140" s="6" t="str">
        <f>HYPERLINK("https://twitter.com/Akshita_archer","@Akshita_archer")</f>
        <v>@Akshita_archer</v>
      </c>
      <c r="C140" s="14" t="s">
        <v>698</v>
      </c>
      <c r="D140" s="14" t="s">
        <v>715</v>
      </c>
      <c r="E140" s="6" t="str">
        <f>HYPERLINK("https://twitter.com/Akshita_archer/status/1364266317767872516","1364266317767872516")</f>
        <v>1364266317767872516</v>
      </c>
      <c r="F140" s="7" t="s">
        <v>700</v>
      </c>
      <c r="G140" s="14" t="s">
        <v>716</v>
      </c>
      <c r="H140" s="8"/>
      <c r="I140" s="14">
        <v>22</v>
      </c>
      <c r="J140" s="14">
        <v>5</v>
      </c>
      <c r="K140" s="6" t="str">
        <f>HYPERLINK("http://twitter.com/download/android","Twitter for Android")</f>
        <v>Twitter for Android</v>
      </c>
      <c r="L140" s="15">
        <v>235</v>
      </c>
      <c r="M140" s="15">
        <v>8</v>
      </c>
      <c r="N140" s="15">
        <v>3</v>
      </c>
      <c r="O140" s="9"/>
      <c r="P140" s="10">
        <v>43746.745127314818</v>
      </c>
      <c r="Q140" s="8"/>
      <c r="R140" s="14" t="s">
        <v>702</v>
      </c>
      <c r="S140" s="7" t="s">
        <v>700</v>
      </c>
      <c r="T140" s="8"/>
      <c r="U140" s="11" t="str">
        <f>HYPERLINK("https://pbs.twimg.com/profile_images/1293573075598848000/46NjJT52.jpg","View")</f>
        <v>View</v>
      </c>
      <c r="V140" s="8"/>
      <c r="W140" s="8"/>
      <c r="X140" s="8"/>
      <c r="Y140" s="8"/>
      <c r="Z140" s="8"/>
    </row>
    <row r="141" spans="1:26" ht="13.2">
      <c r="A141" s="13">
        <v>44250.770914351851</v>
      </c>
      <c r="B141" s="6" t="str">
        <f>HYPERLINK("https://twitter.com/nigewillson","@nigewillson")</f>
        <v>@nigewillson</v>
      </c>
      <c r="C141" s="14" t="s">
        <v>95</v>
      </c>
      <c r="D141" s="14" t="s">
        <v>717</v>
      </c>
      <c r="E141" s="6" t="str">
        <f>HYPERLINK("https://twitter.com/nigewillson/status/1364266301171126277","1364266301171126277")</f>
        <v>1364266301171126277</v>
      </c>
      <c r="F141" s="7" t="s">
        <v>718</v>
      </c>
      <c r="G141" s="7" t="s">
        <v>719</v>
      </c>
      <c r="H141" s="8"/>
      <c r="I141" s="14">
        <v>1</v>
      </c>
      <c r="J141" s="14">
        <v>0</v>
      </c>
      <c r="K141" s="6" t="str">
        <f>HYPERLINK("https://buffer.com","Buffer")</f>
        <v>Buffer</v>
      </c>
      <c r="L141" s="15">
        <v>57515</v>
      </c>
      <c r="M141" s="15">
        <v>49523</v>
      </c>
      <c r="N141" s="15">
        <v>1688</v>
      </c>
      <c r="O141" s="9"/>
      <c r="P141" s="10">
        <v>40530.666805555556</v>
      </c>
      <c r="Q141" s="14" t="s">
        <v>99</v>
      </c>
      <c r="R141" s="14" t="s">
        <v>100</v>
      </c>
      <c r="S141" s="7" t="s">
        <v>101</v>
      </c>
      <c r="T141" s="8"/>
      <c r="U141" s="11" t="str">
        <f>HYPERLINK("https://pbs.twimg.com/profile_images/1085251590997622784/x9mWVQ1d.jpg","View")</f>
        <v>View</v>
      </c>
      <c r="V141" s="8"/>
      <c r="W141" s="8"/>
      <c r="X141" s="8"/>
      <c r="Y141" s="8"/>
      <c r="Z141" s="8"/>
    </row>
    <row r="142" spans="1:26" ht="13.2">
      <c r="A142" s="13">
        <v>44250.770856481482</v>
      </c>
      <c r="B142" s="6" t="str">
        <f>HYPERLINK("https://twitter.com/LaForge_AI","@LaForge_AI")</f>
        <v>@LaForge_AI</v>
      </c>
      <c r="C142" s="14" t="s">
        <v>102</v>
      </c>
      <c r="D142" s="14" t="s">
        <v>720</v>
      </c>
      <c r="E142" s="6" t="str">
        <f>HYPERLINK("https://twitter.com/LaForge_AI/status/1364266279004168194","1364266279004168194")</f>
        <v>1364266279004168194</v>
      </c>
      <c r="F142" s="7" t="s">
        <v>721</v>
      </c>
      <c r="G142" s="7" t="s">
        <v>722</v>
      </c>
      <c r="H142" s="8"/>
      <c r="I142" s="14">
        <v>4</v>
      </c>
      <c r="J142" s="14">
        <v>3</v>
      </c>
      <c r="K142" s="6" t="str">
        <f>HYPERLINK("https://www.la-forge.ai","Rss2Twitter for La Forge")</f>
        <v>Rss2Twitter for La Forge</v>
      </c>
      <c r="L142" s="15">
        <v>9854</v>
      </c>
      <c r="M142" s="15">
        <v>10507</v>
      </c>
      <c r="N142" s="15">
        <v>126</v>
      </c>
      <c r="O142" s="9"/>
      <c r="P142" s="10">
        <v>43660.755891203706</v>
      </c>
      <c r="Q142" s="14" t="s">
        <v>106</v>
      </c>
      <c r="R142" s="14" t="s">
        <v>107</v>
      </c>
      <c r="S142" s="7" t="s">
        <v>108</v>
      </c>
      <c r="T142" s="8"/>
      <c r="U142" s="11" t="str">
        <f>HYPERLINK("https://pbs.twimg.com/profile_images/1261961910020423681/fC-WUmbt.jpg","View")</f>
        <v>View</v>
      </c>
      <c r="V142" s="8"/>
      <c r="W142" s="8"/>
      <c r="X142" s="8"/>
      <c r="Y142" s="8"/>
      <c r="Z142" s="8"/>
    </row>
    <row r="143" spans="1:26" ht="13.2">
      <c r="A143" s="13">
        <v>44250.770844907413</v>
      </c>
      <c r="B143" s="6" t="str">
        <f>HYPERLINK("https://twitter.com/SynergyIT","@SynergyIT")</f>
        <v>@SynergyIT</v>
      </c>
      <c r="C143" s="14" t="s">
        <v>723</v>
      </c>
      <c r="D143" s="14" t="s">
        <v>724</v>
      </c>
      <c r="E143" s="6" t="str">
        <f>HYPERLINK("https://twitter.com/SynergyIT/status/1364266277250887683","1364266277250887683")</f>
        <v>1364266277250887683</v>
      </c>
      <c r="F143" s="7" t="s">
        <v>725</v>
      </c>
      <c r="G143" s="8"/>
      <c r="H143" s="8"/>
      <c r="I143" s="14">
        <v>2</v>
      </c>
      <c r="J143" s="14">
        <v>0</v>
      </c>
      <c r="K143" s="6" t="str">
        <f>HYPERLINK("https://dlvrit.com/","dlvr.it")</f>
        <v>dlvr.it</v>
      </c>
      <c r="L143" s="15">
        <v>590</v>
      </c>
      <c r="M143" s="15">
        <v>656</v>
      </c>
      <c r="N143" s="15">
        <v>26</v>
      </c>
      <c r="O143" s="9"/>
      <c r="P143" s="10">
        <v>39979.613275462965</v>
      </c>
      <c r="Q143" s="14" t="s">
        <v>726</v>
      </c>
      <c r="R143" s="14" t="s">
        <v>727</v>
      </c>
      <c r="S143" s="7" t="s">
        <v>728</v>
      </c>
      <c r="T143" s="8"/>
      <c r="U143" s="11" t="str">
        <f>HYPERLINK("https://pbs.twimg.com/profile_images/750736917126320128/gE0PG7rC.jpg","View")</f>
        <v>View</v>
      </c>
      <c r="V143" s="8"/>
      <c r="W143" s="8"/>
      <c r="X143" s="8"/>
      <c r="Y143" s="8"/>
      <c r="Z143" s="8"/>
    </row>
    <row r="144" spans="1:26" ht="13.2">
      <c r="A144" s="13">
        <v>44250.770694444444</v>
      </c>
      <c r="B144" s="6" t="str">
        <f>HYPERLINK("https://twitter.com/dataworkout","@dataworkout")</f>
        <v>@dataworkout</v>
      </c>
      <c r="C144" s="14" t="s">
        <v>729</v>
      </c>
      <c r="D144" s="14" t="s">
        <v>730</v>
      </c>
      <c r="E144" s="6" t="str">
        <f>HYPERLINK("https://twitter.com/dataworkout/status/1364266220762103814","1364266220762103814")</f>
        <v>1364266220762103814</v>
      </c>
      <c r="F144" s="7" t="s">
        <v>543</v>
      </c>
      <c r="G144" s="8"/>
      <c r="H144" s="8"/>
      <c r="I144" s="14">
        <v>3</v>
      </c>
      <c r="J144" s="14">
        <v>0</v>
      </c>
      <c r="K144" s="6" t="str">
        <f>HYPERLINK("http://twitter.com/download/iphone","Twitter for iPhone")</f>
        <v>Twitter for iPhone</v>
      </c>
      <c r="L144" s="15">
        <v>964</v>
      </c>
      <c r="M144" s="15">
        <v>1846</v>
      </c>
      <c r="N144" s="15">
        <v>7</v>
      </c>
      <c r="O144" s="9"/>
      <c r="P144" s="10">
        <v>42806.6174537037</v>
      </c>
      <c r="Q144" s="14" t="s">
        <v>203</v>
      </c>
      <c r="R144" s="14" t="s">
        <v>731</v>
      </c>
      <c r="S144" s="7" t="s">
        <v>732</v>
      </c>
      <c r="T144" s="8"/>
      <c r="U144" s="11" t="str">
        <f>HYPERLINK("https://pbs.twimg.com/profile_images/1354795832084750336/40nH_Cet.jpg","View")</f>
        <v>View</v>
      </c>
      <c r="V144" s="8"/>
      <c r="W144" s="8"/>
      <c r="X144" s="8"/>
      <c r="Y144" s="8"/>
      <c r="Z144" s="8"/>
    </row>
    <row r="145" spans="1:26" ht="13.2">
      <c r="A145" s="13">
        <v>44250.770243055551</v>
      </c>
      <c r="B145" s="6" t="str">
        <f>HYPERLINK("https://twitter.com/MarineBonduell1","@MarineBonduell1")</f>
        <v>@MarineBonduell1</v>
      </c>
      <c r="C145" s="14" t="s">
        <v>733</v>
      </c>
      <c r="D145" s="14" t="s">
        <v>734</v>
      </c>
      <c r="E145" s="6" t="str">
        <f>HYPERLINK("https://twitter.com/MarineBonduell1/status/1364266056848662530","1364266056848662530")</f>
        <v>1364266056848662530</v>
      </c>
      <c r="F145" s="14" t="s">
        <v>735</v>
      </c>
      <c r="G145" s="7" t="s">
        <v>736</v>
      </c>
      <c r="H145" s="8"/>
      <c r="I145" s="14">
        <v>14</v>
      </c>
      <c r="J145" s="14">
        <v>4</v>
      </c>
      <c r="K145" s="6" t="str">
        <f>HYPERLINK("https://socxopte.com/","SocxoPte")</f>
        <v>SocxoPte</v>
      </c>
      <c r="L145" s="15">
        <v>155</v>
      </c>
      <c r="M145" s="15">
        <v>148</v>
      </c>
      <c r="N145" s="15">
        <v>3</v>
      </c>
      <c r="O145" s="9"/>
      <c r="P145" s="10">
        <v>44029.710879629631</v>
      </c>
      <c r="Q145" s="8"/>
      <c r="R145" s="14" t="s">
        <v>737</v>
      </c>
      <c r="S145" s="8"/>
      <c r="T145" s="8"/>
      <c r="U145" s="11" t="str">
        <f>HYPERLINK("https://pbs.twimg.com/profile_images/1284141799905341441/I_BIa5zR.jpg","View")</f>
        <v>View</v>
      </c>
      <c r="V145" s="8"/>
      <c r="W145" s="8"/>
      <c r="X145" s="8"/>
      <c r="Y145" s="8"/>
      <c r="Z145" s="8"/>
    </row>
    <row r="146" spans="1:26" ht="13.2">
      <c r="A146" s="13">
        <v>44250.769456018519</v>
      </c>
      <c r="B146" s="6" t="str">
        <f>HYPERLINK("https://twitter.com/future_of_AI","@future_of_AI")</f>
        <v>@future_of_AI</v>
      </c>
      <c r="C146" s="14" t="s">
        <v>284</v>
      </c>
      <c r="D146" s="14" t="s">
        <v>669</v>
      </c>
      <c r="E146" s="6" t="str">
        <f>HYPERLINK("https://twitter.com/future_of_AI/status/1364265771510202372","1364265771510202372")</f>
        <v>1364265771510202372</v>
      </c>
      <c r="F146" s="7" t="s">
        <v>738</v>
      </c>
      <c r="G146" s="8"/>
      <c r="H146" s="8"/>
      <c r="I146" s="14">
        <v>1</v>
      </c>
      <c r="J146" s="14">
        <v>1</v>
      </c>
      <c r="K146" s="6" t="str">
        <f>HYPERLINK("https://buffer.com","Buffer")</f>
        <v>Buffer</v>
      </c>
      <c r="L146" s="15">
        <v>2893</v>
      </c>
      <c r="M146" s="15">
        <v>1348</v>
      </c>
      <c r="N146" s="15">
        <v>130</v>
      </c>
      <c r="O146" s="9"/>
      <c r="P146" s="10">
        <v>42816.80840277778</v>
      </c>
      <c r="Q146" s="8"/>
      <c r="R146" s="14" t="s">
        <v>287</v>
      </c>
      <c r="S146" s="7" t="s">
        <v>288</v>
      </c>
      <c r="T146" s="8"/>
      <c r="U146" s="11" t="str">
        <f>HYPERLINK("https://pbs.twimg.com/profile_images/1047866034970140673/ZBhSks16.jpg","View")</f>
        <v>View</v>
      </c>
      <c r="V146" s="8"/>
      <c r="W146" s="8"/>
      <c r="X146" s="8"/>
      <c r="Y146" s="8"/>
      <c r="Z146" s="8"/>
    </row>
    <row r="147" spans="1:26" ht="13.2">
      <c r="A147" s="13">
        <v>44250.76866898148</v>
      </c>
      <c r="B147" s="6" t="str">
        <f>HYPERLINK("https://twitter.com/aisear_ch","@aisear_ch")</f>
        <v>@aisear_ch</v>
      </c>
      <c r="C147" s="14" t="s">
        <v>739</v>
      </c>
      <c r="D147" s="14" t="s">
        <v>740</v>
      </c>
      <c r="E147" s="6" t="str">
        <f>HYPERLINK("https://twitter.com/aisear_ch/status/1364265484896583682","1364265484896583682")</f>
        <v>1364265484896583682</v>
      </c>
      <c r="F147" s="14" t="s">
        <v>741</v>
      </c>
      <c r="G147" s="8"/>
      <c r="H147" s="8"/>
      <c r="I147" s="14">
        <v>1</v>
      </c>
      <c r="J147" s="14">
        <v>0</v>
      </c>
      <c r="K147" s="6" t="str">
        <f>HYPERLINK("http://twinybots.com","TwinyBots")</f>
        <v>TwinyBots</v>
      </c>
      <c r="L147" s="15">
        <v>200</v>
      </c>
      <c r="M147" s="15">
        <v>27</v>
      </c>
      <c r="N147" s="15">
        <v>6</v>
      </c>
      <c r="O147" s="9"/>
      <c r="P147" s="10">
        <v>43992.386319444442</v>
      </c>
      <c r="Q147" s="8"/>
      <c r="R147" s="14" t="s">
        <v>742</v>
      </c>
      <c r="S147" s="7" t="s">
        <v>743</v>
      </c>
      <c r="T147" s="8"/>
      <c r="U147" s="11" t="str">
        <f>HYPERLINK("https://pbs.twimg.com/profile_images/1271018990178045953/M-vBrs0H.png","View")</f>
        <v>View</v>
      </c>
      <c r="V147" s="8"/>
      <c r="W147" s="8"/>
      <c r="X147" s="8"/>
      <c r="Y147" s="8"/>
      <c r="Z147" s="8"/>
    </row>
    <row r="148" spans="1:26" ht="13.2">
      <c r="A148" s="13">
        <v>44250.768078703702</v>
      </c>
      <c r="B148" s="6" t="str">
        <f>HYPERLINK("https://twitter.com/UnfoldLabs","@UnfoldLabs")</f>
        <v>@UnfoldLabs</v>
      </c>
      <c r="C148" s="14" t="s">
        <v>744</v>
      </c>
      <c r="D148" s="14" t="s">
        <v>745</v>
      </c>
      <c r="E148" s="6" t="str">
        <f>HYPERLINK("https://twitter.com/UnfoldLabs/status/1364265274061561856","1364265274061561856")</f>
        <v>1364265274061561856</v>
      </c>
      <c r="F148" s="7" t="s">
        <v>746</v>
      </c>
      <c r="G148" s="8"/>
      <c r="H148" s="8"/>
      <c r="I148" s="14">
        <v>1</v>
      </c>
      <c r="J148" s="14">
        <v>0</v>
      </c>
      <c r="K148" s="6" t="str">
        <f>HYPERLINK("https://mobile.twitter.com","Twitter Web App")</f>
        <v>Twitter Web App</v>
      </c>
      <c r="L148" s="15">
        <v>2746</v>
      </c>
      <c r="M148" s="15">
        <v>2753</v>
      </c>
      <c r="N148" s="15">
        <v>681</v>
      </c>
      <c r="O148" s="9"/>
      <c r="P148" s="10">
        <v>42331.861782407403</v>
      </c>
      <c r="Q148" s="14" t="s">
        <v>747</v>
      </c>
      <c r="R148" s="14" t="s">
        <v>748</v>
      </c>
      <c r="S148" s="7" t="s">
        <v>749</v>
      </c>
      <c r="T148" s="8"/>
      <c r="U148" s="11" t="str">
        <f>HYPERLINK("https://pbs.twimg.com/profile_images/951482468552462336/ozt9Og9I.jpg","View")</f>
        <v>View</v>
      </c>
      <c r="V148" s="8"/>
      <c r="W148" s="8"/>
      <c r="X148" s="8"/>
      <c r="Y148" s="8"/>
      <c r="Z148" s="8"/>
    </row>
    <row r="149" spans="1:26" ht="13.2">
      <c r="A149" s="13">
        <v>44250.767430555556</v>
      </c>
      <c r="B149" s="6" t="str">
        <f>HYPERLINK("https://twitter.com/TesseractAcade1","@TesseractAcade1")</f>
        <v>@TesseractAcade1</v>
      </c>
      <c r="C149" s="14" t="s">
        <v>750</v>
      </c>
      <c r="D149" s="14" t="s">
        <v>751</v>
      </c>
      <c r="E149" s="6" t="str">
        <f>HYPERLINK("https://twitter.com/TesseractAcade1/status/1364265037561548805","1364265037561548805")</f>
        <v>1364265037561548805</v>
      </c>
      <c r="F149" s="7" t="s">
        <v>752</v>
      </c>
      <c r="G149" s="8"/>
      <c r="H149" s="8"/>
      <c r="I149" s="14">
        <v>3</v>
      </c>
      <c r="J149" s="14">
        <v>0</v>
      </c>
      <c r="K149" s="6" t="str">
        <f>HYPERLINK("https://crowdfireapp.com","Crowdfire App")</f>
        <v>Crowdfire App</v>
      </c>
      <c r="L149" s="15">
        <v>678</v>
      </c>
      <c r="M149" s="15">
        <v>796</v>
      </c>
      <c r="N149" s="15">
        <v>14</v>
      </c>
      <c r="O149" s="9"/>
      <c r="P149" s="10">
        <v>43371.73810185185</v>
      </c>
      <c r="Q149" s="14" t="s">
        <v>753</v>
      </c>
      <c r="R149" s="14" t="s">
        <v>754</v>
      </c>
      <c r="S149" s="7" t="s">
        <v>755</v>
      </c>
      <c r="T149" s="8"/>
      <c r="U149" s="11" t="str">
        <f>HYPERLINK("https://pbs.twimg.com/profile_images/1045702404187066368/KvYhTAxM.jpg","View")</f>
        <v>View</v>
      </c>
      <c r="V149" s="8"/>
      <c r="W149" s="8"/>
      <c r="X149" s="8"/>
      <c r="Y149" s="8"/>
      <c r="Z149" s="8"/>
    </row>
    <row r="150" spans="1:26" ht="13.2">
      <c r="A150" s="13">
        <v>44250.767407407402</v>
      </c>
      <c r="B150" s="6" t="str">
        <f>HYPERLINK("https://twitter.com/nigewillson","@nigewillson")</f>
        <v>@nigewillson</v>
      </c>
      <c r="C150" s="14" t="s">
        <v>95</v>
      </c>
      <c r="D150" s="14" t="s">
        <v>756</v>
      </c>
      <c r="E150" s="6" t="str">
        <f>HYPERLINK("https://twitter.com/nigewillson/status/1364265027587473413","1364265027587473413")</f>
        <v>1364265027587473413</v>
      </c>
      <c r="F150" s="7" t="s">
        <v>757</v>
      </c>
      <c r="G150" s="7" t="s">
        <v>758</v>
      </c>
      <c r="H150" s="8"/>
      <c r="I150" s="14">
        <v>3</v>
      </c>
      <c r="J150" s="14">
        <v>2</v>
      </c>
      <c r="K150" s="6" t="str">
        <f>HYPERLINK("https://buffer.com","Buffer")</f>
        <v>Buffer</v>
      </c>
      <c r="L150" s="15">
        <v>57515</v>
      </c>
      <c r="M150" s="15">
        <v>49523</v>
      </c>
      <c r="N150" s="15">
        <v>1688</v>
      </c>
      <c r="O150" s="9"/>
      <c r="P150" s="10">
        <v>40530.666805555556</v>
      </c>
      <c r="Q150" s="14" t="s">
        <v>99</v>
      </c>
      <c r="R150" s="14" t="s">
        <v>100</v>
      </c>
      <c r="S150" s="7" t="s">
        <v>101</v>
      </c>
      <c r="T150" s="8"/>
      <c r="U150" s="11" t="str">
        <f>HYPERLINK("https://pbs.twimg.com/profile_images/1085251590997622784/x9mWVQ1d.jpg","View")</f>
        <v>View</v>
      </c>
      <c r="V150" s="8"/>
      <c r="W150" s="8"/>
      <c r="X150" s="8"/>
      <c r="Y150" s="8"/>
      <c r="Z150" s="8"/>
    </row>
    <row r="151" spans="1:26" ht="13.2">
      <c r="A151" s="13">
        <v>44250.767037037032</v>
      </c>
      <c r="B151" s="6" t="str">
        <f>HYPERLINK("https://twitter.com/asifrazzaq1988","@asifrazzaq1988")</f>
        <v>@asifrazzaq1988</v>
      </c>
      <c r="C151" s="14" t="s">
        <v>53</v>
      </c>
      <c r="D151" s="14" t="s">
        <v>759</v>
      </c>
      <c r="E151" s="6" t="str">
        <f>HYPERLINK("https://twitter.com/asifrazzaq1988/status/1364264896439799813","1364264896439799813")</f>
        <v>1364264896439799813</v>
      </c>
      <c r="F151" s="7" t="s">
        <v>760</v>
      </c>
      <c r="G151" s="8"/>
      <c r="H151" s="8"/>
      <c r="I151" s="14">
        <v>1</v>
      </c>
      <c r="J151" s="14">
        <v>0</v>
      </c>
      <c r="K151" s="6" t="str">
        <f>HYPERLINK("https://dlvrit.com/","dlvr.it")</f>
        <v>dlvr.it</v>
      </c>
      <c r="L151" s="15">
        <v>5022</v>
      </c>
      <c r="M151" s="15">
        <v>3191</v>
      </c>
      <c r="N151" s="15">
        <v>77</v>
      </c>
      <c r="O151" s="9"/>
      <c r="P151" s="10">
        <v>42237.408136574071</v>
      </c>
      <c r="Q151" s="14" t="s">
        <v>56</v>
      </c>
      <c r="R151" s="14" t="s">
        <v>57</v>
      </c>
      <c r="S151" s="7" t="s">
        <v>58</v>
      </c>
      <c r="T151" s="8"/>
      <c r="U151" s="11" t="str">
        <f>HYPERLINK("https://pbs.twimg.com/profile_images/1329326638589382657/lE7wr_tF.jpg","View")</f>
        <v>View</v>
      </c>
      <c r="V151" s="8"/>
      <c r="W151" s="8"/>
      <c r="X151" s="8"/>
      <c r="Y151" s="8"/>
      <c r="Z151" s="8"/>
    </row>
    <row r="152" spans="1:26" ht="13.2">
      <c r="A152" s="13">
        <v>44250.767002314809</v>
      </c>
      <c r="B152" s="6" t="str">
        <f>HYPERLINK("https://twitter.com/thoefler","@thoefler")</f>
        <v>@thoefler</v>
      </c>
      <c r="C152" s="14" t="s">
        <v>761</v>
      </c>
      <c r="D152" s="14" t="s">
        <v>762</v>
      </c>
      <c r="E152" s="6" t="str">
        <f>HYPERLINK("https://twitter.com/thoefler/status/1364264882221305858","1364264882221305858")</f>
        <v>1364264882221305858</v>
      </c>
      <c r="F152" s="14" t="s">
        <v>763</v>
      </c>
      <c r="G152" s="7" t="s">
        <v>764</v>
      </c>
      <c r="H152" s="8"/>
      <c r="I152" s="14">
        <v>1</v>
      </c>
      <c r="J152" s="14">
        <v>0</v>
      </c>
      <c r="K152" s="6" t="str">
        <f t="shared" ref="K152:K153" si="15">HYPERLINK("https://mobile.twitter.com","Twitter Web App")</f>
        <v>Twitter Web App</v>
      </c>
      <c r="L152" s="15">
        <v>1871</v>
      </c>
      <c r="M152" s="15">
        <v>156</v>
      </c>
      <c r="N152" s="15">
        <v>41</v>
      </c>
      <c r="O152" s="9"/>
      <c r="P152" s="10">
        <v>40026.746053240742</v>
      </c>
      <c r="Q152" s="14" t="s">
        <v>765</v>
      </c>
      <c r="R152" s="14" t="s">
        <v>766</v>
      </c>
      <c r="S152" s="7" t="s">
        <v>767</v>
      </c>
      <c r="T152" s="8"/>
      <c r="U152" s="11" t="str">
        <f>HYPERLINK("https://pbs.twimg.com/profile_images/583782346/me_southpark.png","View")</f>
        <v>View</v>
      </c>
      <c r="V152" s="8"/>
      <c r="W152" s="8"/>
      <c r="X152" s="8"/>
      <c r="Y152" s="8"/>
      <c r="Z152" s="8"/>
    </row>
    <row r="153" spans="1:26" ht="13.2">
      <c r="A153" s="13">
        <v>44250.766504629632</v>
      </c>
      <c r="B153" s="6" t="str">
        <f>HYPERLINK("https://twitter.com/LightningSource","@LightningSource")</f>
        <v>@LightningSource</v>
      </c>
      <c r="C153" s="14" t="s">
        <v>768</v>
      </c>
      <c r="D153" s="14" t="s">
        <v>769</v>
      </c>
      <c r="E153" s="6" t="str">
        <f>HYPERLINK("https://twitter.com/LightningSource/status/1364264702126288899","1364264702126288899")</f>
        <v>1364264702126288899</v>
      </c>
      <c r="F153" s="8"/>
      <c r="G153" s="7" t="s">
        <v>770</v>
      </c>
      <c r="H153" s="8"/>
      <c r="I153" s="14">
        <v>1</v>
      </c>
      <c r="J153" s="14">
        <v>0</v>
      </c>
      <c r="K153" s="6" t="str">
        <f t="shared" si="15"/>
        <v>Twitter Web App</v>
      </c>
      <c r="L153" s="15">
        <v>348</v>
      </c>
      <c r="M153" s="15">
        <v>285</v>
      </c>
      <c r="N153" s="15">
        <v>3</v>
      </c>
      <c r="O153" s="9"/>
      <c r="P153" s="10">
        <v>40710.09138888889</v>
      </c>
      <c r="Q153" s="8"/>
      <c r="R153" s="14" t="s">
        <v>771</v>
      </c>
      <c r="S153" s="7" t="s">
        <v>772</v>
      </c>
      <c r="T153" s="8"/>
      <c r="U153" s="11" t="str">
        <f>HYPERLINK("https://pbs.twimg.com/profile_images/1166558998692282368/GyhbzUea.jpg","View")</f>
        <v>View</v>
      </c>
      <c r="V153" s="8"/>
      <c r="W153" s="8"/>
      <c r="X153" s="8"/>
      <c r="Y153" s="8"/>
      <c r="Z153" s="8"/>
    </row>
    <row r="154" spans="1:26" ht="13.2">
      <c r="A154" s="13">
        <v>44250.7659837963</v>
      </c>
      <c r="B154" s="6" t="str">
        <f>HYPERLINK("https://twitter.com/lgomezperu","@lgomezperu")</f>
        <v>@lgomezperu</v>
      </c>
      <c r="C154" s="14" t="s">
        <v>773</v>
      </c>
      <c r="D154" s="14" t="s">
        <v>774</v>
      </c>
      <c r="E154" s="6" t="str">
        <f>HYPERLINK("https://twitter.com/lgomezperu/status/1364264515471364098","1364264515471364098")</f>
        <v>1364264515471364098</v>
      </c>
      <c r="F154" s="7" t="s">
        <v>775</v>
      </c>
      <c r="G154" s="8"/>
      <c r="H154" s="8"/>
      <c r="I154" s="14">
        <v>2</v>
      </c>
      <c r="J154" s="14">
        <v>0</v>
      </c>
      <c r="K154" s="6" t="str">
        <f>HYPERLINK("http://www.linkedin.com/","LinkedIn")</f>
        <v>LinkedIn</v>
      </c>
      <c r="L154" s="15">
        <v>770</v>
      </c>
      <c r="M154" s="15">
        <v>1095</v>
      </c>
      <c r="N154" s="15">
        <v>196</v>
      </c>
      <c r="O154" s="9"/>
      <c r="P154" s="10">
        <v>39858.707129629627</v>
      </c>
      <c r="Q154" s="14" t="s">
        <v>776</v>
      </c>
      <c r="R154" s="14" t="s">
        <v>777</v>
      </c>
      <c r="S154" s="7" t="s">
        <v>778</v>
      </c>
      <c r="T154" s="8"/>
      <c r="U154" s="11" t="str">
        <f>HYPERLINK("https://pbs.twimg.com/profile_images/717697647721771008/kftopeko.jpg","View")</f>
        <v>View</v>
      </c>
      <c r="V154" s="8"/>
      <c r="W154" s="8"/>
      <c r="X154" s="8"/>
      <c r="Y154" s="8"/>
      <c r="Z154" s="8"/>
    </row>
    <row r="155" spans="1:26" ht="13.2">
      <c r="A155" s="13">
        <v>44250.765694444446</v>
      </c>
      <c r="B155" s="6" t="str">
        <f>HYPERLINK("https://twitter.com/slashML","@slashML")</f>
        <v>@slashML</v>
      </c>
      <c r="C155" s="14" t="s">
        <v>779</v>
      </c>
      <c r="D155" s="14" t="s">
        <v>780</v>
      </c>
      <c r="E155" s="6" t="str">
        <f>HYPERLINK("https://twitter.com/slashML/status/1364264408629661697","1364264408629661697")</f>
        <v>1364264408629661697</v>
      </c>
      <c r="F155" s="7" t="s">
        <v>781</v>
      </c>
      <c r="G155" s="8"/>
      <c r="H155" s="8"/>
      <c r="I155" s="14">
        <v>4</v>
      </c>
      <c r="J155" s="14">
        <v>7</v>
      </c>
      <c r="K155" s="6" t="str">
        <f>HYPERLINK("https://www.reddit.com/r/MachineLearning/","From /r/MachineLearning")</f>
        <v>From /r/MachineLearning</v>
      </c>
      <c r="L155" s="15">
        <v>44297</v>
      </c>
      <c r="M155" s="15">
        <v>1</v>
      </c>
      <c r="N155" s="15">
        <v>600</v>
      </c>
      <c r="O155" s="9"/>
      <c r="P155" s="10">
        <v>42710.818564814814</v>
      </c>
      <c r="Q155" s="8"/>
      <c r="R155" s="14" t="s">
        <v>782</v>
      </c>
      <c r="S155" s="8"/>
      <c r="T155" s="8"/>
      <c r="U155" s="11" t="str">
        <f>HYPERLINK("https://pbs.twimg.com/profile_images/806213385545273344/s7sE4E8a.jpg","View")</f>
        <v>View</v>
      </c>
      <c r="V155" s="8"/>
      <c r="W155" s="8"/>
      <c r="X155" s="8"/>
      <c r="Y155" s="8"/>
      <c r="Z155" s="8"/>
    </row>
    <row r="156" spans="1:26" ht="13.2">
      <c r="A156" s="13">
        <v>44250.765486111108</v>
      </c>
      <c r="B156" s="6" t="str">
        <f>HYPERLINK("https://twitter.com/pauldranjan","@pauldranjan")</f>
        <v>@pauldranjan</v>
      </c>
      <c r="C156" s="14" t="s">
        <v>783</v>
      </c>
      <c r="D156" s="14" t="s">
        <v>784</v>
      </c>
      <c r="E156" s="6" t="str">
        <f>HYPERLINK("https://twitter.com/pauldranjan/status/1364264332033282048","1364264332033282048")</f>
        <v>1364264332033282048</v>
      </c>
      <c r="F156" s="7" t="s">
        <v>785</v>
      </c>
      <c r="G156" s="8"/>
      <c r="H156" s="8"/>
      <c r="I156" s="14">
        <v>1</v>
      </c>
      <c r="J156" s="14">
        <v>0</v>
      </c>
      <c r="K156" s="6" t="str">
        <f>HYPERLINK("http://www.linkedin.com/","LinkedIn")</f>
        <v>LinkedIn</v>
      </c>
      <c r="L156" s="15">
        <v>137</v>
      </c>
      <c r="M156" s="15">
        <v>802</v>
      </c>
      <c r="N156" s="15">
        <v>23</v>
      </c>
      <c r="O156" s="9"/>
      <c r="P156" s="10">
        <v>40844.307175925926</v>
      </c>
      <c r="Q156" s="14" t="s">
        <v>786</v>
      </c>
      <c r="R156" s="14" t="s">
        <v>787</v>
      </c>
      <c r="S156" s="7" t="s">
        <v>788</v>
      </c>
      <c r="T156" s="8"/>
      <c r="U156" s="11" t="str">
        <f>HYPERLINK("https://pbs.twimg.com/profile_images/1354522911424475136/IByqsKEr.jpg","View")</f>
        <v>View</v>
      </c>
      <c r="V156" s="8"/>
      <c r="W156" s="8"/>
      <c r="X156" s="8"/>
      <c r="Y156" s="8"/>
      <c r="Z156" s="8"/>
    </row>
    <row r="157" spans="1:26" ht="13.2">
      <c r="A157" s="13">
        <v>44250.765370370369</v>
      </c>
      <c r="B157" s="6" t="str">
        <f>HYPERLINK("https://twitter.com/neuzida","@neuzida")</f>
        <v>@neuzida</v>
      </c>
      <c r="C157" s="14" t="s">
        <v>789</v>
      </c>
      <c r="D157" s="14" t="s">
        <v>790</v>
      </c>
      <c r="E157" s="6" t="str">
        <f>HYPERLINK("https://twitter.com/neuzida/status/1364264291881353223","1364264291881353223")</f>
        <v>1364264291881353223</v>
      </c>
      <c r="F157" s="7" t="s">
        <v>791</v>
      </c>
      <c r="G157" s="8"/>
      <c r="H157" s="8"/>
      <c r="I157" s="14">
        <v>1</v>
      </c>
      <c r="J157" s="14">
        <v>0</v>
      </c>
      <c r="K157" s="6" t="str">
        <f>HYPERLINK("http://twinybots.com","TwinyBots")</f>
        <v>TwinyBots</v>
      </c>
      <c r="L157" s="15">
        <v>1326</v>
      </c>
      <c r="M157" s="15">
        <v>1118</v>
      </c>
      <c r="N157" s="15">
        <v>32</v>
      </c>
      <c r="O157" s="9"/>
      <c r="P157" s="10">
        <v>40553.300625000003</v>
      </c>
      <c r="Q157" s="14" t="s">
        <v>792</v>
      </c>
      <c r="R157" s="14" t="s">
        <v>793</v>
      </c>
      <c r="S157" s="7" t="s">
        <v>794</v>
      </c>
      <c r="T157" s="8"/>
      <c r="U157" s="11" t="str">
        <f>HYPERLINK("https://pbs.twimg.com/profile_images/1306288338765111296/Um2EYi15.jpg","View")</f>
        <v>View</v>
      </c>
      <c r="V157" s="8"/>
      <c r="W157" s="8"/>
      <c r="X157" s="8"/>
      <c r="Y157" s="8"/>
      <c r="Z157" s="8"/>
    </row>
    <row r="158" spans="1:26" ht="13.2">
      <c r="A158" s="13">
        <v>44250.764999999999</v>
      </c>
      <c r="B158" s="6" t="str">
        <f>HYPERLINK("https://twitter.com/machinelearnflx","@machinelearnflx")</f>
        <v>@machinelearnflx</v>
      </c>
      <c r="C158" s="14" t="s">
        <v>279</v>
      </c>
      <c r="D158" s="14" t="s">
        <v>795</v>
      </c>
      <c r="E158" s="6" t="str">
        <f>HYPERLINK("https://twitter.com/machinelearnflx/status/1364264157508497411","1364264157508497411")</f>
        <v>1364264157508497411</v>
      </c>
      <c r="F158" s="7" t="s">
        <v>796</v>
      </c>
      <c r="G158" s="8"/>
      <c r="H158" s="8"/>
      <c r="I158" s="14">
        <v>1</v>
      </c>
      <c r="J158" s="14">
        <v>3</v>
      </c>
      <c r="K158" s="6" t="str">
        <f>HYPERLINK("https://twitter.com/pythonbot_","Postmatico")</f>
        <v>Postmatico</v>
      </c>
      <c r="L158" s="15">
        <v>90451</v>
      </c>
      <c r="M158" s="15">
        <v>35464</v>
      </c>
      <c r="N158" s="15">
        <v>2227</v>
      </c>
      <c r="O158" s="9"/>
      <c r="P158" s="10">
        <v>42386.538865740746</v>
      </c>
      <c r="Q158" s="8"/>
      <c r="R158" s="14" t="s">
        <v>282</v>
      </c>
      <c r="S158" s="7" t="s">
        <v>283</v>
      </c>
      <c r="T158" s="8"/>
      <c r="U158" s="11" t="str">
        <f>HYPERLINK("https://pbs.twimg.com/profile_images/688735459892195329/v8sHaWSG.jpg","View")</f>
        <v>View</v>
      </c>
      <c r="V158" s="8"/>
      <c r="W158" s="8"/>
      <c r="X158" s="8"/>
      <c r="Y158" s="8"/>
      <c r="Z158" s="8"/>
    </row>
    <row r="159" spans="1:26" ht="13.2">
      <c r="A159" s="13">
        <v>44250.764814814815</v>
      </c>
      <c r="B159" s="6" t="str">
        <f>HYPERLINK("https://twitter.com/wojciehnet","@wojciehnet")</f>
        <v>@wojciehnet</v>
      </c>
      <c r="C159" s="14" t="s">
        <v>797</v>
      </c>
      <c r="D159" s="14" t="s">
        <v>90</v>
      </c>
      <c r="E159" s="6" t="str">
        <f>HYPERLINK("https://twitter.com/wojciehnet/status/1364264090252754948","1364264090252754948")</f>
        <v>1364264090252754948</v>
      </c>
      <c r="F159" s="7" t="s">
        <v>798</v>
      </c>
      <c r="G159" s="8"/>
      <c r="H159" s="8"/>
      <c r="I159" s="14">
        <v>2</v>
      </c>
      <c r="J159" s="14">
        <v>1</v>
      </c>
      <c r="K159" s="6" t="str">
        <f>HYPERLINK("http://smarp.com","Smarp.")</f>
        <v>Smarp.</v>
      </c>
      <c r="L159" s="15">
        <v>1130</v>
      </c>
      <c r="M159" s="15">
        <v>1079</v>
      </c>
      <c r="N159" s="15">
        <v>75</v>
      </c>
      <c r="O159" s="9"/>
      <c r="P159" s="10">
        <v>40070.881643518514</v>
      </c>
      <c r="Q159" s="14" t="s">
        <v>799</v>
      </c>
      <c r="R159" s="14" t="s">
        <v>800</v>
      </c>
      <c r="S159" s="7" t="s">
        <v>801</v>
      </c>
      <c r="T159" s="8"/>
      <c r="U159" s="11" t="str">
        <f>HYPERLINK("https://pbs.twimg.com/profile_images/478267593023705088/rrRVum84.png","View")</f>
        <v>View</v>
      </c>
      <c r="V159" s="8"/>
      <c r="W159" s="8"/>
      <c r="X159" s="8"/>
      <c r="Y159" s="8"/>
      <c r="Z159" s="8"/>
    </row>
    <row r="160" spans="1:26" ht="13.2">
      <c r="A160" s="13">
        <v>44250.76457175926</v>
      </c>
      <c r="B160" s="6" t="str">
        <f>HYPERLINK("https://twitter.com/technossus","@technossus")</f>
        <v>@technossus</v>
      </c>
      <c r="C160" s="14" t="s">
        <v>802</v>
      </c>
      <c r="D160" s="14" t="s">
        <v>803</v>
      </c>
      <c r="E160" s="6" t="str">
        <f>HYPERLINK("https://twitter.com/technossus/status/1364264002646380547","1364264002646380547")</f>
        <v>1364264002646380547</v>
      </c>
      <c r="F160" s="7" t="s">
        <v>804</v>
      </c>
      <c r="G160" s="8"/>
      <c r="H160" s="8"/>
      <c r="I160" s="14">
        <v>1</v>
      </c>
      <c r="J160" s="14">
        <v>0</v>
      </c>
      <c r="K160" s="6" t="str">
        <f>HYPERLINK("http://www.hubspot.com/","HubSpot")</f>
        <v>HubSpot</v>
      </c>
      <c r="L160" s="15">
        <v>202</v>
      </c>
      <c r="M160" s="15">
        <v>156</v>
      </c>
      <c r="N160" s="15">
        <v>14</v>
      </c>
      <c r="O160" s="9"/>
      <c r="P160" s="10">
        <v>40173.911504629628</v>
      </c>
      <c r="Q160" s="14" t="s">
        <v>805</v>
      </c>
      <c r="R160" s="14" t="s">
        <v>806</v>
      </c>
      <c r="S160" s="7" t="s">
        <v>807</v>
      </c>
      <c r="T160" s="8"/>
      <c r="U160" s="11" t="str">
        <f>HYPERLINK("https://pbs.twimg.com/profile_images/511642168574763008/7s_y4-nh.jpeg","View")</f>
        <v>View</v>
      </c>
      <c r="V160" s="8"/>
      <c r="W160" s="8"/>
      <c r="X160" s="8"/>
      <c r="Y160" s="8"/>
      <c r="Z160" s="8"/>
    </row>
    <row r="161" spans="1:26" ht="13.2">
      <c r="A161" s="13">
        <v>44250.763969907406</v>
      </c>
      <c r="B161" s="6" t="str">
        <f>HYPERLINK("https://twitter.com/anilmshanbhag","@anilmshanbhag")</f>
        <v>@anilmshanbhag</v>
      </c>
      <c r="C161" s="14" t="s">
        <v>808</v>
      </c>
      <c r="D161" s="14" t="s">
        <v>809</v>
      </c>
      <c r="E161" s="6" t="str">
        <f>HYPERLINK("https://twitter.com/anilmshanbhag/status/1364263783737221123","1364263783737221123")</f>
        <v>1364263783737221123</v>
      </c>
      <c r="F161" s="14" t="s">
        <v>810</v>
      </c>
      <c r="G161" s="8"/>
      <c r="H161" s="8"/>
      <c r="I161" s="14">
        <v>0</v>
      </c>
      <c r="J161" s="14">
        <v>4</v>
      </c>
      <c r="K161" s="6" t="str">
        <f>HYPERLINK("https://mobile.twitter.com","Twitter Web App")</f>
        <v>Twitter Web App</v>
      </c>
      <c r="L161" s="15">
        <v>178</v>
      </c>
      <c r="M161" s="15">
        <v>173</v>
      </c>
      <c r="N161" s="15">
        <v>0</v>
      </c>
      <c r="O161" s="9"/>
      <c r="P161" s="10">
        <v>43840.638935185183</v>
      </c>
      <c r="Q161" s="14" t="s">
        <v>811</v>
      </c>
      <c r="R161" s="14" t="s">
        <v>812</v>
      </c>
      <c r="S161" s="7" t="s">
        <v>813</v>
      </c>
      <c r="T161" s="8"/>
      <c r="U161" s="11" t="str">
        <f>HYPERLINK("https://pbs.twimg.com/profile_images/1353085925908209667/mzY1sPuT.jpg","View")</f>
        <v>View</v>
      </c>
      <c r="V161" s="8"/>
      <c r="W161" s="8"/>
      <c r="X161" s="8"/>
      <c r="Y161" s="8"/>
      <c r="Z161" s="8"/>
    </row>
    <row r="162" spans="1:26" ht="13.2">
      <c r="A162" s="13">
        <v>44250.763969907406</v>
      </c>
      <c r="B162" s="6" t="str">
        <f>HYPERLINK("https://twitter.com/nigewillson","@nigewillson")</f>
        <v>@nigewillson</v>
      </c>
      <c r="C162" s="14" t="s">
        <v>95</v>
      </c>
      <c r="D162" s="14" t="s">
        <v>814</v>
      </c>
      <c r="E162" s="6" t="str">
        <f>HYPERLINK("https://twitter.com/nigewillson/status/1364263783024189446","1364263783024189446")</f>
        <v>1364263783024189446</v>
      </c>
      <c r="F162" s="7" t="s">
        <v>815</v>
      </c>
      <c r="G162" s="7" t="s">
        <v>816</v>
      </c>
      <c r="H162" s="8"/>
      <c r="I162" s="14">
        <v>7</v>
      </c>
      <c r="J162" s="14">
        <v>2</v>
      </c>
      <c r="K162" s="6" t="str">
        <f t="shared" ref="K162:K163" si="16">HYPERLINK("https://buffer.com","Buffer")</f>
        <v>Buffer</v>
      </c>
      <c r="L162" s="15">
        <v>57515</v>
      </c>
      <c r="M162" s="15">
        <v>49523</v>
      </c>
      <c r="N162" s="15">
        <v>1688</v>
      </c>
      <c r="O162" s="9"/>
      <c r="P162" s="10">
        <v>40530.666805555556</v>
      </c>
      <c r="Q162" s="14" t="s">
        <v>99</v>
      </c>
      <c r="R162" s="14" t="s">
        <v>100</v>
      </c>
      <c r="S162" s="7" t="s">
        <v>101</v>
      </c>
      <c r="T162" s="8"/>
      <c r="U162" s="11" t="str">
        <f>HYPERLINK("https://pbs.twimg.com/profile_images/1085251590997622784/x9mWVQ1d.jpg","View")</f>
        <v>View</v>
      </c>
      <c r="V162" s="8"/>
      <c r="W162" s="8"/>
      <c r="X162" s="8"/>
      <c r="Y162" s="8"/>
      <c r="Z162" s="8"/>
    </row>
    <row r="163" spans="1:26" ht="13.2">
      <c r="A163" s="13">
        <v>44250.763958333337</v>
      </c>
      <c r="B163" s="6" t="str">
        <f>HYPERLINK("https://twitter.com/ingliguori","@ingliguori")</f>
        <v>@ingliguori</v>
      </c>
      <c r="C163" s="14" t="s">
        <v>817</v>
      </c>
      <c r="D163" s="14" t="s">
        <v>818</v>
      </c>
      <c r="E163" s="6" t="str">
        <f>HYPERLINK("https://twitter.com/ingliguori/status/1364263780566380553","1364263780566380553")</f>
        <v>1364263780566380553</v>
      </c>
      <c r="F163" s="8"/>
      <c r="G163" s="7" t="s">
        <v>819</v>
      </c>
      <c r="H163" s="8"/>
      <c r="I163" s="14">
        <v>22</v>
      </c>
      <c r="J163" s="14">
        <v>13</v>
      </c>
      <c r="K163" s="6" t="str">
        <f t="shared" si="16"/>
        <v>Buffer</v>
      </c>
      <c r="L163" s="15">
        <v>28633</v>
      </c>
      <c r="M163" s="15">
        <v>8954</v>
      </c>
      <c r="N163" s="15">
        <v>338</v>
      </c>
      <c r="O163" s="9"/>
      <c r="P163" s="10">
        <v>41173.034710648149</v>
      </c>
      <c r="Q163" s="14" t="s">
        <v>820</v>
      </c>
      <c r="R163" s="14" t="s">
        <v>821</v>
      </c>
      <c r="S163" s="7" t="s">
        <v>822</v>
      </c>
      <c r="T163" s="8"/>
      <c r="U163" s="11" t="str">
        <f>HYPERLINK("https://pbs.twimg.com/profile_images/1286694267520507909/8ZM-3MFU.jpg","View")</f>
        <v>View</v>
      </c>
      <c r="V163" s="8"/>
      <c r="W163" s="8"/>
      <c r="X163" s="8"/>
      <c r="Y163" s="8"/>
      <c r="Z163" s="8"/>
    </row>
    <row r="164" spans="1:26" ht="13.2">
      <c r="A164" s="13">
        <v>44250.763935185183</v>
      </c>
      <c r="B164" s="6" t="str">
        <f>HYPERLINK("https://twitter.com/s_kampakis","@s_kampakis")</f>
        <v>@s_kampakis</v>
      </c>
      <c r="C164" s="14" t="s">
        <v>823</v>
      </c>
      <c r="D164" s="14" t="s">
        <v>824</v>
      </c>
      <c r="E164" s="6" t="str">
        <f>HYPERLINK("https://twitter.com/s_kampakis/status/1364263770302865416","1364263770302865416")</f>
        <v>1364263770302865416</v>
      </c>
      <c r="F164" s="7" t="s">
        <v>825</v>
      </c>
      <c r="G164" s="8"/>
      <c r="H164" s="8"/>
      <c r="I164" s="14">
        <v>2</v>
      </c>
      <c r="J164" s="14">
        <v>1</v>
      </c>
      <c r="K164" s="6" t="str">
        <f>HYPERLINK("https://crowdfireapp.com","Crowdfire App")</f>
        <v>Crowdfire App</v>
      </c>
      <c r="L164" s="15">
        <v>1205</v>
      </c>
      <c r="M164" s="15">
        <v>2076</v>
      </c>
      <c r="N164" s="15">
        <v>87</v>
      </c>
      <c r="O164" s="9"/>
      <c r="P164" s="10">
        <v>41877.766087962962</v>
      </c>
      <c r="Q164" s="14" t="s">
        <v>753</v>
      </c>
      <c r="R164" s="14" t="s">
        <v>826</v>
      </c>
      <c r="S164" s="7" t="s">
        <v>827</v>
      </c>
      <c r="T164" s="8"/>
      <c r="U164" s="11" t="str">
        <f>HYPERLINK("https://pbs.twimg.com/profile_images/1175015480496726019/1UxlBHvw.jpg","View")</f>
        <v>View</v>
      </c>
      <c r="V164" s="8"/>
      <c r="W164" s="8"/>
      <c r="X164" s="8"/>
      <c r="Y164" s="8"/>
      <c r="Z164" s="8"/>
    </row>
    <row r="165" spans="1:26" ht="13.2">
      <c r="A165" s="13">
        <v>44250.763807870375</v>
      </c>
      <c r="B165" s="6" t="str">
        <f>HYPERLINK("https://twitter.com/YuganshJ","@YuganshJ")</f>
        <v>@YuganshJ</v>
      </c>
      <c r="C165" s="14" t="s">
        <v>828</v>
      </c>
      <c r="D165" s="14" t="s">
        <v>829</v>
      </c>
      <c r="E165" s="6" t="str">
        <f>HYPERLINK("https://twitter.com/YuganshJ/status/1364263725897707524","1364263725897707524")</f>
        <v>1364263725897707524</v>
      </c>
      <c r="F165" s="7" t="s">
        <v>830</v>
      </c>
      <c r="G165" s="8"/>
      <c r="H165" s="8"/>
      <c r="I165" s="14">
        <v>11</v>
      </c>
      <c r="J165" s="14">
        <v>6</v>
      </c>
      <c r="K165" s="6" t="str">
        <f>HYPERLINK("http://twitter.com/download/android","Twitter for Android")</f>
        <v>Twitter for Android</v>
      </c>
      <c r="L165" s="15">
        <v>928</v>
      </c>
      <c r="M165" s="15">
        <v>4637</v>
      </c>
      <c r="N165" s="15">
        <v>9</v>
      </c>
      <c r="O165" s="9"/>
      <c r="P165" s="10">
        <v>42502.662465277783</v>
      </c>
      <c r="Q165" s="14" t="s">
        <v>831</v>
      </c>
      <c r="R165" s="14" t="s">
        <v>832</v>
      </c>
      <c r="S165" s="7" t="s">
        <v>833</v>
      </c>
      <c r="T165" s="8"/>
      <c r="U165" s="11" t="str">
        <f>HYPERLINK("https://pbs.twimg.com/profile_images/1353939554659520512/bvr0rSct.jpg","View")</f>
        <v>View</v>
      </c>
      <c r="V165" s="8"/>
      <c r="W165" s="8"/>
      <c r="X165" s="8"/>
      <c r="Y165" s="8"/>
      <c r="Z165" s="8"/>
    </row>
    <row r="166" spans="1:26" ht="13.2">
      <c r="A166" s="13">
        <v>44250.763773148152</v>
      </c>
      <c r="B166" s="6" t="str">
        <f>HYPERLINK("https://twitter.com/anilmshanbhag","@anilmshanbhag")</f>
        <v>@anilmshanbhag</v>
      </c>
      <c r="C166" s="14" t="s">
        <v>808</v>
      </c>
      <c r="D166" s="14" t="s">
        <v>834</v>
      </c>
      <c r="E166" s="6" t="str">
        <f>HYPERLINK("https://twitter.com/anilmshanbhag/status/1364263710987059205","1364263710987059205")</f>
        <v>1364263710987059205</v>
      </c>
      <c r="F166" s="7" t="s">
        <v>835</v>
      </c>
      <c r="G166" s="7" t="s">
        <v>836</v>
      </c>
      <c r="H166" s="8"/>
      <c r="I166" s="14">
        <v>0</v>
      </c>
      <c r="J166" s="14">
        <v>2</v>
      </c>
      <c r="K166" s="6" t="str">
        <f>HYPERLINK("https://mobile.twitter.com","Twitter Web App")</f>
        <v>Twitter Web App</v>
      </c>
      <c r="L166" s="15">
        <v>178</v>
      </c>
      <c r="M166" s="15">
        <v>173</v>
      </c>
      <c r="N166" s="15">
        <v>0</v>
      </c>
      <c r="O166" s="9"/>
      <c r="P166" s="10">
        <v>43840.638935185183</v>
      </c>
      <c r="Q166" s="14" t="s">
        <v>811</v>
      </c>
      <c r="R166" s="14" t="s">
        <v>812</v>
      </c>
      <c r="S166" s="7" t="s">
        <v>813</v>
      </c>
      <c r="T166" s="8"/>
      <c r="U166" s="11" t="str">
        <f>HYPERLINK("https://pbs.twimg.com/profile_images/1353085925908209667/mzY1sPuT.jpg","View")</f>
        <v>View</v>
      </c>
      <c r="V166" s="8"/>
      <c r="W166" s="8"/>
      <c r="X166" s="8"/>
      <c r="Y166" s="8"/>
      <c r="Z166" s="8"/>
    </row>
    <row r="167" spans="1:26" ht="13.2">
      <c r="A167" s="13">
        <v>44250.763761574075</v>
      </c>
      <c r="B167" s="6" t="str">
        <f>HYPERLINK("https://twitter.com/Jelvix","@Jelvix")</f>
        <v>@Jelvix</v>
      </c>
      <c r="C167" s="14" t="s">
        <v>837</v>
      </c>
      <c r="D167" s="14" t="s">
        <v>838</v>
      </c>
      <c r="E167" s="6" t="str">
        <f>HYPERLINK("https://twitter.com/Jelvix/status/1364263707216347143","1364263707216347143")</f>
        <v>1364263707216347143</v>
      </c>
      <c r="F167" s="7" t="s">
        <v>839</v>
      </c>
      <c r="G167" s="7" t="s">
        <v>840</v>
      </c>
      <c r="H167" s="8"/>
      <c r="I167" s="14">
        <v>1</v>
      </c>
      <c r="J167" s="14">
        <v>0</v>
      </c>
      <c r="K167" s="6" t="str">
        <f>HYPERLINK("https://www.hootsuite.com","Hootsuite Inc.")</f>
        <v>Hootsuite Inc.</v>
      </c>
      <c r="L167" s="15">
        <v>2488</v>
      </c>
      <c r="M167" s="15">
        <v>1520</v>
      </c>
      <c r="N167" s="15">
        <v>23</v>
      </c>
      <c r="O167" s="9"/>
      <c r="P167" s="10">
        <v>41699.578946759255</v>
      </c>
      <c r="Q167" s="14" t="s">
        <v>841</v>
      </c>
      <c r="R167" s="14" t="s">
        <v>842</v>
      </c>
      <c r="S167" s="7" t="s">
        <v>843</v>
      </c>
      <c r="T167" s="8"/>
      <c r="U167" s="11" t="str">
        <f>HYPERLINK("https://pbs.twimg.com/profile_images/1181937621288792066/wlREMOKS.jpg","View")</f>
        <v>View</v>
      </c>
      <c r="V167" s="8"/>
      <c r="W167" s="8"/>
      <c r="X167" s="8"/>
      <c r="Y167" s="8"/>
      <c r="Z167" s="8"/>
    </row>
    <row r="168" spans="1:26" ht="13.2">
      <c r="A168" s="13">
        <v>44250.763298611113</v>
      </c>
      <c r="B168" s="6" t="str">
        <f>HYPERLINK("https://twitter.com/ReggyDeFeniks","@ReggyDeFeniks")</f>
        <v>@ReggyDeFeniks</v>
      </c>
      <c r="C168" s="14" t="s">
        <v>844</v>
      </c>
      <c r="D168" s="14" t="s">
        <v>845</v>
      </c>
      <c r="E168" s="6" t="str">
        <f>HYPERLINK("https://twitter.com/ReggyDeFeniks/status/1364263539796566019","1364263539796566019")</f>
        <v>1364263539796566019</v>
      </c>
      <c r="F168" s="7" t="s">
        <v>846</v>
      </c>
      <c r="G168" s="7" t="s">
        <v>847</v>
      </c>
      <c r="H168" s="8"/>
      <c r="I168" s="14">
        <v>2</v>
      </c>
      <c r="J168" s="14">
        <v>0</v>
      </c>
      <c r="K168" s="6" t="str">
        <f>HYPERLINK("https://app.agorapulse.com","AgoraPulse Manager")</f>
        <v>AgoraPulse Manager</v>
      </c>
      <c r="L168" s="15">
        <v>11979</v>
      </c>
      <c r="M168" s="15">
        <v>11122</v>
      </c>
      <c r="N168" s="15">
        <v>198</v>
      </c>
      <c r="O168" s="9"/>
      <c r="P168" s="10">
        <v>40657.464247685188</v>
      </c>
      <c r="Q168" s="14" t="s">
        <v>848</v>
      </c>
      <c r="R168" s="14" t="s">
        <v>849</v>
      </c>
      <c r="S168" s="7" t="s">
        <v>850</v>
      </c>
      <c r="T168" s="8"/>
      <c r="U168" s="11" t="str">
        <f>HYPERLINK("https://pbs.twimg.com/profile_images/1323351126/104-Reggy_klein.JPG","View")</f>
        <v>View</v>
      </c>
      <c r="V168" s="8"/>
      <c r="W168" s="8"/>
      <c r="X168" s="8"/>
      <c r="Y168" s="8"/>
      <c r="Z168" s="8"/>
    </row>
    <row r="169" spans="1:26" ht="13.2">
      <c r="A169" s="13">
        <v>44250.762685185182</v>
      </c>
      <c r="B169" s="6" t="str">
        <f>HYPERLINK("https://twitter.com/cybersecboardrm","@cybersecboardrm")</f>
        <v>@cybersecboardrm</v>
      </c>
      <c r="C169" s="14" t="s">
        <v>851</v>
      </c>
      <c r="D169" s="14" t="s">
        <v>790</v>
      </c>
      <c r="E169" s="6" t="str">
        <f>HYPERLINK("https://twitter.com/cybersecboardrm/status/1364263319893397507","1364263319893397507")</f>
        <v>1364263319893397507</v>
      </c>
      <c r="F169" s="7" t="s">
        <v>791</v>
      </c>
      <c r="G169" s="8"/>
      <c r="H169" s="8"/>
      <c r="I169" s="14">
        <v>3</v>
      </c>
      <c r="J169" s="14">
        <v>3</v>
      </c>
      <c r="K169" s="6" t="str">
        <f>HYPERLINK("http://twinybots.com","TwinyBots")</f>
        <v>TwinyBots</v>
      </c>
      <c r="L169" s="15">
        <v>44595</v>
      </c>
      <c r="M169" s="15">
        <v>17565</v>
      </c>
      <c r="N169" s="15">
        <v>2331</v>
      </c>
      <c r="O169" s="9"/>
      <c r="P169" s="10">
        <v>41699.739884259259</v>
      </c>
      <c r="Q169" s="14" t="s">
        <v>852</v>
      </c>
      <c r="R169" s="14" t="s">
        <v>853</v>
      </c>
      <c r="S169" s="7" t="s">
        <v>854</v>
      </c>
      <c r="T169" s="8"/>
      <c r="U169" s="11" t="str">
        <f>HYPERLINK("https://pbs.twimg.com/profile_images/1287860270283530242/2LxTyzQc.jpg","View")</f>
        <v>View</v>
      </c>
      <c r="V169" s="8"/>
      <c r="W169" s="8"/>
      <c r="X169" s="8"/>
      <c r="Y169" s="8"/>
      <c r="Z169" s="8"/>
    </row>
    <row r="170" spans="1:26" ht="13.2">
      <c r="A170" s="13">
        <v>44250.762453703705</v>
      </c>
      <c r="B170" s="6" t="str">
        <f>HYPERLINK("https://twitter.com/itsoftgmbh","@itsoftgmbh")</f>
        <v>@itsoftgmbh</v>
      </c>
      <c r="C170" s="14" t="s">
        <v>855</v>
      </c>
      <c r="D170" s="14" t="s">
        <v>856</v>
      </c>
      <c r="E170" s="6" t="str">
        <f>HYPERLINK("https://twitter.com/itsoftgmbh/status/1364263234593783815","1364263234593783815")</f>
        <v>1364263234593783815</v>
      </c>
      <c r="F170" s="7" t="s">
        <v>857</v>
      </c>
      <c r="G170" s="8"/>
      <c r="H170" s="8"/>
      <c r="I170" s="14">
        <v>1</v>
      </c>
      <c r="J170" s="14">
        <v>0</v>
      </c>
      <c r="K170" s="6" t="str">
        <f>HYPERLINK("http://twitter.com/#!/download/ipad","Twitter for iPad")</f>
        <v>Twitter for iPad</v>
      </c>
      <c r="L170" s="15">
        <v>640</v>
      </c>
      <c r="M170" s="15">
        <v>563</v>
      </c>
      <c r="N170" s="15">
        <v>75</v>
      </c>
      <c r="O170" s="9"/>
      <c r="P170" s="10">
        <v>42282.885162037041</v>
      </c>
      <c r="Q170" s="14" t="s">
        <v>858</v>
      </c>
      <c r="R170" s="14" t="s">
        <v>859</v>
      </c>
      <c r="S170" s="7" t="s">
        <v>860</v>
      </c>
      <c r="T170" s="8"/>
      <c r="U170" s="11" t="str">
        <f>HYPERLINK("https://pbs.twimg.com/profile_images/651387616030429185/vMV1DwiG.png","View")</f>
        <v>View</v>
      </c>
      <c r="V170" s="8"/>
      <c r="W170" s="8"/>
      <c r="X170" s="8"/>
      <c r="Y170" s="8"/>
      <c r="Z170" s="8"/>
    </row>
    <row r="171" spans="1:26" ht="13.2">
      <c r="A171" s="13">
        <v>44250.762222222227</v>
      </c>
      <c r="B171" s="6" t="str">
        <f>HYPERLINK("https://twitter.com/Stanford_Green","@Stanford_Green")</f>
        <v>@Stanford_Green</v>
      </c>
      <c r="C171" s="14" t="s">
        <v>861</v>
      </c>
      <c r="D171" s="14" t="s">
        <v>862</v>
      </c>
      <c r="E171" s="6" t="str">
        <f>HYPERLINK("https://twitter.com/Stanford_Green/status/1364263149029842946","1364263149029842946")</f>
        <v>1364263149029842946</v>
      </c>
      <c r="F171" s="8"/>
      <c r="G171" s="7" t="s">
        <v>863</v>
      </c>
      <c r="H171" s="8"/>
      <c r="I171" s="14">
        <v>3</v>
      </c>
      <c r="J171" s="14">
        <v>1</v>
      </c>
      <c r="K171" s="6" t="str">
        <f>HYPERLINK("http://twitter.com/download/iphone","Twitter for iPhone")</f>
        <v>Twitter for iPhone</v>
      </c>
      <c r="L171" s="15">
        <v>118</v>
      </c>
      <c r="M171" s="15">
        <v>138</v>
      </c>
      <c r="N171" s="15">
        <v>1</v>
      </c>
      <c r="O171" s="9"/>
      <c r="P171" s="10">
        <v>39986.264965277776</v>
      </c>
      <c r="Q171" s="14" t="s">
        <v>864</v>
      </c>
      <c r="R171" s="14" t="s">
        <v>865</v>
      </c>
      <c r="S171" s="8"/>
      <c r="T171" s="8"/>
      <c r="U171" s="11" t="str">
        <f>HYPERLINK("https://pbs.twimg.com/profile_images/928736437641478144/LV93879A.jpg","View")</f>
        <v>View</v>
      </c>
      <c r="V171" s="8"/>
      <c r="W171" s="8"/>
      <c r="X171" s="8"/>
      <c r="Y171" s="8"/>
      <c r="Z171" s="8"/>
    </row>
    <row r="172" spans="1:26" ht="13.2">
      <c r="A172" s="13">
        <v>44250.761817129634</v>
      </c>
      <c r="B172" s="6" t="str">
        <f>HYPERLINK("https://twitter.com/TechNative","@TechNative")</f>
        <v>@TechNative</v>
      </c>
      <c r="C172" s="14" t="s">
        <v>866</v>
      </c>
      <c r="D172" s="14" t="s">
        <v>867</v>
      </c>
      <c r="E172" s="6" t="str">
        <f>HYPERLINK("https://twitter.com/TechNative/status/1364263004578189318","1364263004578189318")</f>
        <v>1364263004578189318</v>
      </c>
      <c r="F172" s="7" t="s">
        <v>868</v>
      </c>
      <c r="G172" s="8"/>
      <c r="H172" s="8"/>
      <c r="I172" s="14">
        <v>6</v>
      </c>
      <c r="J172" s="14">
        <v>4</v>
      </c>
      <c r="K172" s="6" t="str">
        <f>HYPERLINK("https://sproutsocial.com","Sprout Social")</f>
        <v>Sprout Social</v>
      </c>
      <c r="L172" s="15">
        <v>84850</v>
      </c>
      <c r="M172" s="15">
        <v>60575</v>
      </c>
      <c r="N172" s="15">
        <v>2623</v>
      </c>
      <c r="O172" s="9"/>
      <c r="P172" s="10">
        <v>42289.695833333331</v>
      </c>
      <c r="Q172" s="14" t="s">
        <v>869</v>
      </c>
      <c r="R172" s="14" t="s">
        <v>870</v>
      </c>
      <c r="S172" s="7" t="s">
        <v>871</v>
      </c>
      <c r="T172" s="8"/>
      <c r="U172" s="11" t="str">
        <f>HYPERLINK("https://pbs.twimg.com/profile_images/877265193818103808/uriy-gaK.jpg","View")</f>
        <v>View</v>
      </c>
      <c r="V172" s="8"/>
      <c r="W172" s="8"/>
      <c r="X172" s="8"/>
      <c r="Y172" s="8"/>
      <c r="Z172" s="8"/>
    </row>
    <row r="173" spans="1:26" ht="13.2">
      <c r="A173" s="13">
        <v>44250.761712962965</v>
      </c>
      <c r="B173" s="6" t="str">
        <f>HYPERLINK("https://twitter.com/Quantiacs","@Quantiacs")</f>
        <v>@Quantiacs</v>
      </c>
      <c r="C173" s="14" t="s">
        <v>872</v>
      </c>
      <c r="D173" s="14" t="s">
        <v>873</v>
      </c>
      <c r="E173" s="6" t="str">
        <f>HYPERLINK("https://twitter.com/Quantiacs/status/1364262965747318790","1364262965747318790")</f>
        <v>1364262965747318790</v>
      </c>
      <c r="F173" s="14" t="s">
        <v>874</v>
      </c>
      <c r="G173" s="8"/>
      <c r="H173" s="8"/>
      <c r="I173" s="14">
        <v>1</v>
      </c>
      <c r="J173" s="14">
        <v>0</v>
      </c>
      <c r="K173" s="6" t="str">
        <f t="shared" ref="K173:K174" si="17">HYPERLINK("https://mobile.twitter.com","Twitter Web App")</f>
        <v>Twitter Web App</v>
      </c>
      <c r="L173" s="15">
        <v>2055</v>
      </c>
      <c r="M173" s="15">
        <v>243</v>
      </c>
      <c r="N173" s="15">
        <v>99</v>
      </c>
      <c r="O173" s="9"/>
      <c r="P173" s="10">
        <v>41745.227997685186</v>
      </c>
      <c r="Q173" s="14" t="s">
        <v>875</v>
      </c>
      <c r="R173" s="14" t="s">
        <v>876</v>
      </c>
      <c r="S173" s="7" t="s">
        <v>877</v>
      </c>
      <c r="T173" s="8"/>
      <c r="U173" s="11" t="str">
        <f>HYPERLINK("https://pbs.twimg.com/profile_images/1362085994862940160/YnfQJI8B.jpg","View")</f>
        <v>View</v>
      </c>
      <c r="V173" s="8"/>
      <c r="W173" s="8"/>
      <c r="X173" s="8"/>
      <c r="Y173" s="8"/>
      <c r="Z173" s="8"/>
    </row>
    <row r="174" spans="1:26" ht="13.2">
      <c r="A174" s="13">
        <v>44250.760891203703</v>
      </c>
      <c r="B174" s="6" t="str">
        <f>HYPERLINK("https://twitter.com/Tips4puntocero","@Tips4puntocero")</f>
        <v>@Tips4puntocero</v>
      </c>
      <c r="C174" s="14" t="s">
        <v>878</v>
      </c>
      <c r="D174" s="14" t="s">
        <v>879</v>
      </c>
      <c r="E174" s="6" t="str">
        <f>HYPERLINK("https://twitter.com/Tips4puntocero/status/1364262666756362243","1364262666756362243")</f>
        <v>1364262666756362243</v>
      </c>
      <c r="F174" s="7" t="s">
        <v>880</v>
      </c>
      <c r="G174" s="7" t="s">
        <v>881</v>
      </c>
      <c r="H174" s="8"/>
      <c r="I174" s="14">
        <v>0</v>
      </c>
      <c r="J174" s="14">
        <v>0</v>
      </c>
      <c r="K174" s="6" t="str">
        <f t="shared" si="17"/>
        <v>Twitter Web App</v>
      </c>
      <c r="L174" s="15">
        <v>1</v>
      </c>
      <c r="M174" s="15">
        <v>0</v>
      </c>
      <c r="N174" s="15">
        <v>0</v>
      </c>
      <c r="O174" s="9"/>
      <c r="P174" s="10">
        <v>44200.059328703705</v>
      </c>
      <c r="Q174" s="14" t="s">
        <v>882</v>
      </c>
      <c r="R174" s="14" t="s">
        <v>883</v>
      </c>
      <c r="S174" s="7" t="s">
        <v>880</v>
      </c>
      <c r="T174" s="8"/>
      <c r="U174" s="11" t="str">
        <f>HYPERLINK("https://pbs.twimg.com/profile_images/1345889126525132802/RtL-Rud-.jpg","View")</f>
        <v>View</v>
      </c>
      <c r="V174" s="8"/>
      <c r="W174" s="8"/>
      <c r="X174" s="8"/>
      <c r="Y174" s="8"/>
      <c r="Z174" s="8"/>
    </row>
    <row r="175" spans="1:26" ht="13.2">
      <c r="A175" s="13">
        <v>44250.76085648148</v>
      </c>
      <c r="B175" s="6" t="str">
        <f>HYPERLINK("https://twitter.com/FirmForum","@FirmForum")</f>
        <v>@FirmForum</v>
      </c>
      <c r="C175" s="14" t="s">
        <v>884</v>
      </c>
      <c r="D175" s="14" t="s">
        <v>885</v>
      </c>
      <c r="E175" s="6" t="str">
        <f>HYPERLINK("https://twitter.com/FirmForum/status/1364262655809175563","1364262655809175563")</f>
        <v>1364262655809175563</v>
      </c>
      <c r="F175" s="14" t="s">
        <v>886</v>
      </c>
      <c r="G175" s="8"/>
      <c r="H175" s="8"/>
      <c r="I175" s="14">
        <v>0</v>
      </c>
      <c r="J175" s="14">
        <v>0</v>
      </c>
      <c r="K175" s="6" t="str">
        <f>HYPERLINK("http://twinybots.com","TwinyBots")</f>
        <v>TwinyBots</v>
      </c>
      <c r="L175" s="15">
        <v>292</v>
      </c>
      <c r="M175" s="15">
        <v>185</v>
      </c>
      <c r="N175" s="15">
        <v>7</v>
      </c>
      <c r="O175" s="9"/>
      <c r="P175" s="10">
        <v>43518.5003125</v>
      </c>
      <c r="Q175" s="8"/>
      <c r="R175" s="14" t="s">
        <v>887</v>
      </c>
      <c r="S175" s="7" t="s">
        <v>888</v>
      </c>
      <c r="T175" s="8"/>
      <c r="U175" s="11" t="str">
        <f>HYPERLINK("https://pbs.twimg.com/profile_images/1105548532759568384/2lKfWRth.png","View")</f>
        <v>View</v>
      </c>
      <c r="V175" s="8"/>
      <c r="W175" s="8"/>
      <c r="X175" s="8"/>
      <c r="Y175" s="8"/>
      <c r="Z175" s="8"/>
    </row>
    <row r="176" spans="1:26" ht="13.2">
      <c r="A176" s="13">
        <v>44250.760567129633</v>
      </c>
      <c r="B176" s="6" t="str">
        <f>HYPERLINK("https://twitter.com/jskalia","@jskalia")</f>
        <v>@jskalia</v>
      </c>
      <c r="C176" s="14" t="s">
        <v>889</v>
      </c>
      <c r="D176" s="14" t="s">
        <v>890</v>
      </c>
      <c r="E176" s="6" t="str">
        <f>HYPERLINK("https://twitter.com/jskalia/status/1364262551115223041","1364262551115223041")</f>
        <v>1364262551115223041</v>
      </c>
      <c r="F176" s="7" t="s">
        <v>891</v>
      </c>
      <c r="G176" s="8"/>
      <c r="H176" s="8"/>
      <c r="I176" s="14">
        <v>1</v>
      </c>
      <c r="J176" s="14">
        <v>0</v>
      </c>
      <c r="K176" s="6" t="str">
        <f>HYPERLINK("https://www.hootsuite.com","Hootsuite Inc.")</f>
        <v>Hootsuite Inc.</v>
      </c>
      <c r="L176" s="15">
        <v>133</v>
      </c>
      <c r="M176" s="15">
        <v>380</v>
      </c>
      <c r="N176" s="15">
        <v>1</v>
      </c>
      <c r="O176" s="9"/>
      <c r="P176" s="10">
        <v>39660.655624999999</v>
      </c>
      <c r="Q176" s="14" t="s">
        <v>892</v>
      </c>
      <c r="R176" s="14" t="s">
        <v>893</v>
      </c>
      <c r="S176" s="7" t="s">
        <v>894</v>
      </c>
      <c r="T176" s="8"/>
      <c r="U176" s="11" t="str">
        <f>HYPERLINK("https://pbs.twimg.com/profile_images/1176302763027947525/ZsxrML09.jpg","View")</f>
        <v>View</v>
      </c>
      <c r="V176" s="8"/>
      <c r="W176" s="8"/>
      <c r="X176" s="8"/>
      <c r="Y176" s="8"/>
      <c r="Z176" s="8"/>
    </row>
    <row r="177" spans="1:26" ht="13.2">
      <c r="A177" s="13">
        <v>44250.760555555556</v>
      </c>
      <c r="B177" s="6" t="str">
        <f>HYPERLINK("https://twitter.com/nigewillson","@nigewillson")</f>
        <v>@nigewillson</v>
      </c>
      <c r="C177" s="14" t="s">
        <v>95</v>
      </c>
      <c r="D177" s="14" t="s">
        <v>895</v>
      </c>
      <c r="E177" s="6" t="str">
        <f>HYPERLINK("https://twitter.com/nigewillson/status/1364262544593059844","1364262544593059844")</f>
        <v>1364262544593059844</v>
      </c>
      <c r="F177" s="7" t="s">
        <v>896</v>
      </c>
      <c r="G177" s="7" t="s">
        <v>897</v>
      </c>
      <c r="H177" s="8"/>
      <c r="I177" s="14">
        <v>8</v>
      </c>
      <c r="J177" s="14">
        <v>2</v>
      </c>
      <c r="K177" s="6" t="str">
        <f>HYPERLINK("https://buffer.com","Buffer")</f>
        <v>Buffer</v>
      </c>
      <c r="L177" s="15">
        <v>57515</v>
      </c>
      <c r="M177" s="15">
        <v>49523</v>
      </c>
      <c r="N177" s="15">
        <v>1688</v>
      </c>
      <c r="O177" s="9"/>
      <c r="P177" s="10">
        <v>40530.666805555556</v>
      </c>
      <c r="Q177" s="14" t="s">
        <v>99</v>
      </c>
      <c r="R177" s="14" t="s">
        <v>100</v>
      </c>
      <c r="S177" s="7" t="s">
        <v>101</v>
      </c>
      <c r="T177" s="8"/>
      <c r="U177" s="11" t="str">
        <f>HYPERLINK("https://pbs.twimg.com/profile_images/1085251590997622784/x9mWVQ1d.jpg","View")</f>
        <v>View</v>
      </c>
      <c r="V177" s="8"/>
      <c r="W177" s="8"/>
      <c r="X177" s="8"/>
      <c r="Y177" s="8"/>
      <c r="Z177" s="8"/>
    </row>
    <row r="178" spans="1:26" ht="13.2">
      <c r="A178" s="13">
        <v>44250.760370370372</v>
      </c>
      <c r="B178" s="6" t="str">
        <f>HYPERLINK("https://twitter.com/MIMChennai","@MIMChennai")</f>
        <v>@MIMChennai</v>
      </c>
      <c r="C178" s="14" t="s">
        <v>898</v>
      </c>
      <c r="D178" s="14" t="s">
        <v>899</v>
      </c>
      <c r="E178" s="6" t="str">
        <f>HYPERLINK("https://twitter.com/MIMChennai/status/1364262477651869697","1364262477651869697")</f>
        <v>1364262477651869697</v>
      </c>
      <c r="F178" s="8"/>
      <c r="G178" s="7" t="s">
        <v>900</v>
      </c>
      <c r="H178" s="8"/>
      <c r="I178" s="14">
        <v>1</v>
      </c>
      <c r="J178" s="14">
        <v>0</v>
      </c>
      <c r="K178" s="6" t="str">
        <f>HYPERLINK("https://mobile.twitter.com","Twitter Web App")</f>
        <v>Twitter Web App</v>
      </c>
      <c r="L178" s="15">
        <v>56</v>
      </c>
      <c r="M178" s="15">
        <v>0</v>
      </c>
      <c r="N178" s="15">
        <v>0</v>
      </c>
      <c r="O178" s="9"/>
      <c r="P178" s="10">
        <v>42585.875405092593</v>
      </c>
      <c r="Q178" s="14" t="s">
        <v>901</v>
      </c>
      <c r="R178" s="14" t="s">
        <v>902</v>
      </c>
      <c r="S178" s="7" t="s">
        <v>903</v>
      </c>
      <c r="T178" s="8"/>
      <c r="U178" s="11" t="str">
        <f>HYPERLINK("https://pbs.twimg.com/profile_images/1262322588300087296/pl4G3aeT.jpg","View")</f>
        <v>View</v>
      </c>
      <c r="V178" s="8"/>
      <c r="W178" s="8"/>
      <c r="X178" s="8"/>
      <c r="Y178" s="8"/>
      <c r="Z178" s="8"/>
    </row>
    <row r="179" spans="1:26" ht="13.2">
      <c r="A179" s="13">
        <v>44250.759976851856</v>
      </c>
      <c r="B179" s="6" t="str">
        <f>HYPERLINK("https://twitter.com/patrickhopper","@patrickhopper")</f>
        <v>@patrickhopper</v>
      </c>
      <c r="C179" s="14" t="s">
        <v>904</v>
      </c>
      <c r="D179" s="14" t="s">
        <v>905</v>
      </c>
      <c r="E179" s="6" t="str">
        <f>HYPERLINK("https://twitter.com/patrickhopper/status/1364262335494246401","1364262335494246401")</f>
        <v>1364262335494246401</v>
      </c>
      <c r="F179" s="14" t="s">
        <v>906</v>
      </c>
      <c r="G179" s="8"/>
      <c r="H179" s="8"/>
      <c r="I179" s="14">
        <v>2</v>
      </c>
      <c r="J179" s="14">
        <v>1</v>
      </c>
      <c r="K179" s="6" t="str">
        <f>HYPERLINK("http://www.linkedin.com/","LinkedIn")</f>
        <v>LinkedIn</v>
      </c>
      <c r="L179" s="15">
        <v>7568</v>
      </c>
      <c r="M179" s="15">
        <v>8158</v>
      </c>
      <c r="N179" s="15">
        <v>243</v>
      </c>
      <c r="O179" s="9"/>
      <c r="P179" s="10">
        <v>39655.835069444445</v>
      </c>
      <c r="Q179" s="14" t="s">
        <v>907</v>
      </c>
      <c r="R179" s="14" t="s">
        <v>908</v>
      </c>
      <c r="S179" s="7" t="s">
        <v>909</v>
      </c>
      <c r="T179" s="8"/>
      <c r="U179" s="11" t="str">
        <f>HYPERLINK("https://pbs.twimg.com/profile_images/905390008202354689/aJOhQi3T.jpg","View")</f>
        <v>View</v>
      </c>
      <c r="V179" s="8"/>
      <c r="W179" s="8"/>
      <c r="X179" s="8"/>
      <c r="Y179" s="8"/>
      <c r="Z179" s="8"/>
    </row>
    <row r="180" spans="1:26" ht="13.2">
      <c r="A180" s="13">
        <v>44250.759456018517</v>
      </c>
      <c r="B180" s="6" t="str">
        <f>HYPERLINK("https://twitter.com/NatureCancer","@NatureCancer")</f>
        <v>@NatureCancer</v>
      </c>
      <c r="C180" s="14" t="s">
        <v>910</v>
      </c>
      <c r="D180" s="14" t="s">
        <v>911</v>
      </c>
      <c r="E180" s="6" t="str">
        <f>HYPERLINK("https://twitter.com/NatureCancer/status/1364262149091188739","1364262149091188739")</f>
        <v>1364262149091188739</v>
      </c>
      <c r="F180" s="7" t="s">
        <v>912</v>
      </c>
      <c r="G180" s="7" t="s">
        <v>913</v>
      </c>
      <c r="H180" s="8"/>
      <c r="I180" s="14">
        <v>10</v>
      </c>
      <c r="J180" s="14">
        <v>17</v>
      </c>
      <c r="K180" s="6" t="str">
        <f t="shared" ref="K180:K181" si="18">HYPERLINK("https://mobile.twitter.com","Twitter Web App")</f>
        <v>Twitter Web App</v>
      </c>
      <c r="L180" s="15">
        <v>12009</v>
      </c>
      <c r="M180" s="15">
        <v>288</v>
      </c>
      <c r="N180" s="15">
        <v>149</v>
      </c>
      <c r="O180" s="9"/>
      <c r="P180" s="10">
        <v>43479.986747685187</v>
      </c>
      <c r="Q180" s="14" t="s">
        <v>914</v>
      </c>
      <c r="R180" s="14" t="s">
        <v>915</v>
      </c>
      <c r="S180" s="7" t="s">
        <v>916</v>
      </c>
      <c r="T180" s="8"/>
      <c r="U180" s="11" t="str">
        <f>HYPERLINK("https://pbs.twimg.com/profile_images/1187114001622274050/u0KY0AW8.jpg","View")</f>
        <v>View</v>
      </c>
      <c r="V180" s="8"/>
      <c r="W180" s="8"/>
      <c r="X180" s="8"/>
      <c r="Y180" s="8"/>
      <c r="Z180" s="8"/>
    </row>
    <row r="181" spans="1:26" ht="13.2">
      <c r="A181" s="13">
        <v>44250.759004629625</v>
      </c>
      <c r="B181" s="6" t="str">
        <f>HYPERLINK("https://twitter.com/npxinnovation","@npxinnovation")</f>
        <v>@npxinnovation</v>
      </c>
      <c r="C181" s="14" t="s">
        <v>917</v>
      </c>
      <c r="D181" s="14" t="s">
        <v>918</v>
      </c>
      <c r="E181" s="6" t="str">
        <f>HYPERLINK("https://twitter.com/npxinnovation/status/1364261984754089987","1364261984754089987")</f>
        <v>1364261984754089987</v>
      </c>
      <c r="F181" s="7" t="s">
        <v>919</v>
      </c>
      <c r="G181" s="7" t="s">
        <v>920</v>
      </c>
      <c r="H181" s="8"/>
      <c r="I181" s="14">
        <v>2</v>
      </c>
      <c r="J181" s="14">
        <v>3</v>
      </c>
      <c r="K181" s="6" t="str">
        <f t="shared" si="18"/>
        <v>Twitter Web App</v>
      </c>
      <c r="L181" s="15">
        <v>199</v>
      </c>
      <c r="M181" s="15">
        <v>187</v>
      </c>
      <c r="N181" s="15">
        <v>0</v>
      </c>
      <c r="O181" s="9"/>
      <c r="P181" s="10">
        <v>43212.746215277773</v>
      </c>
      <c r="Q181" s="14" t="s">
        <v>696</v>
      </c>
      <c r="R181" s="14" t="s">
        <v>921</v>
      </c>
      <c r="S181" s="7" t="s">
        <v>922</v>
      </c>
      <c r="T181" s="8"/>
      <c r="U181" s="11" t="str">
        <f>HYPERLINK("https://pbs.twimg.com/profile_images/1314593432271192071/pfla0ziA.jpg","View")</f>
        <v>View</v>
      </c>
      <c r="V181" s="8"/>
      <c r="W181" s="8"/>
      <c r="X181" s="8"/>
      <c r="Y181" s="8"/>
      <c r="Z181" s="8"/>
    </row>
    <row r="182" spans="1:26" ht="13.2">
      <c r="A182" s="13">
        <v>44250.759004629625</v>
      </c>
      <c r="B182" s="6" t="str">
        <f>HYPERLINK("https://twitter.com/tianhuil","@tianhuil")</f>
        <v>@tianhuil</v>
      </c>
      <c r="C182" s="14" t="s">
        <v>923</v>
      </c>
      <c r="D182" s="14" t="s">
        <v>924</v>
      </c>
      <c r="E182" s="6" t="str">
        <f>HYPERLINK("https://twitter.com/tianhuil/status/1364261982820589568","1364261982820589568")</f>
        <v>1364261982820589568</v>
      </c>
      <c r="F182" s="7" t="s">
        <v>925</v>
      </c>
      <c r="G182" s="8"/>
      <c r="H182" s="8"/>
      <c r="I182" s="14">
        <v>1</v>
      </c>
      <c r="J182" s="14">
        <v>1</v>
      </c>
      <c r="K182" s="6" t="str">
        <f>HYPERLINK("https://socialpull.globalunderdog.com/","Social-Pull-Staging")</f>
        <v>Social-Pull-Staging</v>
      </c>
      <c r="L182" s="15">
        <v>4962</v>
      </c>
      <c r="M182" s="15">
        <v>4657</v>
      </c>
      <c r="N182" s="15">
        <v>1354</v>
      </c>
      <c r="O182" s="9"/>
      <c r="P182" s="10">
        <v>41075.722881944443</v>
      </c>
      <c r="Q182" s="14" t="s">
        <v>926</v>
      </c>
      <c r="R182" s="14" t="s">
        <v>927</v>
      </c>
      <c r="S182" s="7" t="s">
        <v>928</v>
      </c>
      <c r="T182" s="8"/>
      <c r="U182" s="11" t="str">
        <f>HYPERLINK("https://pbs.twimg.com/profile_images/618184546538749952/5nL3gc4f.jpg","View")</f>
        <v>View</v>
      </c>
      <c r="V182" s="8"/>
      <c r="W182" s="8"/>
      <c r="X182" s="8"/>
      <c r="Y182" s="8"/>
      <c r="Z182" s="8"/>
    </row>
    <row r="183" spans="1:26" ht="13.2">
      <c r="A183" s="13">
        <v>44250.75886574074</v>
      </c>
      <c r="B183" s="6" t="str">
        <f>HYPERLINK("https://twitter.com/Richardnotabot","@Richardnotabot")</f>
        <v>@Richardnotabot</v>
      </c>
      <c r="C183" s="14" t="s">
        <v>929</v>
      </c>
      <c r="D183" s="14" t="s">
        <v>930</v>
      </c>
      <c r="E183" s="6" t="str">
        <f>HYPERLINK("https://twitter.com/Richardnotabot/status/1364261933000572934","1364261933000572934")</f>
        <v>1364261933000572934</v>
      </c>
      <c r="F183" s="7" t="s">
        <v>931</v>
      </c>
      <c r="G183" s="7" t="s">
        <v>932</v>
      </c>
      <c r="H183" s="8"/>
      <c r="I183" s="14">
        <v>1</v>
      </c>
      <c r="J183" s="14">
        <v>0</v>
      </c>
      <c r="K183" s="6" t="str">
        <f>HYPERLINK("http://www.everyonesocial.com","EveryoneSocial")</f>
        <v>EveryoneSocial</v>
      </c>
      <c r="L183" s="15">
        <v>34</v>
      </c>
      <c r="M183" s="15">
        <v>65</v>
      </c>
      <c r="N183" s="15">
        <v>0</v>
      </c>
      <c r="O183" s="9"/>
      <c r="P183" s="10">
        <v>43572.924942129626</v>
      </c>
      <c r="Q183" s="8"/>
      <c r="R183" s="14" t="s">
        <v>933</v>
      </c>
      <c r="S183" s="8"/>
      <c r="T183" s="8"/>
      <c r="U183" s="11" t="str">
        <f>HYPERLINK("https://pbs.twimg.com/profile_images/1252651066610630657/jTwBWSUR.jpg","View")</f>
        <v>View</v>
      </c>
      <c r="V183" s="8"/>
      <c r="W183" s="8"/>
      <c r="X183" s="8"/>
      <c r="Y183" s="8"/>
      <c r="Z183" s="8"/>
    </row>
    <row r="184" spans="1:26" ht="13.2">
      <c r="A184" s="13">
        <v>44250.758333333331</v>
      </c>
      <c r="B184" s="6" t="str">
        <f>HYPERLINK("https://twitter.com/hearingnihr","@hearingnihr")</f>
        <v>@hearingnihr</v>
      </c>
      <c r="C184" s="14" t="s">
        <v>934</v>
      </c>
      <c r="D184" s="14" t="s">
        <v>935</v>
      </c>
      <c r="E184" s="6" t="str">
        <f>HYPERLINK("https://twitter.com/hearingnihr/status/1364261740049965056","1364261740049965056")</f>
        <v>1364261740049965056</v>
      </c>
      <c r="F184" s="7" t="s">
        <v>936</v>
      </c>
      <c r="G184" s="7" t="s">
        <v>937</v>
      </c>
      <c r="H184" s="8"/>
      <c r="I184" s="14">
        <v>2</v>
      </c>
      <c r="J184" s="14">
        <v>1</v>
      </c>
      <c r="K184" s="6" t="str">
        <f>HYPERLINK("https://about.twitter.com/products/tweetdeck","TweetDeck")</f>
        <v>TweetDeck</v>
      </c>
      <c r="L184" s="15">
        <v>1761</v>
      </c>
      <c r="M184" s="15">
        <v>344</v>
      </c>
      <c r="N184" s="15">
        <v>32</v>
      </c>
      <c r="O184" s="9"/>
      <c r="P184" s="10">
        <v>41236.473229166666</v>
      </c>
      <c r="Q184" s="14" t="s">
        <v>938</v>
      </c>
      <c r="R184" s="14" t="s">
        <v>939</v>
      </c>
      <c r="S184" s="7" t="s">
        <v>940</v>
      </c>
      <c r="T184" s="8"/>
      <c r="U184" s="11" t="str">
        <f>HYPERLINK("https://pbs.twimg.com/profile_images/1260564208455835648/zhniLBnJ.png","View")</f>
        <v>View</v>
      </c>
      <c r="V184" s="8"/>
      <c r="W184" s="8"/>
      <c r="X184" s="8"/>
      <c r="Y184" s="8"/>
      <c r="Z184" s="8"/>
    </row>
    <row r="185" spans="1:26" ht="13.2">
      <c r="A185" s="13">
        <v>44250.7581712963</v>
      </c>
      <c r="B185" s="6" t="str">
        <f>HYPERLINK("https://twitter.com/CambridgeGloba1","@CambridgeGloba1")</f>
        <v>@CambridgeGloba1</v>
      </c>
      <c r="C185" s="14" t="s">
        <v>941</v>
      </c>
      <c r="D185" s="14" t="s">
        <v>942</v>
      </c>
      <c r="E185" s="6" t="str">
        <f>HYPERLINK("https://twitter.com/CambridgeGloba1/status/1364261681753444353","1364261681753444353")</f>
        <v>1364261681753444353</v>
      </c>
      <c r="F185" s="7" t="s">
        <v>943</v>
      </c>
      <c r="G185" s="7" t="s">
        <v>944</v>
      </c>
      <c r="H185" s="8"/>
      <c r="I185" s="14">
        <v>1</v>
      </c>
      <c r="J185" s="14">
        <v>1</v>
      </c>
      <c r="K185" s="6" t="str">
        <f t="shared" ref="K185:K186" si="19">HYPERLINK("https://mobile.twitter.com","Twitter Web App")</f>
        <v>Twitter Web App</v>
      </c>
      <c r="L185" s="15">
        <v>733</v>
      </c>
      <c r="M185" s="15">
        <v>545</v>
      </c>
      <c r="N185" s="15">
        <v>14</v>
      </c>
      <c r="O185" s="9"/>
      <c r="P185" s="10">
        <v>43605.011284722219</v>
      </c>
      <c r="Q185" s="14" t="s">
        <v>350</v>
      </c>
      <c r="R185" s="14" t="s">
        <v>945</v>
      </c>
      <c r="S185" s="7" t="s">
        <v>946</v>
      </c>
      <c r="T185" s="8"/>
      <c r="U185" s="11" t="str">
        <f>HYPERLINK("https://pbs.twimg.com/profile_images/1130236075883073537/0leusNsu.jpg","View")</f>
        <v>View</v>
      </c>
      <c r="V185" s="8"/>
      <c r="W185" s="8"/>
      <c r="X185" s="8"/>
      <c r="Y185" s="8"/>
      <c r="Z185" s="8"/>
    </row>
    <row r="186" spans="1:26" ht="13.2">
      <c r="A186" s="13">
        <v>44250.757974537039</v>
      </c>
      <c r="B186" s="6" t="str">
        <f>HYPERLINK("https://twitter.com/Eli_Krumova","@Eli_Krumova")</f>
        <v>@Eli_Krumova</v>
      </c>
      <c r="C186" s="14" t="s">
        <v>947</v>
      </c>
      <c r="D186" s="14" t="s">
        <v>948</v>
      </c>
      <c r="E186" s="6" t="str">
        <f>HYPERLINK("https://twitter.com/Eli_Krumova/status/1364261612274745353","1364261612274745353")</f>
        <v>1364261612274745353</v>
      </c>
      <c r="F186" s="7" t="s">
        <v>949</v>
      </c>
      <c r="G186" s="14" t="s">
        <v>950</v>
      </c>
      <c r="H186" s="8"/>
      <c r="I186" s="14">
        <v>8</v>
      </c>
      <c r="J186" s="14">
        <v>4</v>
      </c>
      <c r="K186" s="6" t="str">
        <f t="shared" si="19"/>
        <v>Twitter Web App</v>
      </c>
      <c r="L186" s="15">
        <v>4471</v>
      </c>
      <c r="M186" s="15">
        <v>5001</v>
      </c>
      <c r="N186" s="15">
        <v>79</v>
      </c>
      <c r="O186" s="9"/>
      <c r="P186" s="10">
        <v>41346.597002314811</v>
      </c>
      <c r="Q186" s="14" t="s">
        <v>951</v>
      </c>
      <c r="R186" s="14" t="s">
        <v>952</v>
      </c>
      <c r="S186" s="8"/>
      <c r="T186" s="8"/>
      <c r="U186" s="11" t="str">
        <f>HYPERLINK("https://pbs.twimg.com/profile_images/1361638888427683840/HqNlplM_.jpg","View")</f>
        <v>View</v>
      </c>
      <c r="V186" s="8"/>
      <c r="W186" s="8"/>
      <c r="X186" s="8"/>
      <c r="Y186" s="8"/>
      <c r="Z186" s="8"/>
    </row>
    <row r="187" spans="1:26" ht="13.2">
      <c r="A187" s="13">
        <v>44250.757754629631</v>
      </c>
      <c r="B187" s="6" t="str">
        <f>HYPERLINK("https://twitter.com/enREDo","@enREDo")</f>
        <v>@enREDo</v>
      </c>
      <c r="C187" s="14" t="s">
        <v>953</v>
      </c>
      <c r="D187" s="14" t="s">
        <v>954</v>
      </c>
      <c r="E187" s="6" t="str">
        <f>HYPERLINK("https://twitter.com/enREDo/status/1364261529923780609","1364261529923780609")</f>
        <v>1364261529923780609</v>
      </c>
      <c r="F187" s="7" t="s">
        <v>955</v>
      </c>
      <c r="G187" s="8"/>
      <c r="H187" s="8"/>
      <c r="I187" s="14">
        <v>0</v>
      </c>
      <c r="J187" s="14">
        <v>1</v>
      </c>
      <c r="K187" s="6" t="str">
        <f>HYPERLINK("https://paper.li","Paper.li")</f>
        <v>Paper.li</v>
      </c>
      <c r="L187" s="15">
        <v>11915</v>
      </c>
      <c r="M187" s="15">
        <v>3601</v>
      </c>
      <c r="N187" s="15">
        <v>211</v>
      </c>
      <c r="O187" s="9"/>
      <c r="P187" s="10">
        <v>39641.999178240745</v>
      </c>
      <c r="Q187" s="14" t="s">
        <v>956</v>
      </c>
      <c r="R187" s="14" t="s">
        <v>957</v>
      </c>
      <c r="S187" s="7" t="s">
        <v>958</v>
      </c>
      <c r="T187" s="8"/>
      <c r="U187" s="11" t="str">
        <f>HYPERLINK("https://pbs.twimg.com/profile_images/775901571452375040/Ut5jj5OO.jpg","View")</f>
        <v>View</v>
      </c>
      <c r="V187" s="8"/>
      <c r="W187" s="8"/>
      <c r="X187" s="8"/>
      <c r="Y187" s="8"/>
      <c r="Z187" s="8"/>
    </row>
    <row r="188" spans="1:26" ht="13.2">
      <c r="A188" s="13">
        <v>44250.757731481484</v>
      </c>
      <c r="B188" s="6" t="str">
        <f>HYPERLINK("https://twitter.com/HerveMicollet","@HerveMicollet")</f>
        <v>@HerveMicollet</v>
      </c>
      <c r="C188" s="14" t="s">
        <v>959</v>
      </c>
      <c r="D188" s="14" t="s">
        <v>960</v>
      </c>
      <c r="E188" s="6" t="str">
        <f>HYPERLINK("https://twitter.com/HerveMicollet/status/1364261524169125890","1364261524169125890")</f>
        <v>1364261524169125890</v>
      </c>
      <c r="F188" s="7" t="s">
        <v>961</v>
      </c>
      <c r="G188" s="8"/>
      <c r="H188" s="8"/>
      <c r="I188" s="14">
        <v>9</v>
      </c>
      <c r="J188" s="14">
        <v>2</v>
      </c>
      <c r="K188" s="6" t="str">
        <f>HYPERLINK("http://www.linkedin.com/","LinkedIn")</f>
        <v>LinkedIn</v>
      </c>
      <c r="L188" s="15">
        <v>349</v>
      </c>
      <c r="M188" s="15">
        <v>298</v>
      </c>
      <c r="N188" s="15">
        <v>77</v>
      </c>
      <c r="O188" s="9"/>
      <c r="P188" s="10">
        <v>41538.342314814814</v>
      </c>
      <c r="Q188" s="14" t="s">
        <v>962</v>
      </c>
      <c r="R188" s="14" t="s">
        <v>963</v>
      </c>
      <c r="S188" s="7" t="s">
        <v>964</v>
      </c>
      <c r="T188" s="8"/>
      <c r="U188" s="11" t="str">
        <f>HYPERLINK("https://pbs.twimg.com/profile_images/641518931514159104/_7Ti_yUJ.jpg","View")</f>
        <v>View</v>
      </c>
      <c r="V188" s="8"/>
      <c r="W188" s="8"/>
      <c r="X188" s="8"/>
      <c r="Y188" s="8"/>
      <c r="Z188" s="8"/>
    </row>
    <row r="189" spans="1:26" ht="13.2">
      <c r="A189" s="13">
        <v>44250.75717592593</v>
      </c>
      <c r="B189" s="6" t="str">
        <f>HYPERLINK("https://twitter.com/saqibali_ca","@saqibali_ca")</f>
        <v>@saqibali_ca</v>
      </c>
      <c r="C189" s="14" t="s">
        <v>965</v>
      </c>
      <c r="D189" s="14" t="s">
        <v>966</v>
      </c>
      <c r="E189" s="6" t="str">
        <f>HYPERLINK("https://twitter.com/saqibali_ca/status/1364261320623673345","1364261320623673345")</f>
        <v>1364261320623673345</v>
      </c>
      <c r="F189" s="7" t="s">
        <v>967</v>
      </c>
      <c r="G189" s="8"/>
      <c r="H189" s="8"/>
      <c r="I189" s="14">
        <v>1</v>
      </c>
      <c r="J189" s="14">
        <v>0</v>
      </c>
      <c r="K189" s="8"/>
      <c r="L189" s="15">
        <v>270</v>
      </c>
      <c r="M189" s="15">
        <v>0</v>
      </c>
      <c r="N189" s="15">
        <v>3</v>
      </c>
      <c r="O189" s="9"/>
      <c r="P189" s="10">
        <v>43119.848680555559</v>
      </c>
      <c r="Q189" s="14" t="s">
        <v>968</v>
      </c>
      <c r="R189" s="14" t="s">
        <v>969</v>
      </c>
      <c r="S189" s="7" t="s">
        <v>970</v>
      </c>
      <c r="T189" s="8"/>
      <c r="U189" s="11" t="str">
        <f>HYPERLINK("https://pbs.twimg.com/profile_images/1142963749285855233/c6NRGCvi.jpg","View")</f>
        <v>View</v>
      </c>
      <c r="V189" s="8"/>
      <c r="W189" s="8"/>
      <c r="X189" s="8"/>
      <c r="Y189" s="8"/>
      <c r="Z189" s="8"/>
    </row>
    <row r="190" spans="1:26" ht="13.2">
      <c r="A190" s="13">
        <v>44250.756967592592</v>
      </c>
      <c r="B190" s="6" t="str">
        <f>HYPERLINK("https://twitter.com/nigewillson","@nigewillson")</f>
        <v>@nigewillson</v>
      </c>
      <c r="C190" s="14" t="s">
        <v>95</v>
      </c>
      <c r="D190" s="14" t="s">
        <v>971</v>
      </c>
      <c r="E190" s="6" t="str">
        <f>HYPERLINK("https://twitter.com/nigewillson/status/1364261244685996035","1364261244685996035")</f>
        <v>1364261244685996035</v>
      </c>
      <c r="F190" s="7" t="s">
        <v>972</v>
      </c>
      <c r="G190" s="7" t="s">
        <v>973</v>
      </c>
      <c r="H190" s="8"/>
      <c r="I190" s="14">
        <v>4</v>
      </c>
      <c r="J190" s="14">
        <v>7</v>
      </c>
      <c r="K190" s="6" t="str">
        <f>HYPERLINK("https://buffer.com","Buffer")</f>
        <v>Buffer</v>
      </c>
      <c r="L190" s="15">
        <v>57515</v>
      </c>
      <c r="M190" s="15">
        <v>49523</v>
      </c>
      <c r="N190" s="15">
        <v>1688</v>
      </c>
      <c r="O190" s="9"/>
      <c r="P190" s="10">
        <v>40530.666805555556</v>
      </c>
      <c r="Q190" s="14" t="s">
        <v>99</v>
      </c>
      <c r="R190" s="14" t="s">
        <v>100</v>
      </c>
      <c r="S190" s="7" t="s">
        <v>101</v>
      </c>
      <c r="T190" s="8"/>
      <c r="U190" s="11" t="str">
        <f>HYPERLINK("https://pbs.twimg.com/profile_images/1085251590997622784/x9mWVQ1d.jpg","View")</f>
        <v>View</v>
      </c>
      <c r="V190" s="8"/>
      <c r="W190" s="8"/>
      <c r="X190" s="8"/>
      <c r="Y190" s="8"/>
      <c r="Z190" s="8"/>
    </row>
    <row r="191" spans="1:26" ht="13.2">
      <c r="A191" s="13">
        <v>44250.75680555556</v>
      </c>
      <c r="B191" s="6" t="str">
        <f>HYPERLINK("https://twitter.com/Richardnotabot","@Richardnotabot")</f>
        <v>@Richardnotabot</v>
      </c>
      <c r="C191" s="14" t="s">
        <v>929</v>
      </c>
      <c r="D191" s="14" t="s">
        <v>930</v>
      </c>
      <c r="E191" s="6" t="str">
        <f>HYPERLINK("https://twitter.com/Richardnotabot/status/1364261187022712837","1364261187022712837")</f>
        <v>1364261187022712837</v>
      </c>
      <c r="F191" s="7" t="s">
        <v>974</v>
      </c>
      <c r="G191" s="7" t="s">
        <v>975</v>
      </c>
      <c r="H191" s="8"/>
      <c r="I191" s="14">
        <v>1</v>
      </c>
      <c r="J191" s="14">
        <v>0</v>
      </c>
      <c r="K191" s="6" t="str">
        <f>HYPERLINK("http://www.everyonesocial.com","EveryoneSocial")</f>
        <v>EveryoneSocial</v>
      </c>
      <c r="L191" s="15">
        <v>34</v>
      </c>
      <c r="M191" s="15">
        <v>65</v>
      </c>
      <c r="N191" s="15">
        <v>0</v>
      </c>
      <c r="O191" s="9"/>
      <c r="P191" s="10">
        <v>43572.924942129626</v>
      </c>
      <c r="Q191" s="8"/>
      <c r="R191" s="14" t="s">
        <v>933</v>
      </c>
      <c r="S191" s="8"/>
      <c r="T191" s="8"/>
      <c r="U191" s="11" t="str">
        <f>HYPERLINK("https://pbs.twimg.com/profile_images/1252651066610630657/jTwBWSUR.jpg","View")</f>
        <v>View</v>
      </c>
      <c r="V191" s="8"/>
      <c r="W191" s="8"/>
      <c r="X191" s="8"/>
      <c r="Y191" s="8"/>
      <c r="Z191" s="8"/>
    </row>
    <row r="192" spans="1:26" ht="13.2">
      <c r="A192" s="13">
        <v>44250.756562499999</v>
      </c>
      <c r="B192" s="6" t="str">
        <f>HYPERLINK("https://twitter.com/ML4U_org","@ML4U_org")</f>
        <v>@ML4U_org</v>
      </c>
      <c r="C192" s="14" t="s">
        <v>976</v>
      </c>
      <c r="D192" s="14" t="s">
        <v>977</v>
      </c>
      <c r="E192" s="6" t="str">
        <f>HYPERLINK("https://twitter.com/ML4U_org/status/1364261100913528834","1364261100913528834")</f>
        <v>1364261100913528834</v>
      </c>
      <c r="F192" s="8"/>
      <c r="G192" s="7" t="s">
        <v>978</v>
      </c>
      <c r="H192" s="8"/>
      <c r="I192" s="14">
        <v>1</v>
      </c>
      <c r="J192" s="14">
        <v>1</v>
      </c>
      <c r="K192" s="6" t="str">
        <f>HYPERLINK("http://twitter.com/download/iphone","Twitter for iPhone")</f>
        <v>Twitter for iPhone</v>
      </c>
      <c r="L192" s="15">
        <v>2</v>
      </c>
      <c r="M192" s="15">
        <v>38</v>
      </c>
      <c r="N192" s="15">
        <v>0</v>
      </c>
      <c r="O192" s="9"/>
      <c r="P192" s="10">
        <v>44194.089641203704</v>
      </c>
      <c r="Q192" s="8"/>
      <c r="R192" s="14" t="s">
        <v>979</v>
      </c>
      <c r="S192" s="8"/>
      <c r="T192" s="8"/>
      <c r="U192" s="11" t="str">
        <f>HYPERLINK("https://pbs.twimg.com/profile_images/1343725792086220801/qBiF7wiE.jpg","View")</f>
        <v>View</v>
      </c>
      <c r="V192" s="8"/>
      <c r="W192" s="8"/>
      <c r="X192" s="8"/>
      <c r="Y192" s="8"/>
      <c r="Z192" s="8"/>
    </row>
    <row r="193" spans="1:26" ht="13.2">
      <c r="A193" s="13">
        <v>44250.756435185191</v>
      </c>
      <c r="B193" s="6" t="str">
        <f>HYPERLINK("https://twitter.com/BVCPAs_Tax","@BVCPAs_Tax")</f>
        <v>@BVCPAs_Tax</v>
      </c>
      <c r="C193" s="14" t="s">
        <v>980</v>
      </c>
      <c r="D193" s="14" t="s">
        <v>981</v>
      </c>
      <c r="E193" s="6" t="str">
        <f>HYPERLINK("https://twitter.com/BVCPAs_Tax/status/1364261051890499584","1364261051890499584")</f>
        <v>1364261051890499584</v>
      </c>
      <c r="F193" s="8"/>
      <c r="G193" s="7" t="s">
        <v>982</v>
      </c>
      <c r="H193" s="8"/>
      <c r="I193" s="14">
        <v>1</v>
      </c>
      <c r="J193" s="14">
        <v>3</v>
      </c>
      <c r="K193" s="6" t="str">
        <f>HYPERLINK("https://mobile.twitter.com","Twitter Web App")</f>
        <v>Twitter Web App</v>
      </c>
      <c r="L193" s="15">
        <v>7</v>
      </c>
      <c r="M193" s="15">
        <v>84</v>
      </c>
      <c r="N193" s="15">
        <v>0</v>
      </c>
      <c r="O193" s="9"/>
      <c r="P193" s="10">
        <v>44219.018773148149</v>
      </c>
      <c r="Q193" s="14" t="s">
        <v>983</v>
      </c>
      <c r="R193" s="14" t="s">
        <v>984</v>
      </c>
      <c r="S193" s="7" t="s">
        <v>985</v>
      </c>
      <c r="T193" s="8"/>
      <c r="U193" s="11" t="str">
        <f>HYPERLINK("https://pbs.twimg.com/profile_images/1352761831039913984/bjTRdTuQ.jpg","View")</f>
        <v>View</v>
      </c>
      <c r="V193" s="8"/>
      <c r="W193" s="8"/>
      <c r="X193" s="8"/>
      <c r="Y193" s="8"/>
      <c r="Z193" s="8"/>
    </row>
    <row r="194" spans="1:26" ht="13.2">
      <c r="A194" s="13">
        <v>44250.755937499998</v>
      </c>
      <c r="B194" s="6" t="str">
        <f>HYPERLINK("https://twitter.com/NTrayanova","@NTrayanova")</f>
        <v>@NTrayanova</v>
      </c>
      <c r="C194" s="14" t="s">
        <v>986</v>
      </c>
      <c r="D194" s="14" t="s">
        <v>987</v>
      </c>
      <c r="E194" s="6" t="str">
        <f>HYPERLINK("https://twitter.com/NTrayanova/status/1364260873636892673","1364260873636892673")</f>
        <v>1364260873636892673</v>
      </c>
      <c r="F194" s="14" t="s">
        <v>988</v>
      </c>
      <c r="G194" s="7" t="s">
        <v>989</v>
      </c>
      <c r="H194" s="8"/>
      <c r="I194" s="14">
        <v>6</v>
      </c>
      <c r="J194" s="14">
        <v>6</v>
      </c>
      <c r="K194" s="6" t="str">
        <f>HYPERLINK("http://twitter.com/download/iphone","Twitter for iPhone")</f>
        <v>Twitter for iPhone</v>
      </c>
      <c r="L194" s="15">
        <v>1199</v>
      </c>
      <c r="M194" s="15">
        <v>452</v>
      </c>
      <c r="N194" s="15">
        <v>9</v>
      </c>
      <c r="O194" s="9"/>
      <c r="P194" s="10">
        <v>41783.302905092591</v>
      </c>
      <c r="Q194" s="14" t="s">
        <v>990</v>
      </c>
      <c r="R194" s="14" t="s">
        <v>991</v>
      </c>
      <c r="S194" s="7" t="s">
        <v>992</v>
      </c>
      <c r="T194" s="8"/>
      <c r="U194" s="11" t="str">
        <f>HYPERLINK("https://pbs.twimg.com/profile_images/731213028834713601/Tx45FRw7.jpg","View")</f>
        <v>View</v>
      </c>
      <c r="V194" s="8"/>
      <c r="W194" s="8"/>
      <c r="X194" s="8"/>
      <c r="Y194" s="8"/>
      <c r="Z194" s="8"/>
    </row>
    <row r="195" spans="1:26" ht="13.2">
      <c r="A195" s="13">
        <v>44250.755775462967</v>
      </c>
      <c r="B195" s="6" t="str">
        <f>HYPERLINK("https://twitter.com/towards_AI","@towards_AI")</f>
        <v>@towards_AI</v>
      </c>
      <c r="C195" s="14" t="s">
        <v>993</v>
      </c>
      <c r="D195" s="14" t="s">
        <v>476</v>
      </c>
      <c r="E195" s="6" t="str">
        <f>HYPERLINK("https://twitter.com/towards_AI/status/1364260815977779203","1364260815977779203")</f>
        <v>1364260815977779203</v>
      </c>
      <c r="F195" s="7" t="s">
        <v>477</v>
      </c>
      <c r="G195" s="8"/>
      <c r="H195" s="8"/>
      <c r="I195" s="14">
        <v>1</v>
      </c>
      <c r="J195" s="14">
        <v>2</v>
      </c>
      <c r="K195" s="6" t="str">
        <f>HYPERLINK("https://ifttt.com","IFTTT")</f>
        <v>IFTTT</v>
      </c>
      <c r="L195" s="15">
        <v>4357</v>
      </c>
      <c r="M195" s="15">
        <v>17</v>
      </c>
      <c r="N195" s="15">
        <v>66</v>
      </c>
      <c r="O195" s="9"/>
      <c r="P195" s="10">
        <v>43565.689467592594</v>
      </c>
      <c r="Q195" s="14" t="s">
        <v>322</v>
      </c>
      <c r="R195" s="14" t="s">
        <v>994</v>
      </c>
      <c r="S195" s="7" t="s">
        <v>995</v>
      </c>
      <c r="T195" s="8"/>
      <c r="U195" s="11" t="str">
        <f>HYPERLINK("https://pbs.twimg.com/profile_images/1289733180468203520/z8oEBpFo.png","View")</f>
        <v>View</v>
      </c>
      <c r="V195" s="8"/>
      <c r="W195" s="8"/>
      <c r="X195" s="8"/>
      <c r="Y195" s="8"/>
      <c r="Z195" s="8"/>
    </row>
    <row r="196" spans="1:26" ht="13.2">
      <c r="A196" s="13">
        <v>44250.755706018521</v>
      </c>
      <c r="B196" s="6" t="str">
        <f>HYPERLINK("https://twitter.com/compunetics","@compunetics")</f>
        <v>@compunetics</v>
      </c>
      <c r="C196" s="14" t="s">
        <v>996</v>
      </c>
      <c r="D196" s="14" t="s">
        <v>997</v>
      </c>
      <c r="E196" s="6" t="str">
        <f>HYPERLINK("https://twitter.com/compunetics/status/1364260790040158217","1364260790040158217")</f>
        <v>1364260790040158217</v>
      </c>
      <c r="F196" s="7" t="s">
        <v>998</v>
      </c>
      <c r="G196" s="8"/>
      <c r="H196" s="8"/>
      <c r="I196" s="14">
        <v>1</v>
      </c>
      <c r="J196" s="14">
        <v>0</v>
      </c>
      <c r="K196" s="6" t="str">
        <f>HYPERLINK("https://mobile.twitter.com","Twitter Web App")</f>
        <v>Twitter Web App</v>
      </c>
      <c r="L196" s="15">
        <v>201</v>
      </c>
      <c r="M196" s="15">
        <v>651</v>
      </c>
      <c r="N196" s="15">
        <v>0</v>
      </c>
      <c r="O196" s="9"/>
      <c r="P196" s="10">
        <v>43930.573333333334</v>
      </c>
      <c r="Q196" s="8"/>
      <c r="R196" s="14" t="s">
        <v>999</v>
      </c>
      <c r="S196" s="7" t="s">
        <v>1000</v>
      </c>
      <c r="T196" s="8"/>
      <c r="U196" s="11" t="str">
        <f>HYPERLINK("https://pbs.twimg.com/profile_images/1248248769935634432/aLN96fe_.jpg","View")</f>
        <v>View</v>
      </c>
      <c r="V196" s="8"/>
      <c r="W196" s="8"/>
      <c r="X196" s="8"/>
      <c r="Y196" s="8"/>
      <c r="Z196" s="8"/>
    </row>
    <row r="197" spans="1:26" ht="13.2">
      <c r="A197" s="13">
        <v>44250.755578703705</v>
      </c>
      <c r="B197" s="6" t="str">
        <f>HYPERLINK("https://twitter.com/Calsoft_Data","@Calsoft_Data")</f>
        <v>@Calsoft_Data</v>
      </c>
      <c r="C197" s="14" t="s">
        <v>1001</v>
      </c>
      <c r="D197" s="14" t="s">
        <v>1002</v>
      </c>
      <c r="E197" s="6" t="str">
        <f>HYPERLINK("https://twitter.com/Calsoft_Data/status/1364260743198236675","1364260743198236675")</f>
        <v>1364260743198236675</v>
      </c>
      <c r="F197" s="7" t="s">
        <v>1003</v>
      </c>
      <c r="G197" s="7" t="s">
        <v>1004</v>
      </c>
      <c r="H197" s="8"/>
      <c r="I197" s="14">
        <v>2</v>
      </c>
      <c r="J197" s="14">
        <v>5</v>
      </c>
      <c r="K197" s="6" t="str">
        <f>HYPERLINK("https://buffer.com","Buffer")</f>
        <v>Buffer</v>
      </c>
      <c r="L197" s="15">
        <v>2700</v>
      </c>
      <c r="M197" s="15">
        <v>960</v>
      </c>
      <c r="N197" s="15">
        <v>20</v>
      </c>
      <c r="O197" s="9"/>
      <c r="P197" s="10">
        <v>43510.451793981483</v>
      </c>
      <c r="Q197" s="8"/>
      <c r="R197" s="14" t="s">
        <v>1005</v>
      </c>
      <c r="S197" s="8"/>
      <c r="T197" s="8"/>
      <c r="U197" s="11" t="str">
        <f>HYPERLINK("https://pbs.twimg.com/profile_images/1095985545094651904/dL1oPs8X.png","View")</f>
        <v>View</v>
      </c>
      <c r="V197" s="8"/>
      <c r="W197" s="8"/>
      <c r="X197" s="8"/>
      <c r="Y197" s="8"/>
      <c r="Z197" s="8"/>
    </row>
    <row r="198" spans="1:26" ht="13.2">
      <c r="A198" s="13">
        <v>44250.75545138889</v>
      </c>
      <c r="B198" s="6" t="str">
        <f>HYPERLINK("https://twitter.com/alexia_zz","@alexia_zz")</f>
        <v>@alexia_zz</v>
      </c>
      <c r="C198" s="14" t="s">
        <v>1006</v>
      </c>
      <c r="D198" s="14" t="s">
        <v>1007</v>
      </c>
      <c r="E198" s="6" t="str">
        <f>HYPERLINK("https://twitter.com/alexia_zz/status/1364260697958469633","1364260697958469633")</f>
        <v>1364260697958469633</v>
      </c>
      <c r="F198" s="7" t="s">
        <v>1008</v>
      </c>
      <c r="G198" s="7" t="s">
        <v>1009</v>
      </c>
      <c r="H198" s="8"/>
      <c r="I198" s="14">
        <v>4</v>
      </c>
      <c r="J198" s="14">
        <v>18</v>
      </c>
      <c r="K198" s="6" t="str">
        <f>HYPERLINK("https://mobile.twitter.com","Twitter Web App")</f>
        <v>Twitter Web App</v>
      </c>
      <c r="L198" s="15">
        <v>4139</v>
      </c>
      <c r="M198" s="15">
        <v>1042</v>
      </c>
      <c r="N198" s="15">
        <v>22</v>
      </c>
      <c r="O198" s="9"/>
      <c r="P198" s="10">
        <v>43213.119884259257</v>
      </c>
      <c r="Q198" s="14" t="s">
        <v>914</v>
      </c>
      <c r="R198" s="14" t="s">
        <v>1010</v>
      </c>
      <c r="S198" s="7" t="s">
        <v>1011</v>
      </c>
      <c r="T198" s="8"/>
      <c r="U198" s="11" t="str">
        <f>HYPERLINK("https://pbs.twimg.com/profile_images/1358157212410130434/NMCG1ArE.jpg","View")</f>
        <v>View</v>
      </c>
      <c r="V198" s="8"/>
      <c r="W198" s="8"/>
      <c r="X198" s="8"/>
      <c r="Y198" s="8"/>
      <c r="Z198" s="8"/>
    </row>
    <row r="199" spans="1:26" ht="13.2">
      <c r="A199" s="13">
        <v>44250.755393518513</v>
      </c>
      <c r="B199" s="6" t="str">
        <f>HYPERLINK("https://twitter.com/machinelearnflx","@machinelearnflx")</f>
        <v>@machinelearnflx</v>
      </c>
      <c r="C199" s="14" t="s">
        <v>279</v>
      </c>
      <c r="D199" s="14" t="s">
        <v>1012</v>
      </c>
      <c r="E199" s="6" t="str">
        <f>HYPERLINK("https://twitter.com/machinelearnflx/status/1364260676009566210","1364260676009566210")</f>
        <v>1364260676009566210</v>
      </c>
      <c r="F199" s="7" t="s">
        <v>1013</v>
      </c>
      <c r="G199" s="8"/>
      <c r="H199" s="8"/>
      <c r="I199" s="14">
        <v>3</v>
      </c>
      <c r="J199" s="14">
        <v>7</v>
      </c>
      <c r="K199" s="6" t="str">
        <f>HYPERLINK("https://twitter.com/pythonbot_","Postmatico")</f>
        <v>Postmatico</v>
      </c>
      <c r="L199" s="15">
        <v>90451</v>
      </c>
      <c r="M199" s="15">
        <v>35464</v>
      </c>
      <c r="N199" s="15">
        <v>2227</v>
      </c>
      <c r="O199" s="9"/>
      <c r="P199" s="10">
        <v>42386.538865740746</v>
      </c>
      <c r="Q199" s="8"/>
      <c r="R199" s="14" t="s">
        <v>282</v>
      </c>
      <c r="S199" s="7" t="s">
        <v>283</v>
      </c>
      <c r="T199" s="8"/>
      <c r="U199" s="11" t="str">
        <f>HYPERLINK("https://pbs.twimg.com/profile_images/688735459892195329/v8sHaWSG.jpg","View")</f>
        <v>View</v>
      </c>
      <c r="V199" s="8"/>
      <c r="W199" s="8"/>
      <c r="X199" s="8"/>
      <c r="Y199" s="8"/>
      <c r="Z199" s="8"/>
    </row>
    <row r="200" spans="1:26" ht="13.2">
      <c r="A200" s="13">
        <v>44250.755370370374</v>
      </c>
      <c r="B200" s="6" t="str">
        <f>HYPERLINK("https://twitter.com/thatneedle","@thatneedle")</f>
        <v>@thatneedle</v>
      </c>
      <c r="C200" s="14" t="s">
        <v>1014</v>
      </c>
      <c r="D200" s="14" t="s">
        <v>1015</v>
      </c>
      <c r="E200" s="6" t="str">
        <f>HYPERLINK("https://twitter.com/thatneedle/status/1364260668489129985","1364260668489129985")</f>
        <v>1364260668489129985</v>
      </c>
      <c r="F200" s="8"/>
      <c r="G200" s="8"/>
      <c r="H200" s="8"/>
      <c r="I200" s="14">
        <v>2</v>
      </c>
      <c r="J200" s="14">
        <v>1</v>
      </c>
      <c r="K200" s="6" t="str">
        <f t="shared" ref="K200:K201" si="20">HYPERLINK("https://mobile.twitter.com","Twitter Web App")</f>
        <v>Twitter Web App</v>
      </c>
      <c r="L200" s="15">
        <v>63</v>
      </c>
      <c r="M200" s="15">
        <v>228</v>
      </c>
      <c r="N200" s="15">
        <v>4</v>
      </c>
      <c r="O200" s="9"/>
      <c r="P200" s="10">
        <v>41827.808807870373</v>
      </c>
      <c r="Q200" s="8"/>
      <c r="R200" s="14" t="s">
        <v>1016</v>
      </c>
      <c r="S200" s="7" t="s">
        <v>1017</v>
      </c>
      <c r="T200" s="8"/>
      <c r="U200" s="11" t="str">
        <f>HYPERLINK("https://pbs.twimg.com/profile_images/642575774973751296/USJh0DNN.jpg","View")</f>
        <v>View</v>
      </c>
      <c r="V200" s="8"/>
      <c r="W200" s="8"/>
      <c r="X200" s="8"/>
      <c r="Y200" s="8"/>
      <c r="Z200" s="8"/>
    </row>
    <row r="201" spans="1:26" ht="13.2">
      <c r="A201" s="13">
        <v>44250.754467592589</v>
      </c>
      <c r="B201" s="6" t="str">
        <f>HYPERLINK("https://twitter.com/vaaaaanquish","@vaaaaanquish")</f>
        <v>@vaaaaanquish</v>
      </c>
      <c r="C201" s="14" t="s">
        <v>1018</v>
      </c>
      <c r="D201" s="14" t="s">
        <v>1019</v>
      </c>
      <c r="E201" s="6" t="str">
        <f>HYPERLINK("https://twitter.com/vaaaaanquish/status/1364260341652185090","1364260341652185090")</f>
        <v>1364260341652185090</v>
      </c>
      <c r="F201" s="7" t="s">
        <v>1020</v>
      </c>
      <c r="G201" s="8"/>
      <c r="H201" s="8"/>
      <c r="I201" s="14">
        <v>0</v>
      </c>
      <c r="J201" s="14">
        <v>2</v>
      </c>
      <c r="K201" s="6" t="str">
        <f t="shared" si="20"/>
        <v>Twitter Web App</v>
      </c>
      <c r="L201" s="15">
        <v>23076</v>
      </c>
      <c r="M201" s="15">
        <v>20155</v>
      </c>
      <c r="N201" s="15">
        <v>435</v>
      </c>
      <c r="O201" s="9"/>
      <c r="P201" s="10">
        <v>40426.486493055556</v>
      </c>
      <c r="Q201" s="14" t="s">
        <v>1021</v>
      </c>
      <c r="R201" s="14" t="s">
        <v>1022</v>
      </c>
      <c r="S201" s="7" t="s">
        <v>1023</v>
      </c>
      <c r="T201" s="8"/>
      <c r="U201" s="11" t="str">
        <f>HYPERLINK("https://pbs.twimg.com/profile_images/1190114877987266561/Fvxl9j26.jpg","View")</f>
        <v>View</v>
      </c>
      <c r="V201" s="8"/>
      <c r="W201" s="8"/>
      <c r="X201" s="8"/>
      <c r="Y201" s="8"/>
      <c r="Z201" s="8"/>
    </row>
    <row r="202" spans="1:26" ht="13.2">
      <c r="A202" s="13">
        <v>44250.753969907411</v>
      </c>
      <c r="B202" s="6" t="str">
        <f t="shared" ref="B202:B203" si="21">HYPERLINK("https://twitter.com/willman20","@willman20")</f>
        <v>@willman20</v>
      </c>
      <c r="C202" s="14" t="s">
        <v>1024</v>
      </c>
      <c r="D202" s="14" t="s">
        <v>1025</v>
      </c>
      <c r="E202" s="6" t="str">
        <f>HYPERLINK("https://twitter.com/willman20/status/1364260160131256321","1364260160131256321")</f>
        <v>1364260160131256321</v>
      </c>
      <c r="F202" s="7" t="s">
        <v>1026</v>
      </c>
      <c r="G202" s="7" t="s">
        <v>1027</v>
      </c>
      <c r="H202" s="8"/>
      <c r="I202" s="14">
        <v>3</v>
      </c>
      <c r="J202" s="14">
        <v>0</v>
      </c>
      <c r="K202" s="6" t="str">
        <f t="shared" ref="K202:K203" si="22">HYPERLINK("http://twibble.io","Twibble.io")</f>
        <v>Twibble.io</v>
      </c>
      <c r="L202" s="15">
        <v>1081</v>
      </c>
      <c r="M202" s="15">
        <v>1113</v>
      </c>
      <c r="N202" s="15">
        <v>524</v>
      </c>
      <c r="O202" s="9"/>
      <c r="P202" s="10">
        <v>40287.780729166669</v>
      </c>
      <c r="Q202" s="14" t="s">
        <v>1028</v>
      </c>
      <c r="R202" s="14" t="s">
        <v>1029</v>
      </c>
      <c r="S202" s="7" t="s">
        <v>1030</v>
      </c>
      <c r="T202" s="8"/>
      <c r="U202" s="11" t="str">
        <f t="shared" ref="U202:U203" si="23">HYPERLINK("https://pbs.twimg.com/profile_images/1257427465/Photo-010.jpg","View")</f>
        <v>View</v>
      </c>
      <c r="V202" s="8"/>
      <c r="W202" s="8"/>
      <c r="X202" s="8"/>
      <c r="Y202" s="8"/>
      <c r="Z202" s="8"/>
    </row>
    <row r="203" spans="1:26" ht="13.2">
      <c r="A203" s="13">
        <v>44250.753796296296</v>
      </c>
      <c r="B203" s="6" t="str">
        <f t="shared" si="21"/>
        <v>@willman20</v>
      </c>
      <c r="C203" s="14" t="s">
        <v>1024</v>
      </c>
      <c r="D203" s="14" t="s">
        <v>1031</v>
      </c>
      <c r="E203" s="6" t="str">
        <f>HYPERLINK("https://twitter.com/willman20/status/1364260095174000641","1364260095174000641")</f>
        <v>1364260095174000641</v>
      </c>
      <c r="F203" s="7" t="s">
        <v>1032</v>
      </c>
      <c r="G203" s="8"/>
      <c r="H203" s="8"/>
      <c r="I203" s="14">
        <v>3</v>
      </c>
      <c r="J203" s="14">
        <v>1</v>
      </c>
      <c r="K203" s="6" t="str">
        <f t="shared" si="22"/>
        <v>Twibble.io</v>
      </c>
      <c r="L203" s="15">
        <v>1081</v>
      </c>
      <c r="M203" s="15">
        <v>1113</v>
      </c>
      <c r="N203" s="15">
        <v>524</v>
      </c>
      <c r="O203" s="9"/>
      <c r="P203" s="10">
        <v>40287.780729166669</v>
      </c>
      <c r="Q203" s="14" t="s">
        <v>1028</v>
      </c>
      <c r="R203" s="14" t="s">
        <v>1029</v>
      </c>
      <c r="S203" s="7" t="s">
        <v>1030</v>
      </c>
      <c r="T203" s="8"/>
      <c r="U203" s="11" t="str">
        <f t="shared" si="23"/>
        <v>View</v>
      </c>
      <c r="V203" s="8"/>
      <c r="W203" s="8"/>
      <c r="X203" s="8"/>
      <c r="Y203" s="8"/>
      <c r="Z203" s="8"/>
    </row>
    <row r="204" spans="1:26" ht="13.2">
      <c r="A204" s="13">
        <v>44250.753750000003</v>
      </c>
      <c r="B204" s="6" t="str">
        <f>HYPERLINK("https://twitter.com/PetuumInc","@PetuumInc")</f>
        <v>@PetuumInc</v>
      </c>
      <c r="C204" s="14" t="s">
        <v>1033</v>
      </c>
      <c r="D204" s="14" t="s">
        <v>1034</v>
      </c>
      <c r="E204" s="6" t="str">
        <f>HYPERLINK("https://twitter.com/PetuumInc/status/1364260078153584641","1364260078153584641")</f>
        <v>1364260078153584641</v>
      </c>
      <c r="F204" s="7" t="s">
        <v>1035</v>
      </c>
      <c r="G204" s="8"/>
      <c r="H204" s="8"/>
      <c r="I204" s="14">
        <v>3</v>
      </c>
      <c r="J204" s="14">
        <v>0</v>
      </c>
      <c r="K204" s="6" t="str">
        <f>HYPERLINK("http://www.hubspot.com/","HubSpot")</f>
        <v>HubSpot</v>
      </c>
      <c r="L204" s="15">
        <v>672</v>
      </c>
      <c r="M204" s="15">
        <v>153</v>
      </c>
      <c r="N204" s="15">
        <v>47</v>
      </c>
      <c r="O204" s="9"/>
      <c r="P204" s="10">
        <v>42689.78769675926</v>
      </c>
      <c r="Q204" s="14" t="s">
        <v>1036</v>
      </c>
      <c r="R204" s="14" t="s">
        <v>1037</v>
      </c>
      <c r="S204" s="7" t="s">
        <v>1038</v>
      </c>
      <c r="T204" s="8"/>
      <c r="U204" s="11" t="str">
        <f>HYPERLINK("https://pbs.twimg.com/profile_images/1098986582063800320/v3wz0TGp.png","View")</f>
        <v>View</v>
      </c>
      <c r="V204" s="8"/>
      <c r="W204" s="8"/>
      <c r="X204" s="8"/>
      <c r="Y204" s="8"/>
      <c r="Z204" s="8"/>
    </row>
    <row r="205" spans="1:26" ht="13.2">
      <c r="A205" s="13">
        <v>44250.753576388888</v>
      </c>
      <c r="B205" s="6" t="str">
        <f>HYPERLINK("https://twitter.com/JayZuccarelli","@JayZuccarelli")</f>
        <v>@JayZuccarelli</v>
      </c>
      <c r="C205" s="14" t="s">
        <v>1039</v>
      </c>
      <c r="D205" s="14" t="s">
        <v>1040</v>
      </c>
      <c r="E205" s="6" t="str">
        <f>HYPERLINK("https://twitter.com/JayZuccarelli/status/1364260016694378498","1364260016694378498")</f>
        <v>1364260016694378498</v>
      </c>
      <c r="F205" s="8"/>
      <c r="G205" s="8"/>
      <c r="H205" s="8"/>
      <c r="I205" s="14">
        <v>3</v>
      </c>
      <c r="J205" s="14">
        <v>1</v>
      </c>
      <c r="K205" s="6" t="str">
        <f>HYPERLINK("https://www.hootsuite.com","Hootsuite Inc.")</f>
        <v>Hootsuite Inc.</v>
      </c>
      <c r="L205" s="15">
        <v>95</v>
      </c>
      <c r="M205" s="15">
        <v>180</v>
      </c>
      <c r="N205" s="15">
        <v>1</v>
      </c>
      <c r="O205" s="9"/>
      <c r="P205" s="10">
        <v>43953.002650462964</v>
      </c>
      <c r="Q205" s="14" t="s">
        <v>914</v>
      </c>
      <c r="R205" s="14" t="s">
        <v>1041</v>
      </c>
      <c r="S205" s="7" t="s">
        <v>1042</v>
      </c>
      <c r="T205" s="8"/>
      <c r="U205" s="11" t="str">
        <f>HYPERLINK("https://pbs.twimg.com/profile_images/1256343782557192194/Dm7YjxpM.jpg","View")</f>
        <v>View</v>
      </c>
      <c r="V205" s="8"/>
      <c r="W205" s="8"/>
      <c r="X205" s="8"/>
      <c r="Y205" s="8"/>
      <c r="Z205" s="8"/>
    </row>
    <row r="206" spans="1:26" ht="13.2">
      <c r="A206" s="13">
        <v>44250.753506944442</v>
      </c>
      <c r="B206" s="6" t="str">
        <f>HYPERLINK("https://twitter.com/AlertTrade","@AlertTrade")</f>
        <v>@AlertTrade</v>
      </c>
      <c r="C206" s="14" t="s">
        <v>1043</v>
      </c>
      <c r="D206" s="14" t="s">
        <v>1044</v>
      </c>
      <c r="E206" s="6" t="str">
        <f>HYPERLINK("https://twitter.com/AlertTrade/status/1364259992271007746","1364259992271007746")</f>
        <v>1364259992271007746</v>
      </c>
      <c r="F206" s="7" t="s">
        <v>1045</v>
      </c>
      <c r="G206" s="7" t="s">
        <v>1046</v>
      </c>
      <c r="H206" s="8"/>
      <c r="I206" s="14">
        <v>2</v>
      </c>
      <c r="J206" s="14">
        <v>0</v>
      </c>
      <c r="K206" s="6" t="str">
        <f>HYPERLINK("https://buffer.com","Buffer")</f>
        <v>Buffer</v>
      </c>
      <c r="L206" s="15">
        <v>147561</v>
      </c>
      <c r="M206" s="15">
        <v>149760</v>
      </c>
      <c r="N206" s="15">
        <v>2503</v>
      </c>
      <c r="O206" s="9"/>
      <c r="P206" s="10">
        <v>40245.718449074076</v>
      </c>
      <c r="Q206" s="8"/>
      <c r="R206" s="14" t="s">
        <v>1047</v>
      </c>
      <c r="S206" s="7" t="s">
        <v>1048</v>
      </c>
      <c r="T206" s="8"/>
      <c r="U206" s="11" t="str">
        <f>HYPERLINK("https://pbs.twimg.com/profile_images/909427952001146880/UoMAp4JA.jpg","View")</f>
        <v>View</v>
      </c>
      <c r="V206" s="8"/>
      <c r="W206" s="8"/>
      <c r="X206" s="8"/>
      <c r="Y206" s="8"/>
      <c r="Z206" s="8"/>
    </row>
    <row r="207" spans="1:26" ht="13.2">
      <c r="A207" s="13">
        <v>44250.753148148149</v>
      </c>
      <c r="B207" s="6" t="str">
        <f>HYPERLINK("https://twitter.com/pedromdiez","@pedromdiez")</f>
        <v>@pedromdiez</v>
      </c>
      <c r="C207" s="14" t="s">
        <v>1049</v>
      </c>
      <c r="D207" s="14" t="s">
        <v>1050</v>
      </c>
      <c r="E207" s="6" t="str">
        <f>HYPERLINK("https://twitter.com/pedromdiez/status/1364259861761052683","1364259861761052683")</f>
        <v>1364259861761052683</v>
      </c>
      <c r="F207" s="14" t="s">
        <v>1051</v>
      </c>
      <c r="G207" s="7" t="s">
        <v>1052</v>
      </c>
      <c r="H207" s="8"/>
      <c r="I207" s="14">
        <v>0</v>
      </c>
      <c r="J207" s="14">
        <v>0</v>
      </c>
      <c r="K207" s="6" t="str">
        <f>HYPERLINK("https://ifttt.com","IFTTT")</f>
        <v>IFTTT</v>
      </c>
      <c r="L207" s="15">
        <v>705</v>
      </c>
      <c r="M207" s="15">
        <v>576</v>
      </c>
      <c r="N207" s="15">
        <v>36</v>
      </c>
      <c r="O207" s="9"/>
      <c r="P207" s="10">
        <v>40285.443576388891</v>
      </c>
      <c r="Q207" s="14" t="s">
        <v>1053</v>
      </c>
      <c r="R207" s="14" t="s">
        <v>1054</v>
      </c>
      <c r="S207" s="7" t="s">
        <v>1055</v>
      </c>
      <c r="T207" s="8"/>
      <c r="U207" s="11" t="str">
        <f>HYPERLINK("https://pbs.twimg.com/profile_images/926160133352288256/4XU7ZPde.jpg","View")</f>
        <v>View</v>
      </c>
      <c r="V207" s="8"/>
      <c r="W207" s="8"/>
      <c r="X207" s="8"/>
      <c r="Y207" s="8"/>
      <c r="Z207" s="8"/>
    </row>
    <row r="208" spans="1:26" ht="13.2">
      <c r="A208" s="13">
        <v>44250.752893518518</v>
      </c>
      <c r="B208" s="6" t="str">
        <f>HYPERLINK("https://twitter.com/henoninc","@henoninc")</f>
        <v>@henoninc</v>
      </c>
      <c r="C208" s="14" t="s">
        <v>1056</v>
      </c>
      <c r="D208" s="14" t="s">
        <v>1057</v>
      </c>
      <c r="E208" s="6" t="str">
        <f>HYPERLINK("https://twitter.com/henoninc/status/1364259769482178565","1364259769482178565")</f>
        <v>1364259769482178565</v>
      </c>
      <c r="F208" s="7" t="s">
        <v>1058</v>
      </c>
      <c r="G208" s="7" t="s">
        <v>1059</v>
      </c>
      <c r="H208" s="8"/>
      <c r="I208" s="14">
        <v>3</v>
      </c>
      <c r="J208" s="14">
        <v>1</v>
      </c>
      <c r="K208" s="6" t="str">
        <f>HYPERLINK("https://www.canva.com","Canva")</f>
        <v>Canva</v>
      </c>
      <c r="L208" s="15">
        <v>4</v>
      </c>
      <c r="M208" s="15">
        <v>0</v>
      </c>
      <c r="N208" s="15">
        <v>0</v>
      </c>
      <c r="O208" s="9"/>
      <c r="P208" s="10">
        <v>43748.149884259255</v>
      </c>
      <c r="Q208" s="8"/>
      <c r="R208" s="14" t="s">
        <v>1060</v>
      </c>
      <c r="S208" s="7" t="s">
        <v>1058</v>
      </c>
      <c r="T208" s="8"/>
      <c r="U208" s="11" t="str">
        <f>HYPERLINK("https://pbs.twimg.com/profile_images/1363524399278686212/0cYot83L.jpg","View")</f>
        <v>View</v>
      </c>
      <c r="V208" s="8"/>
      <c r="W208" s="8"/>
      <c r="X208" s="8"/>
      <c r="Y208" s="8"/>
      <c r="Z208" s="8"/>
    </row>
    <row r="209" spans="1:26" ht="13.2">
      <c r="A209" s="13">
        <v>44250.752800925926</v>
      </c>
      <c r="B209" s="6" t="str">
        <f>HYPERLINK("https://twitter.com/JourneyHeroTech","@JourneyHeroTech")</f>
        <v>@JourneyHeroTech</v>
      </c>
      <c r="C209" s="14" t="s">
        <v>1061</v>
      </c>
      <c r="D209" s="14" t="s">
        <v>1062</v>
      </c>
      <c r="E209" s="6" t="str">
        <f>HYPERLINK("https://twitter.com/JourneyHeroTech/status/1364259734266793986","1364259734266793986")</f>
        <v>1364259734266793986</v>
      </c>
      <c r="F209" s="14" t="s">
        <v>1063</v>
      </c>
      <c r="G209" s="7" t="s">
        <v>1064</v>
      </c>
      <c r="H209" s="8"/>
      <c r="I209" s="14">
        <v>13</v>
      </c>
      <c r="J209" s="14">
        <v>5</v>
      </c>
      <c r="K209" s="6" t="str">
        <f>HYPERLINK("http://twitter.com/download/iphone","Twitter for iPhone")</f>
        <v>Twitter for iPhone</v>
      </c>
      <c r="L209" s="15">
        <v>418</v>
      </c>
      <c r="M209" s="15">
        <v>1469</v>
      </c>
      <c r="N209" s="15">
        <v>4</v>
      </c>
      <c r="O209" s="9"/>
      <c r="P209" s="10">
        <v>43958.737557870365</v>
      </c>
      <c r="Q209" s="8"/>
      <c r="R209" s="14" t="s">
        <v>1065</v>
      </c>
      <c r="S209" s="7" t="s">
        <v>1066</v>
      </c>
      <c r="T209" s="8"/>
      <c r="U209" s="11" t="str">
        <f>HYPERLINK("https://pbs.twimg.com/profile_images/1258421949493100544/99J8Ehfn.jpg","View")</f>
        <v>View</v>
      </c>
      <c r="V209" s="8"/>
      <c r="W209" s="8"/>
      <c r="X209" s="8"/>
      <c r="Y209" s="8"/>
      <c r="Z209" s="8"/>
    </row>
    <row r="210" spans="1:26" ht="13.2">
      <c r="A210" s="13">
        <v>44250.751956018517</v>
      </c>
      <c r="B210" s="6" t="str">
        <f>HYPERLINK("https://twitter.com/DataAugmented","@DataAugmented")</f>
        <v>@DataAugmented</v>
      </c>
      <c r="C210" s="14" t="s">
        <v>1067</v>
      </c>
      <c r="D210" s="14" t="s">
        <v>1068</v>
      </c>
      <c r="E210" s="6" t="str">
        <f>HYPERLINK("https://twitter.com/DataAugmented/status/1364259431421157381","1364259431421157381")</f>
        <v>1364259431421157381</v>
      </c>
      <c r="F210" s="7" t="s">
        <v>152</v>
      </c>
      <c r="G210" s="8"/>
      <c r="H210" s="8"/>
      <c r="I210" s="14">
        <v>2</v>
      </c>
      <c r="J210" s="14">
        <v>0</v>
      </c>
      <c r="K210" s="6" t="str">
        <f>HYPERLINK("https://gamer-geek-news.com","DataScienceInfo")</f>
        <v>DataScienceInfo</v>
      </c>
      <c r="L210" s="15">
        <v>6506</v>
      </c>
      <c r="M210" s="15">
        <v>6648</v>
      </c>
      <c r="N210" s="15">
        <v>85</v>
      </c>
      <c r="O210" s="9"/>
      <c r="P210" s="10">
        <v>43798.394791666666</v>
      </c>
      <c r="Q210" s="8"/>
      <c r="R210" s="14" t="s">
        <v>1069</v>
      </c>
      <c r="S210" s="7" t="s">
        <v>1070</v>
      </c>
      <c r="T210" s="8"/>
      <c r="U210" s="11" t="str">
        <f>HYPERLINK("https://pbs.twimg.com/profile_images/1302170997328621568/kxZYcsFI.jpg","View")</f>
        <v>View</v>
      </c>
      <c r="V210" s="8"/>
      <c r="W210" s="8"/>
      <c r="X210" s="8"/>
      <c r="Y210" s="8"/>
      <c r="Z210" s="8"/>
    </row>
    <row r="211" spans="1:26" ht="13.2">
      <c r="A211" s="13">
        <v>44250.751747685186</v>
      </c>
      <c r="B211" s="6" t="str">
        <f>HYPERLINK("https://twitter.com/Marktechpost","@Marktechpost")</f>
        <v>@Marktechpost</v>
      </c>
      <c r="C211" s="7" t="s">
        <v>1071</v>
      </c>
      <c r="D211" s="14" t="s">
        <v>1072</v>
      </c>
      <c r="E211" s="6" t="str">
        <f>HYPERLINK("https://twitter.com/Marktechpost/status/1364259354753572864","1364259354753572864")</f>
        <v>1364259354753572864</v>
      </c>
      <c r="F211" s="7" t="s">
        <v>1073</v>
      </c>
      <c r="G211" s="7" t="s">
        <v>1074</v>
      </c>
      <c r="H211" s="8"/>
      <c r="I211" s="14">
        <v>1</v>
      </c>
      <c r="J211" s="14">
        <v>1</v>
      </c>
      <c r="K211" s="6" t="str">
        <f>HYPERLINK("https://www.hootsuite.com","Hootsuite Inc.")</f>
        <v>Hootsuite Inc.</v>
      </c>
      <c r="L211" s="15">
        <v>2673</v>
      </c>
      <c r="M211" s="15">
        <v>461</v>
      </c>
      <c r="N211" s="15">
        <v>24</v>
      </c>
      <c r="O211" s="9"/>
      <c r="P211" s="10">
        <v>42467.265682870369</v>
      </c>
      <c r="Q211" s="14" t="s">
        <v>56</v>
      </c>
      <c r="R211" s="14" t="s">
        <v>1075</v>
      </c>
      <c r="S211" s="7" t="s">
        <v>58</v>
      </c>
      <c r="T211" s="8"/>
      <c r="U211" s="11" t="str">
        <f>HYPERLINK("https://pbs.twimg.com/profile_images/994114664874180608/tD0vcytP.jpg","View")</f>
        <v>View</v>
      </c>
      <c r="V211" s="8"/>
      <c r="W211" s="8"/>
      <c r="X211" s="8"/>
      <c r="Y211" s="8"/>
      <c r="Z211" s="8"/>
    </row>
    <row r="212" spans="1:26" ht="13.2">
      <c r="A212" s="13">
        <v>44250.751550925925</v>
      </c>
      <c r="B212" s="6" t="str">
        <f>HYPERLINK("https://twitter.com/YvesMulkers","@YvesMulkers")</f>
        <v>@YvesMulkers</v>
      </c>
      <c r="C212" s="14" t="s">
        <v>1076</v>
      </c>
      <c r="D212" s="14" t="s">
        <v>1077</v>
      </c>
      <c r="E212" s="6" t="str">
        <f>HYPERLINK("https://twitter.com/YvesMulkers/status/1364259281923674112","1364259281923674112")</f>
        <v>1364259281923674112</v>
      </c>
      <c r="F212" s="14" t="s">
        <v>1078</v>
      </c>
      <c r="G212" s="8"/>
      <c r="H212" s="8"/>
      <c r="I212" s="14">
        <v>1</v>
      </c>
      <c r="J212" s="14">
        <v>0</v>
      </c>
      <c r="K212" s="6" t="str">
        <f>HYPERLINK("https://mobile.twitter.com","Twitter Web App")</f>
        <v>Twitter Web App</v>
      </c>
      <c r="L212" s="15">
        <v>95622</v>
      </c>
      <c r="M212" s="15">
        <v>73487</v>
      </c>
      <c r="N212" s="15">
        <v>4318</v>
      </c>
      <c r="O212" s="9"/>
      <c r="P212" s="10">
        <v>39588.797592592593</v>
      </c>
      <c r="Q212" s="14" t="s">
        <v>1079</v>
      </c>
      <c r="R212" s="14" t="s">
        <v>1080</v>
      </c>
      <c r="S212" s="7" t="s">
        <v>1081</v>
      </c>
      <c r="T212" s="8"/>
      <c r="U212" s="11" t="str">
        <f>HYPERLINK("https://pbs.twimg.com/profile_images/975114008301789184/rOaCSOdl.jpg","View")</f>
        <v>View</v>
      </c>
      <c r="V212" s="8"/>
      <c r="W212" s="8"/>
      <c r="X212" s="8"/>
      <c r="Y212" s="8"/>
      <c r="Z212" s="8"/>
    </row>
    <row r="213" spans="1:26" ht="13.2">
      <c r="A213" s="13">
        <v>44250.751446759255</v>
      </c>
      <c r="B213" s="6" t="str">
        <f>HYPERLINK("https://twitter.com/Datascience__","@Datascience__")</f>
        <v>@Datascience__</v>
      </c>
      <c r="C213" s="14" t="s">
        <v>1082</v>
      </c>
      <c r="D213" s="14" t="s">
        <v>1083</v>
      </c>
      <c r="E213" s="6" t="str">
        <f>HYPERLINK("https://twitter.com/Datascience__/status/1364259246418915334","1364259246418915334")</f>
        <v>1364259246418915334</v>
      </c>
      <c r="F213" s="7" t="s">
        <v>1084</v>
      </c>
      <c r="G213" s="8"/>
      <c r="H213" s="8"/>
      <c r="I213" s="14">
        <v>1</v>
      </c>
      <c r="J213" s="14">
        <v>2</v>
      </c>
      <c r="K213" s="6" t="str">
        <f>HYPERLINK("https://twitter.com/pythonbot_","Postmatico")</f>
        <v>Postmatico</v>
      </c>
      <c r="L213" s="15">
        <v>21499</v>
      </c>
      <c r="M213" s="15">
        <v>11071</v>
      </c>
      <c r="N213" s="15">
        <v>0</v>
      </c>
      <c r="O213" s="9"/>
      <c r="P213" s="10">
        <v>42735.551377314812</v>
      </c>
      <c r="Q213" s="8"/>
      <c r="R213" s="14" t="s">
        <v>1085</v>
      </c>
      <c r="S213" s="7" t="s">
        <v>1086</v>
      </c>
      <c r="T213" s="8"/>
      <c r="U213" s="11" t="str">
        <f>HYPERLINK("https://pbs.twimg.com/profile_images/989066461435097088/AQZSFyuk.jpg","View")</f>
        <v>View</v>
      </c>
      <c r="V213" s="8"/>
      <c r="W213" s="8"/>
      <c r="X213" s="8"/>
      <c r="Y213" s="8"/>
      <c r="Z213" s="8"/>
    </row>
    <row r="214" spans="1:26" ht="13.2">
      <c r="A214" s="13">
        <v>44250.751134259262</v>
      </c>
      <c r="B214" s="6" t="str">
        <f>HYPERLINK("https://twitter.com/jamesvgingerich","@jamesvgingerich")</f>
        <v>@jamesvgingerich</v>
      </c>
      <c r="C214" s="14" t="s">
        <v>1087</v>
      </c>
      <c r="D214" s="14" t="s">
        <v>1088</v>
      </c>
      <c r="E214" s="6" t="str">
        <f>HYPERLINK("https://twitter.com/jamesvgingerich/status/1364259130840555525","1364259130840555525")</f>
        <v>1364259130840555525</v>
      </c>
      <c r="F214" s="7" t="s">
        <v>1089</v>
      </c>
      <c r="G214" s="7" t="s">
        <v>1090</v>
      </c>
      <c r="H214" s="8"/>
      <c r="I214" s="14">
        <v>1</v>
      </c>
      <c r="J214" s="14">
        <v>0</v>
      </c>
      <c r="K214" s="6" t="str">
        <f>HYPERLINK("https://buffer.com","Buffer")</f>
        <v>Buffer</v>
      </c>
      <c r="L214" s="15">
        <v>53483</v>
      </c>
      <c r="M214" s="15">
        <v>56072</v>
      </c>
      <c r="N214" s="15">
        <v>1126</v>
      </c>
      <c r="O214" s="9"/>
      <c r="P214" s="10">
        <v>39623.806192129632</v>
      </c>
      <c r="Q214" s="14" t="s">
        <v>1091</v>
      </c>
      <c r="R214" s="14" t="s">
        <v>1092</v>
      </c>
      <c r="S214" s="7" t="s">
        <v>1093</v>
      </c>
      <c r="T214" s="8"/>
      <c r="U214" s="11" t="str">
        <f>HYPERLINK("https://pbs.twimg.com/profile_images/692168521/james_profile.jpg","View")</f>
        <v>View</v>
      </c>
      <c r="V214" s="8"/>
      <c r="W214" s="8"/>
      <c r="X214" s="8"/>
      <c r="Y214" s="8"/>
      <c r="Z214" s="8"/>
    </row>
    <row r="215" spans="1:26" ht="13.2">
      <c r="A215" s="13">
        <v>44250.750706018516</v>
      </c>
      <c r="B215" s="6" t="str">
        <f>HYPERLINK("https://twitter.com/ZetaneSystems","@ZetaneSystems")</f>
        <v>@ZetaneSystems</v>
      </c>
      <c r="C215" s="14" t="s">
        <v>1094</v>
      </c>
      <c r="D215" s="14" t="s">
        <v>1095</v>
      </c>
      <c r="E215" s="6" t="str">
        <f>HYPERLINK("https://twitter.com/ZetaneSystems/status/1364258978646151171","1364258978646151171")</f>
        <v>1364258978646151171</v>
      </c>
      <c r="F215" s="7" t="s">
        <v>1096</v>
      </c>
      <c r="G215" s="7" t="s">
        <v>1097</v>
      </c>
      <c r="H215" s="8"/>
      <c r="I215" s="14">
        <v>1</v>
      </c>
      <c r="J215" s="14">
        <v>0</v>
      </c>
      <c r="K215" s="6" t="str">
        <f>HYPERLINK("http://www.hubspot.com/","HubSpot")</f>
        <v>HubSpot</v>
      </c>
      <c r="L215" s="15">
        <v>72</v>
      </c>
      <c r="M215" s="15">
        <v>112</v>
      </c>
      <c r="N215" s="15">
        <v>2</v>
      </c>
      <c r="O215" s="9"/>
      <c r="P215" s="10">
        <v>43118.280578703707</v>
      </c>
      <c r="Q215" s="14" t="s">
        <v>1098</v>
      </c>
      <c r="R215" s="14" t="s">
        <v>1099</v>
      </c>
      <c r="S215" s="7" t="s">
        <v>1100</v>
      </c>
      <c r="T215" s="8"/>
      <c r="U215" s="11" t="str">
        <f>HYPERLINK("https://pbs.twimg.com/profile_images/1309648920105160707/EKlapVVo.jpg","View")</f>
        <v>View</v>
      </c>
      <c r="V215" s="8"/>
      <c r="W215" s="8"/>
      <c r="X215" s="8"/>
      <c r="Y215" s="8"/>
      <c r="Z215" s="8"/>
    </row>
    <row r="216" spans="1:26" ht="13.2">
      <c r="A216" s="13">
        <v>44250.750543981485</v>
      </c>
      <c r="B216" s="6" t="str">
        <f>HYPERLINK("https://twitter.com/hrconsultingeu","@hrconsultingeu")</f>
        <v>@hrconsultingeu</v>
      </c>
      <c r="C216" s="14" t="s">
        <v>1101</v>
      </c>
      <c r="D216" s="14" t="s">
        <v>1102</v>
      </c>
      <c r="E216" s="6" t="str">
        <f>HYPERLINK("https://twitter.com/hrconsultingeu/status/1364258918944436224","1364258918944436224")</f>
        <v>1364258918944436224</v>
      </c>
      <c r="F216" s="8"/>
      <c r="G216" s="7" t="s">
        <v>1103</v>
      </c>
      <c r="H216" s="8"/>
      <c r="I216" s="14">
        <v>0</v>
      </c>
      <c r="J216" s="14">
        <v>0</v>
      </c>
      <c r="K216" s="6" t="str">
        <f>HYPERLINK("https://app.socialpilot.co/","SocialPilot.co")</f>
        <v>SocialPilot.co</v>
      </c>
      <c r="L216" s="15">
        <v>107</v>
      </c>
      <c r="M216" s="15">
        <v>81</v>
      </c>
      <c r="N216" s="15">
        <v>12</v>
      </c>
      <c r="O216" s="9"/>
      <c r="P216" s="10">
        <v>40371.536990740744</v>
      </c>
      <c r="Q216" s="14" t="s">
        <v>1104</v>
      </c>
      <c r="R216" s="14" t="s">
        <v>1105</v>
      </c>
      <c r="S216" s="7" t="s">
        <v>1106</v>
      </c>
      <c r="T216" s="8"/>
      <c r="U216" s="11" t="str">
        <f>HYPERLINK("https://pbs.twimg.com/profile_images/1090632141/twitter_AW.gif","View")</f>
        <v>View</v>
      </c>
      <c r="V216" s="8"/>
      <c r="W216" s="8"/>
      <c r="X216" s="8"/>
      <c r="Y216" s="8"/>
      <c r="Z216" s="8"/>
    </row>
    <row r="217" spans="1:26" ht="13.2">
      <c r="A217" s="13">
        <v>44250.750381944439</v>
      </c>
      <c r="B217" s="6" t="str">
        <f>HYPERLINK("https://twitter.com/lopezunwired","@lopezunwired")</f>
        <v>@lopezunwired</v>
      </c>
      <c r="C217" s="14" t="s">
        <v>224</v>
      </c>
      <c r="D217" s="14" t="s">
        <v>1107</v>
      </c>
      <c r="E217" s="6" t="str">
        <f>HYPERLINK("https://twitter.com/lopezunwired/status/1364258858030440449","1364258858030440449")</f>
        <v>1364258858030440449</v>
      </c>
      <c r="F217" s="7" t="s">
        <v>1108</v>
      </c>
      <c r="G217" s="7" t="s">
        <v>1109</v>
      </c>
      <c r="H217" s="8"/>
      <c r="I217" s="14">
        <v>1</v>
      </c>
      <c r="J217" s="14">
        <v>0</v>
      </c>
      <c r="K217" s="6" t="str">
        <f>HYPERLINK("https://dlvrit.com/","dlvr.it")</f>
        <v>dlvr.it</v>
      </c>
      <c r="L217" s="15">
        <v>1803</v>
      </c>
      <c r="M217" s="15">
        <v>800</v>
      </c>
      <c r="N217" s="15">
        <v>586</v>
      </c>
      <c r="O217" s="9"/>
      <c r="P217" s="10">
        <v>39831.947152777779</v>
      </c>
      <c r="Q217" s="14" t="s">
        <v>228</v>
      </c>
      <c r="R217" s="14" t="s">
        <v>229</v>
      </c>
      <c r="S217" s="7" t="s">
        <v>230</v>
      </c>
      <c r="T217" s="8"/>
      <c r="U217" s="11" t="str">
        <f>HYPERLINK("https://pbs.twimg.com/profile_images/3326137784/c6c1c2570fc7b9711dd8de812b996a66.jpeg","View")</f>
        <v>View</v>
      </c>
      <c r="V217" s="8"/>
      <c r="W217" s="8"/>
      <c r="X217" s="8"/>
      <c r="Y217" s="8"/>
      <c r="Z217" s="8"/>
    </row>
    <row r="218" spans="1:26" ht="13.2">
      <c r="A218" s="13">
        <v>44250.750335648147</v>
      </c>
      <c r="B218" s="6" t="str">
        <f>HYPERLINK("https://twitter.com/bigdataNODE","@bigdataNODE")</f>
        <v>@bigdataNODE</v>
      </c>
      <c r="C218" s="14" t="s">
        <v>1110</v>
      </c>
      <c r="D218" s="14" t="s">
        <v>1111</v>
      </c>
      <c r="E218" s="6" t="str">
        <f>HYPERLINK("https://twitter.com/bigdataNODE/status/1364258844570959876","1364258844570959876")</f>
        <v>1364258844570959876</v>
      </c>
      <c r="F218" s="7" t="s">
        <v>1112</v>
      </c>
      <c r="G218" s="8"/>
      <c r="H218" s="8"/>
      <c r="I218" s="14">
        <v>1</v>
      </c>
      <c r="J218" s="14">
        <v>0</v>
      </c>
      <c r="K218" s="6" t="str">
        <f>HYPERLINK("http://www.hubspot.com/","HubSpot")</f>
        <v>HubSpot</v>
      </c>
      <c r="L218" s="15">
        <v>8846</v>
      </c>
      <c r="M218" s="15">
        <v>8777</v>
      </c>
      <c r="N218" s="15">
        <v>281</v>
      </c>
      <c r="O218" s="9"/>
      <c r="P218" s="10">
        <v>41411.563344907408</v>
      </c>
      <c r="Q218" s="14" t="s">
        <v>1113</v>
      </c>
      <c r="R218" s="14" t="s">
        <v>1114</v>
      </c>
      <c r="S218" s="7" t="s">
        <v>1115</v>
      </c>
      <c r="T218" s="8"/>
      <c r="U218" s="11" t="str">
        <f>HYPERLINK("https://pbs.twimg.com/profile_images/722705562144780288/7wwu8K2P.jpg","View")</f>
        <v>View</v>
      </c>
      <c r="V218" s="8"/>
      <c r="W218" s="8"/>
      <c r="X218" s="8"/>
      <c r="Y218" s="8"/>
      <c r="Z218" s="8"/>
    </row>
    <row r="219" spans="1:26" ht="13.2">
      <c r="A219" s="13">
        <v>44250.750324074077</v>
      </c>
      <c r="B219" s="6" t="str">
        <f>HYPERLINK("https://twitter.com/Paula_Piccard","@Paula_Piccard")</f>
        <v>@Paula_Piccard</v>
      </c>
      <c r="C219" s="14" t="s">
        <v>1116</v>
      </c>
      <c r="D219" s="14" t="s">
        <v>1117</v>
      </c>
      <c r="E219" s="6" t="str">
        <f>HYPERLINK("https://twitter.com/Paula_Piccard/status/1364258839726555142","1364258839726555142")</f>
        <v>1364258839726555142</v>
      </c>
      <c r="F219" s="7" t="s">
        <v>1118</v>
      </c>
      <c r="G219" s="7" t="s">
        <v>1119</v>
      </c>
      <c r="H219" s="8"/>
      <c r="I219" s="14">
        <v>13</v>
      </c>
      <c r="J219" s="14">
        <v>6</v>
      </c>
      <c r="K219" s="6" t="str">
        <f>HYPERLINK("https://smarterqueue.com","SmarterQueue")</f>
        <v>SmarterQueue</v>
      </c>
      <c r="L219" s="15">
        <v>61067</v>
      </c>
      <c r="M219" s="15">
        <v>9852</v>
      </c>
      <c r="N219" s="15">
        <v>1284</v>
      </c>
      <c r="O219" s="9"/>
      <c r="P219" s="10">
        <v>40665.824629629627</v>
      </c>
      <c r="Q219" s="14" t="s">
        <v>1120</v>
      </c>
      <c r="R219" s="14" t="s">
        <v>1121</v>
      </c>
      <c r="S219" s="7" t="s">
        <v>1122</v>
      </c>
      <c r="T219" s="8"/>
      <c r="U219" s="11" t="str">
        <f>HYPERLINK("https://pbs.twimg.com/profile_images/1307804375981621254/KT6ID8H9.png","View")</f>
        <v>View</v>
      </c>
      <c r="V219" s="8"/>
      <c r="W219" s="8"/>
      <c r="X219" s="8"/>
      <c r="Y219" s="8"/>
      <c r="Z219" s="8"/>
    </row>
    <row r="220" spans="1:26" ht="13.2">
      <c r="A220" s="13">
        <v>44250.7502662037</v>
      </c>
      <c r="B220" s="6" t="str">
        <f>HYPERLINK("https://twitter.com/ProgrammerWkly","@ProgrammerWkly")</f>
        <v>@ProgrammerWkly</v>
      </c>
      <c r="C220" s="14" t="s">
        <v>1123</v>
      </c>
      <c r="D220" s="14" t="s">
        <v>1124</v>
      </c>
      <c r="E220" s="6" t="str">
        <f>HYPERLINK("https://twitter.com/ProgrammerWkly/status/1364258819644227585","1364258819644227585")</f>
        <v>1364258819644227585</v>
      </c>
      <c r="F220" s="7" t="s">
        <v>1125</v>
      </c>
      <c r="G220" s="8"/>
      <c r="H220" s="8"/>
      <c r="I220" s="14">
        <v>1</v>
      </c>
      <c r="J220" s="14">
        <v>0</v>
      </c>
      <c r="K220" s="6" t="str">
        <f t="shared" ref="K220:K221" si="24">HYPERLINK("https://buffer.com","Buffer")</f>
        <v>Buffer</v>
      </c>
      <c r="L220" s="15">
        <v>2824</v>
      </c>
      <c r="M220" s="15">
        <v>0</v>
      </c>
      <c r="N220" s="15">
        <v>223</v>
      </c>
      <c r="O220" s="9"/>
      <c r="P220" s="10">
        <v>40501.003148148149</v>
      </c>
      <c r="Q220" s="8"/>
      <c r="R220" s="14" t="s">
        <v>1126</v>
      </c>
      <c r="S220" s="7" t="s">
        <v>1127</v>
      </c>
      <c r="T220" s="8"/>
      <c r="U220" s="11" t="str">
        <f>HYPERLINK("https://pbs.twimg.com/profile_images/1253166237955342336/gol4c3MZ.jpg","View")</f>
        <v>View</v>
      </c>
      <c r="V220" s="8"/>
      <c r="W220" s="8"/>
      <c r="X220" s="8"/>
      <c r="Y220" s="8"/>
      <c r="Z220" s="8"/>
    </row>
    <row r="221" spans="1:26" ht="13.2">
      <c r="A221" s="13">
        <v>44250.750196759254</v>
      </c>
      <c r="B221" s="6" t="str">
        <f>HYPERLINK("https://twitter.com/globaliqx","@globaliqx")</f>
        <v>@globaliqx</v>
      </c>
      <c r="C221" s="14" t="s">
        <v>305</v>
      </c>
      <c r="D221" s="14" t="s">
        <v>1128</v>
      </c>
      <c r="E221" s="6" t="str">
        <f>HYPERLINK("https://twitter.com/globaliqx/status/1364258793312448515","1364258793312448515")</f>
        <v>1364258793312448515</v>
      </c>
      <c r="F221" s="7" t="s">
        <v>1129</v>
      </c>
      <c r="G221" s="7" t="s">
        <v>1130</v>
      </c>
      <c r="H221" s="8"/>
      <c r="I221" s="14">
        <v>3</v>
      </c>
      <c r="J221" s="14">
        <v>7</v>
      </c>
      <c r="K221" s="6" t="str">
        <f t="shared" si="24"/>
        <v>Buffer</v>
      </c>
      <c r="L221" s="15">
        <v>10339</v>
      </c>
      <c r="M221" s="15">
        <v>7808</v>
      </c>
      <c r="N221" s="15">
        <v>868</v>
      </c>
      <c r="O221" s="9"/>
      <c r="P221" s="10">
        <v>41565.721296296295</v>
      </c>
      <c r="Q221" s="14" t="s">
        <v>309</v>
      </c>
      <c r="R221" s="14" t="s">
        <v>310</v>
      </c>
      <c r="S221" s="7" t="s">
        <v>311</v>
      </c>
      <c r="T221" s="8"/>
      <c r="U221" s="11" t="str">
        <f>HYPERLINK("https://pbs.twimg.com/profile_images/695005663492247556/v0EQSRal.jpg","View")</f>
        <v>View</v>
      </c>
      <c r="V221" s="8"/>
      <c r="W221" s="8"/>
      <c r="X221" s="8"/>
      <c r="Y221" s="8"/>
      <c r="Z221" s="8"/>
    </row>
    <row r="222" spans="1:26" ht="13.2">
      <c r="A222" s="13">
        <v>44250.750081018516</v>
      </c>
      <c r="B222" s="6" t="str">
        <f>HYPERLINK("https://twitter.com/ipfconline1","@ipfconline1")</f>
        <v>@ipfconline1</v>
      </c>
      <c r="C222" s="14" t="s">
        <v>65</v>
      </c>
      <c r="D222" s="14" t="s">
        <v>1131</v>
      </c>
      <c r="E222" s="6" t="str">
        <f>HYPERLINK("https://twitter.com/ipfconline1/status/1364258750379536385","1364258750379536385")</f>
        <v>1364258750379536385</v>
      </c>
      <c r="F222" s="7" t="s">
        <v>1132</v>
      </c>
      <c r="G222" s="7" t="s">
        <v>1133</v>
      </c>
      <c r="H222" s="8"/>
      <c r="I222" s="14">
        <v>10</v>
      </c>
      <c r="J222" s="14">
        <v>10</v>
      </c>
      <c r="K222" s="6" t="str">
        <f>HYPERLINK("https://twittimer.com","Twittimer")</f>
        <v>Twittimer</v>
      </c>
      <c r="L222" s="15">
        <v>112675</v>
      </c>
      <c r="M222" s="15">
        <v>107162</v>
      </c>
      <c r="N222" s="15">
        <v>7806</v>
      </c>
      <c r="O222" s="9"/>
      <c r="P222" s="10">
        <v>42433.031967592593</v>
      </c>
      <c r="Q222" s="14" t="s">
        <v>69</v>
      </c>
      <c r="R222" s="14" t="s">
        <v>70</v>
      </c>
      <c r="S222" s="7" t="s">
        <v>71</v>
      </c>
      <c r="T222" s="8"/>
      <c r="U222" s="11" t="str">
        <f>HYPERLINK("https://pbs.twimg.com/profile_images/729065804004769793/St2_Pum9.jpg","View")</f>
        <v>View</v>
      </c>
      <c r="V222" s="8"/>
      <c r="W222" s="8"/>
      <c r="X222" s="8"/>
      <c r="Y222" s="8"/>
      <c r="Z222" s="8"/>
    </row>
    <row r="223" spans="1:26" ht="13.2">
      <c r="A223" s="13">
        <v>44250.750069444446</v>
      </c>
      <c r="B223" s="6" t="str">
        <f>HYPERLINK("https://twitter.com/AIDogoftheDay","@AIDogoftheDay")</f>
        <v>@AIDogoftheDay</v>
      </c>
      <c r="C223" s="14" t="s">
        <v>1134</v>
      </c>
      <c r="D223" s="14" t="s">
        <v>1135</v>
      </c>
      <c r="E223" s="6" t="str">
        <f>HYPERLINK("https://twitter.com/AIDogoftheDay/status/1364258747414151172","1364258747414151172")</f>
        <v>1364258747414151172</v>
      </c>
      <c r="F223" s="8"/>
      <c r="G223" s="7" t="s">
        <v>1136</v>
      </c>
      <c r="H223" s="8"/>
      <c r="I223" s="14">
        <v>0</v>
      </c>
      <c r="J223" s="14">
        <v>0</v>
      </c>
      <c r="K223" s="8"/>
      <c r="L223" s="15">
        <v>8</v>
      </c>
      <c r="M223" s="15">
        <v>0</v>
      </c>
      <c r="N223" s="15">
        <v>0</v>
      </c>
      <c r="O223" s="9"/>
      <c r="P223" s="10">
        <v>44176.951689814814</v>
      </c>
      <c r="Q223" s="8"/>
      <c r="R223" s="14" t="s">
        <v>1137</v>
      </c>
      <c r="S223" s="8"/>
      <c r="T223" s="8"/>
      <c r="U223" s="11" t="str">
        <f>HYPERLINK("https://pbs.twimg.com/profile_images/1337520302729912321/tqBGGqZ6.jpg","View")</f>
        <v>View</v>
      </c>
      <c r="V223" s="8"/>
      <c r="W223" s="8"/>
      <c r="X223" s="8"/>
      <c r="Y223" s="8"/>
      <c r="Z223" s="8"/>
    </row>
    <row r="224" spans="1:26" ht="13.2">
      <c r="A224" s="13">
        <v>44250.750034722223</v>
      </c>
      <c r="B224" s="6" t="str">
        <f>HYPERLINK("https://twitter.com/AnnePordon","@AnnePordon")</f>
        <v>@AnnePordon</v>
      </c>
      <c r="C224" s="14" t="s">
        <v>1138</v>
      </c>
      <c r="D224" s="14" t="s">
        <v>1139</v>
      </c>
      <c r="E224" s="6" t="str">
        <f>HYPERLINK("https://twitter.com/AnnePordon/status/1364258735430897664","1364258735430897664")</f>
        <v>1364258735430897664</v>
      </c>
      <c r="F224" s="7" t="s">
        <v>1140</v>
      </c>
      <c r="G224" s="8"/>
      <c r="H224" s="8"/>
      <c r="I224" s="14">
        <v>10</v>
      </c>
      <c r="J224" s="14">
        <v>3</v>
      </c>
      <c r="K224" s="6" t="str">
        <f>HYPERLINK("http://www.linkedin.com/","LinkedIn")</f>
        <v>LinkedIn</v>
      </c>
      <c r="L224" s="15">
        <v>265</v>
      </c>
      <c r="M224" s="15">
        <v>565</v>
      </c>
      <c r="N224" s="15">
        <v>5</v>
      </c>
      <c r="O224" s="9"/>
      <c r="P224" s="10">
        <v>43714.793321759258</v>
      </c>
      <c r="Q224" s="14" t="s">
        <v>1141</v>
      </c>
      <c r="R224" s="14" t="s">
        <v>1142</v>
      </c>
      <c r="S224" s="8"/>
      <c r="T224" s="8"/>
      <c r="U224" s="11" t="str">
        <f>HYPERLINK("https://pbs.twimg.com/profile_images/1170020149455462401/KK9I4zZR.jpg","View")</f>
        <v>View</v>
      </c>
      <c r="V224" s="8"/>
      <c r="W224" s="8"/>
      <c r="X224" s="8"/>
      <c r="Y224" s="8"/>
      <c r="Z224" s="8"/>
    </row>
    <row r="225" spans="1:26" ht="13.2">
      <c r="A225" s="13">
        <v>44250.75001157407</v>
      </c>
      <c r="B225" s="6" t="str">
        <f>HYPERLINK("https://twitter.com/NVIDIAAI","@NVIDIAAI")</f>
        <v>@NVIDIAAI</v>
      </c>
      <c r="C225" s="14" t="s">
        <v>1143</v>
      </c>
      <c r="D225" s="14" t="s">
        <v>1144</v>
      </c>
      <c r="E225" s="6" t="str">
        <f>HYPERLINK("https://twitter.com/NVIDIAAI/status/1364258725981261828","1364258725981261828")</f>
        <v>1364258725981261828</v>
      </c>
      <c r="F225" s="7" t="s">
        <v>1145</v>
      </c>
      <c r="G225" s="7" t="s">
        <v>1146</v>
      </c>
      <c r="H225" s="8"/>
      <c r="I225" s="14">
        <v>9</v>
      </c>
      <c r="J225" s="14">
        <v>8</v>
      </c>
      <c r="K225" s="6" t="str">
        <f>HYPERLINK("https://prod1.sprinklr.com","Sprinklr Publishing")</f>
        <v>Sprinklr Publishing</v>
      </c>
      <c r="L225" s="15">
        <v>67791</v>
      </c>
      <c r="M225" s="15">
        <v>815</v>
      </c>
      <c r="N225" s="15">
        <v>1304</v>
      </c>
      <c r="O225" s="15" t="s">
        <v>130</v>
      </c>
      <c r="P225" s="10">
        <v>42528.823900462958</v>
      </c>
      <c r="Q225" s="14" t="s">
        <v>81</v>
      </c>
      <c r="R225" s="14" t="s">
        <v>1147</v>
      </c>
      <c r="S225" s="7" t="s">
        <v>1148</v>
      </c>
      <c r="T225" s="8"/>
      <c r="U225" s="11" t="str">
        <f>HYPERLINK("https://pbs.twimg.com/profile_images/877294444554231809/Wcem1g-S.jpg","View")</f>
        <v>View</v>
      </c>
      <c r="V225" s="8"/>
      <c r="W225" s="8"/>
      <c r="X225" s="8"/>
      <c r="Y225" s="8"/>
      <c r="Z225" s="8"/>
    </row>
    <row r="226" spans="1:26" ht="13.2">
      <c r="A226" s="13">
        <v>44250.749305555553</v>
      </c>
      <c r="B226" s="6" t="str">
        <f>HYPERLINK("https://twitter.com/SuccessAnalytiX","@SuccessAnalytiX")</f>
        <v>@SuccessAnalytiX</v>
      </c>
      <c r="C226" s="14" t="s">
        <v>1149</v>
      </c>
      <c r="D226" s="14" t="s">
        <v>1150</v>
      </c>
      <c r="E226" s="6" t="str">
        <f>HYPERLINK("https://twitter.com/SuccessAnalytiX/status/1364258470803963908","1364258470803963908")</f>
        <v>1364258470803963908</v>
      </c>
      <c r="F226" s="7" t="s">
        <v>1151</v>
      </c>
      <c r="G226" s="8"/>
      <c r="H226" s="8"/>
      <c r="I226" s="14">
        <v>3</v>
      </c>
      <c r="J226" s="14">
        <v>1</v>
      </c>
      <c r="K226" s="6" t="str">
        <f>HYPERLINK("http://twitter.com/download/iphone","Twitter for iPhone")</f>
        <v>Twitter for iPhone</v>
      </c>
      <c r="L226" s="15">
        <v>2744</v>
      </c>
      <c r="M226" s="15">
        <v>2908</v>
      </c>
      <c r="N226" s="15">
        <v>11</v>
      </c>
      <c r="O226" s="9"/>
      <c r="P226" s="10">
        <v>43149.839606481481</v>
      </c>
      <c r="Q226" s="14" t="s">
        <v>1152</v>
      </c>
      <c r="R226" s="14" t="s">
        <v>1153</v>
      </c>
      <c r="S226" s="7" t="s">
        <v>1154</v>
      </c>
      <c r="T226" s="8"/>
      <c r="U226" s="11" t="str">
        <f>HYPERLINK("https://pbs.twimg.com/profile_images/1154058190545391616/pOYyXv3r.jpg","View")</f>
        <v>View</v>
      </c>
      <c r="V226" s="8"/>
      <c r="W226" s="8"/>
      <c r="X226" s="8"/>
      <c r="Y226" s="8"/>
      <c r="Z226" s="8"/>
    </row>
    <row r="227" spans="1:26" ht="13.2">
      <c r="A227" s="13">
        <v>44250.749108796299</v>
      </c>
      <c r="B227" s="6" t="str">
        <f>HYPERLINK("https://twitter.com/nataopita","@nataopita")</f>
        <v>@nataopita</v>
      </c>
      <c r="C227" s="14" t="s">
        <v>1155</v>
      </c>
      <c r="D227" s="14" t="s">
        <v>1156</v>
      </c>
      <c r="E227" s="6" t="str">
        <f>HYPERLINK("https://twitter.com/nataopita/status/1364258398057996290","1364258398057996290")</f>
        <v>1364258398057996290</v>
      </c>
      <c r="F227" s="7" t="s">
        <v>1157</v>
      </c>
      <c r="G227" s="7" t="s">
        <v>1158</v>
      </c>
      <c r="H227" s="8"/>
      <c r="I227" s="14">
        <v>0</v>
      </c>
      <c r="J227" s="14">
        <v>1</v>
      </c>
      <c r="K227" s="6" t="str">
        <f>HYPERLINK("http://www.everyonesocial.com","EveryoneSocial")</f>
        <v>EveryoneSocial</v>
      </c>
      <c r="L227" s="15">
        <v>25</v>
      </c>
      <c r="M227" s="15">
        <v>14</v>
      </c>
      <c r="N227" s="15">
        <v>0</v>
      </c>
      <c r="O227" s="9"/>
      <c r="P227" s="10">
        <v>42084.789456018523</v>
      </c>
      <c r="Q227" s="14" t="s">
        <v>1159</v>
      </c>
      <c r="R227" s="8"/>
      <c r="S227" s="8"/>
      <c r="T227" s="8"/>
      <c r="U227" s="11" t="str">
        <f>HYPERLINK("https://pbs.twimg.com/profile_images/803910784661258240/M-ZGRjtR.jpg","View")</f>
        <v>View</v>
      </c>
      <c r="V227" s="8"/>
      <c r="W227" s="8"/>
      <c r="X227" s="8"/>
      <c r="Y227" s="8"/>
      <c r="Z227" s="8"/>
    </row>
    <row r="228" spans="1:26" ht="13.2">
      <c r="A228" s="13">
        <v>44250.749050925922</v>
      </c>
      <c r="B228" s="6" t="str">
        <f>HYPERLINK("https://twitter.com/freeag8","@freeag8")</f>
        <v>@freeag8</v>
      </c>
      <c r="C228" s="14" t="s">
        <v>1160</v>
      </c>
      <c r="D228" s="14" t="s">
        <v>1161</v>
      </c>
      <c r="E228" s="6" t="str">
        <f>HYPERLINK("https://twitter.com/freeag8/status/1364258376960544769","1364258376960544769")</f>
        <v>1364258376960544769</v>
      </c>
      <c r="F228" s="7" t="s">
        <v>1162</v>
      </c>
      <c r="G228" s="8"/>
      <c r="H228" s="8"/>
      <c r="I228" s="14">
        <v>0</v>
      </c>
      <c r="J228" s="14">
        <v>0</v>
      </c>
      <c r="K228" s="6" t="str">
        <f t="shared" ref="K228:K229" si="25">HYPERLINK("https://mobile.twitter.com","Twitter Web App")</f>
        <v>Twitter Web App</v>
      </c>
      <c r="L228" s="15">
        <v>7736</v>
      </c>
      <c r="M228" s="15">
        <v>4874</v>
      </c>
      <c r="N228" s="15">
        <v>83</v>
      </c>
      <c r="O228" s="9"/>
      <c r="P228" s="10">
        <v>43155.080266203702</v>
      </c>
      <c r="Q228" s="14" t="s">
        <v>1163</v>
      </c>
      <c r="R228" s="14" t="s">
        <v>1164</v>
      </c>
      <c r="S228" s="7" t="s">
        <v>1165</v>
      </c>
      <c r="T228" s="8"/>
      <c r="U228" s="11" t="str">
        <f>HYPERLINK("https://pbs.twimg.com/profile_images/967202034574217217/nYHxhCpL.jpg","View")</f>
        <v>View</v>
      </c>
      <c r="V228" s="8"/>
      <c r="W228" s="8"/>
      <c r="X228" s="8"/>
      <c r="Y228" s="8"/>
      <c r="Z228" s="8"/>
    </row>
    <row r="229" spans="1:26" ht="13.2">
      <c r="A229" s="13">
        <v>44250.748842592591</v>
      </c>
      <c r="B229" s="6" t="str">
        <f>HYPERLINK("https://twitter.com/RiponDevSharma1","@RiponDevSharma1")</f>
        <v>@RiponDevSharma1</v>
      </c>
      <c r="C229" s="14" t="s">
        <v>1166</v>
      </c>
      <c r="D229" s="14" t="s">
        <v>1167</v>
      </c>
      <c r="E229" s="6" t="str">
        <f>HYPERLINK("https://twitter.com/RiponDevSharma1/status/1364258300183908357","1364258300183908357")</f>
        <v>1364258300183908357</v>
      </c>
      <c r="F229" s="7" t="s">
        <v>1168</v>
      </c>
      <c r="G229" s="7" t="s">
        <v>1169</v>
      </c>
      <c r="H229" s="8"/>
      <c r="I229" s="14">
        <v>0</v>
      </c>
      <c r="J229" s="14">
        <v>0</v>
      </c>
      <c r="K229" s="6" t="str">
        <f t="shared" si="25"/>
        <v>Twitter Web App</v>
      </c>
      <c r="L229" s="15">
        <v>210</v>
      </c>
      <c r="M229" s="15">
        <v>1482</v>
      </c>
      <c r="N229" s="15">
        <v>0</v>
      </c>
      <c r="O229" s="9"/>
      <c r="P229" s="10">
        <v>44231.139490740738</v>
      </c>
      <c r="Q229" s="14" t="s">
        <v>1170</v>
      </c>
      <c r="R229" s="14" t="s">
        <v>1171</v>
      </c>
      <c r="S229" s="7" t="s">
        <v>1172</v>
      </c>
      <c r="T229" s="8"/>
      <c r="U229" s="11" t="str">
        <f>HYPERLINK("https://pbs.twimg.com/profile_images/1361879726961217536/7cwsVium.jpg","View")</f>
        <v>View</v>
      </c>
      <c r="V229" s="8"/>
      <c r="W229" s="8"/>
      <c r="X229" s="8"/>
      <c r="Y229" s="8"/>
      <c r="Z229" s="8"/>
    </row>
    <row r="230" spans="1:26" ht="13.2">
      <c r="A230" s="13">
        <v>44250.748831018514</v>
      </c>
      <c r="B230" s="6" t="str">
        <f>HYPERLINK("https://twitter.com/MLWhiz","@MLWhiz")</f>
        <v>@MLWhiz</v>
      </c>
      <c r="C230" s="14" t="s">
        <v>1173</v>
      </c>
      <c r="D230" s="14" t="s">
        <v>1174</v>
      </c>
      <c r="E230" s="6" t="str">
        <f>HYPERLINK("https://twitter.com/MLWhiz/status/1364258295624704000","1364258295624704000")</f>
        <v>1364258295624704000</v>
      </c>
      <c r="F230" s="7" t="s">
        <v>1175</v>
      </c>
      <c r="G230" s="7" t="s">
        <v>1176</v>
      </c>
      <c r="H230" s="8"/>
      <c r="I230" s="14">
        <v>1</v>
      </c>
      <c r="J230" s="14">
        <v>1</v>
      </c>
      <c r="K230" s="6" t="str">
        <f>HYPERLINK("https://missinglettr.com","Missinglettr")</f>
        <v>Missinglettr</v>
      </c>
      <c r="L230" s="15">
        <v>1951</v>
      </c>
      <c r="M230" s="15">
        <v>235</v>
      </c>
      <c r="N230" s="15">
        <v>61</v>
      </c>
      <c r="O230" s="9"/>
      <c r="P230" s="10">
        <v>40062.971597222218</v>
      </c>
      <c r="Q230" s="14" t="s">
        <v>753</v>
      </c>
      <c r="R230" s="14" t="s">
        <v>1177</v>
      </c>
      <c r="S230" s="7" t="s">
        <v>1178</v>
      </c>
      <c r="T230" s="8"/>
      <c r="U230" s="11" t="str">
        <f>HYPERLINK("https://pbs.twimg.com/profile_images/1292181673312784384/xU7Wselt.jpg","View")</f>
        <v>View</v>
      </c>
      <c r="V230" s="8"/>
      <c r="W230" s="8"/>
      <c r="X230" s="8"/>
      <c r="Y230" s="8"/>
      <c r="Z230" s="8"/>
    </row>
    <row r="231" spans="1:26" ht="13.2">
      <c r="A231" s="13">
        <v>44250.748622685191</v>
      </c>
      <c r="B231" s="6" t="str">
        <f>HYPERLINK("https://twitter.com/JasSood","@JasSood")</f>
        <v>@JasSood</v>
      </c>
      <c r="C231" s="14" t="s">
        <v>1179</v>
      </c>
      <c r="D231" s="14" t="s">
        <v>1180</v>
      </c>
      <c r="E231" s="6" t="str">
        <f>HYPERLINK("https://twitter.com/JasSood/status/1364258220852740096","1364258220852740096")</f>
        <v>1364258220852740096</v>
      </c>
      <c r="F231" s="7" t="s">
        <v>1181</v>
      </c>
      <c r="G231" s="7" t="s">
        <v>1182</v>
      </c>
      <c r="H231" s="8"/>
      <c r="I231" s="14">
        <v>1</v>
      </c>
      <c r="J231" s="14">
        <v>0</v>
      </c>
      <c r="K231" s="6" t="str">
        <f>HYPERLINK("http://dynamicsignal.com/","Dynamic Signal")</f>
        <v>Dynamic Signal</v>
      </c>
      <c r="L231" s="15">
        <v>161</v>
      </c>
      <c r="M231" s="15">
        <v>56</v>
      </c>
      <c r="N231" s="15">
        <v>1</v>
      </c>
      <c r="O231" s="9"/>
      <c r="P231" s="10">
        <v>41914.628472222219</v>
      </c>
      <c r="Q231" s="8"/>
      <c r="R231" s="8"/>
      <c r="S231" s="8"/>
      <c r="T231" s="8"/>
      <c r="U231" s="11" t="str">
        <f>HYPERLINK("https://pbs.twimg.com/profile_images/1202122712874770432/rH0IOX7b.jpg","View")</f>
        <v>View</v>
      </c>
      <c r="V231" s="8"/>
      <c r="W231" s="8"/>
      <c r="X231" s="8"/>
      <c r="Y231" s="8"/>
      <c r="Z231" s="8"/>
    </row>
    <row r="232" spans="1:26" ht="13.2">
      <c r="A232" s="13">
        <v>44250.747662037036</v>
      </c>
      <c r="B232" s="6" t="str">
        <f>HYPERLINK("https://twitter.com/Underfox3","@Underfox3")</f>
        <v>@Underfox3</v>
      </c>
      <c r="C232" s="14" t="s">
        <v>1183</v>
      </c>
      <c r="D232" s="14" t="s">
        <v>1184</v>
      </c>
      <c r="E232" s="6" t="str">
        <f>HYPERLINK("https://twitter.com/Underfox3/status/1364257874529161219","1364257874529161219")</f>
        <v>1364257874529161219</v>
      </c>
      <c r="F232" s="7" t="s">
        <v>1185</v>
      </c>
      <c r="G232" s="7" t="s">
        <v>1186</v>
      </c>
      <c r="H232" s="8"/>
      <c r="I232" s="14">
        <v>2</v>
      </c>
      <c r="J232" s="14">
        <v>7</v>
      </c>
      <c r="K232" s="6" t="str">
        <f t="shared" ref="K232:K236" si="26">HYPERLINK("https://mobile.twitter.com","Twitter Web App")</f>
        <v>Twitter Web App</v>
      </c>
      <c r="L232" s="15">
        <v>3353</v>
      </c>
      <c r="M232" s="15">
        <v>133</v>
      </c>
      <c r="N232" s="15">
        <v>56</v>
      </c>
      <c r="O232" s="9"/>
      <c r="P232" s="10">
        <v>43080.100162037037</v>
      </c>
      <c r="Q232" s="8"/>
      <c r="R232" s="14" t="s">
        <v>1187</v>
      </c>
      <c r="S232" s="8"/>
      <c r="T232" s="8"/>
      <c r="U232" s="11" t="str">
        <f>HYPERLINK("https://pbs.twimg.com/profile_images/1359987733767335948/uw_17A_S.jpg","View")</f>
        <v>View</v>
      </c>
      <c r="V232" s="8"/>
      <c r="W232" s="8"/>
      <c r="X232" s="8"/>
      <c r="Y232" s="8"/>
      <c r="Z232" s="8"/>
    </row>
    <row r="233" spans="1:26" ht="13.2">
      <c r="A233" s="13">
        <v>44250.747395833328</v>
      </c>
      <c r="B233" s="6" t="str">
        <f>HYPERLINK("https://twitter.com/MetOffice_Sci","@MetOffice_Sci")</f>
        <v>@MetOffice_Sci</v>
      </c>
      <c r="C233" s="14" t="s">
        <v>1188</v>
      </c>
      <c r="D233" s="14" t="s">
        <v>1189</v>
      </c>
      <c r="E233" s="6" t="str">
        <f>HYPERLINK("https://twitter.com/MetOffice_Sci/status/1364257776600555522","1364257776600555522")</f>
        <v>1364257776600555522</v>
      </c>
      <c r="F233" s="7" t="s">
        <v>1190</v>
      </c>
      <c r="G233" s="7" t="s">
        <v>1191</v>
      </c>
      <c r="H233" s="8"/>
      <c r="I233" s="14">
        <v>2</v>
      </c>
      <c r="J233" s="14">
        <v>2</v>
      </c>
      <c r="K233" s="6" t="str">
        <f t="shared" si="26"/>
        <v>Twitter Web App</v>
      </c>
      <c r="L233" s="15">
        <v>8281</v>
      </c>
      <c r="M233" s="15">
        <v>443</v>
      </c>
      <c r="N233" s="15">
        <v>141</v>
      </c>
      <c r="O233" s="15" t="s">
        <v>130</v>
      </c>
      <c r="P233" s="10">
        <v>42639.714594907404</v>
      </c>
      <c r="Q233" s="14" t="s">
        <v>1192</v>
      </c>
      <c r="R233" s="14" t="s">
        <v>1193</v>
      </c>
      <c r="S233" s="7" t="s">
        <v>1194</v>
      </c>
      <c r="T233" s="8"/>
      <c r="U233" s="11" t="str">
        <f>HYPERLINK("https://pbs.twimg.com/profile_images/1323211918778183680/H6rm5VsM.jpg","View")</f>
        <v>View</v>
      </c>
      <c r="V233" s="8"/>
      <c r="W233" s="8"/>
      <c r="X233" s="8"/>
      <c r="Y233" s="8"/>
      <c r="Z233" s="8"/>
    </row>
    <row r="234" spans="1:26" ht="13.2">
      <c r="A234" s="13">
        <v>44250.747361111113</v>
      </c>
      <c r="B234" s="6" t="str">
        <f>HYPERLINK("https://twitter.com/eriphar","@eriphar")</f>
        <v>@eriphar</v>
      </c>
      <c r="C234" s="14" t="s">
        <v>1195</v>
      </c>
      <c r="D234" s="14" t="s">
        <v>1196</v>
      </c>
      <c r="E234" s="6" t="str">
        <f>HYPERLINK("https://twitter.com/eriphar/status/1364257765032624130","1364257765032624130")</f>
        <v>1364257765032624130</v>
      </c>
      <c r="F234" s="7" t="s">
        <v>1197</v>
      </c>
      <c r="G234" s="7" t="s">
        <v>1198</v>
      </c>
      <c r="H234" s="8"/>
      <c r="I234" s="14">
        <v>0</v>
      </c>
      <c r="J234" s="14">
        <v>0</v>
      </c>
      <c r="K234" s="6" t="str">
        <f t="shared" si="26"/>
        <v>Twitter Web App</v>
      </c>
      <c r="L234" s="15">
        <v>270</v>
      </c>
      <c r="M234" s="15">
        <v>598</v>
      </c>
      <c r="N234" s="15">
        <v>3</v>
      </c>
      <c r="O234" s="9"/>
      <c r="P234" s="10">
        <v>43237.791874999995</v>
      </c>
      <c r="Q234" s="14" t="s">
        <v>1199</v>
      </c>
      <c r="R234" s="14" t="s">
        <v>1200</v>
      </c>
      <c r="S234" s="7" t="s">
        <v>1201</v>
      </c>
      <c r="T234" s="8"/>
      <c r="U234" s="11" t="str">
        <f>HYPERLINK("https://pbs.twimg.com/profile_images/1336004951038943238/x4Xq-nqn.jpg","View")</f>
        <v>View</v>
      </c>
      <c r="V234" s="8"/>
      <c r="W234" s="8"/>
      <c r="X234" s="8"/>
      <c r="Y234" s="8"/>
      <c r="Z234" s="8"/>
    </row>
    <row r="235" spans="1:26" ht="13.2">
      <c r="A235" s="13">
        <v>44250.747256944444</v>
      </c>
      <c r="B235" s="6" t="str">
        <f>HYPERLINK("https://twitter.com/WiebkeArlt","@WiebkeArlt")</f>
        <v>@WiebkeArlt</v>
      </c>
      <c r="C235" s="14" t="s">
        <v>1202</v>
      </c>
      <c r="D235" s="14" t="s">
        <v>1203</v>
      </c>
      <c r="E235" s="6" t="str">
        <f>HYPERLINK("https://twitter.com/WiebkeArlt/status/1364257727833395210","1364257727833395210")</f>
        <v>1364257727833395210</v>
      </c>
      <c r="F235" s="8"/>
      <c r="G235" s="7" t="s">
        <v>1204</v>
      </c>
      <c r="H235" s="8"/>
      <c r="I235" s="14">
        <v>1</v>
      </c>
      <c r="J235" s="14">
        <v>6</v>
      </c>
      <c r="K235" s="6" t="str">
        <f t="shared" si="26"/>
        <v>Twitter Web App</v>
      </c>
      <c r="L235" s="15">
        <v>2410</v>
      </c>
      <c r="M235" s="15">
        <v>858</v>
      </c>
      <c r="N235" s="15">
        <v>16</v>
      </c>
      <c r="O235" s="9"/>
      <c r="P235" s="10">
        <v>42425.649733796294</v>
      </c>
      <c r="Q235" s="14" t="s">
        <v>1205</v>
      </c>
      <c r="R235" s="14" t="s">
        <v>1206</v>
      </c>
      <c r="S235" s="7" t="s">
        <v>1207</v>
      </c>
      <c r="T235" s="8"/>
      <c r="U235" s="11" t="str">
        <f>HYPERLINK("https://pbs.twimg.com/profile_images/1347881028338253824/7p0GBKlE.jpg","View")</f>
        <v>View</v>
      </c>
      <c r="V235" s="8"/>
      <c r="W235" s="8"/>
      <c r="X235" s="8"/>
      <c r="Y235" s="8"/>
      <c r="Z235" s="8"/>
    </row>
    <row r="236" spans="1:26" ht="13.2">
      <c r="A236" s="13">
        <v>44250.746990740736</v>
      </c>
      <c r="B236" s="6" t="str">
        <f>HYPERLINK("https://twitter.com/data_monsters","@data_monsters")</f>
        <v>@data_monsters</v>
      </c>
      <c r="C236" s="14" t="s">
        <v>1208</v>
      </c>
      <c r="D236" s="14" t="s">
        <v>1209</v>
      </c>
      <c r="E236" s="6" t="str">
        <f>HYPERLINK("https://twitter.com/data_monsters/status/1364257629225193472","1364257629225193472")</f>
        <v>1364257629225193472</v>
      </c>
      <c r="F236" s="7" t="s">
        <v>1210</v>
      </c>
      <c r="G236" s="8"/>
      <c r="H236" s="8"/>
      <c r="I236" s="14">
        <v>0</v>
      </c>
      <c r="J236" s="14">
        <v>0</v>
      </c>
      <c r="K236" s="6" t="str">
        <f t="shared" si="26"/>
        <v>Twitter Web App</v>
      </c>
      <c r="L236" s="15">
        <v>12103</v>
      </c>
      <c r="M236" s="15">
        <v>4931</v>
      </c>
      <c r="N236" s="15">
        <v>172</v>
      </c>
      <c r="O236" s="9"/>
      <c r="P236" s="10">
        <v>42410.593576388885</v>
      </c>
      <c r="Q236" s="14" t="s">
        <v>390</v>
      </c>
      <c r="R236" s="14" t="s">
        <v>1211</v>
      </c>
      <c r="S236" s="7" t="s">
        <v>1212</v>
      </c>
      <c r="T236" s="8"/>
      <c r="U236" s="11" t="str">
        <f>HYPERLINK("https://pbs.twimg.com/profile_images/1357055271550349313/9X_oRn8e.jpg","View")</f>
        <v>View</v>
      </c>
      <c r="V236" s="8"/>
      <c r="W236" s="8"/>
      <c r="X236" s="8"/>
      <c r="Y236" s="8"/>
      <c r="Z236" s="8"/>
    </row>
    <row r="237" spans="1:26" ht="13.2">
      <c r="A237" s="13">
        <v>44250.746608796297</v>
      </c>
      <c r="B237" s="6" t="str">
        <f>HYPERLINK("https://twitter.com/UofT_TCAIREM","@UofT_TCAIREM")</f>
        <v>@UofT_TCAIREM</v>
      </c>
      <c r="C237" s="14" t="s">
        <v>1213</v>
      </c>
      <c r="D237" s="14" t="s">
        <v>1214</v>
      </c>
      <c r="E237" s="6" t="str">
        <f>HYPERLINK("https://twitter.com/UofT_TCAIREM/status/1364257490372853760","1364257490372853760")</f>
        <v>1364257490372853760</v>
      </c>
      <c r="F237" s="7" t="s">
        <v>1215</v>
      </c>
      <c r="G237" s="7" t="s">
        <v>1216</v>
      </c>
      <c r="H237" s="8"/>
      <c r="I237" s="14">
        <v>0</v>
      </c>
      <c r="J237" s="14">
        <v>0</v>
      </c>
      <c r="K237" s="6" t="str">
        <f>HYPERLINK("https://www.hootsuite.com","Hootsuite Inc.")</f>
        <v>Hootsuite Inc.</v>
      </c>
      <c r="L237" s="15">
        <v>625</v>
      </c>
      <c r="M237" s="15">
        <v>1330</v>
      </c>
      <c r="N237" s="15">
        <v>5</v>
      </c>
      <c r="O237" s="9"/>
      <c r="P237" s="10">
        <v>44078.8122337963</v>
      </c>
      <c r="Q237" s="14" t="s">
        <v>1217</v>
      </c>
      <c r="R237" s="14" t="s">
        <v>1218</v>
      </c>
      <c r="S237" s="7" t="s">
        <v>1219</v>
      </c>
      <c r="T237" s="8"/>
      <c r="U237" s="11" t="str">
        <f>HYPERLINK("https://pbs.twimg.com/profile_images/1324121822263185409/XujIy-bC.jpg","View")</f>
        <v>View</v>
      </c>
      <c r="V237" s="8"/>
      <c r="W237" s="8"/>
      <c r="X237" s="8"/>
      <c r="Y237" s="8"/>
      <c r="Z237" s="8"/>
    </row>
    <row r="238" spans="1:26" ht="13.2">
      <c r="A238" s="13">
        <v>44250.746018518519</v>
      </c>
      <c r="B238" s="6" t="str">
        <f t="shared" ref="B238:B239" si="27">HYPERLINK("https://twitter.com/Programmingbea2","@Programmingbea2")</f>
        <v>@Programmingbea2</v>
      </c>
      <c r="C238" s="14" t="s">
        <v>1220</v>
      </c>
      <c r="D238" s="14" t="s">
        <v>1221</v>
      </c>
      <c r="E238" s="6" t="str">
        <f>HYPERLINK("https://twitter.com/Programmingbea2/status/1364257277234925575","1364257277234925575")</f>
        <v>1364257277234925575</v>
      </c>
      <c r="F238" s="8"/>
      <c r="G238" s="8"/>
      <c r="H238" s="8"/>
      <c r="I238" s="14">
        <v>20</v>
      </c>
      <c r="J238" s="14">
        <v>11</v>
      </c>
      <c r="K238" s="6" t="str">
        <f t="shared" ref="K238:K239" si="28">HYPERLINK("https://mobile.twitter.com","Twitter Web App")</f>
        <v>Twitter Web App</v>
      </c>
      <c r="L238" s="15">
        <v>1275</v>
      </c>
      <c r="M238" s="15">
        <v>2330</v>
      </c>
      <c r="N238" s="15">
        <v>4</v>
      </c>
      <c r="O238" s="9"/>
      <c r="P238" s="10">
        <v>43964.922314814816</v>
      </c>
      <c r="Q238" s="14" t="s">
        <v>322</v>
      </c>
      <c r="R238" s="14" t="s">
        <v>1222</v>
      </c>
      <c r="S238" s="7" t="s">
        <v>1223</v>
      </c>
      <c r="T238" s="8"/>
      <c r="U238" s="11" t="str">
        <f t="shared" ref="U238:U239" si="29">HYPERLINK("https://pbs.twimg.com/profile_images/1260663222455001089/myzRF2Vd.jpg","View")</f>
        <v>View</v>
      </c>
      <c r="V238" s="8"/>
      <c r="W238" s="8"/>
      <c r="X238" s="8"/>
      <c r="Y238" s="8"/>
      <c r="Z238" s="8"/>
    </row>
    <row r="239" spans="1:26" ht="13.2">
      <c r="A239" s="13">
        <v>44250.745601851857</v>
      </c>
      <c r="B239" s="6" t="str">
        <f t="shared" si="27"/>
        <v>@Programmingbea2</v>
      </c>
      <c r="C239" s="14" t="s">
        <v>1220</v>
      </c>
      <c r="D239" s="14" t="s">
        <v>1224</v>
      </c>
      <c r="E239" s="6" t="str">
        <f>HYPERLINK("https://twitter.com/Programmingbea2/status/1364257127246618626","1364257127246618626")</f>
        <v>1364257127246618626</v>
      </c>
      <c r="F239" s="7" t="s">
        <v>1225</v>
      </c>
      <c r="G239" s="8"/>
      <c r="H239" s="8"/>
      <c r="I239" s="14">
        <v>3</v>
      </c>
      <c r="J239" s="14">
        <v>1</v>
      </c>
      <c r="K239" s="6" t="str">
        <f t="shared" si="28"/>
        <v>Twitter Web App</v>
      </c>
      <c r="L239" s="15">
        <v>1275</v>
      </c>
      <c r="M239" s="15">
        <v>2330</v>
      </c>
      <c r="N239" s="15">
        <v>4</v>
      </c>
      <c r="O239" s="9"/>
      <c r="P239" s="10">
        <v>43964.922314814816</v>
      </c>
      <c r="Q239" s="14" t="s">
        <v>322</v>
      </c>
      <c r="R239" s="14" t="s">
        <v>1222</v>
      </c>
      <c r="S239" s="7" t="s">
        <v>1223</v>
      </c>
      <c r="T239" s="8"/>
      <c r="U239" s="11" t="str">
        <f t="shared" si="29"/>
        <v>View</v>
      </c>
      <c r="V239" s="8"/>
      <c r="W239" s="8"/>
      <c r="X239" s="8"/>
      <c r="Y239" s="8"/>
      <c r="Z239" s="8"/>
    </row>
    <row r="240" spans="1:26" ht="13.2">
      <c r="A240" s="13">
        <v>44250.745601851857</v>
      </c>
      <c r="B240" s="6" t="str">
        <f>HYPERLINK("https://twitter.com/altis_t","@altis_t")</f>
        <v>@altis_t</v>
      </c>
      <c r="C240" s="14" t="s">
        <v>1226</v>
      </c>
      <c r="D240" s="14" t="s">
        <v>1227</v>
      </c>
      <c r="E240" s="6" t="str">
        <f>HYPERLINK("https://twitter.com/altis_t/status/1364257126676262914","1364257126676262914")</f>
        <v>1364257126676262914</v>
      </c>
      <c r="F240" s="14" t="s">
        <v>1228</v>
      </c>
      <c r="G240" s="7" t="s">
        <v>1229</v>
      </c>
      <c r="H240" s="8"/>
      <c r="I240" s="14">
        <v>2</v>
      </c>
      <c r="J240" s="14">
        <v>1</v>
      </c>
      <c r="K240" s="6" t="str">
        <f>HYPERLINK("http://twitter.com/download/android","Twitter for Android")</f>
        <v>Twitter for Android</v>
      </c>
      <c r="L240" s="15">
        <v>18</v>
      </c>
      <c r="M240" s="15">
        <v>53</v>
      </c>
      <c r="N240" s="15">
        <v>1</v>
      </c>
      <c r="O240" s="9"/>
      <c r="P240" s="10">
        <v>44036.830289351856</v>
      </c>
      <c r="Q240" s="8"/>
      <c r="R240" s="14" t="s">
        <v>1230</v>
      </c>
      <c r="S240" s="7" t="s">
        <v>1231</v>
      </c>
      <c r="T240" s="8"/>
      <c r="U240" s="11" t="str">
        <f>HYPERLINK("https://pbs.twimg.com/profile_images/1286727921990688768/a_QeFDUZ.jpg","View")</f>
        <v>View</v>
      </c>
      <c r="V240" s="8"/>
      <c r="W240" s="8"/>
      <c r="X240" s="8"/>
      <c r="Y240" s="8"/>
      <c r="Z240" s="8"/>
    </row>
    <row r="241" spans="1:26" ht="13.2">
      <c r="A241" s="13">
        <v>44250.745219907403</v>
      </c>
      <c r="B241" s="6" t="str">
        <f>HYPERLINK("https://twitter.com/esantapau","@esantapau")</f>
        <v>@esantapau</v>
      </c>
      <c r="C241" s="14" t="s">
        <v>1232</v>
      </c>
      <c r="D241" s="14" t="s">
        <v>1233</v>
      </c>
      <c r="E241" s="6" t="str">
        <f>HYPERLINK("https://twitter.com/esantapau/status/1364256987656118276","1364256987656118276")</f>
        <v>1364256987656118276</v>
      </c>
      <c r="F241" s="7" t="s">
        <v>1234</v>
      </c>
      <c r="G241" s="8"/>
      <c r="H241" s="8"/>
      <c r="I241" s="14">
        <v>0</v>
      </c>
      <c r="J241" s="14">
        <v>2</v>
      </c>
      <c r="K241" s="6" t="str">
        <f>HYPERLINK("https://mobile.twitter.com","Twitter Web App")</f>
        <v>Twitter Web App</v>
      </c>
      <c r="L241" s="15">
        <v>469</v>
      </c>
      <c r="M241" s="15">
        <v>495</v>
      </c>
      <c r="N241" s="15">
        <v>11</v>
      </c>
      <c r="O241" s="9"/>
      <c r="P241" s="10">
        <v>42693.856238425928</v>
      </c>
      <c r="Q241" s="8"/>
      <c r="R241" s="14" t="s">
        <v>1235</v>
      </c>
      <c r="S241" s="8"/>
      <c r="T241" s="8"/>
      <c r="U241" s="11" t="str">
        <f>HYPERLINK("https://pbs.twimg.com/profile_images/800063138041393153/BfI21SIO.jpg","View")</f>
        <v>View</v>
      </c>
      <c r="V241" s="8"/>
      <c r="W241" s="8"/>
      <c r="X241" s="8"/>
      <c r="Y241" s="8"/>
      <c r="Z241" s="8"/>
    </row>
    <row r="242" spans="1:26" ht="13.2">
      <c r="A242" s="13">
        <v>44250.744988425926</v>
      </c>
      <c r="B242" s="6" t="str">
        <f>HYPERLINK("https://twitter.com/TheRealJQuinten","@TheRealJQuinten")</f>
        <v>@TheRealJQuinten</v>
      </c>
      <c r="C242" s="14" t="s">
        <v>1236</v>
      </c>
      <c r="D242" s="14" t="s">
        <v>1237</v>
      </c>
      <c r="E242" s="6" t="str">
        <f>HYPERLINK("https://twitter.com/TheRealJQuinten/status/1364256904822673410","1364256904822673410")</f>
        <v>1364256904822673410</v>
      </c>
      <c r="F242" s="7" t="s">
        <v>1238</v>
      </c>
      <c r="G242" s="8"/>
      <c r="H242" s="8"/>
      <c r="I242" s="14">
        <v>0</v>
      </c>
      <c r="J242" s="14">
        <v>0</v>
      </c>
      <c r="K242" s="6" t="str">
        <f>HYPERLINK("http://twitter.com/download/iphone","Twitter for iPhone")</f>
        <v>Twitter for iPhone</v>
      </c>
      <c r="L242" s="15">
        <v>89</v>
      </c>
      <c r="M242" s="15">
        <v>699</v>
      </c>
      <c r="N242" s="15">
        <v>1</v>
      </c>
      <c r="O242" s="9"/>
      <c r="P242" s="10">
        <v>43727.255879629629</v>
      </c>
      <c r="Q242" s="14" t="s">
        <v>138</v>
      </c>
      <c r="R242" s="14" t="s">
        <v>1239</v>
      </c>
      <c r="S242" s="7" t="s">
        <v>1240</v>
      </c>
      <c r="T242" s="8"/>
      <c r="U242" s="11" t="str">
        <f>HYPERLINK("https://pbs.twimg.com/profile_images/1243394984365047809/oxIw9c5N.jpg","View")</f>
        <v>View</v>
      </c>
      <c r="V242" s="8"/>
      <c r="W242" s="8"/>
      <c r="X242" s="8"/>
      <c r="Y242" s="8"/>
      <c r="Z242" s="8"/>
    </row>
    <row r="243" spans="1:26" ht="13.2">
      <c r="A243" s="13">
        <v>44250.744432870371</v>
      </c>
      <c r="B243" s="6" t="str">
        <f>HYPERLINK("https://twitter.com/Programmingbea2","@Programmingbea2")</f>
        <v>@Programmingbea2</v>
      </c>
      <c r="C243" s="14" t="s">
        <v>1220</v>
      </c>
      <c r="D243" s="14" t="s">
        <v>1241</v>
      </c>
      <c r="E243" s="6" t="str">
        <f>HYPERLINK("https://twitter.com/Programmingbea2/status/1364256703882006531","1364256703882006531")</f>
        <v>1364256703882006531</v>
      </c>
      <c r="F243" s="8"/>
      <c r="G243" s="8"/>
      <c r="H243" s="8"/>
      <c r="I243" s="14">
        <v>15</v>
      </c>
      <c r="J243" s="14">
        <v>6</v>
      </c>
      <c r="K243" s="6" t="str">
        <f t="shared" ref="K243:K244" si="30">HYPERLINK("https://mobile.twitter.com","Twitter Web App")</f>
        <v>Twitter Web App</v>
      </c>
      <c r="L243" s="15">
        <v>1275</v>
      </c>
      <c r="M243" s="15">
        <v>2330</v>
      </c>
      <c r="N243" s="15">
        <v>4</v>
      </c>
      <c r="O243" s="9"/>
      <c r="P243" s="10">
        <v>43964.922314814816</v>
      </c>
      <c r="Q243" s="14" t="s">
        <v>322</v>
      </c>
      <c r="R243" s="14" t="s">
        <v>1222</v>
      </c>
      <c r="S243" s="7" t="s">
        <v>1223</v>
      </c>
      <c r="T243" s="8"/>
      <c r="U243" s="11" t="str">
        <f>HYPERLINK("https://pbs.twimg.com/profile_images/1260663222455001089/myzRF2Vd.jpg","View")</f>
        <v>View</v>
      </c>
      <c r="V243" s="8"/>
      <c r="W243" s="8"/>
      <c r="X243" s="8"/>
      <c r="Y243" s="8"/>
      <c r="Z243" s="8"/>
    </row>
    <row r="244" spans="1:26" ht="13.2">
      <c r="A244" s="13">
        <v>44250.743784722217</v>
      </c>
      <c r="B244" s="6" t="str">
        <f>HYPERLINK("https://twitter.com/BlueCloudtech","@BlueCloudtech")</f>
        <v>@BlueCloudtech</v>
      </c>
      <c r="C244" s="14" t="s">
        <v>1242</v>
      </c>
      <c r="D244" s="14" t="s">
        <v>1243</v>
      </c>
      <c r="E244" s="6" t="str">
        <f>HYPERLINK("https://twitter.com/BlueCloudtech/status/1364256469709774849","1364256469709774849")</f>
        <v>1364256469709774849</v>
      </c>
      <c r="F244" s="7" t="s">
        <v>1244</v>
      </c>
      <c r="G244" s="7" t="s">
        <v>1245</v>
      </c>
      <c r="H244" s="8"/>
      <c r="I244" s="14">
        <v>0</v>
      </c>
      <c r="J244" s="14">
        <v>0</v>
      </c>
      <c r="K244" s="6" t="str">
        <f t="shared" si="30"/>
        <v>Twitter Web App</v>
      </c>
      <c r="L244" s="15">
        <v>242</v>
      </c>
      <c r="M244" s="15">
        <v>649</v>
      </c>
      <c r="N244" s="15">
        <v>4</v>
      </c>
      <c r="O244" s="9"/>
      <c r="P244" s="10">
        <v>43488.246562500004</v>
      </c>
      <c r="Q244" s="14" t="s">
        <v>1246</v>
      </c>
      <c r="R244" s="14" t="s">
        <v>1247</v>
      </c>
      <c r="S244" s="7" t="s">
        <v>1248</v>
      </c>
      <c r="T244" s="8"/>
      <c r="U244" s="11" t="str">
        <f>HYPERLINK("https://pbs.twimg.com/profile_images/1253591788415340544/iONNPzEQ.jpg","View")</f>
        <v>View</v>
      </c>
      <c r="V244" s="8"/>
      <c r="W244" s="8"/>
      <c r="X244" s="8"/>
      <c r="Y244" s="8"/>
      <c r="Z244" s="8"/>
    </row>
    <row r="245" spans="1:26" ht="13.2">
      <c r="A245" s="13">
        <v>44250.743101851855</v>
      </c>
      <c r="B245" s="6" t="str">
        <f>HYPERLINK("https://twitter.com/bigdataconf","@bigdataconf")</f>
        <v>@bigdataconf</v>
      </c>
      <c r="C245" s="14" t="s">
        <v>78</v>
      </c>
      <c r="D245" s="14" t="s">
        <v>1249</v>
      </c>
      <c r="E245" s="6" t="str">
        <f>HYPERLINK("https://twitter.com/bigdataconf/status/1364256220803178499","1364256220803178499")</f>
        <v>1364256220803178499</v>
      </c>
      <c r="F245" s="7" t="s">
        <v>1250</v>
      </c>
      <c r="G245" s="8"/>
      <c r="H245" s="8"/>
      <c r="I245" s="14">
        <v>13</v>
      </c>
      <c r="J245" s="14">
        <v>5</v>
      </c>
      <c r="K245" s="6" t="str">
        <f>HYPERLINK("https://buffer.com","Buffer")</f>
        <v>Buffer</v>
      </c>
      <c r="L245" s="15">
        <v>6752</v>
      </c>
      <c r="M245" s="15">
        <v>4333</v>
      </c>
      <c r="N245" s="15">
        <v>1236</v>
      </c>
      <c r="O245" s="9"/>
      <c r="P245" s="10">
        <v>41238.332962962959</v>
      </c>
      <c r="Q245" s="14" t="s">
        <v>81</v>
      </c>
      <c r="R245" s="14" t="s">
        <v>82</v>
      </c>
      <c r="S245" s="7" t="s">
        <v>83</v>
      </c>
      <c r="T245" s="8"/>
      <c r="U245" s="11" t="str">
        <f>HYPERLINK("https://pbs.twimg.com/profile_images/1347252050757709824/mnYHBPAA.jpg","View")</f>
        <v>View</v>
      </c>
      <c r="V245" s="8"/>
      <c r="W245" s="8"/>
      <c r="X245" s="8"/>
      <c r="Y245" s="8"/>
      <c r="Z245" s="8"/>
    </row>
    <row r="246" spans="1:26" ht="13.2">
      <c r="A246" s="13">
        <v>44250.743043981478</v>
      </c>
      <c r="B246" s="6" t="str">
        <f>HYPERLINK("https://twitter.com/diggernautcom","@diggernautcom")</f>
        <v>@diggernautcom</v>
      </c>
      <c r="C246" s="14" t="s">
        <v>1251</v>
      </c>
      <c r="D246" s="14" t="s">
        <v>1252</v>
      </c>
      <c r="E246" s="6" t="str">
        <f>HYPERLINK("https://twitter.com/diggernautcom/status/1364256201295466503","1364256201295466503")</f>
        <v>1364256201295466503</v>
      </c>
      <c r="F246" s="7" t="s">
        <v>1253</v>
      </c>
      <c r="G246" s="8"/>
      <c r="H246" s="8"/>
      <c r="I246" s="14">
        <v>0</v>
      </c>
      <c r="J246" s="14">
        <v>0</v>
      </c>
      <c r="K246" s="6" t="str">
        <f>HYPERLINK("https://paper.li","Paper.li")</f>
        <v>Paper.li</v>
      </c>
      <c r="L246" s="15">
        <v>2084</v>
      </c>
      <c r="M246" s="15">
        <v>994</v>
      </c>
      <c r="N246" s="15">
        <v>17</v>
      </c>
      <c r="O246" s="9"/>
      <c r="P246" s="10">
        <v>42535.614212962959</v>
      </c>
      <c r="Q246" s="14" t="s">
        <v>1254</v>
      </c>
      <c r="R246" s="14" t="s">
        <v>1255</v>
      </c>
      <c r="S246" s="7" t="s">
        <v>1256</v>
      </c>
      <c r="T246" s="8"/>
      <c r="U246" s="11" t="str">
        <f>HYPERLINK("https://pbs.twimg.com/profile_images/765314524140474368/5epvIj7T.jpg","View")</f>
        <v>View</v>
      </c>
      <c r="V246" s="8"/>
      <c r="W246" s="8"/>
      <c r="X246" s="8"/>
      <c r="Y246" s="8"/>
      <c r="Z246" s="8"/>
    </row>
    <row r="247" spans="1:26" ht="13.2">
      <c r="A247" s="13">
        <v>44250.742361111115</v>
      </c>
      <c r="B247" s="6" t="str">
        <f>HYPERLINK("https://twitter.com/KirkDBorne","@KirkDBorne")</f>
        <v>@KirkDBorne</v>
      </c>
      <c r="C247" s="14" t="s">
        <v>127</v>
      </c>
      <c r="D247" s="14" t="s">
        <v>1257</v>
      </c>
      <c r="E247" s="6" t="str">
        <f>HYPERLINK("https://twitter.com/KirkDBorne/status/1364255951876988932","1364255951876988932")</f>
        <v>1364255951876988932</v>
      </c>
      <c r="F247" s="7" t="s">
        <v>1258</v>
      </c>
      <c r="G247" s="7" t="s">
        <v>1259</v>
      </c>
      <c r="H247" s="8"/>
      <c r="I247" s="14">
        <v>2</v>
      </c>
      <c r="J247" s="14">
        <v>1</v>
      </c>
      <c r="K247" s="6" t="str">
        <f>HYPERLINK("https://about.twitter.com/products/tweetdeck","TweetDeck")</f>
        <v>TweetDeck</v>
      </c>
      <c r="L247" s="15">
        <v>273892</v>
      </c>
      <c r="M247" s="15">
        <v>8969</v>
      </c>
      <c r="N247" s="15">
        <v>8299</v>
      </c>
      <c r="O247" s="15" t="s">
        <v>130</v>
      </c>
      <c r="P247" s="10">
        <v>40991.732835648145</v>
      </c>
      <c r="Q247" s="14" t="s">
        <v>131</v>
      </c>
      <c r="R247" s="14" t="s">
        <v>132</v>
      </c>
      <c r="S247" s="7" t="s">
        <v>133</v>
      </c>
      <c r="T247" s="8"/>
      <c r="U247" s="11" t="str">
        <f>HYPERLINK("https://pbs.twimg.com/profile_images/1112733580948635648/s-8d1avb.jpg","View")</f>
        <v>View</v>
      </c>
      <c r="V247" s="8"/>
      <c r="W247" s="8"/>
      <c r="X247" s="8"/>
      <c r="Y247" s="8"/>
      <c r="Z247" s="8"/>
    </row>
    <row r="248" spans="1:26" ht="13.2">
      <c r="A248" s="13">
        <v>44250.742256944446</v>
      </c>
      <c r="B248" s="6" t="str">
        <f>HYPERLINK("https://twitter.com/DominikKlepl","@DominikKlepl")</f>
        <v>@DominikKlepl</v>
      </c>
      <c r="C248" s="14" t="s">
        <v>1260</v>
      </c>
      <c r="D248" s="14" t="s">
        <v>1261</v>
      </c>
      <c r="E248" s="6" t="str">
        <f>HYPERLINK("https://twitter.com/DominikKlepl/status/1364255913171968005","1364255913171968005")</f>
        <v>1364255913171968005</v>
      </c>
      <c r="F248" s="14" t="s">
        <v>1262</v>
      </c>
      <c r="G248" s="7" t="s">
        <v>1263</v>
      </c>
      <c r="H248" s="8"/>
      <c r="I248" s="14">
        <v>0</v>
      </c>
      <c r="J248" s="14">
        <v>2</v>
      </c>
      <c r="K248" s="6" t="str">
        <f>HYPERLINK("https://mobile.twitter.com","Twitter Web App")</f>
        <v>Twitter Web App</v>
      </c>
      <c r="L248" s="15">
        <v>3</v>
      </c>
      <c r="M248" s="15">
        <v>35</v>
      </c>
      <c r="N248" s="15">
        <v>1</v>
      </c>
      <c r="O248" s="9"/>
      <c r="P248" s="10">
        <v>41735.653761574074</v>
      </c>
      <c r="Q248" s="14" t="s">
        <v>1264</v>
      </c>
      <c r="R248" s="14" t="s">
        <v>1265</v>
      </c>
      <c r="S248" s="8"/>
      <c r="T248" s="8"/>
      <c r="U248" s="11" t="str">
        <f>HYPERLINK("https://pbs.twimg.com/profile_images/1364254073848016898/3VbTB8y8.jpg","View")</f>
        <v>View</v>
      </c>
      <c r="V248" s="8"/>
      <c r="W248" s="8"/>
      <c r="X248" s="8"/>
      <c r="Y248" s="8"/>
      <c r="Z248" s="8"/>
    </row>
    <row r="249" spans="1:26" ht="13.2">
      <c r="A249" s="13">
        <v>44250.742083333331</v>
      </c>
      <c r="B249" s="6" t="str">
        <f>HYPERLINK("https://twitter.com/machinelearnflx","@machinelearnflx")</f>
        <v>@machinelearnflx</v>
      </c>
      <c r="C249" s="14" t="s">
        <v>279</v>
      </c>
      <c r="D249" s="14" t="s">
        <v>1266</v>
      </c>
      <c r="E249" s="6" t="str">
        <f>HYPERLINK("https://twitter.com/machinelearnflx/status/1364255850890752004","1364255850890752004")</f>
        <v>1364255850890752004</v>
      </c>
      <c r="F249" s="7" t="s">
        <v>1267</v>
      </c>
      <c r="G249" s="8"/>
      <c r="H249" s="8"/>
      <c r="I249" s="14">
        <v>1</v>
      </c>
      <c r="J249" s="14">
        <v>4</v>
      </c>
      <c r="K249" s="6" t="str">
        <f>HYPERLINK("https://twitter.com/pythonbot_","Postmatico")</f>
        <v>Postmatico</v>
      </c>
      <c r="L249" s="15">
        <v>90451</v>
      </c>
      <c r="M249" s="15">
        <v>35464</v>
      </c>
      <c r="N249" s="15">
        <v>2227</v>
      </c>
      <c r="O249" s="9"/>
      <c r="P249" s="10">
        <v>42386.538865740746</v>
      </c>
      <c r="Q249" s="8"/>
      <c r="R249" s="14" t="s">
        <v>282</v>
      </c>
      <c r="S249" s="7" t="s">
        <v>283</v>
      </c>
      <c r="T249" s="8"/>
      <c r="U249" s="11" t="str">
        <f>HYPERLINK("https://pbs.twimg.com/profile_images/688735459892195329/v8sHaWSG.jpg","View")</f>
        <v>View</v>
      </c>
      <c r="V249" s="8"/>
      <c r="W249" s="8"/>
      <c r="X249" s="8"/>
      <c r="Y249" s="8"/>
      <c r="Z249" s="8"/>
    </row>
    <row r="250" spans="1:26" ht="13.2">
      <c r="A250" s="13">
        <v>44250.741724537038</v>
      </c>
      <c r="B250" s="6" t="str">
        <f>HYPERLINK("https://twitter.com/everythingCour1","@everythingCour1")</f>
        <v>@everythingCour1</v>
      </c>
      <c r="C250" s="14" t="s">
        <v>1268</v>
      </c>
      <c r="D250" s="14" t="s">
        <v>1269</v>
      </c>
      <c r="E250" s="6" t="str">
        <f>HYPERLINK("https://twitter.com/everythingCour1/status/1364255721127251968","1364255721127251968")</f>
        <v>1364255721127251968</v>
      </c>
      <c r="F250" s="7" t="s">
        <v>1270</v>
      </c>
      <c r="G250" s="7" t="s">
        <v>1271</v>
      </c>
      <c r="H250" s="8"/>
      <c r="I250" s="14">
        <v>21</v>
      </c>
      <c r="J250" s="14">
        <v>7</v>
      </c>
      <c r="K250" s="6" t="str">
        <f t="shared" ref="K250:K251" si="31">HYPERLINK("https://mobile.twitter.com","Twitter Web App")</f>
        <v>Twitter Web App</v>
      </c>
      <c r="L250" s="15">
        <v>451</v>
      </c>
      <c r="M250" s="15">
        <v>135</v>
      </c>
      <c r="N250" s="15">
        <v>14</v>
      </c>
      <c r="O250" s="9"/>
      <c r="P250" s="10">
        <v>43553.051527777774</v>
      </c>
      <c r="Q250" s="8"/>
      <c r="R250" s="14" t="s">
        <v>1272</v>
      </c>
      <c r="S250" s="7" t="s">
        <v>1273</v>
      </c>
      <c r="T250" s="8"/>
      <c r="U250" s="11" t="str">
        <f>HYPERLINK("https://pbs.twimg.com/profile_images/1111422724000243712/78aNeW6c.jpg","View")</f>
        <v>View</v>
      </c>
      <c r="V250" s="8"/>
      <c r="W250" s="8"/>
      <c r="X250" s="8"/>
      <c r="Y250" s="8"/>
      <c r="Z250" s="8"/>
    </row>
    <row r="251" spans="1:26" ht="13.2">
      <c r="A251" s="13">
        <v>44250.741006944445</v>
      </c>
      <c r="B251" s="6" t="str">
        <f>HYPERLINK("https://twitter.com/EquitusCorp","@EquitusCorp")</f>
        <v>@EquitusCorp</v>
      </c>
      <c r="C251" s="14" t="s">
        <v>1274</v>
      </c>
      <c r="D251" s="14" t="s">
        <v>1275</v>
      </c>
      <c r="E251" s="6" t="str">
        <f>HYPERLINK("https://twitter.com/EquitusCorp/status/1364255463571914756","1364255463571914756")</f>
        <v>1364255463571914756</v>
      </c>
      <c r="F251" s="8"/>
      <c r="G251" s="7" t="s">
        <v>1276</v>
      </c>
      <c r="H251" s="8"/>
      <c r="I251" s="14">
        <v>0</v>
      </c>
      <c r="J251" s="14">
        <v>0</v>
      </c>
      <c r="K251" s="6" t="str">
        <f t="shared" si="31"/>
        <v>Twitter Web App</v>
      </c>
      <c r="L251" s="15">
        <v>51</v>
      </c>
      <c r="M251" s="15">
        <v>87</v>
      </c>
      <c r="N251" s="15">
        <v>1</v>
      </c>
      <c r="O251" s="9"/>
      <c r="P251" s="10">
        <v>40809.801782407405</v>
      </c>
      <c r="Q251" s="14" t="s">
        <v>1277</v>
      </c>
      <c r="R251" s="14" t="s">
        <v>1278</v>
      </c>
      <c r="S251" s="7" t="s">
        <v>1279</v>
      </c>
      <c r="T251" s="8"/>
      <c r="U251" s="11" t="str">
        <f>HYPERLINK("https://pbs.twimg.com/profile_images/1246107290610159617/YmrBiA0Q.jpg","View")</f>
        <v>View</v>
      </c>
      <c r="V251" s="8"/>
      <c r="W251" s="8"/>
      <c r="X251" s="8"/>
      <c r="Y251" s="8"/>
      <c r="Z251" s="8"/>
    </row>
    <row r="252" spans="1:26" ht="13.2">
      <c r="A252" s="13">
        <v>44250.74082175926</v>
      </c>
      <c r="B252" s="6" t="str">
        <f>HYPERLINK("https://twitter.com/ChristianMcM","@ChristianMcM")</f>
        <v>@ChristianMcM</v>
      </c>
      <c r="C252" s="14" t="s">
        <v>1280</v>
      </c>
      <c r="D252" s="14" t="s">
        <v>1281</v>
      </c>
      <c r="E252" s="6" t="str">
        <f>HYPERLINK("https://twitter.com/ChristianMcM/status/1364255395389276161","1364255395389276161")</f>
        <v>1364255395389276161</v>
      </c>
      <c r="F252" s="7" t="s">
        <v>1282</v>
      </c>
      <c r="G252" s="8"/>
      <c r="H252" s="8"/>
      <c r="I252" s="14">
        <v>0</v>
      </c>
      <c r="J252" s="14">
        <v>0</v>
      </c>
      <c r="K252" s="6" t="str">
        <f>HYPERLINK("https://paper.li","Paper.li")</f>
        <v>Paper.li</v>
      </c>
      <c r="L252" s="15">
        <v>12570</v>
      </c>
      <c r="M252" s="15">
        <v>18455</v>
      </c>
      <c r="N252" s="15">
        <v>1114</v>
      </c>
      <c r="O252" s="15" t="s">
        <v>130</v>
      </c>
      <c r="P252" s="10">
        <v>39188.481724537036</v>
      </c>
      <c r="Q252" s="14" t="s">
        <v>1283</v>
      </c>
      <c r="R252" s="14" t="s">
        <v>1284</v>
      </c>
      <c r="S252" s="7" t="s">
        <v>1285</v>
      </c>
      <c r="T252" s="8"/>
      <c r="U252" s="11" t="str">
        <f>HYPERLINK("https://pbs.twimg.com/profile_images/705061904079835136/nNlfG3qW.jpg","View")</f>
        <v>View</v>
      </c>
      <c r="V252" s="8"/>
      <c r="W252" s="8"/>
      <c r="X252" s="8"/>
      <c r="Y252" s="8"/>
      <c r="Z252" s="8"/>
    </row>
    <row r="253" spans="1:26" ht="13.2">
      <c r="A253" s="13">
        <v>44250.74009259259</v>
      </c>
      <c r="B253" s="6" t="str">
        <f>HYPERLINK("https://twitter.com/ai_summary","@ai_summary")</f>
        <v>@ai_summary</v>
      </c>
      <c r="C253" s="14" t="s">
        <v>528</v>
      </c>
      <c r="D253" s="14" t="s">
        <v>1286</v>
      </c>
      <c r="E253" s="6" t="str">
        <f>HYPERLINK("https://twitter.com/ai_summary/status/1364255131013898246","1364255131013898246")</f>
        <v>1364255131013898246</v>
      </c>
      <c r="F253" s="7" t="s">
        <v>1287</v>
      </c>
      <c r="G253" s="8"/>
      <c r="H253" s="8"/>
      <c r="I253" s="14">
        <v>0</v>
      </c>
      <c r="J253" s="14">
        <v>0</v>
      </c>
      <c r="K253" s="8"/>
      <c r="L253" s="15">
        <v>47</v>
      </c>
      <c r="M253" s="15">
        <v>7</v>
      </c>
      <c r="N253" s="15">
        <v>2</v>
      </c>
      <c r="O253" s="9"/>
      <c r="P253" s="10">
        <v>44039.504699074074</v>
      </c>
      <c r="Q253" s="8"/>
      <c r="R253" s="14" t="s">
        <v>531</v>
      </c>
      <c r="S253" s="8"/>
      <c r="T253" s="8"/>
      <c r="U253" s="11" t="str">
        <f>HYPERLINK("https://pbs.twimg.com/profile_images/1315240281206382592/-i10o6Yg.jpg","View")</f>
        <v>View</v>
      </c>
      <c r="V253" s="8"/>
      <c r="W253" s="8"/>
      <c r="X253" s="8"/>
      <c r="Y253" s="8"/>
      <c r="Z253" s="8"/>
    </row>
    <row r="254" spans="1:26" ht="13.2">
      <c r="A254" s="13">
        <v>44250.739918981482</v>
      </c>
      <c r="B254" s="6" t="str">
        <f>HYPERLINK("https://twitter.com/dopamineharvest","@dopamineharvest")</f>
        <v>@dopamineharvest</v>
      </c>
      <c r="C254" s="14" t="s">
        <v>1288</v>
      </c>
      <c r="D254" s="14" t="s">
        <v>1289</v>
      </c>
      <c r="E254" s="6" t="str">
        <f>HYPERLINK("https://twitter.com/dopamineharvest/status/1364255066656559106","1364255066656559106")</f>
        <v>1364255066656559106</v>
      </c>
      <c r="F254" s="8"/>
      <c r="G254" s="7" t="s">
        <v>1290</v>
      </c>
      <c r="H254" s="8"/>
      <c r="I254" s="14">
        <v>0</v>
      </c>
      <c r="J254" s="14">
        <v>2</v>
      </c>
      <c r="K254" s="6" t="str">
        <f>HYPERLINK("http://pascal.cc/blog/glitches","GlitchDemon")</f>
        <v>GlitchDemon</v>
      </c>
      <c r="L254" s="15">
        <v>2199</v>
      </c>
      <c r="M254" s="15">
        <v>269</v>
      </c>
      <c r="N254" s="15">
        <v>25</v>
      </c>
      <c r="O254" s="9"/>
      <c r="P254" s="10">
        <v>43004.538657407407</v>
      </c>
      <c r="Q254" s="14" t="s">
        <v>1291</v>
      </c>
      <c r="R254" s="14" t="s">
        <v>1292</v>
      </c>
      <c r="S254" s="7" t="s">
        <v>1293</v>
      </c>
      <c r="T254" s="8"/>
      <c r="U254" s="11" t="str">
        <f>HYPERLINK("https://pbs.twimg.com/profile_images/931549616268627968/t0seYJqQ.jpg","View")</f>
        <v>View</v>
      </c>
      <c r="V254" s="8"/>
      <c r="W254" s="8"/>
      <c r="X254" s="8"/>
      <c r="Y254" s="8"/>
      <c r="Z254" s="8"/>
    </row>
    <row r="255" spans="1:26" ht="13.2">
      <c r="A255" s="13">
        <v>44250.739756944444</v>
      </c>
      <c r="B255" s="6" t="str">
        <f>HYPERLINK("https://twitter.com/altis_t","@altis_t")</f>
        <v>@altis_t</v>
      </c>
      <c r="C255" s="14" t="s">
        <v>1226</v>
      </c>
      <c r="D255" s="14" t="s">
        <v>1294</v>
      </c>
      <c r="E255" s="6" t="str">
        <f>HYPERLINK("https://twitter.com/altis_t/status/1364255010175864832","1364255010175864832")</f>
        <v>1364255010175864832</v>
      </c>
      <c r="F255" s="7" t="s">
        <v>1295</v>
      </c>
      <c r="G255" s="7" t="s">
        <v>1229</v>
      </c>
      <c r="H255" s="8"/>
      <c r="I255" s="14">
        <v>17</v>
      </c>
      <c r="J255" s="14">
        <v>8</v>
      </c>
      <c r="K255" s="6" t="str">
        <f t="shared" ref="K255:K256" si="32">HYPERLINK("http://twitter.com/download/android","Twitter for Android")</f>
        <v>Twitter for Android</v>
      </c>
      <c r="L255" s="15">
        <v>18</v>
      </c>
      <c r="M255" s="15">
        <v>53</v>
      </c>
      <c r="N255" s="15">
        <v>1</v>
      </c>
      <c r="O255" s="9"/>
      <c r="P255" s="10">
        <v>44036.830289351856</v>
      </c>
      <c r="Q255" s="8"/>
      <c r="R255" s="14" t="s">
        <v>1230</v>
      </c>
      <c r="S255" s="7" t="s">
        <v>1231</v>
      </c>
      <c r="T255" s="8"/>
      <c r="U255" s="11" t="str">
        <f>HYPERLINK("https://pbs.twimg.com/profile_images/1286727921990688768/a_QeFDUZ.jpg","View")</f>
        <v>View</v>
      </c>
      <c r="V255" s="8"/>
      <c r="W255" s="8"/>
      <c r="X255" s="8"/>
      <c r="Y255" s="8"/>
      <c r="Z255" s="8"/>
    </row>
    <row r="256" spans="1:26" ht="13.2">
      <c r="A256" s="13">
        <v>44250.739606481482</v>
      </c>
      <c r="B256" s="6" t="str">
        <f>HYPERLINK("https://twitter.com/data81026303","@data81026303")</f>
        <v>@data81026303</v>
      </c>
      <c r="C256" s="14" t="s">
        <v>1296</v>
      </c>
      <c r="D256" s="14" t="s">
        <v>1297</v>
      </c>
      <c r="E256" s="6" t="str">
        <f>HYPERLINK("https://twitter.com/data81026303/status/1364254955033403395","1364254955033403395")</f>
        <v>1364254955033403395</v>
      </c>
      <c r="F256" s="14" t="s">
        <v>1298</v>
      </c>
      <c r="G256" s="8"/>
      <c r="H256" s="8"/>
      <c r="I256" s="14">
        <v>8</v>
      </c>
      <c r="J256" s="14">
        <v>2</v>
      </c>
      <c r="K256" s="6" t="str">
        <f t="shared" si="32"/>
        <v>Twitter for Android</v>
      </c>
      <c r="L256" s="15">
        <v>10</v>
      </c>
      <c r="M256" s="15">
        <v>12</v>
      </c>
      <c r="N256" s="15">
        <v>0</v>
      </c>
      <c r="O256" s="9"/>
      <c r="P256" s="10">
        <v>44188.566759259258</v>
      </c>
      <c r="Q256" s="8"/>
      <c r="R256" s="14" t="s">
        <v>1299</v>
      </c>
      <c r="S256" s="7" t="s">
        <v>1300</v>
      </c>
      <c r="T256" s="8"/>
      <c r="U256" s="11" t="str">
        <f>HYPERLINK("https://pbs.twimg.com/profile_images/1345362011660509184/dGWAZGLW.jpg","View")</f>
        <v>View</v>
      </c>
      <c r="V256" s="8"/>
      <c r="W256" s="8"/>
      <c r="X256" s="8"/>
      <c r="Y256" s="8"/>
      <c r="Z256" s="8"/>
    </row>
    <row r="257" spans="1:26" ht="13.2">
      <c r="A257" s="13">
        <v>44250.739583333328</v>
      </c>
      <c r="B257" s="6" t="str">
        <f>HYPERLINK("https://twitter.com/Raamana_","@Raamana_")</f>
        <v>@Raamana_</v>
      </c>
      <c r="C257" s="14" t="s">
        <v>1301</v>
      </c>
      <c r="D257" s="14" t="s">
        <v>1302</v>
      </c>
      <c r="E257" s="6" t="str">
        <f>HYPERLINK("https://twitter.com/Raamana_/status/1364254945508261892","1364254945508261892")</f>
        <v>1364254945508261892</v>
      </c>
      <c r="F257" s="8"/>
      <c r="G257" s="7" t="s">
        <v>1303</v>
      </c>
      <c r="H257" s="8"/>
      <c r="I257" s="14">
        <v>1</v>
      </c>
      <c r="J257" s="14">
        <v>2</v>
      </c>
      <c r="K257" s="6" t="str">
        <f>HYPERLINK("https://mobile.twitter.com","Twitter Web App")</f>
        <v>Twitter Web App</v>
      </c>
      <c r="L257" s="15">
        <v>2628</v>
      </c>
      <c r="M257" s="15">
        <v>826</v>
      </c>
      <c r="N257" s="15">
        <v>120</v>
      </c>
      <c r="O257" s="9"/>
      <c r="P257" s="10">
        <v>40212.388113425928</v>
      </c>
      <c r="Q257" s="14" t="s">
        <v>1036</v>
      </c>
      <c r="R257" s="14" t="s">
        <v>1304</v>
      </c>
      <c r="S257" s="7" t="s">
        <v>1305</v>
      </c>
      <c r="T257" s="8"/>
      <c r="U257" s="11" t="str">
        <f>HYPERLINK("https://pbs.twimg.com/profile_images/1290840003157938178/X50oOtbB.jpg","View")</f>
        <v>View</v>
      </c>
      <c r="V257" s="8"/>
      <c r="W257" s="8"/>
      <c r="X257" s="8"/>
      <c r="Y257" s="8"/>
      <c r="Z257" s="8"/>
    </row>
    <row r="258" spans="1:26" ht="13.2">
      <c r="A258" s="13">
        <v>44250.739583333328</v>
      </c>
      <c r="B258" s="6" t="str">
        <f>HYPERLINK("https://twitter.com/v_vashishta","@v_vashishta")</f>
        <v>@v_vashishta</v>
      </c>
      <c r="C258" s="14" t="s">
        <v>1306</v>
      </c>
      <c r="D258" s="14" t="s">
        <v>1307</v>
      </c>
      <c r="E258" s="6" t="str">
        <f>HYPERLINK("https://twitter.com/v_vashishta/status/1364254945382309888","1364254945382309888")</f>
        <v>1364254945382309888</v>
      </c>
      <c r="F258" s="8"/>
      <c r="G258" s="8"/>
      <c r="H258" s="8"/>
      <c r="I258" s="14">
        <v>2</v>
      </c>
      <c r="J258" s="14">
        <v>3</v>
      </c>
      <c r="K258" s="6" t="str">
        <f>HYPERLINK("https://about.twitter.com/products/tweetdeck","TweetDeck")</f>
        <v>TweetDeck</v>
      </c>
      <c r="L258" s="15">
        <v>29323</v>
      </c>
      <c r="M258" s="15">
        <v>5438</v>
      </c>
      <c r="N258" s="15">
        <v>1942</v>
      </c>
      <c r="O258" s="9"/>
      <c r="P258" s="10">
        <v>40436.623113425929</v>
      </c>
      <c r="Q258" s="14" t="s">
        <v>1308</v>
      </c>
      <c r="R258" s="14" t="s">
        <v>1309</v>
      </c>
      <c r="S258" s="7" t="s">
        <v>1310</v>
      </c>
      <c r="T258" s="8"/>
      <c r="U258" s="11" t="str">
        <f>HYPERLINK("https://pbs.twimg.com/profile_images/1041812432388145153/GCVoviC3.jpg","View")</f>
        <v>View</v>
      </c>
      <c r="V258" s="8"/>
      <c r="W258" s="8"/>
      <c r="X258" s="8"/>
      <c r="Y258" s="8"/>
      <c r="Z258" s="8"/>
    </row>
    <row r="259" spans="1:26" ht="13.2">
      <c r="A259" s="13">
        <v>44250.73945601852</v>
      </c>
      <c r="B259" s="6" t="str">
        <f>HYPERLINK("https://twitter.com/KimPgch","@KimPgch")</f>
        <v>@KimPgch</v>
      </c>
      <c r="C259" s="14" t="s">
        <v>1311</v>
      </c>
      <c r="D259" s="14" t="s">
        <v>1312</v>
      </c>
      <c r="E259" s="6" t="str">
        <f>HYPERLINK("https://twitter.com/KimPgch/status/1364254900461395970","1364254900461395970")</f>
        <v>1364254900461395970</v>
      </c>
      <c r="F259" s="14" t="s">
        <v>1313</v>
      </c>
      <c r="G259" s="8"/>
      <c r="H259" s="8"/>
      <c r="I259" s="14">
        <v>0</v>
      </c>
      <c r="J259" s="14">
        <v>1</v>
      </c>
      <c r="K259" s="6" t="str">
        <f>HYPERLINK("http://twinybots.com","TwinyBots")</f>
        <v>TwinyBots</v>
      </c>
      <c r="L259" s="15">
        <v>5717</v>
      </c>
      <c r="M259" s="15">
        <v>5802</v>
      </c>
      <c r="N259" s="15">
        <v>37</v>
      </c>
      <c r="O259" s="9"/>
      <c r="P259" s="10">
        <v>41926.214687500003</v>
      </c>
      <c r="Q259" s="14" t="s">
        <v>650</v>
      </c>
      <c r="R259" s="14" t="s">
        <v>1314</v>
      </c>
      <c r="S259" s="7" t="s">
        <v>1315</v>
      </c>
      <c r="T259" s="8"/>
      <c r="U259" s="11" t="str">
        <f>HYPERLINK("https://pbs.twimg.com/profile_images/525481353182072832/qd_bfvn9.jpeg","View")</f>
        <v>View</v>
      </c>
      <c r="V259" s="8"/>
      <c r="W259" s="8"/>
      <c r="X259" s="8"/>
      <c r="Y259" s="8"/>
      <c r="Z259" s="8"/>
    </row>
    <row r="260" spans="1:26" ht="13.2">
      <c r="A260" s="13">
        <v>44250.739004629635</v>
      </c>
      <c r="B260" s="6" t="str">
        <f>HYPERLINK("https://twitter.com/_blackhost","@_blackhost")</f>
        <v>@_blackhost</v>
      </c>
      <c r="C260" s="14" t="s">
        <v>1316</v>
      </c>
      <c r="D260" s="14" t="s">
        <v>1317</v>
      </c>
      <c r="E260" s="6" t="str">
        <f>HYPERLINK("https://twitter.com/_blackhost/status/1364254737571450882","1364254737571450882")</f>
        <v>1364254737571450882</v>
      </c>
      <c r="F260" s="7" t="s">
        <v>1318</v>
      </c>
      <c r="G260" s="8"/>
      <c r="H260" s="8"/>
      <c r="I260" s="14">
        <v>2</v>
      </c>
      <c r="J260" s="14">
        <v>2</v>
      </c>
      <c r="K260" s="6" t="str">
        <f>HYPERLINK("https://mobile.twitter.com","Twitter Web App")</f>
        <v>Twitter Web App</v>
      </c>
      <c r="L260" s="15">
        <v>1049</v>
      </c>
      <c r="M260" s="15">
        <v>497</v>
      </c>
      <c r="N260" s="15">
        <v>20</v>
      </c>
      <c r="O260" s="9"/>
      <c r="P260" s="10">
        <v>42128.987500000003</v>
      </c>
      <c r="Q260" s="14" t="s">
        <v>1319</v>
      </c>
      <c r="R260" s="14" t="s">
        <v>1320</v>
      </c>
      <c r="S260" s="7" t="s">
        <v>1321</v>
      </c>
      <c r="T260" s="8"/>
      <c r="U260" s="11" t="str">
        <f>HYPERLINK("https://pbs.twimg.com/profile_images/1359497245700333569/WSb8Gz-0.jpg","View")</f>
        <v>View</v>
      </c>
      <c r="V260" s="8"/>
      <c r="W260" s="8"/>
      <c r="X260" s="8"/>
      <c r="Y260" s="8"/>
      <c r="Z260" s="8"/>
    </row>
    <row r="261" spans="1:26" ht="13.2">
      <c r="A261" s="13">
        <v>44250.738981481481</v>
      </c>
      <c r="B261" s="6" t="str">
        <f>HYPERLINK("https://twitter.com/BristowColin","@BristowColin")</f>
        <v>@BristowColin</v>
      </c>
      <c r="C261" s="14" t="s">
        <v>596</v>
      </c>
      <c r="D261" s="14" t="s">
        <v>1322</v>
      </c>
      <c r="E261" s="6" t="str">
        <f>HYPERLINK("https://twitter.com/BristowColin/status/1364254726674550788","1364254726674550788")</f>
        <v>1364254726674550788</v>
      </c>
      <c r="F261" s="7" t="s">
        <v>1323</v>
      </c>
      <c r="G261" s="8"/>
      <c r="H261" s="8"/>
      <c r="I261" s="14">
        <v>4</v>
      </c>
      <c r="J261" s="14">
        <v>0</v>
      </c>
      <c r="K261" s="6" t="str">
        <f>HYPERLINK("http://dynamicsignal.com/","Dynamic Signal")</f>
        <v>Dynamic Signal</v>
      </c>
      <c r="L261" s="15">
        <v>12149</v>
      </c>
      <c r="M261" s="15">
        <v>9707</v>
      </c>
      <c r="N261" s="15">
        <v>155</v>
      </c>
      <c r="O261" s="9"/>
      <c r="P261" s="10">
        <v>40900.478090277778</v>
      </c>
      <c r="Q261" s="14" t="s">
        <v>599</v>
      </c>
      <c r="R261" s="14" t="s">
        <v>600</v>
      </c>
      <c r="S261" s="7" t="s">
        <v>601</v>
      </c>
      <c r="T261" s="8"/>
      <c r="U261" s="11" t="str">
        <f>HYPERLINK("https://pbs.twimg.com/profile_images/692994884270198784/jQX64C1s.jpg","View")</f>
        <v>View</v>
      </c>
      <c r="V261" s="8"/>
      <c r="W261" s="8"/>
      <c r="X261" s="8"/>
      <c r="Y261" s="8"/>
      <c r="Z261" s="8"/>
    </row>
    <row r="262" spans="1:26" ht="13.2">
      <c r="A262" s="13">
        <v>44250.738819444443</v>
      </c>
      <c r="B262" s="6" t="str">
        <f>HYPERLINK("https://twitter.com/jrdorkin","@jrdorkin")</f>
        <v>@jrdorkin</v>
      </c>
      <c r="C262" s="14" t="s">
        <v>1324</v>
      </c>
      <c r="D262" s="14" t="s">
        <v>1325</v>
      </c>
      <c r="E262" s="6" t="str">
        <f>HYPERLINK("https://twitter.com/jrdorkin/status/1364254670030397440","1364254670030397440")</f>
        <v>1364254670030397440</v>
      </c>
      <c r="F262" s="7" t="s">
        <v>1326</v>
      </c>
      <c r="G262" s="7" t="s">
        <v>1327</v>
      </c>
      <c r="H262" s="8"/>
      <c r="I262" s="14">
        <v>0</v>
      </c>
      <c r="J262" s="14">
        <v>1</v>
      </c>
      <c r="K262" s="6" t="str">
        <f>HYPERLINK("http://twitter.com/#!/download/ipad","Twitter for iPad")</f>
        <v>Twitter for iPad</v>
      </c>
      <c r="L262" s="15">
        <v>25146</v>
      </c>
      <c r="M262" s="15">
        <v>3286</v>
      </c>
      <c r="N262" s="15">
        <v>634</v>
      </c>
      <c r="O262" s="15" t="s">
        <v>130</v>
      </c>
      <c r="P262" s="10">
        <v>39186.100844907407</v>
      </c>
      <c r="Q262" s="14" t="s">
        <v>1328</v>
      </c>
      <c r="R262" s="14" t="s">
        <v>1329</v>
      </c>
      <c r="S262" s="7" t="s">
        <v>1330</v>
      </c>
      <c r="T262" s="8"/>
      <c r="U262" s="11" t="str">
        <f>HYPERLINK("https://pbs.twimg.com/profile_images/1317240948695265280/t3uoVtxi.jpg","View")</f>
        <v>View</v>
      </c>
      <c r="V262" s="8"/>
      <c r="W262" s="8"/>
      <c r="X262" s="8"/>
      <c r="Y262" s="8"/>
      <c r="Z262" s="8"/>
    </row>
    <row r="263" spans="1:26" ht="13.2">
      <c r="A263" s="13">
        <v>44250.738796296297</v>
      </c>
      <c r="B263" s="6" t="str">
        <f>HYPERLINK("https://twitter.com/BM_NXT","@BM_NXT")</f>
        <v>@BM_NXT</v>
      </c>
      <c r="C263" s="14" t="s">
        <v>1331</v>
      </c>
      <c r="D263" s="14" t="s">
        <v>1332</v>
      </c>
      <c r="E263" s="6" t="str">
        <f>HYPERLINK("https://twitter.com/BM_NXT/status/1364254659985088516","1364254659985088516")</f>
        <v>1364254659985088516</v>
      </c>
      <c r="F263" s="7" t="s">
        <v>1333</v>
      </c>
      <c r="G263" s="8"/>
      <c r="H263" s="8"/>
      <c r="I263" s="14">
        <v>0</v>
      </c>
      <c r="J263" s="14">
        <v>3</v>
      </c>
      <c r="K263" s="6" t="str">
        <f>HYPERLINK("http://twitter.com/download/android","Twitter for Android")</f>
        <v>Twitter for Android</v>
      </c>
      <c r="L263" s="15">
        <v>151</v>
      </c>
      <c r="M263" s="15">
        <v>733</v>
      </c>
      <c r="N263" s="15">
        <v>1</v>
      </c>
      <c r="O263" s="9"/>
      <c r="P263" s="10">
        <v>42543.261921296296</v>
      </c>
      <c r="Q263" s="8"/>
      <c r="R263" s="14" t="s">
        <v>1334</v>
      </c>
      <c r="S263" s="7" t="s">
        <v>1335</v>
      </c>
      <c r="T263" s="8"/>
      <c r="U263" s="11" t="str">
        <f>HYPERLINK("https://pbs.twimg.com/profile_images/745471921068740608/I29u_XmL.jpg","View")</f>
        <v>View</v>
      </c>
      <c r="V263" s="8"/>
      <c r="W263" s="8"/>
      <c r="X263" s="8"/>
      <c r="Y263" s="8"/>
      <c r="Z263" s="8"/>
    </row>
    <row r="264" spans="1:26" ht="13.2">
      <c r="A264" s="13">
        <v>44250.738715277781</v>
      </c>
      <c r="B264" s="6" t="str">
        <f>HYPERLINK("https://twitter.com/IulianVladSerb1","@IulianVladSerb1")</f>
        <v>@IulianVladSerb1</v>
      </c>
      <c r="C264" s="14" t="s">
        <v>1336</v>
      </c>
      <c r="D264" s="14" t="s">
        <v>1337</v>
      </c>
      <c r="E264" s="6" t="str">
        <f>HYPERLINK("https://twitter.com/IulianVladSerb1/status/1364254633720446981","1364254633720446981")</f>
        <v>1364254633720446981</v>
      </c>
      <c r="F264" s="7" t="s">
        <v>543</v>
      </c>
      <c r="G264" s="8"/>
      <c r="H264" s="8"/>
      <c r="I264" s="14">
        <v>0</v>
      </c>
      <c r="J264" s="14">
        <v>1</v>
      </c>
      <c r="K264" s="6" t="str">
        <f t="shared" ref="K264:K265" si="33">HYPERLINK("https://mobile.twitter.com","Twitter Web App")</f>
        <v>Twitter Web App</v>
      </c>
      <c r="L264" s="15">
        <v>33</v>
      </c>
      <c r="M264" s="15">
        <v>8</v>
      </c>
      <c r="N264" s="15">
        <v>0</v>
      </c>
      <c r="O264" s="9"/>
      <c r="P264" s="10">
        <v>43606.791041666671</v>
      </c>
      <c r="Q264" s="8"/>
      <c r="R264" s="14" t="s">
        <v>1338</v>
      </c>
      <c r="S264" s="8"/>
      <c r="T264" s="8"/>
      <c r="U264" s="11" t="str">
        <f>HYPERLINK("https://pbs.twimg.com/profile_images/1130880968531881985/_3lztlvx.jpg","View")</f>
        <v>View</v>
      </c>
      <c r="V264" s="8"/>
      <c r="W264" s="8"/>
      <c r="X264" s="8"/>
      <c r="Y264" s="8"/>
      <c r="Z264" s="8"/>
    </row>
    <row r="265" spans="1:26" ht="13.2">
      <c r="A265" s="13">
        <v>44250.738634259258</v>
      </c>
      <c r="B265" s="6" t="str">
        <f>HYPERLINK("https://twitter.com/Synced_Global","@Synced_Global")</f>
        <v>@Synced_Global</v>
      </c>
      <c r="C265" s="14" t="s">
        <v>1339</v>
      </c>
      <c r="D265" s="14" t="s">
        <v>1340</v>
      </c>
      <c r="E265" s="6" t="str">
        <f>HYPERLINK("https://twitter.com/Synced_Global/status/1364254603064143875","1364254603064143875")</f>
        <v>1364254603064143875</v>
      </c>
      <c r="F265" s="7" t="s">
        <v>1341</v>
      </c>
      <c r="G265" s="7" t="s">
        <v>1342</v>
      </c>
      <c r="H265" s="8"/>
      <c r="I265" s="14">
        <v>1</v>
      </c>
      <c r="J265" s="14">
        <v>2</v>
      </c>
      <c r="K265" s="6" t="str">
        <f t="shared" si="33"/>
        <v>Twitter Web App</v>
      </c>
      <c r="L265" s="15">
        <v>3608</v>
      </c>
      <c r="M265" s="15">
        <v>251</v>
      </c>
      <c r="N265" s="15">
        <v>118</v>
      </c>
      <c r="O265" s="9"/>
      <c r="P265" s="10">
        <v>42748.499421296292</v>
      </c>
      <c r="Q265" s="14" t="s">
        <v>696</v>
      </c>
      <c r="R265" s="14" t="s">
        <v>1343</v>
      </c>
      <c r="S265" s="7" t="s">
        <v>1344</v>
      </c>
      <c r="T265" s="8"/>
      <c r="U265" s="11" t="str">
        <f>HYPERLINK("https://pbs.twimg.com/profile_images/895029477192851456/7dh0KKva.jpg","View")</f>
        <v>View</v>
      </c>
      <c r="V265" s="8"/>
      <c r="W265" s="8"/>
      <c r="X265" s="8"/>
      <c r="Y265" s="8"/>
      <c r="Z265" s="8"/>
    </row>
    <row r="266" spans="1:26" ht="13.2">
      <c r="A266" s="13">
        <v>44250.737523148149</v>
      </c>
      <c r="B266" s="6" t="str">
        <f>HYPERLINK("https://twitter.com/CE_Polska","@CE_Polska")</f>
        <v>@CE_Polska</v>
      </c>
      <c r="C266" s="14" t="s">
        <v>1345</v>
      </c>
      <c r="D266" s="14" t="s">
        <v>1346</v>
      </c>
      <c r="E266" s="6" t="str">
        <f>HYPERLINK("https://twitter.com/CE_Polska/status/1364254200151085061","1364254200151085061")</f>
        <v>1364254200151085061</v>
      </c>
      <c r="F266" s="7" t="s">
        <v>1347</v>
      </c>
      <c r="G266" s="7" t="s">
        <v>1348</v>
      </c>
      <c r="H266" s="8"/>
      <c r="I266" s="14">
        <v>2</v>
      </c>
      <c r="J266" s="14">
        <v>0</v>
      </c>
      <c r="K266" s="6" t="str">
        <f t="shared" ref="K266:K267" si="34">HYPERLINK("https://buffer.com","Buffer")</f>
        <v>Buffer</v>
      </c>
      <c r="L266" s="15">
        <v>530</v>
      </c>
      <c r="M266" s="15">
        <v>319</v>
      </c>
      <c r="N266" s="15">
        <v>16</v>
      </c>
      <c r="O266" s="9"/>
      <c r="P266" s="10">
        <v>42054.676168981481</v>
      </c>
      <c r="Q266" s="14" t="s">
        <v>1349</v>
      </c>
      <c r="R266" s="14" t="s">
        <v>1350</v>
      </c>
      <c r="S266" s="7" t="s">
        <v>1351</v>
      </c>
      <c r="T266" s="8"/>
      <c r="U266" s="11" t="str">
        <f>HYPERLINK("https://pbs.twimg.com/profile_images/1011176728297910272/SsuB6Dui.jpg","View")</f>
        <v>View</v>
      </c>
      <c r="V266" s="8"/>
      <c r="W266" s="8"/>
      <c r="X266" s="8"/>
      <c r="Y266" s="8"/>
      <c r="Z266" s="8"/>
    </row>
    <row r="267" spans="1:26" ht="13.2">
      <c r="A267" s="13">
        <v>44250.737511574072</v>
      </c>
      <c r="B267" s="6" t="str">
        <f>HYPERLINK("https://twitter.com/DataMovesHer","@DataMovesHer")</f>
        <v>@DataMovesHer</v>
      </c>
      <c r="C267" s="14" t="s">
        <v>1352</v>
      </c>
      <c r="D267" s="14" t="s">
        <v>1353</v>
      </c>
      <c r="E267" s="6" t="str">
        <f>HYPERLINK("https://twitter.com/DataMovesHer/status/1364254193775763460","1364254193775763460")</f>
        <v>1364254193775763460</v>
      </c>
      <c r="F267" s="7" t="s">
        <v>1354</v>
      </c>
      <c r="G267" s="8"/>
      <c r="H267" s="8"/>
      <c r="I267" s="14">
        <v>0</v>
      </c>
      <c r="J267" s="14">
        <v>0</v>
      </c>
      <c r="K267" s="6" t="str">
        <f t="shared" si="34"/>
        <v>Buffer</v>
      </c>
      <c r="L267" s="15">
        <v>2728</v>
      </c>
      <c r="M267" s="15">
        <v>1073</v>
      </c>
      <c r="N267" s="15">
        <v>74</v>
      </c>
      <c r="O267" s="9"/>
      <c r="P267" s="10">
        <v>40255.932662037041</v>
      </c>
      <c r="Q267" s="14" t="s">
        <v>1355</v>
      </c>
      <c r="R267" s="14" t="s">
        <v>1356</v>
      </c>
      <c r="S267" s="7" t="s">
        <v>1357</v>
      </c>
      <c r="T267" s="8"/>
      <c r="U267" s="11" t="str">
        <f>HYPERLINK("https://pbs.twimg.com/profile_images/1005810346270035969/X-8fcvuv.jpg","View")</f>
        <v>View</v>
      </c>
      <c r="V267" s="8"/>
      <c r="W267" s="8"/>
      <c r="X267" s="8"/>
      <c r="Y267" s="8"/>
      <c r="Z267" s="8"/>
    </row>
    <row r="268" spans="1:26" ht="13.2">
      <c r="A268" s="13">
        <v>44250.737222222218</v>
      </c>
      <c r="B268" s="6" t="str">
        <f>HYPERLINK("https://twitter.com/dansar39","@dansar39")</f>
        <v>@dansar39</v>
      </c>
      <c r="C268" s="14" t="s">
        <v>1358</v>
      </c>
      <c r="D268" s="14" t="s">
        <v>1359</v>
      </c>
      <c r="E268" s="6" t="str">
        <f>HYPERLINK("https://twitter.com/dansar39/status/1364254090809778177","1364254090809778177")</f>
        <v>1364254090809778177</v>
      </c>
      <c r="F268" s="8"/>
      <c r="G268" s="7" t="s">
        <v>1360</v>
      </c>
      <c r="H268" s="8"/>
      <c r="I268" s="14">
        <v>0</v>
      </c>
      <c r="J268" s="14">
        <v>3</v>
      </c>
      <c r="K268" s="6" t="str">
        <f>HYPERLINK("https://mobile.twitter.com","Twitter Web App")</f>
        <v>Twitter Web App</v>
      </c>
      <c r="L268" s="15">
        <v>588</v>
      </c>
      <c r="M268" s="15">
        <v>112</v>
      </c>
      <c r="N268" s="15">
        <v>22</v>
      </c>
      <c r="O268" s="9"/>
      <c r="P268" s="10">
        <v>40750.872094907405</v>
      </c>
      <c r="Q268" s="8"/>
      <c r="R268" s="14" t="s">
        <v>1361</v>
      </c>
      <c r="S268" s="8"/>
      <c r="T268" s="8"/>
      <c r="U268" s="11" t="str">
        <f>HYPERLINK("https://pbs.twimg.com/profile_images/889884264120164352/fiBjQnlE.jpg","View")</f>
        <v>View</v>
      </c>
      <c r="V268" s="8"/>
      <c r="W268" s="8"/>
      <c r="X268" s="8"/>
      <c r="Y268" s="8"/>
      <c r="Z268" s="8"/>
    </row>
    <row r="269" spans="1:26" ht="13.2">
      <c r="A269" s="13">
        <v>44250.736944444448</v>
      </c>
      <c r="B269" s="6" t="str">
        <f>HYPERLINK("https://twitter.com/gbolcer","@gbolcer")</f>
        <v>@gbolcer</v>
      </c>
      <c r="C269" s="14" t="s">
        <v>1362</v>
      </c>
      <c r="D269" s="14" t="s">
        <v>1363</v>
      </c>
      <c r="E269" s="6" t="str">
        <f>HYPERLINK("https://twitter.com/gbolcer/status/1364253990075138050","1364253990075138050")</f>
        <v>1364253990075138050</v>
      </c>
      <c r="F269" s="7" t="s">
        <v>1364</v>
      </c>
      <c r="G269" s="8"/>
      <c r="H269" s="8"/>
      <c r="I269" s="14">
        <v>2</v>
      </c>
      <c r="J269" s="14">
        <v>2</v>
      </c>
      <c r="K269" s="6" t="str">
        <f>HYPERLINK("https://ifttt.com","IFTTT")</f>
        <v>IFTTT</v>
      </c>
      <c r="L269" s="15">
        <v>178</v>
      </c>
      <c r="M269" s="15">
        <v>617</v>
      </c>
      <c r="N269" s="15">
        <v>4</v>
      </c>
      <c r="O269" s="9"/>
      <c r="P269" s="10">
        <v>39167.672280092593</v>
      </c>
      <c r="Q269" s="14" t="s">
        <v>1365</v>
      </c>
      <c r="R269" s="14" t="s">
        <v>1366</v>
      </c>
      <c r="S269" s="7" t="s">
        <v>1367</v>
      </c>
      <c r="T269" s="8"/>
      <c r="U269" s="11" t="str">
        <f>HYPERLINK("https://pbs.twimg.com/profile_images/29959562/Greg-8.jpg","View")</f>
        <v>View</v>
      </c>
      <c r="V269" s="8"/>
      <c r="W269" s="8"/>
      <c r="X269" s="8"/>
      <c r="Y269" s="8"/>
      <c r="Z269" s="8"/>
    </row>
    <row r="270" spans="1:26" ht="13.2">
      <c r="A270" s="13">
        <v>44250.736886574072</v>
      </c>
      <c r="B270" s="6" t="str">
        <f>HYPERLINK("https://twitter.com/Lucian2drei","@Lucian2drei")</f>
        <v>@Lucian2drei</v>
      </c>
      <c r="C270" s="14" t="s">
        <v>1368</v>
      </c>
      <c r="D270" s="14" t="s">
        <v>1369</v>
      </c>
      <c r="E270" s="6" t="str">
        <f>HYPERLINK("https://twitter.com/Lucian2drei/status/1364253968801665027","1364253968801665027")</f>
        <v>1364253968801665027</v>
      </c>
      <c r="F270" s="14" t="s">
        <v>1370</v>
      </c>
      <c r="G270" s="8"/>
      <c r="H270" s="8"/>
      <c r="I270" s="14">
        <v>1</v>
      </c>
      <c r="J270" s="14">
        <v>1</v>
      </c>
      <c r="K270" s="6" t="str">
        <f>HYPERLINK("http://twinybots.com","TwinyBots")</f>
        <v>TwinyBots</v>
      </c>
      <c r="L270" s="15">
        <v>938</v>
      </c>
      <c r="M270" s="15">
        <v>815</v>
      </c>
      <c r="N270" s="15">
        <v>36</v>
      </c>
      <c r="O270" s="9"/>
      <c r="P270" s="10">
        <v>41428.742523148147</v>
      </c>
      <c r="Q270" s="14" t="s">
        <v>1371</v>
      </c>
      <c r="R270" s="14" t="s">
        <v>1372</v>
      </c>
      <c r="S270" s="7" t="s">
        <v>1373</v>
      </c>
      <c r="T270" s="8"/>
      <c r="U270" s="11" t="str">
        <f>HYPERLINK("https://pbs.twimg.com/profile_images/1096299089527033856/Eh3wO1aV.png","View")</f>
        <v>View</v>
      </c>
      <c r="V270" s="8"/>
      <c r="W270" s="8"/>
      <c r="X270" s="8"/>
      <c r="Y270" s="8"/>
      <c r="Z270" s="8"/>
    </row>
    <row r="271" spans="1:26" ht="13.2">
      <c r="A271" s="13">
        <v>44250.736481481479</v>
      </c>
      <c r="B271" s="6" t="str">
        <f>HYPERLINK("https://twitter.com/musaibxandra","@musaibxandra")</f>
        <v>@musaibxandra</v>
      </c>
      <c r="C271" s="14" t="s">
        <v>1374</v>
      </c>
      <c r="D271" s="14" t="s">
        <v>1375</v>
      </c>
      <c r="E271" s="6" t="str">
        <f>HYPERLINK("https://twitter.com/musaibxandra/status/1364253822193831936","1364253822193831936")</f>
        <v>1364253822193831936</v>
      </c>
      <c r="F271" s="8"/>
      <c r="G271" s="8"/>
      <c r="H271" s="8"/>
      <c r="I271" s="14">
        <v>1</v>
      </c>
      <c r="J271" s="14">
        <v>1</v>
      </c>
      <c r="K271" s="6" t="str">
        <f>HYPERLINK("http://twitter.com/download/android","Twitter for Android")</f>
        <v>Twitter for Android</v>
      </c>
      <c r="L271" s="15">
        <v>70</v>
      </c>
      <c r="M271" s="15">
        <v>111</v>
      </c>
      <c r="N271" s="15">
        <v>0</v>
      </c>
      <c r="O271" s="9"/>
      <c r="P271" s="10">
        <v>42743.280821759261</v>
      </c>
      <c r="Q271" s="14" t="s">
        <v>1376</v>
      </c>
      <c r="R271" s="14" t="s">
        <v>1377</v>
      </c>
      <c r="S271" s="8"/>
      <c r="T271" s="8"/>
      <c r="U271" s="11" t="str">
        <f>HYPERLINK("https://pbs.twimg.com/profile_images/1347876297360375811/FCfekt69.jpg","View")</f>
        <v>View</v>
      </c>
      <c r="V271" s="8"/>
      <c r="W271" s="8"/>
      <c r="X271" s="8"/>
      <c r="Y271" s="8"/>
      <c r="Z271" s="8"/>
    </row>
    <row r="272" spans="1:26" ht="13.2">
      <c r="A272" s="13">
        <v>44250.736307870371</v>
      </c>
      <c r="B272" s="6" t="str">
        <f>HYPERLINK("https://twitter.com/OSIRIS_ERA","@OSIRIS_ERA")</f>
        <v>@OSIRIS_ERA</v>
      </c>
      <c r="C272" s="14" t="s">
        <v>1378</v>
      </c>
      <c r="D272" s="14" t="s">
        <v>1379</v>
      </c>
      <c r="E272" s="6" t="str">
        <f>HYPERLINK("https://twitter.com/OSIRIS_ERA/status/1364253757693812739","1364253757693812739")</f>
        <v>1364253757693812739</v>
      </c>
      <c r="F272" s="7" t="s">
        <v>1380</v>
      </c>
      <c r="G272" s="8"/>
      <c r="H272" s="8"/>
      <c r="I272" s="14">
        <v>0</v>
      </c>
      <c r="J272" s="14">
        <v>2</v>
      </c>
      <c r="K272" s="6" t="str">
        <f>HYPERLINK("http://twitter.com/download/iphone","Twitter for iPhone")</f>
        <v>Twitter for iPhone</v>
      </c>
      <c r="L272" s="15">
        <v>15310</v>
      </c>
      <c r="M272" s="15">
        <v>7264</v>
      </c>
      <c r="N272" s="15">
        <v>147</v>
      </c>
      <c r="O272" s="9"/>
      <c r="P272" s="10">
        <v>39920.968715277777</v>
      </c>
      <c r="Q272" s="14" t="s">
        <v>1381</v>
      </c>
      <c r="R272" s="14" t="s">
        <v>1382</v>
      </c>
      <c r="S272" s="7" t="s">
        <v>1383</v>
      </c>
      <c r="T272" s="8"/>
      <c r="U272" s="11" t="str">
        <f>HYPERLINK("https://pbs.twimg.com/profile_images/378800000227517747/93b3d8e8f657d19cfcbbaf0701534bf2.jpeg","View")</f>
        <v>View</v>
      </c>
      <c r="V272" s="8"/>
      <c r="W272" s="8"/>
      <c r="X272" s="8"/>
      <c r="Y272" s="8"/>
      <c r="Z272" s="8"/>
    </row>
    <row r="273" spans="1:26" ht="13.2">
      <c r="A273" s="13">
        <v>44250.736215277779</v>
      </c>
      <c r="B273" s="6" t="str">
        <f>HYPERLINK("https://twitter.com/BettingsEasy","@BettingsEasy")</f>
        <v>@BettingsEasy</v>
      </c>
      <c r="C273" s="14" t="s">
        <v>1384</v>
      </c>
      <c r="D273" s="14" t="s">
        <v>1385</v>
      </c>
      <c r="E273" s="6" t="str">
        <f>HYPERLINK("https://twitter.com/BettingsEasy/status/1364253724378472457","1364253724378472457")</f>
        <v>1364253724378472457</v>
      </c>
      <c r="F273" s="8"/>
      <c r="G273" s="7" t="s">
        <v>1386</v>
      </c>
      <c r="H273" s="8"/>
      <c r="I273" s="14">
        <v>0</v>
      </c>
      <c r="J273" s="14">
        <v>1</v>
      </c>
      <c r="K273" s="6" t="str">
        <f>HYPERLINK("http://twitter.com/download/android","Twitter for Android")</f>
        <v>Twitter for Android</v>
      </c>
      <c r="L273" s="15">
        <v>5</v>
      </c>
      <c r="M273" s="15">
        <v>1</v>
      </c>
      <c r="N273" s="15">
        <v>0</v>
      </c>
      <c r="O273" s="9"/>
      <c r="P273" s="10">
        <v>44155.710983796293</v>
      </c>
      <c r="Q273" s="8"/>
      <c r="R273" s="14" t="s">
        <v>1387</v>
      </c>
      <c r="S273" s="8"/>
      <c r="T273" s="8"/>
      <c r="U273" s="11" t="str">
        <f>HYPERLINK("https://pbs.twimg.com/profile_images/1329817808264335360/f56QEgBR.jpg","View")</f>
        <v>View</v>
      </c>
      <c r="V273" s="8"/>
      <c r="W273" s="8"/>
      <c r="X273" s="8"/>
      <c r="Y273" s="8"/>
      <c r="Z273" s="8"/>
    </row>
    <row r="274" spans="1:26" ht="13.2">
      <c r="A274" s="13">
        <v>44250.736192129625</v>
      </c>
      <c r="B274" s="6" t="str">
        <f>HYPERLINK("https://twitter.com/ArxivDocs","@ArxivDocs")</f>
        <v>@ArxivDocs</v>
      </c>
      <c r="C274" s="14" t="s">
        <v>1388</v>
      </c>
      <c r="D274" s="14" t="s">
        <v>1389</v>
      </c>
      <c r="E274" s="6" t="str">
        <f>HYPERLINK("https://twitter.com/ArxivDocs/status/1364253719274156038","1364253719274156038")</f>
        <v>1364253719274156038</v>
      </c>
      <c r="F274" s="7" t="s">
        <v>1390</v>
      </c>
      <c r="G274" s="8"/>
      <c r="H274" s="8"/>
      <c r="I274" s="14">
        <v>0</v>
      </c>
      <c r="J274" s="14">
        <v>1</v>
      </c>
      <c r="K274" s="8"/>
      <c r="L274" s="15">
        <v>52</v>
      </c>
      <c r="M274" s="15">
        <v>1</v>
      </c>
      <c r="N274" s="15">
        <v>1</v>
      </c>
      <c r="O274" s="9"/>
      <c r="P274" s="10">
        <v>44043.285671296297</v>
      </c>
      <c r="Q274" s="8"/>
      <c r="R274" s="14" t="s">
        <v>1391</v>
      </c>
      <c r="S274" s="8"/>
      <c r="T274" s="8"/>
      <c r="U274" s="11" t="str">
        <f>HYPERLINK("https://pbs.twimg.com/profile_images/1289218984554962944/nLPjrD1y.jpg","View")</f>
        <v>View</v>
      </c>
      <c r="V274" s="8"/>
      <c r="W274" s="8"/>
      <c r="X274" s="8"/>
      <c r="Y274" s="8"/>
      <c r="Z274" s="8"/>
    </row>
    <row r="275" spans="1:26" ht="13.2">
      <c r="A275" s="13">
        <v>44250.735972222217</v>
      </c>
      <c r="B275" s="6" t="str">
        <f>HYPERLINK("https://twitter.com/frlazzeri","@frlazzeri")</f>
        <v>@frlazzeri</v>
      </c>
      <c r="C275" s="14" t="s">
        <v>1392</v>
      </c>
      <c r="D275" s="14" t="s">
        <v>1393</v>
      </c>
      <c r="E275" s="6" t="str">
        <f>HYPERLINK("https://twitter.com/frlazzeri/status/1364253639427174404","1364253639427174404")</f>
        <v>1364253639427174404</v>
      </c>
      <c r="F275" s="7" t="s">
        <v>1394</v>
      </c>
      <c r="G275" s="8"/>
      <c r="H275" s="8"/>
      <c r="I275" s="14">
        <v>0</v>
      </c>
      <c r="J275" s="14">
        <v>3</v>
      </c>
      <c r="K275" s="6" t="str">
        <f>HYPERLINK("http://twitter.com/download/iphone","Twitter for iPhone")</f>
        <v>Twitter for iPhone</v>
      </c>
      <c r="L275" s="15">
        <v>3996</v>
      </c>
      <c r="M275" s="15">
        <v>1059</v>
      </c>
      <c r="N275" s="15">
        <v>163</v>
      </c>
      <c r="O275" s="9"/>
      <c r="P275" s="10">
        <v>41131.907951388886</v>
      </c>
      <c r="Q275" s="14" t="s">
        <v>221</v>
      </c>
      <c r="R275" s="14" t="s">
        <v>1395</v>
      </c>
      <c r="S275" s="7" t="s">
        <v>1396</v>
      </c>
      <c r="T275" s="8"/>
      <c r="U275" s="11" t="str">
        <f>HYPERLINK("https://pbs.twimg.com/profile_images/1336411623314100228/fBsCFEIi.jpg","View")</f>
        <v>View</v>
      </c>
      <c r="V275" s="8"/>
      <c r="W275" s="8"/>
      <c r="X275" s="8"/>
      <c r="Y275" s="8"/>
      <c r="Z275" s="8"/>
    </row>
    <row r="276" spans="1:26" ht="13.2">
      <c r="A276" s="13">
        <v>44250.735868055555</v>
      </c>
      <c r="B276" s="6" t="str">
        <f>HYPERLINK("https://twitter.com/WIZZCAD","@WIZZCAD")</f>
        <v>@WIZZCAD</v>
      </c>
      <c r="C276" s="14" t="s">
        <v>1397</v>
      </c>
      <c r="D276" s="14" t="s">
        <v>1398</v>
      </c>
      <c r="E276" s="6" t="str">
        <f>HYPERLINK("https://twitter.com/WIZZCAD/status/1364253598918586369","1364253598918586369")</f>
        <v>1364253598918586369</v>
      </c>
      <c r="F276" s="7" t="s">
        <v>1399</v>
      </c>
      <c r="G276" s="7" t="s">
        <v>1400</v>
      </c>
      <c r="H276" s="8"/>
      <c r="I276" s="14">
        <v>0</v>
      </c>
      <c r="J276" s="14">
        <v>2</v>
      </c>
      <c r="K276" s="6" t="str">
        <f>HYPERLINK("http://www.hubspot.com/","HubSpot")</f>
        <v>HubSpot</v>
      </c>
      <c r="L276" s="15">
        <v>439</v>
      </c>
      <c r="M276" s="15">
        <v>779</v>
      </c>
      <c r="N276" s="15">
        <v>15</v>
      </c>
      <c r="O276" s="9"/>
      <c r="P276" s="10">
        <v>42858.496539351851</v>
      </c>
      <c r="Q276" s="14" t="s">
        <v>1401</v>
      </c>
      <c r="R276" s="14" t="s">
        <v>1402</v>
      </c>
      <c r="S276" s="7" t="s">
        <v>1403</v>
      </c>
      <c r="T276" s="8"/>
      <c r="U276" s="11" t="str">
        <f>HYPERLINK("https://pbs.twimg.com/profile_images/1158287359814840321/wN9F_isd.jpg","View")</f>
        <v>View</v>
      </c>
      <c r="V276" s="8"/>
      <c r="W276" s="8"/>
      <c r="X276" s="8"/>
      <c r="Y276" s="8"/>
      <c r="Z276" s="8"/>
    </row>
    <row r="277" spans="1:26" ht="13.2">
      <c r="A277" s="13">
        <v>44250.735416666663</v>
      </c>
      <c r="B277" s="6" t="str">
        <f>HYPERLINK("https://twitter.com/SKlausDev","@SKlausDev")</f>
        <v>@SKlausDev</v>
      </c>
      <c r="C277" s="14" t="s">
        <v>1404</v>
      </c>
      <c r="D277" s="14" t="s">
        <v>1405</v>
      </c>
      <c r="E277" s="6" t="str">
        <f>HYPERLINK("https://twitter.com/SKlausDev/status/1364253435328159744","1364253435328159744")</f>
        <v>1364253435328159744</v>
      </c>
      <c r="F277" s="7" t="s">
        <v>1406</v>
      </c>
      <c r="G277" s="8"/>
      <c r="H277" s="8"/>
      <c r="I277" s="14">
        <v>1</v>
      </c>
      <c r="J277" s="14">
        <v>1</v>
      </c>
      <c r="K277" s="6" t="str">
        <f t="shared" ref="K277:K279" si="35">HYPERLINK("https://mobile.twitter.com","Twitter Web App")</f>
        <v>Twitter Web App</v>
      </c>
      <c r="L277" s="15">
        <v>1288</v>
      </c>
      <c r="M277" s="15">
        <v>910</v>
      </c>
      <c r="N277" s="15">
        <v>505</v>
      </c>
      <c r="O277" s="9"/>
      <c r="P277" s="10">
        <v>42492.59207175926</v>
      </c>
      <c r="Q277" s="14" t="s">
        <v>1407</v>
      </c>
      <c r="R277" s="14" t="s">
        <v>1408</v>
      </c>
      <c r="S277" s="8"/>
      <c r="T277" s="8"/>
      <c r="U277" s="11" t="str">
        <f>HYPERLINK("https://pbs.twimg.com/profile_images/727109083283726336/pMHGSHGB.jpg","View")</f>
        <v>View</v>
      </c>
      <c r="V277" s="8"/>
      <c r="W277" s="8"/>
      <c r="X277" s="8"/>
      <c r="Y277" s="8"/>
      <c r="Z277" s="8"/>
    </row>
    <row r="278" spans="1:26" ht="13.2">
      <c r="A278" s="13">
        <v>44250.735416666663</v>
      </c>
      <c r="B278" s="6" t="str">
        <f>HYPERLINK("https://twitter.com/AKM_Intisar","@AKM_Intisar")</f>
        <v>@AKM_Intisar</v>
      </c>
      <c r="C278" s="14" t="s">
        <v>1409</v>
      </c>
      <c r="D278" s="14" t="s">
        <v>1410</v>
      </c>
      <c r="E278" s="6" t="str">
        <f>HYPERLINK("https://twitter.com/AKM_Intisar/status/1364253435248463876","1364253435248463876")</f>
        <v>1364253435248463876</v>
      </c>
      <c r="F278" s="8"/>
      <c r="G278" s="8"/>
      <c r="H278" s="8"/>
      <c r="I278" s="14">
        <v>24</v>
      </c>
      <c r="J278" s="14">
        <v>17</v>
      </c>
      <c r="K278" s="6" t="str">
        <f t="shared" si="35"/>
        <v>Twitter Web App</v>
      </c>
      <c r="L278" s="15">
        <v>656</v>
      </c>
      <c r="M278" s="15">
        <v>3183</v>
      </c>
      <c r="N278" s="15">
        <v>1</v>
      </c>
      <c r="O278" s="9"/>
      <c r="P278" s="10">
        <v>40237.325590277775</v>
      </c>
      <c r="Q278" s="14" t="s">
        <v>1411</v>
      </c>
      <c r="R278" s="14" t="s">
        <v>1412</v>
      </c>
      <c r="S278" s="7" t="s">
        <v>1223</v>
      </c>
      <c r="T278" s="8"/>
      <c r="U278" s="11" t="str">
        <f>HYPERLINK("https://pbs.twimg.com/profile_images/1340328446858170369/PHJ_TWVH.jpg","View")</f>
        <v>View</v>
      </c>
      <c r="V278" s="8"/>
      <c r="W278" s="8"/>
      <c r="X278" s="8"/>
      <c r="Y278" s="8"/>
      <c r="Z278" s="8"/>
    </row>
    <row r="279" spans="1:26" ht="13.2">
      <c r="A279" s="13">
        <v>44250.735069444447</v>
      </c>
      <c r="B279" s="6" t="str">
        <f>HYPERLINK("https://twitter.com/Carolin11357347","@Carolin11357347")</f>
        <v>@Carolin11357347</v>
      </c>
      <c r="C279" s="14" t="s">
        <v>1413</v>
      </c>
      <c r="D279" s="14" t="s">
        <v>1414</v>
      </c>
      <c r="E279" s="6" t="str">
        <f>HYPERLINK("https://twitter.com/Carolin11357347/status/1364253311357050883","1364253311357050883")</f>
        <v>1364253311357050883</v>
      </c>
      <c r="F279" s="7" t="s">
        <v>1415</v>
      </c>
      <c r="G279" s="8"/>
      <c r="H279" s="8"/>
      <c r="I279" s="14">
        <v>0</v>
      </c>
      <c r="J279" s="14">
        <v>2</v>
      </c>
      <c r="K279" s="6" t="str">
        <f t="shared" si="35"/>
        <v>Twitter Web App</v>
      </c>
      <c r="L279" s="15">
        <v>26</v>
      </c>
      <c r="M279" s="15">
        <v>27</v>
      </c>
      <c r="N279" s="15">
        <v>0</v>
      </c>
      <c r="O279" s="9"/>
      <c r="P279" s="10">
        <v>44195.024606481486</v>
      </c>
      <c r="Q279" s="8"/>
      <c r="R279" s="14" t="s">
        <v>1416</v>
      </c>
      <c r="S279" s="8"/>
      <c r="T279" s="8"/>
      <c r="U279" s="11" t="str">
        <f>HYPERLINK("https://pbs.twimg.com/profile_images/1344064604490653696/O4XEuuhM.jpg","View")</f>
        <v>View</v>
      </c>
      <c r="V279" s="8"/>
      <c r="W279" s="8"/>
      <c r="X279" s="8"/>
      <c r="Y279" s="8"/>
      <c r="Z279" s="8"/>
    </row>
    <row r="280" spans="1:26" ht="13.2">
      <c r="A280" s="13">
        <v>44250.734861111108</v>
      </c>
      <c r="B280" s="6" t="str">
        <f>HYPERLINK("https://twitter.com/MHcommunicate","@MHcommunicate")</f>
        <v>@MHcommunicate</v>
      </c>
      <c r="C280" s="14" t="s">
        <v>1417</v>
      </c>
      <c r="D280" s="14" t="s">
        <v>1418</v>
      </c>
      <c r="E280" s="6" t="str">
        <f>HYPERLINK("https://twitter.com/MHcommunicate/status/1364253236237131783","1364253236237131783")</f>
        <v>1364253236237131783</v>
      </c>
      <c r="F280" s="7" t="s">
        <v>1419</v>
      </c>
      <c r="G280" s="7" t="s">
        <v>1420</v>
      </c>
      <c r="H280" s="8"/>
      <c r="I280" s="14">
        <v>7</v>
      </c>
      <c r="J280" s="14">
        <v>9</v>
      </c>
      <c r="K280" s="6" t="str">
        <f>HYPERLINK("http://twitter.com/download/iphone","Twitter for iPhone")</f>
        <v>Twitter for iPhone</v>
      </c>
      <c r="L280" s="15">
        <v>24212</v>
      </c>
      <c r="M280" s="15">
        <v>23740</v>
      </c>
      <c r="N280" s="15">
        <v>2239</v>
      </c>
      <c r="O280" s="9"/>
      <c r="P280" s="10">
        <v>40146.676458333335</v>
      </c>
      <c r="Q280" s="14" t="s">
        <v>1421</v>
      </c>
      <c r="R280" s="14" t="s">
        <v>1422</v>
      </c>
      <c r="S280" s="7" t="s">
        <v>1423</v>
      </c>
      <c r="T280" s="8"/>
      <c r="U280" s="11" t="str">
        <f>HYPERLINK("https://pbs.twimg.com/profile_images/760579424387493888/xooxyp1t.jpg","View")</f>
        <v>View</v>
      </c>
      <c r="V280" s="8"/>
      <c r="W280" s="8"/>
      <c r="X280" s="8"/>
      <c r="Y280" s="8"/>
      <c r="Z280" s="8"/>
    </row>
    <row r="281" spans="1:26" ht="13.2">
      <c r="A281" s="13">
        <v>44250.734791666662</v>
      </c>
      <c r="B281" s="6" t="str">
        <f>HYPERLINK("https://twitter.com/subhanster","@subhanster")</f>
        <v>@subhanster</v>
      </c>
      <c r="C281" s="14" t="s">
        <v>1424</v>
      </c>
      <c r="D281" s="14" t="s">
        <v>1425</v>
      </c>
      <c r="E281" s="6" t="str">
        <f>HYPERLINK("https://twitter.com/subhanster/status/1364253210769203202","1364253210769203202")</f>
        <v>1364253210769203202</v>
      </c>
      <c r="F281" s="14" t="s">
        <v>1426</v>
      </c>
      <c r="G281" s="7" t="s">
        <v>1427</v>
      </c>
      <c r="H281" s="8"/>
      <c r="I281" s="14">
        <v>6</v>
      </c>
      <c r="J281" s="14">
        <v>1</v>
      </c>
      <c r="K281" s="6" t="str">
        <f t="shared" ref="K281:K282" si="36">HYPERLINK("https://mobile.twitter.com","Twitter Web App")</f>
        <v>Twitter Web App</v>
      </c>
      <c r="L281" s="15">
        <v>407</v>
      </c>
      <c r="M281" s="15">
        <v>984</v>
      </c>
      <c r="N281" s="15">
        <v>2</v>
      </c>
      <c r="O281" s="9"/>
      <c r="P281" s="10">
        <v>40832.130150462966</v>
      </c>
      <c r="Q281" s="14" t="s">
        <v>81</v>
      </c>
      <c r="R281" s="14" t="s">
        <v>1428</v>
      </c>
      <c r="S281" s="7" t="s">
        <v>1429</v>
      </c>
      <c r="T281" s="8"/>
      <c r="U281" s="11" t="str">
        <f>HYPERLINK("https://pbs.twimg.com/profile_images/1179556231192514560/YigBs8wm.jpg","View")</f>
        <v>View</v>
      </c>
      <c r="V281" s="8"/>
      <c r="W281" s="8"/>
      <c r="X281" s="8"/>
      <c r="Y281" s="8"/>
      <c r="Z281" s="8"/>
    </row>
    <row r="282" spans="1:26" ht="13.2">
      <c r="A282" s="13">
        <v>44250.734722222223</v>
      </c>
      <c r="B282" s="6" t="str">
        <f>HYPERLINK("https://twitter.com/epfl_exts","@epfl_exts")</f>
        <v>@epfl_exts</v>
      </c>
      <c r="C282" s="14" t="s">
        <v>1430</v>
      </c>
      <c r="D282" s="14" t="s">
        <v>1431</v>
      </c>
      <c r="E282" s="6" t="str">
        <f>HYPERLINK("https://twitter.com/epfl_exts/status/1364253183703457793","1364253183703457793")</f>
        <v>1364253183703457793</v>
      </c>
      <c r="F282" s="14" t="s">
        <v>1432</v>
      </c>
      <c r="G282" s="14" t="s">
        <v>1433</v>
      </c>
      <c r="H282" s="8"/>
      <c r="I282" s="14">
        <v>1</v>
      </c>
      <c r="J282" s="14">
        <v>1</v>
      </c>
      <c r="K282" s="6" t="str">
        <f t="shared" si="36"/>
        <v>Twitter Web App</v>
      </c>
      <c r="L282" s="15">
        <v>1338</v>
      </c>
      <c r="M282" s="15">
        <v>742</v>
      </c>
      <c r="N282" s="15">
        <v>23</v>
      </c>
      <c r="O282" s="9"/>
      <c r="P282" s="10">
        <v>42573.629988425921</v>
      </c>
      <c r="Q282" s="14" t="s">
        <v>1434</v>
      </c>
      <c r="R282" s="14" t="s">
        <v>1435</v>
      </c>
      <c r="S282" s="7" t="s">
        <v>1436</v>
      </c>
      <c r="T282" s="8"/>
      <c r="U282" s="11" t="str">
        <f>HYPERLINK("https://pbs.twimg.com/profile_images/924913531849494528/05VvkNAV.jpg","View")</f>
        <v>View</v>
      </c>
      <c r="V282" s="8"/>
      <c r="W282" s="8"/>
      <c r="X282" s="8"/>
      <c r="Y282" s="8"/>
      <c r="Z282" s="8"/>
    </row>
    <row r="283" spans="1:26" ht="13.2">
      <c r="A283" s="13">
        <v>44250.734560185185</v>
      </c>
      <c r="B283" s="6" t="str">
        <f>HYPERLINK("https://twitter.com/mnaotech","@mnaotech")</f>
        <v>@mnaotech</v>
      </c>
      <c r="C283" s="14" t="s">
        <v>1437</v>
      </c>
      <c r="D283" s="14" t="s">
        <v>1438</v>
      </c>
      <c r="E283" s="6" t="str">
        <f>HYPERLINK("https://twitter.com/mnaotech/status/1364253127755460609","1364253127755460609")</f>
        <v>1364253127755460609</v>
      </c>
      <c r="F283" s="7" t="s">
        <v>1439</v>
      </c>
      <c r="G283" s="7" t="s">
        <v>1440</v>
      </c>
      <c r="H283" s="8"/>
      <c r="I283" s="14">
        <v>20</v>
      </c>
      <c r="J283" s="14">
        <v>10</v>
      </c>
      <c r="K283" s="6" t="str">
        <f>HYPERLINK("http://twitter.com/download/android","Twitter for Android")</f>
        <v>Twitter for Android</v>
      </c>
      <c r="L283" s="15">
        <v>1505</v>
      </c>
      <c r="M283" s="15">
        <v>105</v>
      </c>
      <c r="N283" s="15">
        <v>2</v>
      </c>
      <c r="O283" s="9"/>
      <c r="P283" s="10">
        <v>42985.661678240736</v>
      </c>
      <c r="Q283" s="8"/>
      <c r="R283" s="14" t="s">
        <v>1441</v>
      </c>
      <c r="S283" s="7" t="s">
        <v>1442</v>
      </c>
      <c r="T283" s="8"/>
      <c r="U283" s="11" t="str">
        <f>HYPERLINK("https://pbs.twimg.com/profile_images/1204818181019205632/V1zE97KT.jpg","View")</f>
        <v>View</v>
      </c>
      <c r="V283" s="8"/>
      <c r="W283" s="8"/>
      <c r="X283" s="8"/>
      <c r="Y283" s="8"/>
      <c r="Z283" s="8"/>
    </row>
    <row r="284" spans="1:26" ht="13.2">
      <c r="A284" s="13">
        <v>44250.734259259261</v>
      </c>
      <c r="B284" s="6" t="str">
        <f>HYPERLINK("https://twitter.com/_SafetyLine","@_SafetyLine")</f>
        <v>@_SafetyLine</v>
      </c>
      <c r="C284" s="14" t="s">
        <v>1443</v>
      </c>
      <c r="D284" s="14" t="s">
        <v>1444</v>
      </c>
      <c r="E284" s="6" t="str">
        <f>HYPERLINK("https://twitter.com/_SafetyLine/status/1364253016577220613","1364253016577220613")</f>
        <v>1364253016577220613</v>
      </c>
      <c r="F284" s="7" t="s">
        <v>1445</v>
      </c>
      <c r="G284" s="8"/>
      <c r="H284" s="8"/>
      <c r="I284" s="14">
        <v>1</v>
      </c>
      <c r="J284" s="14">
        <v>2</v>
      </c>
      <c r="K284" s="6" t="str">
        <f>HYPERLINK("https://mobile.twitter.com","Twitter Web App")</f>
        <v>Twitter Web App</v>
      </c>
      <c r="L284" s="15">
        <v>718</v>
      </c>
      <c r="M284" s="15">
        <v>693</v>
      </c>
      <c r="N284" s="15">
        <v>73</v>
      </c>
      <c r="O284" s="9"/>
      <c r="P284" s="10">
        <v>41416.669895833329</v>
      </c>
      <c r="Q284" s="14" t="s">
        <v>1446</v>
      </c>
      <c r="R284" s="14" t="s">
        <v>1447</v>
      </c>
      <c r="S284" s="7" t="s">
        <v>1448</v>
      </c>
      <c r="T284" s="8"/>
      <c r="U284" s="11" t="str">
        <f>HYPERLINK("https://pbs.twimg.com/profile_images/608246688965394433/mtc9ydk7.png","View")</f>
        <v>View</v>
      </c>
      <c r="V284" s="8"/>
      <c r="W284" s="8"/>
      <c r="X284" s="8"/>
      <c r="Y284" s="8"/>
      <c r="Z284" s="8"/>
    </row>
    <row r="285" spans="1:26" ht="13.2">
      <c r="A285" s="13">
        <v>44250.734189814815</v>
      </c>
      <c r="B285" s="6" t="str">
        <f>HYPERLINK("https://twitter.com/coursesvir","@coursesvir")</f>
        <v>@coursesvir</v>
      </c>
      <c r="C285" s="14" t="s">
        <v>365</v>
      </c>
      <c r="D285" s="14" t="s">
        <v>1449</v>
      </c>
      <c r="E285" s="6" t="str">
        <f>HYPERLINK("https://twitter.com/coursesvir/status/1364252993164558340","1364252993164558340")</f>
        <v>1364252993164558340</v>
      </c>
      <c r="F285" s="7" t="s">
        <v>1450</v>
      </c>
      <c r="G285" s="7" t="s">
        <v>1451</v>
      </c>
      <c r="H285" s="8"/>
      <c r="I285" s="14">
        <v>12</v>
      </c>
      <c r="J285" s="14">
        <v>3</v>
      </c>
      <c r="K285" s="6" t="str">
        <f>HYPERLINK("https://buffer.com","Buffer")</f>
        <v>Buffer</v>
      </c>
      <c r="L285" s="15">
        <v>348</v>
      </c>
      <c r="M285" s="15">
        <v>57</v>
      </c>
      <c r="N285" s="15">
        <v>3</v>
      </c>
      <c r="O285" s="9"/>
      <c r="P285" s="10">
        <v>43408.174849537041</v>
      </c>
      <c r="Q285" s="8"/>
      <c r="R285" s="14" t="s">
        <v>369</v>
      </c>
      <c r="S285" s="7" t="s">
        <v>370</v>
      </c>
      <c r="T285" s="8"/>
      <c r="U285" s="11" t="str">
        <f>HYPERLINK("https://pbs.twimg.com/profile_images/1327806002717192192/wWEiVHhn.jpg","View")</f>
        <v>View</v>
      </c>
      <c r="V285" s="8"/>
      <c r="W285" s="8"/>
      <c r="X285" s="8"/>
      <c r="Y285" s="8"/>
      <c r="Z285" s="8"/>
    </row>
    <row r="286" spans="1:26" ht="13.2">
      <c r="A286" s="13">
        <v>44250.734155092592</v>
      </c>
      <c r="B286" s="6" t="str">
        <f>HYPERLINK("https://twitter.com/Programming1Pro","@Programming1Pro")</f>
        <v>@Programming1Pro</v>
      </c>
      <c r="C286" s="14" t="s">
        <v>1452</v>
      </c>
      <c r="D286" s="14" t="s">
        <v>1453</v>
      </c>
      <c r="E286" s="6" t="str">
        <f>HYPERLINK("https://twitter.com/Programming1Pro/status/1364252980820676608","1364252980820676608")</f>
        <v>1364252980820676608</v>
      </c>
      <c r="F286" s="7" t="s">
        <v>1454</v>
      </c>
      <c r="G286" s="7" t="s">
        <v>1455</v>
      </c>
      <c r="H286" s="8"/>
      <c r="I286" s="14">
        <v>21</v>
      </c>
      <c r="J286" s="14">
        <v>10</v>
      </c>
      <c r="K286" s="6" t="str">
        <f>HYPERLINK("http://twitter.com/download/android","Twitter for Android")</f>
        <v>Twitter for Android</v>
      </c>
      <c r="L286" s="15">
        <v>154</v>
      </c>
      <c r="M286" s="15">
        <v>101</v>
      </c>
      <c r="N286" s="15">
        <v>5</v>
      </c>
      <c r="O286" s="9"/>
      <c r="P286" s="10">
        <v>44051.923946759256</v>
      </c>
      <c r="Q286" s="8"/>
      <c r="R286" s="14" t="s">
        <v>1456</v>
      </c>
      <c r="S286" s="7" t="s">
        <v>1457</v>
      </c>
      <c r="T286" s="8"/>
      <c r="U286" s="11" t="str">
        <f>HYPERLINK("https://pbs.twimg.com/profile_images/1296026445592973312/Us0pl5f6.jpg","View")</f>
        <v>View</v>
      </c>
      <c r="V286" s="8"/>
      <c r="W286" s="8"/>
      <c r="X286" s="8"/>
      <c r="Y286" s="8"/>
      <c r="Z286" s="8"/>
    </row>
    <row r="287" spans="1:26" ht="13.2">
      <c r="A287" s="13">
        <v>44250.7340625</v>
      </c>
      <c r="B287" s="6" t="str">
        <f>HYPERLINK("https://twitter.com/MikeTamir","@MikeTamir")</f>
        <v>@MikeTamir</v>
      </c>
      <c r="C287" s="14" t="s">
        <v>1458</v>
      </c>
      <c r="D287" s="14" t="s">
        <v>1459</v>
      </c>
      <c r="E287" s="6" t="str">
        <f>HYPERLINK("https://twitter.com/MikeTamir/status/1364252944665829377","1364252944665829377")</f>
        <v>1364252944665829377</v>
      </c>
      <c r="F287" s="7" t="s">
        <v>1460</v>
      </c>
      <c r="G287" s="7" t="s">
        <v>641</v>
      </c>
      <c r="H287" s="8"/>
      <c r="I287" s="14">
        <v>0</v>
      </c>
      <c r="J287" s="14">
        <v>3</v>
      </c>
      <c r="K287" s="6" t="str">
        <f>HYPERLINK("https://buffer.com","Buffer")</f>
        <v>Buffer</v>
      </c>
      <c r="L287" s="15">
        <v>22385</v>
      </c>
      <c r="M287" s="15">
        <v>52</v>
      </c>
      <c r="N287" s="15">
        <v>1067</v>
      </c>
      <c r="O287" s="9"/>
      <c r="P287" s="10">
        <v>40732.691851851851</v>
      </c>
      <c r="Q287" s="14" t="s">
        <v>1461</v>
      </c>
      <c r="R287" s="14" t="s">
        <v>1462</v>
      </c>
      <c r="S287" s="7" t="s">
        <v>1463</v>
      </c>
      <c r="T287" s="8"/>
      <c r="U287" s="11" t="str">
        <f>HYPERLINK("https://pbs.twimg.com/profile_images/674658758472024064/1BWd5LDj.jpg","View")</f>
        <v>View</v>
      </c>
      <c r="V287" s="8"/>
      <c r="W287" s="8"/>
      <c r="X287" s="8"/>
      <c r="Y287" s="8"/>
      <c r="Z287" s="8"/>
    </row>
    <row r="288" spans="1:26" ht="13.2">
      <c r="A288" s="13">
        <v>44250.733842592592</v>
      </c>
      <c r="B288" s="6" t="str">
        <f>HYPERLINK("https://twitter.com/Agimafr","@Agimafr")</f>
        <v>@Agimafr</v>
      </c>
      <c r="C288" s="14" t="s">
        <v>1464</v>
      </c>
      <c r="D288" s="14" t="s">
        <v>1465</v>
      </c>
      <c r="E288" s="6" t="str">
        <f>HYPERLINK("https://twitter.com/Agimafr/status/1364252865649274886","1364252865649274886")</f>
        <v>1364252865649274886</v>
      </c>
      <c r="F288" s="7" t="s">
        <v>1466</v>
      </c>
      <c r="G288" s="7" t="s">
        <v>1467</v>
      </c>
      <c r="H288" s="8"/>
      <c r="I288" s="14">
        <v>0</v>
      </c>
      <c r="J288" s="14">
        <v>0</v>
      </c>
      <c r="K288" s="8"/>
      <c r="L288" s="15">
        <v>70</v>
      </c>
      <c r="M288" s="15">
        <v>17</v>
      </c>
      <c r="N288" s="15">
        <v>3</v>
      </c>
      <c r="O288" s="9"/>
      <c r="P288" s="10">
        <v>39909.366319444445</v>
      </c>
      <c r="Q288" s="14" t="s">
        <v>1468</v>
      </c>
      <c r="R288" s="14" t="s">
        <v>1469</v>
      </c>
      <c r="S288" s="7" t="s">
        <v>1470</v>
      </c>
      <c r="T288" s="8"/>
      <c r="U288" s="11" t="str">
        <f>HYPERLINK("https://pbs.twimg.com/profile_images/1361992755740827649/d8ySUqUQ.png","View")</f>
        <v>View</v>
      </c>
      <c r="V288" s="8"/>
      <c r="W288" s="8"/>
      <c r="X288" s="8"/>
      <c r="Y288" s="8"/>
      <c r="Z288" s="8"/>
    </row>
    <row r="289" spans="1:26" ht="13.2">
      <c r="A289" s="13">
        <v>44250.733564814815</v>
      </c>
      <c r="B289" s="6" t="str">
        <f>HYPERLINK("https://twitter.com/RDextrasolar","@RDextrasolar")</f>
        <v>@RDextrasolar</v>
      </c>
      <c r="C289" s="14" t="s">
        <v>1471</v>
      </c>
      <c r="D289" s="14" t="s">
        <v>1472</v>
      </c>
      <c r="E289" s="6" t="str">
        <f>HYPERLINK("https://twitter.com/RDextrasolar/status/1364252766672191489","1364252766672191489")</f>
        <v>1364252766672191489</v>
      </c>
      <c r="F289" s="14" t="s">
        <v>1473</v>
      </c>
      <c r="G289" s="7" t="s">
        <v>1474</v>
      </c>
      <c r="H289" s="8"/>
      <c r="I289" s="14">
        <v>0</v>
      </c>
      <c r="J289" s="14">
        <v>3</v>
      </c>
      <c r="K289" s="6" t="str">
        <f>HYPERLINK("https://mobile.twitter.com","Twitter Web App")</f>
        <v>Twitter Web App</v>
      </c>
      <c r="L289" s="15">
        <v>780</v>
      </c>
      <c r="M289" s="15">
        <v>687</v>
      </c>
      <c r="N289" s="15">
        <v>8</v>
      </c>
      <c r="O289" s="9"/>
      <c r="P289" s="10">
        <v>41140.140462962961</v>
      </c>
      <c r="Q289" s="8"/>
      <c r="R289" s="14" t="s">
        <v>1475</v>
      </c>
      <c r="S289" s="8"/>
      <c r="T289" s="8"/>
      <c r="U289" s="11" t="str">
        <f>HYPERLINK("https://pbs.twimg.com/profile_images/618991915590111232/lHWF7isy.jpg","View")</f>
        <v>View</v>
      </c>
      <c r="V289" s="8"/>
      <c r="W289" s="8"/>
      <c r="X289" s="8"/>
      <c r="Y289" s="8"/>
      <c r="Z289" s="8"/>
    </row>
    <row r="290" spans="1:26" ht="13.2">
      <c r="A290" s="13">
        <v>44250.732685185183</v>
      </c>
      <c r="B290" s="6" t="str">
        <f>HYPERLINK("https://twitter.com/GARP_Risk","@GARP_Risk")</f>
        <v>@GARP_Risk</v>
      </c>
      <c r="C290" s="14" t="s">
        <v>1476</v>
      </c>
      <c r="D290" s="14" t="s">
        <v>1477</v>
      </c>
      <c r="E290" s="6" t="str">
        <f>HYPERLINK("https://twitter.com/GARP_Risk/status/1364252446021865475","1364252446021865475")</f>
        <v>1364252446021865475</v>
      </c>
      <c r="F290" s="8"/>
      <c r="G290" s="7" t="s">
        <v>1478</v>
      </c>
      <c r="H290" s="8"/>
      <c r="I290" s="14">
        <v>1</v>
      </c>
      <c r="J290" s="14">
        <v>1</v>
      </c>
      <c r="K290" s="6" t="str">
        <f>HYPERLINK("https://sproutsocial.com","Sprout Social")</f>
        <v>Sprout Social</v>
      </c>
      <c r="L290" s="15">
        <v>14543</v>
      </c>
      <c r="M290" s="15">
        <v>381</v>
      </c>
      <c r="N290" s="15">
        <v>271</v>
      </c>
      <c r="O290" s="15" t="s">
        <v>130</v>
      </c>
      <c r="P290" s="10">
        <v>40612.937372685185</v>
      </c>
      <c r="Q290" s="14" t="s">
        <v>650</v>
      </c>
      <c r="R290" s="14" t="s">
        <v>1479</v>
      </c>
      <c r="S290" s="7" t="s">
        <v>1480</v>
      </c>
      <c r="T290" s="8"/>
      <c r="U290" s="11" t="str">
        <f>HYPERLINK("https://pbs.twimg.com/profile_images/1190276531542724608/1boVdwID.png","View")</f>
        <v>View</v>
      </c>
      <c r="V290" s="8"/>
      <c r="W290" s="8"/>
      <c r="X290" s="8"/>
      <c r="Y290" s="8"/>
      <c r="Z290" s="8"/>
    </row>
    <row r="291" spans="1:26" ht="13.2">
      <c r="A291" s="13">
        <v>44250.732673611114</v>
      </c>
      <c r="B291" s="6" t="str">
        <f>HYPERLINK("https://twitter.com/RadiologyGamuts","@RadiologyGamuts")</f>
        <v>@RadiologyGamuts</v>
      </c>
      <c r="C291" s="14" t="s">
        <v>1481</v>
      </c>
      <c r="D291" s="14" t="s">
        <v>1482</v>
      </c>
      <c r="E291" s="6" t="str">
        <f>HYPERLINK("https://twitter.com/RadiologyGamuts/status/1364252444176175106","1364252444176175106")</f>
        <v>1364252444176175106</v>
      </c>
      <c r="F291" s="7" t="s">
        <v>1483</v>
      </c>
      <c r="G291" s="7" t="s">
        <v>1484</v>
      </c>
      <c r="H291" s="8"/>
      <c r="I291" s="14">
        <v>0</v>
      </c>
      <c r="J291" s="14">
        <v>2</v>
      </c>
      <c r="K291" s="6" t="str">
        <f>HYPERLINK("https://www.gamuts.net","RadiologyGamuts")</f>
        <v>RadiologyGamuts</v>
      </c>
      <c r="L291" s="15">
        <v>4633</v>
      </c>
      <c r="M291" s="15">
        <v>3528</v>
      </c>
      <c r="N291" s="15">
        <v>62</v>
      </c>
      <c r="O291" s="9"/>
      <c r="P291" s="10">
        <v>41019.020555555559</v>
      </c>
      <c r="Q291" s="14" t="s">
        <v>1485</v>
      </c>
      <c r="R291" s="14" t="s">
        <v>1486</v>
      </c>
      <c r="S291" s="7" t="s">
        <v>1487</v>
      </c>
      <c r="T291" s="8"/>
      <c r="U291" s="11" t="str">
        <f>HYPERLINK("https://pbs.twimg.com/profile_images/2148080535/color-wheel.jpg","View")</f>
        <v>View</v>
      </c>
      <c r="V291" s="8"/>
      <c r="W291" s="8"/>
      <c r="X291" s="8"/>
      <c r="Y291" s="8"/>
      <c r="Z291" s="8"/>
    </row>
    <row r="292" spans="1:26" ht="13.2">
      <c r="A292" s="13">
        <v>44250.732488425929</v>
      </c>
      <c r="B292" s="6" t="str">
        <f>HYPERLINK("https://twitter.com/Serchs3D","@Serchs3D")</f>
        <v>@Serchs3D</v>
      </c>
      <c r="C292" s="14" t="s">
        <v>1488</v>
      </c>
      <c r="D292" s="14" t="s">
        <v>1489</v>
      </c>
      <c r="E292" s="6" t="str">
        <f>HYPERLINK("https://twitter.com/Serchs3D/status/1364252374383099907","1364252374383099907")</f>
        <v>1364252374383099907</v>
      </c>
      <c r="F292" s="7" t="s">
        <v>1490</v>
      </c>
      <c r="G292" s="7" t="s">
        <v>1491</v>
      </c>
      <c r="H292" s="8"/>
      <c r="I292" s="14">
        <v>0</v>
      </c>
      <c r="J292" s="14">
        <v>0</v>
      </c>
      <c r="K292" s="6" t="str">
        <f>HYPERLINK("http://twitter.com/download/android","Twitter for Android")</f>
        <v>Twitter for Android</v>
      </c>
      <c r="L292" s="15">
        <v>532</v>
      </c>
      <c r="M292" s="15">
        <v>991</v>
      </c>
      <c r="N292" s="15">
        <v>1</v>
      </c>
      <c r="O292" s="9"/>
      <c r="P292" s="10">
        <v>42412.792615740742</v>
      </c>
      <c r="Q292" s="14" t="s">
        <v>1492</v>
      </c>
      <c r="R292" s="14" t="s">
        <v>1493</v>
      </c>
      <c r="S292" s="8"/>
      <c r="T292" s="8"/>
      <c r="U292" s="11" t="str">
        <f>HYPERLINK("https://pbs.twimg.com/profile_images/1339315699395792901/CiCPqd8t.jpg","View")</f>
        <v>View</v>
      </c>
      <c r="V292" s="8"/>
      <c r="W292" s="8"/>
      <c r="X292" s="8"/>
      <c r="Y292" s="8"/>
      <c r="Z292" s="8"/>
    </row>
    <row r="293" spans="1:26" ht="13.2">
      <c r="A293" s="13">
        <v>44250.731944444444</v>
      </c>
      <c r="B293" s="6" t="str">
        <f>HYPERLINK("https://twitter.com/SSI_Innovations","@SSI_Innovations")</f>
        <v>@SSI_Innovations</v>
      </c>
      <c r="C293" s="14" t="s">
        <v>656</v>
      </c>
      <c r="D293" s="14" t="s">
        <v>1494</v>
      </c>
      <c r="E293" s="6" t="str">
        <f>HYPERLINK("https://twitter.com/SSI_Innovations/status/1364252177246552075","1364252177246552075")</f>
        <v>1364252177246552075</v>
      </c>
      <c r="F293" s="14" t="s">
        <v>1495</v>
      </c>
      <c r="G293" s="7" t="s">
        <v>1496</v>
      </c>
      <c r="H293" s="8"/>
      <c r="I293" s="14">
        <v>5</v>
      </c>
      <c r="J293" s="14">
        <v>4</v>
      </c>
      <c r="K293" s="6" t="str">
        <f>HYPERLINK("https://about.twitter.com/products/tweetdeck","TweetDeck")</f>
        <v>TweetDeck</v>
      </c>
      <c r="L293" s="15">
        <v>4449</v>
      </c>
      <c r="M293" s="15">
        <v>5002</v>
      </c>
      <c r="N293" s="15">
        <v>270</v>
      </c>
      <c r="O293" s="9"/>
      <c r="P293" s="10">
        <v>42264.36791666667</v>
      </c>
      <c r="Q293" s="14" t="s">
        <v>660</v>
      </c>
      <c r="R293" s="14" t="s">
        <v>661</v>
      </c>
      <c r="S293" s="7" t="s">
        <v>662</v>
      </c>
      <c r="T293" s="8"/>
      <c r="U293" s="11" t="str">
        <f>HYPERLINK("https://pbs.twimg.com/profile_images/649205321848631296/u39Qrzjg.jpg","View")</f>
        <v>View</v>
      </c>
      <c r="V293" s="8"/>
      <c r="W293" s="8"/>
      <c r="X293" s="8"/>
      <c r="Y293" s="8"/>
      <c r="Z293" s="8"/>
    </row>
    <row r="294" spans="1:26" ht="13.2">
      <c r="A294" s="13">
        <v>44250.730717592596</v>
      </c>
      <c r="B294" s="6" t="str">
        <f t="shared" ref="B294:B295" si="37">HYPERLINK("https://twitter.com/EngineeringInn3","@EngineeringInn3")</f>
        <v>@EngineeringInn3</v>
      </c>
      <c r="C294" s="14" t="s">
        <v>1497</v>
      </c>
      <c r="D294" s="14" t="s">
        <v>1498</v>
      </c>
      <c r="E294" s="6" t="str">
        <f>HYPERLINK("https://twitter.com/EngineeringInn3/status/1364251732306325505","1364251732306325505")</f>
        <v>1364251732306325505</v>
      </c>
      <c r="F294" s="8"/>
      <c r="G294" s="7" t="s">
        <v>1499</v>
      </c>
      <c r="H294" s="8"/>
      <c r="I294" s="14">
        <v>0</v>
      </c>
      <c r="J294" s="14">
        <v>1</v>
      </c>
      <c r="K294" s="6" t="str">
        <f t="shared" ref="K294:K295" si="38">HYPERLINK("http://twitter.com/download/android","Twitter for Android")</f>
        <v>Twitter for Android</v>
      </c>
      <c r="L294" s="15">
        <v>0</v>
      </c>
      <c r="M294" s="15">
        <v>106</v>
      </c>
      <c r="N294" s="15">
        <v>0</v>
      </c>
      <c r="O294" s="9"/>
      <c r="P294" s="10">
        <v>44231.34238425926</v>
      </c>
      <c r="Q294" s="8"/>
      <c r="R294" s="8"/>
      <c r="S294" s="8"/>
      <c r="T294" s="8"/>
      <c r="U294" s="11" t="str">
        <f t="shared" ref="U294:U295" si="39">HYPERLINK("https://pbs.twimg.com/profile_images/1357225875620548608/6rgkE3i2.jpg","View")</f>
        <v>View</v>
      </c>
      <c r="V294" s="8"/>
      <c r="W294" s="8"/>
      <c r="X294" s="8"/>
      <c r="Y294" s="8"/>
      <c r="Z294" s="8"/>
    </row>
    <row r="295" spans="1:26" ht="13.2">
      <c r="A295" s="13">
        <v>44250.73064814815</v>
      </c>
      <c r="B295" s="6" t="str">
        <f t="shared" si="37"/>
        <v>@EngineeringInn3</v>
      </c>
      <c r="C295" s="14" t="s">
        <v>1497</v>
      </c>
      <c r="D295" s="14" t="s">
        <v>1498</v>
      </c>
      <c r="E295" s="6" t="str">
        <f>HYPERLINK("https://twitter.com/EngineeringInn3/status/1364251709095038979","1364251709095038979")</f>
        <v>1364251709095038979</v>
      </c>
      <c r="F295" s="8"/>
      <c r="G295" s="7" t="s">
        <v>1500</v>
      </c>
      <c r="H295" s="8"/>
      <c r="I295" s="14">
        <v>0</v>
      </c>
      <c r="J295" s="14">
        <v>1</v>
      </c>
      <c r="K295" s="6" t="str">
        <f t="shared" si="38"/>
        <v>Twitter for Android</v>
      </c>
      <c r="L295" s="15">
        <v>0</v>
      </c>
      <c r="M295" s="15">
        <v>106</v>
      </c>
      <c r="N295" s="15">
        <v>0</v>
      </c>
      <c r="O295" s="9"/>
      <c r="P295" s="10">
        <v>44231.34238425926</v>
      </c>
      <c r="Q295" s="8"/>
      <c r="R295" s="8"/>
      <c r="S295" s="8"/>
      <c r="T295" s="8"/>
      <c r="U295" s="11" t="str">
        <f t="shared" si="39"/>
        <v>View</v>
      </c>
      <c r="V295" s="8"/>
      <c r="W295" s="8"/>
      <c r="X295" s="8"/>
      <c r="Y295" s="8"/>
      <c r="Z295" s="8"/>
    </row>
    <row r="296" spans="1:26" ht="13.2">
      <c r="A296" s="13">
        <v>44250.730613425927</v>
      </c>
      <c r="B296" s="6" t="str">
        <f>HYPERLINK("https://twitter.com/mhdodick","@mhdodick")</f>
        <v>@mhdodick</v>
      </c>
      <c r="C296" s="14" t="s">
        <v>1501</v>
      </c>
      <c r="D296" s="14" t="s">
        <v>1502</v>
      </c>
      <c r="E296" s="6" t="str">
        <f>HYPERLINK("https://twitter.com/mhdodick/status/1364251695472115720","1364251695472115720")</f>
        <v>1364251695472115720</v>
      </c>
      <c r="F296" s="14" t="s">
        <v>1503</v>
      </c>
      <c r="G296" s="7" t="s">
        <v>1504</v>
      </c>
      <c r="H296" s="8"/>
      <c r="I296" s="14">
        <v>0</v>
      </c>
      <c r="J296" s="14">
        <v>3</v>
      </c>
      <c r="K296" s="6" t="str">
        <f>HYPERLINK("https://mobile.twitter.com","Twitter Web App")</f>
        <v>Twitter Web App</v>
      </c>
      <c r="L296" s="15">
        <v>800</v>
      </c>
      <c r="M296" s="15">
        <v>1043</v>
      </c>
      <c r="N296" s="15">
        <v>58</v>
      </c>
      <c r="O296" s="9"/>
      <c r="P296" s="10">
        <v>40976.700127314813</v>
      </c>
      <c r="Q296" s="14" t="s">
        <v>1505</v>
      </c>
      <c r="R296" s="14" t="s">
        <v>1506</v>
      </c>
      <c r="S296" s="7" t="s">
        <v>1507</v>
      </c>
      <c r="T296" s="8"/>
      <c r="U296" s="11" t="str">
        <f>HYPERLINK("https://pbs.twimg.com/profile_images/1156191258018275334/GOdgQc_j.jpg","View")</f>
        <v>View</v>
      </c>
      <c r="V296" s="8"/>
      <c r="W296" s="8"/>
      <c r="X296" s="8"/>
      <c r="Y296" s="8"/>
      <c r="Z296" s="8"/>
    </row>
    <row r="297" spans="1:26" ht="13.2">
      <c r="A297" s="13">
        <v>44250.73060185185</v>
      </c>
      <c r="B297" s="6" t="str">
        <f>HYPERLINK("https://twitter.com/ipfconline1","@ipfconline1")</f>
        <v>@ipfconline1</v>
      </c>
      <c r="C297" s="14" t="s">
        <v>65</v>
      </c>
      <c r="D297" s="14" t="s">
        <v>1508</v>
      </c>
      <c r="E297" s="6" t="str">
        <f>HYPERLINK("https://twitter.com/ipfconline1/status/1364251690506027022","1364251690506027022")</f>
        <v>1364251690506027022</v>
      </c>
      <c r="F297" s="7" t="s">
        <v>1509</v>
      </c>
      <c r="G297" s="7" t="s">
        <v>1510</v>
      </c>
      <c r="H297" s="8"/>
      <c r="I297" s="14">
        <v>10</v>
      </c>
      <c r="J297" s="14">
        <v>9</v>
      </c>
      <c r="K297" s="6" t="str">
        <f>HYPERLINK("https://twittimer.com","Twittimer")</f>
        <v>Twittimer</v>
      </c>
      <c r="L297" s="15">
        <v>112675</v>
      </c>
      <c r="M297" s="15">
        <v>107162</v>
      </c>
      <c r="N297" s="15">
        <v>7806</v>
      </c>
      <c r="O297" s="9"/>
      <c r="P297" s="10">
        <v>42433.031967592593</v>
      </c>
      <c r="Q297" s="14" t="s">
        <v>69</v>
      </c>
      <c r="R297" s="14" t="s">
        <v>70</v>
      </c>
      <c r="S297" s="7" t="s">
        <v>71</v>
      </c>
      <c r="T297" s="8"/>
      <c r="U297" s="11" t="str">
        <f>HYPERLINK("https://pbs.twimg.com/profile_images/729065804004769793/St2_Pum9.jpg","View")</f>
        <v>View</v>
      </c>
      <c r="V297" s="8"/>
      <c r="W297" s="8"/>
      <c r="X297" s="8"/>
      <c r="Y297" s="8"/>
      <c r="Z297" s="8"/>
    </row>
    <row r="298" spans="1:26" ht="13.2">
      <c r="A298" s="13">
        <v>44250.730578703704</v>
      </c>
      <c r="B298" s="6" t="str">
        <f>HYPERLINK("https://twitter.com/asifrazzaq1988","@asifrazzaq1988")</f>
        <v>@asifrazzaq1988</v>
      </c>
      <c r="C298" s="14" t="s">
        <v>53</v>
      </c>
      <c r="D298" s="14" t="s">
        <v>1511</v>
      </c>
      <c r="E298" s="6" t="str">
        <f>HYPERLINK("https://twitter.com/asifrazzaq1988/status/1364251684835188737","1364251684835188737")</f>
        <v>1364251684835188737</v>
      </c>
      <c r="F298" s="7" t="s">
        <v>1512</v>
      </c>
      <c r="G298" s="8"/>
      <c r="H298" s="8"/>
      <c r="I298" s="14">
        <v>2</v>
      </c>
      <c r="J298" s="14">
        <v>2</v>
      </c>
      <c r="K298" s="6" t="str">
        <f>HYPERLINK("https://dlvrit.com/","dlvr.it")</f>
        <v>dlvr.it</v>
      </c>
      <c r="L298" s="15">
        <v>5022</v>
      </c>
      <c r="M298" s="15">
        <v>3191</v>
      </c>
      <c r="N298" s="15">
        <v>77</v>
      </c>
      <c r="O298" s="9"/>
      <c r="P298" s="10">
        <v>42237.408136574071</v>
      </c>
      <c r="Q298" s="14" t="s">
        <v>56</v>
      </c>
      <c r="R298" s="14" t="s">
        <v>57</v>
      </c>
      <c r="S298" s="7" t="s">
        <v>58</v>
      </c>
      <c r="T298" s="8"/>
      <c r="U298" s="11" t="str">
        <f>HYPERLINK("https://pbs.twimg.com/profile_images/1329326638589382657/lE7wr_tF.jpg","View")</f>
        <v>View</v>
      </c>
      <c r="V298" s="8"/>
      <c r="W298" s="8"/>
      <c r="X298" s="8"/>
      <c r="Y298" s="8"/>
      <c r="Z298" s="8"/>
    </row>
    <row r="299" spans="1:26" ht="13.2">
      <c r="A299" s="13">
        <v>44250.73028935185</v>
      </c>
      <c r="B299" s="6" t="str">
        <f>HYPERLINK("https://twitter.com/FrRonconi","@FrRonconi")</f>
        <v>@FrRonconi</v>
      </c>
      <c r="C299" s="14" t="s">
        <v>1513</v>
      </c>
      <c r="D299" s="14" t="s">
        <v>1514</v>
      </c>
      <c r="E299" s="6" t="str">
        <f>HYPERLINK("https://twitter.com/FrRonconi/status/1364251580145537025","1364251580145537025")</f>
        <v>1364251580145537025</v>
      </c>
      <c r="F299" s="8"/>
      <c r="G299" s="7" t="s">
        <v>1515</v>
      </c>
      <c r="H299" s="8"/>
      <c r="I299" s="14">
        <v>1</v>
      </c>
      <c r="J299" s="14">
        <v>4</v>
      </c>
      <c r="K299" s="6" t="str">
        <f>HYPERLINK("https://mobile.twitter.com","Twitter Web App")</f>
        <v>Twitter Web App</v>
      </c>
      <c r="L299" s="15">
        <v>27982</v>
      </c>
      <c r="M299" s="15">
        <v>2430</v>
      </c>
      <c r="N299" s="15">
        <v>712</v>
      </c>
      <c r="O299" s="9"/>
      <c r="P299" s="10">
        <v>41401.436574074076</v>
      </c>
      <c r="Q299" s="14" t="s">
        <v>1516</v>
      </c>
      <c r="R299" s="14" t="s">
        <v>1517</v>
      </c>
      <c r="S299" s="7" t="s">
        <v>1518</v>
      </c>
      <c r="T299" s="8"/>
      <c r="U299" s="11" t="str">
        <f>HYPERLINK("https://pbs.twimg.com/profile_images/1271860204775276547/JPkzj0EM.jpg","View")</f>
        <v>View</v>
      </c>
      <c r="V299" s="8"/>
      <c r="W299" s="8"/>
      <c r="X299" s="8"/>
      <c r="Y299" s="8"/>
      <c r="Z299" s="8"/>
    </row>
    <row r="300" spans="1:26" ht="13.2">
      <c r="A300" s="13">
        <v>44250.730138888888</v>
      </c>
      <c r="B300" s="6" t="str">
        <f>HYPERLINK("https://twitter.com/bluetrainagency","@bluetrainagency")</f>
        <v>@bluetrainagency</v>
      </c>
      <c r="C300" s="14" t="s">
        <v>1519</v>
      </c>
      <c r="D300" s="14" t="s">
        <v>1520</v>
      </c>
      <c r="E300" s="6" t="str">
        <f>HYPERLINK("https://twitter.com/bluetrainagency/status/1364251525497966592","1364251525497966592")</f>
        <v>1364251525497966592</v>
      </c>
      <c r="F300" s="7" t="s">
        <v>1521</v>
      </c>
      <c r="G300" s="7" t="s">
        <v>1522</v>
      </c>
      <c r="H300" s="8"/>
      <c r="I300" s="14">
        <v>0</v>
      </c>
      <c r="J300" s="14">
        <v>1</v>
      </c>
      <c r="K300" s="6" t="str">
        <f>HYPERLINK("https://www.hootsuite.com","Hootsuite Inc.")</f>
        <v>Hootsuite Inc.</v>
      </c>
      <c r="L300" s="15">
        <v>1925</v>
      </c>
      <c r="M300" s="15">
        <v>3039</v>
      </c>
      <c r="N300" s="15">
        <v>38</v>
      </c>
      <c r="O300" s="9"/>
      <c r="P300" s="10">
        <v>41984.508564814816</v>
      </c>
      <c r="Q300" s="14" t="s">
        <v>599</v>
      </c>
      <c r="R300" s="14" t="s">
        <v>1523</v>
      </c>
      <c r="S300" s="7" t="s">
        <v>1524</v>
      </c>
      <c r="T300" s="8"/>
      <c r="U300" s="11" t="str">
        <f>HYPERLINK("https://pbs.twimg.com/profile_images/1346462276144877572/cO3VJvP9.png","View")</f>
        <v>View</v>
      </c>
      <c r="V300" s="8"/>
      <c r="W300" s="8"/>
      <c r="X300" s="8"/>
      <c r="Y300" s="8"/>
      <c r="Z300" s="8"/>
    </row>
    <row r="301" spans="1:26" ht="13.2">
      <c r="A301" s="13">
        <v>44250.730057870373</v>
      </c>
      <c r="B301" s="6" t="str">
        <f>HYPERLINK("https://twitter.com/manodevelcro","@manodevelcro")</f>
        <v>@manodevelcro</v>
      </c>
      <c r="C301" s="14" t="s">
        <v>1525</v>
      </c>
      <c r="D301" s="14" t="s">
        <v>1526</v>
      </c>
      <c r="E301" s="6" t="str">
        <f>HYPERLINK("https://twitter.com/manodevelcro/status/1364251495005323267","1364251495005323267")</f>
        <v>1364251495005323267</v>
      </c>
      <c r="F301" s="7" t="s">
        <v>1527</v>
      </c>
      <c r="G301" s="8"/>
      <c r="H301" s="8"/>
      <c r="I301" s="14">
        <v>0</v>
      </c>
      <c r="J301" s="14">
        <v>0</v>
      </c>
      <c r="K301" s="6" t="str">
        <f>HYPERLINK("http://smarp.com","Smarp.")</f>
        <v>Smarp.</v>
      </c>
      <c r="L301" s="15">
        <v>158</v>
      </c>
      <c r="M301" s="15">
        <v>320</v>
      </c>
      <c r="N301" s="15">
        <v>4</v>
      </c>
      <c r="O301" s="9"/>
      <c r="P301" s="10">
        <v>43045.807152777779</v>
      </c>
      <c r="Q301" s="14" t="s">
        <v>1528</v>
      </c>
      <c r="R301" s="14" t="s">
        <v>1529</v>
      </c>
      <c r="S301" s="7" t="s">
        <v>1530</v>
      </c>
      <c r="T301" s="8"/>
      <c r="U301" s="11" t="str">
        <f>HYPERLINK("https://pbs.twimg.com/profile_images/1218314687986774016/oYeuBzyZ.jpg","View")</f>
        <v>View</v>
      </c>
      <c r="V301" s="8"/>
      <c r="W301" s="8"/>
      <c r="X301" s="8"/>
      <c r="Y301" s="8"/>
      <c r="Z301" s="8"/>
    </row>
    <row r="302" spans="1:26" ht="13.2">
      <c r="A302" s="13">
        <v>44250.729895833334</v>
      </c>
      <c r="B302" s="6" t="str">
        <f>HYPERLINK("https://twitter.com/DatamlConsult","@DatamlConsult")</f>
        <v>@DatamlConsult</v>
      </c>
      <c r="C302" s="14" t="s">
        <v>1531</v>
      </c>
      <c r="D302" s="14" t="s">
        <v>1532</v>
      </c>
      <c r="E302" s="6" t="str">
        <f>HYPERLINK("https://twitter.com/DatamlConsult/status/1364251434347335682","1364251434347335682")</f>
        <v>1364251434347335682</v>
      </c>
      <c r="F302" s="8"/>
      <c r="G302" s="7" t="s">
        <v>1533</v>
      </c>
      <c r="H302" s="8"/>
      <c r="I302" s="14">
        <v>1</v>
      </c>
      <c r="J302" s="14">
        <v>0</v>
      </c>
      <c r="K302" s="6" t="str">
        <f t="shared" ref="K302:K303" si="40">HYPERLINK("https://mobile.twitter.com","Twitter Web App")</f>
        <v>Twitter Web App</v>
      </c>
      <c r="L302" s="15">
        <v>86</v>
      </c>
      <c r="M302" s="15">
        <v>56</v>
      </c>
      <c r="N302" s="15">
        <v>0</v>
      </c>
      <c r="O302" s="9"/>
      <c r="P302" s="10">
        <v>42888.363865740743</v>
      </c>
      <c r="Q302" s="8"/>
      <c r="R302" s="14" t="s">
        <v>1534</v>
      </c>
      <c r="S302" s="7" t="s">
        <v>1535</v>
      </c>
      <c r="T302" s="8"/>
      <c r="U302" s="11" t="str">
        <f>HYPERLINK("https://pbs.twimg.com/profile_images/1129090564849360898/d3L-SoWd.jpg","View")</f>
        <v>View</v>
      </c>
      <c r="V302" s="8"/>
      <c r="W302" s="8"/>
      <c r="X302" s="8"/>
      <c r="Y302" s="8"/>
      <c r="Z302" s="8"/>
    </row>
    <row r="303" spans="1:26" ht="13.2">
      <c r="A303" s="13">
        <v>44250.729710648149</v>
      </c>
      <c r="B303" s="6" t="str">
        <f>HYPERLINK("https://twitter.com/aster_cloud","@aster_cloud")</f>
        <v>@aster_cloud</v>
      </c>
      <c r="C303" s="14" t="s">
        <v>1536</v>
      </c>
      <c r="D303" s="14" t="s">
        <v>1537</v>
      </c>
      <c r="E303" s="6" t="str">
        <f>HYPERLINK("https://twitter.com/aster_cloud/status/1364251368073035778","1364251368073035778")</f>
        <v>1364251368073035778</v>
      </c>
      <c r="F303" s="7" t="s">
        <v>1538</v>
      </c>
      <c r="G303" s="7" t="s">
        <v>1539</v>
      </c>
      <c r="H303" s="8"/>
      <c r="I303" s="14">
        <v>13</v>
      </c>
      <c r="J303" s="14">
        <v>4</v>
      </c>
      <c r="K303" s="6" t="str">
        <f t="shared" si="40"/>
        <v>Twitter Web App</v>
      </c>
      <c r="L303" s="15">
        <v>221</v>
      </c>
      <c r="M303" s="15">
        <v>278</v>
      </c>
      <c r="N303" s="15">
        <v>4</v>
      </c>
      <c r="O303" s="9"/>
      <c r="P303" s="10">
        <v>43586.708912037036</v>
      </c>
      <c r="Q303" s="8"/>
      <c r="R303" s="14" t="s">
        <v>1540</v>
      </c>
      <c r="S303" s="7" t="s">
        <v>1541</v>
      </c>
      <c r="T303" s="8"/>
      <c r="U303" s="11" t="str">
        <f>HYPERLINK("https://pbs.twimg.com/profile_images/1123615703653728257/0maE5z0k.png","View")</f>
        <v>View</v>
      </c>
      <c r="V303" s="8"/>
      <c r="W303" s="8"/>
      <c r="X303" s="8"/>
      <c r="Y303" s="8"/>
      <c r="Z303" s="8"/>
    </row>
    <row r="304" spans="1:26" ht="13.2">
      <c r="A304" s="13">
        <v>44250.729629629626</v>
      </c>
      <c r="B304" s="6" t="str">
        <f>HYPERLINK("https://twitter.com/MicropoleBeLux","@MicropoleBeLux")</f>
        <v>@MicropoleBeLux</v>
      </c>
      <c r="C304" s="14" t="s">
        <v>1542</v>
      </c>
      <c r="D304" s="14" t="s">
        <v>1543</v>
      </c>
      <c r="E304" s="6" t="str">
        <f>HYPERLINK("https://twitter.com/MicropoleBeLux/status/1364251339837100034","1364251339837100034")</f>
        <v>1364251339837100034</v>
      </c>
      <c r="F304" s="8"/>
      <c r="G304" s="7" t="s">
        <v>1544</v>
      </c>
      <c r="H304" s="8"/>
      <c r="I304" s="14">
        <v>0</v>
      </c>
      <c r="J304" s="14">
        <v>1</v>
      </c>
      <c r="K304" s="6" t="str">
        <f t="shared" ref="K304:K305" si="41">HYPERLINK("https://www.hootsuite.com","Hootsuite Inc.")</f>
        <v>Hootsuite Inc.</v>
      </c>
      <c r="L304" s="15">
        <v>371</v>
      </c>
      <c r="M304" s="15">
        <v>263</v>
      </c>
      <c r="N304" s="15">
        <v>42</v>
      </c>
      <c r="O304" s="9"/>
      <c r="P304" s="10">
        <v>40696.600486111114</v>
      </c>
      <c r="Q304" s="14" t="s">
        <v>1545</v>
      </c>
      <c r="R304" s="14" t="s">
        <v>1546</v>
      </c>
      <c r="S304" s="7" t="s">
        <v>1547</v>
      </c>
      <c r="T304" s="8"/>
      <c r="U304" s="11" t="str">
        <f>HYPERLINK("https://pbs.twimg.com/profile_images/1052904664386154497/jJPl0ztZ.jpg","View")</f>
        <v>View</v>
      </c>
      <c r="V304" s="8"/>
      <c r="W304" s="8"/>
      <c r="X304" s="8"/>
      <c r="Y304" s="8"/>
      <c r="Z304" s="8"/>
    </row>
    <row r="305" spans="1:26" ht="13.2">
      <c r="A305" s="13">
        <v>44250.729583333334</v>
      </c>
      <c r="B305" s="6" t="str">
        <f>HYPERLINK("https://twitter.com/Acuvate","@Acuvate")</f>
        <v>@Acuvate</v>
      </c>
      <c r="C305" s="14" t="s">
        <v>1548</v>
      </c>
      <c r="D305" s="14" t="s">
        <v>1549</v>
      </c>
      <c r="E305" s="6" t="str">
        <f>HYPERLINK("https://twitter.com/Acuvate/status/1364251320820129803","1364251320820129803")</f>
        <v>1364251320820129803</v>
      </c>
      <c r="F305" s="7" t="s">
        <v>1550</v>
      </c>
      <c r="G305" s="8"/>
      <c r="H305" s="8"/>
      <c r="I305" s="14">
        <v>0</v>
      </c>
      <c r="J305" s="14">
        <v>1</v>
      </c>
      <c r="K305" s="6" t="str">
        <f t="shared" si="41"/>
        <v>Hootsuite Inc.</v>
      </c>
      <c r="L305" s="15">
        <v>1724</v>
      </c>
      <c r="M305" s="15">
        <v>1530</v>
      </c>
      <c r="N305" s="15">
        <v>162</v>
      </c>
      <c r="O305" s="9"/>
      <c r="P305" s="10">
        <v>40659.360000000001</v>
      </c>
      <c r="Q305" s="14" t="s">
        <v>1551</v>
      </c>
      <c r="R305" s="14" t="s">
        <v>1552</v>
      </c>
      <c r="S305" s="7" t="s">
        <v>1553</v>
      </c>
      <c r="T305" s="8"/>
      <c r="U305" s="11" t="str">
        <f>HYPERLINK("https://pbs.twimg.com/profile_images/747748531323080704/czQ31L30.jpg","View")</f>
        <v>View</v>
      </c>
      <c r="V305" s="8"/>
      <c r="W305" s="8"/>
      <c r="X305" s="8"/>
      <c r="Y305" s="8"/>
      <c r="Z305" s="8"/>
    </row>
    <row r="306" spans="1:26" ht="13.2">
      <c r="A306" s="13">
        <v>44250.729421296295</v>
      </c>
      <c r="B306" s="6" t="str">
        <f>HYPERLINK("https://twitter.com/Paula_Piccard","@Paula_Piccard")</f>
        <v>@Paula_Piccard</v>
      </c>
      <c r="C306" s="14" t="s">
        <v>1116</v>
      </c>
      <c r="D306" s="14" t="s">
        <v>1554</v>
      </c>
      <c r="E306" s="6" t="str">
        <f>HYPERLINK("https://twitter.com/Paula_Piccard/status/1364251264574488577","1364251264574488577")</f>
        <v>1364251264574488577</v>
      </c>
      <c r="F306" s="8"/>
      <c r="G306" s="7" t="s">
        <v>1555</v>
      </c>
      <c r="H306" s="8"/>
      <c r="I306" s="14">
        <v>21</v>
      </c>
      <c r="J306" s="14">
        <v>9</v>
      </c>
      <c r="K306" s="6" t="str">
        <f>HYPERLINK("https://smarterqueue.com","SmarterQueue")</f>
        <v>SmarterQueue</v>
      </c>
      <c r="L306" s="15">
        <v>61067</v>
      </c>
      <c r="M306" s="15">
        <v>9852</v>
      </c>
      <c r="N306" s="15">
        <v>1284</v>
      </c>
      <c r="O306" s="9"/>
      <c r="P306" s="10">
        <v>40665.824629629627</v>
      </c>
      <c r="Q306" s="14" t="s">
        <v>1120</v>
      </c>
      <c r="R306" s="14" t="s">
        <v>1121</v>
      </c>
      <c r="S306" s="7" t="s">
        <v>1122</v>
      </c>
      <c r="T306" s="8"/>
      <c r="U306" s="11" t="str">
        <f>HYPERLINK("https://pbs.twimg.com/profile_images/1307804375981621254/KT6ID8H9.png","View")</f>
        <v>View</v>
      </c>
      <c r="V306" s="8"/>
      <c r="W306" s="8"/>
      <c r="X306" s="8"/>
      <c r="Y306" s="8"/>
      <c r="Z306" s="8"/>
    </row>
    <row r="307" spans="1:26" ht="13.2">
      <c r="A307" s="13">
        <v>44250.729386574079</v>
      </c>
      <c r="B307" s="6" t="str">
        <f>HYPERLINK("https://twitter.com/PlugandPlayTC","@PlugandPlayTC")</f>
        <v>@PlugandPlayTC</v>
      </c>
      <c r="C307" s="14" t="s">
        <v>1556</v>
      </c>
      <c r="D307" s="14" t="s">
        <v>1557</v>
      </c>
      <c r="E307" s="6" t="str">
        <f>HYPERLINK("https://twitter.com/PlugandPlayTC/status/1364251249688907786","1364251249688907786")</f>
        <v>1364251249688907786</v>
      </c>
      <c r="F307" s="7" t="s">
        <v>1558</v>
      </c>
      <c r="G307" s="7" t="s">
        <v>1559</v>
      </c>
      <c r="H307" s="8"/>
      <c r="I307" s="14">
        <v>0</v>
      </c>
      <c r="J307" s="14">
        <v>1</v>
      </c>
      <c r="K307" s="6" t="str">
        <f>HYPERLINK("http://www.hubspot.com/","HubSpot")</f>
        <v>HubSpot</v>
      </c>
      <c r="L307" s="15">
        <v>22082</v>
      </c>
      <c r="M307" s="15">
        <v>5729</v>
      </c>
      <c r="N307" s="15">
        <v>1108</v>
      </c>
      <c r="O307" s="9"/>
      <c r="P307" s="10">
        <v>39766.791990740741</v>
      </c>
      <c r="Q307" s="14" t="s">
        <v>1560</v>
      </c>
      <c r="R307" s="14" t="s">
        <v>1561</v>
      </c>
      <c r="S307" s="7" t="s">
        <v>1562</v>
      </c>
      <c r="T307" s="8"/>
      <c r="U307" s="11" t="str">
        <f>HYPERLINK("https://pbs.twimg.com/profile_images/1116662990852558848/EZhztH1B.png","View")</f>
        <v>View</v>
      </c>
      <c r="V307" s="8"/>
      <c r="W307" s="8"/>
      <c r="X307" s="8"/>
      <c r="Y307" s="8"/>
      <c r="Z307" s="8"/>
    </row>
    <row r="308" spans="1:26" ht="13.2">
      <c r="A308" s="13">
        <v>44250.72923611111</v>
      </c>
      <c r="B308" s="6" t="str">
        <f>HYPERLINK("https://twitter.com/botosynthesis","@botosynthesis")</f>
        <v>@botosynthesis</v>
      </c>
      <c r="C308" s="14" t="s">
        <v>1563</v>
      </c>
      <c r="D308" s="14" t="s">
        <v>1564</v>
      </c>
      <c r="E308" s="6" t="str">
        <f>HYPERLINK("https://twitter.com/botosynthesis/status/1364251196177924099","1364251196177924099")</f>
        <v>1364251196177924099</v>
      </c>
      <c r="F308" s="14" t="s">
        <v>1565</v>
      </c>
      <c r="G308" s="8"/>
      <c r="H308" s="8"/>
      <c r="I308" s="14">
        <v>0</v>
      </c>
      <c r="J308" s="14">
        <v>1</v>
      </c>
      <c r="K308" s="6" t="str">
        <f>HYPERLINK("https://publer.io","Publer ")</f>
        <v xml:space="preserve">Publer </v>
      </c>
      <c r="L308" s="15">
        <v>10052</v>
      </c>
      <c r="M308" s="15">
        <v>9635</v>
      </c>
      <c r="N308" s="15">
        <v>42</v>
      </c>
      <c r="O308" s="9"/>
      <c r="P308" s="10">
        <v>43806.763773148152</v>
      </c>
      <c r="Q308" s="14" t="s">
        <v>1566</v>
      </c>
      <c r="R308" s="14" t="s">
        <v>1567</v>
      </c>
      <c r="S308" s="7" t="s">
        <v>1568</v>
      </c>
      <c r="T308" s="8"/>
      <c r="U308" s="11" t="str">
        <f>HYPERLINK("https://pbs.twimg.com/profile_images/1212680524600242176/-88PCrRa.jpg","View")</f>
        <v>View</v>
      </c>
      <c r="V308" s="8"/>
      <c r="W308" s="8"/>
      <c r="X308" s="8"/>
      <c r="Y308" s="8"/>
      <c r="Z308" s="8"/>
    </row>
    <row r="309" spans="1:26" ht="13.2">
      <c r="A309" s="13">
        <v>44250.729224537034</v>
      </c>
      <c r="B309" s="6" t="str">
        <f>HYPERLINK("https://twitter.com/PunkPOS","@PunkPOS")</f>
        <v>@PunkPOS</v>
      </c>
      <c r="C309" s="14" t="s">
        <v>1569</v>
      </c>
      <c r="D309" s="14" t="s">
        <v>1570</v>
      </c>
      <c r="E309" s="6" t="str">
        <f>HYPERLINK("https://twitter.com/PunkPOS/status/1364251193640378373","1364251193640378373")</f>
        <v>1364251193640378373</v>
      </c>
      <c r="F309" s="7" t="s">
        <v>1571</v>
      </c>
      <c r="G309" s="8"/>
      <c r="H309" s="8"/>
      <c r="I309" s="14">
        <v>0</v>
      </c>
      <c r="J309" s="14">
        <v>0</v>
      </c>
      <c r="K309" s="6" t="str">
        <f>HYPERLINK("http://www.hubspot.com/","HubSpot")</f>
        <v>HubSpot</v>
      </c>
      <c r="L309" s="15">
        <v>166</v>
      </c>
      <c r="M309" s="15">
        <v>173</v>
      </c>
      <c r="N309" s="15">
        <v>1</v>
      </c>
      <c r="O309" s="9"/>
      <c r="P309" s="10">
        <v>43402.905532407407</v>
      </c>
      <c r="Q309" s="14" t="s">
        <v>215</v>
      </c>
      <c r="R309" s="14" t="s">
        <v>1572</v>
      </c>
      <c r="S309" s="7" t="s">
        <v>1573</v>
      </c>
      <c r="T309" s="8"/>
      <c r="U309" s="11" t="str">
        <f>HYPERLINK("https://pbs.twimg.com/profile_images/1057476215383228416/HNCjA0Yw.jpg","View")</f>
        <v>View</v>
      </c>
      <c r="V309" s="8"/>
      <c r="W309" s="8"/>
      <c r="X309" s="8"/>
      <c r="Y309" s="8"/>
      <c r="Z309" s="8"/>
    </row>
    <row r="310" spans="1:26" ht="13.2">
      <c r="A310" s="13">
        <v>44250.729212962964</v>
      </c>
      <c r="B310" s="6" t="str">
        <f>HYPERLINK("https://twitter.com/XcedeDigital","@XcedeDigital")</f>
        <v>@XcedeDigital</v>
      </c>
      <c r="C310" s="14" t="s">
        <v>1574</v>
      </c>
      <c r="D310" s="14" t="s">
        <v>1575</v>
      </c>
      <c r="E310" s="6" t="str">
        <f>HYPERLINK("https://twitter.com/XcedeDigital/status/1364251189450276876","1364251189450276876")</f>
        <v>1364251189450276876</v>
      </c>
      <c r="F310" s="7" t="s">
        <v>1576</v>
      </c>
      <c r="G310" s="7" t="s">
        <v>1577</v>
      </c>
      <c r="H310" s="8"/>
      <c r="I310" s="14">
        <v>1</v>
      </c>
      <c r="J310" s="14">
        <v>0</v>
      </c>
      <c r="K310" s="6" t="str">
        <f>HYPERLINK("https://app.sendible.com","Sendible")</f>
        <v>Sendible</v>
      </c>
      <c r="L310" s="15">
        <v>1444</v>
      </c>
      <c r="M310" s="15">
        <v>1120</v>
      </c>
      <c r="N310" s="15">
        <v>262</v>
      </c>
      <c r="O310" s="9"/>
      <c r="P310" s="10">
        <v>40276.945752314816</v>
      </c>
      <c r="Q310" s="14" t="s">
        <v>753</v>
      </c>
      <c r="R310" s="14" t="s">
        <v>1578</v>
      </c>
      <c r="S310" s="7" t="s">
        <v>1579</v>
      </c>
      <c r="T310" s="8"/>
      <c r="U310" s="11" t="str">
        <f>HYPERLINK("https://pbs.twimg.com/profile_images/1151488447275839488/JeZrHHxE.png","View")</f>
        <v>View</v>
      </c>
      <c r="V310" s="8"/>
      <c r="W310" s="8"/>
      <c r="X310" s="8"/>
      <c r="Y310" s="8"/>
      <c r="Z310" s="8"/>
    </row>
    <row r="311" spans="1:26" ht="13.2">
      <c r="A311" s="13">
        <v>44250.729166666672</v>
      </c>
      <c r="B311" s="6" t="str">
        <f>HYPERLINK("https://twitter.com/Bioenable","@Bioenable")</f>
        <v>@Bioenable</v>
      </c>
      <c r="C311" s="14" t="s">
        <v>1580</v>
      </c>
      <c r="D311" s="14" t="s">
        <v>1581</v>
      </c>
      <c r="E311" s="6" t="str">
        <f>HYPERLINK("https://twitter.com/Bioenable/status/1364251172073312265","1364251172073312265")</f>
        <v>1364251172073312265</v>
      </c>
      <c r="F311" s="8"/>
      <c r="G311" s="7" t="s">
        <v>1582</v>
      </c>
      <c r="H311" s="8"/>
      <c r="I311" s="14">
        <v>3</v>
      </c>
      <c r="J311" s="14">
        <v>1</v>
      </c>
      <c r="K311" s="6" t="str">
        <f t="shared" ref="K311:K312" si="42">HYPERLINK("https://about.twitter.com/products/tweetdeck","TweetDeck")</f>
        <v>TweetDeck</v>
      </c>
      <c r="L311" s="15">
        <v>662</v>
      </c>
      <c r="M311" s="15">
        <v>7</v>
      </c>
      <c r="N311" s="15">
        <v>3</v>
      </c>
      <c r="O311" s="9"/>
      <c r="P311" s="10">
        <v>40765.462881944448</v>
      </c>
      <c r="Q311" s="14" t="s">
        <v>1583</v>
      </c>
      <c r="R311" s="14" t="s">
        <v>1584</v>
      </c>
      <c r="S311" s="7" t="s">
        <v>1585</v>
      </c>
      <c r="T311" s="8"/>
      <c r="U311" s="11" t="str">
        <f>HYPERLINK("https://pbs.twimg.com/profile_images/1295296926049419265/RUCW7DPw.jpg","View")</f>
        <v>View</v>
      </c>
      <c r="V311" s="8"/>
      <c r="W311" s="8"/>
      <c r="X311" s="8"/>
      <c r="Y311" s="8"/>
      <c r="Z311" s="8"/>
    </row>
    <row r="312" spans="1:26" ht="13.2">
      <c r="A312" s="13">
        <v>44250.729166666672</v>
      </c>
      <c r="B312" s="6" t="str">
        <f>HYPERLINK("https://twitter.com/VisiveAI","@VisiveAI")</f>
        <v>@VisiveAI</v>
      </c>
      <c r="C312" s="14" t="s">
        <v>1586</v>
      </c>
      <c r="D312" s="14" t="s">
        <v>1587</v>
      </c>
      <c r="E312" s="6" t="str">
        <f>HYPERLINK("https://twitter.com/VisiveAI/status/1364251171817353216","1364251171817353216")</f>
        <v>1364251171817353216</v>
      </c>
      <c r="F312" s="8"/>
      <c r="G312" s="7" t="s">
        <v>1588</v>
      </c>
      <c r="H312" s="8"/>
      <c r="I312" s="14">
        <v>2</v>
      </c>
      <c r="J312" s="14">
        <v>1</v>
      </c>
      <c r="K312" s="6" t="str">
        <f t="shared" si="42"/>
        <v>TweetDeck</v>
      </c>
      <c r="L312" s="15">
        <v>1370</v>
      </c>
      <c r="M312" s="15">
        <v>722</v>
      </c>
      <c r="N312" s="15">
        <v>19</v>
      </c>
      <c r="O312" s="9"/>
      <c r="P312" s="10">
        <v>44020.318541666667</v>
      </c>
      <c r="Q312" s="14" t="s">
        <v>914</v>
      </c>
      <c r="R312" s="14" t="s">
        <v>1589</v>
      </c>
      <c r="S312" s="7" t="s">
        <v>1590</v>
      </c>
      <c r="T312" s="8"/>
      <c r="U312" s="11" t="str">
        <f>HYPERLINK("https://pbs.twimg.com/profile_images/1280742386784546816/yppKuStA.jpg","View")</f>
        <v>View</v>
      </c>
      <c r="V312" s="8"/>
      <c r="W312" s="8"/>
      <c r="X312" s="8"/>
      <c r="Y312" s="8"/>
      <c r="Z312" s="8"/>
    </row>
    <row r="313" spans="1:26" ht="13.2">
      <c r="A313" s="13">
        <v>44250.728622685187</v>
      </c>
      <c r="B313" s="6" t="str">
        <f>HYPERLINK("https://twitter.com/JimTheWhyGuy","@JimTheWhyGuy")</f>
        <v>@JimTheWhyGuy</v>
      </c>
      <c r="C313" s="14" t="s">
        <v>1591</v>
      </c>
      <c r="D313" s="14" t="s">
        <v>1592</v>
      </c>
      <c r="E313" s="6" t="str">
        <f>HYPERLINK("https://twitter.com/JimTheWhyGuy/status/1364250973691125769","1364250973691125769")</f>
        <v>1364250973691125769</v>
      </c>
      <c r="F313" s="8"/>
      <c r="G313" s="7" t="s">
        <v>1593</v>
      </c>
      <c r="H313" s="8"/>
      <c r="I313" s="14">
        <v>3</v>
      </c>
      <c r="J313" s="14">
        <v>6</v>
      </c>
      <c r="K313" s="6" t="str">
        <f t="shared" ref="K313:K316" si="43">HYPERLINK("https://mobile.twitter.com","Twitter Web App")</f>
        <v>Twitter Web App</v>
      </c>
      <c r="L313" s="15">
        <v>2124</v>
      </c>
      <c r="M313" s="15">
        <v>465</v>
      </c>
      <c r="N313" s="15">
        <v>64</v>
      </c>
      <c r="O313" s="9"/>
      <c r="P313" s="10">
        <v>39755.976597222223</v>
      </c>
      <c r="Q313" s="14" t="s">
        <v>1594</v>
      </c>
      <c r="R313" s="14" t="s">
        <v>1595</v>
      </c>
      <c r="S313" s="7" t="s">
        <v>1596</v>
      </c>
      <c r="T313" s="8"/>
      <c r="U313" s="11" t="str">
        <f>HYPERLINK("https://pbs.twimg.com/profile_images/1056653489902768128/RmhNaADv.jpg","View")</f>
        <v>View</v>
      </c>
      <c r="V313" s="8"/>
      <c r="W313" s="8"/>
      <c r="X313" s="8"/>
      <c r="Y313" s="8"/>
      <c r="Z313" s="8"/>
    </row>
    <row r="314" spans="1:26" ht="13.2">
      <c r="A314" s="13">
        <v>44250.72855324074</v>
      </c>
      <c r="B314" s="6" t="str">
        <f t="shared" ref="B314:B316" si="44">HYPERLINK("https://twitter.com/jaisonjai","@jaisonjai")</f>
        <v>@jaisonjai</v>
      </c>
      <c r="C314" s="14" t="s">
        <v>1597</v>
      </c>
      <c r="D314" s="14" t="s">
        <v>1598</v>
      </c>
      <c r="E314" s="6" t="str">
        <f>HYPERLINK("https://twitter.com/jaisonjai/status/1364250950123274241","1364250950123274241")</f>
        <v>1364250950123274241</v>
      </c>
      <c r="F314" s="7" t="s">
        <v>1599</v>
      </c>
      <c r="G314" s="8"/>
      <c r="H314" s="8"/>
      <c r="I314" s="14">
        <v>0</v>
      </c>
      <c r="J314" s="14">
        <v>1</v>
      </c>
      <c r="K314" s="6" t="str">
        <f t="shared" si="43"/>
        <v>Twitter Web App</v>
      </c>
      <c r="L314" s="15">
        <v>229</v>
      </c>
      <c r="M314" s="15">
        <v>774</v>
      </c>
      <c r="N314" s="15">
        <v>4</v>
      </c>
      <c r="O314" s="9"/>
      <c r="P314" s="10">
        <v>40329.27915509259</v>
      </c>
      <c r="Q314" s="14" t="s">
        <v>1600</v>
      </c>
      <c r="R314" s="14" t="s">
        <v>1601</v>
      </c>
      <c r="S314" s="7" t="s">
        <v>1602</v>
      </c>
      <c r="T314" s="8"/>
      <c r="U314" s="11" t="str">
        <f t="shared" ref="U314:U316" si="45">HYPERLINK("https://pbs.twimg.com/profile_images/1118652865566916608/qmvsuAnn.jpg","View")</f>
        <v>View</v>
      </c>
      <c r="V314" s="8"/>
      <c r="W314" s="8"/>
      <c r="X314" s="8"/>
      <c r="Y314" s="8"/>
      <c r="Z314" s="8"/>
    </row>
    <row r="315" spans="1:26" ht="13.2">
      <c r="A315" s="13">
        <v>44250.728229166663</v>
      </c>
      <c r="B315" s="6" t="str">
        <f t="shared" si="44"/>
        <v>@jaisonjai</v>
      </c>
      <c r="C315" s="14" t="s">
        <v>1597</v>
      </c>
      <c r="D315" s="14" t="s">
        <v>1603</v>
      </c>
      <c r="E315" s="6" t="str">
        <f>HYPERLINK("https://twitter.com/jaisonjai/status/1364250833186136065","1364250833186136065")</f>
        <v>1364250833186136065</v>
      </c>
      <c r="F315" s="7" t="s">
        <v>1604</v>
      </c>
      <c r="G315" s="8"/>
      <c r="H315" s="8"/>
      <c r="I315" s="14">
        <v>1</v>
      </c>
      <c r="J315" s="14">
        <v>0</v>
      </c>
      <c r="K315" s="6" t="str">
        <f t="shared" si="43"/>
        <v>Twitter Web App</v>
      </c>
      <c r="L315" s="15">
        <v>229</v>
      </c>
      <c r="M315" s="15">
        <v>774</v>
      </c>
      <c r="N315" s="15">
        <v>4</v>
      </c>
      <c r="O315" s="9"/>
      <c r="P315" s="10">
        <v>40329.27915509259</v>
      </c>
      <c r="Q315" s="14" t="s">
        <v>1600</v>
      </c>
      <c r="R315" s="14" t="s">
        <v>1601</v>
      </c>
      <c r="S315" s="7" t="s">
        <v>1602</v>
      </c>
      <c r="T315" s="8"/>
      <c r="U315" s="11" t="str">
        <f t="shared" si="45"/>
        <v>View</v>
      </c>
      <c r="V315" s="8"/>
      <c r="W315" s="8"/>
      <c r="X315" s="8"/>
      <c r="Y315" s="8"/>
      <c r="Z315" s="8"/>
    </row>
    <row r="316" spans="1:26" ht="13.2">
      <c r="A316" s="13">
        <v>44250.728055555555</v>
      </c>
      <c r="B316" s="6" t="str">
        <f t="shared" si="44"/>
        <v>@jaisonjai</v>
      </c>
      <c r="C316" s="14" t="s">
        <v>1597</v>
      </c>
      <c r="D316" s="14" t="s">
        <v>1605</v>
      </c>
      <c r="E316" s="6" t="str">
        <f>HYPERLINK("https://twitter.com/jaisonjai/status/1364250770586165248","1364250770586165248")</f>
        <v>1364250770586165248</v>
      </c>
      <c r="F316" s="7" t="s">
        <v>1606</v>
      </c>
      <c r="G316" s="8"/>
      <c r="H316" s="8"/>
      <c r="I316" s="14">
        <v>1</v>
      </c>
      <c r="J316" s="14">
        <v>0</v>
      </c>
      <c r="K316" s="6" t="str">
        <f t="shared" si="43"/>
        <v>Twitter Web App</v>
      </c>
      <c r="L316" s="15">
        <v>229</v>
      </c>
      <c r="M316" s="15">
        <v>774</v>
      </c>
      <c r="N316" s="15">
        <v>4</v>
      </c>
      <c r="O316" s="9"/>
      <c r="P316" s="10">
        <v>40329.27915509259</v>
      </c>
      <c r="Q316" s="14" t="s">
        <v>1600</v>
      </c>
      <c r="R316" s="14" t="s">
        <v>1601</v>
      </c>
      <c r="S316" s="7" t="s">
        <v>1602</v>
      </c>
      <c r="T316" s="8"/>
      <c r="U316" s="11" t="str">
        <f t="shared" si="45"/>
        <v>View</v>
      </c>
      <c r="V316" s="8"/>
      <c r="W316" s="8"/>
      <c r="X316" s="8"/>
      <c r="Y316" s="8"/>
      <c r="Z316" s="8"/>
    </row>
    <row r="317" spans="1:26" ht="13.2">
      <c r="A317" s="13">
        <v>44250.727800925924</v>
      </c>
      <c r="B317" s="6" t="str">
        <f>HYPERLINK("https://twitter.com/ttemplar","@ttemplar")</f>
        <v>@ttemplar</v>
      </c>
      <c r="C317" s="14" t="s">
        <v>1607</v>
      </c>
      <c r="D317" s="14" t="s">
        <v>1608</v>
      </c>
      <c r="E317" s="6" t="str">
        <f>HYPERLINK("https://twitter.com/ttemplar/status/1364250676096884736","1364250676096884736")</f>
        <v>1364250676096884736</v>
      </c>
      <c r="F317" s="7" t="s">
        <v>1609</v>
      </c>
      <c r="G317" s="7" t="s">
        <v>1610</v>
      </c>
      <c r="H317" s="8"/>
      <c r="I317" s="14">
        <v>1</v>
      </c>
      <c r="J317" s="14">
        <v>0</v>
      </c>
      <c r="K317" s="6" t="str">
        <f>HYPERLINK("https://buffer.com","Buffer")</f>
        <v>Buffer</v>
      </c>
      <c r="L317" s="15">
        <v>340</v>
      </c>
      <c r="M317" s="15">
        <v>923</v>
      </c>
      <c r="N317" s="15">
        <v>36</v>
      </c>
      <c r="O317" s="9"/>
      <c r="P317" s="10">
        <v>39931.400740740741</v>
      </c>
      <c r="Q317" s="14" t="s">
        <v>1611</v>
      </c>
      <c r="R317" s="14" t="s">
        <v>1612</v>
      </c>
      <c r="S317" s="7" t="s">
        <v>1613</v>
      </c>
      <c r="T317" s="8"/>
      <c r="U317" s="11" t="str">
        <f>HYPERLINK("https://pbs.twimg.com/profile_images/1306425190805417984/69r0RlkT.jpg","View")</f>
        <v>View</v>
      </c>
      <c r="V317" s="8"/>
      <c r="W317" s="8"/>
      <c r="X317" s="8"/>
      <c r="Y317" s="8"/>
      <c r="Z317" s="8"/>
    </row>
    <row r="318" spans="1:26" ht="13.2">
      <c r="A318" s="13">
        <v>44250.727546296301</v>
      </c>
      <c r="B318" s="6" t="str">
        <f>HYPERLINK("https://twitter.com/iresearchsci","@iresearchsci")</f>
        <v>@iresearchsci</v>
      </c>
      <c r="C318" s="14" t="s">
        <v>1614</v>
      </c>
      <c r="D318" s="14" t="s">
        <v>1615</v>
      </c>
      <c r="E318" s="6" t="str">
        <f>HYPERLINK("https://twitter.com/iresearchsci/status/1364250585516630020","1364250585516630020")</f>
        <v>1364250585516630020</v>
      </c>
      <c r="F318" s="14" t="s">
        <v>1616</v>
      </c>
      <c r="G318" s="7" t="s">
        <v>1617</v>
      </c>
      <c r="H318" s="8"/>
      <c r="I318" s="14">
        <v>2</v>
      </c>
      <c r="J318" s="14">
        <v>0</v>
      </c>
      <c r="K318" s="6" t="str">
        <f>HYPERLINK("http://twitter.com/download/android","Twitter for Android")</f>
        <v>Twitter for Android</v>
      </c>
      <c r="L318" s="15">
        <v>228</v>
      </c>
      <c r="M318" s="15">
        <v>218</v>
      </c>
      <c r="N318" s="15">
        <v>24</v>
      </c>
      <c r="O318" s="9"/>
      <c r="P318" s="10">
        <v>41118.265462962961</v>
      </c>
      <c r="Q318" s="8"/>
      <c r="R318" s="14" t="s">
        <v>1618</v>
      </c>
      <c r="S318" s="7" t="s">
        <v>1619</v>
      </c>
      <c r="T318" s="8"/>
      <c r="U318" s="11" t="str">
        <f>HYPERLINK("https://pbs.twimg.com/profile_images/1050896001433788417/5Eo273ac.jpg","View")</f>
        <v>View</v>
      </c>
      <c r="V318" s="8"/>
      <c r="W318" s="8"/>
      <c r="X318" s="8"/>
      <c r="Y318" s="8"/>
      <c r="Z318" s="8"/>
    </row>
    <row r="319" spans="1:26" ht="13.2">
      <c r="A319" s="13">
        <v>44250.727476851855</v>
      </c>
      <c r="B319" s="6" t="str">
        <f>HYPERLINK("https://twitter.com/theankitshaw","@theankitshaw")</f>
        <v>@theankitshaw</v>
      </c>
      <c r="C319" s="14" t="s">
        <v>1620</v>
      </c>
      <c r="D319" s="14" t="s">
        <v>1621</v>
      </c>
      <c r="E319" s="6" t="str">
        <f>HYPERLINK("https://twitter.com/theankitshaw/status/1364250560765984770","1364250560765984770")</f>
        <v>1364250560765984770</v>
      </c>
      <c r="F319" s="8"/>
      <c r="G319" s="8"/>
      <c r="H319" s="8"/>
      <c r="I319" s="14">
        <v>8</v>
      </c>
      <c r="J319" s="14">
        <v>4</v>
      </c>
      <c r="K319" s="6" t="str">
        <f>HYPERLINK("https://mobile.twitter.com","Twitter Web App")</f>
        <v>Twitter Web App</v>
      </c>
      <c r="L319" s="15">
        <v>178</v>
      </c>
      <c r="M319" s="15">
        <v>404</v>
      </c>
      <c r="N319" s="15">
        <v>14</v>
      </c>
      <c r="O319" s="9"/>
      <c r="P319" s="10">
        <v>40270.444895833338</v>
      </c>
      <c r="Q319" s="14" t="s">
        <v>1622</v>
      </c>
      <c r="R319" s="14" t="s">
        <v>1623</v>
      </c>
      <c r="S319" s="7" t="s">
        <v>1624</v>
      </c>
      <c r="T319" s="8"/>
      <c r="U319" s="11" t="str">
        <f>HYPERLINK("https://pbs.twimg.com/profile_images/883686369947639809/1hcFn9ik.jpg","View")</f>
        <v>View</v>
      </c>
      <c r="V319" s="8"/>
      <c r="W319" s="8"/>
      <c r="X319" s="8"/>
      <c r="Y319" s="8"/>
      <c r="Z319" s="8"/>
    </row>
    <row r="320" spans="1:26" ht="13.2">
      <c r="A320" s="13">
        <v>44250.727442129632</v>
      </c>
      <c r="B320" s="6" t="str">
        <f>HYPERLINK("https://twitter.com/Vikezmedia","@Vikezmedia")</f>
        <v>@Vikezmedia</v>
      </c>
      <c r="C320" s="14" t="s">
        <v>1625</v>
      </c>
      <c r="D320" s="14" t="s">
        <v>1626</v>
      </c>
      <c r="E320" s="6" t="str">
        <f>HYPERLINK("https://twitter.com/Vikezmedia/status/1364250545469284353","1364250545469284353")</f>
        <v>1364250545469284353</v>
      </c>
      <c r="F320" s="7" t="s">
        <v>1627</v>
      </c>
      <c r="G320" s="7" t="s">
        <v>1628</v>
      </c>
      <c r="H320" s="8"/>
      <c r="I320" s="14">
        <v>0</v>
      </c>
      <c r="J320" s="14">
        <v>0</v>
      </c>
      <c r="K320" s="6" t="str">
        <f>HYPERLINK("http://twitter.com/download/iphone","Twitter for iPhone")</f>
        <v>Twitter for iPhone</v>
      </c>
      <c r="L320" s="15">
        <v>5492</v>
      </c>
      <c r="M320" s="15">
        <v>6041</v>
      </c>
      <c r="N320" s="15">
        <v>1526</v>
      </c>
      <c r="O320" s="9"/>
      <c r="P320" s="10">
        <v>42258.697187500002</v>
      </c>
      <c r="Q320" s="14" t="s">
        <v>1629</v>
      </c>
      <c r="R320" s="14" t="s">
        <v>1630</v>
      </c>
      <c r="S320" s="7" t="s">
        <v>1631</v>
      </c>
      <c r="T320" s="8"/>
      <c r="U320" s="11" t="str">
        <f>HYPERLINK("https://pbs.twimg.com/profile_images/642348669564416000/hqC3m0nb.png","View")</f>
        <v>View</v>
      </c>
      <c r="V320" s="8"/>
      <c r="W320" s="8"/>
      <c r="X320" s="8"/>
      <c r="Y320" s="8"/>
      <c r="Z320" s="8"/>
    </row>
    <row r="321" spans="1:26" ht="13.2">
      <c r="A321" s="13">
        <v>44250.727395833332</v>
      </c>
      <c r="B321" s="6" t="str">
        <f>HYPERLINK("https://twitter.com/UlsterUniGES","@UlsterUniGES")</f>
        <v>@UlsterUniGES</v>
      </c>
      <c r="C321" s="14" t="s">
        <v>1632</v>
      </c>
      <c r="D321" s="14" t="s">
        <v>1633</v>
      </c>
      <c r="E321" s="6" t="str">
        <f>HYPERLINK("https://twitter.com/UlsterUniGES/status/1364250529682100228","1364250529682100228")</f>
        <v>1364250529682100228</v>
      </c>
      <c r="F321" s="7" t="s">
        <v>1634</v>
      </c>
      <c r="G321" s="7" t="s">
        <v>1635</v>
      </c>
      <c r="H321" s="8"/>
      <c r="I321" s="14">
        <v>4</v>
      </c>
      <c r="J321" s="14">
        <v>3</v>
      </c>
      <c r="K321" s="6" t="str">
        <f>HYPERLINK("https://mobile.twitter.com","Twitter Web App")</f>
        <v>Twitter Web App</v>
      </c>
      <c r="L321" s="15">
        <v>1709</v>
      </c>
      <c r="M321" s="15">
        <v>1229</v>
      </c>
      <c r="N321" s="15">
        <v>35</v>
      </c>
      <c r="O321" s="9"/>
      <c r="P321" s="10">
        <v>42311.388020833328</v>
      </c>
      <c r="Q321" s="14" t="s">
        <v>1636</v>
      </c>
      <c r="R321" s="14" t="s">
        <v>1637</v>
      </c>
      <c r="S321" s="7" t="s">
        <v>1638</v>
      </c>
      <c r="T321" s="8"/>
      <c r="U321" s="11" t="str">
        <f>HYPERLINK("https://pbs.twimg.com/profile_images/1158327918742970368/xiVdrfC9.jpg","View")</f>
        <v>View</v>
      </c>
      <c r="V321" s="8"/>
      <c r="W321" s="8"/>
      <c r="X321" s="8"/>
      <c r="Y321" s="8"/>
      <c r="Z321" s="8"/>
    </row>
    <row r="322" spans="1:26" ht="13.2">
      <c r="A322" s="13">
        <v>44250.727164351847</v>
      </c>
      <c r="B322" s="6" t="str">
        <f>HYPERLINK("https://twitter.com/DecisionsSmart","@DecisionsSmart")</f>
        <v>@DecisionsSmart</v>
      </c>
      <c r="C322" s="14" t="s">
        <v>212</v>
      </c>
      <c r="D322" s="14" t="s">
        <v>1639</v>
      </c>
      <c r="E322" s="6" t="str">
        <f>HYPERLINK("https://twitter.com/DecisionsSmart/status/1364250446077046787","1364250446077046787")</f>
        <v>1364250446077046787</v>
      </c>
      <c r="F322" s="14" t="s">
        <v>1640</v>
      </c>
      <c r="G322" s="8"/>
      <c r="H322" s="8"/>
      <c r="I322" s="14">
        <v>25</v>
      </c>
      <c r="J322" s="14">
        <v>19</v>
      </c>
      <c r="K322" s="6" t="str">
        <f>HYPERLINK("http://twinybots.com","TwinyBots")</f>
        <v>TwinyBots</v>
      </c>
      <c r="L322" s="15">
        <v>6690</v>
      </c>
      <c r="M322" s="15">
        <v>5126</v>
      </c>
      <c r="N322" s="15">
        <v>88</v>
      </c>
      <c r="O322" s="9"/>
      <c r="P322" s="10">
        <v>43282.143495370372</v>
      </c>
      <c r="Q322" s="14" t="s">
        <v>215</v>
      </c>
      <c r="R322" s="14" t="s">
        <v>216</v>
      </c>
      <c r="S322" s="8"/>
      <c r="T322" s="8"/>
      <c r="U322" s="11" t="str">
        <f>HYPERLINK("https://pbs.twimg.com/profile_images/1273753380373004289/crFq1msz.jpg","View")</f>
        <v>View</v>
      </c>
      <c r="V322" s="8"/>
      <c r="W322" s="8"/>
      <c r="X322" s="8"/>
      <c r="Y322" s="8"/>
      <c r="Z322" s="8"/>
    </row>
    <row r="323" spans="1:26" ht="13.2">
      <c r="A323" s="13">
        <v>44250.727083333331</v>
      </c>
      <c r="B323" s="6" t="str">
        <f>HYPERLINK("https://twitter.com/atg_abhishek","@atg_abhishek")</f>
        <v>@atg_abhishek</v>
      </c>
      <c r="C323" s="14" t="s">
        <v>1641</v>
      </c>
      <c r="D323" s="14" t="s">
        <v>1642</v>
      </c>
      <c r="E323" s="6" t="str">
        <f>HYPERLINK("https://twitter.com/atg_abhishek/status/1364250415206969350","1364250415206969350")</f>
        <v>1364250415206969350</v>
      </c>
      <c r="F323" s="7" t="s">
        <v>1643</v>
      </c>
      <c r="G323" s="8"/>
      <c r="H323" s="8"/>
      <c r="I323" s="14">
        <v>1</v>
      </c>
      <c r="J323" s="14">
        <v>3</v>
      </c>
      <c r="K323" s="6" t="str">
        <f>HYPERLINK("https://typefully.app/","Typefully")</f>
        <v>Typefully</v>
      </c>
      <c r="L323" s="15">
        <v>3096</v>
      </c>
      <c r="M323" s="15">
        <v>4928</v>
      </c>
      <c r="N323" s="15">
        <v>90</v>
      </c>
      <c r="O323" s="9"/>
      <c r="P323" s="10">
        <v>41224.12228009259</v>
      </c>
      <c r="Q323" s="14" t="s">
        <v>1644</v>
      </c>
      <c r="R323" s="14" t="s">
        <v>1645</v>
      </c>
      <c r="S323" s="7" t="s">
        <v>1646</v>
      </c>
      <c r="T323" s="8"/>
      <c r="U323" s="11" t="str">
        <f>HYPERLINK("https://pbs.twimg.com/profile_images/378800000863739374/zl9PeSPl.jpeg","View")</f>
        <v>View</v>
      </c>
      <c r="V323" s="8"/>
      <c r="W323" s="8"/>
      <c r="X323" s="8"/>
      <c r="Y323" s="8"/>
      <c r="Z323" s="8"/>
    </row>
    <row r="324" spans="1:26" ht="13.2">
      <c r="A324" s="13">
        <v>44250.726863425924</v>
      </c>
      <c r="B324" s="6" t="str">
        <f>HYPERLINK("https://twitter.com/Serchs3D","@Serchs3D")</f>
        <v>@Serchs3D</v>
      </c>
      <c r="C324" s="14" t="s">
        <v>1488</v>
      </c>
      <c r="D324" s="14" t="s">
        <v>1647</v>
      </c>
      <c r="E324" s="6" t="str">
        <f>HYPERLINK("https://twitter.com/Serchs3D/status/1364250336958021632","1364250336958021632")</f>
        <v>1364250336958021632</v>
      </c>
      <c r="F324" s="7" t="s">
        <v>1648</v>
      </c>
      <c r="G324" s="7" t="s">
        <v>1649</v>
      </c>
      <c r="H324" s="8"/>
      <c r="I324" s="14">
        <v>0</v>
      </c>
      <c r="J324" s="14">
        <v>0</v>
      </c>
      <c r="K324" s="6" t="str">
        <f>HYPERLINK("http://twitter.com/download/android","Twitter for Android")</f>
        <v>Twitter for Android</v>
      </c>
      <c r="L324" s="15">
        <v>532</v>
      </c>
      <c r="M324" s="15">
        <v>991</v>
      </c>
      <c r="N324" s="15">
        <v>1</v>
      </c>
      <c r="O324" s="9"/>
      <c r="P324" s="10">
        <v>42412.792615740742</v>
      </c>
      <c r="Q324" s="14" t="s">
        <v>1492</v>
      </c>
      <c r="R324" s="14" t="s">
        <v>1493</v>
      </c>
      <c r="S324" s="8"/>
      <c r="T324" s="8"/>
      <c r="U324" s="11" t="str">
        <f>HYPERLINK("https://pbs.twimg.com/profile_images/1339315699395792901/CiCPqd8t.jpg","View")</f>
        <v>View</v>
      </c>
      <c r="V324" s="8"/>
      <c r="W324" s="8"/>
      <c r="X324" s="8"/>
      <c r="Y324" s="8"/>
      <c r="Z324" s="8"/>
    </row>
    <row r="325" spans="1:26" ht="13.2">
      <c r="A325" s="13">
        <v>44250.726655092592</v>
      </c>
      <c r="B325" s="6" t="str">
        <f>HYPERLINK("https://twitter.com/rathiankit","@rathiankit")</f>
        <v>@rathiankit</v>
      </c>
      <c r="C325" s="14" t="s">
        <v>1650</v>
      </c>
      <c r="D325" s="14" t="s">
        <v>1651</v>
      </c>
      <c r="E325" s="6" t="str">
        <f>HYPERLINK("https://twitter.com/rathiankit/status/1364250262223872000","1364250262223872000")</f>
        <v>1364250262223872000</v>
      </c>
      <c r="F325" s="7" t="s">
        <v>1652</v>
      </c>
      <c r="G325" s="8"/>
      <c r="H325" s="8"/>
      <c r="I325" s="14">
        <v>0</v>
      </c>
      <c r="J325" s="14">
        <v>1</v>
      </c>
      <c r="K325" s="6" t="str">
        <f>HYPERLINK("http://www.linkedin.com/","LinkedIn")</f>
        <v>LinkedIn</v>
      </c>
      <c r="L325" s="15">
        <v>554</v>
      </c>
      <c r="M325" s="15">
        <v>552</v>
      </c>
      <c r="N325" s="15">
        <v>13</v>
      </c>
      <c r="O325" s="9"/>
      <c r="P325" s="10">
        <v>40096.729085648149</v>
      </c>
      <c r="Q325" s="14" t="s">
        <v>1653</v>
      </c>
      <c r="R325" s="14" t="s">
        <v>1654</v>
      </c>
      <c r="S325" s="7" t="s">
        <v>1655</v>
      </c>
      <c r="T325" s="8"/>
      <c r="U325" s="11" t="str">
        <f>HYPERLINK("https://pbs.twimg.com/profile_images/1023246398572122118/1iaiuGDu.jpg","View")</f>
        <v>View</v>
      </c>
      <c r="V325" s="8"/>
      <c r="W325" s="8"/>
      <c r="X325" s="8"/>
      <c r="Y325" s="8"/>
      <c r="Z325" s="8"/>
    </row>
    <row r="326" spans="1:26" ht="13.2">
      <c r="A326" s="13">
        <v>44250.725960648153</v>
      </c>
      <c r="B326" s="6" t="str">
        <f>HYPERLINK("https://twitter.com/Bitvore","@Bitvore")</f>
        <v>@Bitvore</v>
      </c>
      <c r="C326" s="14" t="s">
        <v>1656</v>
      </c>
      <c r="D326" s="14" t="s">
        <v>1657</v>
      </c>
      <c r="E326" s="6" t="str">
        <f>HYPERLINK("https://twitter.com/Bitvore/status/1364250009647120385","1364250009647120385")</f>
        <v>1364250009647120385</v>
      </c>
      <c r="F326" s="7" t="s">
        <v>1364</v>
      </c>
      <c r="G326" s="8"/>
      <c r="H326" s="8"/>
      <c r="I326" s="14">
        <v>2</v>
      </c>
      <c r="J326" s="14">
        <v>2</v>
      </c>
      <c r="K326" s="6" t="str">
        <f>HYPERLINK("http://www.hubspot.com/","HubSpot")</f>
        <v>HubSpot</v>
      </c>
      <c r="L326" s="15">
        <v>1006</v>
      </c>
      <c r="M326" s="15">
        <v>1268</v>
      </c>
      <c r="N326" s="15">
        <v>41</v>
      </c>
      <c r="O326" s="9"/>
      <c r="P326" s="10">
        <v>41318.86246527778</v>
      </c>
      <c r="Q326" s="14" t="s">
        <v>1658</v>
      </c>
      <c r="R326" s="14" t="s">
        <v>1659</v>
      </c>
      <c r="S326" s="7" t="s">
        <v>1660</v>
      </c>
      <c r="T326" s="8"/>
      <c r="U326" s="11" t="str">
        <f>HYPERLINK("https://pbs.twimg.com/profile_images/1013931537774010368/TaNO0SsL.jpg","View")</f>
        <v>View</v>
      </c>
      <c r="V326" s="8"/>
      <c r="W326" s="8"/>
      <c r="X326" s="8"/>
      <c r="Y326" s="8"/>
      <c r="Z326" s="8"/>
    </row>
    <row r="327" spans="1:26" ht="13.2">
      <c r="A327" s="13">
        <v>44250.725937499999</v>
      </c>
      <c r="B327" s="6" t="str">
        <f>HYPERLINK("https://twitter.com/godatpro","@godatpro")</f>
        <v>@godatpro</v>
      </c>
      <c r="C327" s="14" t="s">
        <v>1661</v>
      </c>
      <c r="D327" s="14" t="s">
        <v>1662</v>
      </c>
      <c r="E327" s="6" t="str">
        <f>HYPERLINK("https://twitter.com/godatpro/status/1364249999526289415","1364249999526289415")</f>
        <v>1364249999526289415</v>
      </c>
      <c r="F327" s="8"/>
      <c r="G327" s="7" t="s">
        <v>1663</v>
      </c>
      <c r="H327" s="8"/>
      <c r="I327" s="14">
        <v>1</v>
      </c>
      <c r="J327" s="14">
        <v>1</v>
      </c>
      <c r="K327" s="6" t="str">
        <f t="shared" ref="K327:K329" si="46">HYPERLINK("https://mobile.twitter.com","Twitter Web App")</f>
        <v>Twitter Web App</v>
      </c>
      <c r="L327" s="15">
        <v>5</v>
      </c>
      <c r="M327" s="15">
        <v>41</v>
      </c>
      <c r="N327" s="15">
        <v>0</v>
      </c>
      <c r="O327" s="9"/>
      <c r="P327" s="10">
        <v>44130.8746412037</v>
      </c>
      <c r="Q327" s="14" t="s">
        <v>1664</v>
      </c>
      <c r="R327" s="14" t="s">
        <v>1665</v>
      </c>
      <c r="S327" s="7" t="s">
        <v>1666</v>
      </c>
      <c r="T327" s="8"/>
      <c r="U327" s="11" t="str">
        <f>HYPERLINK("https://pbs.twimg.com/profile_images/1349274605819731968/Hx6HDKOL.jpg","View")</f>
        <v>View</v>
      </c>
      <c r="V327" s="8"/>
      <c r="W327" s="8"/>
      <c r="X327" s="8"/>
      <c r="Y327" s="8"/>
      <c r="Z327" s="8"/>
    </row>
    <row r="328" spans="1:26" ht="13.2">
      <c r="A328" s="13">
        <v>44250.725324074076</v>
      </c>
      <c r="B328" s="6" t="str">
        <f>HYPERLINK("https://twitter.com/KirkDBorne","@KirkDBorne")</f>
        <v>@KirkDBorne</v>
      </c>
      <c r="C328" s="14" t="s">
        <v>127</v>
      </c>
      <c r="D328" s="14" t="s">
        <v>1667</v>
      </c>
      <c r="E328" s="6" t="str">
        <f>HYPERLINK("https://twitter.com/KirkDBorne/status/1364249781040783364","1364249781040783364")</f>
        <v>1364249781040783364</v>
      </c>
      <c r="F328" s="7" t="s">
        <v>1668</v>
      </c>
      <c r="G328" s="7" t="s">
        <v>1669</v>
      </c>
      <c r="H328" s="8"/>
      <c r="I328" s="14">
        <v>0</v>
      </c>
      <c r="J328" s="14">
        <v>2</v>
      </c>
      <c r="K328" s="6" t="str">
        <f t="shared" si="46"/>
        <v>Twitter Web App</v>
      </c>
      <c r="L328" s="15">
        <v>273892</v>
      </c>
      <c r="M328" s="15">
        <v>8969</v>
      </c>
      <c r="N328" s="15">
        <v>8299</v>
      </c>
      <c r="O328" s="15" t="s">
        <v>130</v>
      </c>
      <c r="P328" s="10">
        <v>40991.732835648145</v>
      </c>
      <c r="Q328" s="14" t="s">
        <v>131</v>
      </c>
      <c r="R328" s="14" t="s">
        <v>132</v>
      </c>
      <c r="S328" s="7" t="s">
        <v>133</v>
      </c>
      <c r="T328" s="8"/>
      <c r="U328" s="11" t="str">
        <f>HYPERLINK("https://pbs.twimg.com/profile_images/1112733580948635648/s-8d1avb.jpg","View")</f>
        <v>View</v>
      </c>
      <c r="V328" s="8"/>
      <c r="W328" s="8"/>
      <c r="X328" s="8"/>
      <c r="Y328" s="8"/>
      <c r="Z328" s="8"/>
    </row>
    <row r="329" spans="1:26" ht="13.2">
      <c r="A329" s="13">
        <v>44250.724722222221</v>
      </c>
      <c r="B329" s="6" t="str">
        <f>HYPERLINK("https://twitter.com/ItaiYaffe","@ItaiYaffe")</f>
        <v>@ItaiYaffe</v>
      </c>
      <c r="C329" s="14" t="s">
        <v>1670</v>
      </c>
      <c r="D329" s="14" t="s">
        <v>1671</v>
      </c>
      <c r="E329" s="6" t="str">
        <f>HYPERLINK("https://twitter.com/ItaiYaffe/status/1364249558973374465","1364249558973374465")</f>
        <v>1364249558973374465</v>
      </c>
      <c r="F329" s="7" t="s">
        <v>1672</v>
      </c>
      <c r="G329" s="7" t="s">
        <v>1673</v>
      </c>
      <c r="H329" s="8"/>
      <c r="I329" s="14">
        <v>1</v>
      </c>
      <c r="J329" s="14">
        <v>2</v>
      </c>
      <c r="K329" s="6" t="str">
        <f t="shared" si="46"/>
        <v>Twitter Web App</v>
      </c>
      <c r="L329" s="15">
        <v>478</v>
      </c>
      <c r="M329" s="15">
        <v>1222</v>
      </c>
      <c r="N329" s="15">
        <v>7</v>
      </c>
      <c r="O329" s="9"/>
      <c r="P329" s="10">
        <v>43592.502754629633</v>
      </c>
      <c r="Q329" s="8"/>
      <c r="R329" s="14" t="s">
        <v>1674</v>
      </c>
      <c r="S329" s="7" t="s">
        <v>1675</v>
      </c>
      <c r="T329" s="8"/>
      <c r="U329" s="11" t="str">
        <f>HYPERLINK("https://pbs.twimg.com/profile_images/1214283418860687360/wHJqT1EK.jpg","View")</f>
        <v>View</v>
      </c>
      <c r="V329" s="8"/>
      <c r="W329" s="8"/>
      <c r="X329" s="8"/>
      <c r="Y329" s="8"/>
      <c r="Z329" s="8"/>
    </row>
    <row r="330" spans="1:26" ht="13.2">
      <c r="A330" s="13">
        <v>44250.724155092597</v>
      </c>
      <c r="B330" s="6" t="str">
        <f>HYPERLINK("https://twitter.com/vfcarida","@vfcarida")</f>
        <v>@vfcarida</v>
      </c>
      <c r="C330" s="14" t="s">
        <v>1676</v>
      </c>
      <c r="D330" s="14" t="s">
        <v>1677</v>
      </c>
      <c r="E330" s="6" t="str">
        <f>HYPERLINK("https://twitter.com/vfcarida/status/1364249357436993536","1364249357436993536")</f>
        <v>1364249357436993536</v>
      </c>
      <c r="F330" s="7" t="s">
        <v>1678</v>
      </c>
      <c r="G330" s="7" t="s">
        <v>1679</v>
      </c>
      <c r="H330" s="8"/>
      <c r="I330" s="14">
        <v>0</v>
      </c>
      <c r="J330" s="14">
        <v>3</v>
      </c>
      <c r="K330" s="6" t="str">
        <f t="shared" ref="K330:K331" si="47">HYPERLINK("http://twitter.com/download/android","Twitter for Android")</f>
        <v>Twitter for Android</v>
      </c>
      <c r="L330" s="15">
        <v>257</v>
      </c>
      <c r="M330" s="15">
        <v>163</v>
      </c>
      <c r="N330" s="15">
        <v>7</v>
      </c>
      <c r="O330" s="9"/>
      <c r="P330" s="10">
        <v>39998.766921296294</v>
      </c>
      <c r="Q330" s="8"/>
      <c r="R330" s="14" t="s">
        <v>1680</v>
      </c>
      <c r="S330" s="7" t="s">
        <v>1681</v>
      </c>
      <c r="T330" s="8"/>
      <c r="U330" s="11" t="str">
        <f>HYPERLINK("https://pbs.twimg.com/profile_images/1184264342801453056/hbzDV8ze.jpg","View")</f>
        <v>View</v>
      </c>
      <c r="V330" s="8"/>
      <c r="W330" s="8"/>
      <c r="X330" s="8"/>
      <c r="Y330" s="8"/>
      <c r="Z330" s="8"/>
    </row>
    <row r="331" spans="1:26" ht="13.2">
      <c r="A331" s="13">
        <v>44250.723807870367</v>
      </c>
      <c r="B331" s="6" t="str">
        <f>HYPERLINK("https://twitter.com/Ifatticapitali","@Ifatticapitali")</f>
        <v>@Ifatticapitali</v>
      </c>
      <c r="C331" s="14" t="s">
        <v>1682</v>
      </c>
      <c r="D331" s="14" t="s">
        <v>1683</v>
      </c>
      <c r="E331" s="6" t="str">
        <f>HYPERLINK("https://twitter.com/Ifatticapitali/status/1364249228743241734","1364249228743241734")</f>
        <v>1364249228743241734</v>
      </c>
      <c r="F331" s="7" t="s">
        <v>1684</v>
      </c>
      <c r="G331" s="8"/>
      <c r="H331" s="8"/>
      <c r="I331" s="14">
        <v>6</v>
      </c>
      <c r="J331" s="14">
        <v>2</v>
      </c>
      <c r="K331" s="6" t="str">
        <f t="shared" si="47"/>
        <v>Twitter for Android</v>
      </c>
      <c r="L331" s="15">
        <v>2616</v>
      </c>
      <c r="M331" s="15">
        <v>1415</v>
      </c>
      <c r="N331" s="15">
        <v>12</v>
      </c>
      <c r="O331" s="9"/>
      <c r="P331" s="10">
        <v>43368.68586805556</v>
      </c>
      <c r="Q331" s="14" t="s">
        <v>1685</v>
      </c>
      <c r="R331" s="14" t="s">
        <v>1686</v>
      </c>
      <c r="S331" s="7" t="s">
        <v>1687</v>
      </c>
      <c r="T331" s="8"/>
      <c r="U331" s="11" t="str">
        <f>HYPERLINK("https://pbs.twimg.com/profile_images/1143858853878145026/ANPrd7XZ.png","View")</f>
        <v>View</v>
      </c>
      <c r="V331" s="8"/>
      <c r="W331" s="8"/>
      <c r="X331" s="8"/>
      <c r="Y331" s="8"/>
      <c r="Z331" s="8"/>
    </row>
    <row r="332" spans="1:26" ht="13.2">
      <c r="A332" s="13">
        <v>44250.723113425927</v>
      </c>
      <c r="B332" s="6" t="str">
        <f>HYPERLINK("https://twitter.com/PQminds","@PQminds")</f>
        <v>@PQminds</v>
      </c>
      <c r="C332" s="14" t="s">
        <v>1688</v>
      </c>
      <c r="D332" s="14" t="s">
        <v>1689</v>
      </c>
      <c r="E332" s="6" t="str">
        <f>HYPERLINK("https://twitter.com/PQminds/status/1364248979471392769","1364248979471392769")</f>
        <v>1364248979471392769</v>
      </c>
      <c r="F332" s="7" t="s">
        <v>1690</v>
      </c>
      <c r="G332" s="8"/>
      <c r="H332" s="8"/>
      <c r="I332" s="14">
        <v>1</v>
      </c>
      <c r="J332" s="14">
        <v>2</v>
      </c>
      <c r="K332" s="6" t="str">
        <f>HYPERLINK("https://mobile.twitter.com","Twitter Web App")</f>
        <v>Twitter Web App</v>
      </c>
      <c r="L332" s="15">
        <v>114</v>
      </c>
      <c r="M332" s="15">
        <v>53</v>
      </c>
      <c r="N332" s="15">
        <v>10</v>
      </c>
      <c r="O332" s="9"/>
      <c r="P332" s="10">
        <v>41852.737442129626</v>
      </c>
      <c r="Q332" s="14" t="s">
        <v>1691</v>
      </c>
      <c r="R332" s="14" t="s">
        <v>1692</v>
      </c>
      <c r="S332" s="7" t="s">
        <v>1693</v>
      </c>
      <c r="T332" s="8"/>
      <c r="U332" s="11" t="str">
        <f>HYPERLINK("https://pbs.twimg.com/profile_images/1268500836679852033/ceBNwt-I.jpg","View")</f>
        <v>View</v>
      </c>
      <c r="V332" s="8"/>
      <c r="W332" s="8"/>
      <c r="X332" s="8"/>
      <c r="Y332" s="8"/>
      <c r="Z332" s="8"/>
    </row>
    <row r="333" spans="1:26" ht="13.2">
      <c r="A333" s="13">
        <v>44250.722337962958</v>
      </c>
      <c r="B333" s="6" t="str">
        <f>HYPERLINK("https://twitter.com/NellisterC","@NellisterC")</f>
        <v>@NellisterC</v>
      </c>
      <c r="C333" s="14" t="s">
        <v>1694</v>
      </c>
      <c r="D333" s="14" t="s">
        <v>1695</v>
      </c>
      <c r="E333" s="6" t="str">
        <f>HYPERLINK("https://twitter.com/NellisterC/status/1364248697924648966","1364248697924648966")</f>
        <v>1364248697924648966</v>
      </c>
      <c r="F333" s="14" t="s">
        <v>1696</v>
      </c>
      <c r="G333" s="8"/>
      <c r="H333" s="8"/>
      <c r="I333" s="14">
        <v>0</v>
      </c>
      <c r="J333" s="14">
        <v>0</v>
      </c>
      <c r="K333" s="6" t="str">
        <f>HYPERLINK("http://twinybots.com","TwinyBots")</f>
        <v>TwinyBots</v>
      </c>
      <c r="L333" s="15">
        <v>198</v>
      </c>
      <c r="M333" s="15">
        <v>560</v>
      </c>
      <c r="N333" s="15">
        <v>10</v>
      </c>
      <c r="O333" s="9"/>
      <c r="P333" s="10">
        <v>43599.954525462963</v>
      </c>
      <c r="Q333" s="8"/>
      <c r="R333" s="8"/>
      <c r="S333" s="8"/>
      <c r="T333" s="8"/>
      <c r="U333" s="11" t="str">
        <f>HYPERLINK("https://pbs.twimg.com/profile_images/1203805530122313728/6wZUGRfP.jpg","View")</f>
        <v>View</v>
      </c>
      <c r="V333" s="8"/>
      <c r="W333" s="8"/>
      <c r="X333" s="8"/>
      <c r="Y333" s="8"/>
      <c r="Z333" s="8"/>
    </row>
    <row r="334" spans="1:26" ht="13.2">
      <c r="A334" s="13">
        <v>44250.722268518519</v>
      </c>
      <c r="B334" s="6" t="str">
        <f>HYPERLINK("https://twitter.com/subhanster","@subhanster")</f>
        <v>@subhanster</v>
      </c>
      <c r="C334" s="14" t="s">
        <v>1424</v>
      </c>
      <c r="D334" s="14" t="s">
        <v>1697</v>
      </c>
      <c r="E334" s="6" t="str">
        <f>HYPERLINK("https://twitter.com/subhanster/status/1364248670158266368","1364248670158266368")</f>
        <v>1364248670158266368</v>
      </c>
      <c r="F334" s="7" t="s">
        <v>1698</v>
      </c>
      <c r="G334" s="8"/>
      <c r="H334" s="8"/>
      <c r="I334" s="14">
        <v>3</v>
      </c>
      <c r="J334" s="14">
        <v>0</v>
      </c>
      <c r="K334" s="6" t="str">
        <f>HYPERLINK("http://dynamicsignal.com/","Dynamic Signal")</f>
        <v>Dynamic Signal</v>
      </c>
      <c r="L334" s="15">
        <v>407</v>
      </c>
      <c r="M334" s="15">
        <v>984</v>
      </c>
      <c r="N334" s="15">
        <v>2</v>
      </c>
      <c r="O334" s="9"/>
      <c r="P334" s="10">
        <v>40832.130150462966</v>
      </c>
      <c r="Q334" s="14" t="s">
        <v>81</v>
      </c>
      <c r="R334" s="14" t="s">
        <v>1428</v>
      </c>
      <c r="S334" s="7" t="s">
        <v>1429</v>
      </c>
      <c r="T334" s="8"/>
      <c r="U334" s="11" t="str">
        <f>HYPERLINK("https://pbs.twimg.com/profile_images/1179556231192514560/YigBs8wm.jpg","View")</f>
        <v>View</v>
      </c>
      <c r="V334" s="8"/>
      <c r="W334" s="8"/>
      <c r="X334" s="8"/>
      <c r="Y334" s="8"/>
      <c r="Z334" s="8"/>
    </row>
    <row r="335" spans="1:26" ht="13.2">
      <c r="A335" s="13">
        <v>44250.721712962964</v>
      </c>
      <c r="B335" s="6" t="str">
        <f>HYPERLINK("https://twitter.com/manifexto","@manifexto")</f>
        <v>@manifexto</v>
      </c>
      <c r="C335" s="14" t="s">
        <v>1699</v>
      </c>
      <c r="D335" s="14" t="s">
        <v>1700</v>
      </c>
      <c r="E335" s="6" t="str">
        <f>HYPERLINK("https://twitter.com/manifexto/status/1364248470014599169","1364248470014599169")</f>
        <v>1364248470014599169</v>
      </c>
      <c r="F335" s="14" t="s">
        <v>1701</v>
      </c>
      <c r="G335" s="7" t="s">
        <v>1702</v>
      </c>
      <c r="H335" s="8"/>
      <c r="I335" s="14">
        <v>0</v>
      </c>
      <c r="J335" s="14">
        <v>1</v>
      </c>
      <c r="K335" s="6" t="str">
        <f>HYPERLINK("http://twitter.com/download/iphone","Twitter for iPhone")</f>
        <v>Twitter for iPhone</v>
      </c>
      <c r="L335" s="15">
        <v>697</v>
      </c>
      <c r="M335" s="15">
        <v>105</v>
      </c>
      <c r="N335" s="15">
        <v>9</v>
      </c>
      <c r="O335" s="9"/>
      <c r="P335" s="10">
        <v>42098.471805555557</v>
      </c>
      <c r="Q335" s="14" t="s">
        <v>1703</v>
      </c>
      <c r="R335" s="14" t="s">
        <v>1704</v>
      </c>
      <c r="S335" s="7" t="s">
        <v>1705</v>
      </c>
      <c r="T335" s="8"/>
      <c r="U335" s="11" t="str">
        <f>HYPERLINK("https://pbs.twimg.com/profile_images/922915644969975809/c9V3HUma.jpg","View")</f>
        <v>View</v>
      </c>
      <c r="V335" s="8"/>
      <c r="W335" s="8"/>
      <c r="X335" s="8"/>
      <c r="Y335" s="8"/>
      <c r="Z335" s="8"/>
    </row>
    <row r="336" spans="1:26" ht="13.2">
      <c r="A336" s="13">
        <v>44250.720891203702</v>
      </c>
      <c r="B336" s="6" t="str">
        <f>HYPERLINK("https://twitter.com/FrRonconi","@FrRonconi")</f>
        <v>@FrRonconi</v>
      </c>
      <c r="C336" s="14" t="s">
        <v>1513</v>
      </c>
      <c r="D336" s="14" t="s">
        <v>1706</v>
      </c>
      <c r="E336" s="6" t="str">
        <f>HYPERLINK("https://twitter.com/FrRonconi/status/1364248174462984194","1364248174462984194")</f>
        <v>1364248174462984194</v>
      </c>
      <c r="F336" s="8"/>
      <c r="G336" s="7" t="s">
        <v>1707</v>
      </c>
      <c r="H336" s="8"/>
      <c r="I336" s="14">
        <v>2</v>
      </c>
      <c r="J336" s="14">
        <v>5</v>
      </c>
      <c r="K336" s="6" t="str">
        <f>HYPERLINK("https://mobile.twitter.com","Twitter Web App")</f>
        <v>Twitter Web App</v>
      </c>
      <c r="L336" s="15">
        <v>27982</v>
      </c>
      <c r="M336" s="15">
        <v>2430</v>
      </c>
      <c r="N336" s="15">
        <v>712</v>
      </c>
      <c r="O336" s="9"/>
      <c r="P336" s="10">
        <v>41401.436574074076</v>
      </c>
      <c r="Q336" s="14" t="s">
        <v>1516</v>
      </c>
      <c r="R336" s="14" t="s">
        <v>1517</v>
      </c>
      <c r="S336" s="7" t="s">
        <v>1518</v>
      </c>
      <c r="T336" s="8"/>
      <c r="U336" s="11" t="str">
        <f>HYPERLINK("https://pbs.twimg.com/profile_images/1271860204775276547/JPkzj0EM.jpg","View")</f>
        <v>View</v>
      </c>
      <c r="V336" s="8"/>
      <c r="W336" s="8"/>
      <c r="X336" s="8"/>
      <c r="Y336" s="8"/>
      <c r="Z336" s="8"/>
    </row>
    <row r="337" spans="1:26" ht="13.2">
      <c r="A337" s="13">
        <v>44250.720856481479</v>
      </c>
      <c r="B337" s="6" t="str">
        <f>HYPERLINK("https://twitter.com/TechBusinessG","@TechBusinessG")</f>
        <v>@TechBusinessG</v>
      </c>
      <c r="C337" s="14" t="s">
        <v>1708</v>
      </c>
      <c r="D337" s="14" t="s">
        <v>1709</v>
      </c>
      <c r="E337" s="6" t="str">
        <f>HYPERLINK("https://twitter.com/TechBusinessG/status/1364248158998589440","1364248158998589440")</f>
        <v>1364248158998589440</v>
      </c>
      <c r="F337" s="7" t="s">
        <v>1710</v>
      </c>
      <c r="G337" s="7" t="s">
        <v>1711</v>
      </c>
      <c r="H337" s="8"/>
      <c r="I337" s="14">
        <v>3</v>
      </c>
      <c r="J337" s="14">
        <v>2</v>
      </c>
      <c r="K337" s="6" t="str">
        <f>HYPERLINK("https://buffer.com","Buffer")</f>
        <v>Buffer</v>
      </c>
      <c r="L337" s="15">
        <v>1871</v>
      </c>
      <c r="M337" s="15">
        <v>2137</v>
      </c>
      <c r="N337" s="15">
        <v>14</v>
      </c>
      <c r="O337" s="9"/>
      <c r="P337" s="10">
        <v>43609.736863425926</v>
      </c>
      <c r="Q337" s="8"/>
      <c r="R337" s="14" t="s">
        <v>1712</v>
      </c>
      <c r="S337" s="7" t="s">
        <v>1713</v>
      </c>
      <c r="T337" s="8"/>
      <c r="U337" s="11" t="str">
        <f>HYPERLINK("https://pbs.twimg.com/profile_images/1131948369591582720/vMtIZagw.png","View")</f>
        <v>View</v>
      </c>
      <c r="V337" s="8"/>
      <c r="W337" s="8"/>
      <c r="X337" s="8"/>
      <c r="Y337" s="8"/>
      <c r="Z337" s="8"/>
    </row>
    <row r="338" spans="1:26" ht="13.2">
      <c r="A338" s="13">
        <v>44250.720046296294</v>
      </c>
      <c r="B338" s="6" t="str">
        <f>HYPERLINK("https://twitter.com/nanoHUBnews","@nanoHUBnews")</f>
        <v>@nanoHUBnews</v>
      </c>
      <c r="C338" s="14" t="s">
        <v>1714</v>
      </c>
      <c r="D338" s="14" t="s">
        <v>1715</v>
      </c>
      <c r="E338" s="6" t="str">
        <f>HYPERLINK("https://twitter.com/nanoHUBnews/status/1364247864499728384","1364247864499728384")</f>
        <v>1364247864499728384</v>
      </c>
      <c r="F338" s="7" t="s">
        <v>1716</v>
      </c>
      <c r="G338" s="7" t="s">
        <v>1717</v>
      </c>
      <c r="H338" s="8"/>
      <c r="I338" s="14">
        <v>3</v>
      </c>
      <c r="J338" s="14">
        <v>5</v>
      </c>
      <c r="K338" s="6" t="str">
        <f>HYPERLINK("http://www.salesforce.com","Salesforce - Social Studio")</f>
        <v>Salesforce - Social Studio</v>
      </c>
      <c r="L338" s="15">
        <v>3066</v>
      </c>
      <c r="M338" s="15">
        <v>1206</v>
      </c>
      <c r="N338" s="15">
        <v>96</v>
      </c>
      <c r="O338" s="9"/>
      <c r="P338" s="10">
        <v>41298.922418981485</v>
      </c>
      <c r="Q338" s="8"/>
      <c r="R338" s="14" t="s">
        <v>1718</v>
      </c>
      <c r="S338" s="7" t="s">
        <v>1719</v>
      </c>
      <c r="T338" s="8"/>
      <c r="U338" s="11" t="str">
        <f>HYPERLINK("https://pbs.twimg.com/profile_images/583354778308218881/xr4uC3de.png","View")</f>
        <v>View</v>
      </c>
      <c r="V338" s="8"/>
      <c r="W338" s="8"/>
      <c r="X338" s="8"/>
      <c r="Y338" s="8"/>
      <c r="Z338" s="8"/>
    </row>
    <row r="339" spans="1:26" ht="13.2">
      <c r="A339" s="13">
        <v>44250.71980324074</v>
      </c>
      <c r="B339" s="6" t="str">
        <f>HYPERLINK("https://twitter.com/ANoorTM","@ANoorTM")</f>
        <v>@ANoorTM</v>
      </c>
      <c r="C339" s="14" t="s">
        <v>1720</v>
      </c>
      <c r="D339" s="14" t="s">
        <v>1721</v>
      </c>
      <c r="E339" s="6" t="str">
        <f>HYPERLINK("https://twitter.com/ANoorTM/status/1364247778914828297","1364247778914828297")</f>
        <v>1364247778914828297</v>
      </c>
      <c r="F339" s="8"/>
      <c r="G339" s="8"/>
      <c r="H339" s="8"/>
      <c r="I339" s="14">
        <v>13</v>
      </c>
      <c r="J339" s="14">
        <v>6</v>
      </c>
      <c r="K339" s="6" t="str">
        <f>HYPERLINK("https://mobile.twitter.com","Twitter Web App")</f>
        <v>Twitter Web App</v>
      </c>
      <c r="L339" s="15">
        <v>115</v>
      </c>
      <c r="M339" s="15">
        <v>396</v>
      </c>
      <c r="N339" s="15">
        <v>0</v>
      </c>
      <c r="O339" s="9"/>
      <c r="P339" s="10">
        <v>41609.607916666668</v>
      </c>
      <c r="Q339" s="14" t="s">
        <v>1722</v>
      </c>
      <c r="R339" s="14" t="s">
        <v>1723</v>
      </c>
      <c r="S339" s="7" t="s">
        <v>1724</v>
      </c>
      <c r="T339" s="8"/>
      <c r="U339" s="11" t="str">
        <f>HYPERLINK("https://pbs.twimg.com/profile_images/1360847327636955136/AMGDy86d.jpg","View")</f>
        <v>View</v>
      </c>
      <c r="V339" s="8"/>
      <c r="W339" s="8"/>
      <c r="X339" s="8"/>
      <c r="Y339" s="8"/>
      <c r="Z339" s="8"/>
    </row>
    <row r="340" spans="1:26" ht="13.2">
      <c r="A340" s="13">
        <v>44250.719560185185</v>
      </c>
      <c r="B340" s="6" t="str">
        <f>HYPERLINK("https://twitter.com/Techfuturenew","@Techfuturenew")</f>
        <v>@Techfuturenew</v>
      </c>
      <c r="C340" s="14" t="s">
        <v>1725</v>
      </c>
      <c r="D340" s="14" t="s">
        <v>1726</v>
      </c>
      <c r="E340" s="6" t="str">
        <f>HYPERLINK("https://twitter.com/Techfuturenew/status/1364247690746474498","1364247690746474498")</f>
        <v>1364247690746474498</v>
      </c>
      <c r="F340" s="14" t="s">
        <v>1313</v>
      </c>
      <c r="G340" s="8"/>
      <c r="H340" s="8"/>
      <c r="I340" s="14">
        <v>0</v>
      </c>
      <c r="J340" s="14">
        <v>0</v>
      </c>
      <c r="K340" s="6" t="str">
        <f>HYPERLINK("http://twinybots.com","TwinyBots")</f>
        <v>TwinyBots</v>
      </c>
      <c r="L340" s="15">
        <v>961</v>
      </c>
      <c r="M340" s="15">
        <v>411</v>
      </c>
      <c r="N340" s="15">
        <v>17</v>
      </c>
      <c r="O340" s="9"/>
      <c r="P340" s="10">
        <v>43080.534120370372</v>
      </c>
      <c r="Q340" s="14" t="s">
        <v>322</v>
      </c>
      <c r="R340" s="14" t="s">
        <v>1727</v>
      </c>
      <c r="S340" s="8"/>
      <c r="T340" s="8"/>
      <c r="U340" s="11" t="str">
        <f>HYPERLINK("https://pbs.twimg.com/profile_images/1201246977150922755/lKxY2XSy.jpg","View")</f>
        <v>View</v>
      </c>
      <c r="V340" s="8"/>
      <c r="W340" s="8"/>
      <c r="X340" s="8"/>
      <c r="Y340" s="8"/>
      <c r="Z340" s="8"/>
    </row>
    <row r="341" spans="1:26" ht="13.2">
      <c r="A341" s="13">
        <v>44250.719456018516</v>
      </c>
      <c r="B341" s="6" t="str">
        <f>HYPERLINK("https://twitter.com/future_of_AI","@future_of_AI")</f>
        <v>@future_of_AI</v>
      </c>
      <c r="C341" s="14" t="s">
        <v>284</v>
      </c>
      <c r="D341" s="14" t="s">
        <v>1728</v>
      </c>
      <c r="E341" s="6" t="str">
        <f>HYPERLINK("https://twitter.com/future_of_AI/status/1364247653870108675","1364247653870108675")</f>
        <v>1364247653870108675</v>
      </c>
      <c r="F341" s="7" t="s">
        <v>1729</v>
      </c>
      <c r="G341" s="8"/>
      <c r="H341" s="8"/>
      <c r="I341" s="14">
        <v>0</v>
      </c>
      <c r="J341" s="14">
        <v>0</v>
      </c>
      <c r="K341" s="6" t="str">
        <f>HYPERLINK("https://buffer.com","Buffer")</f>
        <v>Buffer</v>
      </c>
      <c r="L341" s="15">
        <v>2893</v>
      </c>
      <c r="M341" s="15">
        <v>1348</v>
      </c>
      <c r="N341" s="15">
        <v>130</v>
      </c>
      <c r="O341" s="9"/>
      <c r="P341" s="10">
        <v>42816.80840277778</v>
      </c>
      <c r="Q341" s="8"/>
      <c r="R341" s="14" t="s">
        <v>287</v>
      </c>
      <c r="S341" s="7" t="s">
        <v>288</v>
      </c>
      <c r="T341" s="8"/>
      <c r="U341" s="11" t="str">
        <f>HYPERLINK("https://pbs.twimg.com/profile_images/1047866034970140673/ZBhSks16.jpg","View")</f>
        <v>View</v>
      </c>
      <c r="V341" s="8"/>
      <c r="W341" s="8"/>
      <c r="X341" s="8"/>
      <c r="Y341" s="8"/>
      <c r="Z341" s="8"/>
    </row>
    <row r="342" spans="1:26" ht="13.2">
      <c r="A342" s="13">
        <v>44250.719236111108</v>
      </c>
      <c r="B342" s="6" t="str">
        <f>HYPERLINK("https://twitter.com/Eli_Krumova","@Eli_Krumova")</f>
        <v>@Eli_Krumova</v>
      </c>
      <c r="C342" s="14" t="s">
        <v>947</v>
      </c>
      <c r="D342" s="14" t="s">
        <v>1730</v>
      </c>
      <c r="E342" s="6" t="str">
        <f>HYPERLINK("https://twitter.com/Eli_Krumova/status/1364247570990706692","1364247570990706692")</f>
        <v>1364247570990706692</v>
      </c>
      <c r="F342" s="14" t="s">
        <v>1731</v>
      </c>
      <c r="G342" s="14" t="s">
        <v>1732</v>
      </c>
      <c r="H342" s="8"/>
      <c r="I342" s="14">
        <v>26</v>
      </c>
      <c r="J342" s="14">
        <v>9</v>
      </c>
      <c r="K342" s="6" t="str">
        <f>HYPERLINK("https://mobile.twitter.com","Twitter Web App")</f>
        <v>Twitter Web App</v>
      </c>
      <c r="L342" s="15">
        <v>4471</v>
      </c>
      <c r="M342" s="15">
        <v>5001</v>
      </c>
      <c r="N342" s="15">
        <v>79</v>
      </c>
      <c r="O342" s="9"/>
      <c r="P342" s="10">
        <v>41346.597002314811</v>
      </c>
      <c r="Q342" s="14" t="s">
        <v>951</v>
      </c>
      <c r="R342" s="14" t="s">
        <v>952</v>
      </c>
      <c r="S342" s="8"/>
      <c r="T342" s="8"/>
      <c r="U342" s="11" t="str">
        <f>HYPERLINK("https://pbs.twimg.com/profile_images/1361638888427683840/HqNlplM_.jpg","View")</f>
        <v>View</v>
      </c>
      <c r="V342" s="8"/>
      <c r="W342" s="8"/>
      <c r="X342" s="8"/>
      <c r="Y342" s="8"/>
      <c r="Z342" s="8"/>
    </row>
    <row r="343" spans="1:26" ht="13.2">
      <c r="A343" s="13">
        <v>44250.718958333338</v>
      </c>
      <c r="B343" s="6" t="str">
        <f>HYPERLINK("https://twitter.com/ailab_mtitech","@ailab_mtitech")</f>
        <v>@ailab_mtitech</v>
      </c>
      <c r="C343" s="14" t="s">
        <v>1733</v>
      </c>
      <c r="D343" s="14" t="s">
        <v>1734</v>
      </c>
      <c r="E343" s="6" t="str">
        <f>HYPERLINK("https://twitter.com/ailab_mtitech/status/1364247472348930048","1364247472348930048")</f>
        <v>1364247472348930048</v>
      </c>
      <c r="F343" s="7" t="s">
        <v>1735</v>
      </c>
      <c r="G343" s="8"/>
      <c r="H343" s="8"/>
      <c r="I343" s="14">
        <v>2</v>
      </c>
      <c r="J343" s="14">
        <v>2</v>
      </c>
      <c r="K343" s="6" t="str">
        <f t="shared" ref="K343:K345" si="48">HYPERLINK("http://twitter.com/download/android","Twitter for Android")</f>
        <v>Twitter for Android</v>
      </c>
      <c r="L343" s="15">
        <v>112</v>
      </c>
      <c r="M343" s="15">
        <v>446</v>
      </c>
      <c r="N343" s="15">
        <v>0</v>
      </c>
      <c r="O343" s="9"/>
      <c r="P343" s="10">
        <v>44093.297337962962</v>
      </c>
      <c r="Q343" s="14" t="s">
        <v>1736</v>
      </c>
      <c r="R343" s="14" t="s">
        <v>1737</v>
      </c>
      <c r="S343" s="7" t="s">
        <v>1738</v>
      </c>
      <c r="T343" s="8"/>
      <c r="U343" s="11" t="str">
        <f>HYPERLINK("https://pbs.twimg.com/profile_images/1307186254539182082/Jz3kK0vE.jpg","View")</f>
        <v>View</v>
      </c>
      <c r="V343" s="8"/>
      <c r="W343" s="8"/>
      <c r="X343" s="8"/>
      <c r="Y343" s="8"/>
      <c r="Z343" s="8"/>
    </row>
    <row r="344" spans="1:26" ht="13.2">
      <c r="A344" s="13">
        <v>44250.718900462962</v>
      </c>
      <c r="B344" s="6" t="str">
        <f>HYPERLINK("https://twitter.com/TMSayan","@TMSayan")</f>
        <v>@TMSayan</v>
      </c>
      <c r="C344" s="14" t="s">
        <v>1739</v>
      </c>
      <c r="D344" s="14" t="s">
        <v>1740</v>
      </c>
      <c r="E344" s="6" t="str">
        <f>HYPERLINK("https://twitter.com/TMSayan/status/1364247452199645190","1364247452199645190")</f>
        <v>1364247452199645190</v>
      </c>
      <c r="F344" s="8"/>
      <c r="G344" s="7" t="s">
        <v>1741</v>
      </c>
      <c r="H344" s="8"/>
      <c r="I344" s="14">
        <v>1</v>
      </c>
      <c r="J344" s="14">
        <v>4</v>
      </c>
      <c r="K344" s="6" t="str">
        <f t="shared" si="48"/>
        <v>Twitter for Android</v>
      </c>
      <c r="L344" s="15">
        <v>754</v>
      </c>
      <c r="M344" s="15">
        <v>4977</v>
      </c>
      <c r="N344" s="15">
        <v>8</v>
      </c>
      <c r="O344" s="9"/>
      <c r="P344" s="10">
        <v>40001.241724537038</v>
      </c>
      <c r="Q344" s="14" t="s">
        <v>1742</v>
      </c>
      <c r="R344" s="14" t="s">
        <v>1743</v>
      </c>
      <c r="S344" s="7" t="s">
        <v>1744</v>
      </c>
      <c r="T344" s="8"/>
      <c r="U344" s="11" t="str">
        <f>HYPERLINK("https://pbs.twimg.com/profile_images/487263282470719489/2E0OtC4S.jpeg","View")</f>
        <v>View</v>
      </c>
      <c r="V344" s="8"/>
      <c r="W344" s="8"/>
      <c r="X344" s="8"/>
      <c r="Y344" s="8"/>
      <c r="Z344" s="8"/>
    </row>
    <row r="345" spans="1:26" ht="13.2">
      <c r="A345" s="13">
        <v>44250.718877314815</v>
      </c>
      <c r="B345" s="6" t="str">
        <f>HYPERLINK("https://twitter.com/statsmattersm","@statsmattersm")</f>
        <v>@statsmattersm</v>
      </c>
      <c r="C345" s="14" t="s">
        <v>1745</v>
      </c>
      <c r="D345" s="14" t="s">
        <v>1746</v>
      </c>
      <c r="E345" s="6" t="str">
        <f>HYPERLINK("https://twitter.com/statsmattersm/status/1364247443152363523","1364247443152363523")</f>
        <v>1364247443152363523</v>
      </c>
      <c r="F345" s="7" t="s">
        <v>1747</v>
      </c>
      <c r="G345" s="8"/>
      <c r="H345" s="8"/>
      <c r="I345" s="14">
        <v>0</v>
      </c>
      <c r="J345" s="14">
        <v>2</v>
      </c>
      <c r="K345" s="6" t="str">
        <f t="shared" si="48"/>
        <v>Twitter for Android</v>
      </c>
      <c r="L345" s="15">
        <v>164</v>
      </c>
      <c r="M345" s="15">
        <v>100</v>
      </c>
      <c r="N345" s="15">
        <v>0</v>
      </c>
      <c r="O345" s="9"/>
      <c r="P345" s="10">
        <v>42504.050405092596</v>
      </c>
      <c r="Q345" s="14" t="s">
        <v>364</v>
      </c>
      <c r="R345" s="14" t="s">
        <v>1748</v>
      </c>
      <c r="S345" s="8"/>
      <c r="T345" s="8"/>
      <c r="U345" s="11" t="str">
        <f>HYPERLINK("https://pbs.twimg.com/profile_images/731261257706151936/21yFRg5N.jpg","View")</f>
        <v>View</v>
      </c>
      <c r="V345" s="8"/>
      <c r="W345" s="8"/>
      <c r="X345" s="8"/>
      <c r="Y345" s="8"/>
      <c r="Z345" s="8"/>
    </row>
    <row r="346" spans="1:26" ht="13.2">
      <c r="A346" s="13">
        <v>44250.718877314815</v>
      </c>
      <c r="B346" s="6" t="str">
        <f>HYPERLINK("https://twitter.com/fortressiq","@fortressiq")</f>
        <v>@fortressiq</v>
      </c>
      <c r="C346" s="14" t="s">
        <v>1749</v>
      </c>
      <c r="D346" s="14" t="s">
        <v>1750</v>
      </c>
      <c r="E346" s="6" t="str">
        <f>HYPERLINK("https://twitter.com/fortressiq/status/1364247442196221957","1364247442196221957")</f>
        <v>1364247442196221957</v>
      </c>
      <c r="F346" s="14" t="s">
        <v>1751</v>
      </c>
      <c r="G346" s="8"/>
      <c r="H346" s="8"/>
      <c r="I346" s="14">
        <v>0</v>
      </c>
      <c r="J346" s="14">
        <v>1</v>
      </c>
      <c r="K346" s="6" t="str">
        <f t="shared" ref="K346:K347" si="49">HYPERLINK("https://www.hootsuite.com","Hootsuite Inc.")</f>
        <v>Hootsuite Inc.</v>
      </c>
      <c r="L346" s="15">
        <v>252</v>
      </c>
      <c r="M346" s="15">
        <v>21</v>
      </c>
      <c r="N346" s="15">
        <v>15</v>
      </c>
      <c r="O346" s="9"/>
      <c r="P346" s="10">
        <v>42916.346412037034</v>
      </c>
      <c r="Q346" s="14" t="s">
        <v>390</v>
      </c>
      <c r="R346" s="14" t="s">
        <v>1752</v>
      </c>
      <c r="S346" s="7" t="s">
        <v>1753</v>
      </c>
      <c r="T346" s="8"/>
      <c r="U346" s="11" t="str">
        <f>HYPERLINK("https://pbs.twimg.com/profile_images/1278117540980338689/yoXleXCc.jpg","View")</f>
        <v>View</v>
      </c>
      <c r="V346" s="8"/>
      <c r="W346" s="8"/>
      <c r="X346" s="8"/>
      <c r="Y346" s="8"/>
      <c r="Z346" s="8"/>
    </row>
    <row r="347" spans="1:26" ht="13.2">
      <c r="A347" s="13">
        <v>44250.718854166669</v>
      </c>
      <c r="B347" s="6" t="str">
        <f>HYPERLINK("https://twitter.com/UTHealth_SBMI","@UTHealth_SBMI")</f>
        <v>@UTHealth_SBMI</v>
      </c>
      <c r="C347" s="14" t="s">
        <v>1754</v>
      </c>
      <c r="D347" s="14" t="s">
        <v>1755</v>
      </c>
      <c r="E347" s="6" t="str">
        <f>HYPERLINK("https://twitter.com/UTHealth_SBMI/status/1364247432725467139","1364247432725467139")</f>
        <v>1364247432725467139</v>
      </c>
      <c r="F347" s="7" t="s">
        <v>1756</v>
      </c>
      <c r="G347" s="8"/>
      <c r="H347" s="8"/>
      <c r="I347" s="14">
        <v>0</v>
      </c>
      <c r="J347" s="14">
        <v>1</v>
      </c>
      <c r="K347" s="6" t="str">
        <f t="shared" si="49"/>
        <v>Hootsuite Inc.</v>
      </c>
      <c r="L347" s="15">
        <v>2020</v>
      </c>
      <c r="M347" s="15">
        <v>757</v>
      </c>
      <c r="N347" s="15">
        <v>499</v>
      </c>
      <c r="O347" s="9"/>
      <c r="P347" s="10">
        <v>40395.892129629632</v>
      </c>
      <c r="Q347" s="14" t="s">
        <v>1757</v>
      </c>
      <c r="R347" s="14" t="s">
        <v>1758</v>
      </c>
      <c r="S347" s="7" t="s">
        <v>1759</v>
      </c>
      <c r="T347" s="8"/>
      <c r="U347" s="11" t="str">
        <f>HYPERLINK("https://pbs.twimg.com/profile_images/1052586305480155136/gPeC83x5.jpg","View")</f>
        <v>View</v>
      </c>
      <c r="V347" s="8"/>
      <c r="W347" s="8"/>
      <c r="X347" s="8"/>
      <c r="Y347" s="8"/>
      <c r="Z347" s="8"/>
    </row>
    <row r="348" spans="1:26" ht="13.2">
      <c r="A348" s="13">
        <v>44250.718842592592</v>
      </c>
      <c r="B348" s="6" t="str">
        <f>HYPERLINK("https://twitter.com/RapidMiner","@RapidMiner")</f>
        <v>@RapidMiner</v>
      </c>
      <c r="C348" s="14" t="s">
        <v>1760</v>
      </c>
      <c r="D348" s="14" t="s">
        <v>1761</v>
      </c>
      <c r="E348" s="6" t="str">
        <f>HYPERLINK("https://twitter.com/RapidMiner/status/1364247429655191556","1364247429655191556")</f>
        <v>1364247429655191556</v>
      </c>
      <c r="F348" s="7" t="s">
        <v>1762</v>
      </c>
      <c r="G348" s="8"/>
      <c r="H348" s="8"/>
      <c r="I348" s="14">
        <v>2</v>
      </c>
      <c r="J348" s="14">
        <v>2</v>
      </c>
      <c r="K348" s="6" t="str">
        <f>HYPERLINK("https://buffer.com","Buffer")</f>
        <v>Buffer</v>
      </c>
      <c r="L348" s="15">
        <v>15673</v>
      </c>
      <c r="M348" s="15">
        <v>2159</v>
      </c>
      <c r="N348" s="15">
        <v>507</v>
      </c>
      <c r="O348" s="15" t="s">
        <v>130</v>
      </c>
      <c r="P348" s="10">
        <v>40190.745613425926</v>
      </c>
      <c r="Q348" s="14" t="s">
        <v>221</v>
      </c>
      <c r="R348" s="14" t="s">
        <v>1763</v>
      </c>
      <c r="S348" s="7" t="s">
        <v>1764</v>
      </c>
      <c r="T348" s="8"/>
      <c r="U348" s="11" t="str">
        <f>HYPERLINK("https://pbs.twimg.com/profile_images/378800000708431883/9ca32f3333fa7e8e3d049cbbd5802a52.png","View")</f>
        <v>View</v>
      </c>
      <c r="V348" s="8"/>
      <c r="W348" s="8"/>
      <c r="X348" s="8"/>
      <c r="Y348" s="8"/>
      <c r="Z348" s="8"/>
    </row>
    <row r="349" spans="1:26" ht="13.2">
      <c r="A349" s="13">
        <v>44250.718831018516</v>
      </c>
      <c r="B349" s="6" t="str">
        <f>HYPERLINK("https://twitter.com/LityxIQ","@LityxIQ")</f>
        <v>@LityxIQ</v>
      </c>
      <c r="C349" s="14" t="s">
        <v>1765</v>
      </c>
      <c r="D349" s="14" t="s">
        <v>1766</v>
      </c>
      <c r="E349" s="6" t="str">
        <f>HYPERLINK("https://twitter.com/LityxIQ/status/1364247425565753348","1364247425565753348")</f>
        <v>1364247425565753348</v>
      </c>
      <c r="F349" s="7" t="s">
        <v>1767</v>
      </c>
      <c r="G349" s="8"/>
      <c r="H349" s="8"/>
      <c r="I349" s="14">
        <v>0</v>
      </c>
      <c r="J349" s="14">
        <v>0</v>
      </c>
      <c r="K349" s="6" t="str">
        <f t="shared" ref="K349:K350" si="50">HYPERLINK("https://www.hootsuite.com","Hootsuite Inc.")</f>
        <v>Hootsuite Inc.</v>
      </c>
      <c r="L349" s="15">
        <v>2017</v>
      </c>
      <c r="M349" s="15">
        <v>1998</v>
      </c>
      <c r="N349" s="15">
        <v>63</v>
      </c>
      <c r="O349" s="9"/>
      <c r="P349" s="10">
        <v>40907.770520833335</v>
      </c>
      <c r="Q349" s="14" t="s">
        <v>322</v>
      </c>
      <c r="R349" s="14" t="s">
        <v>1768</v>
      </c>
      <c r="S349" s="7" t="s">
        <v>1769</v>
      </c>
      <c r="T349" s="8"/>
      <c r="U349" s="11" t="str">
        <f>HYPERLINK("https://pbs.twimg.com/profile_images/892903863455326209/Nz27JFOb.jpg","View")</f>
        <v>View</v>
      </c>
      <c r="V349" s="8"/>
      <c r="W349" s="8"/>
      <c r="X349" s="8"/>
      <c r="Y349" s="8"/>
      <c r="Z349" s="8"/>
    </row>
    <row r="350" spans="1:26" ht="13.2">
      <c r="A350" s="13">
        <v>44250.718796296293</v>
      </c>
      <c r="B350" s="6" t="str">
        <f>HYPERLINK("https://twitter.com/Exxactcorp","@Exxactcorp")</f>
        <v>@Exxactcorp</v>
      </c>
      <c r="C350" s="14" t="s">
        <v>1770</v>
      </c>
      <c r="D350" s="14" t="s">
        <v>1771</v>
      </c>
      <c r="E350" s="6" t="str">
        <f>HYPERLINK("https://twitter.com/Exxactcorp/status/1364247414413144064","1364247414413144064")</f>
        <v>1364247414413144064</v>
      </c>
      <c r="F350" s="7" t="s">
        <v>1772</v>
      </c>
      <c r="G350" s="7" t="s">
        <v>1773</v>
      </c>
      <c r="H350" s="8"/>
      <c r="I350" s="14">
        <v>0</v>
      </c>
      <c r="J350" s="14">
        <v>1</v>
      </c>
      <c r="K350" s="6" t="str">
        <f t="shared" si="50"/>
        <v>Hootsuite Inc.</v>
      </c>
      <c r="L350" s="15">
        <v>9845</v>
      </c>
      <c r="M350" s="15">
        <v>364</v>
      </c>
      <c r="N350" s="15">
        <v>19</v>
      </c>
      <c r="O350" s="9"/>
      <c r="P350" s="10">
        <v>40627.79928240741</v>
      </c>
      <c r="Q350" s="14" t="s">
        <v>1774</v>
      </c>
      <c r="R350" s="14" t="s">
        <v>1775</v>
      </c>
      <c r="S350" s="7" t="s">
        <v>1776</v>
      </c>
      <c r="T350" s="8"/>
      <c r="U350" s="11" t="str">
        <f>HYPERLINK("https://pbs.twimg.com/profile_images/1229884518166749184/-8MYngZK.png","View")</f>
        <v>View</v>
      </c>
      <c r="V350" s="8"/>
      <c r="W350" s="8"/>
      <c r="X350" s="8"/>
      <c r="Y350" s="8"/>
      <c r="Z350" s="8"/>
    </row>
    <row r="351" spans="1:26" ht="13.2">
      <c r="A351" s="13">
        <v>44250.71837962963</v>
      </c>
      <c r="B351" s="6" t="str">
        <f>HYPERLINK("https://twitter.com/Eli_Krumova","@Eli_Krumova")</f>
        <v>@Eli_Krumova</v>
      </c>
      <c r="C351" s="14" t="s">
        <v>947</v>
      </c>
      <c r="D351" s="14" t="s">
        <v>1777</v>
      </c>
      <c r="E351" s="6" t="str">
        <f>HYPERLINK("https://twitter.com/Eli_Krumova/status/1364247262776479747","1364247262776479747")</f>
        <v>1364247262776479747</v>
      </c>
      <c r="F351" s="14" t="s">
        <v>1778</v>
      </c>
      <c r="G351" s="14" t="s">
        <v>1779</v>
      </c>
      <c r="H351" s="8"/>
      <c r="I351" s="14">
        <v>15</v>
      </c>
      <c r="J351" s="14">
        <v>6</v>
      </c>
      <c r="K351" s="6" t="str">
        <f>HYPERLINK("https://mobile.twitter.com","Twitter Web App")</f>
        <v>Twitter Web App</v>
      </c>
      <c r="L351" s="15">
        <v>4471</v>
      </c>
      <c r="M351" s="15">
        <v>5001</v>
      </c>
      <c r="N351" s="15">
        <v>79</v>
      </c>
      <c r="O351" s="9"/>
      <c r="P351" s="10">
        <v>41346.597002314811</v>
      </c>
      <c r="Q351" s="14" t="s">
        <v>951</v>
      </c>
      <c r="R351" s="14" t="s">
        <v>952</v>
      </c>
      <c r="S351" s="8"/>
      <c r="T351" s="8"/>
      <c r="U351" s="11" t="str">
        <f>HYPERLINK("https://pbs.twimg.com/profile_images/1361638888427683840/HqNlplM_.jpg","View")</f>
        <v>View</v>
      </c>
      <c r="V351" s="8"/>
      <c r="W351" s="8"/>
      <c r="X351" s="8"/>
      <c r="Y351" s="8"/>
      <c r="Z351" s="8"/>
    </row>
    <row r="352" spans="1:26" ht="13.2">
      <c r="A352" s="13">
        <v>44250.717534722222</v>
      </c>
      <c r="B352" s="6" t="str">
        <f>HYPERLINK("https://twitter.com/TechVisorNL","@TechVisorNL")</f>
        <v>@TechVisorNL</v>
      </c>
      <c r="C352" s="14" t="s">
        <v>1780</v>
      </c>
      <c r="D352" s="14" t="s">
        <v>1781</v>
      </c>
      <c r="E352" s="6" t="str">
        <f>HYPERLINK("https://twitter.com/TechVisorNL/status/1364246956395102210","1364246956395102210")</f>
        <v>1364246956395102210</v>
      </c>
      <c r="F352" s="7" t="s">
        <v>1782</v>
      </c>
      <c r="G352" s="7" t="s">
        <v>1783</v>
      </c>
      <c r="H352" s="8"/>
      <c r="I352" s="14">
        <v>0</v>
      </c>
      <c r="J352" s="14">
        <v>1</v>
      </c>
      <c r="K352" s="6" t="str">
        <f>HYPERLINK("http://www.techvisor.nl","TechVisor")</f>
        <v>TechVisor</v>
      </c>
      <c r="L352" s="15">
        <v>1701</v>
      </c>
      <c r="M352" s="15">
        <v>958</v>
      </c>
      <c r="N352" s="15">
        <v>72</v>
      </c>
      <c r="O352" s="9"/>
      <c r="P352" s="10">
        <v>42643.791261574079</v>
      </c>
      <c r="Q352" s="14" t="s">
        <v>1784</v>
      </c>
      <c r="R352" s="14" t="s">
        <v>1785</v>
      </c>
      <c r="S352" s="7" t="s">
        <v>1786</v>
      </c>
      <c r="T352" s="8"/>
      <c r="U352" s="11" t="str">
        <f>HYPERLINK("https://pbs.twimg.com/profile_images/781903184826667009/q1xpC--T.jpg","View")</f>
        <v>View</v>
      </c>
      <c r="V352" s="8"/>
      <c r="W352" s="8"/>
      <c r="X352" s="8"/>
      <c r="Y352" s="8"/>
      <c r="Z352" s="8"/>
    </row>
    <row r="353" spans="1:26" ht="13.2">
      <c r="A353" s="13">
        <v>44250.717534722222</v>
      </c>
      <c r="B353" s="6" t="str">
        <f>HYPERLINK("https://twitter.com/Lavenir_co","@Lavenir_co")</f>
        <v>@Lavenir_co</v>
      </c>
      <c r="C353" s="14" t="s">
        <v>1787</v>
      </c>
      <c r="D353" s="14" t="s">
        <v>1788</v>
      </c>
      <c r="E353" s="6" t="str">
        <f>HYPERLINK("https://twitter.com/Lavenir_co/status/1364246954784526336","1364246954784526336")</f>
        <v>1364246954784526336</v>
      </c>
      <c r="F353" s="8"/>
      <c r="G353" s="7" t="s">
        <v>1789</v>
      </c>
      <c r="H353" s="8"/>
      <c r="I353" s="14">
        <v>0</v>
      </c>
      <c r="J353" s="14">
        <v>0</v>
      </c>
      <c r="K353" s="6" t="str">
        <f t="shared" ref="K353:K354" si="51">HYPERLINK("https://mobile.twitter.com","Twitter Web App")</f>
        <v>Twitter Web App</v>
      </c>
      <c r="L353" s="15">
        <v>109</v>
      </c>
      <c r="M353" s="15">
        <v>84</v>
      </c>
      <c r="N353" s="15">
        <v>3</v>
      </c>
      <c r="O353" s="9"/>
      <c r="P353" s="10">
        <v>42491.068923611107</v>
      </c>
      <c r="Q353" s="14" t="s">
        <v>1159</v>
      </c>
      <c r="R353" s="14" t="s">
        <v>1790</v>
      </c>
      <c r="S353" s="7" t="s">
        <v>1791</v>
      </c>
      <c r="T353" s="8"/>
      <c r="U353" s="11" t="str">
        <f>HYPERLINK("https://pbs.twimg.com/profile_images/1296207707054186499/1vIol6HO.jpg","View")</f>
        <v>View</v>
      </c>
      <c r="V353" s="8"/>
      <c r="W353" s="8"/>
      <c r="X353" s="8"/>
      <c r="Y353" s="8"/>
      <c r="Z353" s="8"/>
    </row>
    <row r="354" spans="1:26" ht="13.2">
      <c r="A354" s="13">
        <v>44250.717002314814</v>
      </c>
      <c r="B354" s="6" t="str">
        <f>HYPERLINK("https://twitter.com/ShahtechG","@ShahtechG")</f>
        <v>@ShahtechG</v>
      </c>
      <c r="C354" s="14" t="s">
        <v>1792</v>
      </c>
      <c r="D354" s="14" t="s">
        <v>1793</v>
      </c>
      <c r="E354" s="6" t="str">
        <f>HYPERLINK("https://twitter.com/ShahtechG/status/1364246763247337473","1364246763247337473")</f>
        <v>1364246763247337473</v>
      </c>
      <c r="F354" s="7" t="s">
        <v>1794</v>
      </c>
      <c r="G354" s="7" t="s">
        <v>1795</v>
      </c>
      <c r="H354" s="8"/>
      <c r="I354" s="14">
        <v>15</v>
      </c>
      <c r="J354" s="14">
        <v>6</v>
      </c>
      <c r="K354" s="6" t="str">
        <f t="shared" si="51"/>
        <v>Twitter Web App</v>
      </c>
      <c r="L354" s="15">
        <v>1489</v>
      </c>
      <c r="M354" s="15">
        <v>2382</v>
      </c>
      <c r="N354" s="15">
        <v>0</v>
      </c>
      <c r="O354" s="9"/>
      <c r="P354" s="10">
        <v>43938.061956018515</v>
      </c>
      <c r="Q354" s="8"/>
      <c r="R354" s="8"/>
      <c r="S354" s="7" t="s">
        <v>1796</v>
      </c>
      <c r="T354" s="8"/>
      <c r="U354" s="11" t="str">
        <f>HYPERLINK("https://pbs.twimg.com/profile_images/1360988005645737988/gWCEZTI2.jpg","View")</f>
        <v>View</v>
      </c>
      <c r="V354" s="8"/>
      <c r="W354" s="8"/>
      <c r="X354" s="8"/>
      <c r="Y354" s="8"/>
      <c r="Z354" s="8"/>
    </row>
    <row r="355" spans="1:26" ht="13.2">
      <c r="A355" s="13">
        <v>44250.716782407406</v>
      </c>
      <c r="B355" s="6" t="str">
        <f>HYPERLINK("https://twitter.com/SSuccess_data","@SSuccess_data")</f>
        <v>@SSuccess_data</v>
      </c>
      <c r="C355" s="14" t="s">
        <v>1797</v>
      </c>
      <c r="D355" s="14" t="s">
        <v>1798</v>
      </c>
      <c r="E355" s="6" t="str">
        <f>HYPERLINK("https://twitter.com/SSuccess_data/status/1364246684742615041","1364246684742615041")</f>
        <v>1364246684742615041</v>
      </c>
      <c r="F355" s="14" t="s">
        <v>1051</v>
      </c>
      <c r="G355" s="7" t="s">
        <v>1052</v>
      </c>
      <c r="H355" s="8"/>
      <c r="I355" s="14">
        <v>0</v>
      </c>
      <c r="J355" s="14">
        <v>1</v>
      </c>
      <c r="K355" s="6" t="str">
        <f>HYPERLINK("http://twitter.com/download/android","Twitter for Android")</f>
        <v>Twitter for Android</v>
      </c>
      <c r="L355" s="15">
        <v>42</v>
      </c>
      <c r="M355" s="15">
        <v>79</v>
      </c>
      <c r="N355" s="15">
        <v>1</v>
      </c>
      <c r="O355" s="9"/>
      <c r="P355" s="10">
        <v>44151.822534722218</v>
      </c>
      <c r="Q355" s="14" t="s">
        <v>1799</v>
      </c>
      <c r="R355" s="14" t="s">
        <v>1800</v>
      </c>
      <c r="S355" s="7" t="s">
        <v>1801</v>
      </c>
      <c r="T355" s="8"/>
      <c r="U355" s="11" t="str">
        <f>HYPERLINK("https://pbs.twimg.com/profile_images/1328414764675063817/b7xikCPd.jpg","View")</f>
        <v>View</v>
      </c>
      <c r="V355" s="8"/>
      <c r="W355" s="8"/>
      <c r="X355" s="8"/>
      <c r="Y355" s="8"/>
      <c r="Z355" s="8"/>
    </row>
    <row r="356" spans="1:26" ht="13.2">
      <c r="A356" s="13">
        <v>44250.716458333336</v>
      </c>
      <c r="B356" s="6" t="str">
        <f>HYPERLINK("https://twitter.com/Eli_Krumova","@Eli_Krumova")</f>
        <v>@Eli_Krumova</v>
      </c>
      <c r="C356" s="14" t="s">
        <v>947</v>
      </c>
      <c r="D356" s="14" t="s">
        <v>1802</v>
      </c>
      <c r="E356" s="6" t="str">
        <f>HYPERLINK("https://twitter.com/Eli_Krumova/status/1364246564286451717","1364246564286451717")</f>
        <v>1364246564286451717</v>
      </c>
      <c r="F356" s="14" t="s">
        <v>1803</v>
      </c>
      <c r="G356" s="14" t="s">
        <v>1804</v>
      </c>
      <c r="H356" s="8"/>
      <c r="I356" s="14">
        <v>18</v>
      </c>
      <c r="J356" s="14">
        <v>8</v>
      </c>
      <c r="K356" s="6" t="str">
        <f>HYPERLINK("https://mobile.twitter.com","Twitter Web App")</f>
        <v>Twitter Web App</v>
      </c>
      <c r="L356" s="15">
        <v>4471</v>
      </c>
      <c r="M356" s="15">
        <v>5001</v>
      </c>
      <c r="N356" s="15">
        <v>79</v>
      </c>
      <c r="O356" s="9"/>
      <c r="P356" s="10">
        <v>41346.597002314811</v>
      </c>
      <c r="Q356" s="14" t="s">
        <v>951</v>
      </c>
      <c r="R356" s="14" t="s">
        <v>952</v>
      </c>
      <c r="S356" s="8"/>
      <c r="T356" s="8"/>
      <c r="U356" s="11" t="str">
        <f>HYPERLINK("https://pbs.twimg.com/profile_images/1361638888427683840/HqNlplM_.jpg","View")</f>
        <v>View</v>
      </c>
      <c r="V356" s="8"/>
      <c r="W356" s="8"/>
      <c r="X356" s="8"/>
      <c r="Y356" s="8"/>
      <c r="Z356" s="8"/>
    </row>
    <row r="357" spans="1:26" ht="13.2">
      <c r="A357" s="13">
        <v>44250.716354166667</v>
      </c>
      <c r="B357" s="6" t="str">
        <f>HYPERLINK("https://twitter.com/milocamj","@milocamj")</f>
        <v>@milocamj</v>
      </c>
      <c r="C357" s="14" t="s">
        <v>1805</v>
      </c>
      <c r="D357" s="14" t="s">
        <v>1806</v>
      </c>
      <c r="E357" s="6" t="str">
        <f>HYPERLINK("https://twitter.com/milocamj/status/1364246527699345412","1364246527699345412")</f>
        <v>1364246527699345412</v>
      </c>
      <c r="F357" s="7" t="s">
        <v>1807</v>
      </c>
      <c r="G357" s="7" t="s">
        <v>1808</v>
      </c>
      <c r="H357" s="8"/>
      <c r="I357" s="14">
        <v>0</v>
      </c>
      <c r="J357" s="14">
        <v>1</v>
      </c>
      <c r="K357" s="6" t="str">
        <f>HYPERLINK("https://dlvrit.com/","dlvr.it")</f>
        <v>dlvr.it</v>
      </c>
      <c r="L357" s="15">
        <v>2595</v>
      </c>
      <c r="M357" s="15">
        <v>48</v>
      </c>
      <c r="N357" s="15">
        <v>1282</v>
      </c>
      <c r="O357" s="9"/>
      <c r="P357" s="10">
        <v>39904.699837962966</v>
      </c>
      <c r="Q357" s="14" t="s">
        <v>1809</v>
      </c>
      <c r="R357" s="14" t="s">
        <v>1810</v>
      </c>
      <c r="S357" s="7" t="s">
        <v>1811</v>
      </c>
      <c r="T357" s="8"/>
      <c r="U357" s="11" t="str">
        <f>HYPERLINK("https://pbs.twimg.com/profile_images/1108578778018709505/56I0aOhL.jpg","View")</f>
        <v>View</v>
      </c>
      <c r="V357" s="8"/>
      <c r="W357" s="8"/>
      <c r="X357" s="8"/>
      <c r="Y357" s="8"/>
      <c r="Z357" s="8"/>
    </row>
    <row r="358" spans="1:26" ht="13.2">
      <c r="A358" s="13">
        <v>44250.716261574074</v>
      </c>
      <c r="B358" s="6" t="str">
        <f>HYPERLINK("https://twitter.com/nordicinst","@nordicinst")</f>
        <v>@nordicinst</v>
      </c>
      <c r="C358" s="14" t="s">
        <v>1812</v>
      </c>
      <c r="D358" s="14" t="s">
        <v>1813</v>
      </c>
      <c r="E358" s="6" t="str">
        <f>HYPERLINK("https://twitter.com/nordicinst/status/1364246494732292105","1364246494732292105")</f>
        <v>1364246494732292105</v>
      </c>
      <c r="F358" s="7" t="s">
        <v>1814</v>
      </c>
      <c r="G358" s="8"/>
      <c r="H358" s="8"/>
      <c r="I358" s="14">
        <v>0</v>
      </c>
      <c r="J358" s="14">
        <v>0</v>
      </c>
      <c r="K358" s="6" t="str">
        <f>HYPERLINK("https://ifttt.com","IFTTT")</f>
        <v>IFTTT</v>
      </c>
      <c r="L358" s="15">
        <v>18247</v>
      </c>
      <c r="M358" s="15">
        <v>17</v>
      </c>
      <c r="N358" s="15">
        <v>306</v>
      </c>
      <c r="O358" s="9"/>
      <c r="P358" s="10">
        <v>42796.734710648147</v>
      </c>
      <c r="Q358" s="14" t="s">
        <v>1815</v>
      </c>
      <c r="R358" s="14" t="s">
        <v>1816</v>
      </c>
      <c r="S358" s="7" t="s">
        <v>1817</v>
      </c>
      <c r="T358" s="8"/>
      <c r="U358" s="11" t="str">
        <f>HYPERLINK("https://pbs.twimg.com/profile_images/894659016705556480/_CJhwfbx.jpg","View")</f>
        <v>View</v>
      </c>
      <c r="V358" s="8"/>
      <c r="W358" s="8"/>
      <c r="X358" s="8"/>
      <c r="Y358" s="8"/>
      <c r="Z358" s="8"/>
    </row>
    <row r="359" spans="1:26" ht="13.2">
      <c r="A359" s="13">
        <v>44250.716192129628</v>
      </c>
      <c r="B359" s="6" t="str">
        <f>HYPERLINK("https://twitter.com/educabily","@educabily")</f>
        <v>@educabily</v>
      </c>
      <c r="C359" s="14" t="s">
        <v>1818</v>
      </c>
      <c r="D359" s="14" t="s">
        <v>1798</v>
      </c>
      <c r="E359" s="6" t="str">
        <f>HYPERLINK("https://twitter.com/educabily/status/1364246468136218625","1364246468136218625")</f>
        <v>1364246468136218625</v>
      </c>
      <c r="F359" s="14" t="s">
        <v>1051</v>
      </c>
      <c r="G359" s="7" t="s">
        <v>1052</v>
      </c>
      <c r="H359" s="8"/>
      <c r="I359" s="14">
        <v>0</v>
      </c>
      <c r="J359" s="14">
        <v>1</v>
      </c>
      <c r="K359" s="6" t="str">
        <f>HYPERLINK("http://twitter.com/download/android","Twitter for Android")</f>
        <v>Twitter for Android</v>
      </c>
      <c r="L359" s="15">
        <v>92</v>
      </c>
      <c r="M359" s="15">
        <v>117</v>
      </c>
      <c r="N359" s="15">
        <v>1</v>
      </c>
      <c r="O359" s="9"/>
      <c r="P359" s="10">
        <v>43373.445439814815</v>
      </c>
      <c r="Q359" s="14" t="s">
        <v>1819</v>
      </c>
      <c r="R359" s="14" t="s">
        <v>1820</v>
      </c>
      <c r="S359" s="7" t="s">
        <v>1821</v>
      </c>
      <c r="T359" s="8"/>
      <c r="U359" s="11" t="str">
        <f>HYPERLINK("https://pbs.twimg.com/profile_images/1272788636451377152/mo-7OufV.jpg","View")</f>
        <v>View</v>
      </c>
      <c r="V359" s="8"/>
      <c r="W359" s="8"/>
      <c r="X359" s="8"/>
      <c r="Y359" s="8"/>
      <c r="Z359" s="8"/>
    </row>
    <row r="360" spans="1:26" ht="13.2">
      <c r="A360" s="13">
        <v>44250.715995370367</v>
      </c>
      <c r="B360" s="6" t="str">
        <f>HYPERLINK("https://twitter.com/futurefactsnl","@futurefactsnl")</f>
        <v>@futurefactsnl</v>
      </c>
      <c r="C360" s="14" t="s">
        <v>1822</v>
      </c>
      <c r="D360" s="14" t="s">
        <v>1823</v>
      </c>
      <c r="E360" s="6" t="str">
        <f>HYPERLINK("https://twitter.com/futurefactsnl/status/1364246399949430786","1364246399949430786")</f>
        <v>1364246399949430786</v>
      </c>
      <c r="F360" s="7" t="s">
        <v>1824</v>
      </c>
      <c r="G360" s="7" t="s">
        <v>1825</v>
      </c>
      <c r="H360" s="8"/>
      <c r="I360" s="14">
        <v>1</v>
      </c>
      <c r="J360" s="14">
        <v>2</v>
      </c>
      <c r="K360" s="6" t="str">
        <f>HYPERLINK("https://buffer.com","Buffer")</f>
        <v>Buffer</v>
      </c>
      <c r="L360" s="15">
        <v>53</v>
      </c>
      <c r="M360" s="15">
        <v>37</v>
      </c>
      <c r="N360" s="15">
        <v>6</v>
      </c>
      <c r="O360" s="9"/>
      <c r="P360" s="10">
        <v>42171.411527777775</v>
      </c>
      <c r="Q360" s="14" t="s">
        <v>1826</v>
      </c>
      <c r="R360" s="14" t="s">
        <v>1827</v>
      </c>
      <c r="S360" s="7" t="s">
        <v>1828</v>
      </c>
      <c r="T360" s="8"/>
      <c r="U360" s="11" t="str">
        <f>HYPERLINK("https://pbs.twimg.com/profile_images/1350089029283434496/aJfIrJp_.jpg","View")</f>
        <v>View</v>
      </c>
      <c r="V360" s="8"/>
      <c r="W360" s="8"/>
      <c r="X360" s="8"/>
      <c r="Y360" s="8"/>
      <c r="Z360" s="8"/>
    </row>
    <row r="361" spans="1:26" ht="13.2">
      <c r="A361" s="13">
        <v>44250.715949074074</v>
      </c>
      <c r="B361" s="6" t="str">
        <f>HYPERLINK("https://twitter.com/flowrax_x","@flowrax_x")</f>
        <v>@flowrax_x</v>
      </c>
      <c r="C361" s="14" t="s">
        <v>250</v>
      </c>
      <c r="D361" s="14" t="s">
        <v>1829</v>
      </c>
      <c r="E361" s="6" t="str">
        <f>HYPERLINK("https://twitter.com/flowrax_x/status/1364246379619643394","1364246379619643394")</f>
        <v>1364246379619643394</v>
      </c>
      <c r="F361" s="8"/>
      <c r="G361" s="7" t="s">
        <v>1830</v>
      </c>
      <c r="H361" s="8"/>
      <c r="I361" s="14">
        <v>11</v>
      </c>
      <c r="J361" s="14">
        <v>3</v>
      </c>
      <c r="K361" s="6" t="str">
        <f>HYPERLINK("https://www.later.com","LaterMedia")</f>
        <v>LaterMedia</v>
      </c>
      <c r="L361" s="15">
        <v>18</v>
      </c>
      <c r="M361" s="15">
        <v>78</v>
      </c>
      <c r="N361" s="15">
        <v>0</v>
      </c>
      <c r="O361" s="9"/>
      <c r="P361" s="10">
        <v>44238.855486111112</v>
      </c>
      <c r="Q361" s="8"/>
      <c r="R361" s="14" t="s">
        <v>253</v>
      </c>
      <c r="S361" s="7" t="s">
        <v>254</v>
      </c>
      <c r="T361" s="8"/>
      <c r="U361" s="11" t="str">
        <f>HYPERLINK("https://pbs.twimg.com/profile_images/1359948560158978050/uGqG2sUw.jpg","View")</f>
        <v>View</v>
      </c>
      <c r="V361" s="8"/>
      <c r="W361" s="8"/>
      <c r="X361" s="8"/>
      <c r="Y361" s="8"/>
      <c r="Z361" s="8"/>
    </row>
    <row r="362" spans="1:26" ht="13.2">
      <c r="A362" s="13">
        <v>44250.715891203705</v>
      </c>
      <c r="B362" s="6" t="str">
        <f>HYPERLINK("https://twitter.com/Eli_Krumova","@Eli_Krumova")</f>
        <v>@Eli_Krumova</v>
      </c>
      <c r="C362" s="14" t="s">
        <v>947</v>
      </c>
      <c r="D362" s="14" t="s">
        <v>1831</v>
      </c>
      <c r="E362" s="6" t="str">
        <f>HYPERLINK("https://twitter.com/Eli_Krumova/status/1364246361064013826","1364246361064013826")</f>
        <v>1364246361064013826</v>
      </c>
      <c r="F362" s="14" t="s">
        <v>1832</v>
      </c>
      <c r="G362" s="14" t="s">
        <v>1833</v>
      </c>
      <c r="H362" s="8"/>
      <c r="I362" s="14">
        <v>21</v>
      </c>
      <c r="J362" s="14">
        <v>5</v>
      </c>
      <c r="K362" s="6" t="str">
        <f t="shared" ref="K362:K363" si="52">HYPERLINK("https://mobile.twitter.com","Twitter Web App")</f>
        <v>Twitter Web App</v>
      </c>
      <c r="L362" s="15">
        <v>4471</v>
      </c>
      <c r="M362" s="15">
        <v>5001</v>
      </c>
      <c r="N362" s="15">
        <v>79</v>
      </c>
      <c r="O362" s="9"/>
      <c r="P362" s="10">
        <v>41346.597002314811</v>
      </c>
      <c r="Q362" s="14" t="s">
        <v>951</v>
      </c>
      <c r="R362" s="14" t="s">
        <v>952</v>
      </c>
      <c r="S362" s="8"/>
      <c r="T362" s="8"/>
      <c r="U362" s="11" t="str">
        <f>HYPERLINK("https://pbs.twimg.com/profile_images/1361638888427683840/HqNlplM_.jpg","View")</f>
        <v>View</v>
      </c>
      <c r="V362" s="8"/>
      <c r="W362" s="8"/>
      <c r="X362" s="8"/>
      <c r="Y362" s="8"/>
      <c r="Z362" s="8"/>
    </row>
    <row r="363" spans="1:26" ht="13.2">
      <c r="A363" s="13">
        <v>44250.715624999997</v>
      </c>
      <c r="B363" s="6" t="str">
        <f>HYPERLINK("https://twitter.com/Underfox3","@Underfox3")</f>
        <v>@Underfox3</v>
      </c>
      <c r="C363" s="14" t="s">
        <v>1183</v>
      </c>
      <c r="D363" s="14" t="s">
        <v>1834</v>
      </c>
      <c r="E363" s="6" t="str">
        <f>HYPERLINK("https://twitter.com/Underfox3/status/1364246265383550980","1364246265383550980")</f>
        <v>1364246265383550980</v>
      </c>
      <c r="F363" s="7" t="s">
        <v>1835</v>
      </c>
      <c r="G363" s="7" t="s">
        <v>1836</v>
      </c>
      <c r="H363" s="8"/>
      <c r="I363" s="14">
        <v>3</v>
      </c>
      <c r="J363" s="14">
        <v>13</v>
      </c>
      <c r="K363" s="6" t="str">
        <f t="shared" si="52"/>
        <v>Twitter Web App</v>
      </c>
      <c r="L363" s="15">
        <v>3353</v>
      </c>
      <c r="M363" s="15">
        <v>133</v>
      </c>
      <c r="N363" s="15">
        <v>56</v>
      </c>
      <c r="O363" s="9"/>
      <c r="P363" s="10">
        <v>43080.100162037037</v>
      </c>
      <c r="Q363" s="8"/>
      <c r="R363" s="14" t="s">
        <v>1187</v>
      </c>
      <c r="S363" s="8"/>
      <c r="T363" s="8"/>
      <c r="U363" s="11" t="str">
        <f>HYPERLINK("https://pbs.twimg.com/profile_images/1359987733767335948/uw_17A_S.jpg","View")</f>
        <v>View</v>
      </c>
      <c r="V363" s="8"/>
      <c r="W363" s="8"/>
      <c r="X363" s="8"/>
      <c r="Y363" s="8"/>
      <c r="Z363" s="8"/>
    </row>
    <row r="364" spans="1:26" ht="13.2">
      <c r="A364" s="13">
        <v>44250.714953703704</v>
      </c>
      <c r="B364" s="6" t="str">
        <f>HYPERLINK("https://twitter.com/SystemSoft_Tech","@SystemSoft_Tech")</f>
        <v>@SystemSoft_Tech</v>
      </c>
      <c r="C364" s="14" t="s">
        <v>1837</v>
      </c>
      <c r="D364" s="14" t="s">
        <v>1838</v>
      </c>
      <c r="E364" s="6" t="str">
        <f>HYPERLINK("https://twitter.com/SystemSoft_Tech/status/1364246022394937347","1364246022394937347")</f>
        <v>1364246022394937347</v>
      </c>
      <c r="F364" s="7" t="s">
        <v>1839</v>
      </c>
      <c r="G364" s="8"/>
      <c r="H364" s="8"/>
      <c r="I364" s="14">
        <v>0</v>
      </c>
      <c r="J364" s="14">
        <v>1</v>
      </c>
      <c r="K364" s="6" t="str">
        <f>HYPERLINK("http://www.hubspot.com/","HubSpot")</f>
        <v>HubSpot</v>
      </c>
      <c r="L364" s="15">
        <v>241</v>
      </c>
      <c r="M364" s="15">
        <v>181</v>
      </c>
      <c r="N364" s="15">
        <v>5</v>
      </c>
      <c r="O364" s="9"/>
      <c r="P364" s="10">
        <v>42769.7971412037</v>
      </c>
      <c r="Q364" s="14" t="s">
        <v>1840</v>
      </c>
      <c r="R364" s="14" t="s">
        <v>1841</v>
      </c>
      <c r="S364" s="7" t="s">
        <v>1842</v>
      </c>
      <c r="T364" s="8"/>
      <c r="U364" s="11" t="str">
        <f>HYPERLINK("https://pbs.twimg.com/profile_images/1181652509049397255/uWXWIfJK.jpg","View")</f>
        <v>View</v>
      </c>
      <c r="V364" s="8"/>
      <c r="W364" s="8"/>
      <c r="X364" s="8"/>
      <c r="Y364" s="8"/>
      <c r="Z364" s="8"/>
    </row>
    <row r="365" spans="1:26" ht="13.2">
      <c r="A365" s="13">
        <v>44250.714861111112</v>
      </c>
      <c r="B365" s="6" t="str">
        <f>HYPERLINK("https://twitter.com/DLDConference","@DLDConference")</f>
        <v>@DLDConference</v>
      </c>
      <c r="C365" s="14" t="s">
        <v>141</v>
      </c>
      <c r="D365" s="14" t="s">
        <v>1843</v>
      </c>
      <c r="E365" s="6" t="str">
        <f>HYPERLINK("https://twitter.com/DLDConference/status/1364245985782861827","1364245985782861827")</f>
        <v>1364245985782861827</v>
      </c>
      <c r="F365" s="7" t="s">
        <v>143</v>
      </c>
      <c r="G365" s="7" t="s">
        <v>1844</v>
      </c>
      <c r="H365" s="8"/>
      <c r="I365" s="14">
        <v>0</v>
      </c>
      <c r="J365" s="14">
        <v>0</v>
      </c>
      <c r="K365" s="6" t="str">
        <f>HYPERLINK("http://twitter.com/#!/download/ipad","Twitter for iPad")</f>
        <v>Twitter for iPad</v>
      </c>
      <c r="L365" s="15">
        <v>22674</v>
      </c>
      <c r="M365" s="15">
        <v>1830</v>
      </c>
      <c r="N365" s="15">
        <v>850</v>
      </c>
      <c r="O365" s="15" t="s">
        <v>130</v>
      </c>
      <c r="P365" s="10">
        <v>39790.889502314814</v>
      </c>
      <c r="Q365" s="14" t="s">
        <v>145</v>
      </c>
      <c r="R365" s="14" t="s">
        <v>146</v>
      </c>
      <c r="S365" s="7" t="s">
        <v>147</v>
      </c>
      <c r="T365" s="8"/>
      <c r="U365" s="11" t="str">
        <f>HYPERLINK("https://pbs.twimg.com/profile_images/66773901/dld.png","View")</f>
        <v>View</v>
      </c>
      <c r="V365" s="8"/>
      <c r="W365" s="8"/>
      <c r="X365" s="8"/>
      <c r="Y365" s="8"/>
      <c r="Z365" s="8"/>
    </row>
    <row r="366" spans="1:26" ht="13.2">
      <c r="A366" s="13">
        <v>44250.71475694445</v>
      </c>
      <c r="B366" s="6" t="str">
        <f>HYPERLINK("https://twitter.com/amunzel","@amunzel")</f>
        <v>@amunzel</v>
      </c>
      <c r="C366" s="14" t="s">
        <v>1845</v>
      </c>
      <c r="D366" s="14" t="s">
        <v>1846</v>
      </c>
      <c r="E366" s="6" t="str">
        <f>HYPERLINK("https://twitter.com/amunzel/status/1364245949003018244","1364245949003018244")</f>
        <v>1364245949003018244</v>
      </c>
      <c r="F366" s="7" t="s">
        <v>1847</v>
      </c>
      <c r="G366" s="8"/>
      <c r="H366" s="8"/>
      <c r="I366" s="14">
        <v>0</v>
      </c>
      <c r="J366" s="14">
        <v>0</v>
      </c>
      <c r="K366" s="6" t="str">
        <f>HYPERLINK("https://paper.li","Paper.li")</f>
        <v>Paper.li</v>
      </c>
      <c r="L366" s="15">
        <v>1162</v>
      </c>
      <c r="M366" s="15">
        <v>958</v>
      </c>
      <c r="N366" s="15">
        <v>174</v>
      </c>
      <c r="O366" s="9"/>
      <c r="P366" s="10">
        <v>40713.807569444441</v>
      </c>
      <c r="Q366" s="14" t="s">
        <v>1848</v>
      </c>
      <c r="R366" s="14" t="s">
        <v>1849</v>
      </c>
      <c r="S366" s="7" t="s">
        <v>1850</v>
      </c>
      <c r="T366" s="8"/>
      <c r="U366" s="11" t="str">
        <f>HYPERLINK("https://pbs.twimg.com/profile_images/1252735540409118728/2Xj6y2HX.jpg","View")</f>
        <v>View</v>
      </c>
      <c r="V366" s="8"/>
      <c r="W366" s="8"/>
      <c r="X366" s="8"/>
      <c r="Y366" s="8"/>
      <c r="Z366" s="8"/>
    </row>
    <row r="367" spans="1:26" ht="13.2">
      <c r="A367" s="13">
        <v>44250.714722222227</v>
      </c>
      <c r="B367" s="6" t="str">
        <f>HYPERLINK("https://twitter.com/DeftboxSol","@DeftboxSol")</f>
        <v>@DeftboxSol</v>
      </c>
      <c r="C367" s="14" t="s">
        <v>1851</v>
      </c>
      <c r="D367" s="14" t="s">
        <v>1852</v>
      </c>
      <c r="E367" s="6" t="str">
        <f>HYPERLINK("https://twitter.com/DeftboxSol/status/1364245938487758849","1364245938487758849")</f>
        <v>1364245938487758849</v>
      </c>
      <c r="F367" s="8"/>
      <c r="G367" s="7" t="s">
        <v>1853</v>
      </c>
      <c r="H367" s="8"/>
      <c r="I367" s="14">
        <v>2</v>
      </c>
      <c r="J367" s="14">
        <v>0</v>
      </c>
      <c r="K367" s="6" t="str">
        <f>HYPERLINK("https://mobile.twitter.com","Twitter Web App")</f>
        <v>Twitter Web App</v>
      </c>
      <c r="L367" s="15">
        <v>5</v>
      </c>
      <c r="M367" s="15">
        <v>4</v>
      </c>
      <c r="N367" s="15">
        <v>0</v>
      </c>
      <c r="O367" s="9"/>
      <c r="P367" s="10">
        <v>43350.47184027778</v>
      </c>
      <c r="Q367" s="14" t="s">
        <v>1854</v>
      </c>
      <c r="R367" s="14" t="s">
        <v>1855</v>
      </c>
      <c r="S367" s="7" t="s">
        <v>1856</v>
      </c>
      <c r="T367" s="8"/>
      <c r="U367" s="11" t="str">
        <f>HYPERLINK("https://pbs.twimg.com/profile_images/1364199714569154562/Svg3XqLp.jpg","View")</f>
        <v>View</v>
      </c>
      <c r="V367" s="8"/>
      <c r="W367" s="8"/>
      <c r="X367" s="8"/>
      <c r="Y367" s="8"/>
      <c r="Z367" s="8"/>
    </row>
    <row r="368" spans="1:26" ht="13.2">
      <c r="A368" s="13">
        <v>44250.714722222227</v>
      </c>
      <c r="B368" s="6" t="str">
        <f>HYPERLINK("https://twitter.com/helixa_ai","@helixa_ai")</f>
        <v>@helixa_ai</v>
      </c>
      <c r="C368" s="14" t="s">
        <v>1857</v>
      </c>
      <c r="D368" s="14" t="s">
        <v>1858</v>
      </c>
      <c r="E368" s="6" t="str">
        <f>HYPERLINK("https://twitter.com/helixa_ai/status/1364245936428433408","1364245936428433408")</f>
        <v>1364245936428433408</v>
      </c>
      <c r="F368" s="7" t="s">
        <v>1859</v>
      </c>
      <c r="G368" s="8"/>
      <c r="H368" s="8"/>
      <c r="I368" s="14">
        <v>0</v>
      </c>
      <c r="J368" s="14">
        <v>0</v>
      </c>
      <c r="K368" s="6" t="str">
        <f>HYPERLINK("http://www.hubspot.com/","HubSpot")</f>
        <v>HubSpot</v>
      </c>
      <c r="L368" s="15">
        <v>104</v>
      </c>
      <c r="M368" s="15">
        <v>49</v>
      </c>
      <c r="N368" s="15">
        <v>6</v>
      </c>
      <c r="O368" s="9"/>
      <c r="P368" s="10">
        <v>43469.894027777773</v>
      </c>
      <c r="Q368" s="14" t="s">
        <v>215</v>
      </c>
      <c r="R368" s="14" t="s">
        <v>1860</v>
      </c>
      <c r="S368" s="7" t="s">
        <v>1861</v>
      </c>
      <c r="T368" s="8"/>
      <c r="U368" s="11" t="str">
        <f>HYPERLINK("https://pbs.twimg.com/profile_images/1089230577566392321/9_JfYTOI.jpg","View")</f>
        <v>View</v>
      </c>
      <c r="V368" s="8"/>
      <c r="W368" s="8"/>
      <c r="X368" s="8"/>
      <c r="Y368" s="8"/>
      <c r="Z368" s="8"/>
    </row>
    <row r="369" spans="1:26" ht="13.2">
      <c r="A369" s="13">
        <v>44250.714432870373</v>
      </c>
      <c r="B369" s="6" t="str">
        <f>HYPERLINK("https://twitter.com/DrAndreDavid","@DrAndreDavid")</f>
        <v>@DrAndreDavid</v>
      </c>
      <c r="C369" s="14" t="s">
        <v>1862</v>
      </c>
      <c r="D369" s="14" t="s">
        <v>1863</v>
      </c>
      <c r="E369" s="6" t="str">
        <f>HYPERLINK("https://twitter.com/DrAndreDavid/status/1364245830899822619","1364245830899822619")</f>
        <v>1364245830899822619</v>
      </c>
      <c r="F369" s="8"/>
      <c r="G369" s="7" t="s">
        <v>1864</v>
      </c>
      <c r="H369" s="8"/>
      <c r="I369" s="14">
        <v>1</v>
      </c>
      <c r="J369" s="14">
        <v>3</v>
      </c>
      <c r="K369" s="6" t="str">
        <f>HYPERLINK("https://mobile.twitter.com","Twitter Web App")</f>
        <v>Twitter Web App</v>
      </c>
      <c r="L369" s="15">
        <v>3523</v>
      </c>
      <c r="M369" s="15">
        <v>678</v>
      </c>
      <c r="N369" s="15">
        <v>230</v>
      </c>
      <c r="O369" s="15" t="s">
        <v>130</v>
      </c>
      <c r="P369" s="10">
        <v>40573.479861111111</v>
      </c>
      <c r="Q369" s="14" t="s">
        <v>1865</v>
      </c>
      <c r="R369" s="14" t="s">
        <v>1866</v>
      </c>
      <c r="S369" s="7" t="s">
        <v>1867</v>
      </c>
      <c r="T369" s="8"/>
      <c r="U369" s="11" t="str">
        <f>HYPERLINK("https://pbs.twimg.com/profile_images/378800000515656324/7646f6cf93d4ca651b06a8b9ed9934fb.jpeg","View")</f>
        <v>View</v>
      </c>
      <c r="V369" s="8"/>
      <c r="W369" s="8"/>
      <c r="X369" s="8"/>
      <c r="Y369" s="8"/>
      <c r="Z369" s="8"/>
    </row>
    <row r="370" spans="1:26" ht="13.2">
      <c r="A370" s="13">
        <v>44250.71366898148</v>
      </c>
      <c r="B370" s="6" t="str">
        <f>HYPERLINK("https://twitter.com/skyl_ai","@skyl_ai")</f>
        <v>@skyl_ai</v>
      </c>
      <c r="C370" s="7" t="s">
        <v>1868</v>
      </c>
      <c r="D370" s="14" t="s">
        <v>1869</v>
      </c>
      <c r="E370" s="6" t="str">
        <f>HYPERLINK("https://twitter.com/skyl_ai/status/1364245555979964419","1364245555979964419")</f>
        <v>1364245555979964419</v>
      </c>
      <c r="F370" s="7" t="s">
        <v>1870</v>
      </c>
      <c r="G370" s="8"/>
      <c r="H370" s="8"/>
      <c r="I370" s="14">
        <v>0</v>
      </c>
      <c r="J370" s="14">
        <v>0</v>
      </c>
      <c r="K370" s="6" t="str">
        <f>HYPERLINK("http://www.hubspot.com/","HubSpot")</f>
        <v>HubSpot</v>
      </c>
      <c r="L370" s="15">
        <v>115</v>
      </c>
      <c r="M370" s="15">
        <v>438</v>
      </c>
      <c r="N370" s="15">
        <v>3</v>
      </c>
      <c r="O370" s="9"/>
      <c r="P370" s="10">
        <v>43306.194143518514</v>
      </c>
      <c r="Q370" s="14" t="s">
        <v>1871</v>
      </c>
      <c r="R370" s="14" t="s">
        <v>1872</v>
      </c>
      <c r="S370" s="7" t="s">
        <v>1873</v>
      </c>
      <c r="T370" s="8"/>
      <c r="U370" s="11" t="str">
        <f>HYPERLINK("https://pbs.twimg.com/profile_images/1237693976112578562/SCzy1Ap4.jpg","View")</f>
        <v>View</v>
      </c>
      <c r="V370" s="8"/>
      <c r="W370" s="8"/>
      <c r="X370" s="8"/>
      <c r="Y370" s="8"/>
      <c r="Z370" s="8"/>
    </row>
    <row r="371" spans="1:26" ht="13.2">
      <c r="A371" s="13">
        <v>44250.713321759264</v>
      </c>
      <c r="B371" s="6" t="str">
        <f>HYPERLINK("https://twitter.com/DecisionsSmart","@DecisionsSmart")</f>
        <v>@DecisionsSmart</v>
      </c>
      <c r="C371" s="14" t="s">
        <v>212</v>
      </c>
      <c r="D371" s="14" t="s">
        <v>1726</v>
      </c>
      <c r="E371" s="6" t="str">
        <f>HYPERLINK("https://twitter.com/DecisionsSmart/status/1364245430788358145","1364245430788358145")</f>
        <v>1364245430788358145</v>
      </c>
      <c r="F371" s="14" t="s">
        <v>1313</v>
      </c>
      <c r="G371" s="8"/>
      <c r="H371" s="8"/>
      <c r="I371" s="14">
        <v>0</v>
      </c>
      <c r="J371" s="14">
        <v>0</v>
      </c>
      <c r="K371" s="6" t="str">
        <f>HYPERLINK("http://twinybots.com","TwinyBots")</f>
        <v>TwinyBots</v>
      </c>
      <c r="L371" s="15">
        <v>6690</v>
      </c>
      <c r="M371" s="15">
        <v>5126</v>
      </c>
      <c r="N371" s="15">
        <v>88</v>
      </c>
      <c r="O371" s="9"/>
      <c r="P371" s="10">
        <v>43282.143495370372</v>
      </c>
      <c r="Q371" s="14" t="s">
        <v>215</v>
      </c>
      <c r="R371" s="14" t="s">
        <v>216</v>
      </c>
      <c r="S371" s="8"/>
      <c r="T371" s="8"/>
      <c r="U371" s="11" t="str">
        <f>HYPERLINK("https://pbs.twimg.com/profile_images/1273753380373004289/crFq1msz.jpg","View")</f>
        <v>View</v>
      </c>
      <c r="V371" s="8"/>
      <c r="W371" s="8"/>
      <c r="X371" s="8"/>
      <c r="Y371" s="8"/>
      <c r="Z371" s="8"/>
    </row>
    <row r="372" spans="1:26" ht="13.2">
      <c r="A372" s="13">
        <v>44250.713263888887</v>
      </c>
      <c r="B372" s="6" t="str">
        <f>HYPERLINK("https://twitter.com/tjmcnamee","@tjmcnamee")</f>
        <v>@tjmcnamee</v>
      </c>
      <c r="C372" s="14" t="s">
        <v>1874</v>
      </c>
      <c r="D372" s="14" t="s">
        <v>1875</v>
      </c>
      <c r="E372" s="6" t="str">
        <f>HYPERLINK("https://twitter.com/tjmcnamee/status/1364245406444568578","1364245406444568578")</f>
        <v>1364245406444568578</v>
      </c>
      <c r="F372" s="7" t="s">
        <v>1876</v>
      </c>
      <c r="G372" s="7" t="s">
        <v>1877</v>
      </c>
      <c r="H372" s="8"/>
      <c r="I372" s="14">
        <v>0</v>
      </c>
      <c r="J372" s="14">
        <v>0</v>
      </c>
      <c r="K372" s="6" t="str">
        <f>HYPERLINK("http://www.everyonesocial.com","EveryoneSocial")</f>
        <v>EveryoneSocial</v>
      </c>
      <c r="L372" s="15">
        <v>8</v>
      </c>
      <c r="M372" s="15">
        <v>42</v>
      </c>
      <c r="N372" s="15">
        <v>0</v>
      </c>
      <c r="O372" s="9"/>
      <c r="P372" s="10">
        <v>39951.742222222223</v>
      </c>
      <c r="Q372" s="14" t="s">
        <v>1878</v>
      </c>
      <c r="R372" s="8"/>
      <c r="S372" s="8"/>
      <c r="T372" s="8"/>
      <c r="U372" s="15" t="s">
        <v>1879</v>
      </c>
      <c r="V372" s="8"/>
      <c r="W372" s="8"/>
      <c r="X372" s="8"/>
      <c r="Y372" s="8"/>
      <c r="Z372" s="8"/>
    </row>
    <row r="373" spans="1:26" ht="13.2">
      <c r="A373" s="13">
        <v>44250.713229166664</v>
      </c>
      <c r="B373" s="6" t="str">
        <f>HYPERLINK("https://twitter.com/PlainEnglish_io","@PlainEnglish_io")</f>
        <v>@PlainEnglish_io</v>
      </c>
      <c r="C373" s="14" t="s">
        <v>1880</v>
      </c>
      <c r="D373" s="14" t="s">
        <v>1881</v>
      </c>
      <c r="E373" s="6" t="str">
        <f>HYPERLINK("https://twitter.com/PlainEnglish_io/status/1364245394792869894","1364245394792869894")</f>
        <v>1364245394792869894</v>
      </c>
      <c r="F373" s="7" t="s">
        <v>1882</v>
      </c>
      <c r="G373" s="8"/>
      <c r="H373" s="8"/>
      <c r="I373" s="14">
        <v>0</v>
      </c>
      <c r="J373" s="14">
        <v>0</v>
      </c>
      <c r="K373" s="6" t="str">
        <f>HYPERLINK("https://plainenglish.io","In Plain English")</f>
        <v>In Plain English</v>
      </c>
      <c r="L373" s="15">
        <v>356</v>
      </c>
      <c r="M373" s="15">
        <v>112</v>
      </c>
      <c r="N373" s="15">
        <v>6</v>
      </c>
      <c r="O373" s="9"/>
      <c r="P373" s="10">
        <v>43974.857465277775</v>
      </c>
      <c r="Q373" s="14" t="s">
        <v>869</v>
      </c>
      <c r="R373" s="14" t="s">
        <v>1883</v>
      </c>
      <c r="S373" s="7" t="s">
        <v>1884</v>
      </c>
      <c r="T373" s="8"/>
      <c r="U373" s="11" t="str">
        <f>HYPERLINK("https://pbs.twimg.com/profile_images/1359444322039586816/jkyrvt2Q.jpg","View")</f>
        <v>View</v>
      </c>
      <c r="V373" s="8"/>
      <c r="W373" s="8"/>
      <c r="X373" s="8"/>
      <c r="Y373" s="8"/>
      <c r="Z373" s="8"/>
    </row>
    <row r="374" spans="1:26" ht="13.2">
      <c r="A374" s="13">
        <v>44250.711863425924</v>
      </c>
      <c r="B374" s="6" t="str">
        <f>HYPERLINK("https://twitter.com/Datascience__","@Datascience__")</f>
        <v>@Datascience__</v>
      </c>
      <c r="C374" s="14" t="s">
        <v>1082</v>
      </c>
      <c r="D374" s="14" t="s">
        <v>1885</v>
      </c>
      <c r="E374" s="6" t="str">
        <f>HYPERLINK("https://twitter.com/Datascience__/status/1364244899839762433","1364244899839762433")</f>
        <v>1364244899839762433</v>
      </c>
      <c r="F374" s="7" t="s">
        <v>1886</v>
      </c>
      <c r="G374" s="8"/>
      <c r="H374" s="8"/>
      <c r="I374" s="14">
        <v>6</v>
      </c>
      <c r="J374" s="14">
        <v>2</v>
      </c>
      <c r="K374" s="6" t="str">
        <f>HYPERLINK("https://twitter.com/pythonbot_","Postmatico")</f>
        <v>Postmatico</v>
      </c>
      <c r="L374" s="15">
        <v>21499</v>
      </c>
      <c r="M374" s="15">
        <v>11071</v>
      </c>
      <c r="N374" s="15">
        <v>0</v>
      </c>
      <c r="O374" s="9"/>
      <c r="P374" s="10">
        <v>42735.551377314812</v>
      </c>
      <c r="Q374" s="8"/>
      <c r="R374" s="14" t="s">
        <v>1085</v>
      </c>
      <c r="S374" s="7" t="s">
        <v>1086</v>
      </c>
      <c r="T374" s="8"/>
      <c r="U374" s="11" t="str">
        <f>HYPERLINK("https://pbs.twimg.com/profile_images/989066461435097088/AQZSFyuk.jpg","View")</f>
        <v>View</v>
      </c>
      <c r="V374" s="8"/>
      <c r="W374" s="8"/>
      <c r="X374" s="8"/>
      <c r="Y374" s="8"/>
      <c r="Z374" s="8"/>
    </row>
    <row r="375" spans="1:26" ht="13.2">
      <c r="A375" s="13">
        <v>44250.711840277778</v>
      </c>
      <c r="B375" s="6" t="str">
        <f>HYPERLINK("https://twitter.com/InformationAge","@InformationAge")</f>
        <v>@InformationAge</v>
      </c>
      <c r="C375" s="14" t="s">
        <v>1887</v>
      </c>
      <c r="D375" s="14" t="s">
        <v>1888</v>
      </c>
      <c r="E375" s="6" t="str">
        <f>HYPERLINK("https://twitter.com/InformationAge/status/1364244893896503298","1364244893896503298")</f>
        <v>1364244893896503298</v>
      </c>
      <c r="F375" s="7" t="s">
        <v>746</v>
      </c>
      <c r="G375" s="7" t="s">
        <v>1889</v>
      </c>
      <c r="H375" s="8"/>
      <c r="I375" s="14">
        <v>1</v>
      </c>
      <c r="J375" s="14">
        <v>1</v>
      </c>
      <c r="K375" s="6" t="str">
        <f>HYPERLINK("https://www.hootsuite.com","Hootsuite Inc.")</f>
        <v>Hootsuite Inc.</v>
      </c>
      <c r="L375" s="15">
        <v>16633</v>
      </c>
      <c r="M375" s="15">
        <v>872</v>
      </c>
      <c r="N375" s="15">
        <v>1204</v>
      </c>
      <c r="O375" s="9"/>
      <c r="P375" s="10">
        <v>39840.772581018522</v>
      </c>
      <c r="Q375" s="14" t="s">
        <v>1890</v>
      </c>
      <c r="R375" s="14" t="s">
        <v>1891</v>
      </c>
      <c r="S375" s="7" t="s">
        <v>1892</v>
      </c>
      <c r="T375" s="8"/>
      <c r="U375" s="11" t="str">
        <f>HYPERLINK("https://pbs.twimg.com/profile_images/1011189249130057729/NerACf3J.jpg","View")</f>
        <v>View</v>
      </c>
      <c r="V375" s="8"/>
      <c r="W375" s="8"/>
      <c r="X375" s="8"/>
      <c r="Y375" s="8"/>
      <c r="Z375" s="8"/>
    </row>
    <row r="376" spans="1:26" ht="13.2">
      <c r="A376" s="13">
        <v>44250.7112037037</v>
      </c>
      <c r="B376" s="6" t="str">
        <f>HYPERLINK("https://twitter.com/IjyiLtd","@IjyiLtd")</f>
        <v>@IjyiLtd</v>
      </c>
      <c r="C376" s="14" t="s">
        <v>1893</v>
      </c>
      <c r="D376" s="14" t="s">
        <v>1894</v>
      </c>
      <c r="E376" s="6" t="str">
        <f>HYPERLINK("https://twitter.com/IjyiLtd/status/1364244660386996226","1364244660386996226")</f>
        <v>1364244660386996226</v>
      </c>
      <c r="F376" s="7" t="s">
        <v>1895</v>
      </c>
      <c r="G376" s="8"/>
      <c r="H376" s="8"/>
      <c r="I376" s="14">
        <v>3</v>
      </c>
      <c r="J376" s="14">
        <v>2</v>
      </c>
      <c r="K376" s="6" t="str">
        <f>HYPERLINK("https://mobile.twitter.com","Twitter Web App")</f>
        <v>Twitter Web App</v>
      </c>
      <c r="L376" s="15">
        <v>498</v>
      </c>
      <c r="M376" s="15">
        <v>783</v>
      </c>
      <c r="N376" s="15">
        <v>11</v>
      </c>
      <c r="O376" s="9"/>
      <c r="P376" s="10">
        <v>41727.581921296296</v>
      </c>
      <c r="Q376" s="14" t="s">
        <v>1896</v>
      </c>
      <c r="R376" s="14" t="s">
        <v>1897</v>
      </c>
      <c r="S376" s="7" t="s">
        <v>1898</v>
      </c>
      <c r="T376" s="8"/>
      <c r="U376" s="11" t="str">
        <f>HYPERLINK("https://pbs.twimg.com/profile_images/916038398342770691/_KG3pOJm.jpg","View")</f>
        <v>View</v>
      </c>
      <c r="V376" s="8"/>
      <c r="W376" s="8"/>
      <c r="X376" s="8"/>
      <c r="Y376" s="8"/>
      <c r="Z376" s="8"/>
    </row>
    <row r="377" spans="1:26" ht="13.2">
      <c r="A377" s="13">
        <v>44250.711192129631</v>
      </c>
      <c r="B377" s="6" t="str">
        <f>HYPERLINK("https://twitter.com/CodingPers_Bot","@CodingPers_Bot")</f>
        <v>@CodingPers_Bot</v>
      </c>
      <c r="C377" s="14" t="s">
        <v>1899</v>
      </c>
      <c r="D377" s="14" t="s">
        <v>1900</v>
      </c>
      <c r="E377" s="6" t="str">
        <f>HYPERLINK("https://twitter.com/CodingPers_Bot/status/1364244656771502086","1364244656771502086")</f>
        <v>1364244656771502086</v>
      </c>
      <c r="F377" s="7" t="s">
        <v>1901</v>
      </c>
      <c r="G377" s="8"/>
      <c r="H377" s="8"/>
      <c r="I377" s="14">
        <v>2</v>
      </c>
      <c r="J377" s="14">
        <v>0</v>
      </c>
      <c r="K377" s="8"/>
      <c r="L377" s="15">
        <v>7</v>
      </c>
      <c r="M377" s="15">
        <v>1</v>
      </c>
      <c r="N377" s="15">
        <v>0</v>
      </c>
      <c r="O377" s="9"/>
      <c r="P377" s="10">
        <v>44209.357442129629</v>
      </c>
      <c r="Q377" s="8"/>
      <c r="R377" s="14" t="s">
        <v>1902</v>
      </c>
      <c r="S377" s="7" t="s">
        <v>1903</v>
      </c>
      <c r="T377" s="8"/>
      <c r="U377" s="11" t="str">
        <f>HYPERLINK("https://pbs.twimg.com/profile_images/1354492057025449990/GKDFizO-.jpg","View")</f>
        <v>View</v>
      </c>
      <c r="V377" s="8"/>
      <c r="W377" s="8"/>
      <c r="X377" s="8"/>
      <c r="Y377" s="8"/>
      <c r="Z377" s="8"/>
    </row>
    <row r="378" spans="1:26" ht="13.2">
      <c r="A378" s="13">
        <v>44250.711157407408</v>
      </c>
      <c r="B378" s="6" t="str">
        <f>HYPERLINK("https://twitter.com/Deep__AI","@Deep__AI")</f>
        <v>@Deep__AI</v>
      </c>
      <c r="C378" s="14" t="s">
        <v>1904</v>
      </c>
      <c r="D378" s="14" t="s">
        <v>1905</v>
      </c>
      <c r="E378" s="6" t="str">
        <f>HYPERLINK("https://twitter.com/Deep__AI/status/1364244644188446722","1364244644188446722")</f>
        <v>1364244644188446722</v>
      </c>
      <c r="F378" s="7" t="s">
        <v>1906</v>
      </c>
      <c r="G378" s="8"/>
      <c r="H378" s="8"/>
      <c r="I378" s="14">
        <v>8</v>
      </c>
      <c r="J378" s="14">
        <v>11</v>
      </c>
      <c r="K378" s="6" t="str">
        <f>HYPERLINK("https://deepai.org/","DeepAI")</f>
        <v>DeepAI</v>
      </c>
      <c r="L378" s="15">
        <v>36483</v>
      </c>
      <c r="M378" s="15">
        <v>1642</v>
      </c>
      <c r="N378" s="15">
        <v>406</v>
      </c>
      <c r="O378" s="9"/>
      <c r="P378" s="10">
        <v>42826.414039351846</v>
      </c>
      <c r="Q378" s="14" t="s">
        <v>1907</v>
      </c>
      <c r="R378" s="14" t="s">
        <v>1908</v>
      </c>
      <c r="S378" s="7" t="s">
        <v>1909</v>
      </c>
      <c r="T378" s="8"/>
      <c r="U378" s="11" t="str">
        <f>HYPERLINK("https://pbs.twimg.com/profile_images/1118532973203079168/8VTzkyzD.png","View")</f>
        <v>View</v>
      </c>
      <c r="V378" s="8"/>
      <c r="W378" s="8"/>
      <c r="X378" s="8"/>
      <c r="Y378" s="8"/>
      <c r="Z378" s="8"/>
    </row>
    <row r="379" spans="1:26" ht="13.2">
      <c r="A379" s="13">
        <v>44250.710543981477</v>
      </c>
      <c r="B379" s="6" t="str">
        <f>HYPERLINK("https://twitter.com/ANoorTM","@ANoorTM")</f>
        <v>@ANoorTM</v>
      </c>
      <c r="C379" s="14" t="s">
        <v>1720</v>
      </c>
      <c r="D379" s="14" t="s">
        <v>1910</v>
      </c>
      <c r="E379" s="6" t="str">
        <f>HYPERLINK("https://twitter.com/ANoorTM/status/1364244424486658051","1364244424486658051")</f>
        <v>1364244424486658051</v>
      </c>
      <c r="F379" s="8"/>
      <c r="G379" s="7" t="s">
        <v>1911</v>
      </c>
      <c r="H379" s="8"/>
      <c r="I379" s="14">
        <v>4</v>
      </c>
      <c r="J379" s="14">
        <v>1</v>
      </c>
      <c r="K379" s="6" t="str">
        <f t="shared" ref="K379:K381" si="53">HYPERLINK("https://mobile.twitter.com","Twitter Web App")</f>
        <v>Twitter Web App</v>
      </c>
      <c r="L379" s="15">
        <v>115</v>
      </c>
      <c r="M379" s="15">
        <v>396</v>
      </c>
      <c r="N379" s="15">
        <v>0</v>
      </c>
      <c r="O379" s="9"/>
      <c r="P379" s="10">
        <v>41609.607916666668</v>
      </c>
      <c r="Q379" s="14" t="s">
        <v>1722</v>
      </c>
      <c r="R379" s="14" t="s">
        <v>1723</v>
      </c>
      <c r="S379" s="7" t="s">
        <v>1724</v>
      </c>
      <c r="T379" s="8"/>
      <c r="U379" s="11" t="str">
        <f>HYPERLINK("https://pbs.twimg.com/profile_images/1360847327636955136/AMGDy86d.jpg","View")</f>
        <v>View</v>
      </c>
      <c r="V379" s="8"/>
      <c r="W379" s="8"/>
      <c r="X379" s="8"/>
      <c r="Y379" s="8"/>
      <c r="Z379" s="8"/>
    </row>
    <row r="380" spans="1:26" ht="13.2">
      <c r="A380" s="13">
        <v>44250.710011574076</v>
      </c>
      <c r="B380" s="6" t="str">
        <f>HYPERLINK("https://twitter.com/WeAreJADBio","@WeAreJADBio")</f>
        <v>@WeAreJADBio</v>
      </c>
      <c r="C380" s="14" t="s">
        <v>1912</v>
      </c>
      <c r="D380" s="14" t="s">
        <v>1913</v>
      </c>
      <c r="E380" s="6" t="str">
        <f>HYPERLINK("https://twitter.com/WeAreJADBio/status/1364244231796178946","1364244231796178946")</f>
        <v>1364244231796178946</v>
      </c>
      <c r="F380" s="7" t="s">
        <v>1914</v>
      </c>
      <c r="G380" s="8"/>
      <c r="H380" s="8"/>
      <c r="I380" s="14">
        <v>0</v>
      </c>
      <c r="J380" s="14">
        <v>1</v>
      </c>
      <c r="K380" s="6" t="str">
        <f t="shared" si="53"/>
        <v>Twitter Web App</v>
      </c>
      <c r="L380" s="15">
        <v>114</v>
      </c>
      <c r="M380" s="15">
        <v>545</v>
      </c>
      <c r="N380" s="15">
        <v>0</v>
      </c>
      <c r="O380" s="9"/>
      <c r="P380" s="10">
        <v>44018.772951388892</v>
      </c>
      <c r="Q380" s="14" t="s">
        <v>138</v>
      </c>
      <c r="R380" s="14" t="s">
        <v>1915</v>
      </c>
      <c r="S380" s="7" t="s">
        <v>1916</v>
      </c>
      <c r="T380" s="8"/>
      <c r="U380" s="11" t="str">
        <f>HYPERLINK("https://pbs.twimg.com/profile_images/1280179766964957186/pLxHxO-l.jpg","View")</f>
        <v>View</v>
      </c>
      <c r="V380" s="8"/>
      <c r="W380" s="8"/>
      <c r="X380" s="8"/>
      <c r="Y380" s="8"/>
      <c r="Z380" s="8"/>
    </row>
    <row r="381" spans="1:26" ht="13.2">
      <c r="A381" s="13">
        <v>44250.709988425922</v>
      </c>
      <c r="B381" s="6" t="str">
        <f>HYPERLINK("https://twitter.com/Eli_Krumova","@Eli_Krumova")</f>
        <v>@Eli_Krumova</v>
      </c>
      <c r="C381" s="14" t="s">
        <v>947</v>
      </c>
      <c r="D381" s="14" t="s">
        <v>1917</v>
      </c>
      <c r="E381" s="6" t="str">
        <f>HYPERLINK("https://twitter.com/Eli_Krumova/status/1364244222514192393","1364244222514192393")</f>
        <v>1364244222514192393</v>
      </c>
      <c r="F381" s="14" t="s">
        <v>1918</v>
      </c>
      <c r="G381" s="14" t="s">
        <v>1919</v>
      </c>
      <c r="H381" s="8"/>
      <c r="I381" s="14">
        <v>15</v>
      </c>
      <c r="J381" s="14">
        <v>5</v>
      </c>
      <c r="K381" s="6" t="str">
        <f t="shared" si="53"/>
        <v>Twitter Web App</v>
      </c>
      <c r="L381" s="15">
        <v>4471</v>
      </c>
      <c r="M381" s="15">
        <v>5001</v>
      </c>
      <c r="N381" s="15">
        <v>79</v>
      </c>
      <c r="O381" s="9"/>
      <c r="P381" s="10">
        <v>41346.597002314811</v>
      </c>
      <c r="Q381" s="14" t="s">
        <v>951</v>
      </c>
      <c r="R381" s="14" t="s">
        <v>952</v>
      </c>
      <c r="S381" s="8"/>
      <c r="T381" s="8"/>
      <c r="U381" s="11" t="str">
        <f>HYPERLINK("https://pbs.twimg.com/profile_images/1361638888427683840/HqNlplM_.jpg","View")</f>
        <v>View</v>
      </c>
      <c r="V381" s="8"/>
      <c r="W381" s="8"/>
      <c r="X381" s="8"/>
      <c r="Y381" s="8"/>
      <c r="Z381" s="8"/>
    </row>
    <row r="382" spans="1:26" ht="13.2">
      <c r="A382" s="13">
        <v>44250.709293981483</v>
      </c>
      <c r="B382" s="6" t="str">
        <f>HYPERLINK("https://twitter.com/dat4mente","@dat4mente")</f>
        <v>@dat4mente</v>
      </c>
      <c r="C382" s="14" t="s">
        <v>1920</v>
      </c>
      <c r="D382" s="14" t="s">
        <v>1921</v>
      </c>
      <c r="E382" s="6" t="str">
        <f>HYPERLINK("https://twitter.com/dat4mente/status/1364243971640332293","1364243971640332293")</f>
        <v>1364243971640332293</v>
      </c>
      <c r="F382" s="7" t="s">
        <v>1922</v>
      </c>
      <c r="G382" s="7" t="s">
        <v>1923</v>
      </c>
      <c r="H382" s="8"/>
      <c r="I382" s="14">
        <v>1</v>
      </c>
      <c r="J382" s="14">
        <v>1</v>
      </c>
      <c r="K382" s="6" t="str">
        <f t="shared" ref="K382:K384" si="54">HYPERLINK("https://www.hootsuite.com","Hootsuite Inc.")</f>
        <v>Hootsuite Inc.</v>
      </c>
      <c r="L382" s="15">
        <v>94</v>
      </c>
      <c r="M382" s="15">
        <v>25</v>
      </c>
      <c r="N382" s="15">
        <v>3</v>
      </c>
      <c r="O382" s="9"/>
      <c r="P382" s="10">
        <v>43235.83012731481</v>
      </c>
      <c r="Q382" s="14" t="s">
        <v>75</v>
      </c>
      <c r="R382" s="14" t="s">
        <v>1924</v>
      </c>
      <c r="S382" s="7" t="s">
        <v>1925</v>
      </c>
      <c r="T382" s="8"/>
      <c r="U382" s="11" t="str">
        <f>HYPERLINK("https://pbs.twimg.com/profile_images/996459359327670272/9kPxpRLS.jpg","View")</f>
        <v>View</v>
      </c>
      <c r="V382" s="8"/>
      <c r="W382" s="8"/>
      <c r="X382" s="8"/>
      <c r="Y382" s="8"/>
      <c r="Z382" s="8"/>
    </row>
    <row r="383" spans="1:26" ht="13.2">
      <c r="A383" s="13">
        <v>44250.70925925926</v>
      </c>
      <c r="B383" s="6" t="str">
        <f>HYPERLINK("https://twitter.com/MatthewRenze","@MatthewRenze")</f>
        <v>@MatthewRenze</v>
      </c>
      <c r="C383" s="14" t="s">
        <v>1926</v>
      </c>
      <c r="D383" s="14" t="s">
        <v>1927</v>
      </c>
      <c r="E383" s="6" t="str">
        <f>HYPERLINK("https://twitter.com/MatthewRenze/status/1364243957438382086","1364243957438382086")</f>
        <v>1364243957438382086</v>
      </c>
      <c r="F383" s="7" t="s">
        <v>1928</v>
      </c>
      <c r="G383" s="8"/>
      <c r="H383" s="8"/>
      <c r="I383" s="14">
        <v>0</v>
      </c>
      <c r="J383" s="14">
        <v>1</v>
      </c>
      <c r="K383" s="6" t="str">
        <f t="shared" si="54"/>
        <v>Hootsuite Inc.</v>
      </c>
      <c r="L383" s="15">
        <v>2431</v>
      </c>
      <c r="M383" s="15">
        <v>435</v>
      </c>
      <c r="N383" s="15">
        <v>88</v>
      </c>
      <c r="O383" s="9"/>
      <c r="P383" s="10">
        <v>40071.184849537036</v>
      </c>
      <c r="Q383" s="14" t="s">
        <v>1929</v>
      </c>
      <c r="R383" s="14" t="s">
        <v>1930</v>
      </c>
      <c r="S383" s="7" t="s">
        <v>1931</v>
      </c>
      <c r="T383" s="8"/>
      <c r="U383" s="11" t="str">
        <f>HYPERLINK("https://pbs.twimg.com/profile_images/608438312173453315/jO9hPL0e.jpg","View")</f>
        <v>View</v>
      </c>
      <c r="V383" s="8"/>
      <c r="W383" s="8"/>
      <c r="X383" s="8"/>
      <c r="Y383" s="8"/>
      <c r="Z383" s="8"/>
    </row>
    <row r="384" spans="1:26" ht="13.2">
      <c r="A384" s="13">
        <v>44250.709189814814</v>
      </c>
      <c r="B384" s="6" t="str">
        <f>HYPERLINK("https://twitter.com/arjenvanberkum","@arjenvanberkum")</f>
        <v>@arjenvanberkum</v>
      </c>
      <c r="C384" s="14" t="s">
        <v>1932</v>
      </c>
      <c r="D384" s="14" t="s">
        <v>1933</v>
      </c>
      <c r="E384" s="6" t="str">
        <f>HYPERLINK("https://twitter.com/arjenvanberkum/status/1364243933841281029","1364243933841281029")</f>
        <v>1364243933841281029</v>
      </c>
      <c r="F384" s="7" t="s">
        <v>1934</v>
      </c>
      <c r="G384" s="8"/>
      <c r="H384" s="8"/>
      <c r="I384" s="14">
        <v>2</v>
      </c>
      <c r="J384" s="14">
        <v>0</v>
      </c>
      <c r="K384" s="6" t="str">
        <f t="shared" si="54"/>
        <v>Hootsuite Inc.</v>
      </c>
      <c r="L384" s="15">
        <v>35525</v>
      </c>
      <c r="M384" s="15">
        <v>25582</v>
      </c>
      <c r="N384" s="15">
        <v>2679</v>
      </c>
      <c r="O384" s="9"/>
      <c r="P384" s="10">
        <v>40000.924085648148</v>
      </c>
      <c r="Q384" s="14" t="s">
        <v>1935</v>
      </c>
      <c r="R384" s="14" t="s">
        <v>1936</v>
      </c>
      <c r="S384" s="7" t="s">
        <v>1937</v>
      </c>
      <c r="T384" s="8"/>
      <c r="U384" s="11" t="str">
        <f>HYPERLINK("https://pbs.twimg.com/profile_images/627125933800075264/gtLxqzzN.jpg","View")</f>
        <v>View</v>
      </c>
      <c r="V384" s="8"/>
      <c r="W384" s="8"/>
      <c r="X384" s="8"/>
      <c r="Y384" s="8"/>
      <c r="Z384" s="8"/>
    </row>
    <row r="385" spans="1:26" ht="13.2">
      <c r="A385" s="13">
        <v>44250.708923611106</v>
      </c>
      <c r="B385" s="6" t="str">
        <f>HYPERLINK("https://twitter.com/GARP_Risk","@GARP_Risk")</f>
        <v>@GARP_Risk</v>
      </c>
      <c r="C385" s="14" t="s">
        <v>1476</v>
      </c>
      <c r="D385" s="14" t="s">
        <v>1938</v>
      </c>
      <c r="E385" s="6" t="str">
        <f>HYPERLINK("https://twitter.com/GARP_Risk/status/1364243835916865545","1364243835916865545")</f>
        <v>1364243835916865545</v>
      </c>
      <c r="F385" s="8"/>
      <c r="G385" s="7" t="s">
        <v>1198</v>
      </c>
      <c r="H385" s="8"/>
      <c r="I385" s="14">
        <v>1</v>
      </c>
      <c r="J385" s="14">
        <v>1</v>
      </c>
      <c r="K385" s="6" t="str">
        <f>HYPERLINK("https://sproutsocial.com","Sprout Social")</f>
        <v>Sprout Social</v>
      </c>
      <c r="L385" s="15">
        <v>14543</v>
      </c>
      <c r="M385" s="15">
        <v>381</v>
      </c>
      <c r="N385" s="15">
        <v>271</v>
      </c>
      <c r="O385" s="15" t="s">
        <v>130</v>
      </c>
      <c r="P385" s="10">
        <v>40612.937372685185</v>
      </c>
      <c r="Q385" s="14" t="s">
        <v>650</v>
      </c>
      <c r="R385" s="14" t="s">
        <v>1479</v>
      </c>
      <c r="S385" s="7" t="s">
        <v>1480</v>
      </c>
      <c r="T385" s="8"/>
      <c r="U385" s="11" t="str">
        <f>HYPERLINK("https://pbs.twimg.com/profile_images/1190276531542724608/1boVdwID.png","View")</f>
        <v>View</v>
      </c>
      <c r="V385" s="8"/>
      <c r="W385" s="8"/>
      <c r="X385" s="8"/>
      <c r="Y385" s="8"/>
      <c r="Z385" s="8"/>
    </row>
    <row r="386" spans="1:26" ht="13.2">
      <c r="A386" s="13">
        <v>44250.708773148144</v>
      </c>
      <c r="B386" s="6" t="str">
        <f>HYPERLINK("https://twitter.com/puneetjindalisb","@puneetjindalisb")</f>
        <v>@puneetjindalisb</v>
      </c>
      <c r="C386" s="14" t="s">
        <v>1939</v>
      </c>
      <c r="D386" s="14" t="s">
        <v>1940</v>
      </c>
      <c r="E386" s="6" t="str">
        <f>HYPERLINK("https://twitter.com/puneetjindalisb/status/1364243781248286727","1364243781248286727")</f>
        <v>1364243781248286727</v>
      </c>
      <c r="F386" s="7" t="s">
        <v>1941</v>
      </c>
      <c r="G386" s="8"/>
      <c r="H386" s="8"/>
      <c r="I386" s="14">
        <v>0</v>
      </c>
      <c r="J386" s="14">
        <v>0</v>
      </c>
      <c r="K386" s="6" t="str">
        <f>HYPERLINK("https://www.hootsuite.com","Hootsuite Inc.")</f>
        <v>Hootsuite Inc.</v>
      </c>
      <c r="L386" s="15">
        <v>147</v>
      </c>
      <c r="M386" s="15">
        <v>679</v>
      </c>
      <c r="N386" s="15">
        <v>0</v>
      </c>
      <c r="O386" s="9"/>
      <c r="P386" s="10">
        <v>41914.419953703706</v>
      </c>
      <c r="Q386" s="14" t="s">
        <v>1942</v>
      </c>
      <c r="R386" s="14" t="s">
        <v>1943</v>
      </c>
      <c r="S386" s="7" t="s">
        <v>1944</v>
      </c>
      <c r="T386" s="8"/>
      <c r="U386" s="11" t="str">
        <f>HYPERLINK("https://pbs.twimg.com/profile_images/769884625221013504/vHbz4Mwc.jpg","View")</f>
        <v>View</v>
      </c>
      <c r="V386" s="8"/>
      <c r="W386" s="8"/>
      <c r="X386" s="8"/>
      <c r="Y386" s="8"/>
      <c r="Z386" s="8"/>
    </row>
    <row r="387" spans="1:26" ht="13.2">
      <c r="A387" s="13">
        <v>44250.708715277782</v>
      </c>
      <c r="B387" s="6" t="str">
        <f>HYPERLINK("https://twitter.com/techjunkiejh","@techjunkiejh")</f>
        <v>@techjunkiejh</v>
      </c>
      <c r="C387" s="14" t="s">
        <v>1945</v>
      </c>
      <c r="D387" s="14" t="s">
        <v>1946</v>
      </c>
      <c r="E387" s="6" t="str">
        <f>HYPERLINK("https://twitter.com/techjunkiejh/status/1364243760129990662","1364243760129990662")</f>
        <v>1364243760129990662</v>
      </c>
      <c r="F387" s="7" t="s">
        <v>1947</v>
      </c>
      <c r="G387" s="7" t="s">
        <v>1948</v>
      </c>
      <c r="H387" s="8"/>
      <c r="I387" s="14">
        <v>3</v>
      </c>
      <c r="J387" s="14">
        <v>0</v>
      </c>
      <c r="K387" s="6" t="str">
        <f>HYPERLINK("https://buffer.com","Buffer")</f>
        <v>Buffer</v>
      </c>
      <c r="L387" s="15">
        <v>28541</v>
      </c>
      <c r="M387" s="15">
        <v>22044</v>
      </c>
      <c r="N387" s="15">
        <v>6147</v>
      </c>
      <c r="O387" s="9"/>
      <c r="P387" s="10">
        <v>42062.082199074073</v>
      </c>
      <c r="Q387" s="8"/>
      <c r="R387" s="14" t="s">
        <v>1949</v>
      </c>
      <c r="S387" s="7" t="s">
        <v>1950</v>
      </c>
      <c r="T387" s="8"/>
      <c r="U387" s="11" t="str">
        <f>HYPERLINK("https://pbs.twimg.com/profile_images/587160065536299009/9MBFPj6a.png","View")</f>
        <v>View</v>
      </c>
      <c r="V387" s="8"/>
      <c r="W387" s="8"/>
      <c r="X387" s="8"/>
      <c r="Y387" s="8"/>
      <c r="Z387" s="8"/>
    </row>
    <row r="388" spans="1:26" ht="13.2">
      <c r="A388" s="13">
        <v>44250.708703703705</v>
      </c>
      <c r="B388" s="6" t="str">
        <f>HYPERLINK("https://twitter.com/VerticaUnified","@VerticaUnified")</f>
        <v>@VerticaUnified</v>
      </c>
      <c r="C388" s="14" t="s">
        <v>1951</v>
      </c>
      <c r="D388" s="14" t="s">
        <v>1952</v>
      </c>
      <c r="E388" s="6" t="str">
        <f>HYPERLINK("https://twitter.com/VerticaUnified/status/1364243753960148994","1364243753960148994")</f>
        <v>1364243753960148994</v>
      </c>
      <c r="F388" s="7" t="s">
        <v>1953</v>
      </c>
      <c r="G388" s="8"/>
      <c r="H388" s="8"/>
      <c r="I388" s="14">
        <v>0</v>
      </c>
      <c r="J388" s="14">
        <v>1</v>
      </c>
      <c r="K388" s="6" t="str">
        <f>HYPERLINK("http://www.everyonesocial.com","EveryoneSocial")</f>
        <v>EveryoneSocial</v>
      </c>
      <c r="L388" s="15">
        <v>13071</v>
      </c>
      <c r="M388" s="15">
        <v>1904</v>
      </c>
      <c r="N388" s="15">
        <v>804</v>
      </c>
      <c r="O388" s="9"/>
      <c r="P388" s="10">
        <v>40372.775439814817</v>
      </c>
      <c r="Q388" s="14" t="s">
        <v>221</v>
      </c>
      <c r="R388" s="14" t="s">
        <v>1954</v>
      </c>
      <c r="S388" s="7" t="s">
        <v>1955</v>
      </c>
      <c r="T388" s="8"/>
      <c r="U388" s="11" t="str">
        <f>HYPERLINK("https://pbs.twimg.com/profile_images/1007732969157480448/ZFjB1nl1.jpg","View")</f>
        <v>View</v>
      </c>
      <c r="V388" s="8"/>
      <c r="W388" s="8"/>
      <c r="X388" s="8"/>
      <c r="Y388" s="8"/>
      <c r="Z388" s="8"/>
    </row>
    <row r="389" spans="1:26" ht="13.2">
      <c r="A389" s="13">
        <v>44250.708611111113</v>
      </c>
      <c r="B389" s="6" t="str">
        <f>HYPERLINK("https://twitter.com/Deep_In_Depth","@Deep_In_Depth")</f>
        <v>@Deep_In_Depth</v>
      </c>
      <c r="C389" s="14" t="s">
        <v>312</v>
      </c>
      <c r="D389" s="14" t="s">
        <v>1956</v>
      </c>
      <c r="E389" s="6" t="str">
        <f>HYPERLINK("https://twitter.com/Deep_In_Depth/status/1364243721265569799","1364243721265569799")</f>
        <v>1364243721265569799</v>
      </c>
      <c r="F389" s="14" t="s">
        <v>1957</v>
      </c>
      <c r="G389" s="8"/>
      <c r="H389" s="8"/>
      <c r="I389" s="14">
        <v>4</v>
      </c>
      <c r="J389" s="14">
        <v>3</v>
      </c>
      <c r="K389" s="6" t="str">
        <f>HYPERLINK("https://buffer.com","Buffer")</f>
        <v>Buffer</v>
      </c>
      <c r="L389" s="15">
        <v>10954</v>
      </c>
      <c r="M389" s="15">
        <v>9176</v>
      </c>
      <c r="N389" s="15">
        <v>159</v>
      </c>
      <c r="O389" s="9"/>
      <c r="P389" s="10">
        <v>42864.439525462964</v>
      </c>
      <c r="Q389" s="14" t="s">
        <v>315</v>
      </c>
      <c r="R389" s="14" t="s">
        <v>316</v>
      </c>
      <c r="S389" s="7" t="s">
        <v>317</v>
      </c>
      <c r="T389" s="8"/>
      <c r="U389" s="11" t="str">
        <f>HYPERLINK("https://pbs.twimg.com/profile_images/861866967493431296/PIjaSD4g.jpg","View")</f>
        <v>View</v>
      </c>
      <c r="V389" s="8"/>
      <c r="W389" s="8"/>
      <c r="X389" s="8"/>
      <c r="Y389" s="8"/>
      <c r="Z389" s="8"/>
    </row>
    <row r="390" spans="1:26" ht="13.2">
      <c r="A390" s="13">
        <v>44250.708483796298</v>
      </c>
      <c r="B390" s="6" t="str">
        <f>HYPERLINK("https://twitter.com/ipfconline1","@ipfconline1")</f>
        <v>@ipfconline1</v>
      </c>
      <c r="C390" s="14" t="s">
        <v>65</v>
      </c>
      <c r="D390" s="14" t="s">
        <v>1958</v>
      </c>
      <c r="E390" s="6" t="str">
        <f>HYPERLINK("https://twitter.com/ipfconline1/status/1364243676914974723","1364243676914974723")</f>
        <v>1364243676914974723</v>
      </c>
      <c r="F390" s="7" t="s">
        <v>1959</v>
      </c>
      <c r="G390" s="7" t="s">
        <v>1960</v>
      </c>
      <c r="H390" s="8"/>
      <c r="I390" s="14">
        <v>14</v>
      </c>
      <c r="J390" s="14">
        <v>14</v>
      </c>
      <c r="K390" s="6" t="str">
        <f t="shared" ref="K390:K391" si="55">HYPERLINK("https://twittimer.com","Twittimer")</f>
        <v>Twittimer</v>
      </c>
      <c r="L390" s="15">
        <v>112675</v>
      </c>
      <c r="M390" s="15">
        <v>107162</v>
      </c>
      <c r="N390" s="15">
        <v>7806</v>
      </c>
      <c r="O390" s="9"/>
      <c r="P390" s="10">
        <v>42433.031967592593</v>
      </c>
      <c r="Q390" s="14" t="s">
        <v>69</v>
      </c>
      <c r="R390" s="14" t="s">
        <v>70</v>
      </c>
      <c r="S390" s="7" t="s">
        <v>71</v>
      </c>
      <c r="T390" s="8"/>
      <c r="U390" s="11" t="str">
        <f>HYPERLINK("https://pbs.twimg.com/profile_images/729065804004769793/St2_Pum9.jpg","View")</f>
        <v>View</v>
      </c>
      <c r="V390" s="8"/>
      <c r="W390" s="8"/>
      <c r="X390" s="8"/>
      <c r="Y390" s="8"/>
      <c r="Z390" s="8"/>
    </row>
    <row r="391" spans="1:26" ht="13.2">
      <c r="A391" s="13">
        <v>44250.708472222221</v>
      </c>
      <c r="B391" s="6" t="str">
        <f>HYPERLINK("https://twitter.com/themlguru","@themlguru")</f>
        <v>@themlguru</v>
      </c>
      <c r="C391" s="14" t="s">
        <v>362</v>
      </c>
      <c r="D391" s="14" t="s">
        <v>1961</v>
      </c>
      <c r="E391" s="6" t="str">
        <f>HYPERLINK("https://twitter.com/themlguru/status/1364243672531931138","1364243672531931138")</f>
        <v>1364243672531931138</v>
      </c>
      <c r="F391" s="8"/>
      <c r="G391" s="8"/>
      <c r="H391" s="8"/>
      <c r="I391" s="14">
        <v>0</v>
      </c>
      <c r="J391" s="14">
        <v>1</v>
      </c>
      <c r="K391" s="6" t="str">
        <f t="shared" si="55"/>
        <v>Twittimer</v>
      </c>
      <c r="L391" s="15">
        <v>10</v>
      </c>
      <c r="M391" s="15">
        <v>33</v>
      </c>
      <c r="N391" s="15">
        <v>0</v>
      </c>
      <c r="O391" s="9"/>
      <c r="P391" s="10">
        <v>44242.188148148147</v>
      </c>
      <c r="Q391" s="14" t="s">
        <v>364</v>
      </c>
      <c r="R391" s="8"/>
      <c r="S391" s="8"/>
      <c r="T391" s="8"/>
      <c r="U391" s="11" t="str">
        <f>HYPERLINK("https://pbs.twimg.com/profile_images/1361967087623700484/-6UQQ_sZ.jpg","View")</f>
        <v>View</v>
      </c>
      <c r="V391" s="8"/>
      <c r="W391" s="8"/>
      <c r="X391" s="8"/>
      <c r="Y391" s="8"/>
      <c r="Z391" s="8"/>
    </row>
    <row r="392" spans="1:26" ht="13.2">
      <c r="A392" s="13">
        <v>44250.708437499998</v>
      </c>
      <c r="B392" s="6" t="str">
        <f>HYPERLINK("https://twitter.com/AustraliaAi","@AustraliaAi")</f>
        <v>@AustraliaAi</v>
      </c>
      <c r="C392" s="14" t="s">
        <v>1962</v>
      </c>
      <c r="D392" s="14" t="s">
        <v>1963</v>
      </c>
      <c r="E392" s="6" t="str">
        <f>HYPERLINK("https://twitter.com/AustraliaAi/status/1364243657524719618","1364243657524719618")</f>
        <v>1364243657524719618</v>
      </c>
      <c r="F392" s="8"/>
      <c r="G392" s="7" t="s">
        <v>1964</v>
      </c>
      <c r="H392" s="8"/>
      <c r="I392" s="14">
        <v>2</v>
      </c>
      <c r="J392" s="14">
        <v>2</v>
      </c>
      <c r="K392" s="6" t="str">
        <f>HYPERLINK("https://app.sendible.com","Sendible")</f>
        <v>Sendible</v>
      </c>
      <c r="L392" s="15">
        <v>372</v>
      </c>
      <c r="M392" s="15">
        <v>156</v>
      </c>
      <c r="N392" s="15">
        <v>15</v>
      </c>
      <c r="O392" s="9"/>
      <c r="P392" s="10">
        <v>43238.426400462966</v>
      </c>
      <c r="Q392" s="14" t="s">
        <v>1965</v>
      </c>
      <c r="R392" s="14" t="s">
        <v>1966</v>
      </c>
      <c r="S392" s="7" t="s">
        <v>1967</v>
      </c>
      <c r="T392" s="8"/>
      <c r="U392" s="11" t="str">
        <f>HYPERLINK("https://pbs.twimg.com/profile_images/997395542169694208/C8IypA30.jpg","View")</f>
        <v>View</v>
      </c>
      <c r="V392" s="8"/>
      <c r="W392" s="8"/>
      <c r="X392" s="8"/>
      <c r="Y392" s="8"/>
      <c r="Z392" s="8"/>
    </row>
    <row r="393" spans="1:26" ht="13.2">
      <c r="A393" s="13">
        <v>44250.708344907413</v>
      </c>
      <c r="B393" s="6" t="str">
        <f>HYPERLINK("https://twitter.com/FreeHipwee","@FreeHipwee")</f>
        <v>@FreeHipwee</v>
      </c>
      <c r="C393" s="14" t="s">
        <v>1968</v>
      </c>
      <c r="D393" s="14" t="s">
        <v>1969</v>
      </c>
      <c r="E393" s="6" t="str">
        <f>HYPERLINK("https://twitter.com/FreeHipwee/status/1364243625098567681","1364243625098567681")</f>
        <v>1364243625098567681</v>
      </c>
      <c r="F393" s="7" t="s">
        <v>1970</v>
      </c>
      <c r="G393" s="8"/>
      <c r="H393" s="8"/>
      <c r="I393" s="14">
        <v>11</v>
      </c>
      <c r="J393" s="14">
        <v>1</v>
      </c>
      <c r="K393" s="6" t="str">
        <f t="shared" ref="K393:K394" si="56">HYPERLINK("https://about.twitter.com/products/tweetdeck","TweetDeck")</f>
        <v>TweetDeck</v>
      </c>
      <c r="L393" s="15">
        <v>444</v>
      </c>
      <c r="M393" s="15">
        <v>152</v>
      </c>
      <c r="N393" s="15">
        <v>7</v>
      </c>
      <c r="O393" s="9"/>
      <c r="P393" s="10">
        <v>43642.24018518519</v>
      </c>
      <c r="Q393" s="8"/>
      <c r="R393" s="14" t="s">
        <v>1971</v>
      </c>
      <c r="S393" s="8"/>
      <c r="T393" s="8"/>
      <c r="U393" s="11" t="str">
        <f>HYPERLINK("https://pbs.twimg.com/profile_images/1143734724977762304/i9HNUbp4.png","View")</f>
        <v>View</v>
      </c>
      <c r="V393" s="8"/>
      <c r="W393" s="8"/>
      <c r="X393" s="8"/>
      <c r="Y393" s="8"/>
      <c r="Z393" s="8"/>
    </row>
    <row r="394" spans="1:26" ht="13.2">
      <c r="A394" s="13">
        <v>44250.708333333328</v>
      </c>
      <c r="B394" s="6" t="str">
        <f>HYPERLINK("https://twitter.com/fishinnovation","@fishinnovation")</f>
        <v>@fishinnovation</v>
      </c>
      <c r="C394" s="14" t="s">
        <v>1972</v>
      </c>
      <c r="D394" s="14" t="s">
        <v>1973</v>
      </c>
      <c r="E394" s="6" t="str">
        <f>HYPERLINK("https://twitter.com/fishinnovation/status/1364243623127228416","1364243623127228416")</f>
        <v>1364243623127228416</v>
      </c>
      <c r="F394" s="7" t="s">
        <v>1974</v>
      </c>
      <c r="G394" s="7" t="s">
        <v>1975</v>
      </c>
      <c r="H394" s="8"/>
      <c r="I394" s="14">
        <v>2</v>
      </c>
      <c r="J394" s="14">
        <v>7</v>
      </c>
      <c r="K394" s="6" t="str">
        <f t="shared" si="56"/>
        <v>TweetDeck</v>
      </c>
      <c r="L394" s="15">
        <v>207</v>
      </c>
      <c r="M394" s="15">
        <v>71</v>
      </c>
      <c r="N394" s="15">
        <v>2</v>
      </c>
      <c r="O394" s="9"/>
      <c r="P394" s="10">
        <v>43613.735486111109</v>
      </c>
      <c r="Q394" s="14" t="s">
        <v>1976</v>
      </c>
      <c r="R394" s="14" t="s">
        <v>1977</v>
      </c>
      <c r="S394" s="7" t="s">
        <v>1978</v>
      </c>
      <c r="T394" s="8"/>
      <c r="U394" s="11" t="str">
        <f>HYPERLINK("https://pbs.twimg.com/profile_images/1196916432174403584/B8KhUmTW.jpg","View")</f>
        <v>View</v>
      </c>
      <c r="V394" s="8"/>
      <c r="W394" s="8"/>
      <c r="X394" s="8"/>
      <c r="Y394" s="8"/>
      <c r="Z394" s="8"/>
    </row>
    <row r="395" spans="1:26" ht="13.2">
      <c r="A395" s="13">
        <v>44250.708182870367</v>
      </c>
      <c r="B395" s="6" t="str">
        <f>HYPERLINK("https://twitter.com/thePKGlobal","@thePKGlobal")</f>
        <v>@thePKGlobal</v>
      </c>
      <c r="C395" s="14" t="s">
        <v>1979</v>
      </c>
      <c r="D395" s="14" t="s">
        <v>1980</v>
      </c>
      <c r="E395" s="6" t="str">
        <f>HYPERLINK("https://twitter.com/thePKGlobal/status/1364243568051814402","1364243568051814402")</f>
        <v>1364243568051814402</v>
      </c>
      <c r="F395" s="7" t="s">
        <v>1981</v>
      </c>
      <c r="G395" s="7" t="s">
        <v>1982</v>
      </c>
      <c r="H395" s="8"/>
      <c r="I395" s="14">
        <v>3</v>
      </c>
      <c r="J395" s="14">
        <v>3</v>
      </c>
      <c r="K395" s="6" t="str">
        <f>HYPERLINK("https://www.hootsuite.com","Hootsuite Inc.")</f>
        <v>Hootsuite Inc.</v>
      </c>
      <c r="L395" s="15">
        <v>1474</v>
      </c>
      <c r="M395" s="15">
        <v>1163</v>
      </c>
      <c r="N395" s="15">
        <v>126</v>
      </c>
      <c r="O395" s="9"/>
      <c r="P395" s="10">
        <v>41010.829016203701</v>
      </c>
      <c r="Q395" s="14" t="s">
        <v>1983</v>
      </c>
      <c r="R395" s="14" t="s">
        <v>1984</v>
      </c>
      <c r="S395" s="7" t="s">
        <v>1985</v>
      </c>
      <c r="T395" s="8"/>
      <c r="U395" s="11" t="str">
        <f>HYPERLINK("https://pbs.twimg.com/profile_images/1231923573553426434/QRKmU4TC.jpg","View")</f>
        <v>View</v>
      </c>
      <c r="V395" s="8"/>
      <c r="W395" s="8"/>
      <c r="X395" s="8"/>
      <c r="Y395" s="8"/>
      <c r="Z395" s="8"/>
    </row>
    <row r="396" spans="1:26" ht="13.2">
      <c r="A396" s="13">
        <v>44250.708125000005</v>
      </c>
      <c r="B396" s="6" t="str">
        <f>HYPERLINK("https://twitter.com/NeurAutomata","@NeurAutomata")</f>
        <v>@NeurAutomata</v>
      </c>
      <c r="C396" s="14" t="s">
        <v>400</v>
      </c>
      <c r="D396" s="14" t="s">
        <v>401</v>
      </c>
      <c r="E396" s="6" t="str">
        <f>HYPERLINK("https://twitter.com/NeurAutomata/status/1364243548305059840","1364243548305059840")</f>
        <v>1364243548305059840</v>
      </c>
      <c r="F396" s="7" t="s">
        <v>1986</v>
      </c>
      <c r="G396" s="8"/>
      <c r="H396" s="8"/>
      <c r="I396" s="14">
        <v>0</v>
      </c>
      <c r="J396" s="14">
        <v>0</v>
      </c>
      <c r="K396" s="6" t="str">
        <f>HYPERLINK("https://ifttt.com","IFTTT")</f>
        <v>IFTTT</v>
      </c>
      <c r="L396" s="15">
        <v>83</v>
      </c>
      <c r="M396" s="15">
        <v>14</v>
      </c>
      <c r="N396" s="15">
        <v>3</v>
      </c>
      <c r="O396" s="9"/>
      <c r="P396" s="10">
        <v>42862.083414351851</v>
      </c>
      <c r="Q396" s="14" t="s">
        <v>403</v>
      </c>
      <c r="R396" s="14" t="s">
        <v>404</v>
      </c>
      <c r="S396" s="8"/>
      <c r="T396" s="8"/>
      <c r="U396" s="11" t="str">
        <f>HYPERLINK("https://pbs.twimg.com/profile_images/861050448672718848/oHUlrvEK.jpg","View")</f>
        <v>View</v>
      </c>
      <c r="V396" s="8"/>
      <c r="W396" s="8"/>
      <c r="X396" s="8"/>
      <c r="Y396" s="8"/>
      <c r="Z396" s="8"/>
    </row>
    <row r="397" spans="1:26" ht="13.2">
      <c r="A397" s="13">
        <v>44250.708055555559</v>
      </c>
      <c r="B397" s="6" t="str">
        <f>HYPERLINK("https://twitter.com/adnzafar","@adnzafar")</f>
        <v>@adnzafar</v>
      </c>
      <c r="C397" s="14" t="s">
        <v>1987</v>
      </c>
      <c r="D397" s="14" t="s">
        <v>1988</v>
      </c>
      <c r="E397" s="6" t="str">
        <f>HYPERLINK("https://twitter.com/adnzafar/status/1364243521872556033","1364243521872556033")</f>
        <v>1364243521872556033</v>
      </c>
      <c r="F397" s="7" t="s">
        <v>1989</v>
      </c>
      <c r="G397" s="8"/>
      <c r="H397" s="8"/>
      <c r="I397" s="14">
        <v>0</v>
      </c>
      <c r="J397" s="14">
        <v>1</v>
      </c>
      <c r="K397" s="6" t="str">
        <f>HYPERLINK("http://twitter.com/download/android","Twitter for Android")</f>
        <v>Twitter for Android</v>
      </c>
      <c r="L397" s="15">
        <v>1491</v>
      </c>
      <c r="M397" s="15">
        <v>216</v>
      </c>
      <c r="N397" s="15">
        <v>505</v>
      </c>
      <c r="O397" s="9"/>
      <c r="P397" s="10">
        <v>40232.793194444443</v>
      </c>
      <c r="Q397" s="8"/>
      <c r="R397" s="8"/>
      <c r="S397" s="7" t="s">
        <v>1990</v>
      </c>
      <c r="T397" s="8"/>
      <c r="U397" s="11" t="str">
        <f>HYPERLINK("https://pbs.twimg.com/profile_images/3448256884/216fa4ac393e8fc136b80f41b94f9e44.jpeg","View")</f>
        <v>View</v>
      </c>
      <c r="V397" s="8"/>
      <c r="W397" s="8"/>
      <c r="X397" s="8"/>
      <c r="Y397" s="8"/>
      <c r="Z397" s="8"/>
    </row>
    <row r="398" spans="1:26" ht="13.2">
      <c r="A398" s="13">
        <v>44250.707141203704</v>
      </c>
      <c r="B398" s="6" t="str">
        <f>HYPERLINK("https://twitter.com/bigdataturkey_","@bigdataturkey_")</f>
        <v>@bigdataturkey_</v>
      </c>
      <c r="C398" s="14" t="s">
        <v>1991</v>
      </c>
      <c r="D398" s="14" t="s">
        <v>1992</v>
      </c>
      <c r="E398" s="6" t="str">
        <f>HYPERLINK("https://twitter.com/bigdataturkey_/status/1364243187913666566","1364243187913666566")</f>
        <v>1364243187913666566</v>
      </c>
      <c r="F398" s="8"/>
      <c r="G398" s="7" t="s">
        <v>1993</v>
      </c>
      <c r="H398" s="8"/>
      <c r="I398" s="14">
        <v>3</v>
      </c>
      <c r="J398" s="14">
        <v>1</v>
      </c>
      <c r="K398" s="6" t="str">
        <f t="shared" ref="K398:K399" si="57">HYPERLINK("http://twitter.com/download/iphone","Twitter for iPhone")</f>
        <v>Twitter for iPhone</v>
      </c>
      <c r="L398" s="15">
        <v>556</v>
      </c>
      <c r="M398" s="15">
        <v>0</v>
      </c>
      <c r="N398" s="15">
        <v>2</v>
      </c>
      <c r="O398" s="9"/>
      <c r="P398" s="10">
        <v>43587.876689814817</v>
      </c>
      <c r="Q398" s="14" t="s">
        <v>1994</v>
      </c>
      <c r="R398" s="14" t="s">
        <v>1995</v>
      </c>
      <c r="S398" s="8"/>
      <c r="T398" s="8"/>
      <c r="U398" s="11" t="str">
        <f>HYPERLINK("https://pbs.twimg.com/profile_images/1191708931938238464/01Ig4jfb.jpg","View")</f>
        <v>View</v>
      </c>
      <c r="V398" s="8"/>
      <c r="W398" s="8"/>
      <c r="X398" s="8"/>
      <c r="Y398" s="8"/>
      <c r="Z398" s="8"/>
    </row>
    <row r="399" spans="1:26" ht="13.2">
      <c r="A399" s="13">
        <v>44250.706967592589</v>
      </c>
      <c r="B399" s="6" t="str">
        <f>HYPERLINK("https://twitter.com/SuccessAnalytiX","@SuccessAnalytiX")</f>
        <v>@SuccessAnalytiX</v>
      </c>
      <c r="C399" s="14" t="s">
        <v>1149</v>
      </c>
      <c r="D399" s="14" t="s">
        <v>1996</v>
      </c>
      <c r="E399" s="6" t="str">
        <f>HYPERLINK("https://twitter.com/SuccessAnalytiX/status/1364243126412599303","1364243126412599303")</f>
        <v>1364243126412599303</v>
      </c>
      <c r="F399" s="7" t="s">
        <v>1151</v>
      </c>
      <c r="G399" s="8"/>
      <c r="H399" s="8"/>
      <c r="I399" s="14">
        <v>20</v>
      </c>
      <c r="J399" s="14">
        <v>5</v>
      </c>
      <c r="K399" s="6" t="str">
        <f t="shared" si="57"/>
        <v>Twitter for iPhone</v>
      </c>
      <c r="L399" s="15">
        <v>2744</v>
      </c>
      <c r="M399" s="15">
        <v>2908</v>
      </c>
      <c r="N399" s="15">
        <v>11</v>
      </c>
      <c r="O399" s="9"/>
      <c r="P399" s="10">
        <v>43149.839606481481</v>
      </c>
      <c r="Q399" s="14" t="s">
        <v>1152</v>
      </c>
      <c r="R399" s="14" t="s">
        <v>1153</v>
      </c>
      <c r="S399" s="7" t="s">
        <v>1154</v>
      </c>
      <c r="T399" s="8"/>
      <c r="U399" s="11" t="str">
        <f>HYPERLINK("https://pbs.twimg.com/profile_images/1154058190545391616/pOYyXv3r.jpg","View")</f>
        <v>View</v>
      </c>
      <c r="V399" s="8"/>
      <c r="W399" s="8"/>
      <c r="X399" s="8"/>
      <c r="Y399" s="8"/>
      <c r="Z399" s="8"/>
    </row>
    <row r="400" spans="1:26" ht="13.2">
      <c r="A400" s="13">
        <v>44250.70584490741</v>
      </c>
      <c r="B400" s="6" t="str">
        <f>HYPERLINK("https://twitter.com/zimmerman_team","@zimmerman_team")</f>
        <v>@zimmerman_team</v>
      </c>
      <c r="C400" s="14" t="s">
        <v>1997</v>
      </c>
      <c r="D400" s="14" t="s">
        <v>1998</v>
      </c>
      <c r="E400" s="6" t="str">
        <f>HYPERLINK("https://twitter.com/zimmerman_team/status/1364242718256463873","1364242718256463873")</f>
        <v>1364242718256463873</v>
      </c>
      <c r="F400" s="8"/>
      <c r="G400" s="7" t="s">
        <v>1999</v>
      </c>
      <c r="H400" s="8"/>
      <c r="I400" s="14">
        <v>1</v>
      </c>
      <c r="J400" s="14">
        <v>2</v>
      </c>
      <c r="K400" s="6" t="str">
        <f t="shared" ref="K400:K401" si="58">HYPERLINK("https://mobile.twitter.com","Twitter Web App")</f>
        <v>Twitter Web App</v>
      </c>
      <c r="L400" s="15">
        <v>601</v>
      </c>
      <c r="M400" s="15">
        <v>104</v>
      </c>
      <c r="N400" s="15">
        <v>17</v>
      </c>
      <c r="O400" s="9"/>
      <c r="P400" s="10">
        <v>40353.56186342593</v>
      </c>
      <c r="Q400" s="14" t="s">
        <v>2000</v>
      </c>
      <c r="R400" s="14" t="s">
        <v>2001</v>
      </c>
      <c r="S400" s="7" t="s">
        <v>2002</v>
      </c>
      <c r="T400" s="8"/>
      <c r="U400" s="11" t="str">
        <f>HYPERLINK("https://pbs.twimg.com/profile_images/1218149676140068864/d3zi2wTP.png","View")</f>
        <v>View</v>
      </c>
      <c r="V400" s="8"/>
      <c r="W400" s="8"/>
      <c r="X400" s="8"/>
      <c r="Y400" s="8"/>
      <c r="Z400" s="8"/>
    </row>
    <row r="401" spans="1:26" ht="13.2">
      <c r="A401" s="13">
        <v>44250.705555555556</v>
      </c>
      <c r="B401" s="6" t="str">
        <f>HYPERLINK("https://twitter.com/xfund","@xfund")</f>
        <v>@xfund</v>
      </c>
      <c r="C401" s="14" t="s">
        <v>2003</v>
      </c>
      <c r="D401" s="14" t="s">
        <v>2004</v>
      </c>
      <c r="E401" s="6" t="str">
        <f>HYPERLINK("https://twitter.com/xfund/status/1364242613981745152","1364242613981745152")</f>
        <v>1364242613981745152</v>
      </c>
      <c r="F401" s="7" t="s">
        <v>2005</v>
      </c>
      <c r="G401" s="8"/>
      <c r="H401" s="8"/>
      <c r="I401" s="14">
        <v>0</v>
      </c>
      <c r="J401" s="14">
        <v>0</v>
      </c>
      <c r="K401" s="6" t="str">
        <f t="shared" si="58"/>
        <v>Twitter Web App</v>
      </c>
      <c r="L401" s="15">
        <v>2320</v>
      </c>
      <c r="M401" s="15">
        <v>903</v>
      </c>
      <c r="N401" s="15">
        <v>121</v>
      </c>
      <c r="O401" s="9"/>
      <c r="P401" s="10">
        <v>40868.242962962962</v>
      </c>
      <c r="Q401" s="14" t="s">
        <v>2006</v>
      </c>
      <c r="R401" s="14" t="s">
        <v>2007</v>
      </c>
      <c r="S401" s="7" t="s">
        <v>2008</v>
      </c>
      <c r="T401" s="8"/>
      <c r="U401" s="11" t="str">
        <f>HYPERLINK("https://pbs.twimg.com/profile_images/880180427318714368/TF79O3r4.jpg","View")</f>
        <v>View</v>
      </c>
      <c r="V401" s="8"/>
      <c r="W401" s="8"/>
      <c r="X401" s="8"/>
      <c r="Y401" s="8"/>
      <c r="Z401" s="8"/>
    </row>
    <row r="402" spans="1:26" ht="13.2">
      <c r="A402" s="13">
        <v>44250.705208333333</v>
      </c>
      <c r="B402" s="6" t="str">
        <f>HYPERLINK("https://twitter.com/RocheDia","@RocheDia")</f>
        <v>@RocheDia</v>
      </c>
      <c r="C402" s="14" t="s">
        <v>2009</v>
      </c>
      <c r="D402" s="14" t="s">
        <v>2010</v>
      </c>
      <c r="E402" s="6" t="str">
        <f>HYPERLINK("https://twitter.com/RocheDia/status/1364242490673352707","1364242490673352707")</f>
        <v>1364242490673352707</v>
      </c>
      <c r="F402" s="7" t="s">
        <v>2011</v>
      </c>
      <c r="G402" s="7" t="s">
        <v>2012</v>
      </c>
      <c r="H402" s="8"/>
      <c r="I402" s="14">
        <v>0</v>
      </c>
      <c r="J402" s="14">
        <v>2</v>
      </c>
      <c r="K402" s="6" t="str">
        <f>HYPERLINK("http://www.socialbakers.com/","Socialbakers")</f>
        <v>Socialbakers</v>
      </c>
      <c r="L402" s="15">
        <v>2702</v>
      </c>
      <c r="M402" s="15">
        <v>116</v>
      </c>
      <c r="N402" s="15">
        <v>15</v>
      </c>
      <c r="O402" s="15" t="s">
        <v>130</v>
      </c>
      <c r="P402" s="10">
        <v>41416.642835648148</v>
      </c>
      <c r="Q402" s="8"/>
      <c r="R402" s="14" t="s">
        <v>2013</v>
      </c>
      <c r="S402" s="7" t="s">
        <v>2014</v>
      </c>
      <c r="T402" s="8"/>
      <c r="U402" s="11" t="str">
        <f>HYPERLINK("https://pbs.twimg.com/profile_images/1115307819303985153/A_lMPU5z.png","View")</f>
        <v>View</v>
      </c>
      <c r="V402" s="8"/>
      <c r="W402" s="8"/>
      <c r="X402" s="8"/>
      <c r="Y402" s="8"/>
      <c r="Z402" s="8"/>
    </row>
    <row r="403" spans="1:26" ht="13.2">
      <c r="A403" s="13">
        <v>44250.704930555556</v>
      </c>
      <c r="B403" s="6" t="str">
        <f>HYPERLINK("https://twitter.com/Danny_MLE","@Danny_MLE")</f>
        <v>@Danny_MLE</v>
      </c>
      <c r="C403" s="14" t="s">
        <v>2015</v>
      </c>
      <c r="D403" s="14" t="s">
        <v>2016</v>
      </c>
      <c r="E403" s="6" t="str">
        <f>HYPERLINK("https://twitter.com/Danny_MLE/status/1364242389871771651","1364242389871771651")</f>
        <v>1364242389871771651</v>
      </c>
      <c r="F403" s="8"/>
      <c r="G403" s="8"/>
      <c r="H403" s="8"/>
      <c r="I403" s="14">
        <v>2</v>
      </c>
      <c r="J403" s="14">
        <v>0</v>
      </c>
      <c r="K403" s="6" t="str">
        <f>HYPERLINK("http://twitter.com/download/iphone","Twitter for iPhone")</f>
        <v>Twitter for iPhone</v>
      </c>
      <c r="L403" s="15">
        <v>5</v>
      </c>
      <c r="M403" s="15">
        <v>26</v>
      </c>
      <c r="N403" s="15">
        <v>0</v>
      </c>
      <c r="O403" s="9"/>
      <c r="P403" s="10">
        <v>44227.758483796293</v>
      </c>
      <c r="Q403" s="8"/>
      <c r="R403" s="14" t="s">
        <v>2017</v>
      </c>
      <c r="S403" s="8"/>
      <c r="T403" s="8"/>
      <c r="U403" s="11" t="str">
        <f>HYPERLINK("https://pbs.twimg.com/profile_images/1355927035286319122/T97K9B9r.jpg","View")</f>
        <v>View</v>
      </c>
      <c r="V403" s="8"/>
      <c r="W403" s="8"/>
      <c r="X403" s="8"/>
      <c r="Y403" s="8"/>
      <c r="Z403" s="8"/>
    </row>
    <row r="404" spans="1:26" ht="13.2">
      <c r="A404" s="13">
        <v>44250.704895833333</v>
      </c>
      <c r="B404" s="6" t="str">
        <f>HYPERLINK("https://twitter.com/aaronzuccolin","@aaronzuccolin")</f>
        <v>@aaronzuccolin</v>
      </c>
      <c r="C404" s="14" t="s">
        <v>2018</v>
      </c>
      <c r="D404" s="14" t="s">
        <v>2019</v>
      </c>
      <c r="E404" s="6" t="str">
        <f>HYPERLINK("https://twitter.com/aaronzuccolin/status/1364242376311635968","1364242376311635968")</f>
        <v>1364242376311635968</v>
      </c>
      <c r="F404" s="7" t="s">
        <v>2020</v>
      </c>
      <c r="G404" s="8"/>
      <c r="H404" s="8"/>
      <c r="I404" s="14">
        <v>0</v>
      </c>
      <c r="J404" s="14">
        <v>0</v>
      </c>
      <c r="K404" s="6" t="str">
        <f>HYPERLINK("https://www.hootsuite.com","Hootsuite Inc.")</f>
        <v>Hootsuite Inc.</v>
      </c>
      <c r="L404" s="15">
        <v>96</v>
      </c>
      <c r="M404" s="15">
        <v>163</v>
      </c>
      <c r="N404" s="15">
        <v>1</v>
      </c>
      <c r="O404" s="9"/>
      <c r="P404" s="10">
        <v>39834.818912037037</v>
      </c>
      <c r="Q404" s="8"/>
      <c r="R404" s="8"/>
      <c r="S404" s="8"/>
      <c r="T404" s="8"/>
      <c r="U404" s="11" t="str">
        <f>HYPERLINK("https://pbs.twimg.com/profile_images/979008827877019649/Ghm8_31M.jpg","View")</f>
        <v>View</v>
      </c>
      <c r="V404" s="8"/>
      <c r="W404" s="8"/>
      <c r="X404" s="8"/>
      <c r="Y404" s="8"/>
      <c r="Z404" s="8"/>
    </row>
    <row r="405" spans="1:26" ht="13.2">
      <c r="A405" s="13">
        <v>44250.704502314809</v>
      </c>
      <c r="B405" s="6" t="str">
        <f>HYPERLINK("https://twitter.com/into_AI","@into_AI")</f>
        <v>@into_AI</v>
      </c>
      <c r="C405" s="14" t="s">
        <v>2021</v>
      </c>
      <c r="D405" s="14" t="s">
        <v>2022</v>
      </c>
      <c r="E405" s="6" t="str">
        <f>HYPERLINK("https://twitter.com/into_AI/status/1364242234032463878","1364242234032463878")</f>
        <v>1364242234032463878</v>
      </c>
      <c r="F405" s="7" t="s">
        <v>2023</v>
      </c>
      <c r="G405" s="8"/>
      <c r="H405" s="8"/>
      <c r="I405" s="14">
        <v>0</v>
      </c>
      <c r="J405" s="14">
        <v>0</v>
      </c>
      <c r="K405" s="6" t="str">
        <f>HYPERLINK("http://into.AI","into.AI")</f>
        <v>into.AI</v>
      </c>
      <c r="L405" s="15">
        <v>19374</v>
      </c>
      <c r="M405" s="15">
        <v>1707</v>
      </c>
      <c r="N405" s="15">
        <v>3164</v>
      </c>
      <c r="O405" s="9"/>
      <c r="P405" s="10">
        <v>42133.721620370372</v>
      </c>
      <c r="Q405" s="14" t="s">
        <v>2024</v>
      </c>
      <c r="R405" s="14" t="s">
        <v>2025</v>
      </c>
      <c r="S405" s="7" t="s">
        <v>2026</v>
      </c>
      <c r="T405" s="8"/>
      <c r="U405" s="11" t="str">
        <f>HYPERLINK("https://pbs.twimg.com/profile_images/967341160124608512/LM2Y5Q5m.jpg","View")</f>
        <v>View</v>
      </c>
      <c r="V405" s="8"/>
      <c r="W405" s="8"/>
      <c r="X405" s="8"/>
      <c r="Y405" s="8"/>
      <c r="Z405" s="8"/>
    </row>
    <row r="406" spans="1:26" ht="13.2">
      <c r="A406" s="13">
        <v>44250.704421296294</v>
      </c>
      <c r="B406" s="6" t="str">
        <f>HYPERLINK("https://twitter.com/techlazy_msft","@techlazy_msft")</f>
        <v>@techlazy_msft</v>
      </c>
      <c r="C406" s="14" t="s">
        <v>2027</v>
      </c>
      <c r="D406" s="14" t="s">
        <v>2028</v>
      </c>
      <c r="E406" s="6" t="str">
        <f>HYPERLINK("https://twitter.com/techlazy_msft/status/1364242202554155008","1364242202554155008")</f>
        <v>1364242202554155008</v>
      </c>
      <c r="F406" s="7" t="s">
        <v>2029</v>
      </c>
      <c r="G406" s="8"/>
      <c r="H406" s="8"/>
      <c r="I406" s="14">
        <v>14</v>
      </c>
      <c r="J406" s="14">
        <v>5</v>
      </c>
      <c r="K406" s="6" t="str">
        <f>HYPERLINK("http://azure.microsoft.com/en-us/services/app-service/logic/","Microsoft Azure Logic Apps")</f>
        <v>Microsoft Azure Logic Apps</v>
      </c>
      <c r="L406" s="15">
        <v>1493</v>
      </c>
      <c r="M406" s="15">
        <v>81</v>
      </c>
      <c r="N406" s="15">
        <v>804</v>
      </c>
      <c r="O406" s="9"/>
      <c r="P406" s="10">
        <v>40443.435752314814</v>
      </c>
      <c r="Q406" s="14" t="s">
        <v>2030</v>
      </c>
      <c r="R406" s="14" t="s">
        <v>2031</v>
      </c>
      <c r="S406" s="7" t="s">
        <v>2032</v>
      </c>
      <c r="T406" s="8"/>
      <c r="U406" s="11" t="str">
        <f>HYPERLINK("https://pbs.twimg.com/profile_images/716220444651753472/q6PwsQ8V.jpg","View")</f>
        <v>View</v>
      </c>
      <c r="V406" s="8"/>
      <c r="W406" s="8"/>
      <c r="X406" s="8"/>
      <c r="Y406" s="8"/>
      <c r="Z406" s="8"/>
    </row>
    <row r="407" spans="1:26" ht="13.2">
      <c r="A407" s="13">
        <v>44250.704409722224</v>
      </c>
      <c r="B407" s="6" t="str">
        <f t="shared" ref="B407:B408" si="59">HYPERLINK("https://twitter.com/into_AI","@into_AI")</f>
        <v>@into_AI</v>
      </c>
      <c r="C407" s="14" t="s">
        <v>2021</v>
      </c>
      <c r="D407" s="14" t="s">
        <v>2033</v>
      </c>
      <c r="E407" s="6" t="str">
        <f>HYPERLINK("https://twitter.com/into_AI/status/1364242199379136515","1364242199379136515")</f>
        <v>1364242199379136515</v>
      </c>
      <c r="F407" s="7" t="s">
        <v>2034</v>
      </c>
      <c r="G407" s="8"/>
      <c r="H407" s="8"/>
      <c r="I407" s="14">
        <v>1</v>
      </c>
      <c r="J407" s="14">
        <v>0</v>
      </c>
      <c r="K407" s="6" t="str">
        <f t="shared" ref="K407:K408" si="60">HYPERLINK("http://into.AI","into.AI")</f>
        <v>into.AI</v>
      </c>
      <c r="L407" s="15">
        <v>19374</v>
      </c>
      <c r="M407" s="15">
        <v>1707</v>
      </c>
      <c r="N407" s="15">
        <v>3164</v>
      </c>
      <c r="O407" s="9"/>
      <c r="P407" s="10">
        <v>42133.721620370372</v>
      </c>
      <c r="Q407" s="14" t="s">
        <v>2024</v>
      </c>
      <c r="R407" s="14" t="s">
        <v>2025</v>
      </c>
      <c r="S407" s="7" t="s">
        <v>2026</v>
      </c>
      <c r="T407" s="8"/>
      <c r="U407" s="11" t="str">
        <f t="shared" ref="U407:U408" si="61">HYPERLINK("https://pbs.twimg.com/profile_images/967341160124608512/LM2Y5Q5m.jpg","View")</f>
        <v>View</v>
      </c>
      <c r="V407" s="8"/>
      <c r="W407" s="8"/>
      <c r="X407" s="8"/>
      <c r="Y407" s="8"/>
      <c r="Z407" s="8"/>
    </row>
    <row r="408" spans="1:26" ht="13.2">
      <c r="A408" s="13">
        <v>44250.704270833332</v>
      </c>
      <c r="B408" s="6" t="str">
        <f t="shared" si="59"/>
        <v>@into_AI</v>
      </c>
      <c r="C408" s="14" t="s">
        <v>2021</v>
      </c>
      <c r="D408" s="14" t="s">
        <v>2035</v>
      </c>
      <c r="E408" s="6" t="str">
        <f>HYPERLINK("https://twitter.com/into_AI/status/1364242151429861377","1364242151429861377")</f>
        <v>1364242151429861377</v>
      </c>
      <c r="F408" s="7" t="s">
        <v>2036</v>
      </c>
      <c r="G408" s="8"/>
      <c r="H408" s="8"/>
      <c r="I408" s="14">
        <v>0</v>
      </c>
      <c r="J408" s="14">
        <v>0</v>
      </c>
      <c r="K408" s="6" t="str">
        <f t="shared" si="60"/>
        <v>into.AI</v>
      </c>
      <c r="L408" s="15">
        <v>19374</v>
      </c>
      <c r="M408" s="15">
        <v>1707</v>
      </c>
      <c r="N408" s="15">
        <v>3164</v>
      </c>
      <c r="O408" s="9"/>
      <c r="P408" s="10">
        <v>42133.721620370372</v>
      </c>
      <c r="Q408" s="14" t="s">
        <v>2024</v>
      </c>
      <c r="R408" s="14" t="s">
        <v>2025</v>
      </c>
      <c r="S408" s="7" t="s">
        <v>2026</v>
      </c>
      <c r="T408" s="8"/>
      <c r="U408" s="11" t="str">
        <f t="shared" si="61"/>
        <v>View</v>
      </c>
      <c r="V408" s="8"/>
      <c r="W408" s="8"/>
      <c r="X408" s="8"/>
      <c r="Y408" s="8"/>
      <c r="Z408" s="8"/>
    </row>
    <row r="409" spans="1:26" ht="13.2">
      <c r="A409" s="13">
        <v>44250.704236111109</v>
      </c>
      <c r="B409" s="6" t="str">
        <f>HYPERLINK("https://twitter.com/ARTIBA_Insights","@ARTIBA_Insights")</f>
        <v>@ARTIBA_Insights</v>
      </c>
      <c r="C409" s="14" t="s">
        <v>2037</v>
      </c>
      <c r="D409" s="14" t="s">
        <v>2038</v>
      </c>
      <c r="E409" s="6" t="str">
        <f>HYPERLINK("https://twitter.com/ARTIBA_Insights/status/1364242135894028291","1364242135894028291")</f>
        <v>1364242135894028291</v>
      </c>
      <c r="F409" s="7" t="s">
        <v>2039</v>
      </c>
      <c r="G409" s="8"/>
      <c r="H409" s="8"/>
      <c r="I409" s="14">
        <v>2</v>
      </c>
      <c r="J409" s="14">
        <v>0</v>
      </c>
      <c r="K409" s="6" t="str">
        <f>HYPERLINK("https://mobile.twitter.com","Twitter Web App")</f>
        <v>Twitter Web App</v>
      </c>
      <c r="L409" s="15">
        <v>3507</v>
      </c>
      <c r="M409" s="15">
        <v>1940</v>
      </c>
      <c r="N409" s="15">
        <v>12</v>
      </c>
      <c r="O409" s="9"/>
      <c r="P409" s="10">
        <v>42482.411828703705</v>
      </c>
      <c r="Q409" s="14" t="s">
        <v>650</v>
      </c>
      <c r="R409" s="14" t="s">
        <v>2040</v>
      </c>
      <c r="S409" s="7" t="s">
        <v>2041</v>
      </c>
      <c r="T409" s="8"/>
      <c r="U409" s="11" t="str">
        <f>HYPERLINK("https://pbs.twimg.com/profile_images/1091636377152827392/VlWet-rE.jpg","View")</f>
        <v>View</v>
      </c>
      <c r="V409" s="8"/>
      <c r="W409" s="8"/>
      <c r="X409" s="8"/>
      <c r="Y409" s="8"/>
      <c r="Z409" s="8"/>
    </row>
    <row r="410" spans="1:26" ht="13.2">
      <c r="A410" s="13">
        <v>44250.70417824074</v>
      </c>
      <c r="B410" s="6" t="str">
        <f t="shared" ref="B410:B415" si="62">HYPERLINK("https://twitter.com/into_AI","@into_AI")</f>
        <v>@into_AI</v>
      </c>
      <c r="C410" s="14" t="s">
        <v>2021</v>
      </c>
      <c r="D410" s="14" t="s">
        <v>2042</v>
      </c>
      <c r="E410" s="6" t="str">
        <f>HYPERLINK("https://twitter.com/into_AI/status/1364242115593699330","1364242115593699330")</f>
        <v>1364242115593699330</v>
      </c>
      <c r="F410" s="7" t="s">
        <v>2043</v>
      </c>
      <c r="G410" s="8"/>
      <c r="H410" s="8"/>
      <c r="I410" s="14">
        <v>1</v>
      </c>
      <c r="J410" s="14">
        <v>0</v>
      </c>
      <c r="K410" s="6" t="str">
        <f t="shared" ref="K410:K415" si="63">HYPERLINK("http://into.AI","into.AI")</f>
        <v>into.AI</v>
      </c>
      <c r="L410" s="15">
        <v>19374</v>
      </c>
      <c r="M410" s="15">
        <v>1707</v>
      </c>
      <c r="N410" s="15">
        <v>3164</v>
      </c>
      <c r="O410" s="9"/>
      <c r="P410" s="10">
        <v>42133.721620370372</v>
      </c>
      <c r="Q410" s="14" t="s">
        <v>2024</v>
      </c>
      <c r="R410" s="14" t="s">
        <v>2025</v>
      </c>
      <c r="S410" s="7" t="s">
        <v>2026</v>
      </c>
      <c r="T410" s="8"/>
      <c r="U410" s="11" t="str">
        <f t="shared" ref="U410:U415" si="64">HYPERLINK("https://pbs.twimg.com/profile_images/967341160124608512/LM2Y5Q5m.jpg","View")</f>
        <v>View</v>
      </c>
      <c r="V410" s="8"/>
      <c r="W410" s="8"/>
      <c r="X410" s="8"/>
      <c r="Y410" s="8"/>
      <c r="Z410" s="8"/>
    </row>
    <row r="411" spans="1:26" ht="13.2">
      <c r="A411" s="13">
        <v>44250.704074074078</v>
      </c>
      <c r="B411" s="6" t="str">
        <f t="shared" si="62"/>
        <v>@into_AI</v>
      </c>
      <c r="C411" s="14" t="s">
        <v>2021</v>
      </c>
      <c r="D411" s="14" t="s">
        <v>2044</v>
      </c>
      <c r="E411" s="6" t="str">
        <f>HYPERLINK("https://twitter.com/into_AI/status/1364242078193094658","1364242078193094658")</f>
        <v>1364242078193094658</v>
      </c>
      <c r="F411" s="7" t="s">
        <v>2045</v>
      </c>
      <c r="G411" s="8"/>
      <c r="H411" s="8"/>
      <c r="I411" s="14">
        <v>0</v>
      </c>
      <c r="J411" s="14">
        <v>0</v>
      </c>
      <c r="K411" s="6" t="str">
        <f t="shared" si="63"/>
        <v>into.AI</v>
      </c>
      <c r="L411" s="15">
        <v>19374</v>
      </c>
      <c r="M411" s="15">
        <v>1707</v>
      </c>
      <c r="N411" s="15">
        <v>3164</v>
      </c>
      <c r="O411" s="9"/>
      <c r="P411" s="10">
        <v>42133.721620370372</v>
      </c>
      <c r="Q411" s="14" t="s">
        <v>2024</v>
      </c>
      <c r="R411" s="14" t="s">
        <v>2025</v>
      </c>
      <c r="S411" s="7" t="s">
        <v>2026</v>
      </c>
      <c r="T411" s="8"/>
      <c r="U411" s="11" t="str">
        <f t="shared" si="64"/>
        <v>View</v>
      </c>
      <c r="V411" s="8"/>
      <c r="W411" s="8"/>
      <c r="X411" s="8"/>
      <c r="Y411" s="8"/>
      <c r="Z411" s="8"/>
    </row>
    <row r="412" spans="1:26" ht="13.2">
      <c r="A412" s="13">
        <v>44250.703969907408</v>
      </c>
      <c r="B412" s="6" t="str">
        <f t="shared" si="62"/>
        <v>@into_AI</v>
      </c>
      <c r="C412" s="14" t="s">
        <v>2021</v>
      </c>
      <c r="D412" s="14" t="s">
        <v>2046</v>
      </c>
      <c r="E412" s="6" t="str">
        <f>HYPERLINK("https://twitter.com/into_AI/status/1364242039748124674","1364242039748124674")</f>
        <v>1364242039748124674</v>
      </c>
      <c r="F412" s="7" t="s">
        <v>2047</v>
      </c>
      <c r="G412" s="8"/>
      <c r="H412" s="8"/>
      <c r="I412" s="14">
        <v>1</v>
      </c>
      <c r="J412" s="14">
        <v>0</v>
      </c>
      <c r="K412" s="6" t="str">
        <f t="shared" si="63"/>
        <v>into.AI</v>
      </c>
      <c r="L412" s="15">
        <v>19374</v>
      </c>
      <c r="M412" s="15">
        <v>1707</v>
      </c>
      <c r="N412" s="15">
        <v>3164</v>
      </c>
      <c r="O412" s="9"/>
      <c r="P412" s="10">
        <v>42133.721620370372</v>
      </c>
      <c r="Q412" s="14" t="s">
        <v>2024</v>
      </c>
      <c r="R412" s="14" t="s">
        <v>2025</v>
      </c>
      <c r="S412" s="7" t="s">
        <v>2026</v>
      </c>
      <c r="T412" s="8"/>
      <c r="U412" s="11" t="str">
        <f t="shared" si="64"/>
        <v>View</v>
      </c>
      <c r="V412" s="8"/>
      <c r="W412" s="8"/>
      <c r="X412" s="8"/>
      <c r="Y412" s="8"/>
      <c r="Z412" s="8"/>
    </row>
    <row r="413" spans="1:26" ht="13.2">
      <c r="A413" s="13">
        <v>44250.703888888893</v>
      </c>
      <c r="B413" s="6" t="str">
        <f t="shared" si="62"/>
        <v>@into_AI</v>
      </c>
      <c r="C413" s="14" t="s">
        <v>2021</v>
      </c>
      <c r="D413" s="14" t="s">
        <v>2048</v>
      </c>
      <c r="E413" s="6" t="str">
        <f>HYPERLINK("https://twitter.com/into_AI/status/1364242011868512259","1364242011868512259")</f>
        <v>1364242011868512259</v>
      </c>
      <c r="F413" s="7" t="s">
        <v>2049</v>
      </c>
      <c r="G413" s="8"/>
      <c r="H413" s="8"/>
      <c r="I413" s="14">
        <v>1</v>
      </c>
      <c r="J413" s="14">
        <v>0</v>
      </c>
      <c r="K413" s="6" t="str">
        <f t="shared" si="63"/>
        <v>into.AI</v>
      </c>
      <c r="L413" s="15">
        <v>19374</v>
      </c>
      <c r="M413" s="15">
        <v>1707</v>
      </c>
      <c r="N413" s="15">
        <v>3164</v>
      </c>
      <c r="O413" s="9"/>
      <c r="P413" s="10">
        <v>42133.721620370372</v>
      </c>
      <c r="Q413" s="14" t="s">
        <v>2024</v>
      </c>
      <c r="R413" s="14" t="s">
        <v>2025</v>
      </c>
      <c r="S413" s="7" t="s">
        <v>2026</v>
      </c>
      <c r="T413" s="8"/>
      <c r="U413" s="11" t="str">
        <f t="shared" si="64"/>
        <v>View</v>
      </c>
      <c r="V413" s="8"/>
      <c r="W413" s="8"/>
      <c r="X413" s="8"/>
      <c r="Y413" s="8"/>
      <c r="Z413" s="8"/>
    </row>
    <row r="414" spans="1:26" ht="13.2">
      <c r="A414" s="13">
        <v>44250.703784722224</v>
      </c>
      <c r="B414" s="6" t="str">
        <f t="shared" si="62"/>
        <v>@into_AI</v>
      </c>
      <c r="C414" s="14" t="s">
        <v>2021</v>
      </c>
      <c r="D414" s="14" t="s">
        <v>2050</v>
      </c>
      <c r="E414" s="6" t="str">
        <f>HYPERLINK("https://twitter.com/into_AI/status/1364241973964587009","1364241973964587009")</f>
        <v>1364241973964587009</v>
      </c>
      <c r="F414" s="7" t="s">
        <v>2051</v>
      </c>
      <c r="G414" s="8"/>
      <c r="H414" s="8"/>
      <c r="I414" s="14">
        <v>1</v>
      </c>
      <c r="J414" s="14">
        <v>0</v>
      </c>
      <c r="K414" s="6" t="str">
        <f t="shared" si="63"/>
        <v>into.AI</v>
      </c>
      <c r="L414" s="15">
        <v>19374</v>
      </c>
      <c r="M414" s="15">
        <v>1707</v>
      </c>
      <c r="N414" s="15">
        <v>3164</v>
      </c>
      <c r="O414" s="9"/>
      <c r="P414" s="10">
        <v>42133.721620370372</v>
      </c>
      <c r="Q414" s="14" t="s">
        <v>2024</v>
      </c>
      <c r="R414" s="14" t="s">
        <v>2025</v>
      </c>
      <c r="S414" s="7" t="s">
        <v>2026</v>
      </c>
      <c r="T414" s="8"/>
      <c r="U414" s="11" t="str">
        <f t="shared" si="64"/>
        <v>View</v>
      </c>
      <c r="V414" s="8"/>
      <c r="W414" s="8"/>
      <c r="X414" s="8"/>
      <c r="Y414" s="8"/>
      <c r="Z414" s="8"/>
    </row>
    <row r="415" spans="1:26" ht="13.2">
      <c r="A415" s="13">
        <v>44250.703715277778</v>
      </c>
      <c r="B415" s="6" t="str">
        <f t="shared" si="62"/>
        <v>@into_AI</v>
      </c>
      <c r="C415" s="14" t="s">
        <v>2021</v>
      </c>
      <c r="D415" s="14" t="s">
        <v>2052</v>
      </c>
      <c r="E415" s="6" t="str">
        <f>HYPERLINK("https://twitter.com/into_AI/status/1364241948652023823","1364241948652023823")</f>
        <v>1364241948652023823</v>
      </c>
      <c r="F415" s="7" t="s">
        <v>2053</v>
      </c>
      <c r="G415" s="8"/>
      <c r="H415" s="8"/>
      <c r="I415" s="14">
        <v>1</v>
      </c>
      <c r="J415" s="14">
        <v>0</v>
      </c>
      <c r="K415" s="6" t="str">
        <f t="shared" si="63"/>
        <v>into.AI</v>
      </c>
      <c r="L415" s="15">
        <v>19374</v>
      </c>
      <c r="M415" s="15">
        <v>1707</v>
      </c>
      <c r="N415" s="15">
        <v>3164</v>
      </c>
      <c r="O415" s="9"/>
      <c r="P415" s="10">
        <v>42133.721620370372</v>
      </c>
      <c r="Q415" s="14" t="s">
        <v>2024</v>
      </c>
      <c r="R415" s="14" t="s">
        <v>2025</v>
      </c>
      <c r="S415" s="7" t="s">
        <v>2026</v>
      </c>
      <c r="T415" s="8"/>
      <c r="U415" s="11" t="str">
        <f t="shared" si="64"/>
        <v>View</v>
      </c>
      <c r="V415" s="8"/>
      <c r="W415" s="8"/>
      <c r="X415" s="8"/>
      <c r="Y415" s="8"/>
      <c r="Z415" s="8"/>
    </row>
    <row r="416" spans="1:26" ht="13.2">
      <c r="A416" s="13">
        <v>44250.703668981485</v>
      </c>
      <c r="B416" s="6" t="str">
        <f>HYPERLINK("https://twitter.com/parebane","@parebane")</f>
        <v>@parebane</v>
      </c>
      <c r="C416" s="14" t="s">
        <v>2054</v>
      </c>
      <c r="D416" s="14" t="s">
        <v>2055</v>
      </c>
      <c r="E416" s="6" t="str">
        <f>HYPERLINK("https://twitter.com/parebane/status/1364241932218728448","1364241932218728448")</f>
        <v>1364241932218728448</v>
      </c>
      <c r="F416" s="7" t="s">
        <v>2056</v>
      </c>
      <c r="G416" s="8"/>
      <c r="H416" s="8"/>
      <c r="I416" s="14">
        <v>1</v>
      </c>
      <c r="J416" s="14">
        <v>0</v>
      </c>
      <c r="K416" s="6" t="str">
        <f>HYPERLINK("https://mobile.twitter.com","Twitter Web App")</f>
        <v>Twitter Web App</v>
      </c>
      <c r="L416" s="15">
        <v>65</v>
      </c>
      <c r="M416" s="15">
        <v>123</v>
      </c>
      <c r="N416" s="15">
        <v>2</v>
      </c>
      <c r="O416" s="9"/>
      <c r="P416" s="10">
        <v>43312.104710648149</v>
      </c>
      <c r="Q416" s="14" t="s">
        <v>138</v>
      </c>
      <c r="R416" s="14" t="s">
        <v>2057</v>
      </c>
      <c r="S416" s="8"/>
      <c r="T416" s="8"/>
      <c r="U416" s="11" t="str">
        <f>HYPERLINK("https://pbs.twimg.com/profile_images/1240265511801434119/wHevUU9x.jpg","View")</f>
        <v>View</v>
      </c>
      <c r="V416" s="8"/>
      <c r="W416" s="8"/>
      <c r="X416" s="8"/>
      <c r="Y416" s="8"/>
      <c r="Z416" s="8"/>
    </row>
    <row r="417" spans="1:26" ht="13.2">
      <c r="A417" s="13">
        <v>44250.703657407408</v>
      </c>
      <c r="B417" s="6" t="str">
        <f>HYPERLINK("https://twitter.com/into_AI","@into_AI")</f>
        <v>@into_AI</v>
      </c>
      <c r="C417" s="14" t="s">
        <v>2021</v>
      </c>
      <c r="D417" s="14" t="s">
        <v>2058</v>
      </c>
      <c r="E417" s="6" t="str">
        <f>HYPERLINK("https://twitter.com/into_AI/status/1364241926770352128","1364241926770352128")</f>
        <v>1364241926770352128</v>
      </c>
      <c r="F417" s="7" t="s">
        <v>2059</v>
      </c>
      <c r="G417" s="8"/>
      <c r="H417" s="8"/>
      <c r="I417" s="14">
        <v>1</v>
      </c>
      <c r="J417" s="14">
        <v>0</v>
      </c>
      <c r="K417" s="6" t="str">
        <f>HYPERLINK("http://into.AI","into.AI")</f>
        <v>into.AI</v>
      </c>
      <c r="L417" s="15">
        <v>19374</v>
      </c>
      <c r="M417" s="15">
        <v>1707</v>
      </c>
      <c r="N417" s="15">
        <v>3164</v>
      </c>
      <c r="O417" s="9"/>
      <c r="P417" s="10">
        <v>42133.721620370372</v>
      </c>
      <c r="Q417" s="14" t="s">
        <v>2024</v>
      </c>
      <c r="R417" s="14" t="s">
        <v>2025</v>
      </c>
      <c r="S417" s="7" t="s">
        <v>2026</v>
      </c>
      <c r="T417" s="8"/>
      <c r="U417" s="11" t="str">
        <f>HYPERLINK("https://pbs.twimg.com/profile_images/967341160124608512/LM2Y5Q5m.jpg","View")</f>
        <v>View</v>
      </c>
      <c r="V417" s="8"/>
      <c r="W417" s="8"/>
      <c r="X417" s="8"/>
      <c r="Y417" s="8"/>
      <c r="Z417" s="8"/>
    </row>
    <row r="418" spans="1:26" ht="13.2">
      <c r="A418" s="13">
        <v>44250.703321759254</v>
      </c>
      <c r="B418" s="6" t="str">
        <f>HYPERLINK("https://twitter.com/aen_espanol","@aen_espanol")</f>
        <v>@aen_espanol</v>
      </c>
      <c r="C418" s="14" t="s">
        <v>2060</v>
      </c>
      <c r="D418" s="14" t="s">
        <v>2061</v>
      </c>
      <c r="E418" s="6" t="str">
        <f>HYPERLINK("https://twitter.com/aen_espanol/status/1364241803709468675","1364241803709468675")</f>
        <v>1364241803709468675</v>
      </c>
      <c r="F418" s="14" t="s">
        <v>2062</v>
      </c>
      <c r="G418" s="7" t="s">
        <v>2063</v>
      </c>
      <c r="H418" s="8"/>
      <c r="I418" s="14">
        <v>0</v>
      </c>
      <c r="J418" s="14">
        <v>1</v>
      </c>
      <c r="K418" s="6" t="str">
        <f t="shared" ref="K418:K419" si="65">HYPERLINK("https://mobile.twitter.com","Twitter Web App")</f>
        <v>Twitter Web App</v>
      </c>
      <c r="L418" s="15">
        <v>503</v>
      </c>
      <c r="M418" s="15">
        <v>335</v>
      </c>
      <c r="N418" s="15">
        <v>6</v>
      </c>
      <c r="O418" s="9"/>
      <c r="P418" s="10">
        <v>44099.950474537036</v>
      </c>
      <c r="Q418" s="14" t="s">
        <v>2064</v>
      </c>
      <c r="R418" s="14" t="s">
        <v>2065</v>
      </c>
      <c r="S418" s="8"/>
      <c r="T418" s="8"/>
      <c r="U418" s="11" t="str">
        <f>HYPERLINK("https://pbs.twimg.com/profile_images/1310670317010944019/y0Q95Tmh.jpg","View")</f>
        <v>View</v>
      </c>
      <c r="V418" s="8"/>
      <c r="W418" s="8"/>
      <c r="X418" s="8"/>
      <c r="Y418" s="8"/>
      <c r="Z418" s="8"/>
    </row>
    <row r="419" spans="1:26" ht="13.2">
      <c r="A419" s="13">
        <v>44250.703194444446</v>
      </c>
      <c r="B419" s="6" t="str">
        <f>HYPERLINK("https://twitter.com/EcptCareer","@EcptCareer")</f>
        <v>@EcptCareer</v>
      </c>
      <c r="C419" s="14" t="s">
        <v>2066</v>
      </c>
      <c r="D419" s="14" t="s">
        <v>2067</v>
      </c>
      <c r="E419" s="6" t="str">
        <f>HYPERLINK("https://twitter.com/EcptCareer/status/1364241757941108738","1364241757941108738")</f>
        <v>1364241757941108738</v>
      </c>
      <c r="F419" s="7" t="s">
        <v>2068</v>
      </c>
      <c r="G419" s="7" t="s">
        <v>2069</v>
      </c>
      <c r="H419" s="8"/>
      <c r="I419" s="14">
        <v>0</v>
      </c>
      <c r="J419" s="14">
        <v>0</v>
      </c>
      <c r="K419" s="6" t="str">
        <f t="shared" si="65"/>
        <v>Twitter Web App</v>
      </c>
      <c r="L419" s="15">
        <v>24</v>
      </c>
      <c r="M419" s="15">
        <v>22</v>
      </c>
      <c r="N419" s="15">
        <v>0</v>
      </c>
      <c r="O419" s="9"/>
      <c r="P419" s="10">
        <v>44073.250821759255</v>
      </c>
      <c r="Q419" s="8"/>
      <c r="R419" s="14" t="s">
        <v>2070</v>
      </c>
      <c r="S419" s="7" t="s">
        <v>2071</v>
      </c>
      <c r="T419" s="8"/>
      <c r="U419" s="11" t="str">
        <f>HYPERLINK("https://pbs.twimg.com/profile_images/1344266029715738626/gwz5SBa3.jpg","View")</f>
        <v>View</v>
      </c>
      <c r="V419" s="8"/>
      <c r="W419" s="8"/>
      <c r="X419" s="8"/>
      <c r="Y419" s="8"/>
      <c r="Z419" s="8"/>
    </row>
    <row r="420" spans="1:26" ht="13.2">
      <c r="A420" s="13">
        <v>44250.702928240746</v>
      </c>
      <c r="B420" s="6" t="str">
        <f>HYPERLINK("https://twitter.com/h3techdev","@h3techdev")</f>
        <v>@h3techdev</v>
      </c>
      <c r="C420" s="14" t="s">
        <v>2072</v>
      </c>
      <c r="D420" s="14" t="s">
        <v>2073</v>
      </c>
      <c r="E420" s="6" t="str">
        <f>HYPERLINK("https://twitter.com/h3techdev/status/1364241662084481026","1364241662084481026")</f>
        <v>1364241662084481026</v>
      </c>
      <c r="F420" s="7" t="s">
        <v>2074</v>
      </c>
      <c r="G420" s="7" t="s">
        <v>2075</v>
      </c>
      <c r="H420" s="8"/>
      <c r="I420" s="14">
        <v>0</v>
      </c>
      <c r="J420" s="14">
        <v>2</v>
      </c>
      <c r="K420" s="6" t="str">
        <f>HYPERLINK("http://twitter.com/download/android","Twitter for Android")</f>
        <v>Twitter for Android</v>
      </c>
      <c r="L420" s="15">
        <v>369</v>
      </c>
      <c r="M420" s="15">
        <v>714</v>
      </c>
      <c r="N420" s="15">
        <v>9</v>
      </c>
      <c r="O420" s="9"/>
      <c r="P420" s="10">
        <v>42340.912476851852</v>
      </c>
      <c r="Q420" s="14" t="s">
        <v>2076</v>
      </c>
      <c r="R420" s="14" t="s">
        <v>2077</v>
      </c>
      <c r="S420" s="7" t="s">
        <v>2078</v>
      </c>
      <c r="T420" s="8"/>
      <c r="U420" s="11" t="str">
        <f>HYPERLINK("https://pbs.twimg.com/profile_images/1352063268915822592/jLlu3x-O.jpg","View")</f>
        <v>View</v>
      </c>
      <c r="V420" s="8"/>
      <c r="W420" s="8"/>
      <c r="X420" s="8"/>
      <c r="Y420" s="8"/>
      <c r="Z420" s="8"/>
    </row>
    <row r="421" spans="1:26" ht="13.2">
      <c r="A421" s="13">
        <v>44250.702546296292</v>
      </c>
      <c r="B421" s="6" t="str">
        <f>HYPERLINK("https://twitter.com/Eli_Krumova","@Eli_Krumova")</f>
        <v>@Eli_Krumova</v>
      </c>
      <c r="C421" s="14" t="s">
        <v>947</v>
      </c>
      <c r="D421" s="14" t="s">
        <v>2079</v>
      </c>
      <c r="E421" s="6" t="str">
        <f>HYPERLINK("https://twitter.com/Eli_Krumova/status/1364241526033952771","1364241526033952771")</f>
        <v>1364241526033952771</v>
      </c>
      <c r="F421" s="14" t="s">
        <v>2080</v>
      </c>
      <c r="G421" s="7" t="s">
        <v>2081</v>
      </c>
      <c r="H421" s="8"/>
      <c r="I421" s="14">
        <v>14</v>
      </c>
      <c r="J421" s="14">
        <v>4</v>
      </c>
      <c r="K421" s="6" t="str">
        <f t="shared" ref="K421:K422" si="66">HYPERLINK("https://mobile.twitter.com","Twitter Web App")</f>
        <v>Twitter Web App</v>
      </c>
      <c r="L421" s="15">
        <v>4471</v>
      </c>
      <c r="M421" s="15">
        <v>5001</v>
      </c>
      <c r="N421" s="15">
        <v>79</v>
      </c>
      <c r="O421" s="9"/>
      <c r="P421" s="10">
        <v>41346.597002314811</v>
      </c>
      <c r="Q421" s="14" t="s">
        <v>951</v>
      </c>
      <c r="R421" s="14" t="s">
        <v>952</v>
      </c>
      <c r="S421" s="8"/>
      <c r="T421" s="8"/>
      <c r="U421" s="11" t="str">
        <f>HYPERLINK("https://pbs.twimg.com/profile_images/1361638888427683840/HqNlplM_.jpg","View")</f>
        <v>View</v>
      </c>
      <c r="V421" s="8"/>
      <c r="W421" s="8"/>
      <c r="X421" s="8"/>
      <c r="Y421" s="8"/>
      <c r="Z421" s="8"/>
    </row>
    <row r="422" spans="1:26" ht="13.2">
      <c r="A422" s="13">
        <v>44250.702048611114</v>
      </c>
      <c r="B422" s="6" t="str">
        <f>HYPERLINK("https://twitter.com/Kh4lilO","@Kh4lilO")</f>
        <v>@Kh4lilO</v>
      </c>
      <c r="C422" s="14" t="s">
        <v>2082</v>
      </c>
      <c r="D422" s="14" t="s">
        <v>2083</v>
      </c>
      <c r="E422" s="6" t="str">
        <f>HYPERLINK("https://twitter.com/Kh4lilO/status/1364241343111827458","1364241343111827458")</f>
        <v>1364241343111827458</v>
      </c>
      <c r="F422" s="7" t="s">
        <v>2084</v>
      </c>
      <c r="G422" s="8"/>
      <c r="H422" s="8"/>
      <c r="I422" s="14">
        <v>11</v>
      </c>
      <c r="J422" s="14">
        <v>7</v>
      </c>
      <c r="K422" s="6" t="str">
        <f t="shared" si="66"/>
        <v>Twitter Web App</v>
      </c>
      <c r="L422" s="15">
        <v>315</v>
      </c>
      <c r="M422" s="15">
        <v>927</v>
      </c>
      <c r="N422" s="15">
        <v>0</v>
      </c>
      <c r="O422" s="9"/>
      <c r="P422" s="10">
        <v>41049.61072916667</v>
      </c>
      <c r="Q422" s="14" t="s">
        <v>322</v>
      </c>
      <c r="R422" s="14" t="s">
        <v>2085</v>
      </c>
      <c r="S422" s="8"/>
      <c r="T422" s="8"/>
      <c r="U422" s="11" t="str">
        <f>HYPERLINK("https://pbs.twimg.com/profile_images/1183223579665747968/-92uLWJe.jpg","View")</f>
        <v>View</v>
      </c>
      <c r="V422" s="8"/>
      <c r="W422" s="8"/>
      <c r="X422" s="8"/>
      <c r="Y422" s="8"/>
      <c r="Z422" s="8"/>
    </row>
    <row r="423" spans="1:26" ht="13.2">
      <c r="A423" s="13">
        <v>44250.701828703706</v>
      </c>
      <c r="B423" s="6" t="str">
        <f>HYPERLINK("https://twitter.com/amitkjha_rjn","@amitkjha_rjn")</f>
        <v>@amitkjha_rjn</v>
      </c>
      <c r="C423" s="14" t="s">
        <v>2086</v>
      </c>
      <c r="D423" s="14" t="s">
        <v>2087</v>
      </c>
      <c r="E423" s="6" t="str">
        <f>HYPERLINK("https://twitter.com/amitkjha_rjn/status/1364241263411818496","1364241263411818496")</f>
        <v>1364241263411818496</v>
      </c>
      <c r="F423" s="7" t="s">
        <v>2088</v>
      </c>
      <c r="G423" s="7" t="s">
        <v>2089</v>
      </c>
      <c r="H423" s="8"/>
      <c r="I423" s="14">
        <v>0</v>
      </c>
      <c r="J423" s="14">
        <v>0</v>
      </c>
      <c r="K423" s="6" t="str">
        <f>HYPERLINK("http://www.everyonesocial.com","EveryoneSocial")</f>
        <v>EveryoneSocial</v>
      </c>
      <c r="L423" s="15">
        <v>183</v>
      </c>
      <c r="M423" s="15">
        <v>643</v>
      </c>
      <c r="N423" s="15">
        <v>4</v>
      </c>
      <c r="O423" s="9"/>
      <c r="P423" s="10">
        <v>41913.715439814812</v>
      </c>
      <c r="Q423" s="14" t="s">
        <v>914</v>
      </c>
      <c r="R423" s="14" t="s">
        <v>2090</v>
      </c>
      <c r="S423" s="8"/>
      <c r="T423" s="8"/>
      <c r="U423" s="11" t="str">
        <f>HYPERLINK("https://pbs.twimg.com/profile_images/1191141975501746176/4sLvfP75.jpg","View")</f>
        <v>View</v>
      </c>
      <c r="V423" s="8"/>
      <c r="W423" s="8"/>
      <c r="X423" s="8"/>
      <c r="Y423" s="8"/>
      <c r="Z423" s="8"/>
    </row>
    <row r="424" spans="1:26" ht="13.2">
      <c r="A424" s="13">
        <v>44250.701793981483</v>
      </c>
      <c r="B424" s="6" t="str">
        <f>HYPERLINK("https://twitter.com/derivedfromdata","@derivedfromdata")</f>
        <v>@derivedfromdata</v>
      </c>
      <c r="C424" s="14" t="s">
        <v>2091</v>
      </c>
      <c r="D424" s="14" t="s">
        <v>2092</v>
      </c>
      <c r="E424" s="6" t="str">
        <f>HYPERLINK("https://twitter.com/derivedfromdata/status/1364241253295153154","1364241253295153154")</f>
        <v>1364241253295153154</v>
      </c>
      <c r="F424" s="7" t="s">
        <v>2093</v>
      </c>
      <c r="G424" s="7" t="s">
        <v>2094</v>
      </c>
      <c r="H424" s="8"/>
      <c r="I424" s="14">
        <v>1</v>
      </c>
      <c r="J424" s="14">
        <v>1</v>
      </c>
      <c r="K424" s="6" t="str">
        <f>HYPERLINK("https://mobile.twitter.com","Twitter Web App")</f>
        <v>Twitter Web App</v>
      </c>
      <c r="L424" s="15">
        <v>227</v>
      </c>
      <c r="M424" s="15">
        <v>233</v>
      </c>
      <c r="N424" s="15">
        <v>10</v>
      </c>
      <c r="O424" s="9"/>
      <c r="P424" s="10">
        <v>43939.131342592591</v>
      </c>
      <c r="Q424" s="8"/>
      <c r="R424" s="14" t="s">
        <v>2095</v>
      </c>
      <c r="S424" s="7" t="s">
        <v>2096</v>
      </c>
      <c r="T424" s="8"/>
      <c r="U424" s="11" t="str">
        <f>HYPERLINK("https://pbs.twimg.com/profile_images/1277710688958525442/1KDd8mtL.jpg","View")</f>
        <v>View</v>
      </c>
      <c r="V424" s="8"/>
      <c r="W424" s="8"/>
      <c r="X424" s="8"/>
      <c r="Y424" s="8"/>
      <c r="Z424" s="8"/>
    </row>
    <row r="425" spans="1:26" ht="13.2">
      <c r="A425" s="13">
        <v>44250.701620370368</v>
      </c>
      <c r="B425" s="6" t="str">
        <f>HYPERLINK("https://twitter.com/stanford__ai","@stanford__ai")</f>
        <v>@stanford__ai</v>
      </c>
      <c r="C425" s="14" t="s">
        <v>475</v>
      </c>
      <c r="D425" s="14" t="s">
        <v>2097</v>
      </c>
      <c r="E425" s="6" t="str">
        <f>HYPERLINK("https://twitter.com/stanford__ai/status/1364241190024065032","1364241190024065032")</f>
        <v>1364241190024065032</v>
      </c>
      <c r="F425" s="7" t="s">
        <v>2098</v>
      </c>
      <c r="G425" s="8"/>
      <c r="H425" s="8"/>
      <c r="I425" s="14">
        <v>1</v>
      </c>
      <c r="J425" s="14">
        <v>1</v>
      </c>
      <c r="K425" s="6" t="str">
        <f>HYPERLINK("https://ifttt.com","IFTTT")</f>
        <v>IFTTT</v>
      </c>
      <c r="L425" s="15">
        <v>928</v>
      </c>
      <c r="M425" s="15">
        <v>1487</v>
      </c>
      <c r="N425" s="15">
        <v>20</v>
      </c>
      <c r="O425" s="9"/>
      <c r="P425" s="10">
        <v>43558.915891203702</v>
      </c>
      <c r="Q425" s="14" t="s">
        <v>478</v>
      </c>
      <c r="R425" s="14" t="s">
        <v>479</v>
      </c>
      <c r="S425" s="7" t="s">
        <v>480</v>
      </c>
      <c r="T425" s="8"/>
      <c r="U425" s="11" t="str">
        <f>HYPERLINK("https://pbs.twimg.com/profile_images/1113531441625935878/OR4W_sLY.jpg","View")</f>
        <v>View</v>
      </c>
      <c r="V425" s="8"/>
      <c r="W425" s="8"/>
      <c r="X425" s="8"/>
      <c r="Y425" s="8"/>
      <c r="Z425" s="8"/>
    </row>
    <row r="426" spans="1:26" ht="13.2">
      <c r="A426" s="13">
        <v>44250.701620370368</v>
      </c>
      <c r="B426" s="6" t="str">
        <f>HYPERLINK("https://twitter.com/Robofied","@Robofied")</f>
        <v>@Robofied</v>
      </c>
      <c r="C426" s="14" t="s">
        <v>2099</v>
      </c>
      <c r="D426" s="14" t="s">
        <v>2100</v>
      </c>
      <c r="E426" s="6" t="str">
        <f>HYPERLINK("https://twitter.com/Robofied/status/1364241189419933697","1364241189419933697")</f>
        <v>1364241189419933697</v>
      </c>
      <c r="F426" s="8"/>
      <c r="G426" s="7" t="s">
        <v>2101</v>
      </c>
      <c r="H426" s="8"/>
      <c r="I426" s="14">
        <v>8</v>
      </c>
      <c r="J426" s="14">
        <v>4</v>
      </c>
      <c r="K426" s="6" t="str">
        <f>HYPERLINK("http://twitter.com/download/android","Twitter for Android")</f>
        <v>Twitter for Android</v>
      </c>
      <c r="L426" s="15">
        <v>231</v>
      </c>
      <c r="M426" s="15">
        <v>116</v>
      </c>
      <c r="N426" s="15">
        <v>8</v>
      </c>
      <c r="O426" s="9"/>
      <c r="P426" s="10">
        <v>43198.393437499995</v>
      </c>
      <c r="Q426" s="14" t="s">
        <v>2102</v>
      </c>
      <c r="R426" s="14" t="s">
        <v>2103</v>
      </c>
      <c r="S426" s="7" t="s">
        <v>2104</v>
      </c>
      <c r="T426" s="8"/>
      <c r="U426" s="11" t="str">
        <f>HYPERLINK("https://pbs.twimg.com/profile_images/1139982196540764160/2tahzdY4.png","View")</f>
        <v>View</v>
      </c>
      <c r="V426" s="8"/>
      <c r="W426" s="8"/>
      <c r="X426" s="8"/>
      <c r="Y426" s="8"/>
      <c r="Z426" s="8"/>
    </row>
    <row r="427" spans="1:26" ht="13.2">
      <c r="A427" s="13">
        <v>44250.701608796298</v>
      </c>
      <c r="B427" s="6" t="str">
        <f>HYPERLINK("https://twitter.com/stanford__ai","@stanford__ai")</f>
        <v>@stanford__ai</v>
      </c>
      <c r="C427" s="14" t="s">
        <v>475</v>
      </c>
      <c r="D427" s="14" t="s">
        <v>2105</v>
      </c>
      <c r="E427" s="6" t="str">
        <f>HYPERLINK("https://twitter.com/stanford__ai/status/1364241186794467328","1364241186794467328")</f>
        <v>1364241186794467328</v>
      </c>
      <c r="F427" s="7" t="s">
        <v>2106</v>
      </c>
      <c r="G427" s="8"/>
      <c r="H427" s="8"/>
      <c r="I427" s="14">
        <v>1</v>
      </c>
      <c r="J427" s="14">
        <v>2</v>
      </c>
      <c r="K427" s="6" t="str">
        <f>HYPERLINK("https://ifttt.com","IFTTT")</f>
        <v>IFTTT</v>
      </c>
      <c r="L427" s="15">
        <v>928</v>
      </c>
      <c r="M427" s="15">
        <v>1487</v>
      </c>
      <c r="N427" s="15">
        <v>20</v>
      </c>
      <c r="O427" s="9"/>
      <c r="P427" s="10">
        <v>43558.915891203702</v>
      </c>
      <c r="Q427" s="14" t="s">
        <v>478</v>
      </c>
      <c r="R427" s="14" t="s">
        <v>479</v>
      </c>
      <c r="S427" s="7" t="s">
        <v>480</v>
      </c>
      <c r="T427" s="8"/>
      <c r="U427" s="11" t="str">
        <f>HYPERLINK("https://pbs.twimg.com/profile_images/1113531441625935878/OR4W_sLY.jpg","View")</f>
        <v>View</v>
      </c>
      <c r="V427" s="8"/>
      <c r="W427" s="8"/>
      <c r="X427" s="8"/>
      <c r="Y427" s="8"/>
      <c r="Z427" s="8"/>
    </row>
    <row r="428" spans="1:26" ht="13.2">
      <c r="A428" s="13">
        <v>44250.701574074075</v>
      </c>
      <c r="B428" s="6" t="str">
        <f>HYPERLINK("https://twitter.com/ai_guild","@ai_guild")</f>
        <v>@ai_guild</v>
      </c>
      <c r="C428" s="14" t="s">
        <v>2107</v>
      </c>
      <c r="D428" s="14" t="s">
        <v>2108</v>
      </c>
      <c r="E428" s="6" t="str">
        <f>HYPERLINK("https://twitter.com/ai_guild/status/1364241172634419201","1364241172634419201")</f>
        <v>1364241172634419201</v>
      </c>
      <c r="F428" s="7" t="s">
        <v>2109</v>
      </c>
      <c r="G428" s="8"/>
      <c r="H428" s="8"/>
      <c r="I428" s="14">
        <v>0</v>
      </c>
      <c r="J428" s="14">
        <v>0</v>
      </c>
      <c r="K428" s="6" t="str">
        <f>HYPERLINK("http://twitter.com/download/android","Twitter for Android")</f>
        <v>Twitter for Android</v>
      </c>
      <c r="L428" s="15">
        <v>303</v>
      </c>
      <c r="M428" s="15">
        <v>603</v>
      </c>
      <c r="N428" s="15">
        <v>4</v>
      </c>
      <c r="O428" s="9"/>
      <c r="P428" s="10">
        <v>43632.609444444446</v>
      </c>
      <c r="Q428" s="8"/>
      <c r="R428" s="14" t="s">
        <v>2110</v>
      </c>
      <c r="S428" s="7" t="s">
        <v>2111</v>
      </c>
      <c r="T428" s="8"/>
      <c r="U428" s="11" t="str">
        <f>HYPERLINK("https://pbs.twimg.com/profile_images/1347231191603286023/fjxtanlI.jpg","View")</f>
        <v>View</v>
      </c>
      <c r="V428" s="8"/>
      <c r="W428" s="8"/>
      <c r="X428" s="8"/>
      <c r="Y428" s="8"/>
      <c r="Z428" s="8"/>
    </row>
    <row r="429" spans="1:26" ht="13.2">
      <c r="A429" s="13">
        <v>44250.701574074075</v>
      </c>
      <c r="B429" s="6" t="str">
        <f>HYPERLINK("https://twitter.com/_M_Dey","@_M_Dey")</f>
        <v>@_M_Dey</v>
      </c>
      <c r="C429" s="14" t="s">
        <v>2112</v>
      </c>
      <c r="D429" s="14" t="s">
        <v>2113</v>
      </c>
      <c r="E429" s="6" t="str">
        <f>HYPERLINK("https://twitter.com/_M_Dey/status/1364241171543777281","1364241171543777281")</f>
        <v>1364241171543777281</v>
      </c>
      <c r="F429" s="7" t="s">
        <v>2114</v>
      </c>
      <c r="G429" s="8"/>
      <c r="H429" s="8"/>
      <c r="I429" s="14">
        <v>3</v>
      </c>
      <c r="J429" s="14">
        <v>3</v>
      </c>
      <c r="K429" s="6" t="str">
        <f>HYPERLINK("http://dynamicsignal.com/","Dynamic Signal")</f>
        <v>Dynamic Signal</v>
      </c>
      <c r="L429" s="15">
        <v>1174</v>
      </c>
      <c r="M429" s="15">
        <v>4503</v>
      </c>
      <c r="N429" s="15">
        <v>19</v>
      </c>
      <c r="O429" s="9"/>
      <c r="P429" s="10">
        <v>42691.486655092594</v>
      </c>
      <c r="Q429" s="14" t="s">
        <v>106</v>
      </c>
      <c r="R429" s="14" t="s">
        <v>2115</v>
      </c>
      <c r="S429" s="7" t="s">
        <v>2116</v>
      </c>
      <c r="T429" s="8"/>
      <c r="U429" s="11" t="str">
        <f>HYPERLINK("https://pbs.twimg.com/profile_images/799206549025603584/G1d1duXU.jpg","View")</f>
        <v>View</v>
      </c>
      <c r="V429" s="8"/>
      <c r="W429" s="8"/>
      <c r="X429" s="8"/>
      <c r="Y429" s="8"/>
      <c r="Z429" s="8"/>
    </row>
    <row r="430" spans="1:26" ht="13.2">
      <c r="A430" s="13">
        <v>44250.701261574075</v>
      </c>
      <c r="B430" s="6" t="str">
        <f>HYPERLINK("https://twitter.com/ANoorTech","@ANoorTech")</f>
        <v>@ANoorTech</v>
      </c>
      <c r="C430" s="14" t="s">
        <v>2117</v>
      </c>
      <c r="D430" s="14" t="s">
        <v>2118</v>
      </c>
      <c r="E430" s="6" t="str">
        <f>HYPERLINK("https://twitter.com/ANoorTech/status/1364241060466098176","1364241060466098176")</f>
        <v>1364241060466098176</v>
      </c>
      <c r="F430" s="8"/>
      <c r="G430" s="7" t="s">
        <v>2119</v>
      </c>
      <c r="H430" s="8"/>
      <c r="I430" s="14">
        <v>14</v>
      </c>
      <c r="J430" s="14">
        <v>8</v>
      </c>
      <c r="K430" s="6" t="str">
        <f>HYPERLINK("https://mobile.twitter.com","Twitter Web App")</f>
        <v>Twitter Web App</v>
      </c>
      <c r="L430" s="15">
        <v>392</v>
      </c>
      <c r="M430" s="15">
        <v>333</v>
      </c>
      <c r="N430" s="15">
        <v>0</v>
      </c>
      <c r="O430" s="9"/>
      <c r="P430" s="10">
        <v>44241.511238425926</v>
      </c>
      <c r="Q430" s="14" t="s">
        <v>2120</v>
      </c>
      <c r="R430" s="14" t="s">
        <v>2121</v>
      </c>
      <c r="S430" s="8"/>
      <c r="T430" s="8"/>
      <c r="U430" s="11" t="str">
        <f>HYPERLINK("https://pbs.twimg.com/profile_images/1361417183574839302/G5WcAJbe.jpg","View")</f>
        <v>View</v>
      </c>
      <c r="V430" s="8"/>
      <c r="W430" s="8"/>
      <c r="X430" s="8"/>
      <c r="Y430" s="8"/>
      <c r="Z430" s="8"/>
    </row>
    <row r="431" spans="1:26" ht="13.2">
      <c r="A431" s="13">
        <v>44250.700752314813</v>
      </c>
      <c r="B431" s="6" t="str">
        <f>HYPERLINK("https://twitter.com/HealthcareMuse","@HealthcareMuse")</f>
        <v>@HealthcareMuse</v>
      </c>
      <c r="C431" s="14" t="s">
        <v>2122</v>
      </c>
      <c r="D431" s="14" t="s">
        <v>2123</v>
      </c>
      <c r="E431" s="6" t="str">
        <f>HYPERLINK("https://twitter.com/HealthcareMuse/status/1364240873781932032","1364240873781932032")</f>
        <v>1364240873781932032</v>
      </c>
      <c r="F431" s="7" t="s">
        <v>2124</v>
      </c>
      <c r="G431" s="7" t="s">
        <v>2125</v>
      </c>
      <c r="H431" s="8"/>
      <c r="I431" s="14">
        <v>0</v>
      </c>
      <c r="J431" s="14">
        <v>0</v>
      </c>
      <c r="K431" s="6" t="str">
        <f>HYPERLINK("https://www.hootsuite.com","Hootsuite Inc.")</f>
        <v>Hootsuite Inc.</v>
      </c>
      <c r="L431" s="15">
        <v>19</v>
      </c>
      <c r="M431" s="15">
        <v>5</v>
      </c>
      <c r="N431" s="15">
        <v>0</v>
      </c>
      <c r="O431" s="9"/>
      <c r="P431" s="10">
        <v>43899.899745370371</v>
      </c>
      <c r="Q431" s="8"/>
      <c r="R431" s="14" t="s">
        <v>2126</v>
      </c>
      <c r="S431" s="7" t="s">
        <v>2127</v>
      </c>
      <c r="T431" s="8"/>
      <c r="U431" s="11" t="str">
        <f>HYPERLINK("https://pbs.twimg.com/profile_images/1237117157751824384/dRV7YKvy.jpg","View")</f>
        <v>View</v>
      </c>
      <c r="V431" s="8"/>
      <c r="W431" s="8"/>
      <c r="X431" s="8"/>
      <c r="Y431" s="8"/>
      <c r="Z431" s="8"/>
    </row>
    <row r="432" spans="1:26" ht="13.2">
      <c r="A432" s="13">
        <v>44250.700717592597</v>
      </c>
      <c r="B432" s="6" t="str">
        <f>HYPERLINK("https://twitter.com/Arnold_Haine","@Arnold_Haine")</f>
        <v>@Arnold_Haine</v>
      </c>
      <c r="C432" s="14" t="s">
        <v>2128</v>
      </c>
      <c r="D432" s="14" t="s">
        <v>2129</v>
      </c>
      <c r="E432" s="6" t="str">
        <f>HYPERLINK("https://twitter.com/Arnold_Haine/status/1364240859814887425","1364240859814887425")</f>
        <v>1364240859814887425</v>
      </c>
      <c r="F432" s="7" t="s">
        <v>2130</v>
      </c>
      <c r="G432" s="7" t="s">
        <v>2131</v>
      </c>
      <c r="H432" s="8"/>
      <c r="I432" s="14">
        <v>0</v>
      </c>
      <c r="J432" s="14">
        <v>0</v>
      </c>
      <c r="K432" s="6" t="str">
        <f>HYPERLINK("https://buffer.com","Buffer")</f>
        <v>Buffer</v>
      </c>
      <c r="L432" s="15">
        <v>8235</v>
      </c>
      <c r="M432" s="15">
        <v>3987</v>
      </c>
      <c r="N432" s="15">
        <v>3414</v>
      </c>
      <c r="O432" s="9"/>
      <c r="P432" s="10">
        <v>39883.2815162037</v>
      </c>
      <c r="Q432" s="14" t="s">
        <v>1446</v>
      </c>
      <c r="R432" s="14" t="s">
        <v>2132</v>
      </c>
      <c r="S432" s="7" t="s">
        <v>2133</v>
      </c>
      <c r="T432" s="8"/>
      <c r="U432" s="11" t="str">
        <f>HYPERLINK("https://pbs.twimg.com/profile_images/788408495452393473/J53k5sL8.jpg","View")</f>
        <v>View</v>
      </c>
      <c r="V432" s="8"/>
      <c r="W432" s="8"/>
      <c r="X432" s="8"/>
      <c r="Y432" s="8"/>
      <c r="Z432" s="8"/>
    </row>
    <row r="433" spans="1:26" ht="13.2">
      <c r="A433" s="13">
        <v>44250.700590277775</v>
      </c>
      <c r="B433" s="6" t="str">
        <f>HYPERLINK("https://twitter.com/matthewokeefe1","@matthewokeefe1")</f>
        <v>@matthewokeefe1</v>
      </c>
      <c r="C433" s="14" t="s">
        <v>2134</v>
      </c>
      <c r="D433" s="14" t="s">
        <v>2135</v>
      </c>
      <c r="E433" s="6" t="str">
        <f>HYPERLINK("https://twitter.com/matthewokeefe1/status/1364240815380332548","1364240815380332548")</f>
        <v>1364240815380332548</v>
      </c>
      <c r="F433" s="7" t="s">
        <v>2136</v>
      </c>
      <c r="G433" s="8"/>
      <c r="H433" s="8"/>
      <c r="I433" s="14">
        <v>1</v>
      </c>
      <c r="J433" s="14">
        <v>0</v>
      </c>
      <c r="K433" s="6" t="str">
        <f t="shared" ref="K433:K437" si="67">HYPERLINK("https://mobile.twitter.com","Twitter Web App")</f>
        <v>Twitter Web App</v>
      </c>
      <c r="L433" s="15">
        <v>353</v>
      </c>
      <c r="M433" s="15">
        <v>272</v>
      </c>
      <c r="N433" s="15">
        <v>20</v>
      </c>
      <c r="O433" s="9"/>
      <c r="P433" s="10">
        <v>39937.130254629628</v>
      </c>
      <c r="Q433" s="14" t="s">
        <v>2137</v>
      </c>
      <c r="R433" s="14" t="s">
        <v>2138</v>
      </c>
      <c r="S433" s="7" t="s">
        <v>2139</v>
      </c>
      <c r="T433" s="8"/>
      <c r="U433" s="11" t="str">
        <f>HYPERLINK("https://pbs.twimg.com/profile_images/1259036394/bender_the_offender.jpg","View")</f>
        <v>View</v>
      </c>
      <c r="V433" s="8"/>
      <c r="W433" s="8"/>
      <c r="X433" s="8"/>
      <c r="Y433" s="8"/>
      <c r="Z433" s="8"/>
    </row>
    <row r="434" spans="1:26" ht="13.2">
      <c r="A434" s="13">
        <v>44250.699930555551</v>
      </c>
      <c r="B434" s="6" t="str">
        <f>HYPERLINK("https://twitter.com/NoorahAlhasan","@NoorahAlhasan")</f>
        <v>@NoorahAlhasan</v>
      </c>
      <c r="C434" s="14" t="s">
        <v>2140</v>
      </c>
      <c r="D434" s="14" t="s">
        <v>2141</v>
      </c>
      <c r="E434" s="6" t="str">
        <f>HYPERLINK("https://twitter.com/NoorahAlhasan/status/1364240577743650822","1364240577743650822")</f>
        <v>1364240577743650822</v>
      </c>
      <c r="F434" s="8"/>
      <c r="G434" s="8"/>
      <c r="H434" s="8"/>
      <c r="I434" s="14">
        <v>4</v>
      </c>
      <c r="J434" s="14">
        <v>0</v>
      </c>
      <c r="K434" s="6" t="str">
        <f t="shared" si="67"/>
        <v>Twitter Web App</v>
      </c>
      <c r="L434" s="15">
        <v>311</v>
      </c>
      <c r="M434" s="15">
        <v>489</v>
      </c>
      <c r="N434" s="15">
        <v>1</v>
      </c>
      <c r="O434" s="9"/>
      <c r="P434" s="10">
        <v>43367.099212962959</v>
      </c>
      <c r="Q434" s="14" t="s">
        <v>2142</v>
      </c>
      <c r="R434" s="14" t="s">
        <v>2143</v>
      </c>
      <c r="S434" s="7" t="s">
        <v>2144</v>
      </c>
      <c r="T434" s="8"/>
      <c r="U434" s="11" t="str">
        <f>HYPERLINK("https://pbs.twimg.com/profile_images/1261347000408322054/19irH2Lx.jpg","View")</f>
        <v>View</v>
      </c>
      <c r="V434" s="8"/>
      <c r="W434" s="8"/>
      <c r="X434" s="8"/>
      <c r="Y434" s="8"/>
      <c r="Z434" s="8"/>
    </row>
    <row r="435" spans="1:26" ht="13.2">
      <c r="A435" s="13">
        <v>44250.699722222227</v>
      </c>
      <c r="B435" s="6" t="str">
        <f>HYPERLINK("https://twitter.com/AppColl","@AppColl")</f>
        <v>@AppColl</v>
      </c>
      <c r="C435" s="14" t="s">
        <v>2145</v>
      </c>
      <c r="D435" s="14" t="s">
        <v>2146</v>
      </c>
      <c r="E435" s="6" t="str">
        <f>HYPERLINK("https://twitter.com/AppColl/status/1364240502455894025","1364240502455894025")</f>
        <v>1364240502455894025</v>
      </c>
      <c r="F435" s="7" t="s">
        <v>2147</v>
      </c>
      <c r="G435" s="7" t="s">
        <v>2148</v>
      </c>
      <c r="H435" s="8"/>
      <c r="I435" s="14">
        <v>1</v>
      </c>
      <c r="J435" s="14">
        <v>0</v>
      </c>
      <c r="K435" s="6" t="str">
        <f t="shared" si="67"/>
        <v>Twitter Web App</v>
      </c>
      <c r="L435" s="15">
        <v>49</v>
      </c>
      <c r="M435" s="15">
        <v>12</v>
      </c>
      <c r="N435" s="15">
        <v>3</v>
      </c>
      <c r="O435" s="9"/>
      <c r="P435" s="10">
        <v>40687.999189814815</v>
      </c>
      <c r="Q435" s="14" t="s">
        <v>875</v>
      </c>
      <c r="R435" s="8"/>
      <c r="S435" s="7" t="s">
        <v>2149</v>
      </c>
      <c r="T435" s="8"/>
      <c r="U435" s="11" t="str">
        <f>HYPERLINK("https://pbs.twimg.com/profile_images/971844863044894720/OV9SEjpx.jpg","View")</f>
        <v>View</v>
      </c>
      <c r="V435" s="8"/>
      <c r="W435" s="8"/>
      <c r="X435" s="8"/>
      <c r="Y435" s="8"/>
      <c r="Z435" s="8"/>
    </row>
    <row r="436" spans="1:26" ht="13.2">
      <c r="A436" s="13">
        <v>44250.699699074074</v>
      </c>
      <c r="B436" s="6" t="str">
        <f>HYPERLINK("https://twitter.com/Eli_Krumova","@Eli_Krumova")</f>
        <v>@Eli_Krumova</v>
      </c>
      <c r="C436" s="14" t="s">
        <v>947</v>
      </c>
      <c r="D436" s="14" t="s">
        <v>2150</v>
      </c>
      <c r="E436" s="6" t="str">
        <f>HYPERLINK("https://twitter.com/Eli_Krumova/status/1364240492859383812","1364240492859383812")</f>
        <v>1364240492859383812</v>
      </c>
      <c r="F436" s="7" t="s">
        <v>2151</v>
      </c>
      <c r="G436" s="14" t="s">
        <v>2152</v>
      </c>
      <c r="H436" s="8"/>
      <c r="I436" s="14">
        <v>14</v>
      </c>
      <c r="J436" s="14">
        <v>10</v>
      </c>
      <c r="K436" s="6" t="str">
        <f t="shared" si="67"/>
        <v>Twitter Web App</v>
      </c>
      <c r="L436" s="15">
        <v>4471</v>
      </c>
      <c r="M436" s="15">
        <v>5001</v>
      </c>
      <c r="N436" s="15">
        <v>79</v>
      </c>
      <c r="O436" s="9"/>
      <c r="P436" s="10">
        <v>41346.597002314811</v>
      </c>
      <c r="Q436" s="14" t="s">
        <v>951</v>
      </c>
      <c r="R436" s="14" t="s">
        <v>952</v>
      </c>
      <c r="S436" s="8"/>
      <c r="T436" s="8"/>
      <c r="U436" s="11" t="str">
        <f>HYPERLINK("https://pbs.twimg.com/profile_images/1361638888427683840/HqNlplM_.jpg","View")</f>
        <v>View</v>
      </c>
      <c r="V436" s="8"/>
      <c r="W436" s="8"/>
      <c r="X436" s="8"/>
      <c r="Y436" s="8"/>
      <c r="Z436" s="8"/>
    </row>
    <row r="437" spans="1:26" ht="13.2">
      <c r="A437" s="13">
        <v>44250.699629629627</v>
      </c>
      <c r="B437" s="6" t="str">
        <f>HYPERLINK("https://twitter.com/MarinaMayer","@MarinaMayer")</f>
        <v>@MarinaMayer</v>
      </c>
      <c r="C437" s="14" t="s">
        <v>2153</v>
      </c>
      <c r="D437" s="14" t="s">
        <v>2154</v>
      </c>
      <c r="E437" s="6" t="str">
        <f>HYPERLINK("https://twitter.com/MarinaMayer/status/1364240467450298370","1364240467450298370")</f>
        <v>1364240467450298370</v>
      </c>
      <c r="F437" s="7" t="s">
        <v>2155</v>
      </c>
      <c r="G437" s="8"/>
      <c r="H437" s="8"/>
      <c r="I437" s="14">
        <v>1</v>
      </c>
      <c r="J437" s="14">
        <v>1</v>
      </c>
      <c r="K437" s="6" t="str">
        <f t="shared" si="67"/>
        <v>Twitter Web App</v>
      </c>
      <c r="L437" s="15">
        <v>82</v>
      </c>
      <c r="M437" s="15">
        <v>260</v>
      </c>
      <c r="N437" s="15">
        <v>6</v>
      </c>
      <c r="O437" s="9"/>
      <c r="P437" s="10">
        <v>42326.199861111112</v>
      </c>
      <c r="Q437" s="14" t="s">
        <v>2156</v>
      </c>
      <c r="R437" s="14" t="s">
        <v>2157</v>
      </c>
      <c r="S437" s="8"/>
      <c r="T437" s="8"/>
      <c r="U437" s="11" t="str">
        <f>HYPERLINK("https://pbs.twimg.com/profile_images/1358894751353868289/7N1GLM6J.jpg","View")</f>
        <v>View</v>
      </c>
      <c r="V437" s="8"/>
      <c r="W437" s="8"/>
      <c r="X437" s="8"/>
      <c r="Y437" s="8"/>
      <c r="Z437" s="8"/>
    </row>
    <row r="438" spans="1:26" ht="13.2">
      <c r="A438" s="13">
        <v>44250.699467592596</v>
      </c>
      <c r="B438" s="6" t="str">
        <f>HYPERLINK("https://twitter.com/MasonandWake","@MasonandWake")</f>
        <v>@MasonandWake</v>
      </c>
      <c r="C438" s="14" t="s">
        <v>2158</v>
      </c>
      <c r="D438" s="14" t="s">
        <v>2159</v>
      </c>
      <c r="E438" s="6" t="str">
        <f>HYPERLINK("https://twitter.com/MasonandWake/status/1364240408696520709","1364240408696520709")</f>
        <v>1364240408696520709</v>
      </c>
      <c r="F438" s="7" t="s">
        <v>2160</v>
      </c>
      <c r="G438" s="7" t="s">
        <v>2161</v>
      </c>
      <c r="H438" s="8"/>
      <c r="I438" s="14">
        <v>0</v>
      </c>
      <c r="J438" s="14">
        <v>0</v>
      </c>
      <c r="K438" s="6" t="str">
        <f>HYPERLINK("https://paiger.co","Paiger")</f>
        <v>Paiger</v>
      </c>
      <c r="L438" s="15">
        <v>549</v>
      </c>
      <c r="M438" s="15">
        <v>2364</v>
      </c>
      <c r="N438" s="15">
        <v>10</v>
      </c>
      <c r="O438" s="9"/>
      <c r="P438" s="10">
        <v>41712.721736111111</v>
      </c>
      <c r="Q438" s="14" t="s">
        <v>753</v>
      </c>
      <c r="R438" s="14" t="s">
        <v>2162</v>
      </c>
      <c r="S438" s="7" t="s">
        <v>2163</v>
      </c>
      <c r="T438" s="8"/>
      <c r="U438" s="11" t="str">
        <f>HYPERLINK("https://pbs.twimg.com/profile_images/917772922604933126/s8Flwqcx.jpg","View")</f>
        <v>View</v>
      </c>
      <c r="V438" s="8"/>
      <c r="W438" s="8"/>
      <c r="X438" s="8"/>
      <c r="Y438" s="8"/>
      <c r="Z438" s="8"/>
    </row>
    <row r="439" spans="1:26" ht="13.2">
      <c r="A439" s="13">
        <v>44250.699467592596</v>
      </c>
      <c r="B439" s="6" t="str">
        <f>HYPERLINK("https://twitter.com/vishvdeep18","@vishvdeep18")</f>
        <v>@vishvdeep18</v>
      </c>
      <c r="C439" s="14" t="s">
        <v>2164</v>
      </c>
      <c r="D439" s="14" t="s">
        <v>2165</v>
      </c>
      <c r="E439" s="6" t="str">
        <f>HYPERLINK("https://twitter.com/vishvdeep18/status/1364240407694102530","1364240407694102530")</f>
        <v>1364240407694102530</v>
      </c>
      <c r="F439" s="7" t="s">
        <v>2166</v>
      </c>
      <c r="G439" s="8"/>
      <c r="H439" s="8"/>
      <c r="I439" s="14">
        <v>1</v>
      </c>
      <c r="J439" s="14">
        <v>2</v>
      </c>
      <c r="K439" s="6" t="str">
        <f t="shared" ref="K439:K440" si="68">HYPERLINK("https://mobile.twitter.com","Twitter Web App")</f>
        <v>Twitter Web App</v>
      </c>
      <c r="L439" s="15">
        <v>267</v>
      </c>
      <c r="M439" s="15">
        <v>384</v>
      </c>
      <c r="N439" s="15">
        <v>12</v>
      </c>
      <c r="O439" s="9"/>
      <c r="P439" s="10">
        <v>42617.455659722225</v>
      </c>
      <c r="Q439" s="14" t="s">
        <v>2167</v>
      </c>
      <c r="R439" s="14" t="s">
        <v>2168</v>
      </c>
      <c r="S439" s="7" t="s">
        <v>2169</v>
      </c>
      <c r="T439" s="8"/>
      <c r="U439" s="11" t="str">
        <f>HYPERLINK("https://pbs.twimg.com/profile_images/1332249146099605506/faPNOnod.jpg","View")</f>
        <v>View</v>
      </c>
      <c r="V439" s="8"/>
      <c r="W439" s="8"/>
      <c r="X439" s="8"/>
      <c r="Y439" s="8"/>
      <c r="Z439" s="8"/>
    </row>
    <row r="440" spans="1:26" ht="13.2">
      <c r="A440" s="13">
        <v>44250.699016203704</v>
      </c>
      <c r="B440" s="6" t="str">
        <f>HYPERLINK("https://twitter.com/PythonPr","@PythonPr")</f>
        <v>@PythonPr</v>
      </c>
      <c r="C440" s="14" t="s">
        <v>2170</v>
      </c>
      <c r="D440" s="14" t="s">
        <v>2171</v>
      </c>
      <c r="E440" s="6" t="str">
        <f>HYPERLINK("https://twitter.com/PythonPr/status/1364240243394637828","1364240243394637828")</f>
        <v>1364240243394637828</v>
      </c>
      <c r="F440" s="7" t="s">
        <v>2172</v>
      </c>
      <c r="G440" s="8"/>
      <c r="H440" s="8"/>
      <c r="I440" s="14">
        <v>0</v>
      </c>
      <c r="J440" s="14">
        <v>2</v>
      </c>
      <c r="K440" s="6" t="str">
        <f t="shared" si="68"/>
        <v>Twitter Web App</v>
      </c>
      <c r="L440" s="15">
        <v>7122</v>
      </c>
      <c r="M440" s="15">
        <v>1310</v>
      </c>
      <c r="N440" s="15">
        <v>74</v>
      </c>
      <c r="O440" s="9"/>
      <c r="P440" s="10">
        <v>42846.566689814819</v>
      </c>
      <c r="Q440" s="14" t="s">
        <v>322</v>
      </c>
      <c r="R440" s="14" t="s">
        <v>2173</v>
      </c>
      <c r="S440" s="7" t="s">
        <v>2174</v>
      </c>
      <c r="T440" s="8"/>
      <c r="U440" s="11" t="str">
        <f>HYPERLINK("https://pbs.twimg.com/profile_images/855386134439895041/BKOMdcnN.jpg","View")</f>
        <v>View</v>
      </c>
      <c r="V440" s="8"/>
      <c r="W440" s="8"/>
      <c r="X440" s="8"/>
      <c r="Y440" s="8"/>
      <c r="Z440" s="8"/>
    </row>
    <row r="441" spans="1:26" ht="13.2">
      <c r="A441" s="13">
        <v>44250.698414351849</v>
      </c>
      <c r="B441" s="6" t="str">
        <f>HYPERLINK("https://twitter.com/ai_summary","@ai_summary")</f>
        <v>@ai_summary</v>
      </c>
      <c r="C441" s="14" t="s">
        <v>528</v>
      </c>
      <c r="D441" s="14" t="s">
        <v>2175</v>
      </c>
      <c r="E441" s="6" t="str">
        <f>HYPERLINK("https://twitter.com/ai_summary/status/1364240025978822663","1364240025978822663")</f>
        <v>1364240025978822663</v>
      </c>
      <c r="F441" s="7" t="s">
        <v>2176</v>
      </c>
      <c r="G441" s="8"/>
      <c r="H441" s="8"/>
      <c r="I441" s="14">
        <v>0</v>
      </c>
      <c r="J441" s="14">
        <v>0</v>
      </c>
      <c r="K441" s="8"/>
      <c r="L441" s="15">
        <v>47</v>
      </c>
      <c r="M441" s="15">
        <v>7</v>
      </c>
      <c r="N441" s="15">
        <v>2</v>
      </c>
      <c r="O441" s="9"/>
      <c r="P441" s="10">
        <v>44039.504699074074</v>
      </c>
      <c r="Q441" s="8"/>
      <c r="R441" s="14" t="s">
        <v>531</v>
      </c>
      <c r="S441" s="8"/>
      <c r="T441" s="8"/>
      <c r="U441" s="11" t="str">
        <f>HYPERLINK("https://pbs.twimg.com/profile_images/1315240281206382592/-i10o6Yg.jpg","View")</f>
        <v>View</v>
      </c>
      <c r="V441" s="8"/>
      <c r="W441" s="8"/>
      <c r="X441" s="8"/>
      <c r="Y441" s="8"/>
      <c r="Z441" s="8"/>
    </row>
    <row r="442" spans="1:26" ht="13.2">
      <c r="A442" s="13">
        <v>44250.698217592595</v>
      </c>
      <c r="B442" s="6" t="str">
        <f>HYPERLINK("https://twitter.com/AnnetteSophonie","@AnnetteSophonie")</f>
        <v>@AnnetteSophonie</v>
      </c>
      <c r="C442" s="14" t="s">
        <v>2177</v>
      </c>
      <c r="D442" s="14" t="s">
        <v>2178</v>
      </c>
      <c r="E442" s="6" t="str">
        <f>HYPERLINK("https://twitter.com/AnnetteSophonie/status/1364239953966690308","1364239953966690308")</f>
        <v>1364239953966690308</v>
      </c>
      <c r="F442" s="7" t="s">
        <v>2179</v>
      </c>
      <c r="G442" s="7" t="s">
        <v>2180</v>
      </c>
      <c r="H442" s="8"/>
      <c r="I442" s="14">
        <v>1</v>
      </c>
      <c r="J442" s="14">
        <v>1</v>
      </c>
      <c r="K442" s="6" t="str">
        <f>HYPERLINK("https://mobile.twitter.com","Twitter Web App")</f>
        <v>Twitter Web App</v>
      </c>
      <c r="L442" s="15">
        <v>1254</v>
      </c>
      <c r="M442" s="15">
        <v>1237</v>
      </c>
      <c r="N442" s="15">
        <v>11</v>
      </c>
      <c r="O442" s="9"/>
      <c r="P442" s="10">
        <v>43514.004745370374</v>
      </c>
      <c r="Q442" s="14" t="s">
        <v>2181</v>
      </c>
      <c r="R442" s="14" t="s">
        <v>2182</v>
      </c>
      <c r="S442" s="8"/>
      <c r="T442" s="8"/>
      <c r="U442" s="11" t="str">
        <f>HYPERLINK("https://pbs.twimg.com/profile_images/1097274157040128000/kbJdFYDd.jpg","View")</f>
        <v>View</v>
      </c>
      <c r="V442" s="8"/>
      <c r="W442" s="8"/>
      <c r="X442" s="8"/>
      <c r="Y442" s="8"/>
      <c r="Z442" s="8"/>
    </row>
    <row r="443" spans="1:26" ht="13.2">
      <c r="A443" s="13">
        <v>44250.698055555556</v>
      </c>
      <c r="B443" s="6" t="str">
        <f>HYPERLINK("https://twitter.com/Tech_SanDiego","@Tech_SanDiego")</f>
        <v>@Tech_SanDiego</v>
      </c>
      <c r="C443" s="14" t="s">
        <v>2183</v>
      </c>
      <c r="D443" s="14" t="s">
        <v>2184</v>
      </c>
      <c r="E443" s="6" t="str">
        <f>HYPERLINK("https://twitter.com/Tech_SanDiego/status/1364239899226963968","1364239899226963968")</f>
        <v>1364239899226963968</v>
      </c>
      <c r="F443" s="7" t="s">
        <v>2185</v>
      </c>
      <c r="G443" s="8"/>
      <c r="H443" s="8"/>
      <c r="I443" s="14">
        <v>2</v>
      </c>
      <c r="J443" s="14">
        <v>2</v>
      </c>
      <c r="K443" s="6" t="str">
        <f>HYPERLINK("https://www.hootsuite.com","Hootsuite Inc.")</f>
        <v>Hootsuite Inc.</v>
      </c>
      <c r="L443" s="15">
        <v>997</v>
      </c>
      <c r="M443" s="15">
        <v>492</v>
      </c>
      <c r="N443" s="15">
        <v>36</v>
      </c>
      <c r="O443" s="9"/>
      <c r="P443" s="10">
        <v>39892.226574074077</v>
      </c>
      <c r="Q443" s="14" t="s">
        <v>747</v>
      </c>
      <c r="R443" s="14" t="s">
        <v>2186</v>
      </c>
      <c r="S443" s="7" t="s">
        <v>2187</v>
      </c>
      <c r="T443" s="8"/>
      <c r="U443" s="11" t="str">
        <f>HYPERLINK("https://pbs.twimg.com/profile_images/1116405162074001408/_HVjBjUF.png","View")</f>
        <v>View</v>
      </c>
      <c r="V443" s="8"/>
      <c r="W443" s="8"/>
      <c r="X443" s="8"/>
      <c r="Y443" s="8"/>
      <c r="Z443" s="8"/>
    </row>
    <row r="444" spans="1:26" ht="13.2">
      <c r="A444" s="13">
        <v>44250.697939814811</v>
      </c>
      <c r="B444" s="6" t="str">
        <f>HYPERLINK("https://twitter.com/Revista_ByteTI","@Revista_ByteTI")</f>
        <v>@Revista_ByteTI</v>
      </c>
      <c r="C444" s="14" t="s">
        <v>2188</v>
      </c>
      <c r="D444" s="14" t="s">
        <v>2189</v>
      </c>
      <c r="E444" s="6" t="str">
        <f>HYPERLINK("https://twitter.com/Revista_ByteTI/status/1364239854519934978","1364239854519934978")</f>
        <v>1364239854519934978</v>
      </c>
      <c r="F444" s="7" t="s">
        <v>2190</v>
      </c>
      <c r="G444" s="7" t="s">
        <v>2191</v>
      </c>
      <c r="H444" s="8"/>
      <c r="I444" s="14">
        <v>2</v>
      </c>
      <c r="J444" s="14">
        <v>0</v>
      </c>
      <c r="K444" s="6" t="str">
        <f>HYPERLINK("https://buffer.com","Buffer")</f>
        <v>Buffer</v>
      </c>
      <c r="L444" s="15">
        <v>8969</v>
      </c>
      <c r="M444" s="15">
        <v>2411</v>
      </c>
      <c r="N444" s="15">
        <v>481</v>
      </c>
      <c r="O444" s="9"/>
      <c r="P444" s="10">
        <v>40438.546817129631</v>
      </c>
      <c r="Q444" s="14" t="s">
        <v>2192</v>
      </c>
      <c r="R444" s="14" t="s">
        <v>2193</v>
      </c>
      <c r="S444" s="7" t="s">
        <v>2194</v>
      </c>
      <c r="T444" s="8"/>
      <c r="U444" s="11" t="str">
        <f>HYPERLINK("https://pbs.twimg.com/profile_images/1152134143570010113/l-6grP4K.jpg","View")</f>
        <v>View</v>
      </c>
      <c r="V444" s="8"/>
      <c r="W444" s="8"/>
      <c r="X444" s="8"/>
      <c r="Y444" s="8"/>
      <c r="Z444" s="8"/>
    </row>
    <row r="445" spans="1:26" ht="13.2">
      <c r="A445" s="13">
        <v>44250.69736111111</v>
      </c>
      <c r="B445" s="6" t="str">
        <f>HYPERLINK("https://twitter.com/LindstenFredrik","@LindstenFredrik")</f>
        <v>@LindstenFredrik</v>
      </c>
      <c r="C445" s="14" t="s">
        <v>2195</v>
      </c>
      <c r="D445" s="14" t="s">
        <v>2196</v>
      </c>
      <c r="E445" s="6" t="str">
        <f>HYPERLINK("https://twitter.com/LindstenFredrik/status/1364239646738235400","1364239646738235400")</f>
        <v>1364239646738235400</v>
      </c>
      <c r="F445" s="7" t="s">
        <v>2197</v>
      </c>
      <c r="G445" s="8"/>
      <c r="H445" s="8"/>
      <c r="I445" s="14">
        <v>1</v>
      </c>
      <c r="J445" s="14">
        <v>2</v>
      </c>
      <c r="K445" s="6" t="str">
        <f>HYPERLINK("https://mobile.twitter.com","Twitter Web App")</f>
        <v>Twitter Web App</v>
      </c>
      <c r="L445" s="15">
        <v>64</v>
      </c>
      <c r="M445" s="15">
        <v>45</v>
      </c>
      <c r="N445" s="15">
        <v>1</v>
      </c>
      <c r="O445" s="9"/>
      <c r="P445" s="10">
        <v>43810.322476851856</v>
      </c>
      <c r="Q445" s="8"/>
      <c r="R445" s="14" t="s">
        <v>2198</v>
      </c>
      <c r="S445" s="8"/>
      <c r="T445" s="8"/>
      <c r="U445" s="11" t="str">
        <f>HYPERLINK("https://pbs.twimg.com/profile_images/1204653241159626754/i6osvAbw.png","View")</f>
        <v>View</v>
      </c>
      <c r="V445" s="8"/>
      <c r="W445" s="8"/>
      <c r="X445" s="8"/>
      <c r="Y445" s="8"/>
      <c r="Z445" s="8"/>
    </row>
    <row r="446" spans="1:26" ht="13.2">
      <c r="A446" s="13">
        <v>44250.696932870371</v>
      </c>
      <c r="B446" s="6" t="str">
        <f>HYPERLINK("https://twitter.com/machinelearnflx","@machinelearnflx")</f>
        <v>@machinelearnflx</v>
      </c>
      <c r="C446" s="14" t="s">
        <v>279</v>
      </c>
      <c r="D446" s="14" t="s">
        <v>2199</v>
      </c>
      <c r="E446" s="6" t="str">
        <f>HYPERLINK("https://twitter.com/machinelearnflx/status/1364239491104440323","1364239491104440323")</f>
        <v>1364239491104440323</v>
      </c>
      <c r="F446" s="7" t="s">
        <v>2200</v>
      </c>
      <c r="G446" s="8"/>
      <c r="H446" s="8"/>
      <c r="I446" s="14">
        <v>8</v>
      </c>
      <c r="J446" s="14">
        <v>6</v>
      </c>
      <c r="K446" s="6" t="str">
        <f>HYPERLINK("https://twitter.com/pythonbot_","Postmatico")</f>
        <v>Postmatico</v>
      </c>
      <c r="L446" s="15">
        <v>90451</v>
      </c>
      <c r="M446" s="15">
        <v>35464</v>
      </c>
      <c r="N446" s="15">
        <v>2227</v>
      </c>
      <c r="O446" s="9"/>
      <c r="P446" s="10">
        <v>42386.538865740746</v>
      </c>
      <c r="Q446" s="8"/>
      <c r="R446" s="14" t="s">
        <v>282</v>
      </c>
      <c r="S446" s="7" t="s">
        <v>283</v>
      </c>
      <c r="T446" s="8"/>
      <c r="U446" s="11" t="str">
        <f>HYPERLINK("https://pbs.twimg.com/profile_images/688735459892195329/v8sHaWSG.jpg","View")</f>
        <v>View</v>
      </c>
      <c r="V446" s="8"/>
      <c r="W446" s="8"/>
      <c r="X446" s="8"/>
      <c r="Y446" s="8"/>
      <c r="Z446" s="8"/>
    </row>
    <row r="447" spans="1:26" ht="13.2">
      <c r="A447" s="13">
        <v>44250.696805555555</v>
      </c>
      <c r="B447" s="6" t="str">
        <f t="shared" ref="B447:B448" si="69">HYPERLINK("https://twitter.com/mlmemoirs","@mlmemoirs")</f>
        <v>@mlmemoirs</v>
      </c>
      <c r="C447" s="14" t="s">
        <v>577</v>
      </c>
      <c r="D447" s="14" t="s">
        <v>2097</v>
      </c>
      <c r="E447" s="6" t="str">
        <f>HYPERLINK("https://twitter.com/mlmemoirs/status/1364239445281636353","1364239445281636353")</f>
        <v>1364239445281636353</v>
      </c>
      <c r="F447" s="7" t="s">
        <v>2201</v>
      </c>
      <c r="G447" s="8"/>
      <c r="H447" s="8"/>
      <c r="I447" s="14">
        <v>1</v>
      </c>
      <c r="J447" s="14">
        <v>1</v>
      </c>
      <c r="K447" s="6" t="str">
        <f t="shared" ref="K447:K448" si="70">HYPERLINK("https://ifttt.com","IFTTT")</f>
        <v>IFTTT</v>
      </c>
      <c r="L447" s="15">
        <v>1674</v>
      </c>
      <c r="M447" s="15">
        <v>2216</v>
      </c>
      <c r="N447" s="15">
        <v>30</v>
      </c>
      <c r="O447" s="9"/>
      <c r="P447" s="10">
        <v>43238.970069444447</v>
      </c>
      <c r="Q447" s="14" t="s">
        <v>478</v>
      </c>
      <c r="R447" s="14" t="s">
        <v>579</v>
      </c>
      <c r="S447" s="8"/>
      <c r="T447" s="8"/>
      <c r="U447" s="11" t="str">
        <f t="shared" ref="U447:U448" si="71">HYPERLINK("https://pbs.twimg.com/profile_images/1050964116729413637/Q5tLLPAf.jpg","View")</f>
        <v>View</v>
      </c>
      <c r="V447" s="8"/>
      <c r="W447" s="8"/>
      <c r="X447" s="8"/>
      <c r="Y447" s="8"/>
      <c r="Z447" s="8"/>
    </row>
    <row r="448" spans="1:26" ht="13.2">
      <c r="A448" s="13">
        <v>44250.696793981479</v>
      </c>
      <c r="B448" s="6" t="str">
        <f t="shared" si="69"/>
        <v>@mlmemoirs</v>
      </c>
      <c r="C448" s="14" t="s">
        <v>577</v>
      </c>
      <c r="D448" s="14" t="s">
        <v>2105</v>
      </c>
      <c r="E448" s="6" t="str">
        <f>HYPERLINK("https://twitter.com/mlmemoirs/status/1364239439657107456","1364239439657107456")</f>
        <v>1364239439657107456</v>
      </c>
      <c r="F448" s="7" t="s">
        <v>2202</v>
      </c>
      <c r="G448" s="8"/>
      <c r="H448" s="8"/>
      <c r="I448" s="14">
        <v>1</v>
      </c>
      <c r="J448" s="14">
        <v>1</v>
      </c>
      <c r="K448" s="6" t="str">
        <f t="shared" si="70"/>
        <v>IFTTT</v>
      </c>
      <c r="L448" s="15">
        <v>1674</v>
      </c>
      <c r="M448" s="15">
        <v>2216</v>
      </c>
      <c r="N448" s="15">
        <v>30</v>
      </c>
      <c r="O448" s="9"/>
      <c r="P448" s="10">
        <v>43238.970069444447</v>
      </c>
      <c r="Q448" s="14" t="s">
        <v>478</v>
      </c>
      <c r="R448" s="14" t="s">
        <v>579</v>
      </c>
      <c r="S448" s="8"/>
      <c r="T448" s="8"/>
      <c r="U448" s="11" t="str">
        <f t="shared" si="71"/>
        <v>View</v>
      </c>
      <c r="V448" s="8"/>
      <c r="W448" s="8"/>
      <c r="X448" s="8"/>
      <c r="Y448" s="8"/>
      <c r="Z448" s="8"/>
    </row>
    <row r="449" spans="1:26" ht="13.2">
      <c r="A449" s="13">
        <v>44250.696712962963</v>
      </c>
      <c r="B449" s="6" t="str">
        <f>HYPERLINK("https://twitter.com/guidaautonoma","@guidaautonoma")</f>
        <v>@guidaautonoma</v>
      </c>
      <c r="C449" s="14" t="s">
        <v>2203</v>
      </c>
      <c r="D449" s="14" t="s">
        <v>2204</v>
      </c>
      <c r="E449" s="6" t="str">
        <f>HYPERLINK("https://twitter.com/guidaautonoma/status/1364239410292752384","1364239410292752384")</f>
        <v>1364239410292752384</v>
      </c>
      <c r="F449" s="7" t="s">
        <v>2205</v>
      </c>
      <c r="G449" s="7" t="s">
        <v>2206</v>
      </c>
      <c r="H449" s="8"/>
      <c r="I449" s="14">
        <v>1</v>
      </c>
      <c r="J449" s="14">
        <v>2</v>
      </c>
      <c r="K449" s="6" t="str">
        <f t="shared" ref="K449:K450" si="72">HYPERLINK("http://twitter.com/download/android","Twitter for Android")</f>
        <v>Twitter for Android</v>
      </c>
      <c r="L449" s="15">
        <v>7074</v>
      </c>
      <c r="M449" s="15">
        <v>6991</v>
      </c>
      <c r="N449" s="15">
        <v>411</v>
      </c>
      <c r="O449" s="9"/>
      <c r="P449" s="10">
        <v>42496.270833333328</v>
      </c>
      <c r="Q449" s="14" t="s">
        <v>2207</v>
      </c>
      <c r="R449" s="14" t="s">
        <v>2208</v>
      </c>
      <c r="S449" s="7" t="s">
        <v>2209</v>
      </c>
      <c r="T449" s="8"/>
      <c r="U449" s="11" t="str">
        <f>HYPERLINK("https://pbs.twimg.com/profile_images/728675456971583488/AVbaFxlK.jpg","View")</f>
        <v>View</v>
      </c>
      <c r="V449" s="8"/>
      <c r="W449" s="8"/>
      <c r="X449" s="8"/>
      <c r="Y449" s="8"/>
      <c r="Z449" s="8"/>
    </row>
    <row r="450" spans="1:26" ht="13.2">
      <c r="A450" s="13">
        <v>44250.696643518517</v>
      </c>
      <c r="B450" s="6" t="str">
        <f>HYPERLINK("https://twitter.com/moveForward_100","@moveForward_100")</f>
        <v>@moveForward_100</v>
      </c>
      <c r="C450" s="14" t="s">
        <v>2210</v>
      </c>
      <c r="D450" s="14" t="s">
        <v>2211</v>
      </c>
      <c r="E450" s="6" t="str">
        <f>HYPERLINK("https://twitter.com/moveForward_100/status/1364239386267672578","1364239386267672578")</f>
        <v>1364239386267672578</v>
      </c>
      <c r="F450" s="8"/>
      <c r="G450" s="7" t="s">
        <v>2212</v>
      </c>
      <c r="H450" s="8"/>
      <c r="I450" s="14">
        <v>2</v>
      </c>
      <c r="J450" s="14">
        <v>3</v>
      </c>
      <c r="K450" s="6" t="str">
        <f t="shared" si="72"/>
        <v>Twitter for Android</v>
      </c>
      <c r="L450" s="15">
        <v>10</v>
      </c>
      <c r="M450" s="15">
        <v>0</v>
      </c>
      <c r="N450" s="15">
        <v>0</v>
      </c>
      <c r="O450" s="9"/>
      <c r="P450" s="10">
        <v>44200.564791666664</v>
      </c>
      <c r="Q450" s="8"/>
      <c r="R450" s="14" t="s">
        <v>2213</v>
      </c>
      <c r="S450" s="7" t="s">
        <v>2214</v>
      </c>
      <c r="T450" s="8"/>
      <c r="U450" s="11" t="str">
        <f>HYPERLINK("https://pbs.twimg.com/profile_images/1346087818058215425/eeU9llBG.png","View")</f>
        <v>View</v>
      </c>
      <c r="V450" s="8"/>
      <c r="W450" s="8"/>
      <c r="X450" s="8"/>
      <c r="Y450" s="8"/>
      <c r="Z450" s="8"/>
    </row>
    <row r="451" spans="1:26" ht="13.2">
      <c r="A451" s="13">
        <v>44250.696597222224</v>
      </c>
      <c r="B451" s="6" t="str">
        <f>HYPERLINK("https://twitter.com/Financedata1","@Financedata1")</f>
        <v>@Financedata1</v>
      </c>
      <c r="C451" s="14" t="s">
        <v>2215</v>
      </c>
      <c r="D451" s="14" t="s">
        <v>2216</v>
      </c>
      <c r="E451" s="6" t="str">
        <f>HYPERLINK("https://twitter.com/Financedata1/status/1364239368873865220","1364239368873865220")</f>
        <v>1364239368873865220</v>
      </c>
      <c r="F451" s="7" t="s">
        <v>2217</v>
      </c>
      <c r="G451" s="8"/>
      <c r="H451" s="8"/>
      <c r="I451" s="14">
        <v>2</v>
      </c>
      <c r="J451" s="14">
        <v>0</v>
      </c>
      <c r="K451" s="6" t="str">
        <f>HYPERLINK("https://dlvrit.com/","dlvr.it")</f>
        <v>dlvr.it</v>
      </c>
      <c r="L451" s="15">
        <v>1123</v>
      </c>
      <c r="M451" s="15">
        <v>2408</v>
      </c>
      <c r="N451" s="15">
        <v>6</v>
      </c>
      <c r="O451" s="9"/>
      <c r="P451" s="10">
        <v>44009.041550925926</v>
      </c>
      <c r="Q451" s="14" t="s">
        <v>1815</v>
      </c>
      <c r="R451" s="14" t="s">
        <v>2218</v>
      </c>
      <c r="S451" s="8"/>
      <c r="T451" s="8"/>
      <c r="U451" s="11" t="str">
        <f>HYPERLINK("https://pbs.twimg.com/profile_images/1276887152488579072/N1Dr3txg.jpg","View")</f>
        <v>View</v>
      </c>
      <c r="V451" s="8"/>
      <c r="W451" s="8"/>
      <c r="X451" s="8"/>
      <c r="Y451" s="8"/>
      <c r="Z451" s="8"/>
    </row>
    <row r="452" spans="1:26" ht="13.2">
      <c r="A452" s="13">
        <v>44250.696180555555</v>
      </c>
      <c r="B452" s="6" t="str">
        <f>HYPERLINK("https://twitter.com/InvestorAshish","@InvestorAshish")</f>
        <v>@InvestorAshish</v>
      </c>
      <c r="C452" s="14" t="s">
        <v>2219</v>
      </c>
      <c r="D452" s="14" t="s">
        <v>2220</v>
      </c>
      <c r="E452" s="6" t="str">
        <f>HYPERLINK("https://twitter.com/InvestorAshish/status/1364239218185097220","1364239218185097220")</f>
        <v>1364239218185097220</v>
      </c>
      <c r="F452" s="8"/>
      <c r="G452" s="7" t="s">
        <v>2221</v>
      </c>
      <c r="H452" s="8"/>
      <c r="I452" s="14">
        <v>0</v>
      </c>
      <c r="J452" s="14">
        <v>2</v>
      </c>
      <c r="K452" s="6" t="str">
        <f>HYPERLINK("http://twitter.com/#!/download/ipad","Twitter for iPad")</f>
        <v>Twitter for iPad</v>
      </c>
      <c r="L452" s="15">
        <v>6</v>
      </c>
      <c r="M452" s="15">
        <v>3</v>
      </c>
      <c r="N452" s="15">
        <v>0</v>
      </c>
      <c r="O452" s="9"/>
      <c r="P452" s="10">
        <v>43664.588391203702</v>
      </c>
      <c r="Q452" s="14" t="s">
        <v>2222</v>
      </c>
      <c r="R452" s="14" t="s">
        <v>2223</v>
      </c>
      <c r="S452" s="7" t="s">
        <v>2224</v>
      </c>
      <c r="T452" s="8"/>
      <c r="U452" s="11" t="str">
        <f>HYPERLINK("https://pbs.twimg.com/profile_images/1269631887217094657/i7f86VL1.jpg","View")</f>
        <v>View</v>
      </c>
      <c r="V452" s="8"/>
      <c r="W452" s="8"/>
      <c r="X452" s="8"/>
      <c r="Y452" s="8"/>
      <c r="Z452" s="8"/>
    </row>
    <row r="453" spans="1:26" ht="13.2">
      <c r="A453" s="13">
        <v>44250.696006944447</v>
      </c>
      <c r="B453" s="6" t="str">
        <f>HYPERLINK("https://twitter.com/julsimon","@julsimon")</f>
        <v>@julsimon</v>
      </c>
      <c r="C453" s="14" t="s">
        <v>2225</v>
      </c>
      <c r="D453" s="14" t="s">
        <v>2226</v>
      </c>
      <c r="E453" s="6" t="str">
        <f>HYPERLINK("https://twitter.com/julsimon/status/1364239153366523905","1364239153366523905")</f>
        <v>1364239153366523905</v>
      </c>
      <c r="F453" s="7" t="s">
        <v>2227</v>
      </c>
      <c r="G453" s="8"/>
      <c r="H453" s="8"/>
      <c r="I453" s="14">
        <v>1</v>
      </c>
      <c r="J453" s="14">
        <v>2</v>
      </c>
      <c r="K453" s="6" t="str">
        <f>HYPERLINK("https://mobile.twitter.com","Twitter Web App")</f>
        <v>Twitter Web App</v>
      </c>
      <c r="L453" s="15">
        <v>8911</v>
      </c>
      <c r="M453" s="15">
        <v>2044</v>
      </c>
      <c r="N453" s="15">
        <v>354</v>
      </c>
      <c r="O453" s="9"/>
      <c r="P453" s="10">
        <v>39900.460381944446</v>
      </c>
      <c r="Q453" s="14" t="s">
        <v>106</v>
      </c>
      <c r="R453" s="14" t="s">
        <v>2228</v>
      </c>
      <c r="S453" s="7" t="s">
        <v>2229</v>
      </c>
      <c r="T453" s="8"/>
      <c r="U453" s="11" t="str">
        <f>HYPERLINK("https://pbs.twimg.com/profile_images/1074681797894660101/a4BDayre.jpg","View")</f>
        <v>View</v>
      </c>
      <c r="V453" s="8"/>
      <c r="W453" s="8"/>
      <c r="X453" s="8"/>
      <c r="Y453" s="8"/>
      <c r="Z453" s="8"/>
    </row>
    <row r="454" spans="1:26" ht="13.2">
      <c r="A454" s="13">
        <v>44250.695879629631</v>
      </c>
      <c r="B454" s="6" t="str">
        <f>HYPERLINK("https://twitter.com/gp_pulipaka","@gp_pulipaka")</f>
        <v>@gp_pulipaka</v>
      </c>
      <c r="C454" s="14" t="s">
        <v>2230</v>
      </c>
      <c r="D454" s="14" t="s">
        <v>2231</v>
      </c>
      <c r="E454" s="6" t="str">
        <f>HYPERLINK("https://twitter.com/gp_pulipaka/status/1364239110572036102","1364239110572036102")</f>
        <v>1364239110572036102</v>
      </c>
      <c r="F454" s="7" t="s">
        <v>2232</v>
      </c>
      <c r="G454" s="7" t="s">
        <v>2233</v>
      </c>
      <c r="H454" s="8"/>
      <c r="I454" s="14">
        <v>40</v>
      </c>
      <c r="J454" s="14">
        <v>20</v>
      </c>
      <c r="K454" s="6" t="str">
        <f>HYPERLINK("https://buffer.com","Buffer")</f>
        <v>Buffer</v>
      </c>
      <c r="L454" s="15">
        <v>109083</v>
      </c>
      <c r="M454" s="15">
        <v>22723</v>
      </c>
      <c r="N454" s="15">
        <v>3558</v>
      </c>
      <c r="O454" s="9"/>
      <c r="P454" s="10">
        <v>42325.138298611113</v>
      </c>
      <c r="Q454" s="14" t="s">
        <v>2234</v>
      </c>
      <c r="R454" s="14" t="s">
        <v>2235</v>
      </c>
      <c r="S454" s="7" t="s">
        <v>2236</v>
      </c>
      <c r="T454" s="8"/>
      <c r="U454" s="11" t="str">
        <f>HYPERLINK("https://pbs.twimg.com/profile_images/1354974939887988736/P9wzBxgk.jpg","View")</f>
        <v>View</v>
      </c>
      <c r="V454" s="8"/>
      <c r="W454" s="8"/>
      <c r="X454" s="8"/>
      <c r="Y454" s="8"/>
      <c r="Z454" s="8"/>
    </row>
    <row r="455" spans="1:26" ht="13.2">
      <c r="A455" s="13">
        <v>44250.695069444446</v>
      </c>
      <c r="B455" s="6" t="str">
        <f>HYPERLINK("https://twitter.com/orobix","@orobix")</f>
        <v>@orobix</v>
      </c>
      <c r="C455" s="14" t="s">
        <v>2237</v>
      </c>
      <c r="D455" s="14" t="s">
        <v>2238</v>
      </c>
      <c r="E455" s="6" t="str">
        <f>HYPERLINK("https://twitter.com/orobix/status/1364238814907162624","1364238814907162624")</f>
        <v>1364238814907162624</v>
      </c>
      <c r="F455" s="7" t="s">
        <v>2239</v>
      </c>
      <c r="G455" s="7" t="s">
        <v>2240</v>
      </c>
      <c r="H455" s="8"/>
      <c r="I455" s="14">
        <v>0</v>
      </c>
      <c r="J455" s="14">
        <v>1</v>
      </c>
      <c r="K455" s="6" t="str">
        <f t="shared" ref="K455:K458" si="73">HYPERLINK("https://mobile.twitter.com","Twitter Web App")</f>
        <v>Twitter Web App</v>
      </c>
      <c r="L455" s="15">
        <v>561</v>
      </c>
      <c r="M455" s="15">
        <v>1241</v>
      </c>
      <c r="N455" s="15">
        <v>8</v>
      </c>
      <c r="O455" s="9"/>
      <c r="P455" s="10">
        <v>40234.419166666667</v>
      </c>
      <c r="Q455" s="14" t="s">
        <v>2241</v>
      </c>
      <c r="R455" s="14" t="s">
        <v>2242</v>
      </c>
      <c r="S455" s="7" t="s">
        <v>2243</v>
      </c>
      <c r="T455" s="8"/>
      <c r="U455" s="11" t="str">
        <f>HYPERLINK("https://pbs.twimg.com/profile_images/1335702855613865985/tjTPZB_s.jpg","View")</f>
        <v>View</v>
      </c>
      <c r="V455" s="8"/>
      <c r="W455" s="8"/>
      <c r="X455" s="8"/>
      <c r="Y455" s="8"/>
      <c r="Z455" s="8"/>
    </row>
    <row r="456" spans="1:26" ht="13.2">
      <c r="A456" s="13">
        <v>44250.694444444445</v>
      </c>
      <c r="B456" s="6" t="str">
        <f>HYPERLINK("https://twitter.com/Nicochan33","@Nicochan33")</f>
        <v>@Nicochan33</v>
      </c>
      <c r="C456" s="14" t="s">
        <v>2244</v>
      </c>
      <c r="D456" s="14" t="s">
        <v>2245</v>
      </c>
      <c r="E456" s="6" t="str">
        <f>HYPERLINK("https://twitter.com/Nicochan33/status/1364238587420573696","1364238587420573696")</f>
        <v>1364238587420573696</v>
      </c>
      <c r="F456" s="7" t="s">
        <v>2246</v>
      </c>
      <c r="G456" s="8"/>
      <c r="H456" s="8"/>
      <c r="I456" s="14">
        <v>2</v>
      </c>
      <c r="J456" s="14">
        <v>1</v>
      </c>
      <c r="K456" s="6" t="str">
        <f t="shared" si="73"/>
        <v>Twitter Web App</v>
      </c>
      <c r="L456" s="15">
        <v>86054</v>
      </c>
      <c r="M456" s="15">
        <v>78930</v>
      </c>
      <c r="N456" s="15">
        <v>3711</v>
      </c>
      <c r="O456" s="9"/>
      <c r="P456" s="10">
        <v>39834.541168981479</v>
      </c>
      <c r="Q456" s="14" t="s">
        <v>1468</v>
      </c>
      <c r="R456" s="14" t="s">
        <v>2247</v>
      </c>
      <c r="S456" s="7" t="s">
        <v>2248</v>
      </c>
      <c r="T456" s="8"/>
      <c r="U456" s="11" t="str">
        <f>HYPERLINK("https://pbs.twimg.com/profile_images/773909130352402432/XKlKwdPG.jpg","View")</f>
        <v>View</v>
      </c>
      <c r="V456" s="8"/>
      <c r="W456" s="8"/>
      <c r="X456" s="8"/>
      <c r="Y456" s="8"/>
      <c r="Z456" s="8"/>
    </row>
    <row r="457" spans="1:26" ht="13.2">
      <c r="A457" s="13">
        <v>44250.692685185189</v>
      </c>
      <c r="B457" s="6" t="str">
        <f>HYPERLINK("https://twitter.com/Great_Learning","@Great_Learning")</f>
        <v>@Great_Learning</v>
      </c>
      <c r="C457" s="14" t="s">
        <v>2249</v>
      </c>
      <c r="D457" s="14" t="s">
        <v>2250</v>
      </c>
      <c r="E457" s="6" t="str">
        <f>HYPERLINK("https://twitter.com/Great_Learning/status/1364237949265534980","1364237949265534980")</f>
        <v>1364237949265534980</v>
      </c>
      <c r="F457" s="7" t="s">
        <v>2251</v>
      </c>
      <c r="G457" s="7" t="s">
        <v>2252</v>
      </c>
      <c r="H457" s="8"/>
      <c r="I457" s="14">
        <v>1</v>
      </c>
      <c r="J457" s="14">
        <v>0</v>
      </c>
      <c r="K457" s="6" t="str">
        <f t="shared" si="73"/>
        <v>Twitter Web App</v>
      </c>
      <c r="L457" s="15">
        <v>19837</v>
      </c>
      <c r="M457" s="15">
        <v>220</v>
      </c>
      <c r="N457" s="15">
        <v>16</v>
      </c>
      <c r="O457" s="9"/>
      <c r="P457" s="10">
        <v>42650.369398148148</v>
      </c>
      <c r="Q457" s="14" t="s">
        <v>2102</v>
      </c>
      <c r="R457" s="14" t="s">
        <v>2253</v>
      </c>
      <c r="S457" s="7" t="s">
        <v>2254</v>
      </c>
      <c r="T457" s="8"/>
      <c r="U457" s="11" t="str">
        <f>HYPERLINK("https://pbs.twimg.com/profile_images/1278276726406238208/9oSE1iJA.png","View")</f>
        <v>View</v>
      </c>
      <c r="V457" s="8"/>
      <c r="W457" s="8"/>
      <c r="X457" s="8"/>
      <c r="Y457" s="8"/>
      <c r="Z457" s="8"/>
    </row>
    <row r="458" spans="1:26" ht="13.2">
      <c r="A458" s="13">
        <v>44250.692650462966</v>
      </c>
      <c r="B458" s="6" t="str">
        <f>HYPERLINK("https://twitter.com/GoforthSci","@GoforthSci")</f>
        <v>@GoforthSci</v>
      </c>
      <c r="C458" s="14" t="s">
        <v>2255</v>
      </c>
      <c r="D458" s="14" t="s">
        <v>2256</v>
      </c>
      <c r="E458" s="6" t="str">
        <f>HYPERLINK("https://twitter.com/GoforthSci/status/1364237937899167750","1364237937899167750")</f>
        <v>1364237937899167750</v>
      </c>
      <c r="F458" s="7" t="s">
        <v>2257</v>
      </c>
      <c r="G458" s="8"/>
      <c r="H458" s="8"/>
      <c r="I458" s="14">
        <v>0</v>
      </c>
      <c r="J458" s="14">
        <v>0</v>
      </c>
      <c r="K458" s="6" t="str">
        <f t="shared" si="73"/>
        <v>Twitter Web App</v>
      </c>
      <c r="L458" s="15">
        <v>724</v>
      </c>
      <c r="M458" s="15">
        <v>853</v>
      </c>
      <c r="N458" s="15">
        <v>181</v>
      </c>
      <c r="O458" s="9"/>
      <c r="P458" s="10">
        <v>40672.658599537041</v>
      </c>
      <c r="Q458" s="14" t="s">
        <v>2258</v>
      </c>
      <c r="R458" s="14" t="s">
        <v>2259</v>
      </c>
      <c r="S458" s="7" t="s">
        <v>2260</v>
      </c>
      <c r="T458" s="8"/>
      <c r="U458" s="11" t="str">
        <f>HYPERLINK("https://pbs.twimg.com/profile_images/605375647301701632/Q3qFsHlZ.jpg","View")</f>
        <v>View</v>
      </c>
      <c r="V458" s="8"/>
      <c r="W458" s="8"/>
      <c r="X458" s="8"/>
      <c r="Y458" s="8"/>
      <c r="Z458" s="8"/>
    </row>
    <row r="459" spans="1:26" ht="13.2">
      <c r="A459" s="13">
        <v>44250.692037037035</v>
      </c>
      <c r="B459" s="6" t="str">
        <f>HYPERLINK("https://twitter.com/okeee0315","@okeee0315")</f>
        <v>@okeee0315</v>
      </c>
      <c r="C459" s="14" t="s">
        <v>620</v>
      </c>
      <c r="D459" s="14" t="s">
        <v>2261</v>
      </c>
      <c r="E459" s="6" t="str">
        <f>HYPERLINK("https://twitter.com/okeee0315/status/1364237714762129410","1364237714762129410")</f>
        <v>1364237714762129410</v>
      </c>
      <c r="F459" s="7" t="s">
        <v>2262</v>
      </c>
      <c r="G459" s="8"/>
      <c r="H459" s="8"/>
      <c r="I459" s="14">
        <v>2</v>
      </c>
      <c r="J459" s="14">
        <v>0</v>
      </c>
      <c r="K459" s="6" t="str">
        <f>HYPERLINK("https://ifttt.com","IFTTT")</f>
        <v>IFTTT</v>
      </c>
      <c r="L459" s="15">
        <v>828</v>
      </c>
      <c r="M459" s="15">
        <v>299</v>
      </c>
      <c r="N459" s="15">
        <v>72</v>
      </c>
      <c r="O459" s="9"/>
      <c r="P459" s="10">
        <v>40437.043703703705</v>
      </c>
      <c r="Q459" s="14" t="s">
        <v>623</v>
      </c>
      <c r="R459" s="14" t="s">
        <v>624</v>
      </c>
      <c r="S459" s="8"/>
      <c r="T459" s="8"/>
      <c r="U459" s="11" t="str">
        <f>HYPERLINK("https://pbs.twimg.com/profile_images/638327937788329984/2IXCQIE9.jpg","View")</f>
        <v>View</v>
      </c>
      <c r="V459" s="8"/>
      <c r="W459" s="8"/>
      <c r="X459" s="8"/>
      <c r="Y459" s="8"/>
      <c r="Z459" s="8"/>
    </row>
    <row r="460" spans="1:26" ht="13.2">
      <c r="A460" s="13">
        <v>44250.691828703704</v>
      </c>
      <c r="B460" s="6" t="str">
        <f>HYPERLINK("https://twitter.com/rwang0","@rwang0")</f>
        <v>@rwang0</v>
      </c>
      <c r="C460" s="14" t="s">
        <v>2263</v>
      </c>
      <c r="D460" s="14" t="s">
        <v>2264</v>
      </c>
      <c r="E460" s="6" t="str">
        <f>HYPERLINK("https://twitter.com/rwang0/status/1364237639868690432","1364237639868690432")</f>
        <v>1364237639868690432</v>
      </c>
      <c r="F460" s="7" t="s">
        <v>2265</v>
      </c>
      <c r="G460" s="8"/>
      <c r="H460" s="8"/>
      <c r="I460" s="14">
        <v>2</v>
      </c>
      <c r="J460" s="14">
        <v>1</v>
      </c>
      <c r="K460" s="6" t="str">
        <f>HYPERLINK("https://paper.li","Paper.li")</f>
        <v>Paper.li</v>
      </c>
      <c r="L460" s="15">
        <v>131943</v>
      </c>
      <c r="M460" s="15">
        <v>100551</v>
      </c>
      <c r="N460" s="15">
        <v>6846</v>
      </c>
      <c r="O460" s="15" t="s">
        <v>130</v>
      </c>
      <c r="P460" s="10">
        <v>39566.045532407406</v>
      </c>
      <c r="Q460" s="14" t="s">
        <v>2266</v>
      </c>
      <c r="R460" s="14" t="s">
        <v>2267</v>
      </c>
      <c r="S460" s="7" t="s">
        <v>2268</v>
      </c>
      <c r="T460" s="8"/>
      <c r="U460" s="11" t="str">
        <f>HYPERLINK("https://pbs.twimg.com/profile_images/1046576251949862912/axeUR8EK.jpg","View")</f>
        <v>View</v>
      </c>
      <c r="V460" s="8"/>
      <c r="W460" s="8"/>
      <c r="X460" s="8"/>
      <c r="Y460" s="8"/>
      <c r="Z460" s="8"/>
    </row>
    <row r="461" spans="1:26" ht="13.2">
      <c r="A461" s="13">
        <v>44250.691701388889</v>
      </c>
      <c r="B461" s="6" t="str">
        <f>HYPERLINK("https://twitter.com/asifrazzaq1988","@asifrazzaq1988")</f>
        <v>@asifrazzaq1988</v>
      </c>
      <c r="C461" s="14" t="s">
        <v>53</v>
      </c>
      <c r="D461" s="14" t="s">
        <v>2269</v>
      </c>
      <c r="E461" s="6" t="str">
        <f>HYPERLINK("https://twitter.com/asifrazzaq1988/status/1364237593429241858","1364237593429241858")</f>
        <v>1364237593429241858</v>
      </c>
      <c r="F461" s="7" t="s">
        <v>2270</v>
      </c>
      <c r="G461" s="8"/>
      <c r="H461" s="8"/>
      <c r="I461" s="14">
        <v>0</v>
      </c>
      <c r="J461" s="14">
        <v>0</v>
      </c>
      <c r="K461" s="6" t="str">
        <f>HYPERLINK("https://dlvrit.com/","dlvr.it")</f>
        <v>dlvr.it</v>
      </c>
      <c r="L461" s="15">
        <v>5022</v>
      </c>
      <c r="M461" s="15">
        <v>3191</v>
      </c>
      <c r="N461" s="15">
        <v>77</v>
      </c>
      <c r="O461" s="9"/>
      <c r="P461" s="10">
        <v>42237.408136574071</v>
      </c>
      <c r="Q461" s="14" t="s">
        <v>56</v>
      </c>
      <c r="R461" s="14" t="s">
        <v>57</v>
      </c>
      <c r="S461" s="7" t="s">
        <v>58</v>
      </c>
      <c r="T461" s="8"/>
      <c r="U461" s="11" t="str">
        <f>HYPERLINK("https://pbs.twimg.com/profile_images/1329326638589382657/lE7wr_tF.jpg","View")</f>
        <v>View</v>
      </c>
      <c r="V461" s="8"/>
      <c r="W461" s="8"/>
      <c r="X461" s="8"/>
      <c r="Y461" s="8"/>
      <c r="Z461" s="8"/>
    </row>
    <row r="462" spans="1:26" ht="13.2">
      <c r="A462" s="13">
        <v>44250.691481481481</v>
      </c>
      <c r="B462" s="6" t="str">
        <f>HYPERLINK("https://twitter.com/cornichecorp","@cornichecorp")</f>
        <v>@cornichecorp</v>
      </c>
      <c r="C462" s="14" t="s">
        <v>2271</v>
      </c>
      <c r="D462" s="14" t="s">
        <v>2272</v>
      </c>
      <c r="E462" s="6" t="str">
        <f>HYPERLINK("https://twitter.com/cornichecorp/status/1364237514727452672","1364237514727452672")</f>
        <v>1364237514727452672</v>
      </c>
      <c r="F462" s="14" t="s">
        <v>2273</v>
      </c>
      <c r="G462" s="8"/>
      <c r="H462" s="8"/>
      <c r="I462" s="14">
        <v>0</v>
      </c>
      <c r="J462" s="14">
        <v>0</v>
      </c>
      <c r="K462" s="6" t="str">
        <f>HYPERLINK("http://twinybots.com","TwinyBots")</f>
        <v>TwinyBots</v>
      </c>
      <c r="L462" s="15">
        <v>2349</v>
      </c>
      <c r="M462" s="15">
        <v>2163</v>
      </c>
      <c r="N462" s="15">
        <v>30</v>
      </c>
      <c r="O462" s="9"/>
      <c r="P462" s="10">
        <v>42246.917499999996</v>
      </c>
      <c r="Q462" s="14" t="s">
        <v>2274</v>
      </c>
      <c r="R462" s="14" t="s">
        <v>2275</v>
      </c>
      <c r="S462" s="8"/>
      <c r="T462" s="8"/>
      <c r="U462" s="11" t="str">
        <f>HYPERLINK("https://pbs.twimg.com/profile_images/1135863200396775424/vPe8Htor.png","View")</f>
        <v>View</v>
      </c>
      <c r="V462" s="8"/>
      <c r="W462" s="8"/>
      <c r="X462" s="8"/>
      <c r="Y462" s="8"/>
      <c r="Z462" s="8"/>
    </row>
    <row r="463" spans="1:26" ht="13.2">
      <c r="A463" s="13">
        <v>44250.691064814819</v>
      </c>
      <c r="B463" s="6" t="str">
        <f>HYPERLINK("https://twitter.com/RossingtonDC","@RossingtonDC")</f>
        <v>@RossingtonDC</v>
      </c>
      <c r="C463" s="14" t="s">
        <v>2276</v>
      </c>
      <c r="D463" s="14" t="s">
        <v>2277</v>
      </c>
      <c r="E463" s="6" t="str">
        <f>HYPERLINK("https://twitter.com/RossingtonDC/status/1364237364495847427","1364237364495847427")</f>
        <v>1364237364495847427</v>
      </c>
      <c r="F463" s="7" t="s">
        <v>2278</v>
      </c>
      <c r="G463" s="8"/>
      <c r="H463" s="8"/>
      <c r="I463" s="14">
        <v>0</v>
      </c>
      <c r="J463" s="14">
        <v>0</v>
      </c>
      <c r="K463" s="6" t="str">
        <f>HYPERLINK("https://www.hootsuite.com","Hootsuite Inc.")</f>
        <v>Hootsuite Inc.</v>
      </c>
      <c r="L463" s="15">
        <v>873</v>
      </c>
      <c r="M463" s="15">
        <v>875</v>
      </c>
      <c r="N463" s="15">
        <v>125</v>
      </c>
      <c r="O463" s="9"/>
      <c r="P463" s="10">
        <v>40059.959444444445</v>
      </c>
      <c r="Q463" s="14" t="s">
        <v>2279</v>
      </c>
      <c r="R463" s="14" t="s">
        <v>2280</v>
      </c>
      <c r="S463" s="7" t="s">
        <v>2281</v>
      </c>
      <c r="T463" s="8"/>
      <c r="U463" s="11" t="str">
        <f>HYPERLINK("https://pbs.twimg.com/profile_images/1138519380038508546/ZWYd0dnF.jpg","View")</f>
        <v>View</v>
      </c>
      <c r="V463" s="8"/>
      <c r="W463" s="8"/>
      <c r="X463" s="8"/>
      <c r="Y463" s="8"/>
      <c r="Z463" s="8"/>
    </row>
    <row r="464" spans="1:26" ht="13.2">
      <c r="A464" s="13">
        <v>44250.691006944442</v>
      </c>
      <c r="B464" s="6" t="str">
        <f>HYPERLINK("https://twitter.com/AI_PlainEnglish","@AI_PlainEnglish")</f>
        <v>@AI_PlainEnglish</v>
      </c>
      <c r="C464" s="14" t="s">
        <v>2282</v>
      </c>
      <c r="D464" s="14" t="s">
        <v>2283</v>
      </c>
      <c r="E464" s="6" t="str">
        <f>HYPERLINK("https://twitter.com/AI_PlainEnglish/status/1364237343746621442","1364237343746621442")</f>
        <v>1364237343746621442</v>
      </c>
      <c r="F464" s="7" t="s">
        <v>2284</v>
      </c>
      <c r="G464" s="8"/>
      <c r="H464" s="8"/>
      <c r="I464" s="14">
        <v>0</v>
      </c>
      <c r="J464" s="14">
        <v>0</v>
      </c>
      <c r="K464" s="8"/>
      <c r="L464" s="15">
        <v>32</v>
      </c>
      <c r="M464" s="15">
        <v>5</v>
      </c>
      <c r="N464" s="15">
        <v>0</v>
      </c>
      <c r="O464" s="9"/>
      <c r="P464" s="10">
        <v>44206.451215277775</v>
      </c>
      <c r="Q464" s="14" t="s">
        <v>2285</v>
      </c>
      <c r="R464" s="14" t="s">
        <v>2286</v>
      </c>
      <c r="S464" s="7" t="s">
        <v>2287</v>
      </c>
      <c r="T464" s="8"/>
      <c r="U464" s="11" t="str">
        <f>HYPERLINK("https://pbs.twimg.com/profile_images/1359444764098260999/C6-rgvq0.jpg","View")</f>
        <v>View</v>
      </c>
      <c r="V464" s="8"/>
      <c r="W464" s="8"/>
      <c r="X464" s="8"/>
      <c r="Y464" s="8"/>
      <c r="Z464" s="8"/>
    </row>
    <row r="465" spans="1:26" ht="13.2">
      <c r="A465" s="13">
        <v>44250.690995370373</v>
      </c>
      <c r="B465" s="6" t="str">
        <f>HYPERLINK("https://twitter.com/ASUEngineering","@ASUEngineering")</f>
        <v>@ASUEngineering</v>
      </c>
      <c r="C465" s="14" t="s">
        <v>2288</v>
      </c>
      <c r="D465" s="14" t="s">
        <v>2289</v>
      </c>
      <c r="E465" s="6" t="str">
        <f>HYPERLINK("https://twitter.com/ASUEngineering/status/1364237340554764288","1364237340554764288")</f>
        <v>1364237340554764288</v>
      </c>
      <c r="F465" s="7" t="s">
        <v>2290</v>
      </c>
      <c r="G465" s="8"/>
      <c r="H465" s="8"/>
      <c r="I465" s="14">
        <v>1</v>
      </c>
      <c r="J465" s="14">
        <v>3</v>
      </c>
      <c r="K465" s="6" t="str">
        <f>HYPERLINK("https://www.hootsuite.com","Hootsuite Inc.")</f>
        <v>Hootsuite Inc.</v>
      </c>
      <c r="L465" s="15">
        <v>8405</v>
      </c>
      <c r="M465" s="15">
        <v>2411</v>
      </c>
      <c r="N465" s="15">
        <v>224</v>
      </c>
      <c r="O465" s="15" t="s">
        <v>130</v>
      </c>
      <c r="P465" s="10">
        <v>40021.835856481484</v>
      </c>
      <c r="Q465" s="14" t="s">
        <v>2291</v>
      </c>
      <c r="R465" s="14" t="s">
        <v>2292</v>
      </c>
      <c r="S465" s="7" t="s">
        <v>2293</v>
      </c>
      <c r="T465" s="8"/>
      <c r="U465" s="11" t="str">
        <f>HYPERLINK("https://pbs.twimg.com/profile_images/1340540710521475073/IL_HqJgT.jpg","View")</f>
        <v>View</v>
      </c>
      <c r="V465" s="8"/>
      <c r="W465" s="8"/>
      <c r="X465" s="8"/>
      <c r="Y465" s="8"/>
      <c r="Z465" s="8"/>
    </row>
    <row r="466" spans="1:26" ht="13.2">
      <c r="A466" s="13">
        <v>44250.690694444449</v>
      </c>
      <c r="B466" s="6" t="str">
        <f>HYPERLINK("https://twitter.com/alexcastrounis","@alexcastrounis")</f>
        <v>@alexcastrounis</v>
      </c>
      <c r="C466" s="14" t="s">
        <v>2294</v>
      </c>
      <c r="D466" s="14" t="s">
        <v>2295</v>
      </c>
      <c r="E466" s="6" t="str">
        <f>HYPERLINK("https://twitter.com/alexcastrounis/status/1364237230357708806","1364237230357708806")</f>
        <v>1364237230357708806</v>
      </c>
      <c r="F466" s="7" t="s">
        <v>2296</v>
      </c>
      <c r="G466" s="8"/>
      <c r="H466" s="8"/>
      <c r="I466" s="14">
        <v>0</v>
      </c>
      <c r="J466" s="14">
        <v>1</v>
      </c>
      <c r="K466" s="6" t="str">
        <f>HYPERLINK("https://social.zoho.com","Zoho Social")</f>
        <v>Zoho Social</v>
      </c>
      <c r="L466" s="15">
        <v>1039</v>
      </c>
      <c r="M466" s="15">
        <v>439</v>
      </c>
      <c r="N466" s="15">
        <v>130</v>
      </c>
      <c r="O466" s="9"/>
      <c r="P466" s="10">
        <v>41696.807037037041</v>
      </c>
      <c r="Q466" s="14" t="s">
        <v>2297</v>
      </c>
      <c r="R466" s="14" t="s">
        <v>2298</v>
      </c>
      <c r="S466" s="7" t="s">
        <v>2299</v>
      </c>
      <c r="T466" s="8"/>
      <c r="U466" s="11" t="str">
        <f>HYPERLINK("https://pbs.twimg.com/profile_images/1238468107322171393/q_RbQd3m.jpg","View")</f>
        <v>View</v>
      </c>
      <c r="V466" s="8"/>
      <c r="W466" s="8"/>
      <c r="X466" s="8"/>
      <c r="Y466" s="8"/>
      <c r="Z466" s="8"/>
    </row>
    <row r="467" spans="1:26" ht="13.2">
      <c r="A467" s="13">
        <v>44250.690451388888</v>
      </c>
      <c r="B467" s="6" t="str">
        <f>HYPERLINK("https://twitter.com/semf_nexus","@semf_nexus")</f>
        <v>@semf_nexus</v>
      </c>
      <c r="C467" s="14" t="s">
        <v>2300</v>
      </c>
      <c r="D467" s="14" t="s">
        <v>2301</v>
      </c>
      <c r="E467" s="6" t="str">
        <f>HYPERLINK("https://twitter.com/semf_nexus/status/1364237141367283720","1364237141367283720")</f>
        <v>1364237141367283720</v>
      </c>
      <c r="F467" s="7" t="s">
        <v>2302</v>
      </c>
      <c r="G467" s="8"/>
      <c r="H467" s="8"/>
      <c r="I467" s="14">
        <v>2</v>
      </c>
      <c r="J467" s="14">
        <v>1</v>
      </c>
      <c r="K467" s="6" t="str">
        <f t="shared" ref="K467:K468" si="74">HYPERLINK("https://mobile.twitter.com","Twitter Web App")</f>
        <v>Twitter Web App</v>
      </c>
      <c r="L467" s="15">
        <v>126</v>
      </c>
      <c r="M467" s="15">
        <v>40</v>
      </c>
      <c r="N467" s="15">
        <v>1</v>
      </c>
      <c r="O467" s="9"/>
      <c r="P467" s="10">
        <v>42847.758229166662</v>
      </c>
      <c r="Q467" s="14" t="s">
        <v>2303</v>
      </c>
      <c r="R467" s="14" t="s">
        <v>2304</v>
      </c>
      <c r="S467" s="7" t="s">
        <v>2305</v>
      </c>
      <c r="T467" s="8"/>
      <c r="U467" s="11" t="str">
        <f>HYPERLINK("https://pbs.twimg.com/profile_images/1303048202359320578/pTTEQewl.jpg","View")</f>
        <v>View</v>
      </c>
      <c r="V467" s="8"/>
      <c r="W467" s="8"/>
      <c r="X467" s="8"/>
      <c r="Y467" s="8"/>
      <c r="Z467" s="8"/>
    </row>
    <row r="468" spans="1:26" ht="13.2">
      <c r="A468" s="13">
        <v>44250.690057870372</v>
      </c>
      <c r="B468" s="6" t="str">
        <f>HYPERLINK("https://twitter.com/javascript_fan","@javascript_fan")</f>
        <v>@javascript_fan</v>
      </c>
      <c r="C468" s="14" t="s">
        <v>2306</v>
      </c>
      <c r="D468" s="14" t="s">
        <v>2307</v>
      </c>
      <c r="E468" s="6" t="str">
        <f>HYPERLINK("https://twitter.com/javascript_fan/status/1364236997603201025","1364236997603201025")</f>
        <v>1364236997603201025</v>
      </c>
      <c r="F468" s="7" t="s">
        <v>2308</v>
      </c>
      <c r="G468" s="8"/>
      <c r="H468" s="8"/>
      <c r="I468" s="14">
        <v>3</v>
      </c>
      <c r="J468" s="14">
        <v>5</v>
      </c>
      <c r="K468" s="6" t="str">
        <f t="shared" si="74"/>
        <v>Twitter Web App</v>
      </c>
      <c r="L468" s="15">
        <v>28576</v>
      </c>
      <c r="M468" s="15">
        <v>6118</v>
      </c>
      <c r="N468" s="15">
        <v>418</v>
      </c>
      <c r="O468" s="9"/>
      <c r="P468" s="10">
        <v>42222.253460648149</v>
      </c>
      <c r="Q468" s="8"/>
      <c r="R468" s="14" t="s">
        <v>2309</v>
      </c>
      <c r="S468" s="7" t="s">
        <v>2310</v>
      </c>
      <c r="T468" s="8"/>
      <c r="U468" s="11" t="str">
        <f>HYPERLINK("https://pbs.twimg.com/profile_images/634644295618658304/UuIqtEJ8.png","View")</f>
        <v>View</v>
      </c>
      <c r="V468" s="8"/>
      <c r="W468" s="8"/>
      <c r="X468" s="8"/>
      <c r="Y468" s="8"/>
      <c r="Z468" s="8"/>
    </row>
    <row r="469" spans="1:26" ht="13.2">
      <c r="A469" s="13">
        <v>44250.689652777779</v>
      </c>
      <c r="B469" s="6" t="str">
        <f>HYPERLINK("https://twitter.com/CTaslicay","@CTaslicay")</f>
        <v>@CTaslicay</v>
      </c>
      <c r="C469" s="14" t="s">
        <v>2311</v>
      </c>
      <c r="D469" s="14" t="s">
        <v>2312</v>
      </c>
      <c r="E469" s="6" t="str">
        <f>HYPERLINK("https://twitter.com/CTaslicay/status/1364236854091001859","1364236854091001859")</f>
        <v>1364236854091001859</v>
      </c>
      <c r="F469" s="8"/>
      <c r="G469" s="7" t="s">
        <v>2313</v>
      </c>
      <c r="H469" s="8"/>
      <c r="I469" s="14">
        <v>1</v>
      </c>
      <c r="J469" s="14">
        <v>2</v>
      </c>
      <c r="K469" s="6" t="str">
        <f>HYPERLINK("http://twitter.com/download/iphone","Twitter for iPhone")</f>
        <v>Twitter for iPhone</v>
      </c>
      <c r="L469" s="15">
        <v>127</v>
      </c>
      <c r="M469" s="15">
        <v>318</v>
      </c>
      <c r="N469" s="15">
        <v>0</v>
      </c>
      <c r="O469" s="9"/>
      <c r="P469" s="10">
        <v>43729.836354166662</v>
      </c>
      <c r="Q469" s="8"/>
      <c r="R469" s="14" t="s">
        <v>2314</v>
      </c>
      <c r="S469" s="8"/>
      <c r="T469" s="8"/>
      <c r="U469" s="11" t="str">
        <f>HYPERLINK("https://pbs.twimg.com/profile_images/1175471173494329344/Q8LPBjkZ.jpg","View")</f>
        <v>View</v>
      </c>
      <c r="V469" s="8"/>
      <c r="W469" s="8"/>
      <c r="X469" s="8"/>
      <c r="Y469" s="8"/>
      <c r="Z469" s="8"/>
    </row>
    <row r="470" spans="1:26" ht="13.2">
      <c r="A470" s="13">
        <v>44250.68950231481</v>
      </c>
      <c r="B470" s="6" t="str">
        <f>HYPERLINK("https://twitter.com/capital_homa","@capital_homa")</f>
        <v>@capital_homa</v>
      </c>
      <c r="C470" s="14" t="s">
        <v>2315</v>
      </c>
      <c r="D470" s="14" t="s">
        <v>2316</v>
      </c>
      <c r="E470" s="6" t="str">
        <f>HYPERLINK("https://twitter.com/capital_homa/status/1364236795798577155","1364236795798577155")</f>
        <v>1364236795798577155</v>
      </c>
      <c r="F470" s="7" t="s">
        <v>2317</v>
      </c>
      <c r="G470" s="8"/>
      <c r="H470" s="8"/>
      <c r="I470" s="14">
        <v>4</v>
      </c>
      <c r="J470" s="14">
        <v>1</v>
      </c>
      <c r="K470" s="6" t="str">
        <f>HYPERLINK("https://mobile.twitter.com","Twitter Web App")</f>
        <v>Twitter Web App</v>
      </c>
      <c r="L470" s="15">
        <v>33</v>
      </c>
      <c r="M470" s="15">
        <v>44</v>
      </c>
      <c r="N470" s="15">
        <v>0</v>
      </c>
      <c r="O470" s="9"/>
      <c r="P470" s="10">
        <v>43846.752395833333</v>
      </c>
      <c r="Q470" s="14" t="s">
        <v>2318</v>
      </c>
      <c r="R470" s="14" t="s">
        <v>2319</v>
      </c>
      <c r="S470" s="7" t="s">
        <v>2320</v>
      </c>
      <c r="T470" s="8"/>
      <c r="U470" s="11" t="str">
        <f>HYPERLINK("https://pbs.twimg.com/profile_images/1218126752926531585/07SYsyo2.jpg","View")</f>
        <v>View</v>
      </c>
      <c r="V470" s="8"/>
      <c r="W470" s="8"/>
      <c r="X470" s="8"/>
      <c r="Y470" s="8"/>
      <c r="Z470" s="8"/>
    </row>
    <row r="471" spans="1:26" ht="13.2">
      <c r="A471" s="13">
        <v>44250.688912037032</v>
      </c>
      <c r="B471" s="6" t="str">
        <f>HYPERLINK("https://twitter.com/CFAEdmonton","@CFAEdmonton")</f>
        <v>@CFAEdmonton</v>
      </c>
      <c r="C471" s="14" t="s">
        <v>2321</v>
      </c>
      <c r="D471" s="14" t="s">
        <v>2322</v>
      </c>
      <c r="E471" s="6" t="str">
        <f>HYPERLINK("https://twitter.com/CFAEdmonton/status/1364236584372027399","1364236584372027399")</f>
        <v>1364236584372027399</v>
      </c>
      <c r="F471" s="7" t="s">
        <v>2323</v>
      </c>
      <c r="G471" s="7" t="s">
        <v>2324</v>
      </c>
      <c r="H471" s="8"/>
      <c r="I471" s="14">
        <v>0</v>
      </c>
      <c r="J471" s="14">
        <v>0</v>
      </c>
      <c r="K471" s="6" t="str">
        <f>HYPERLINK("https://buffer.com","Buffer")</f>
        <v>Buffer</v>
      </c>
      <c r="L471" s="15">
        <v>1170</v>
      </c>
      <c r="M471" s="15">
        <v>159</v>
      </c>
      <c r="N471" s="15">
        <v>12</v>
      </c>
      <c r="O471" s="9"/>
      <c r="P471" s="10">
        <v>40459.009456018517</v>
      </c>
      <c r="Q471" s="14" t="s">
        <v>2325</v>
      </c>
      <c r="R471" s="8"/>
      <c r="S471" s="7" t="s">
        <v>2326</v>
      </c>
      <c r="T471" s="8"/>
      <c r="U471" s="11" t="str">
        <f>HYPERLINK("https://pbs.twimg.com/profile_images/1230229164138983424/pXKMZXos.jpg","View")</f>
        <v>View</v>
      </c>
      <c r="V471" s="8"/>
      <c r="W471" s="8"/>
      <c r="X471" s="8"/>
      <c r="Y471" s="8"/>
      <c r="Z471" s="8"/>
    </row>
    <row r="472" spans="1:26" ht="13.2">
      <c r="A472" s="13">
        <v>44250.688750000001</v>
      </c>
      <c r="B472" s="6" t="str">
        <f>HYPERLINK("https://twitter.com/Frugal__Finance","@Frugal__Finance")</f>
        <v>@Frugal__Finance</v>
      </c>
      <c r="C472" s="14" t="s">
        <v>2327</v>
      </c>
      <c r="D472" s="14" t="s">
        <v>2328</v>
      </c>
      <c r="E472" s="6" t="str">
        <f>HYPERLINK("https://twitter.com/Frugal__Finance/status/1364236524414468099","1364236524414468099")</f>
        <v>1364236524414468099</v>
      </c>
      <c r="F472" s="7" t="s">
        <v>2329</v>
      </c>
      <c r="G472" s="7" t="s">
        <v>2330</v>
      </c>
      <c r="H472" s="8"/>
      <c r="I472" s="14">
        <v>7</v>
      </c>
      <c r="J472" s="14">
        <v>7</v>
      </c>
      <c r="K472" s="6" t="str">
        <f t="shared" ref="K472:K473" si="75">HYPERLINK("https://mobile.twitter.com","Twitter Web App")</f>
        <v>Twitter Web App</v>
      </c>
      <c r="L472" s="15">
        <v>5708</v>
      </c>
      <c r="M472" s="15">
        <v>3432</v>
      </c>
      <c r="N472" s="15">
        <v>3284</v>
      </c>
      <c r="O472" s="9"/>
      <c r="P472" s="10">
        <v>40662.165856481479</v>
      </c>
      <c r="Q472" s="14" t="s">
        <v>2331</v>
      </c>
      <c r="R472" s="14" t="s">
        <v>2332</v>
      </c>
      <c r="S472" s="7" t="s">
        <v>2333</v>
      </c>
      <c r="T472" s="8"/>
      <c r="U472" s="11" t="str">
        <f>HYPERLINK("https://pbs.twimg.com/profile_images/1210602825685852160/Kn3l4xM-.jpg","View")</f>
        <v>View</v>
      </c>
      <c r="V472" s="8"/>
      <c r="W472" s="8"/>
      <c r="X472" s="8"/>
      <c r="Y472" s="8"/>
      <c r="Z472" s="8"/>
    </row>
    <row r="473" spans="1:26" ht="13.2">
      <c r="A473" s="13">
        <v>44250.68855324074</v>
      </c>
      <c r="B473" s="6" t="str">
        <f>HYPERLINK("https://twitter.com/julsimon","@julsimon")</f>
        <v>@julsimon</v>
      </c>
      <c r="C473" s="14" t="s">
        <v>2225</v>
      </c>
      <c r="D473" s="14" t="s">
        <v>2334</v>
      </c>
      <c r="E473" s="6" t="str">
        <f>HYPERLINK("https://twitter.com/julsimon/status/1364236452733870083","1364236452733870083")</f>
        <v>1364236452733870083</v>
      </c>
      <c r="F473" s="7" t="s">
        <v>2335</v>
      </c>
      <c r="G473" s="8"/>
      <c r="H473" s="8"/>
      <c r="I473" s="14">
        <v>2</v>
      </c>
      <c r="J473" s="14">
        <v>3</v>
      </c>
      <c r="K473" s="6" t="str">
        <f t="shared" si="75"/>
        <v>Twitter Web App</v>
      </c>
      <c r="L473" s="15">
        <v>8911</v>
      </c>
      <c r="M473" s="15">
        <v>2044</v>
      </c>
      <c r="N473" s="15">
        <v>354</v>
      </c>
      <c r="O473" s="9"/>
      <c r="P473" s="10">
        <v>39900.460381944446</v>
      </c>
      <c r="Q473" s="14" t="s">
        <v>106</v>
      </c>
      <c r="R473" s="14" t="s">
        <v>2228</v>
      </c>
      <c r="S473" s="7" t="s">
        <v>2229</v>
      </c>
      <c r="T473" s="8"/>
      <c r="U473" s="11" t="str">
        <f>HYPERLINK("https://pbs.twimg.com/profile_images/1074681797894660101/a4BDayre.jpg","View")</f>
        <v>View</v>
      </c>
      <c r="V473" s="8"/>
      <c r="W473" s="8"/>
      <c r="X473" s="8"/>
      <c r="Y473" s="8"/>
      <c r="Z473" s="8"/>
    </row>
    <row r="474" spans="1:26" ht="13.2">
      <c r="A474" s="13">
        <v>44250.688321759255</v>
      </c>
      <c r="B474" s="6" t="str">
        <f>HYPERLINK("https://twitter.com/Mlearning_ai","@Mlearning_ai")</f>
        <v>@Mlearning_ai</v>
      </c>
      <c r="C474" s="14" t="s">
        <v>2336</v>
      </c>
      <c r="D474" s="14" t="s">
        <v>2337</v>
      </c>
      <c r="E474" s="6" t="str">
        <f>HYPERLINK("https://twitter.com/Mlearning_ai/status/1364236371544670209","1364236371544670209")</f>
        <v>1364236371544670209</v>
      </c>
      <c r="F474" s="14" t="s">
        <v>2338</v>
      </c>
      <c r="G474" s="8"/>
      <c r="H474" s="8"/>
      <c r="I474" s="14">
        <v>1</v>
      </c>
      <c r="J474" s="14">
        <v>0</v>
      </c>
      <c r="K474" s="6" t="str">
        <f>HYPERLINK("https://ifttt.com","IFTTT")</f>
        <v>IFTTT</v>
      </c>
      <c r="L474" s="15">
        <v>4161</v>
      </c>
      <c r="M474" s="15">
        <v>201</v>
      </c>
      <c r="N474" s="15">
        <v>148</v>
      </c>
      <c r="O474" s="9"/>
      <c r="P474" s="10">
        <v>41120.458391203705</v>
      </c>
      <c r="Q474" s="8"/>
      <c r="R474" s="14" t="s">
        <v>2339</v>
      </c>
      <c r="S474" s="7" t="s">
        <v>2340</v>
      </c>
      <c r="T474" s="8"/>
      <c r="U474" s="11" t="str">
        <f>HYPERLINK("https://pbs.twimg.com/profile_images/1198670629433724928/V-cPfdPX.jpg","View")</f>
        <v>View</v>
      </c>
      <c r="V474" s="8"/>
      <c r="W474" s="8"/>
      <c r="X474" s="8"/>
      <c r="Y474" s="8"/>
      <c r="Z474" s="8"/>
    </row>
    <row r="475" spans="1:26" ht="13.2">
      <c r="A475" s="13">
        <v>44250.688009259262</v>
      </c>
      <c r="B475" s="6" t="str">
        <f>HYPERLINK("https://twitter.com/BBVA_espana","@BBVA_espana")</f>
        <v>@BBVA_espana</v>
      </c>
      <c r="C475" s="14" t="s">
        <v>2341</v>
      </c>
      <c r="D475" s="14" t="s">
        <v>2342</v>
      </c>
      <c r="E475" s="6" t="str">
        <f>HYPERLINK("https://twitter.com/BBVA_espana/status/1364236255752511496","1364236255752511496")</f>
        <v>1364236255752511496</v>
      </c>
      <c r="F475" s="7" t="s">
        <v>2343</v>
      </c>
      <c r="G475" s="7" t="s">
        <v>2344</v>
      </c>
      <c r="H475" s="8"/>
      <c r="I475" s="14">
        <v>0</v>
      </c>
      <c r="J475" s="14">
        <v>1</v>
      </c>
      <c r="K475" s="6" t="str">
        <f>HYPERLINK("http://www.salesforce.com","Salesforce - Social Studio")</f>
        <v>Salesforce - Social Studio</v>
      </c>
      <c r="L475" s="15">
        <v>61563</v>
      </c>
      <c r="M475" s="15">
        <v>472</v>
      </c>
      <c r="N475" s="15">
        <v>523</v>
      </c>
      <c r="O475" s="15" t="s">
        <v>130</v>
      </c>
      <c r="P475" s="10">
        <v>40536.46980324074</v>
      </c>
      <c r="Q475" s="14" t="s">
        <v>1053</v>
      </c>
      <c r="R475" s="14" t="s">
        <v>2345</v>
      </c>
      <c r="S475" s="7" t="s">
        <v>2346</v>
      </c>
      <c r="T475" s="8"/>
      <c r="U475" s="11" t="str">
        <f>HYPERLINK("https://pbs.twimg.com/profile_images/1353739984713506821/2GmG6qdz.png","View")</f>
        <v>View</v>
      </c>
      <c r="V475" s="8"/>
      <c r="W475" s="8"/>
      <c r="X475" s="8"/>
      <c r="Y475" s="8"/>
      <c r="Z475" s="8"/>
    </row>
    <row r="476" spans="1:26" ht="13.2">
      <c r="A476" s="13">
        <v>44250.687951388885</v>
      </c>
      <c r="B476" s="6" t="str">
        <f>HYPERLINK("https://twitter.com/BandB_srl","@BandB_srl")</f>
        <v>@BandB_srl</v>
      </c>
      <c r="C476" s="14" t="s">
        <v>2347</v>
      </c>
      <c r="D476" s="14" t="s">
        <v>706</v>
      </c>
      <c r="E476" s="6" t="str">
        <f>HYPERLINK("https://twitter.com/BandB_srl/status/1364236234223149057","1364236234223149057")</f>
        <v>1364236234223149057</v>
      </c>
      <c r="F476" s="8"/>
      <c r="G476" s="7" t="s">
        <v>2348</v>
      </c>
      <c r="H476" s="8"/>
      <c r="I476" s="14">
        <v>1</v>
      </c>
      <c r="J476" s="14">
        <v>0</v>
      </c>
      <c r="K476" s="6" t="str">
        <f t="shared" ref="K476:K479" si="76">HYPERLINK("https://buffer.com","Buffer")</f>
        <v>Buffer</v>
      </c>
      <c r="L476" s="15">
        <v>67</v>
      </c>
      <c r="M476" s="15">
        <v>8</v>
      </c>
      <c r="N476" s="15">
        <v>2</v>
      </c>
      <c r="O476" s="9"/>
      <c r="P476" s="10">
        <v>43818.578541666662</v>
      </c>
      <c r="Q476" s="8"/>
      <c r="R476" s="14" t="s">
        <v>2349</v>
      </c>
      <c r="S476" s="8"/>
      <c r="T476" s="8"/>
      <c r="U476" s="11" t="str">
        <f>HYPERLINK("https://pbs.twimg.com/profile_images/1207645212975255552/yRRSpN5U.png","View")</f>
        <v>View</v>
      </c>
      <c r="V476" s="8"/>
      <c r="W476" s="8"/>
      <c r="X476" s="8"/>
      <c r="Y476" s="8"/>
      <c r="Z476" s="8"/>
    </row>
    <row r="477" spans="1:26" ht="13.2">
      <c r="A477" s="13">
        <v>44250.6878125</v>
      </c>
      <c r="B477" s="6" t="str">
        <f>HYPERLINK("https://twitter.com/gp_pulipaka","@gp_pulipaka")</f>
        <v>@gp_pulipaka</v>
      </c>
      <c r="C477" s="14" t="s">
        <v>2230</v>
      </c>
      <c r="D477" s="14" t="s">
        <v>2350</v>
      </c>
      <c r="E477" s="6" t="str">
        <f>HYPERLINK("https://twitter.com/gp_pulipaka/status/1364236186865254403","1364236186865254403")</f>
        <v>1364236186865254403</v>
      </c>
      <c r="F477" s="7" t="s">
        <v>2351</v>
      </c>
      <c r="G477" s="7" t="s">
        <v>2352</v>
      </c>
      <c r="H477" s="8"/>
      <c r="I477" s="14">
        <v>40</v>
      </c>
      <c r="J477" s="14">
        <v>32</v>
      </c>
      <c r="K477" s="6" t="str">
        <f t="shared" si="76"/>
        <v>Buffer</v>
      </c>
      <c r="L477" s="15">
        <v>109083</v>
      </c>
      <c r="M477" s="15">
        <v>22723</v>
      </c>
      <c r="N477" s="15">
        <v>3558</v>
      </c>
      <c r="O477" s="9"/>
      <c r="P477" s="10">
        <v>42325.138298611113</v>
      </c>
      <c r="Q477" s="14" t="s">
        <v>2234</v>
      </c>
      <c r="R477" s="14" t="s">
        <v>2235</v>
      </c>
      <c r="S477" s="7" t="s">
        <v>2236</v>
      </c>
      <c r="T477" s="8"/>
      <c r="U477" s="11" t="str">
        <f>HYPERLINK("https://pbs.twimg.com/profile_images/1354974939887988736/P9wzBxgk.jpg","View")</f>
        <v>View</v>
      </c>
      <c r="V477" s="8"/>
      <c r="W477" s="8"/>
      <c r="X477" s="8"/>
      <c r="Y477" s="8"/>
      <c r="Z477" s="8"/>
    </row>
    <row r="478" spans="1:26" ht="13.2">
      <c r="A478" s="13">
        <v>44250.687673611115</v>
      </c>
      <c r="B478" s="6" t="str">
        <f>HYPERLINK("https://twitter.com/AlertTrade","@AlertTrade")</f>
        <v>@AlertTrade</v>
      </c>
      <c r="C478" s="14" t="s">
        <v>1043</v>
      </c>
      <c r="D478" s="14" t="s">
        <v>2353</v>
      </c>
      <c r="E478" s="6" t="str">
        <f>HYPERLINK("https://twitter.com/AlertTrade/status/1364236136101670919","1364236136101670919")</f>
        <v>1364236136101670919</v>
      </c>
      <c r="F478" s="7" t="s">
        <v>1045</v>
      </c>
      <c r="G478" s="7" t="s">
        <v>2354</v>
      </c>
      <c r="H478" s="8"/>
      <c r="I478" s="14">
        <v>0</v>
      </c>
      <c r="J478" s="14">
        <v>0</v>
      </c>
      <c r="K478" s="6" t="str">
        <f t="shared" si="76"/>
        <v>Buffer</v>
      </c>
      <c r="L478" s="15">
        <v>147561</v>
      </c>
      <c r="M478" s="15">
        <v>149760</v>
      </c>
      <c r="N478" s="15">
        <v>2503</v>
      </c>
      <c r="O478" s="9"/>
      <c r="P478" s="10">
        <v>40245.718449074076</v>
      </c>
      <c r="Q478" s="8"/>
      <c r="R478" s="14" t="s">
        <v>1047</v>
      </c>
      <c r="S478" s="7" t="s">
        <v>1048</v>
      </c>
      <c r="T478" s="8"/>
      <c r="U478" s="11" t="str">
        <f>HYPERLINK("https://pbs.twimg.com/profile_images/909427952001146880/UoMAp4JA.jpg","View")</f>
        <v>View</v>
      </c>
      <c r="V478" s="8"/>
      <c r="W478" s="8"/>
      <c r="X478" s="8"/>
      <c r="Y478" s="8"/>
      <c r="Z478" s="8"/>
    </row>
    <row r="479" spans="1:26" ht="13.2">
      <c r="A479" s="13">
        <v>44250.687615740739</v>
      </c>
      <c r="B479" s="6" t="str">
        <f>HYPERLINK("https://twitter.com/RichardEudes","@RichardEudes")</f>
        <v>@RichardEudes</v>
      </c>
      <c r="C479" s="14" t="s">
        <v>341</v>
      </c>
      <c r="D479" s="14" t="s">
        <v>2355</v>
      </c>
      <c r="E479" s="6" t="str">
        <f>HYPERLINK("https://twitter.com/RichardEudes/status/1364236113687310342","1364236113687310342")</f>
        <v>1364236113687310342</v>
      </c>
      <c r="F479" s="7" t="s">
        <v>2356</v>
      </c>
      <c r="G479" s="8"/>
      <c r="H479" s="8"/>
      <c r="I479" s="14">
        <v>2</v>
      </c>
      <c r="J479" s="14">
        <v>2</v>
      </c>
      <c r="K479" s="6" t="str">
        <f t="shared" si="76"/>
        <v>Buffer</v>
      </c>
      <c r="L479" s="15">
        <v>16960</v>
      </c>
      <c r="M479" s="15">
        <v>1979</v>
      </c>
      <c r="N479" s="15">
        <v>668</v>
      </c>
      <c r="O479" s="9"/>
      <c r="P479" s="10">
        <v>39985.961481481485</v>
      </c>
      <c r="Q479" s="14" t="s">
        <v>106</v>
      </c>
      <c r="R479" s="14" t="s">
        <v>344</v>
      </c>
      <c r="S479" s="7" t="s">
        <v>345</v>
      </c>
      <c r="T479" s="8"/>
      <c r="U479" s="11" t="str">
        <f>HYPERLINK("https://pbs.twimg.com/profile_images/1332753391886491648/I9fBm3kf.jpg","View")</f>
        <v>View</v>
      </c>
      <c r="V479" s="8"/>
      <c r="W479" s="8"/>
      <c r="X479" s="8"/>
      <c r="Y479" s="8"/>
      <c r="Z479" s="8"/>
    </row>
    <row r="480" spans="1:26" ht="13.2">
      <c r="A480" s="13">
        <v>44250.6875</v>
      </c>
      <c r="B480" s="6" t="str">
        <f>HYPERLINK("https://twitter.com/scanta_io","@scanta_io")</f>
        <v>@scanta_io</v>
      </c>
      <c r="C480" s="14" t="s">
        <v>388</v>
      </c>
      <c r="D480" s="14" t="s">
        <v>2357</v>
      </c>
      <c r="E480" s="6" t="str">
        <f>HYPERLINK("https://twitter.com/scanta_io/status/1364236071958061066","1364236071958061066")</f>
        <v>1364236071958061066</v>
      </c>
      <c r="F480" s="8"/>
      <c r="G480" s="8"/>
      <c r="H480" s="8"/>
      <c r="I480" s="14">
        <v>3</v>
      </c>
      <c r="J480" s="14">
        <v>2</v>
      </c>
      <c r="K480" s="6" t="str">
        <f t="shared" ref="K480:K481" si="77">HYPERLINK("https://about.twitter.com/products/tweetdeck","TweetDeck")</f>
        <v>TweetDeck</v>
      </c>
      <c r="L480" s="15">
        <v>307</v>
      </c>
      <c r="M480" s="15">
        <v>474</v>
      </c>
      <c r="N480" s="15">
        <v>6</v>
      </c>
      <c r="O480" s="9"/>
      <c r="P480" s="10">
        <v>42927.621400462958</v>
      </c>
      <c r="Q480" s="14" t="s">
        <v>390</v>
      </c>
      <c r="R480" s="14" t="s">
        <v>391</v>
      </c>
      <c r="S480" s="7" t="s">
        <v>392</v>
      </c>
      <c r="T480" s="8"/>
      <c r="U480" s="11" t="str">
        <f>HYPERLINK("https://pbs.twimg.com/profile_images/884759857240227841/TPVpzh1Z.jpg","View")</f>
        <v>View</v>
      </c>
      <c r="V480" s="8"/>
      <c r="W480" s="8"/>
      <c r="X480" s="8"/>
      <c r="Y480" s="8"/>
      <c r="Z480" s="8"/>
    </row>
    <row r="481" spans="1:26" ht="13.2">
      <c r="A481" s="13">
        <v>44250.6875</v>
      </c>
      <c r="B481" s="6" t="str">
        <f>HYPERLINK("https://twitter.com/jamesvgingerich","@jamesvgingerich")</f>
        <v>@jamesvgingerich</v>
      </c>
      <c r="C481" s="14" t="s">
        <v>1087</v>
      </c>
      <c r="D481" s="14" t="s">
        <v>2358</v>
      </c>
      <c r="E481" s="6" t="str">
        <f>HYPERLINK("https://twitter.com/jamesvgingerich/status/1364236071945519105","1364236071945519105")</f>
        <v>1364236071945519105</v>
      </c>
      <c r="F481" s="7" t="s">
        <v>2359</v>
      </c>
      <c r="G481" s="7" t="s">
        <v>2360</v>
      </c>
      <c r="H481" s="8"/>
      <c r="I481" s="14">
        <v>0</v>
      </c>
      <c r="J481" s="14">
        <v>2</v>
      </c>
      <c r="K481" s="6" t="str">
        <f t="shared" si="77"/>
        <v>TweetDeck</v>
      </c>
      <c r="L481" s="15">
        <v>53483</v>
      </c>
      <c r="M481" s="15">
        <v>56072</v>
      </c>
      <c r="N481" s="15">
        <v>1126</v>
      </c>
      <c r="O481" s="9"/>
      <c r="P481" s="10">
        <v>39623.806192129632</v>
      </c>
      <c r="Q481" s="14" t="s">
        <v>1091</v>
      </c>
      <c r="R481" s="14" t="s">
        <v>1092</v>
      </c>
      <c r="S481" s="7" t="s">
        <v>1093</v>
      </c>
      <c r="T481" s="8"/>
      <c r="U481" s="11" t="str">
        <f>HYPERLINK("https://pbs.twimg.com/profile_images/692168521/james_profile.jpg","View")</f>
        <v>View</v>
      </c>
      <c r="V481" s="8"/>
      <c r="W481" s="8"/>
      <c r="X481" s="8"/>
      <c r="Y481" s="8"/>
      <c r="Z481" s="8"/>
    </row>
    <row r="482" spans="1:26" ht="13.2">
      <c r="A482" s="13">
        <v>44250.68748842593</v>
      </c>
      <c r="B482" s="6" t="str">
        <f>HYPERLINK("https://twitter.com/stardust_QA","@stardust_QA")</f>
        <v>@stardust_QA</v>
      </c>
      <c r="C482" s="14" t="s">
        <v>2361</v>
      </c>
      <c r="D482" s="14" t="s">
        <v>2362</v>
      </c>
      <c r="E482" s="6" t="str">
        <f>HYPERLINK("https://twitter.com/stardust_QA/status/1364236068548186120","1364236068548186120")</f>
        <v>1364236068548186120</v>
      </c>
      <c r="F482" s="7" t="s">
        <v>2363</v>
      </c>
      <c r="G482" s="8"/>
      <c r="H482" s="8"/>
      <c r="I482" s="14">
        <v>0</v>
      </c>
      <c r="J482" s="14">
        <v>0</v>
      </c>
      <c r="K482" s="6" t="str">
        <f>HYPERLINK("http://www.hubspot.com/","HubSpot")</f>
        <v>HubSpot</v>
      </c>
      <c r="L482" s="15">
        <v>3511</v>
      </c>
      <c r="M482" s="15">
        <v>4188</v>
      </c>
      <c r="N482" s="15">
        <v>92</v>
      </c>
      <c r="O482" s="9"/>
      <c r="P482" s="10">
        <v>40573.933981481481</v>
      </c>
      <c r="Q482" s="14" t="s">
        <v>69</v>
      </c>
      <c r="R482" s="14" t="s">
        <v>2364</v>
      </c>
      <c r="S482" s="7" t="s">
        <v>2365</v>
      </c>
      <c r="T482" s="8"/>
      <c r="U482" s="11" t="str">
        <f>HYPERLINK("https://pbs.twimg.com/profile_images/1236939722066452483/0RKaMbKh.png","View")</f>
        <v>View</v>
      </c>
      <c r="V482" s="8"/>
      <c r="W482" s="8"/>
      <c r="X482" s="8"/>
      <c r="Y482" s="8"/>
      <c r="Z482" s="8"/>
    </row>
    <row r="483" spans="1:26" ht="13.2">
      <c r="A483" s="13">
        <v>44250.687013888892</v>
      </c>
      <c r="B483" s="6" t="str">
        <f>HYPERLINK("https://twitter.com/stemifyai","@stemifyai")</f>
        <v>@stemifyai</v>
      </c>
      <c r="C483" s="14" t="s">
        <v>2366</v>
      </c>
      <c r="D483" s="14" t="s">
        <v>2367</v>
      </c>
      <c r="E483" s="6" t="str">
        <f>HYPERLINK("https://twitter.com/stemifyai/status/1364235894354509826","1364235894354509826")</f>
        <v>1364235894354509826</v>
      </c>
      <c r="F483" s="7" t="s">
        <v>2368</v>
      </c>
      <c r="G483" s="8"/>
      <c r="H483" s="8"/>
      <c r="I483" s="14">
        <v>2</v>
      </c>
      <c r="J483" s="14">
        <v>3</v>
      </c>
      <c r="K483" s="6" t="str">
        <f>HYPERLINK("https://www.hootsuite.com","Hootsuite Inc.")</f>
        <v>Hootsuite Inc.</v>
      </c>
      <c r="L483" s="15">
        <v>22</v>
      </c>
      <c r="M483" s="15">
        <v>35</v>
      </c>
      <c r="N483" s="15">
        <v>0</v>
      </c>
      <c r="O483" s="9"/>
      <c r="P483" s="10">
        <v>43923.87704861111</v>
      </c>
      <c r="Q483" s="8"/>
      <c r="R483" s="8"/>
      <c r="S483" s="7" t="s">
        <v>2369</v>
      </c>
      <c r="T483" s="8"/>
      <c r="U483" s="11" t="str">
        <f>HYPERLINK("https://pbs.twimg.com/profile_images/1245823138321088512/9ScOhiqE.jpg","View")</f>
        <v>View</v>
      </c>
      <c r="V483" s="8"/>
      <c r="W483" s="8"/>
      <c r="X483" s="8"/>
      <c r="Y483" s="8"/>
      <c r="Z483" s="8"/>
    </row>
    <row r="484" spans="1:26" ht="13.2">
      <c r="A484" s="13">
        <v>44250.686851851853</v>
      </c>
      <c r="B484" s="6" t="str">
        <f>HYPERLINK("https://twitter.com/dylanrecon89","@dylanrecon89")</f>
        <v>@dylanrecon89</v>
      </c>
      <c r="C484" s="14" t="s">
        <v>2370</v>
      </c>
      <c r="D484" s="14" t="s">
        <v>2371</v>
      </c>
      <c r="E484" s="6" t="str">
        <f>HYPERLINK("https://twitter.com/dylanrecon89/status/1364235835034501121","1364235835034501121")</f>
        <v>1364235835034501121</v>
      </c>
      <c r="F484" s="7" t="s">
        <v>2372</v>
      </c>
      <c r="G484" s="8"/>
      <c r="H484" s="8"/>
      <c r="I484" s="14">
        <v>1</v>
      </c>
      <c r="J484" s="14">
        <v>0</v>
      </c>
      <c r="K484" s="8"/>
      <c r="L484" s="15">
        <v>106</v>
      </c>
      <c r="M484" s="15">
        <v>783</v>
      </c>
      <c r="N484" s="15">
        <v>0</v>
      </c>
      <c r="O484" s="9"/>
      <c r="P484" s="10">
        <v>44111.399907407409</v>
      </c>
      <c r="Q484" s="8"/>
      <c r="R484" s="14" t="s">
        <v>2373</v>
      </c>
      <c r="S484" s="8"/>
      <c r="T484" s="8"/>
      <c r="U484" s="11" t="str">
        <f>HYPERLINK("https://pbs.twimg.com/profile_images/1313745227925123072/lima9Zmy.png","View")</f>
        <v>View</v>
      </c>
      <c r="V484" s="8"/>
      <c r="W484" s="8"/>
      <c r="X484" s="8"/>
      <c r="Y484" s="8"/>
      <c r="Z484" s="8"/>
    </row>
    <row r="485" spans="1:26" ht="13.2">
      <c r="A485" s="13">
        <v>44250.686805555553</v>
      </c>
      <c r="B485" s="6" t="str">
        <f>HYPERLINK("https://twitter.com/SSI_Innovations","@SSI_Innovations")</f>
        <v>@SSI_Innovations</v>
      </c>
      <c r="C485" s="14" t="s">
        <v>656</v>
      </c>
      <c r="D485" s="14" t="s">
        <v>2374</v>
      </c>
      <c r="E485" s="6" t="str">
        <f>HYPERLINK("https://twitter.com/SSI_Innovations/status/1364235819305865220","1364235819305865220")</f>
        <v>1364235819305865220</v>
      </c>
      <c r="F485" s="7" t="s">
        <v>2375</v>
      </c>
      <c r="G485" s="7" t="s">
        <v>2376</v>
      </c>
      <c r="H485" s="8"/>
      <c r="I485" s="14">
        <v>3</v>
      </c>
      <c r="J485" s="14">
        <v>1</v>
      </c>
      <c r="K485" s="6" t="str">
        <f>HYPERLINK("https://about.twitter.com/products/tweetdeck","TweetDeck")</f>
        <v>TweetDeck</v>
      </c>
      <c r="L485" s="15">
        <v>4449</v>
      </c>
      <c r="M485" s="15">
        <v>5002</v>
      </c>
      <c r="N485" s="15">
        <v>270</v>
      </c>
      <c r="O485" s="9"/>
      <c r="P485" s="10">
        <v>42264.36791666667</v>
      </c>
      <c r="Q485" s="14" t="s">
        <v>660</v>
      </c>
      <c r="R485" s="14" t="s">
        <v>661</v>
      </c>
      <c r="S485" s="7" t="s">
        <v>662</v>
      </c>
      <c r="T485" s="8"/>
      <c r="U485" s="11" t="str">
        <f>HYPERLINK("https://pbs.twimg.com/profile_images/649205321848631296/u39Qrzjg.jpg","View")</f>
        <v>View</v>
      </c>
      <c r="V485" s="8"/>
      <c r="W485" s="8"/>
      <c r="X485" s="8"/>
      <c r="Y485" s="8"/>
      <c r="Z485" s="8"/>
    </row>
    <row r="486" spans="1:26" ht="13.2">
      <c r="A486" s="13">
        <v>44250.685891203699</v>
      </c>
      <c r="B486" s="6" t="str">
        <f>HYPERLINK("https://twitter.com/sallyeaves","@sallyeaves")</f>
        <v>@sallyeaves</v>
      </c>
      <c r="C486" s="14" t="s">
        <v>2377</v>
      </c>
      <c r="D486" s="14" t="s">
        <v>2378</v>
      </c>
      <c r="E486" s="6" t="str">
        <f>HYPERLINK("https://twitter.com/sallyeaves/status/1364235489788768259","1364235489788768259")</f>
        <v>1364235489788768259</v>
      </c>
      <c r="F486" s="14" t="s">
        <v>2379</v>
      </c>
      <c r="G486" s="7" t="s">
        <v>2380</v>
      </c>
      <c r="H486" s="8"/>
      <c r="I486" s="14">
        <v>4</v>
      </c>
      <c r="J486" s="14">
        <v>18</v>
      </c>
      <c r="K486" s="6" t="str">
        <f t="shared" ref="K486:K487" si="78">HYPERLINK("https://mobile.twitter.com","Twitter Web App")</f>
        <v>Twitter Web App</v>
      </c>
      <c r="L486" s="15">
        <v>116435</v>
      </c>
      <c r="M486" s="15">
        <v>99994</v>
      </c>
      <c r="N486" s="15">
        <v>3205</v>
      </c>
      <c r="O486" s="9"/>
      <c r="P486" s="10">
        <v>42096.401041666672</v>
      </c>
      <c r="Q486" s="14" t="s">
        <v>2381</v>
      </c>
      <c r="R486" s="14" t="s">
        <v>2382</v>
      </c>
      <c r="S486" s="8"/>
      <c r="T486" s="8"/>
      <c r="U486" s="11" t="str">
        <f>HYPERLINK("https://pbs.twimg.com/profile_images/1121083861520326656/X6NEB7hZ.jpg","View")</f>
        <v>View</v>
      </c>
      <c r="V486" s="8"/>
      <c r="W486" s="8"/>
      <c r="X486" s="8"/>
      <c r="Y486" s="8"/>
      <c r="Z486" s="8"/>
    </row>
    <row r="487" spans="1:26" ht="13.2">
      <c r="A487" s="13">
        <v>44250.685740740737</v>
      </c>
      <c r="B487" s="6" t="str">
        <f>HYPERLINK("https://twitter.com/zevdatascience","@zevdatascience")</f>
        <v>@zevdatascience</v>
      </c>
      <c r="C487" s="14" t="s">
        <v>2383</v>
      </c>
      <c r="D487" s="14" t="s">
        <v>2384</v>
      </c>
      <c r="E487" s="6" t="str">
        <f>HYPERLINK("https://twitter.com/zevdatascience/status/1364235432603521027","1364235432603521027")</f>
        <v>1364235432603521027</v>
      </c>
      <c r="F487" s="7" t="s">
        <v>2385</v>
      </c>
      <c r="G487" s="8"/>
      <c r="H487" s="8"/>
      <c r="I487" s="14">
        <v>1</v>
      </c>
      <c r="J487" s="14">
        <v>0</v>
      </c>
      <c r="K487" s="6" t="str">
        <f t="shared" si="78"/>
        <v>Twitter Web App</v>
      </c>
      <c r="L487" s="15">
        <v>2178</v>
      </c>
      <c r="M487" s="15">
        <v>941</v>
      </c>
      <c r="N487" s="15">
        <v>180</v>
      </c>
      <c r="O487" s="9"/>
      <c r="P487" s="10">
        <v>40392.295891203699</v>
      </c>
      <c r="Q487" s="14" t="s">
        <v>2386</v>
      </c>
      <c r="R487" s="14" t="s">
        <v>2387</v>
      </c>
      <c r="S487" s="7" t="s">
        <v>2388</v>
      </c>
      <c r="T487" s="8"/>
      <c r="U487" s="11" t="str">
        <f>HYPERLINK("https://pbs.twimg.com/profile_images/1130995446036410370/L0icJ75M.jpg","View")</f>
        <v>View</v>
      </c>
      <c r="V487" s="8"/>
      <c r="W487" s="8"/>
      <c r="X487" s="8"/>
      <c r="Y487" s="8"/>
      <c r="Z487" s="8"/>
    </row>
    <row r="488" spans="1:26" ht="13.2">
      <c r="A488" s="13">
        <v>44250.685486111106</v>
      </c>
      <c r="B488" s="6" t="str">
        <f>HYPERLINK("https://twitter.com/DS_Analytics","@DS_Analytics")</f>
        <v>@DS_Analytics</v>
      </c>
      <c r="C488" s="14" t="s">
        <v>2389</v>
      </c>
      <c r="D488" s="14" t="s">
        <v>2390</v>
      </c>
      <c r="E488" s="6" t="str">
        <f>HYPERLINK("https://twitter.com/DS_Analytics/status/1364235342627414021","1364235342627414021")</f>
        <v>1364235342627414021</v>
      </c>
      <c r="F488" s="7" t="s">
        <v>2391</v>
      </c>
      <c r="G488" s="8"/>
      <c r="H488" s="8"/>
      <c r="I488" s="14">
        <v>4</v>
      </c>
      <c r="J488" s="14">
        <v>0</v>
      </c>
      <c r="K488" s="6" t="str">
        <f>HYPERLINK("https://ifttt.com","IFTTT")</f>
        <v>IFTTT</v>
      </c>
      <c r="L488" s="15">
        <v>4945</v>
      </c>
      <c r="M488" s="15">
        <v>4504</v>
      </c>
      <c r="N488" s="15">
        <v>46</v>
      </c>
      <c r="O488" s="9"/>
      <c r="P488" s="10">
        <v>43019.662314814814</v>
      </c>
      <c r="Q488" s="8"/>
      <c r="R488" s="14" t="s">
        <v>2392</v>
      </c>
      <c r="S488" s="8"/>
      <c r="T488" s="8"/>
      <c r="U488" s="11" t="str">
        <f>HYPERLINK("https://pbs.twimg.com/profile_images/955817556635504640/FflsX454.jpg","View")</f>
        <v>View</v>
      </c>
      <c r="V488" s="8"/>
      <c r="W488" s="8"/>
      <c r="X488" s="8"/>
      <c r="Y488" s="8"/>
      <c r="Z488" s="8"/>
    </row>
    <row r="489" spans="1:26" ht="13.2">
      <c r="A489" s="13">
        <v>44250.685416666667</v>
      </c>
      <c r="B489" s="6" t="str">
        <f>HYPERLINK("https://twitter.com/IEN_UPM","@IEN_UPM")</f>
        <v>@IEN_UPM</v>
      </c>
      <c r="C489" s="14" t="s">
        <v>2393</v>
      </c>
      <c r="D489" s="14" t="s">
        <v>2394</v>
      </c>
      <c r="E489" s="6" t="str">
        <f>HYPERLINK("https://twitter.com/IEN_UPM/status/1364235316039540739","1364235316039540739")</f>
        <v>1364235316039540739</v>
      </c>
      <c r="F489" s="7" t="s">
        <v>2395</v>
      </c>
      <c r="G489" s="8"/>
      <c r="H489" s="8"/>
      <c r="I489" s="14">
        <v>2</v>
      </c>
      <c r="J489" s="14">
        <v>0</v>
      </c>
      <c r="K489" s="6" t="str">
        <f>HYPERLINK("https://mobile.twitter.com","Twitter Web App")</f>
        <v>Twitter Web App</v>
      </c>
      <c r="L489" s="15">
        <v>1377</v>
      </c>
      <c r="M489" s="15">
        <v>1401</v>
      </c>
      <c r="N489" s="15">
        <v>81</v>
      </c>
      <c r="O489" s="9"/>
      <c r="P489" s="10">
        <v>41039.52407407407</v>
      </c>
      <c r="Q489" s="14" t="s">
        <v>2396</v>
      </c>
      <c r="R489" s="14" t="s">
        <v>2397</v>
      </c>
      <c r="S489" s="7" t="s">
        <v>2398</v>
      </c>
      <c r="T489" s="8"/>
      <c r="U489" s="11" t="str">
        <f>HYPERLINK("https://pbs.twimg.com/profile_images/1127937167752421376/OHpYYB-k.png","View")</f>
        <v>View</v>
      </c>
      <c r="V489" s="8"/>
      <c r="W489" s="8"/>
      <c r="X489" s="8"/>
      <c r="Y489" s="8"/>
      <c r="Z489" s="8"/>
    </row>
    <row r="490" spans="1:26" ht="13.2">
      <c r="A490" s="13">
        <v>44250.685266203705</v>
      </c>
      <c r="B490" s="6" t="str">
        <f>HYPERLINK("https://twitter.com/PandhareSidhesh","@PandhareSidhesh")</f>
        <v>@PandhareSidhesh</v>
      </c>
      <c r="C490" s="14" t="s">
        <v>2399</v>
      </c>
      <c r="D490" s="14" t="s">
        <v>2272</v>
      </c>
      <c r="E490" s="6" t="str">
        <f>HYPERLINK("https://twitter.com/PandhareSidhesh/status/1364235263849988096","1364235263849988096")</f>
        <v>1364235263849988096</v>
      </c>
      <c r="F490" s="14" t="s">
        <v>2273</v>
      </c>
      <c r="G490" s="8"/>
      <c r="H490" s="8"/>
      <c r="I490" s="14">
        <v>1</v>
      </c>
      <c r="J490" s="14">
        <v>1</v>
      </c>
      <c r="K490" s="6" t="str">
        <f>HYPERLINK("http://twinybots.com","TwinyBots")</f>
        <v>TwinyBots</v>
      </c>
      <c r="L490" s="15">
        <v>811</v>
      </c>
      <c r="M490" s="15">
        <v>965</v>
      </c>
      <c r="N490" s="15">
        <v>17</v>
      </c>
      <c r="O490" s="9"/>
      <c r="P490" s="10">
        <v>41917.38753472222</v>
      </c>
      <c r="Q490" s="14" t="s">
        <v>2167</v>
      </c>
      <c r="R490" s="14" t="s">
        <v>2400</v>
      </c>
      <c r="S490" s="7" t="s">
        <v>2401</v>
      </c>
      <c r="T490" s="8"/>
      <c r="U490" s="11" t="str">
        <f>HYPERLINK("https://pbs.twimg.com/profile_images/1089412063355637761/6l3zV4bs.jpg","View")</f>
        <v>View</v>
      </c>
      <c r="V490" s="8"/>
      <c r="W490" s="8"/>
      <c r="X490" s="8"/>
      <c r="Y490" s="8"/>
      <c r="Z490" s="8"/>
    </row>
    <row r="491" spans="1:26" ht="13.2">
      <c r="A491" s="13">
        <v>44250.685162037036</v>
      </c>
      <c r="B491" s="6" t="str">
        <f>HYPERLINK("https://twitter.com/DD_Bun_","@DD_Bun_")</f>
        <v>@DD_Bun_</v>
      </c>
      <c r="C491" s="14" t="s">
        <v>2402</v>
      </c>
      <c r="D491" s="14" t="s">
        <v>2403</v>
      </c>
      <c r="E491" s="6" t="str">
        <f>HYPERLINK("https://twitter.com/DD_Bun_/status/1364235223798403083","1364235223798403083")</f>
        <v>1364235223798403083</v>
      </c>
      <c r="F491" s="7" t="s">
        <v>2404</v>
      </c>
      <c r="G491" s="8"/>
      <c r="H491" s="8"/>
      <c r="I491" s="14">
        <v>2</v>
      </c>
      <c r="J491" s="14">
        <v>3</v>
      </c>
      <c r="K491" s="6" t="str">
        <f>HYPERLINK("https://twitter.com/DD_Bun_","dd_bun_")</f>
        <v>dd_bun_</v>
      </c>
      <c r="L491" s="15">
        <v>12463</v>
      </c>
      <c r="M491" s="15">
        <v>6003</v>
      </c>
      <c r="N491" s="15">
        <v>218</v>
      </c>
      <c r="O491" s="9"/>
      <c r="P491" s="10">
        <v>41864.304756944446</v>
      </c>
      <c r="Q491" s="14" t="s">
        <v>2405</v>
      </c>
      <c r="R491" s="14" t="s">
        <v>2406</v>
      </c>
      <c r="S491" s="7" t="s">
        <v>2407</v>
      </c>
      <c r="T491" s="8"/>
      <c r="U491" s="11" t="str">
        <f>HYPERLINK("https://pbs.twimg.com/profile_images/917004717401661440/3gLaVndW.jpg","View")</f>
        <v>View</v>
      </c>
      <c r="V491" s="8"/>
      <c r="W491" s="8"/>
      <c r="X491" s="8"/>
      <c r="Y491" s="8"/>
      <c r="Z491" s="8"/>
    </row>
    <row r="492" spans="1:26" ht="13.2">
      <c r="A492" s="13">
        <v>44250.685081018513</v>
      </c>
      <c r="B492" s="6" t="str">
        <f>HYPERLINK("https://twitter.com/Mlearning_ai","@Mlearning_ai")</f>
        <v>@Mlearning_ai</v>
      </c>
      <c r="C492" s="14" t="s">
        <v>2336</v>
      </c>
      <c r="D492" s="14" t="s">
        <v>2408</v>
      </c>
      <c r="E492" s="6" t="str">
        <f>HYPERLINK("https://twitter.com/Mlearning_ai/status/1364235195092787205","1364235195092787205")</f>
        <v>1364235195092787205</v>
      </c>
      <c r="F492" s="14" t="s">
        <v>2409</v>
      </c>
      <c r="G492" s="8"/>
      <c r="H492" s="8"/>
      <c r="I492" s="14">
        <v>2</v>
      </c>
      <c r="J492" s="14">
        <v>0</v>
      </c>
      <c r="K492" s="6" t="str">
        <f>HYPERLINK("https://ifttt.com","IFTTT")</f>
        <v>IFTTT</v>
      </c>
      <c r="L492" s="15">
        <v>4161</v>
      </c>
      <c r="M492" s="15">
        <v>201</v>
      </c>
      <c r="N492" s="15">
        <v>148</v>
      </c>
      <c r="O492" s="9"/>
      <c r="P492" s="10">
        <v>41120.458391203705</v>
      </c>
      <c r="Q492" s="8"/>
      <c r="R492" s="14" t="s">
        <v>2339</v>
      </c>
      <c r="S492" s="7" t="s">
        <v>2340</v>
      </c>
      <c r="T492" s="8"/>
      <c r="U492" s="11" t="str">
        <f>HYPERLINK("https://pbs.twimg.com/profile_images/1198670629433724928/V-cPfdPX.jpg","View")</f>
        <v>View</v>
      </c>
      <c r="V492" s="8"/>
      <c r="W492" s="8"/>
      <c r="X492" s="8"/>
      <c r="Y492" s="8"/>
      <c r="Z492" s="8"/>
    </row>
    <row r="493" spans="1:26" ht="13.2">
      <c r="A493" s="13">
        <v>44250.684687500005</v>
      </c>
      <c r="B493" s="6" t="str">
        <f>HYPERLINK("https://twitter.com/W3Hidayath","@W3Hidayath")</f>
        <v>@W3Hidayath</v>
      </c>
      <c r="C493" s="14" t="s">
        <v>2410</v>
      </c>
      <c r="D493" s="14" t="s">
        <v>2411</v>
      </c>
      <c r="E493" s="6" t="str">
        <f>HYPERLINK("https://twitter.com/W3Hidayath/status/1364235053056712705","1364235053056712705")</f>
        <v>1364235053056712705</v>
      </c>
      <c r="F493" s="8"/>
      <c r="G493" s="8"/>
      <c r="H493" s="8"/>
      <c r="I493" s="14">
        <v>6</v>
      </c>
      <c r="J493" s="14">
        <v>8</v>
      </c>
      <c r="K493" s="6" t="str">
        <f>HYPERLINK("http://twitter.com/download/iphone","Twitter for iPhone")</f>
        <v>Twitter for iPhone</v>
      </c>
      <c r="L493" s="15">
        <v>923</v>
      </c>
      <c r="M493" s="15">
        <v>172</v>
      </c>
      <c r="N493" s="15">
        <v>5</v>
      </c>
      <c r="O493" s="9"/>
      <c r="P493" s="10">
        <v>39759.32298611111</v>
      </c>
      <c r="Q493" s="14" t="s">
        <v>2412</v>
      </c>
      <c r="R493" s="14" t="s">
        <v>2413</v>
      </c>
      <c r="S493" s="7" t="s">
        <v>2414</v>
      </c>
      <c r="T493" s="8"/>
      <c r="U493" s="11" t="str">
        <f>HYPERLINK("https://pbs.twimg.com/profile_images/1354064916823552001/RRMN_B1s.jpg","View")</f>
        <v>View</v>
      </c>
      <c r="V493" s="8"/>
      <c r="W493" s="8"/>
      <c r="X493" s="8"/>
      <c r="Y493" s="8"/>
      <c r="Z493" s="8"/>
    </row>
    <row r="494" spans="1:26" ht="13.2">
      <c r="A494" s="13">
        <v>44250.684212962966</v>
      </c>
      <c r="B494" s="6" t="str">
        <f>HYPERLINK("https://twitter.com/icloudseven","@icloudseven")</f>
        <v>@icloudseven</v>
      </c>
      <c r="C494" s="14" t="s">
        <v>2415</v>
      </c>
      <c r="D494" s="14" t="s">
        <v>2416</v>
      </c>
      <c r="E494" s="6" t="str">
        <f>HYPERLINK("https://twitter.com/icloudseven/status/1364234881954414600","1364234881954414600")</f>
        <v>1364234881954414600</v>
      </c>
      <c r="F494" s="7" t="s">
        <v>2417</v>
      </c>
      <c r="G494" s="8"/>
      <c r="H494" s="8"/>
      <c r="I494" s="14">
        <v>1</v>
      </c>
      <c r="J494" s="14">
        <v>1</v>
      </c>
      <c r="K494" s="6" t="str">
        <f>HYPERLINK("https://mobile.twitter.com","Twitter Web App")</f>
        <v>Twitter Web App</v>
      </c>
      <c r="L494" s="15">
        <v>185</v>
      </c>
      <c r="M494" s="15">
        <v>667</v>
      </c>
      <c r="N494" s="15">
        <v>82</v>
      </c>
      <c r="O494" s="9"/>
      <c r="P494" s="10">
        <v>41775.969456018516</v>
      </c>
      <c r="Q494" s="14" t="s">
        <v>1159</v>
      </c>
      <c r="R494" s="14" t="s">
        <v>2418</v>
      </c>
      <c r="S494" s="7" t="s">
        <v>2419</v>
      </c>
      <c r="T494" s="8"/>
      <c r="U494" s="11" t="str">
        <f>HYPERLINK("https://pbs.twimg.com/profile_images/1124353404044742656/o4K-FKHi.png","View")</f>
        <v>View</v>
      </c>
      <c r="V494" s="8"/>
      <c r="W494" s="8"/>
      <c r="X494" s="8"/>
      <c r="Y494" s="8"/>
      <c r="Z494" s="8"/>
    </row>
    <row r="495" spans="1:26" ht="13.2">
      <c r="A495" s="13">
        <v>44250.684120370366</v>
      </c>
      <c r="B495" s="6" t="str">
        <f>HYPERLINK("https://twitter.com/SwissCognitive","@SwissCognitive")</f>
        <v>@SwissCognitive</v>
      </c>
      <c r="C495" s="14" t="s">
        <v>2420</v>
      </c>
      <c r="D495" s="14" t="s">
        <v>2421</v>
      </c>
      <c r="E495" s="6" t="str">
        <f>HYPERLINK("https://twitter.com/SwissCognitive/status/1364234847946964994","1364234847946964994")</f>
        <v>1364234847946964994</v>
      </c>
      <c r="F495" s="7" t="s">
        <v>2422</v>
      </c>
      <c r="G495" s="7" t="s">
        <v>2423</v>
      </c>
      <c r="H495" s="8"/>
      <c r="I495" s="14">
        <v>3</v>
      </c>
      <c r="J495" s="14">
        <v>6</v>
      </c>
      <c r="K495" s="6" t="str">
        <f>HYPERLINK("https://www.hootsuite.com","Hootsuite Inc.")</f>
        <v>Hootsuite Inc.</v>
      </c>
      <c r="L495" s="15">
        <v>137757</v>
      </c>
      <c r="M495" s="15">
        <v>68339</v>
      </c>
      <c r="N495" s="15">
        <v>1365</v>
      </c>
      <c r="O495" s="9"/>
      <c r="P495" s="10">
        <v>42715.910520833335</v>
      </c>
      <c r="Q495" s="14" t="s">
        <v>2424</v>
      </c>
      <c r="R495" s="14" t="s">
        <v>2425</v>
      </c>
      <c r="S495" s="7" t="s">
        <v>2426</v>
      </c>
      <c r="T495" s="8"/>
      <c r="U495" s="11" t="str">
        <f>HYPERLINK("https://pbs.twimg.com/profile_images/808057095035752448/7gjlLmVA.jpg","View")</f>
        <v>View</v>
      </c>
      <c r="V495" s="8"/>
      <c r="W495" s="8"/>
      <c r="X495" s="8"/>
      <c r="Y495" s="8"/>
      <c r="Z495" s="8"/>
    </row>
    <row r="496" spans="1:26" ht="13.2">
      <c r="A496" s="13">
        <v>44250.683368055557</v>
      </c>
      <c r="B496" s="6" t="str">
        <f>HYPERLINK("https://twitter.com/OmdenaAI","@OmdenaAI")</f>
        <v>@OmdenaAI</v>
      </c>
      <c r="C496" s="14" t="s">
        <v>2427</v>
      </c>
      <c r="D496" s="14" t="s">
        <v>2428</v>
      </c>
      <c r="E496" s="6" t="str">
        <f>HYPERLINK("https://twitter.com/OmdenaAI/status/1364234573178171394","1364234573178171394")</f>
        <v>1364234573178171394</v>
      </c>
      <c r="F496" s="7" t="s">
        <v>2429</v>
      </c>
      <c r="G496" s="8"/>
      <c r="H496" s="8"/>
      <c r="I496" s="14">
        <v>6</v>
      </c>
      <c r="J496" s="14">
        <v>10</v>
      </c>
      <c r="K496" s="6" t="str">
        <f t="shared" ref="K496:K497" si="79">HYPERLINK("https://mobile.twitter.com","Twitter Web App")</f>
        <v>Twitter Web App</v>
      </c>
      <c r="L496" s="15">
        <v>1861</v>
      </c>
      <c r="M496" s="15">
        <v>597</v>
      </c>
      <c r="N496" s="15">
        <v>19</v>
      </c>
      <c r="O496" s="9"/>
      <c r="P496" s="10">
        <v>43549.067384259259</v>
      </c>
      <c r="Q496" s="14" t="s">
        <v>2430</v>
      </c>
      <c r="R496" s="14" t="s">
        <v>2431</v>
      </c>
      <c r="S496" s="7" t="s">
        <v>2432</v>
      </c>
      <c r="T496" s="8"/>
      <c r="U496" s="11" t="str">
        <f>HYPERLINK("https://pbs.twimg.com/profile_images/1110255510446661637/CoXqr0hG.png","View")</f>
        <v>View</v>
      </c>
      <c r="V496" s="8"/>
      <c r="W496" s="8"/>
      <c r="X496" s="8"/>
      <c r="Y496" s="8"/>
      <c r="Z496" s="8"/>
    </row>
    <row r="497" spans="1:26" ht="13.2">
      <c r="A497" s="13">
        <v>44250.683356481481</v>
      </c>
      <c r="B497" s="6" t="str">
        <f>HYPERLINK("https://twitter.com/Ronald_vanLoon","@Ronald_vanLoon")</f>
        <v>@Ronald_vanLoon</v>
      </c>
      <c r="C497" s="14" t="s">
        <v>2433</v>
      </c>
      <c r="D497" s="14" t="s">
        <v>2434</v>
      </c>
      <c r="E497" s="6" t="str">
        <f>HYPERLINK("https://twitter.com/Ronald_vanLoon/status/1364234571831783425","1364234571831783425")</f>
        <v>1364234571831783425</v>
      </c>
      <c r="F497" s="7" t="s">
        <v>2435</v>
      </c>
      <c r="G497" s="7" t="s">
        <v>2436</v>
      </c>
      <c r="H497" s="8"/>
      <c r="I497" s="14">
        <v>7</v>
      </c>
      <c r="J497" s="14">
        <v>8</v>
      </c>
      <c r="K497" s="6" t="str">
        <f t="shared" si="79"/>
        <v>Twitter Web App</v>
      </c>
      <c r="L497" s="15">
        <v>239361</v>
      </c>
      <c r="M497" s="15">
        <v>180517</v>
      </c>
      <c r="N497" s="15">
        <v>5589</v>
      </c>
      <c r="O497" s="9"/>
      <c r="P497" s="10">
        <v>41015.413553240738</v>
      </c>
      <c r="Q497" s="14" t="s">
        <v>1141</v>
      </c>
      <c r="R497" s="14" t="s">
        <v>2437</v>
      </c>
      <c r="S497" s="7" t="s">
        <v>2438</v>
      </c>
      <c r="T497" s="8"/>
      <c r="U497" s="11" t="str">
        <f>HYPERLINK("https://pbs.twimg.com/profile_images/1107936345769607169/sJKWJd7g.png","View")</f>
        <v>View</v>
      </c>
      <c r="V497" s="8"/>
      <c r="W497" s="8"/>
      <c r="X497" s="8"/>
      <c r="Y497" s="8"/>
      <c r="Z497" s="8"/>
    </row>
    <row r="498" spans="1:26" ht="13.2">
      <c r="A498" s="13">
        <v>44250.683229166665</v>
      </c>
      <c r="B498" s="6" t="str">
        <f>HYPERLINK("https://twitter.com/saqibali_ca","@saqibali_ca")</f>
        <v>@saqibali_ca</v>
      </c>
      <c r="C498" s="14" t="s">
        <v>965</v>
      </c>
      <c r="D498" s="14" t="s">
        <v>2439</v>
      </c>
      <c r="E498" s="6" t="str">
        <f>HYPERLINK("https://twitter.com/saqibali_ca/status/1364234523903369216","1364234523903369216")</f>
        <v>1364234523903369216</v>
      </c>
      <c r="F498" s="7" t="s">
        <v>2440</v>
      </c>
      <c r="G498" s="8"/>
      <c r="H498" s="8"/>
      <c r="I498" s="14">
        <v>0</v>
      </c>
      <c r="J498" s="14">
        <v>0</v>
      </c>
      <c r="K498" s="8"/>
      <c r="L498" s="15">
        <v>270</v>
      </c>
      <c r="M498" s="15">
        <v>0</v>
      </c>
      <c r="N498" s="15">
        <v>3</v>
      </c>
      <c r="O498" s="9"/>
      <c r="P498" s="10">
        <v>43119.848680555559</v>
      </c>
      <c r="Q498" s="14" t="s">
        <v>968</v>
      </c>
      <c r="R498" s="14" t="s">
        <v>969</v>
      </c>
      <c r="S498" s="7" t="s">
        <v>970</v>
      </c>
      <c r="T498" s="8"/>
      <c r="U498" s="11" t="str">
        <f>HYPERLINK("https://pbs.twimg.com/profile_images/1142963749285855233/c6NRGCvi.jpg","View")</f>
        <v>View</v>
      </c>
      <c r="V498" s="8"/>
      <c r="W498" s="8"/>
      <c r="X498" s="8"/>
      <c r="Y498" s="8"/>
      <c r="Z498" s="8"/>
    </row>
    <row r="499" spans="1:26" ht="13.2">
      <c r="A499" s="13">
        <v>44250.682638888888</v>
      </c>
      <c r="B499" s="6" t="str">
        <f>HYPERLINK("https://twitter.com/ZumoLabs","@ZumoLabs")</f>
        <v>@ZumoLabs</v>
      </c>
      <c r="C499" s="14" t="s">
        <v>2441</v>
      </c>
      <c r="D499" s="14" t="s">
        <v>2442</v>
      </c>
      <c r="E499" s="6" t="str">
        <f>HYPERLINK("https://twitter.com/ZumoLabs/status/1364234309331206146","1364234309331206146")</f>
        <v>1364234309331206146</v>
      </c>
      <c r="F499" s="7" t="s">
        <v>2443</v>
      </c>
      <c r="G499" s="8"/>
      <c r="H499" s="8"/>
      <c r="I499" s="14">
        <v>0</v>
      </c>
      <c r="J499" s="14">
        <v>0</v>
      </c>
      <c r="K499" s="6" t="str">
        <f>HYPERLINK("https://about.twitter.com/products/tweetdeck","TweetDeck")</f>
        <v>TweetDeck</v>
      </c>
      <c r="L499" s="15">
        <v>45</v>
      </c>
      <c r="M499" s="15">
        <v>77</v>
      </c>
      <c r="N499" s="15">
        <v>2</v>
      </c>
      <c r="O499" s="9"/>
      <c r="P499" s="10">
        <v>43853.747858796298</v>
      </c>
      <c r="Q499" s="14" t="s">
        <v>390</v>
      </c>
      <c r="R499" s="14" t="s">
        <v>2444</v>
      </c>
      <c r="S499" s="7" t="s">
        <v>2445</v>
      </c>
      <c r="T499" s="8"/>
      <c r="U499" s="11" t="str">
        <f>HYPERLINK("https://pbs.twimg.com/profile_images/1318986015835443200/IzOPahVZ.jpg","View")</f>
        <v>View</v>
      </c>
      <c r="V499" s="8"/>
      <c r="W499" s="8"/>
      <c r="X499" s="8"/>
      <c r="Y499" s="8"/>
      <c r="Z499" s="8"/>
    </row>
    <row r="500" spans="1:26" ht="13.2">
      <c r="A500" s="13">
        <v>44250.68241898148</v>
      </c>
      <c r="B500" s="6" t="str">
        <f>HYPERLINK("https://twitter.com/CatanaCapital","@CatanaCapital")</f>
        <v>@CatanaCapital</v>
      </c>
      <c r="C500" s="14" t="s">
        <v>2446</v>
      </c>
      <c r="D500" s="14" t="s">
        <v>2447</v>
      </c>
      <c r="E500" s="6" t="str">
        <f>HYPERLINK("https://twitter.com/CatanaCapital/status/1364234229370994693","1364234229370994693")</f>
        <v>1364234229370994693</v>
      </c>
      <c r="F500" s="7" t="s">
        <v>2448</v>
      </c>
      <c r="G500" s="8"/>
      <c r="H500" s="8"/>
      <c r="I500" s="14">
        <v>4</v>
      </c>
      <c r="J500" s="14">
        <v>2</v>
      </c>
      <c r="K500" s="6" t="str">
        <f>HYPERLINK("https://mobile.twitter.com","Twitter Web App")</f>
        <v>Twitter Web App</v>
      </c>
      <c r="L500" s="15">
        <v>1102</v>
      </c>
      <c r="M500" s="15">
        <v>113</v>
      </c>
      <c r="N500" s="15">
        <v>27</v>
      </c>
      <c r="O500" s="9"/>
      <c r="P500" s="10">
        <v>42392.570821759262</v>
      </c>
      <c r="Q500" s="14" t="s">
        <v>2449</v>
      </c>
      <c r="R500" s="14" t="s">
        <v>2450</v>
      </c>
      <c r="S500" s="7" t="s">
        <v>2451</v>
      </c>
      <c r="T500" s="8"/>
      <c r="U500" s="11" t="str">
        <f>HYPERLINK("https://pbs.twimg.com/profile_images/1103932362247659521/JbnG1mMS.png","View")</f>
        <v>View</v>
      </c>
      <c r="V500" s="8"/>
      <c r="W500" s="8"/>
      <c r="X500" s="8"/>
      <c r="Y500" s="8"/>
      <c r="Z500" s="8"/>
    </row>
    <row r="501" spans="1:26" ht="13.2">
      <c r="A501" s="13">
        <v>44250.682129629626</v>
      </c>
      <c r="B501" s="6" t="str">
        <f>HYPERLINK("https://twitter.com/HishamB6","@HishamB6")</f>
        <v>@HishamB6</v>
      </c>
      <c r="C501" s="14" t="s">
        <v>2452</v>
      </c>
      <c r="D501" s="14" t="s">
        <v>2453</v>
      </c>
      <c r="E501" s="6" t="str">
        <f>HYPERLINK("https://twitter.com/HishamB6/status/1364234126820319233","1364234126820319233")</f>
        <v>1364234126820319233</v>
      </c>
      <c r="F501" s="7" t="s">
        <v>2454</v>
      </c>
      <c r="G501" s="8"/>
      <c r="H501" s="8"/>
      <c r="I501" s="14">
        <v>5</v>
      </c>
      <c r="J501" s="14">
        <v>0</v>
      </c>
      <c r="K501" s="6" t="str">
        <f>HYPERLINK("https://about.twitter.com/products/tweetdeck","TweetDeck")</f>
        <v>TweetDeck</v>
      </c>
      <c r="L501" s="15">
        <v>119</v>
      </c>
      <c r="M501" s="15">
        <v>2383</v>
      </c>
      <c r="N501" s="15">
        <v>1</v>
      </c>
      <c r="O501" s="9"/>
      <c r="P501" s="10">
        <v>43238.124780092592</v>
      </c>
      <c r="Q501" s="14" t="s">
        <v>2455</v>
      </c>
      <c r="R501" s="14" t="s">
        <v>2456</v>
      </c>
      <c r="S501" s="8"/>
      <c r="T501" s="8"/>
      <c r="U501" s="11" t="str">
        <f>HYPERLINK("https://pbs.twimg.com/profile_images/1347992915327512576/6yeFG7Ij.jpg","View")</f>
        <v>View</v>
      </c>
      <c r="V501" s="8"/>
      <c r="W501" s="8"/>
      <c r="X501" s="8"/>
      <c r="Y501" s="8"/>
      <c r="Z501" s="8"/>
    </row>
    <row r="502" spans="1:26" ht="13.2">
      <c r="A502" s="13">
        <v>44250.68204861111</v>
      </c>
      <c r="B502" s="6" t="str">
        <f>HYPERLINK("https://twitter.com/JsPadoan","@JsPadoan")</f>
        <v>@JsPadoan</v>
      </c>
      <c r="C502" s="14" t="s">
        <v>2457</v>
      </c>
      <c r="D502" s="14" t="s">
        <v>2458</v>
      </c>
      <c r="E502" s="6" t="str">
        <f>HYPERLINK("https://twitter.com/JsPadoan/status/1364234096621289479","1364234096621289479")</f>
        <v>1364234096621289479</v>
      </c>
      <c r="F502" s="14" t="s">
        <v>2459</v>
      </c>
      <c r="G502" s="8"/>
      <c r="H502" s="8"/>
      <c r="I502" s="14">
        <v>0</v>
      </c>
      <c r="J502" s="14">
        <v>0</v>
      </c>
      <c r="K502" s="6" t="str">
        <f>HYPERLINK("http://twinybots.com","TwinyBots")</f>
        <v>TwinyBots</v>
      </c>
      <c r="L502" s="15">
        <v>3038</v>
      </c>
      <c r="M502" s="15">
        <v>1935</v>
      </c>
      <c r="N502" s="15">
        <v>41</v>
      </c>
      <c r="O502" s="9"/>
      <c r="P502" s="10">
        <v>41863.993043981478</v>
      </c>
      <c r="Q502" s="14" t="s">
        <v>2460</v>
      </c>
      <c r="R502" s="14" t="s">
        <v>2461</v>
      </c>
      <c r="S502" s="7" t="s">
        <v>2462</v>
      </c>
      <c r="T502" s="8"/>
      <c r="U502" s="11" t="str">
        <f>HYPERLINK("https://pbs.twimg.com/profile_images/956175041493946368/02C9C1jH.jpg","View")</f>
        <v>View</v>
      </c>
      <c r="V502" s="8"/>
      <c r="W502" s="8"/>
      <c r="X502" s="8"/>
      <c r="Y502" s="8"/>
      <c r="Z502" s="8"/>
    </row>
    <row r="503" spans="1:26" ht="13.2">
      <c r="A503" s="13">
        <v>44250.680752314816</v>
      </c>
      <c r="B503" s="6" t="str">
        <f>HYPERLINK("https://twitter.com/mjcavaretta","@mjcavaretta")</f>
        <v>@mjcavaretta</v>
      </c>
      <c r="C503" s="14" t="s">
        <v>2463</v>
      </c>
      <c r="D503" s="14" t="s">
        <v>2464</v>
      </c>
      <c r="E503" s="6" t="str">
        <f>HYPERLINK("https://twitter.com/mjcavaretta/status/1364233625995259911","1364233625995259911")</f>
        <v>1364233625995259911</v>
      </c>
      <c r="F503" s="7" t="s">
        <v>2465</v>
      </c>
      <c r="G503" s="8"/>
      <c r="H503" s="8"/>
      <c r="I503" s="14">
        <v>4</v>
      </c>
      <c r="J503" s="14">
        <v>1</v>
      </c>
      <c r="K503" s="6" t="str">
        <f>HYPERLINK("https://mobile.twitter.com","Twitter Web App")</f>
        <v>Twitter Web App</v>
      </c>
      <c r="L503" s="15">
        <v>16946</v>
      </c>
      <c r="M503" s="15">
        <v>6570</v>
      </c>
      <c r="N503" s="15">
        <v>1469</v>
      </c>
      <c r="O503" s="9"/>
      <c r="P503" s="10">
        <v>39941.666678240741</v>
      </c>
      <c r="Q503" s="14" t="s">
        <v>2466</v>
      </c>
      <c r="R503" s="14" t="s">
        <v>2467</v>
      </c>
      <c r="S503" s="7" t="s">
        <v>2468</v>
      </c>
      <c r="T503" s="8"/>
      <c r="U503" s="11" t="str">
        <f>HYPERLINK("https://pbs.twimg.com/profile_images/3641511865/06a74914910ecfbcf220979136ba34f8.jpeg","View")</f>
        <v>View</v>
      </c>
      <c r="V503" s="8"/>
      <c r="W503" s="8"/>
      <c r="X503" s="8"/>
      <c r="Y503" s="8"/>
      <c r="Z503" s="8"/>
    </row>
    <row r="504" spans="1:26" ht="13.2">
      <c r="A504" s="13">
        <v>44250.680659722224</v>
      </c>
      <c r="B504" s="6" t="str">
        <f>HYPERLINK("https://twitter.com/andresvilarino","@andresvilarino")</f>
        <v>@andresvilarino</v>
      </c>
      <c r="C504" s="14" t="s">
        <v>72</v>
      </c>
      <c r="D504" s="14" t="s">
        <v>2469</v>
      </c>
      <c r="E504" s="6" t="str">
        <f>HYPERLINK("https://twitter.com/andresvilarino/status/1364233594428915715","1364233594428915715")</f>
        <v>1364233594428915715</v>
      </c>
      <c r="F504" s="7" t="s">
        <v>2470</v>
      </c>
      <c r="G504" s="8"/>
      <c r="H504" s="8"/>
      <c r="I504" s="14">
        <v>3</v>
      </c>
      <c r="J504" s="14">
        <v>1</v>
      </c>
      <c r="K504" s="6" t="str">
        <f>HYPERLINK("https://www.hootsuite.com","Hootsuite Inc.")</f>
        <v>Hootsuite Inc.</v>
      </c>
      <c r="L504" s="15">
        <v>5136</v>
      </c>
      <c r="M504" s="15">
        <v>5043</v>
      </c>
      <c r="N504" s="15">
        <v>79</v>
      </c>
      <c r="O504" s="9"/>
      <c r="P504" s="10">
        <v>40346.43136574074</v>
      </c>
      <c r="Q504" s="14" t="s">
        <v>75</v>
      </c>
      <c r="R504" s="14" t="s">
        <v>76</v>
      </c>
      <c r="S504" s="7" t="s">
        <v>77</v>
      </c>
      <c r="T504" s="8"/>
      <c r="U504" s="11" t="str">
        <f>HYPERLINK("https://pbs.twimg.com/profile_images/1015329397929177088/9OR3sIzf.jpg","View")</f>
        <v>View</v>
      </c>
      <c r="V504" s="8"/>
      <c r="W504" s="8"/>
      <c r="X504" s="8"/>
      <c r="Y504" s="8"/>
      <c r="Z504" s="8"/>
    </row>
    <row r="505" spans="1:26" ht="13.2">
      <c r="A505" s="13">
        <v>44250.679363425923</v>
      </c>
      <c r="B505" s="6" t="str">
        <f>HYPERLINK("https://twitter.com/gp_pulipaka","@gp_pulipaka")</f>
        <v>@gp_pulipaka</v>
      </c>
      <c r="C505" s="14" t="s">
        <v>2230</v>
      </c>
      <c r="D505" s="14" t="s">
        <v>2471</v>
      </c>
      <c r="E505" s="6" t="str">
        <f>HYPERLINK("https://twitter.com/gp_pulipaka/status/1364233121839935488","1364233121839935488")</f>
        <v>1364233121839935488</v>
      </c>
      <c r="F505" s="7" t="s">
        <v>2472</v>
      </c>
      <c r="G505" s="7" t="s">
        <v>2473</v>
      </c>
      <c r="H505" s="8"/>
      <c r="I505" s="14">
        <v>37</v>
      </c>
      <c r="J505" s="14">
        <v>19</v>
      </c>
      <c r="K505" s="6" t="str">
        <f>HYPERLINK("https://buffer.com","Buffer")</f>
        <v>Buffer</v>
      </c>
      <c r="L505" s="15">
        <v>109083</v>
      </c>
      <c r="M505" s="15">
        <v>22723</v>
      </c>
      <c r="N505" s="15">
        <v>3558</v>
      </c>
      <c r="O505" s="9"/>
      <c r="P505" s="10">
        <v>42325.138298611113</v>
      </c>
      <c r="Q505" s="14" t="s">
        <v>2234</v>
      </c>
      <c r="R505" s="14" t="s">
        <v>2235</v>
      </c>
      <c r="S505" s="7" t="s">
        <v>2236</v>
      </c>
      <c r="T505" s="8"/>
      <c r="U505" s="11" t="str">
        <f>HYPERLINK("https://pbs.twimg.com/profile_images/1354974939887988736/P9wzBxgk.jpg","View")</f>
        <v>View</v>
      </c>
      <c r="V505" s="8"/>
      <c r="W505" s="8"/>
      <c r="X505" s="8"/>
      <c r="Y505" s="8"/>
      <c r="Z505" s="8"/>
    </row>
    <row r="506" spans="1:26" ht="13.2">
      <c r="A506" s="13">
        <v>44250.678773148145</v>
      </c>
      <c r="B506" s="6" t="str">
        <f>HYPERLINK("https://twitter.com/m_a_r_t_i_n","@m_a_r_t_i_n")</f>
        <v>@m_a_r_t_i_n</v>
      </c>
      <c r="C506" s="14" t="s">
        <v>2474</v>
      </c>
      <c r="D506" s="14" t="s">
        <v>2475</v>
      </c>
      <c r="E506" s="6" t="str">
        <f>HYPERLINK("https://twitter.com/m_a_r_t_i_n/status/1364232908278489090","1364232908278489090")</f>
        <v>1364232908278489090</v>
      </c>
      <c r="F506" s="14" t="s">
        <v>2476</v>
      </c>
      <c r="G506" s="8"/>
      <c r="H506" s="8"/>
      <c r="I506" s="14">
        <v>3</v>
      </c>
      <c r="J506" s="14">
        <v>5</v>
      </c>
      <c r="K506" s="6" t="str">
        <f>HYPERLINK("http://twitter.com/download/android","Twitter for Android")</f>
        <v>Twitter for Android</v>
      </c>
      <c r="L506" s="15">
        <v>456</v>
      </c>
      <c r="M506" s="15">
        <v>781</v>
      </c>
      <c r="N506" s="15">
        <v>104</v>
      </c>
      <c r="O506" s="9"/>
      <c r="P506" s="10">
        <v>39459.458807870367</v>
      </c>
      <c r="Q506" s="14" t="s">
        <v>2477</v>
      </c>
      <c r="R506" s="14" t="s">
        <v>2478</v>
      </c>
      <c r="S506" s="7" t="s">
        <v>2479</v>
      </c>
      <c r="T506" s="8"/>
      <c r="U506" s="11" t="str">
        <f>HYPERLINK("https://pbs.twimg.com/profile_images/2384033461/vzgbcjmac3dqh5qhvu5b.jpeg","View")</f>
        <v>View</v>
      </c>
      <c r="V506" s="8"/>
      <c r="W506" s="8"/>
      <c r="X506" s="8"/>
      <c r="Y506" s="8"/>
      <c r="Z506" s="8"/>
    </row>
    <row r="507" spans="1:26" ht="13.2">
      <c r="A507" s="13">
        <v>44250.678668981476</v>
      </c>
      <c r="B507" s="6" t="str">
        <f>HYPERLINK("https://twitter.com/_AlexLuciani_","@_AlexLuciani_")</f>
        <v>@_AlexLuciani_</v>
      </c>
      <c r="C507" s="14" t="s">
        <v>2480</v>
      </c>
      <c r="D507" s="14" t="s">
        <v>2481</v>
      </c>
      <c r="E507" s="6" t="str">
        <f>HYPERLINK("https://twitter.com/_AlexLuciani_/status/1364232872828223489","1364232872828223489")</f>
        <v>1364232872828223489</v>
      </c>
      <c r="F507" s="14" t="s">
        <v>2482</v>
      </c>
      <c r="G507" s="8"/>
      <c r="H507" s="8"/>
      <c r="I507" s="14">
        <v>3</v>
      </c>
      <c r="J507" s="14">
        <v>1</v>
      </c>
      <c r="K507" s="6" t="str">
        <f>HYPERLINK("http://twinybots.com","TwinyBots")</f>
        <v>TwinyBots</v>
      </c>
      <c r="L507" s="15">
        <v>362</v>
      </c>
      <c r="M507" s="15">
        <v>290</v>
      </c>
      <c r="N507" s="15">
        <v>4</v>
      </c>
      <c r="O507" s="9"/>
      <c r="P507" s="10">
        <v>40430.911168981482</v>
      </c>
      <c r="Q507" s="14" t="s">
        <v>2483</v>
      </c>
      <c r="R507" s="14" t="s">
        <v>2484</v>
      </c>
      <c r="S507" s="7" t="s">
        <v>2485</v>
      </c>
      <c r="T507" s="8"/>
      <c r="U507" s="11" t="str">
        <f>HYPERLINK("https://pbs.twimg.com/profile_images/1176902203149303810/4WyorLOR.jpg","View")</f>
        <v>View</v>
      </c>
      <c r="V507" s="8"/>
      <c r="W507" s="8"/>
      <c r="X507" s="8"/>
      <c r="Y507" s="8"/>
      <c r="Z507" s="8"/>
    </row>
    <row r="508" spans="1:26" ht="13.2">
      <c r="A508" s="13">
        <v>44250.678645833337</v>
      </c>
      <c r="B508" s="6" t="str">
        <f>HYPERLINK("https://twitter.com/heyco01","@heyco01")</f>
        <v>@heyco01</v>
      </c>
      <c r="C508" s="14" t="s">
        <v>2486</v>
      </c>
      <c r="D508" s="14" t="s">
        <v>2487</v>
      </c>
      <c r="E508" s="6" t="str">
        <f>HYPERLINK("https://twitter.com/heyco01/status/1364232862497730562","1364232862497730562")</f>
        <v>1364232862497730562</v>
      </c>
      <c r="F508" s="14" t="s">
        <v>2488</v>
      </c>
      <c r="G508" s="8"/>
      <c r="H508" s="8"/>
      <c r="I508" s="14">
        <v>4</v>
      </c>
      <c r="J508" s="14">
        <v>3</v>
      </c>
      <c r="K508" s="6" t="str">
        <f>HYPERLINK("https://mobile.twitter.com","Twitter Web App")</f>
        <v>Twitter Web App</v>
      </c>
      <c r="L508" s="15">
        <v>402</v>
      </c>
      <c r="M508" s="15">
        <v>743</v>
      </c>
      <c r="N508" s="15">
        <v>0</v>
      </c>
      <c r="O508" s="9"/>
      <c r="P508" s="10">
        <v>42655.698958333334</v>
      </c>
      <c r="Q508" s="14" t="s">
        <v>1152</v>
      </c>
      <c r="R508" s="14" t="s">
        <v>2489</v>
      </c>
      <c r="S508" s="8"/>
      <c r="T508" s="8"/>
      <c r="U508" s="11" t="str">
        <f>HYPERLINK("https://pbs.twimg.com/profile_images/788367200595939329/fGYkoFDY.jpg","View")</f>
        <v>View</v>
      </c>
      <c r="V508" s="8"/>
      <c r="W508" s="8"/>
      <c r="X508" s="8"/>
      <c r="Y508" s="8"/>
      <c r="Z508" s="8"/>
    </row>
    <row r="509" spans="1:26" ht="13.2">
      <c r="A509" s="13">
        <v>44250.677800925929</v>
      </c>
      <c r="B509" s="6" t="str">
        <f>HYPERLINK("https://twitter.com/JMLMC1","@JMLMC1")</f>
        <v>@JMLMC1</v>
      </c>
      <c r="C509" s="14" t="s">
        <v>2490</v>
      </c>
      <c r="D509" s="14" t="s">
        <v>2491</v>
      </c>
      <c r="E509" s="6" t="str">
        <f>HYPERLINK("https://twitter.com/JMLMC1/status/1364232555701092354","1364232555701092354")</f>
        <v>1364232555701092354</v>
      </c>
      <c r="F509" s="8"/>
      <c r="G509" s="8"/>
      <c r="H509" s="8"/>
      <c r="I509" s="14">
        <v>2</v>
      </c>
      <c r="J509" s="14">
        <v>1</v>
      </c>
      <c r="K509" s="6" t="str">
        <f>HYPERLINK("https://ads-api.twitter.com","Twitter for Advertisers (legacy)")</f>
        <v>Twitter for Advertisers (legacy)</v>
      </c>
      <c r="L509" s="15">
        <v>5</v>
      </c>
      <c r="M509" s="15">
        <v>8</v>
      </c>
      <c r="N509" s="15">
        <v>0</v>
      </c>
      <c r="O509" s="9"/>
      <c r="P509" s="10">
        <v>44119.784259259264</v>
      </c>
      <c r="Q509" s="14" t="s">
        <v>2492</v>
      </c>
      <c r="R509" s="14" t="s">
        <v>2493</v>
      </c>
      <c r="S509" s="7" t="s">
        <v>2494</v>
      </c>
      <c r="T509" s="8"/>
      <c r="U509" s="11" t="str">
        <f>HYPERLINK("https://pbs.twimg.com/profile_images/1316783384530743296/31TsH3RL.jpg","View")</f>
        <v>View</v>
      </c>
      <c r="V509" s="8"/>
      <c r="W509" s="8"/>
      <c r="X509" s="8"/>
      <c r="Y509" s="8"/>
      <c r="Z509" s="8"/>
    </row>
    <row r="510" spans="1:26" ht="13.2">
      <c r="A510" s="13">
        <v>44250.677523148144</v>
      </c>
      <c r="B510" s="6" t="str">
        <f>HYPERLINK("https://twitter.com/MedicaliPhone","@MedicaliPhone")</f>
        <v>@MedicaliPhone</v>
      </c>
      <c r="C510" s="14" t="s">
        <v>269</v>
      </c>
      <c r="D510" s="14" t="s">
        <v>2495</v>
      </c>
      <c r="E510" s="6" t="str">
        <f>HYPERLINK("https://twitter.com/MedicaliPhone/status/1364232456480690180","1364232456480690180")</f>
        <v>1364232456480690180</v>
      </c>
      <c r="F510" s="14" t="s">
        <v>2496</v>
      </c>
      <c r="G510" s="8"/>
      <c r="H510" s="8"/>
      <c r="I510" s="14">
        <v>3</v>
      </c>
      <c r="J510" s="14">
        <v>2</v>
      </c>
      <c r="K510" s="6" t="str">
        <f t="shared" ref="K510:K511" si="80">HYPERLINK("http://twinybots.com","TwinyBots")</f>
        <v>TwinyBots</v>
      </c>
      <c r="L510" s="15">
        <v>18689</v>
      </c>
      <c r="M510" s="15">
        <v>19077</v>
      </c>
      <c r="N510" s="15">
        <v>450</v>
      </c>
      <c r="O510" s="9"/>
      <c r="P510" s="10">
        <v>39978.071932870371</v>
      </c>
      <c r="Q510" s="14" t="s">
        <v>270</v>
      </c>
      <c r="R510" s="14" t="s">
        <v>271</v>
      </c>
      <c r="S510" s="7" t="s">
        <v>272</v>
      </c>
      <c r="T510" s="8"/>
      <c r="U510" s="11" t="str">
        <f>HYPERLINK("https://pbs.twimg.com/profile_images/671869096389021696/Z1Kr3P0K.png","View")</f>
        <v>View</v>
      </c>
      <c r="V510" s="8"/>
      <c r="W510" s="8"/>
      <c r="X510" s="8"/>
      <c r="Y510" s="8"/>
      <c r="Z510" s="8"/>
    </row>
    <row r="511" spans="1:26" ht="13.2">
      <c r="A511" s="13">
        <v>44250.677453703705</v>
      </c>
      <c r="B511" s="6" t="str">
        <f>HYPERLINK("https://twitter.com/aisear_ch","@aisear_ch")</f>
        <v>@aisear_ch</v>
      </c>
      <c r="C511" s="14" t="s">
        <v>739</v>
      </c>
      <c r="D511" s="14" t="s">
        <v>2272</v>
      </c>
      <c r="E511" s="6" t="str">
        <f>HYPERLINK("https://twitter.com/aisear_ch/status/1364232433311301634","1364232433311301634")</f>
        <v>1364232433311301634</v>
      </c>
      <c r="F511" s="14" t="s">
        <v>2273</v>
      </c>
      <c r="G511" s="8"/>
      <c r="H511" s="8"/>
      <c r="I511" s="14">
        <v>3</v>
      </c>
      <c r="J511" s="14">
        <v>1</v>
      </c>
      <c r="K511" s="6" t="str">
        <f t="shared" si="80"/>
        <v>TwinyBots</v>
      </c>
      <c r="L511" s="15">
        <v>200</v>
      </c>
      <c r="M511" s="15">
        <v>27</v>
      </c>
      <c r="N511" s="15">
        <v>6</v>
      </c>
      <c r="O511" s="9"/>
      <c r="P511" s="10">
        <v>43992.386319444442</v>
      </c>
      <c r="Q511" s="8"/>
      <c r="R511" s="14" t="s">
        <v>742</v>
      </c>
      <c r="S511" s="7" t="s">
        <v>743</v>
      </c>
      <c r="T511" s="8"/>
      <c r="U511" s="11" t="str">
        <f>HYPERLINK("https://pbs.twimg.com/profile_images/1271018990178045953/M-vBrs0H.png","View")</f>
        <v>View</v>
      </c>
      <c r="V511" s="8"/>
      <c r="W511" s="8"/>
      <c r="X511" s="8"/>
      <c r="Y511" s="8"/>
      <c r="Z511" s="8"/>
    </row>
    <row r="512" spans="1:26" ht="13.2">
      <c r="A512" s="13">
        <v>44250.677349537036</v>
      </c>
      <c r="B512" s="6" t="str">
        <f>HYPERLINK("https://twitter.com/cwburnstorm","@cwburnstorm")</f>
        <v>@cwburnstorm</v>
      </c>
      <c r="C512" s="14" t="s">
        <v>2497</v>
      </c>
      <c r="D512" s="14" t="s">
        <v>2498</v>
      </c>
      <c r="E512" s="6" t="str">
        <f>HYPERLINK("https://twitter.com/cwburnstorm/status/1364232395067654144","1364232395067654144")</f>
        <v>1364232395067654144</v>
      </c>
      <c r="F512" s="7" t="s">
        <v>2499</v>
      </c>
      <c r="G512" s="7" t="s">
        <v>2500</v>
      </c>
      <c r="H512" s="8"/>
      <c r="I512" s="14">
        <v>2</v>
      </c>
      <c r="J512" s="14">
        <v>2</v>
      </c>
      <c r="K512" s="6" t="str">
        <f>HYPERLINK("https://mobile.twitter.com","Twitter Web App")</f>
        <v>Twitter Web App</v>
      </c>
      <c r="L512" s="15">
        <v>1184</v>
      </c>
      <c r="M512" s="15">
        <v>577</v>
      </c>
      <c r="N512" s="15">
        <v>66</v>
      </c>
      <c r="O512" s="9"/>
      <c r="P512" s="10">
        <v>40590.488310185188</v>
      </c>
      <c r="Q512" s="14" t="s">
        <v>2501</v>
      </c>
      <c r="R512" s="14" t="s">
        <v>2502</v>
      </c>
      <c r="S512" s="7" t="s">
        <v>2503</v>
      </c>
      <c r="T512" s="8"/>
      <c r="U512" s="11" t="str">
        <f>HYPERLINK("https://pbs.twimg.com/profile_images/1246435801459765248/Thkwvtn0.jpg","View")</f>
        <v>View</v>
      </c>
      <c r="V512" s="8"/>
      <c r="W512" s="8"/>
      <c r="X512" s="8"/>
      <c r="Y512" s="8"/>
      <c r="Z512" s="8"/>
    </row>
    <row r="513" spans="1:26" ht="13.2">
      <c r="A513" s="13">
        <v>44250.677175925928</v>
      </c>
      <c r="B513" s="6" t="str">
        <f>HYPERLINK("https://twitter.com/StorageNinja","@StorageNinja")</f>
        <v>@StorageNinja</v>
      </c>
      <c r="C513" s="14" t="s">
        <v>2504</v>
      </c>
      <c r="D513" s="14" t="s">
        <v>1180</v>
      </c>
      <c r="E513" s="6" t="str">
        <f>HYPERLINK("https://twitter.com/StorageNinja/status/1364232329326063618","1364232329326063618")</f>
        <v>1364232329326063618</v>
      </c>
      <c r="F513" s="7" t="s">
        <v>2505</v>
      </c>
      <c r="G513" s="7" t="s">
        <v>2506</v>
      </c>
      <c r="H513" s="8"/>
      <c r="I513" s="14">
        <v>2</v>
      </c>
      <c r="J513" s="14">
        <v>2</v>
      </c>
      <c r="K513" s="6" t="str">
        <f>HYPERLINK("http://dynamicsignal.com/","Dynamic Signal")</f>
        <v>Dynamic Signal</v>
      </c>
      <c r="L513" s="15">
        <v>384</v>
      </c>
      <c r="M513" s="15">
        <v>727</v>
      </c>
      <c r="N513" s="15">
        <v>60</v>
      </c>
      <c r="O513" s="9"/>
      <c r="P513" s="10">
        <v>39668.114537037036</v>
      </c>
      <c r="Q513" s="14" t="s">
        <v>2507</v>
      </c>
      <c r="R513" s="14" t="s">
        <v>2508</v>
      </c>
      <c r="S513" s="8"/>
      <c r="T513" s="8"/>
      <c r="U513" s="11" t="str">
        <f>HYPERLINK("https://pbs.twimg.com/profile_images/903597261/StorageNinja-twitter.png","View")</f>
        <v>View</v>
      </c>
      <c r="V513" s="8"/>
      <c r="W513" s="8"/>
      <c r="X513" s="8"/>
      <c r="Y513" s="8"/>
      <c r="Z513" s="8"/>
    </row>
    <row r="514" spans="1:26" ht="13.2">
      <c r="A514" s="13">
        <v>44250.677141203705</v>
      </c>
      <c r="B514" s="6" t="str">
        <f>HYPERLINK("https://twitter.com/PeerJLife","@PeerJLife")</f>
        <v>@PeerJLife</v>
      </c>
      <c r="C514" s="14" t="s">
        <v>2509</v>
      </c>
      <c r="D514" s="14" t="s">
        <v>2510</v>
      </c>
      <c r="E514" s="6" t="str">
        <f>HYPERLINK("https://twitter.com/PeerJLife/status/1364232316546072579","1364232316546072579")</f>
        <v>1364232316546072579</v>
      </c>
      <c r="F514" s="7" t="s">
        <v>2511</v>
      </c>
      <c r="G514" s="7" t="s">
        <v>2512</v>
      </c>
      <c r="H514" s="8"/>
      <c r="I514" s="14">
        <v>3</v>
      </c>
      <c r="J514" s="14">
        <v>2</v>
      </c>
      <c r="K514" s="6" t="str">
        <f>HYPERLINK("https://www.hootsuite.com","Hootsuite Inc.")</f>
        <v>Hootsuite Inc.</v>
      </c>
      <c r="L514" s="15">
        <v>187</v>
      </c>
      <c r="M514" s="15">
        <v>958</v>
      </c>
      <c r="N514" s="15">
        <v>6</v>
      </c>
      <c r="O514" s="9"/>
      <c r="P514" s="10">
        <v>44204.768321759257</v>
      </c>
      <c r="Q514" s="8"/>
      <c r="R514" s="14" t="s">
        <v>2513</v>
      </c>
      <c r="S514" s="7" t="s">
        <v>2514</v>
      </c>
      <c r="T514" s="8"/>
      <c r="U514" s="11" t="str">
        <f>HYPERLINK("https://pbs.twimg.com/profile_images/1350076635148644354/yYVkZeWK.jpg","View")</f>
        <v>View</v>
      </c>
      <c r="V514" s="8"/>
      <c r="W514" s="8"/>
      <c r="X514" s="8"/>
      <c r="Y514" s="8"/>
      <c r="Z514" s="8"/>
    </row>
    <row r="515" spans="1:26" ht="13.2">
      <c r="A515" s="13">
        <v>44250.677083333328</v>
      </c>
      <c r="B515" s="6" t="str">
        <f>HYPERLINK("https://twitter.com/AujasIRM","@AujasIRM")</f>
        <v>@AujasIRM</v>
      </c>
      <c r="C515" s="14" t="s">
        <v>2515</v>
      </c>
      <c r="D515" s="14" t="s">
        <v>2516</v>
      </c>
      <c r="E515" s="6" t="str">
        <f>HYPERLINK("https://twitter.com/AujasIRM/status/1364232295079698435","1364232295079698435")</f>
        <v>1364232295079698435</v>
      </c>
      <c r="F515" s="7" t="s">
        <v>2517</v>
      </c>
      <c r="G515" s="7" t="s">
        <v>2518</v>
      </c>
      <c r="H515" s="8"/>
      <c r="I515" s="14">
        <v>2</v>
      </c>
      <c r="J515" s="14">
        <v>2</v>
      </c>
      <c r="K515" s="6" t="str">
        <f>HYPERLINK("http://www.hubspot.com/","HubSpot")</f>
        <v>HubSpot</v>
      </c>
      <c r="L515" s="15">
        <v>1210</v>
      </c>
      <c r="M515" s="15">
        <v>4992</v>
      </c>
      <c r="N515" s="15">
        <v>87</v>
      </c>
      <c r="O515" s="9"/>
      <c r="P515" s="10">
        <v>40064.47047453704</v>
      </c>
      <c r="Q515" s="14" t="s">
        <v>138</v>
      </c>
      <c r="R515" s="14" t="s">
        <v>2519</v>
      </c>
      <c r="S515" s="7" t="s">
        <v>2520</v>
      </c>
      <c r="T515" s="8"/>
      <c r="U515" s="11" t="str">
        <f>HYPERLINK("https://pbs.twimg.com/profile_images/1146301249928626176/qqrlB3px.png","View")</f>
        <v>View</v>
      </c>
      <c r="V515" s="8"/>
      <c r="W515" s="8"/>
      <c r="X515" s="8"/>
      <c r="Y515" s="8"/>
      <c r="Z515" s="8"/>
    </row>
    <row r="516" spans="1:26" ht="13.2">
      <c r="A516" s="13">
        <v>44250.676828703705</v>
      </c>
      <c r="B516" s="6" t="str">
        <f>HYPERLINK("https://twitter.com/anujasinha2","@anujasinha2")</f>
        <v>@anujasinha2</v>
      </c>
      <c r="C516" s="14" t="s">
        <v>2521</v>
      </c>
      <c r="D516" s="14" t="s">
        <v>2522</v>
      </c>
      <c r="E516" s="6" t="str">
        <f>HYPERLINK("https://twitter.com/anujasinha2/status/1364232205602459650","1364232205602459650")</f>
        <v>1364232205602459650</v>
      </c>
      <c r="F516" s="8"/>
      <c r="G516" s="7" t="s">
        <v>2523</v>
      </c>
      <c r="H516" s="8"/>
      <c r="I516" s="14">
        <v>4</v>
      </c>
      <c r="J516" s="14">
        <v>7</v>
      </c>
      <c r="K516" s="6" t="str">
        <f>HYPERLINK("http://twitter.com/download/iphone","Twitter for iPhone")</f>
        <v>Twitter for iPhone</v>
      </c>
      <c r="L516" s="15">
        <v>21</v>
      </c>
      <c r="M516" s="15">
        <v>46</v>
      </c>
      <c r="N516" s="15">
        <v>0</v>
      </c>
      <c r="O516" s="9"/>
      <c r="P516" s="10">
        <v>41616.598761574074</v>
      </c>
      <c r="Q516" s="8"/>
      <c r="R516" s="8"/>
      <c r="S516" s="8"/>
      <c r="T516" s="8"/>
      <c r="U516" s="15" t="s">
        <v>1879</v>
      </c>
      <c r="V516" s="8"/>
      <c r="W516" s="8"/>
      <c r="X516" s="8"/>
      <c r="Y516" s="8"/>
      <c r="Z516" s="8"/>
    </row>
    <row r="517" spans="1:26" ht="13.2">
      <c r="A517" s="13">
        <v>44250.676724537036</v>
      </c>
      <c r="B517" s="6" t="str">
        <f>HYPERLINK("https://twitter.com/TripDarlinq","@TripDarlinq")</f>
        <v>@TripDarlinq</v>
      </c>
      <c r="C517" s="14" t="s">
        <v>2524</v>
      </c>
      <c r="D517" s="14" t="s">
        <v>2525</v>
      </c>
      <c r="E517" s="6" t="str">
        <f>HYPERLINK("https://twitter.com/TripDarlinq/status/1364232168071954438","1364232168071954438")</f>
        <v>1364232168071954438</v>
      </c>
      <c r="F517" s="8"/>
      <c r="G517" s="8"/>
      <c r="H517" s="8"/>
      <c r="I517" s="14">
        <v>6</v>
      </c>
      <c r="J517" s="14">
        <v>2</v>
      </c>
      <c r="K517" s="6" t="str">
        <f t="shared" ref="K517:K518" si="81">HYPERLINK("http://twitter.com/download/android","Twitter for Android")</f>
        <v>Twitter for Android</v>
      </c>
      <c r="L517" s="15">
        <v>9317</v>
      </c>
      <c r="M517" s="15">
        <v>3898</v>
      </c>
      <c r="N517" s="15">
        <v>80</v>
      </c>
      <c r="O517" s="9"/>
      <c r="P517" s="10">
        <v>40945.536840277782</v>
      </c>
      <c r="Q517" s="14" t="s">
        <v>2526</v>
      </c>
      <c r="R517" s="14" t="s">
        <v>2527</v>
      </c>
      <c r="S517" s="8"/>
      <c r="T517" s="8"/>
      <c r="U517" s="11" t="str">
        <f>HYPERLINK("https://pbs.twimg.com/profile_images/1252498308968386560/Lq5QphJA.jpg","View")</f>
        <v>View</v>
      </c>
      <c r="V517" s="8"/>
      <c r="W517" s="8"/>
      <c r="X517" s="8"/>
      <c r="Y517" s="8"/>
      <c r="Z517" s="8"/>
    </row>
    <row r="518" spans="1:26" ht="13.2">
      <c r="A518" s="13">
        <v>44250.676620370374</v>
      </c>
      <c r="B518" s="6" t="str">
        <f>HYPERLINK("https://twitter.com/vengerovski","@vengerovski")</f>
        <v>@vengerovski</v>
      </c>
      <c r="C518" s="14" t="s">
        <v>2528</v>
      </c>
      <c r="D518" s="14" t="s">
        <v>2529</v>
      </c>
      <c r="E518" s="6" t="str">
        <f>HYPERLINK("https://twitter.com/vengerovski/status/1364232130381963265","1364232130381963265")</f>
        <v>1364232130381963265</v>
      </c>
      <c r="F518" s="7" t="s">
        <v>2530</v>
      </c>
      <c r="G518" s="8"/>
      <c r="H518" s="8"/>
      <c r="I518" s="14">
        <v>4</v>
      </c>
      <c r="J518" s="14">
        <v>2</v>
      </c>
      <c r="K518" s="6" t="str">
        <f t="shared" si="81"/>
        <v>Twitter for Android</v>
      </c>
      <c r="L518" s="15">
        <v>192</v>
      </c>
      <c r="M518" s="15">
        <v>123</v>
      </c>
      <c r="N518" s="15">
        <v>220</v>
      </c>
      <c r="O518" s="9"/>
      <c r="P518" s="10">
        <v>41041.66170138889</v>
      </c>
      <c r="Q518" s="14" t="s">
        <v>2531</v>
      </c>
      <c r="R518" s="14" t="s">
        <v>2532</v>
      </c>
      <c r="S518" s="7" t="s">
        <v>2533</v>
      </c>
      <c r="T518" s="8"/>
      <c r="U518" s="11" t="str">
        <f>HYPERLINK("https://pbs.twimg.com/profile_images/554134189788762113/LoGry7oN.jpeg","View")</f>
        <v>View</v>
      </c>
      <c r="V518" s="8"/>
      <c r="W518" s="8"/>
      <c r="X518" s="8"/>
      <c r="Y518" s="8"/>
      <c r="Z518" s="8"/>
    </row>
    <row r="519" spans="1:26" ht="13.2">
      <c r="A519" s="13">
        <v>44250.676504629635</v>
      </c>
      <c r="B519" s="6" t="str">
        <f>HYPERLINK("https://twitter.com/BigDataFr_","@BigDataFr_")</f>
        <v>@BigDataFr_</v>
      </c>
      <c r="C519" s="14" t="s">
        <v>2534</v>
      </c>
      <c r="D519" s="14" t="s">
        <v>2535</v>
      </c>
      <c r="E519" s="6" t="str">
        <f>HYPERLINK("https://twitter.com/BigDataFr_/status/1364232088598241290","1364232088598241290")</f>
        <v>1364232088598241290</v>
      </c>
      <c r="F519" s="14" t="s">
        <v>2536</v>
      </c>
      <c r="G519" s="8"/>
      <c r="H519" s="8"/>
      <c r="I519" s="14">
        <v>2</v>
      </c>
      <c r="J519" s="14">
        <v>2</v>
      </c>
      <c r="K519" s="6" t="str">
        <f>HYPERLINK("https://mobile.twitter.com","Twitter Web App")</f>
        <v>Twitter Web App</v>
      </c>
      <c r="L519" s="15">
        <v>3955</v>
      </c>
      <c r="M519" s="15">
        <v>1559</v>
      </c>
      <c r="N519" s="15">
        <v>276</v>
      </c>
      <c r="O519" s="9"/>
      <c r="P519" s="10">
        <v>41684.638692129629</v>
      </c>
      <c r="Q519" s="14" t="s">
        <v>106</v>
      </c>
      <c r="R519" s="14" t="s">
        <v>2537</v>
      </c>
      <c r="S519" s="7" t="s">
        <v>2538</v>
      </c>
      <c r="T519" s="8"/>
      <c r="U519" s="11" t="str">
        <f>HYPERLINK("https://pbs.twimg.com/profile_images/953650301344649217/Mo3JZ22a.jpg","View")</f>
        <v>View</v>
      </c>
      <c r="V519" s="8"/>
      <c r="W519" s="8"/>
      <c r="X519" s="8"/>
      <c r="Y519" s="8"/>
      <c r="Z519" s="8"/>
    </row>
    <row r="520" spans="1:26" ht="13.2">
      <c r="A520" s="13">
        <v>44250.676099537042</v>
      </c>
      <c r="B520" s="6" t="str">
        <f>HYPERLINK("https://twitter.com/Marcos02986036","@Marcos02986036")</f>
        <v>@Marcos02986036</v>
      </c>
      <c r="C520" s="14" t="s">
        <v>2539</v>
      </c>
      <c r="D520" s="14" t="s">
        <v>2540</v>
      </c>
      <c r="E520" s="6" t="str">
        <f>HYPERLINK("https://twitter.com/Marcos02986036/status/1364231941839585282","1364231941839585282")</f>
        <v>1364231941839585282</v>
      </c>
      <c r="F520" s="7" t="s">
        <v>2541</v>
      </c>
      <c r="G520" s="8"/>
      <c r="H520" s="8"/>
      <c r="I520" s="14">
        <v>2</v>
      </c>
      <c r="J520" s="14">
        <v>1</v>
      </c>
      <c r="K520" s="6" t="str">
        <f>HYPERLINK("http://www.influitive.com","Influitive")</f>
        <v>Influitive</v>
      </c>
      <c r="L520" s="15">
        <v>1</v>
      </c>
      <c r="M520" s="15">
        <v>3</v>
      </c>
      <c r="N520" s="15">
        <v>0</v>
      </c>
      <c r="O520" s="9"/>
      <c r="P520" s="10">
        <v>44118.011018518519</v>
      </c>
      <c r="Q520" s="8"/>
      <c r="R520" s="8"/>
      <c r="S520" s="8"/>
      <c r="T520" s="8"/>
      <c r="U520" s="15" t="s">
        <v>1879</v>
      </c>
      <c r="V520" s="8"/>
      <c r="W520" s="8"/>
      <c r="X520" s="8"/>
      <c r="Y520" s="8"/>
      <c r="Z520" s="8"/>
    </row>
    <row r="521" spans="1:26" ht="13.2">
      <c r="A521" s="13">
        <v>44250.676076388889</v>
      </c>
      <c r="B521" s="6" t="str">
        <f>HYPERLINK("https://twitter.com/towards_AI","@towards_AI")</f>
        <v>@towards_AI</v>
      </c>
      <c r="C521" s="14" t="s">
        <v>993</v>
      </c>
      <c r="D521" s="14" t="s">
        <v>2097</v>
      </c>
      <c r="E521" s="6" t="str">
        <f>HYPERLINK("https://twitter.com/towards_AI/status/1364231934084329474","1364231934084329474")</f>
        <v>1364231934084329474</v>
      </c>
      <c r="F521" s="7" t="s">
        <v>2098</v>
      </c>
      <c r="G521" s="8"/>
      <c r="H521" s="8"/>
      <c r="I521" s="14">
        <v>0</v>
      </c>
      <c r="J521" s="14">
        <v>0</v>
      </c>
      <c r="K521" s="6" t="str">
        <f>HYPERLINK("https://ifttt.com","IFTTT")</f>
        <v>IFTTT</v>
      </c>
      <c r="L521" s="15">
        <v>4357</v>
      </c>
      <c r="M521" s="15">
        <v>17</v>
      </c>
      <c r="N521" s="15">
        <v>66</v>
      </c>
      <c r="O521" s="9"/>
      <c r="P521" s="10">
        <v>43565.689467592594</v>
      </c>
      <c r="Q521" s="14" t="s">
        <v>322</v>
      </c>
      <c r="R521" s="14" t="s">
        <v>994</v>
      </c>
      <c r="S521" s="7" t="s">
        <v>995</v>
      </c>
      <c r="T521" s="8"/>
      <c r="U521" s="11" t="str">
        <f>HYPERLINK("https://pbs.twimg.com/profile_images/1289733180468203520/z8oEBpFo.png","View")</f>
        <v>View</v>
      </c>
      <c r="V521" s="8"/>
      <c r="W521" s="8"/>
      <c r="X521" s="8"/>
      <c r="Y521" s="8"/>
      <c r="Z521" s="8"/>
    </row>
    <row r="522" spans="1:26" ht="13.2">
      <c r="A522" s="13">
        <v>44250.67597222222</v>
      </c>
      <c r="B522" s="6" t="str">
        <f>HYPERLINK("https://twitter.com/Stefano_Budoia","@Stefano_Budoia")</f>
        <v>@Stefano_Budoia</v>
      </c>
      <c r="C522" s="14" t="s">
        <v>2542</v>
      </c>
      <c r="D522" s="14" t="s">
        <v>1180</v>
      </c>
      <c r="E522" s="6" t="str">
        <f>HYPERLINK("https://twitter.com/Stefano_Budoia/status/1364231894527696896","1364231894527696896")</f>
        <v>1364231894527696896</v>
      </c>
      <c r="F522" s="7" t="s">
        <v>2543</v>
      </c>
      <c r="G522" s="7" t="s">
        <v>2544</v>
      </c>
      <c r="H522" s="8"/>
      <c r="I522" s="14">
        <v>2</v>
      </c>
      <c r="J522" s="14">
        <v>1</v>
      </c>
      <c r="K522" s="6" t="str">
        <f>HYPERLINK("http://dynamicsignal.com/","Dynamic Signal")</f>
        <v>Dynamic Signal</v>
      </c>
      <c r="L522" s="15">
        <v>380</v>
      </c>
      <c r="M522" s="15">
        <v>1212</v>
      </c>
      <c r="N522" s="15">
        <v>18</v>
      </c>
      <c r="O522" s="9"/>
      <c r="P522" s="10">
        <v>39738.494583333333</v>
      </c>
      <c r="Q522" s="14" t="s">
        <v>2545</v>
      </c>
      <c r="R522" s="14" t="s">
        <v>2546</v>
      </c>
      <c r="S522" s="8"/>
      <c r="T522" s="8"/>
      <c r="U522" s="11" t="str">
        <f>HYPERLINK("https://pbs.twimg.com/profile_images/1118793382468423680/5ZE1lhuB.jpg","View")</f>
        <v>View</v>
      </c>
      <c r="V522" s="8"/>
      <c r="W522" s="8"/>
      <c r="X522" s="8"/>
      <c r="Y522" s="8"/>
      <c r="Z522" s="8"/>
    </row>
    <row r="523" spans="1:26" ht="13.2">
      <c r="A523" s="13">
        <v>44250.67596064815</v>
      </c>
      <c r="B523" s="6" t="str">
        <f>HYPERLINK("https://twitter.com/towards_AI","@towards_AI")</f>
        <v>@towards_AI</v>
      </c>
      <c r="C523" s="14" t="s">
        <v>993</v>
      </c>
      <c r="D523" s="14" t="s">
        <v>2105</v>
      </c>
      <c r="E523" s="6" t="str">
        <f>HYPERLINK("https://twitter.com/towards_AI/status/1364231891830857728","1364231891830857728")</f>
        <v>1364231891830857728</v>
      </c>
      <c r="F523" s="7" t="s">
        <v>2106</v>
      </c>
      <c r="G523" s="8"/>
      <c r="H523" s="8"/>
      <c r="I523" s="14">
        <v>2</v>
      </c>
      <c r="J523" s="14">
        <v>3</v>
      </c>
      <c r="K523" s="6" t="str">
        <f>HYPERLINK("https://ifttt.com","IFTTT")</f>
        <v>IFTTT</v>
      </c>
      <c r="L523" s="15">
        <v>4357</v>
      </c>
      <c r="M523" s="15">
        <v>17</v>
      </c>
      <c r="N523" s="15">
        <v>66</v>
      </c>
      <c r="O523" s="9"/>
      <c r="P523" s="10">
        <v>43565.689467592594</v>
      </c>
      <c r="Q523" s="14" t="s">
        <v>322</v>
      </c>
      <c r="R523" s="14" t="s">
        <v>994</v>
      </c>
      <c r="S523" s="7" t="s">
        <v>995</v>
      </c>
      <c r="T523" s="8"/>
      <c r="U523" s="11" t="str">
        <f>HYPERLINK("https://pbs.twimg.com/profile_images/1289733180468203520/z8oEBpFo.png","View")</f>
        <v>View</v>
      </c>
      <c r="V523" s="8"/>
      <c r="W523" s="8"/>
      <c r="X523" s="8"/>
      <c r="Y523" s="8"/>
      <c r="Z523" s="8"/>
    </row>
    <row r="524" spans="1:26" ht="13.2">
      <c r="A524" s="13">
        <v>44250.675381944442</v>
      </c>
      <c r="B524" s="6" t="str">
        <f>HYPERLINK("https://twitter.com/milocamj","@milocamj")</f>
        <v>@milocamj</v>
      </c>
      <c r="C524" s="14" t="s">
        <v>1805</v>
      </c>
      <c r="D524" s="14" t="s">
        <v>2547</v>
      </c>
      <c r="E524" s="6" t="str">
        <f>HYPERLINK("https://twitter.com/milocamj/status/1364231681071177731","1364231681071177731")</f>
        <v>1364231681071177731</v>
      </c>
      <c r="F524" s="7" t="s">
        <v>2548</v>
      </c>
      <c r="G524" s="7" t="s">
        <v>2549</v>
      </c>
      <c r="H524" s="8"/>
      <c r="I524" s="14">
        <v>3</v>
      </c>
      <c r="J524" s="14">
        <v>0</v>
      </c>
      <c r="K524" s="6" t="str">
        <f>HYPERLINK("https://dlvrit.com/","dlvr.it")</f>
        <v>dlvr.it</v>
      </c>
      <c r="L524" s="15">
        <v>2595</v>
      </c>
      <c r="M524" s="15">
        <v>48</v>
      </c>
      <c r="N524" s="15">
        <v>1282</v>
      </c>
      <c r="O524" s="9"/>
      <c r="P524" s="10">
        <v>39904.699837962966</v>
      </c>
      <c r="Q524" s="14" t="s">
        <v>1809</v>
      </c>
      <c r="R524" s="14" t="s">
        <v>1810</v>
      </c>
      <c r="S524" s="7" t="s">
        <v>1811</v>
      </c>
      <c r="T524" s="8"/>
      <c r="U524" s="11" t="str">
        <f>HYPERLINK("https://pbs.twimg.com/profile_images/1108578778018709505/56I0aOhL.jpg","View")</f>
        <v>View</v>
      </c>
      <c r="V524" s="8"/>
      <c r="W524" s="8"/>
      <c r="X524" s="8"/>
      <c r="Y524" s="8"/>
      <c r="Z524" s="8"/>
    </row>
    <row r="525" spans="1:26" ht="13.2">
      <c r="A525" s="13">
        <v>44250.675173611111</v>
      </c>
      <c r="B525" s="6" t="str">
        <f>HYPERLINK("https://twitter.com/corizance","@corizance")</f>
        <v>@corizance</v>
      </c>
      <c r="C525" s="14" t="s">
        <v>2550</v>
      </c>
      <c r="D525" s="14" t="s">
        <v>740</v>
      </c>
      <c r="E525" s="6" t="str">
        <f>HYPERLINK("https://twitter.com/corizance/status/1364231604906901507","1364231604906901507")</f>
        <v>1364231604906901507</v>
      </c>
      <c r="F525" s="14" t="s">
        <v>741</v>
      </c>
      <c r="G525" s="8"/>
      <c r="H525" s="8"/>
      <c r="I525" s="14">
        <v>2</v>
      </c>
      <c r="J525" s="14">
        <v>0</v>
      </c>
      <c r="K525" s="6" t="str">
        <f>HYPERLINK("http://twinybots.com","TwinyBots")</f>
        <v>TwinyBots</v>
      </c>
      <c r="L525" s="15">
        <v>488</v>
      </c>
      <c r="M525" s="15">
        <v>434</v>
      </c>
      <c r="N525" s="15">
        <v>13</v>
      </c>
      <c r="O525" s="9"/>
      <c r="P525" s="10">
        <v>43789.49145833333</v>
      </c>
      <c r="Q525" s="14" t="s">
        <v>2551</v>
      </c>
      <c r="R525" s="14" t="s">
        <v>2552</v>
      </c>
      <c r="S525" s="7" t="s">
        <v>2553</v>
      </c>
      <c r="T525" s="8"/>
      <c r="U525" s="11" t="str">
        <f>HYPERLINK("https://pbs.twimg.com/profile_images/1223176339697565697/q38i7r9K.jpg","View")</f>
        <v>View</v>
      </c>
      <c r="V525" s="8"/>
      <c r="W525" s="8"/>
      <c r="X525" s="8"/>
      <c r="Y525" s="8"/>
      <c r="Z525" s="8"/>
    </row>
    <row r="526" spans="1:26" ht="13.2">
      <c r="A526" s="13">
        <v>44250.675162037034</v>
      </c>
      <c r="B526" s="6" t="str">
        <f>HYPERLINK("https://twitter.com/AstraeaInc","@AstraeaInc")</f>
        <v>@AstraeaInc</v>
      </c>
      <c r="C526" s="14" t="s">
        <v>2554</v>
      </c>
      <c r="D526" s="14" t="s">
        <v>2555</v>
      </c>
      <c r="E526" s="6" t="str">
        <f>HYPERLINK("https://twitter.com/AstraeaInc/status/1364231602688192517","1364231602688192517")</f>
        <v>1364231602688192517</v>
      </c>
      <c r="F526" s="8"/>
      <c r="G526" s="7" t="s">
        <v>2556</v>
      </c>
      <c r="H526" s="8"/>
      <c r="I526" s="14">
        <v>3</v>
      </c>
      <c r="J526" s="14">
        <v>1</v>
      </c>
      <c r="K526" s="6" t="str">
        <f t="shared" ref="K526:K527" si="82">HYPERLINK("https://mobile.twitter.com","Twitter Web App")</f>
        <v>Twitter Web App</v>
      </c>
      <c r="L526" s="15">
        <v>1765</v>
      </c>
      <c r="M526" s="15">
        <v>258</v>
      </c>
      <c r="N526" s="15">
        <v>19</v>
      </c>
      <c r="O526" s="9"/>
      <c r="P526" s="10">
        <v>43053.826620370368</v>
      </c>
      <c r="Q526" s="14" t="s">
        <v>2557</v>
      </c>
      <c r="R526" s="14" t="s">
        <v>2558</v>
      </c>
      <c r="S526" s="7" t="s">
        <v>2559</v>
      </c>
      <c r="T526" s="8"/>
      <c r="U526" s="11" t="str">
        <f>HYPERLINK("https://pbs.twimg.com/profile_images/930509293891346432/N7bcyHdg.jpg","View")</f>
        <v>View</v>
      </c>
      <c r="V526" s="8"/>
      <c r="W526" s="8"/>
      <c r="X526" s="8"/>
      <c r="Y526" s="8"/>
      <c r="Z526" s="8"/>
    </row>
    <row r="527" spans="1:26" ht="13.2">
      <c r="A527" s="13">
        <v>44250.675127314811</v>
      </c>
      <c r="B527" s="6" t="str">
        <f>HYPERLINK("https://twitter.com/wjb_mattingly","@wjb_mattingly")</f>
        <v>@wjb_mattingly</v>
      </c>
      <c r="C527" s="14" t="s">
        <v>2560</v>
      </c>
      <c r="D527" s="14" t="s">
        <v>2561</v>
      </c>
      <c r="E527" s="6" t="str">
        <f>HYPERLINK("https://twitter.com/wjb_mattingly/status/1364231587861323784","1364231587861323784")</f>
        <v>1364231587861323784</v>
      </c>
      <c r="F527" s="14" t="s">
        <v>2562</v>
      </c>
      <c r="G527" s="8"/>
      <c r="H527" s="8"/>
      <c r="I527" s="14">
        <v>3</v>
      </c>
      <c r="J527" s="14">
        <v>8</v>
      </c>
      <c r="K527" s="6" t="str">
        <f t="shared" si="82"/>
        <v>Twitter Web App</v>
      </c>
      <c r="L527" s="15">
        <v>1024</v>
      </c>
      <c r="M527" s="15">
        <v>3550</v>
      </c>
      <c r="N527" s="15">
        <v>18</v>
      </c>
      <c r="O527" s="9"/>
      <c r="P527" s="10">
        <v>43956.838553240741</v>
      </c>
      <c r="Q527" s="8"/>
      <c r="R527" s="14" t="s">
        <v>2563</v>
      </c>
      <c r="S527" s="7" t="s">
        <v>2564</v>
      </c>
      <c r="T527" s="8"/>
      <c r="U527" s="11" t="str">
        <f>HYPERLINK("https://pbs.twimg.com/profile_images/1257735005624729602/PkxjtGVK.jpg","View")</f>
        <v>View</v>
      </c>
      <c r="V527" s="8"/>
      <c r="W527" s="8"/>
      <c r="X527" s="8"/>
      <c r="Y527" s="8"/>
      <c r="Z527" s="8"/>
    </row>
    <row r="528" spans="1:26" ht="13.2">
      <c r="A528" s="13">
        <v>44250.675115740742</v>
      </c>
      <c r="B528" s="6" t="str">
        <f>HYPERLINK("https://twitter.com/gp_pulipaka","@gp_pulipaka")</f>
        <v>@gp_pulipaka</v>
      </c>
      <c r="C528" s="14" t="s">
        <v>2230</v>
      </c>
      <c r="D528" s="14" t="s">
        <v>2565</v>
      </c>
      <c r="E528" s="6" t="str">
        <f>HYPERLINK("https://twitter.com/gp_pulipaka/status/1364231585969676299","1364231585969676299")</f>
        <v>1364231585969676299</v>
      </c>
      <c r="F528" s="7" t="s">
        <v>2566</v>
      </c>
      <c r="G528" s="7" t="s">
        <v>2567</v>
      </c>
      <c r="H528" s="8"/>
      <c r="I528" s="14">
        <v>46</v>
      </c>
      <c r="J528" s="14">
        <v>27</v>
      </c>
      <c r="K528" s="6" t="str">
        <f>HYPERLINK("https://buffer.com","Buffer")</f>
        <v>Buffer</v>
      </c>
      <c r="L528" s="15">
        <v>109083</v>
      </c>
      <c r="M528" s="15">
        <v>22723</v>
      </c>
      <c r="N528" s="15">
        <v>3558</v>
      </c>
      <c r="O528" s="9"/>
      <c r="P528" s="10">
        <v>42325.138298611113</v>
      </c>
      <c r="Q528" s="14" t="s">
        <v>2234</v>
      </c>
      <c r="R528" s="14" t="s">
        <v>2235</v>
      </c>
      <c r="S528" s="7" t="s">
        <v>2236</v>
      </c>
      <c r="T528" s="8"/>
      <c r="U528" s="11" t="str">
        <f>HYPERLINK("https://pbs.twimg.com/profile_images/1354974939887988736/P9wzBxgk.jpg","View")</f>
        <v>View</v>
      </c>
      <c r="V528" s="8"/>
      <c r="W528" s="8"/>
      <c r="X528" s="8"/>
      <c r="Y528" s="8"/>
      <c r="Z528" s="8"/>
    </row>
    <row r="529" spans="1:26" ht="13.2">
      <c r="A529" s="13">
        <v>44250.675081018519</v>
      </c>
      <c r="B529" s="6" t="str">
        <f>HYPERLINK("https://twitter.com/Experian_B2B","@Experian_B2B")</f>
        <v>@Experian_B2B</v>
      </c>
      <c r="C529" s="14" t="s">
        <v>2568</v>
      </c>
      <c r="D529" s="14" t="s">
        <v>2569</v>
      </c>
      <c r="E529" s="6" t="str">
        <f>HYPERLINK("https://twitter.com/Experian_B2B/status/1364231573583908865","1364231573583908865")</f>
        <v>1364231573583908865</v>
      </c>
      <c r="F529" s="7" t="s">
        <v>2570</v>
      </c>
      <c r="G529" s="7" t="s">
        <v>2571</v>
      </c>
      <c r="H529" s="8"/>
      <c r="I529" s="14">
        <v>3</v>
      </c>
      <c r="J529" s="14">
        <v>0</v>
      </c>
      <c r="K529" s="6" t="str">
        <f>HYPERLINK("https://app.agorapulse.com","AgoraPulse Manager")</f>
        <v>AgoraPulse Manager</v>
      </c>
      <c r="L529" s="15">
        <v>2627</v>
      </c>
      <c r="M529" s="15">
        <v>1603</v>
      </c>
      <c r="N529" s="15">
        <v>147</v>
      </c>
      <c r="O529" s="9"/>
      <c r="P529" s="10">
        <v>40437.042951388888</v>
      </c>
      <c r="Q529" s="14" t="s">
        <v>2572</v>
      </c>
      <c r="R529" s="14" t="s">
        <v>2573</v>
      </c>
      <c r="S529" s="7" t="s">
        <v>2574</v>
      </c>
      <c r="T529" s="8"/>
      <c r="U529" s="11" t="str">
        <f>HYPERLINK("https://pbs.twimg.com/profile_images/1281010683673407489/84sS4jHF.jpg","View")</f>
        <v>View</v>
      </c>
      <c r="V529" s="8"/>
      <c r="W529" s="8"/>
      <c r="X529" s="8"/>
      <c r="Y529" s="8"/>
      <c r="Z529" s="8"/>
    </row>
    <row r="530" spans="1:26" ht="13.2">
      <c r="A530" s="13">
        <v>44250.674849537041</v>
      </c>
      <c r="B530" s="6" t="str">
        <f>HYPERLINK("https://twitter.com/Mlearning_ai","@Mlearning_ai")</f>
        <v>@Mlearning_ai</v>
      </c>
      <c r="C530" s="14" t="s">
        <v>2336</v>
      </c>
      <c r="D530" s="14" t="s">
        <v>2575</v>
      </c>
      <c r="E530" s="6" t="str">
        <f>HYPERLINK("https://twitter.com/Mlearning_ai/status/1364231487076392961","1364231487076392961")</f>
        <v>1364231487076392961</v>
      </c>
      <c r="F530" s="7" t="s">
        <v>2576</v>
      </c>
      <c r="G530" s="8"/>
      <c r="H530" s="8"/>
      <c r="I530" s="14">
        <v>7</v>
      </c>
      <c r="J530" s="14">
        <v>7</v>
      </c>
      <c r="K530" s="6" t="str">
        <f t="shared" ref="K530:K535" si="83">HYPERLINK("https://mobile.twitter.com","Twitter Web App")</f>
        <v>Twitter Web App</v>
      </c>
      <c r="L530" s="15">
        <v>4161</v>
      </c>
      <c r="M530" s="15">
        <v>201</v>
      </c>
      <c r="N530" s="15">
        <v>148</v>
      </c>
      <c r="O530" s="9"/>
      <c r="P530" s="10">
        <v>41120.458391203705</v>
      </c>
      <c r="Q530" s="8"/>
      <c r="R530" s="14" t="s">
        <v>2339</v>
      </c>
      <c r="S530" s="7" t="s">
        <v>2340</v>
      </c>
      <c r="T530" s="8"/>
      <c r="U530" s="11" t="str">
        <f>HYPERLINK("https://pbs.twimg.com/profile_images/1198670629433724928/V-cPfdPX.jpg","View")</f>
        <v>View</v>
      </c>
      <c r="V530" s="8"/>
      <c r="W530" s="8"/>
      <c r="X530" s="8"/>
      <c r="Y530" s="8"/>
      <c r="Z530" s="8"/>
    </row>
    <row r="531" spans="1:26" ht="13.2">
      <c r="A531" s="13">
        <v>44250.674293981487</v>
      </c>
      <c r="B531" s="6" t="str">
        <f>HYPERLINK("https://twitter.com/asuun_info","@asuun_info")</f>
        <v>@asuun_info</v>
      </c>
      <c r="C531" s="14" t="s">
        <v>2577</v>
      </c>
      <c r="D531" s="14" t="s">
        <v>2578</v>
      </c>
      <c r="E531" s="6" t="str">
        <f>HYPERLINK("https://twitter.com/asuun_info/status/1364231284667547651","1364231284667547651")</f>
        <v>1364231284667547651</v>
      </c>
      <c r="F531" s="7" t="s">
        <v>2579</v>
      </c>
      <c r="G531" s="8"/>
      <c r="H531" s="8"/>
      <c r="I531" s="14">
        <v>2</v>
      </c>
      <c r="J531" s="14">
        <v>0</v>
      </c>
      <c r="K531" s="6" t="str">
        <f t="shared" si="83"/>
        <v>Twitter Web App</v>
      </c>
      <c r="L531" s="15">
        <v>51</v>
      </c>
      <c r="M531" s="15">
        <v>32</v>
      </c>
      <c r="N531" s="15">
        <v>4</v>
      </c>
      <c r="O531" s="9"/>
      <c r="P531" s="10">
        <v>42117.110046296293</v>
      </c>
      <c r="Q531" s="14" t="s">
        <v>2580</v>
      </c>
      <c r="R531" s="14" t="s">
        <v>2581</v>
      </c>
      <c r="S531" s="7" t="s">
        <v>2582</v>
      </c>
      <c r="T531" s="8"/>
      <c r="U531" s="11" t="str">
        <f>HYPERLINK("https://pbs.twimg.com/profile_images/591043406685540352/Da_22G8h.jpg","View")</f>
        <v>View</v>
      </c>
      <c r="V531" s="8"/>
      <c r="W531" s="8"/>
      <c r="X531" s="8"/>
      <c r="Y531" s="8"/>
      <c r="Z531" s="8"/>
    </row>
    <row r="532" spans="1:26" ht="13.2">
      <c r="A532" s="13">
        <v>44250.673530092594</v>
      </c>
      <c r="B532" s="6" t="str">
        <f>HYPERLINK("https://twitter.com/LAWarrenburg","@LAWarrenburg")</f>
        <v>@LAWarrenburg</v>
      </c>
      <c r="C532" s="14" t="s">
        <v>2583</v>
      </c>
      <c r="D532" s="14" t="s">
        <v>2584</v>
      </c>
      <c r="E532" s="6" t="str">
        <f>HYPERLINK("https://twitter.com/LAWarrenburg/status/1364231009768734722","1364231009768734722")</f>
        <v>1364231009768734722</v>
      </c>
      <c r="F532" s="7" t="s">
        <v>2585</v>
      </c>
      <c r="G532" s="8"/>
      <c r="H532" s="8"/>
      <c r="I532" s="14">
        <v>4</v>
      </c>
      <c r="J532" s="14">
        <v>3</v>
      </c>
      <c r="K532" s="6" t="str">
        <f t="shared" si="83"/>
        <v>Twitter Web App</v>
      </c>
      <c r="L532" s="15">
        <v>640</v>
      </c>
      <c r="M532" s="15">
        <v>537</v>
      </c>
      <c r="N532" s="15">
        <v>7</v>
      </c>
      <c r="O532" s="9"/>
      <c r="P532" s="10">
        <v>40972.024953703702</v>
      </c>
      <c r="Q532" s="14" t="s">
        <v>221</v>
      </c>
      <c r="R532" s="14" t="s">
        <v>2586</v>
      </c>
      <c r="S532" s="7" t="s">
        <v>2587</v>
      </c>
      <c r="T532" s="8"/>
      <c r="U532" s="11" t="str">
        <f>HYPERLINK("https://pbs.twimg.com/profile_images/1008866884706586624/hzRi06Tp.jpg","View")</f>
        <v>View</v>
      </c>
      <c r="V532" s="8"/>
      <c r="W532" s="8"/>
      <c r="X532" s="8"/>
      <c r="Y532" s="8"/>
      <c r="Z532" s="8"/>
    </row>
    <row r="533" spans="1:26" ht="13.2">
      <c r="A533" s="13">
        <v>44250.67287037037</v>
      </c>
      <c r="B533" s="6" t="str">
        <f>HYPERLINK("https://twitter.com/Call_Me_Kush_","@Call_Me_Kush_")</f>
        <v>@Call_Me_Kush_</v>
      </c>
      <c r="C533" s="14" t="s">
        <v>2588</v>
      </c>
      <c r="D533" s="14" t="s">
        <v>2589</v>
      </c>
      <c r="E533" s="6" t="str">
        <f>HYPERLINK("https://twitter.com/Call_Me_Kush_/status/1364230771519541251","1364230771519541251")</f>
        <v>1364230771519541251</v>
      </c>
      <c r="F533" s="8"/>
      <c r="G533" s="8"/>
      <c r="H533" s="8"/>
      <c r="I533" s="14">
        <v>3</v>
      </c>
      <c r="J533" s="14">
        <v>3</v>
      </c>
      <c r="K533" s="6" t="str">
        <f t="shared" si="83"/>
        <v>Twitter Web App</v>
      </c>
      <c r="L533" s="15">
        <v>1667</v>
      </c>
      <c r="M533" s="15">
        <v>1395</v>
      </c>
      <c r="N533" s="15">
        <v>1</v>
      </c>
      <c r="O533" s="9"/>
      <c r="P533" s="10">
        <v>43511.20784722222</v>
      </c>
      <c r="Q533" s="8"/>
      <c r="R533" s="14" t="s">
        <v>2590</v>
      </c>
      <c r="S533" s="8"/>
      <c r="T533" s="8"/>
      <c r="U533" s="11" t="str">
        <f>HYPERLINK("https://pbs.twimg.com/profile_images/1363412091546136579/7TlIx2C4.jpg","View")</f>
        <v>View</v>
      </c>
      <c r="V533" s="8"/>
      <c r="W533" s="8"/>
      <c r="X533" s="8"/>
      <c r="Y533" s="8"/>
      <c r="Z533" s="8"/>
    </row>
    <row r="534" spans="1:26" ht="13.2">
      <c r="A534" s="13">
        <v>44250.672847222224</v>
      </c>
      <c r="B534" s="6" t="str">
        <f>HYPERLINK("https://twitter.com/GrokStream","@GrokStream")</f>
        <v>@GrokStream</v>
      </c>
      <c r="C534" s="14" t="s">
        <v>2591</v>
      </c>
      <c r="D534" s="14" t="s">
        <v>2592</v>
      </c>
      <c r="E534" s="6" t="str">
        <f>HYPERLINK("https://twitter.com/GrokStream/status/1364230762443202560","1364230762443202560")</f>
        <v>1364230762443202560</v>
      </c>
      <c r="F534" s="7" t="s">
        <v>2593</v>
      </c>
      <c r="G534" s="7" t="s">
        <v>2594</v>
      </c>
      <c r="H534" s="8"/>
      <c r="I534" s="14">
        <v>2</v>
      </c>
      <c r="J534" s="14">
        <v>2</v>
      </c>
      <c r="K534" s="6" t="str">
        <f t="shared" si="83"/>
        <v>Twitter Web App</v>
      </c>
      <c r="L534" s="15">
        <v>556</v>
      </c>
      <c r="M534" s="15">
        <v>1092</v>
      </c>
      <c r="N534" s="15">
        <v>87</v>
      </c>
      <c r="O534" s="9"/>
      <c r="P534" s="10">
        <v>41417.963495370372</v>
      </c>
      <c r="Q534" s="14" t="s">
        <v>56</v>
      </c>
      <c r="R534" s="14" t="s">
        <v>2595</v>
      </c>
      <c r="S534" s="7" t="s">
        <v>2596</v>
      </c>
      <c r="T534" s="8"/>
      <c r="U534" s="11" t="str">
        <f>HYPERLINK("https://pbs.twimg.com/profile_images/1338527130251104262/28GIGXM6.jpg","View")</f>
        <v>View</v>
      </c>
      <c r="V534" s="8"/>
      <c r="W534" s="8"/>
      <c r="X534" s="8"/>
      <c r="Y534" s="8"/>
      <c r="Z534" s="8"/>
    </row>
    <row r="535" spans="1:26" ht="13.2">
      <c r="A535" s="13">
        <v>44250.672824074078</v>
      </c>
      <c r="B535" s="6" t="str">
        <f>HYPERLINK("https://twitter.com/ppxasjsm","@ppxasjsm")</f>
        <v>@ppxasjsm</v>
      </c>
      <c r="C535" s="14" t="s">
        <v>2597</v>
      </c>
      <c r="D535" s="14" t="s">
        <v>2598</v>
      </c>
      <c r="E535" s="6" t="str">
        <f>HYPERLINK("https://twitter.com/ppxasjsm/status/1364230753656176642","1364230753656176642")</f>
        <v>1364230753656176642</v>
      </c>
      <c r="F535" s="8"/>
      <c r="G535" s="8"/>
      <c r="H535" s="8"/>
      <c r="I535" s="14">
        <v>3</v>
      </c>
      <c r="J535" s="14">
        <v>4</v>
      </c>
      <c r="K535" s="6" t="str">
        <f t="shared" si="83"/>
        <v>Twitter Web App</v>
      </c>
      <c r="L535" s="15">
        <v>937</v>
      </c>
      <c r="M535" s="15">
        <v>651</v>
      </c>
      <c r="N535" s="15">
        <v>9</v>
      </c>
      <c r="O535" s="9"/>
      <c r="P535" s="10">
        <v>42439.922777777778</v>
      </c>
      <c r="Q535" s="14" t="s">
        <v>2599</v>
      </c>
      <c r="R535" s="14" t="s">
        <v>2600</v>
      </c>
      <c r="S535" s="7" t="s">
        <v>2601</v>
      </c>
      <c r="T535" s="8"/>
      <c r="U535" s="11" t="str">
        <f>HYPERLINK("https://pbs.twimg.com/profile_images/1339470353219919879/1ty3L4DF.jpg","View")</f>
        <v>View</v>
      </c>
      <c r="V535" s="8"/>
      <c r="W535" s="8"/>
      <c r="X535" s="8"/>
      <c r="Y535" s="8"/>
      <c r="Z535" s="8"/>
    </row>
    <row r="536" spans="1:26" ht="13.2">
      <c r="A536" s="13">
        <v>44250.67255787037</v>
      </c>
      <c r="B536" s="6" t="str">
        <f>HYPERLINK("https://twitter.com/guidaautonoma","@guidaautonoma")</f>
        <v>@guidaautonoma</v>
      </c>
      <c r="C536" s="14" t="s">
        <v>2203</v>
      </c>
      <c r="D536" s="14" t="s">
        <v>2602</v>
      </c>
      <c r="E536" s="6" t="str">
        <f>HYPERLINK("https://twitter.com/guidaautonoma/status/1364230656948068354","1364230656948068354")</f>
        <v>1364230656948068354</v>
      </c>
      <c r="F536" s="7" t="s">
        <v>2603</v>
      </c>
      <c r="G536" s="7" t="s">
        <v>2604</v>
      </c>
      <c r="H536" s="8"/>
      <c r="I536" s="14">
        <v>8</v>
      </c>
      <c r="J536" s="14">
        <v>5</v>
      </c>
      <c r="K536" s="6" t="str">
        <f>HYPERLINK("http://twitter.com/download/android","Twitter for Android")</f>
        <v>Twitter for Android</v>
      </c>
      <c r="L536" s="15">
        <v>7074</v>
      </c>
      <c r="M536" s="15">
        <v>6991</v>
      </c>
      <c r="N536" s="15">
        <v>411</v>
      </c>
      <c r="O536" s="9"/>
      <c r="P536" s="10">
        <v>42496.270833333328</v>
      </c>
      <c r="Q536" s="14" t="s">
        <v>2207</v>
      </c>
      <c r="R536" s="14" t="s">
        <v>2208</v>
      </c>
      <c r="S536" s="7" t="s">
        <v>2209</v>
      </c>
      <c r="T536" s="8"/>
      <c r="U536" s="11" t="str">
        <f>HYPERLINK("https://pbs.twimg.com/profile_images/728675456971583488/AVbaFxlK.jpg","View")</f>
        <v>View</v>
      </c>
      <c r="V536" s="8"/>
      <c r="W536" s="8"/>
      <c r="X536" s="8"/>
      <c r="Y536" s="8"/>
      <c r="Z536" s="8"/>
    </row>
    <row r="537" spans="1:26" ht="13.2">
      <c r="A537" s="13">
        <v>44250.671828703707</v>
      </c>
      <c r="B537" s="6" t="str">
        <f>HYPERLINK("https://twitter.com/couponed_code","@couponed_code")</f>
        <v>@couponed_code</v>
      </c>
      <c r="C537" s="14" t="s">
        <v>2605</v>
      </c>
      <c r="D537" s="14" t="s">
        <v>2606</v>
      </c>
      <c r="E537" s="6" t="str">
        <f>HYPERLINK("https://twitter.com/couponed_code/status/1364230391414939649","1364230391414939649")</f>
        <v>1364230391414939649</v>
      </c>
      <c r="F537" s="7" t="s">
        <v>2607</v>
      </c>
      <c r="G537" s="7" t="s">
        <v>2608</v>
      </c>
      <c r="H537" s="8"/>
      <c r="I537" s="14">
        <v>22</v>
      </c>
      <c r="J537" s="14">
        <v>9</v>
      </c>
      <c r="K537" s="6" t="str">
        <f>HYPERLINK("https://mobile.twitter.com","Twitter Web App")</f>
        <v>Twitter Web App</v>
      </c>
      <c r="L537" s="15">
        <v>411</v>
      </c>
      <c r="M537" s="15">
        <v>189</v>
      </c>
      <c r="N537" s="15">
        <v>12</v>
      </c>
      <c r="O537" s="9"/>
      <c r="P537" s="10">
        <v>43795.697094907402</v>
      </c>
      <c r="Q537" s="8"/>
      <c r="R537" s="14" t="s">
        <v>2609</v>
      </c>
      <c r="S537" s="7" t="s">
        <v>249</v>
      </c>
      <c r="T537" s="8"/>
      <c r="U537" s="11" t="str">
        <f>HYPERLINK("https://pbs.twimg.com/profile_images/1199354488051515392/yHRbpMAp.jpg","View")</f>
        <v>View</v>
      </c>
      <c r="V537" s="8"/>
      <c r="W537" s="8"/>
      <c r="X537" s="8"/>
      <c r="Y537" s="8"/>
      <c r="Z537" s="8"/>
    </row>
    <row r="538" spans="1:26" ht="13.2">
      <c r="A538" s="13">
        <v>44250.671527777777</v>
      </c>
      <c r="B538" s="6" t="str">
        <f>HYPERLINK("https://twitter.com/jamesvgingerich","@jamesvgingerich")</f>
        <v>@jamesvgingerich</v>
      </c>
      <c r="C538" s="14" t="s">
        <v>1087</v>
      </c>
      <c r="D538" s="14" t="s">
        <v>2610</v>
      </c>
      <c r="E538" s="6" t="str">
        <f>HYPERLINK("https://twitter.com/jamesvgingerich/status/1364230282862231559","1364230282862231559")</f>
        <v>1364230282862231559</v>
      </c>
      <c r="F538" s="7" t="s">
        <v>2611</v>
      </c>
      <c r="G538" s="7" t="s">
        <v>2612</v>
      </c>
      <c r="H538" s="8"/>
      <c r="I538" s="14">
        <v>0</v>
      </c>
      <c r="J538" s="14">
        <v>1</v>
      </c>
      <c r="K538" s="6" t="str">
        <f>HYPERLINK("https://about.twitter.com/products/tweetdeck","TweetDeck")</f>
        <v>TweetDeck</v>
      </c>
      <c r="L538" s="15">
        <v>53483</v>
      </c>
      <c r="M538" s="15">
        <v>56072</v>
      </c>
      <c r="N538" s="15">
        <v>1126</v>
      </c>
      <c r="O538" s="9"/>
      <c r="P538" s="10">
        <v>39623.806192129632</v>
      </c>
      <c r="Q538" s="14" t="s">
        <v>1091</v>
      </c>
      <c r="R538" s="14" t="s">
        <v>1092</v>
      </c>
      <c r="S538" s="7" t="s">
        <v>1093</v>
      </c>
      <c r="T538" s="8"/>
      <c r="U538" s="11" t="str">
        <f>HYPERLINK("https://pbs.twimg.com/profile_images/692168521/james_profile.jpg","View")</f>
        <v>View</v>
      </c>
      <c r="V538" s="8"/>
      <c r="W538" s="8"/>
      <c r="X538" s="8"/>
      <c r="Y538" s="8"/>
      <c r="Z538" s="8"/>
    </row>
    <row r="539" spans="1:26" ht="13.2">
      <c r="A539" s="13">
        <v>44250.671006944445</v>
      </c>
      <c r="B539" s="6" t="str">
        <f>HYPERLINK("https://twitter.com/a_jeddab","@a_jeddab")</f>
        <v>@a_jeddab</v>
      </c>
      <c r="C539" s="14" t="s">
        <v>2613</v>
      </c>
      <c r="D539" s="14" t="s">
        <v>2614</v>
      </c>
      <c r="E539" s="6" t="str">
        <f>HYPERLINK("https://twitter.com/a_jeddab/status/1364230095913811974","1364230095913811974")</f>
        <v>1364230095913811974</v>
      </c>
      <c r="F539" s="14" t="s">
        <v>2615</v>
      </c>
      <c r="G539" s="8"/>
      <c r="H539" s="8"/>
      <c r="I539" s="14">
        <v>0</v>
      </c>
      <c r="J539" s="14">
        <v>1</v>
      </c>
      <c r="K539" s="6" t="str">
        <f>HYPERLINK("http://twinybots.com","TwinyBots")</f>
        <v>TwinyBots</v>
      </c>
      <c r="L539" s="15">
        <v>178</v>
      </c>
      <c r="M539" s="15">
        <v>884</v>
      </c>
      <c r="N539" s="15">
        <v>9</v>
      </c>
      <c r="O539" s="9"/>
      <c r="P539" s="10">
        <v>41899.98101851852</v>
      </c>
      <c r="Q539" s="14" t="s">
        <v>2616</v>
      </c>
      <c r="R539" s="14" t="s">
        <v>2617</v>
      </c>
      <c r="S539" s="7" t="s">
        <v>2618</v>
      </c>
      <c r="T539" s="8"/>
      <c r="U539" s="11" t="str">
        <f>HYPERLINK("https://pbs.twimg.com/profile_images/1231964713224998913/nOYVOmUz.jpg","View")</f>
        <v>View</v>
      </c>
      <c r="V539" s="8"/>
      <c r="W539" s="8"/>
      <c r="X539" s="8"/>
      <c r="Y539" s="8"/>
      <c r="Z539" s="8"/>
    </row>
    <row r="540" spans="1:26" ht="13.2">
      <c r="A540" s="13">
        <v>44250.67087962963</v>
      </c>
      <c r="B540" s="6" t="str">
        <f>HYPERLINK("https://twitter.com/WhitehallMedia","@WhitehallMedia")</f>
        <v>@WhitehallMedia</v>
      </c>
      <c r="C540" s="14" t="s">
        <v>2619</v>
      </c>
      <c r="D540" s="14" t="s">
        <v>2620</v>
      </c>
      <c r="E540" s="6" t="str">
        <f>HYPERLINK("https://twitter.com/WhitehallMedia/status/1364230048904011778","1364230048904011778")</f>
        <v>1364230048904011778</v>
      </c>
      <c r="F540" s="7" t="s">
        <v>2621</v>
      </c>
      <c r="G540" s="7" t="s">
        <v>2622</v>
      </c>
      <c r="H540" s="8"/>
      <c r="I540" s="14">
        <v>0</v>
      </c>
      <c r="J540" s="14">
        <v>1</v>
      </c>
      <c r="K540" s="6" t="str">
        <f>HYPERLINK("https://sproutsocial.com","Sprout Social")</f>
        <v>Sprout Social</v>
      </c>
      <c r="L540" s="15">
        <v>4932</v>
      </c>
      <c r="M540" s="15">
        <v>3451</v>
      </c>
      <c r="N540" s="15">
        <v>123</v>
      </c>
      <c r="O540" s="9"/>
      <c r="P540" s="10">
        <v>40585.524768518517</v>
      </c>
      <c r="Q540" s="14" t="s">
        <v>650</v>
      </c>
      <c r="R540" s="14" t="s">
        <v>2623</v>
      </c>
      <c r="S540" s="7" t="s">
        <v>2624</v>
      </c>
      <c r="T540" s="8"/>
      <c r="U540" s="11" t="str">
        <f>HYPERLINK("https://pbs.twimg.com/profile_images/1314583624168214528/DELRc4Vr.jpg","View")</f>
        <v>View</v>
      </c>
      <c r="V540" s="8"/>
      <c r="W540" s="8"/>
      <c r="X540" s="8"/>
      <c r="Y540" s="8"/>
      <c r="Z540" s="8"/>
    </row>
    <row r="541" spans="1:26" ht="13.2">
      <c r="A541" s="13">
        <v>44250.67050925926</v>
      </c>
      <c r="B541" s="6" t="str">
        <f>HYPERLINK("https://twitter.com/willman20","@willman20")</f>
        <v>@willman20</v>
      </c>
      <c r="C541" s="14" t="s">
        <v>1024</v>
      </c>
      <c r="D541" s="14" t="s">
        <v>2625</v>
      </c>
      <c r="E541" s="6" t="str">
        <f>HYPERLINK("https://twitter.com/willman20/status/1364229914518519809","1364229914518519809")</f>
        <v>1364229914518519809</v>
      </c>
      <c r="F541" s="7" t="s">
        <v>2626</v>
      </c>
      <c r="G541" s="7" t="s">
        <v>2627</v>
      </c>
      <c r="H541" s="8"/>
      <c r="I541" s="14">
        <v>0</v>
      </c>
      <c r="J541" s="14">
        <v>1</v>
      </c>
      <c r="K541" s="6" t="str">
        <f>HYPERLINK("http://twibble.io","Twibble.io")</f>
        <v>Twibble.io</v>
      </c>
      <c r="L541" s="15">
        <v>1081</v>
      </c>
      <c r="M541" s="15">
        <v>1113</v>
      </c>
      <c r="N541" s="15">
        <v>524</v>
      </c>
      <c r="O541" s="9"/>
      <c r="P541" s="10">
        <v>40287.780729166669</v>
      </c>
      <c r="Q541" s="14" t="s">
        <v>1028</v>
      </c>
      <c r="R541" s="14" t="s">
        <v>1029</v>
      </c>
      <c r="S541" s="7" t="s">
        <v>1030</v>
      </c>
      <c r="T541" s="8"/>
      <c r="U541" s="11" t="str">
        <f>HYPERLINK("https://pbs.twimg.com/profile_images/1257427465/Photo-010.jpg","View")</f>
        <v>View</v>
      </c>
      <c r="V541" s="8"/>
      <c r="W541" s="8"/>
      <c r="X541" s="8"/>
      <c r="Y541" s="8"/>
      <c r="Z541" s="8"/>
    </row>
    <row r="542" spans="1:26" ht="13.2">
      <c r="A542" s="13">
        <v>44250.670324074075</v>
      </c>
      <c r="B542" s="6" t="str">
        <f>HYPERLINK("https://twitter.com/blindspotadvise","@blindspotadvise")</f>
        <v>@blindspotadvise</v>
      </c>
      <c r="C542" s="14" t="s">
        <v>2628</v>
      </c>
      <c r="D542" s="14" t="s">
        <v>2629</v>
      </c>
      <c r="E542" s="6" t="str">
        <f>HYPERLINK("https://twitter.com/blindspotadvise/status/1364229846658920451","1364229846658920451")</f>
        <v>1364229846658920451</v>
      </c>
      <c r="F542" s="7" t="s">
        <v>2630</v>
      </c>
      <c r="G542" s="8"/>
      <c r="H542" s="8"/>
      <c r="I542" s="14">
        <v>1</v>
      </c>
      <c r="J542" s="14">
        <v>1</v>
      </c>
      <c r="K542" s="6" t="str">
        <f>HYPERLINK("https://www.hootsuite.com","Hootsuite Inc.")</f>
        <v>Hootsuite Inc.</v>
      </c>
      <c r="L542" s="15">
        <v>552</v>
      </c>
      <c r="M542" s="15">
        <v>1033</v>
      </c>
      <c r="N542" s="15">
        <v>82</v>
      </c>
      <c r="O542" s="9"/>
      <c r="P542" s="10">
        <v>40445.848854166667</v>
      </c>
      <c r="Q542" s="14" t="s">
        <v>2631</v>
      </c>
      <c r="R542" s="14" t="s">
        <v>2632</v>
      </c>
      <c r="S542" s="7" t="s">
        <v>2633</v>
      </c>
      <c r="T542" s="8"/>
      <c r="U542" s="11" t="str">
        <f>HYPERLINK("https://pbs.twimg.com/profile_images/1218595431556321281/eG7Bcnoh.png","View")</f>
        <v>View</v>
      </c>
      <c r="V542" s="8"/>
      <c r="W542" s="8"/>
      <c r="X542" s="8"/>
      <c r="Y542" s="8"/>
      <c r="Z542" s="8"/>
    </row>
    <row r="543" spans="1:26" ht="13.2">
      <c r="A543" s="13">
        <v>44250.67024305556</v>
      </c>
      <c r="B543" s="6" t="str">
        <f>HYPERLINK("https://twitter.com/MiriamAsensi","@MiriamAsensi")</f>
        <v>@MiriamAsensi</v>
      </c>
      <c r="C543" s="14" t="s">
        <v>2634</v>
      </c>
      <c r="D543" s="14" t="s">
        <v>2635</v>
      </c>
      <c r="E543" s="6" t="str">
        <f>HYPERLINK("https://twitter.com/MiriamAsensi/status/1364229817873358856","1364229817873358856")</f>
        <v>1364229817873358856</v>
      </c>
      <c r="F543" s="7" t="s">
        <v>2636</v>
      </c>
      <c r="G543" s="8"/>
      <c r="H543" s="8"/>
      <c r="I543" s="14">
        <v>15</v>
      </c>
      <c r="J543" s="14">
        <v>5</v>
      </c>
      <c r="K543" s="6" t="str">
        <f>HYPERLINK("https://socxopte.com/","SocxoPte")</f>
        <v>SocxoPte</v>
      </c>
      <c r="L543" s="15">
        <v>746</v>
      </c>
      <c r="M543" s="15">
        <v>882</v>
      </c>
      <c r="N543" s="15">
        <v>5</v>
      </c>
      <c r="O543" s="9"/>
      <c r="P543" s="10">
        <v>43995.357581018514</v>
      </c>
      <c r="Q543" s="14" t="s">
        <v>599</v>
      </c>
      <c r="R543" s="14" t="s">
        <v>2637</v>
      </c>
      <c r="S543" s="7" t="s">
        <v>2638</v>
      </c>
      <c r="T543" s="8"/>
      <c r="U543" s="11" t="str">
        <f>HYPERLINK("https://pbs.twimg.com/profile_images/1271692933683699712/Y4d_WLK4.jpg","View")</f>
        <v>View</v>
      </c>
      <c r="V543" s="8"/>
      <c r="W543" s="8"/>
      <c r="X543" s="8"/>
      <c r="Y543" s="8"/>
      <c r="Z543" s="8"/>
    </row>
    <row r="544" spans="1:26" ht="13.2">
      <c r="A544" s="13">
        <v>44250.669861111106</v>
      </c>
      <c r="B544" s="6" t="str">
        <f>HYPERLINK("https://twitter.com/pedromdiez","@pedromdiez")</f>
        <v>@pedromdiez</v>
      </c>
      <c r="C544" s="14" t="s">
        <v>1049</v>
      </c>
      <c r="D544" s="14" t="s">
        <v>2639</v>
      </c>
      <c r="E544" s="6" t="str">
        <f>HYPERLINK("https://twitter.com/pedromdiez/status/1364229681894068226","1364229681894068226")</f>
        <v>1364229681894068226</v>
      </c>
      <c r="F544" s="14" t="s">
        <v>1051</v>
      </c>
      <c r="G544" s="7" t="s">
        <v>1052</v>
      </c>
      <c r="H544" s="8"/>
      <c r="I544" s="14">
        <v>2</v>
      </c>
      <c r="J544" s="14">
        <v>1</v>
      </c>
      <c r="K544" s="6" t="str">
        <f>HYPERLINK("https://ifttt.com","IFTTT")</f>
        <v>IFTTT</v>
      </c>
      <c r="L544" s="15">
        <v>705</v>
      </c>
      <c r="M544" s="15">
        <v>576</v>
      </c>
      <c r="N544" s="15">
        <v>36</v>
      </c>
      <c r="O544" s="9"/>
      <c r="P544" s="10">
        <v>40285.443576388891</v>
      </c>
      <c r="Q544" s="14" t="s">
        <v>1053</v>
      </c>
      <c r="R544" s="14" t="s">
        <v>1054</v>
      </c>
      <c r="S544" s="7" t="s">
        <v>1055</v>
      </c>
      <c r="T544" s="8"/>
      <c r="U544" s="11" t="str">
        <f>HYPERLINK("https://pbs.twimg.com/profile_images/926160133352288256/4XU7ZPde.jpg","View")</f>
        <v>View</v>
      </c>
      <c r="V544" s="8"/>
      <c r="W544" s="8"/>
      <c r="X544" s="8"/>
      <c r="Y544" s="8"/>
      <c r="Z544" s="8"/>
    </row>
    <row r="545" spans="1:26" ht="13.2">
      <c r="A545" s="13">
        <v>44250.669814814813</v>
      </c>
      <c r="B545" s="6" t="str">
        <f>HYPERLINK("https://twitter.com/Synapps_it","@Synapps_it")</f>
        <v>@Synapps_it</v>
      </c>
      <c r="C545" s="14" t="s">
        <v>2640</v>
      </c>
      <c r="D545" s="14" t="s">
        <v>2641</v>
      </c>
      <c r="E545" s="6" t="str">
        <f>HYPERLINK("https://twitter.com/Synapps_it/status/1364229663460118528","1364229663460118528")</f>
        <v>1364229663460118528</v>
      </c>
      <c r="F545" s="8"/>
      <c r="G545" s="7" t="s">
        <v>2642</v>
      </c>
      <c r="H545" s="8"/>
      <c r="I545" s="14">
        <v>0</v>
      </c>
      <c r="J545" s="14">
        <v>1</v>
      </c>
      <c r="K545" s="6" t="str">
        <f t="shared" ref="K545:K546" si="84">HYPERLINK("https://mobile.twitter.com","Twitter Web App")</f>
        <v>Twitter Web App</v>
      </c>
      <c r="L545" s="15">
        <v>2</v>
      </c>
      <c r="M545" s="15">
        <v>37</v>
      </c>
      <c r="N545" s="15">
        <v>0</v>
      </c>
      <c r="O545" s="9"/>
      <c r="P545" s="10">
        <v>44230.664375</v>
      </c>
      <c r="Q545" s="14" t="s">
        <v>2643</v>
      </c>
      <c r="R545" s="14" t="s">
        <v>2644</v>
      </c>
      <c r="S545" s="7" t="s">
        <v>2645</v>
      </c>
      <c r="T545" s="8"/>
      <c r="U545" s="11" t="str">
        <f>HYPERLINK("https://pbs.twimg.com/profile_images/1356980160445218818/1vH0J4tV.jpg","View")</f>
        <v>View</v>
      </c>
      <c r="V545" s="8"/>
      <c r="W545" s="8"/>
      <c r="X545" s="8"/>
      <c r="Y545" s="8"/>
      <c r="Z545" s="8"/>
    </row>
    <row r="546" spans="1:26" ht="13.2">
      <c r="A546" s="13">
        <v>44250.669282407413</v>
      </c>
      <c r="B546" s="6" t="str">
        <f>HYPERLINK("https://twitter.com/JBehrmannPhD","@JBehrmannPhD")</f>
        <v>@JBehrmannPhD</v>
      </c>
      <c r="C546" s="14" t="s">
        <v>2646</v>
      </c>
      <c r="D546" s="14" t="s">
        <v>2647</v>
      </c>
      <c r="E546" s="6" t="str">
        <f>HYPERLINK("https://twitter.com/JBehrmannPhD/status/1364229468114591747","1364229468114591747")</f>
        <v>1364229468114591747</v>
      </c>
      <c r="F546" s="7" t="s">
        <v>2648</v>
      </c>
      <c r="G546" s="8"/>
      <c r="H546" s="8"/>
      <c r="I546" s="14">
        <v>0</v>
      </c>
      <c r="J546" s="14">
        <v>3</v>
      </c>
      <c r="K546" s="6" t="str">
        <f t="shared" si="84"/>
        <v>Twitter Web App</v>
      </c>
      <c r="L546" s="15">
        <v>314</v>
      </c>
      <c r="M546" s="15">
        <v>312</v>
      </c>
      <c r="N546" s="15">
        <v>147</v>
      </c>
      <c r="O546" s="9"/>
      <c r="P546" s="10">
        <v>41915.911828703705</v>
      </c>
      <c r="Q546" s="14" t="s">
        <v>2649</v>
      </c>
      <c r="R546" s="14" t="s">
        <v>2650</v>
      </c>
      <c r="S546" s="7" t="s">
        <v>2651</v>
      </c>
      <c r="T546" s="8"/>
      <c r="U546" s="11" t="str">
        <f>HYPERLINK("https://pbs.twimg.com/profile_images/838573976775495684/sbUsoO6-.jpg","View")</f>
        <v>View</v>
      </c>
      <c r="V546" s="8"/>
      <c r="W546" s="8"/>
      <c r="X546" s="8"/>
      <c r="Y546" s="8"/>
      <c r="Z546" s="8"/>
    </row>
    <row r="547" spans="1:26" ht="13.2">
      <c r="A547" s="13">
        <v>44250.669224537036</v>
      </c>
      <c r="B547" s="6" t="str">
        <f>HYPERLINK("https://twitter.com/shashib","@shashib")</f>
        <v>@shashib</v>
      </c>
      <c r="C547" s="14" t="s">
        <v>2652</v>
      </c>
      <c r="D547" s="14" t="s">
        <v>2653</v>
      </c>
      <c r="E547" s="6" t="str">
        <f>HYPERLINK("https://twitter.com/shashib/status/1364229447461851140","1364229447461851140")</f>
        <v>1364229447461851140</v>
      </c>
      <c r="F547" s="7" t="s">
        <v>2654</v>
      </c>
      <c r="G547" s="8"/>
      <c r="H547" s="8"/>
      <c r="I547" s="14">
        <v>1</v>
      </c>
      <c r="J547" s="14">
        <v>2</v>
      </c>
      <c r="K547" s="6" t="str">
        <f>HYPERLINK("https://paper.li","Paper.li")</f>
        <v>Paper.li</v>
      </c>
      <c r="L547" s="15">
        <v>31243</v>
      </c>
      <c r="M547" s="15">
        <v>30251</v>
      </c>
      <c r="N547" s="15">
        <v>3496</v>
      </c>
      <c r="O547" s="15" t="s">
        <v>130</v>
      </c>
      <c r="P547" s="10">
        <v>39156.590844907405</v>
      </c>
      <c r="Q547" s="14" t="s">
        <v>2655</v>
      </c>
      <c r="R547" s="14" t="s">
        <v>2656</v>
      </c>
      <c r="S547" s="7" t="s">
        <v>2657</v>
      </c>
      <c r="T547" s="8"/>
      <c r="U547" s="11" t="str">
        <f>HYPERLINK("https://pbs.twimg.com/profile_images/1348745370323611648/wxUxefvC.jpg","View")</f>
        <v>View</v>
      </c>
      <c r="V547" s="8"/>
      <c r="W547" s="8"/>
      <c r="X547" s="8"/>
      <c r="Y547" s="8"/>
      <c r="Z547" s="8"/>
    </row>
    <row r="548" spans="1:26" ht="13.2">
      <c r="A548" s="13">
        <v>44250.668749999997</v>
      </c>
      <c r="B548" s="6" t="str">
        <f>HYPERLINK("https://twitter.com/HeyladyJami","@HeyladyJami")</f>
        <v>@HeyladyJami</v>
      </c>
      <c r="C548" s="14" t="s">
        <v>2658</v>
      </c>
      <c r="D548" s="14" t="s">
        <v>2659</v>
      </c>
      <c r="E548" s="6" t="str">
        <f>HYPERLINK("https://twitter.com/HeyladyJami/status/1364229277172912129","1364229277172912129")</f>
        <v>1364229277172912129</v>
      </c>
      <c r="F548" s="7" t="s">
        <v>2660</v>
      </c>
      <c r="G548" s="8"/>
      <c r="H548" s="8"/>
      <c r="I548" s="14">
        <v>1</v>
      </c>
      <c r="J548" s="14">
        <v>1</v>
      </c>
      <c r="K548" s="6" t="str">
        <f>HYPERLINK("https://social.zoho.com","Zoho Social")</f>
        <v>Zoho Social</v>
      </c>
      <c r="L548" s="15">
        <v>1999</v>
      </c>
      <c r="M548" s="15">
        <v>4991</v>
      </c>
      <c r="N548" s="15">
        <v>97</v>
      </c>
      <c r="O548" s="9"/>
      <c r="P548" s="10">
        <v>39909.369039351848</v>
      </c>
      <c r="Q548" s="14" t="s">
        <v>2661</v>
      </c>
      <c r="R548" s="14" t="s">
        <v>2662</v>
      </c>
      <c r="S548" s="7" t="s">
        <v>2663</v>
      </c>
      <c r="T548" s="8"/>
      <c r="U548" s="11" t="str">
        <f>HYPERLINK("https://pbs.twimg.com/profile_images/759782885448495104/xgUUak44.jpg","View")</f>
        <v>View</v>
      </c>
      <c r="V548" s="8"/>
      <c r="W548" s="8"/>
      <c r="X548" s="8"/>
      <c r="Y548" s="8"/>
      <c r="Z548" s="8"/>
    </row>
    <row r="549" spans="1:26" ht="13.2">
      <c r="A549" s="13">
        <v>44250.668680555551</v>
      </c>
      <c r="B549" s="6" t="str">
        <f>HYPERLINK("https://twitter.com/realColinMac","@realColinMac")</f>
        <v>@realColinMac</v>
      </c>
      <c r="C549" s="14" t="s">
        <v>2664</v>
      </c>
      <c r="D549" s="14" t="s">
        <v>2665</v>
      </c>
      <c r="E549" s="6" t="str">
        <f>HYPERLINK("https://twitter.com/realColinMac/status/1364229253139599360","1364229253139599360")</f>
        <v>1364229253139599360</v>
      </c>
      <c r="F549" s="7" t="s">
        <v>2666</v>
      </c>
      <c r="G549" s="8"/>
      <c r="H549" s="8"/>
      <c r="I549" s="14">
        <v>8</v>
      </c>
      <c r="J549" s="14">
        <v>1</v>
      </c>
      <c r="K549" s="6" t="str">
        <f>HYPERLINK("http://twitter.com/download/android","Twitter for Android")</f>
        <v>Twitter for Android</v>
      </c>
      <c r="L549" s="15">
        <v>13875</v>
      </c>
      <c r="M549" s="15">
        <v>7889</v>
      </c>
      <c r="N549" s="15">
        <v>183</v>
      </c>
      <c r="O549" s="9"/>
      <c r="P549" s="10">
        <v>42948.196782407409</v>
      </c>
      <c r="Q549" s="14" t="s">
        <v>2667</v>
      </c>
      <c r="R549" s="14" t="s">
        <v>2668</v>
      </c>
      <c r="S549" s="8"/>
      <c r="T549" s="8"/>
      <c r="U549" s="11" t="str">
        <f>HYPERLINK("https://pbs.twimg.com/profile_images/1013521217540837376/3BmkgDBO.jpg","View")</f>
        <v>View</v>
      </c>
      <c r="V549" s="8"/>
      <c r="W549" s="8"/>
      <c r="X549" s="8"/>
      <c r="Y549" s="8"/>
      <c r="Z549" s="8"/>
    </row>
    <row r="550" spans="1:26" ht="13.2">
      <c r="A550" s="13">
        <v>44250.668229166666</v>
      </c>
      <c r="B550" s="6" t="str">
        <f>HYPERLINK("https://twitter.com/ASPNeph","@ASPNeph")</f>
        <v>@ASPNeph</v>
      </c>
      <c r="C550" s="14" t="s">
        <v>2669</v>
      </c>
      <c r="D550" s="14" t="s">
        <v>2670</v>
      </c>
      <c r="E550" s="6" t="str">
        <f>HYPERLINK("https://twitter.com/ASPNeph/status/1364229089150779396","1364229089150779396")</f>
        <v>1364229089150779396</v>
      </c>
      <c r="F550" s="7" t="s">
        <v>2671</v>
      </c>
      <c r="G550" s="7" t="s">
        <v>2672</v>
      </c>
      <c r="H550" s="8"/>
      <c r="I550" s="14">
        <v>0</v>
      </c>
      <c r="J550" s="14">
        <v>0</v>
      </c>
      <c r="K550" s="6" t="str">
        <f>HYPERLINK("https://www.hootsuite.com","Hootsuite Inc.")</f>
        <v>Hootsuite Inc.</v>
      </c>
      <c r="L550" s="15">
        <v>5858</v>
      </c>
      <c r="M550" s="15">
        <v>601</v>
      </c>
      <c r="N550" s="15">
        <v>118</v>
      </c>
      <c r="O550" s="9"/>
      <c r="P550" s="10">
        <v>41394.913124999999</v>
      </c>
      <c r="Q550" s="8"/>
      <c r="R550" s="14" t="s">
        <v>2673</v>
      </c>
      <c r="S550" s="7" t="s">
        <v>2674</v>
      </c>
      <c r="T550" s="8"/>
      <c r="U550" s="11" t="str">
        <f>HYPERLINK("https://pbs.twimg.com/profile_images/585457273931075584/Fsll3LT0.jpg","View")</f>
        <v>View</v>
      </c>
      <c r="V550" s="8"/>
      <c r="W550" s="8"/>
      <c r="X550" s="8"/>
      <c r="Y550" s="8"/>
      <c r="Z550" s="8"/>
    </row>
    <row r="551" spans="1:26" ht="13.2">
      <c r="A551" s="13">
        <v>44250.667662037042</v>
      </c>
      <c r="B551" s="6" t="str">
        <f>HYPERLINK("https://twitter.com/AtlasSystemsInc","@AtlasSystemsInc")</f>
        <v>@AtlasSystemsInc</v>
      </c>
      <c r="C551" s="14" t="s">
        <v>2675</v>
      </c>
      <c r="D551" s="14" t="s">
        <v>2676</v>
      </c>
      <c r="E551" s="6" t="str">
        <f>HYPERLINK("https://twitter.com/AtlasSystemsInc/status/1364228882463936514","1364228882463936514")</f>
        <v>1364228882463936514</v>
      </c>
      <c r="F551" s="7" t="s">
        <v>2677</v>
      </c>
      <c r="G551" s="7" t="s">
        <v>2678</v>
      </c>
      <c r="H551" s="8"/>
      <c r="I551" s="14">
        <v>0</v>
      </c>
      <c r="J551" s="14">
        <v>0</v>
      </c>
      <c r="K551" s="6" t="str">
        <f>HYPERLINK("http://www.hubspot.com/","HubSpot")</f>
        <v>HubSpot</v>
      </c>
      <c r="L551" s="15">
        <v>908</v>
      </c>
      <c r="M551" s="15">
        <v>1051</v>
      </c>
      <c r="N551" s="15">
        <v>41</v>
      </c>
      <c r="O551" s="9"/>
      <c r="P551" s="10">
        <v>41529.553865740745</v>
      </c>
      <c r="Q551" s="14" t="s">
        <v>2679</v>
      </c>
      <c r="R551" s="14" t="s">
        <v>2680</v>
      </c>
      <c r="S551" s="7" t="s">
        <v>2681</v>
      </c>
      <c r="T551" s="8"/>
      <c r="U551" s="11" t="str">
        <f>HYPERLINK("https://pbs.twimg.com/profile_images/378800000570668459/da760f4c27e23971f9f835fb0f554fe4.jpeg","View")</f>
        <v>View</v>
      </c>
      <c r="V551" s="8"/>
      <c r="W551" s="8"/>
      <c r="X551" s="8"/>
      <c r="Y551" s="8"/>
      <c r="Z551" s="8"/>
    </row>
    <row r="552" spans="1:26" ht="13.2">
      <c r="A552" s="13">
        <v>44250.667650462958</v>
      </c>
      <c r="B552" s="6" t="str">
        <f>HYPERLINK("https://twitter.com/TheCancerLetter","@TheCancerLetter")</f>
        <v>@TheCancerLetter</v>
      </c>
      <c r="C552" s="14" t="s">
        <v>2682</v>
      </c>
      <c r="D552" s="14" t="s">
        <v>2683</v>
      </c>
      <c r="E552" s="6" t="str">
        <f>HYPERLINK("https://twitter.com/TheCancerLetter/status/1364228877820825603","1364228877820825603")</f>
        <v>1364228877820825603</v>
      </c>
      <c r="F552" s="7" t="s">
        <v>2684</v>
      </c>
      <c r="G552" s="7" t="s">
        <v>2685</v>
      </c>
      <c r="H552" s="8"/>
      <c r="I552" s="14">
        <v>0</v>
      </c>
      <c r="J552" s="14">
        <v>2</v>
      </c>
      <c r="K552" s="6" t="str">
        <f>HYPERLINK("https://www.hootsuite.com","Hootsuite Inc.")</f>
        <v>Hootsuite Inc.</v>
      </c>
      <c r="L552" s="15">
        <v>20918</v>
      </c>
      <c r="M552" s="15">
        <v>1529</v>
      </c>
      <c r="N552" s="15">
        <v>498</v>
      </c>
      <c r="O552" s="15" t="s">
        <v>130</v>
      </c>
      <c r="P552" s="10">
        <v>39880.772731481484</v>
      </c>
      <c r="Q552" s="14" t="s">
        <v>2686</v>
      </c>
      <c r="R552" s="14" t="s">
        <v>2687</v>
      </c>
      <c r="S552" s="7" t="s">
        <v>2688</v>
      </c>
      <c r="T552" s="8"/>
      <c r="U552" s="11" t="str">
        <f>HYPERLINK("https://pbs.twimg.com/profile_images/813803520969310208/nsbPr5gH.jpg","View")</f>
        <v>View</v>
      </c>
      <c r="V552" s="8"/>
      <c r="W552" s="8"/>
      <c r="X552" s="8"/>
      <c r="Y552" s="8"/>
      <c r="Z552" s="8"/>
    </row>
    <row r="553" spans="1:26" ht="13.2">
      <c r="A553" s="13">
        <v>44250.667384259257</v>
      </c>
      <c r="B553" s="6" t="str">
        <f>HYPERLINK("https://twitter.com/scality","@scality")</f>
        <v>@scality</v>
      </c>
      <c r="C553" s="14" t="s">
        <v>2689</v>
      </c>
      <c r="D553" s="14" t="s">
        <v>2690</v>
      </c>
      <c r="E553" s="6" t="str">
        <f>HYPERLINK("https://twitter.com/scality/status/1364228781787996161","1364228781787996161")</f>
        <v>1364228781787996161</v>
      </c>
      <c r="F553" s="7" t="s">
        <v>2691</v>
      </c>
      <c r="G553" s="8"/>
      <c r="H553" s="8"/>
      <c r="I553" s="14">
        <v>0</v>
      </c>
      <c r="J553" s="14">
        <v>0</v>
      </c>
      <c r="K553" s="6" t="str">
        <f>HYPERLINK("https://coschedule.com","CoSchedule")</f>
        <v>CoSchedule</v>
      </c>
      <c r="L553" s="15">
        <v>7583</v>
      </c>
      <c r="M553" s="15">
        <v>5822</v>
      </c>
      <c r="N553" s="15">
        <v>473</v>
      </c>
      <c r="O553" s="15" t="s">
        <v>130</v>
      </c>
      <c r="P553" s="10">
        <v>40314.798900462964</v>
      </c>
      <c r="Q553" s="14" t="s">
        <v>2692</v>
      </c>
      <c r="R553" s="14" t="s">
        <v>2693</v>
      </c>
      <c r="S553" s="7" t="s">
        <v>2694</v>
      </c>
      <c r="T553" s="8"/>
      <c r="U553" s="11" t="str">
        <f>HYPERLINK("https://pbs.twimg.com/profile_images/890255985767591936/ggeerGZq.jpg","View")</f>
        <v>View</v>
      </c>
      <c r="V553" s="8"/>
      <c r="W553" s="8"/>
      <c r="X553" s="8"/>
      <c r="Y553" s="8"/>
      <c r="Z553" s="8"/>
    </row>
    <row r="554" spans="1:26" ht="13.2">
      <c r="A554" s="13">
        <v>44250.667326388888</v>
      </c>
      <c r="B554" s="6" t="str">
        <f>HYPERLINK("https://twitter.com/EdKwedar","@EdKwedar")</f>
        <v>@EdKwedar</v>
      </c>
      <c r="C554" s="14" t="s">
        <v>2695</v>
      </c>
      <c r="D554" s="14" t="s">
        <v>2696</v>
      </c>
      <c r="E554" s="6" t="str">
        <f>HYPERLINK("https://twitter.com/EdKwedar/status/1364228761185619969","1364228761185619969")</f>
        <v>1364228761185619969</v>
      </c>
      <c r="F554" s="7" t="s">
        <v>2697</v>
      </c>
      <c r="G554" s="7" t="s">
        <v>2698</v>
      </c>
      <c r="H554" s="8"/>
      <c r="I554" s="14">
        <v>12</v>
      </c>
      <c r="J554" s="14">
        <v>7</v>
      </c>
      <c r="K554" s="6" t="str">
        <f>HYPERLINK("https://buffer.com","Buffer")</f>
        <v>Buffer</v>
      </c>
      <c r="L554" s="15">
        <v>23787</v>
      </c>
      <c r="M554" s="15">
        <v>23579</v>
      </c>
      <c r="N554" s="15">
        <v>2291</v>
      </c>
      <c r="O554" s="9"/>
      <c r="P554" s="10">
        <v>41015.00880787037</v>
      </c>
      <c r="Q554" s="14" t="s">
        <v>2699</v>
      </c>
      <c r="R554" s="14" t="s">
        <v>2700</v>
      </c>
      <c r="S554" s="7" t="s">
        <v>2701</v>
      </c>
      <c r="T554" s="8"/>
      <c r="U554" s="11" t="str">
        <f>HYPERLINK("https://pbs.twimg.com/profile_images/1145807576136867850/f2GMtbOG.jpg","View")</f>
        <v>View</v>
      </c>
      <c r="V554" s="8"/>
      <c r="W554" s="8"/>
      <c r="X554" s="8"/>
      <c r="Y554" s="8"/>
      <c r="Z554" s="8"/>
    </row>
    <row r="555" spans="1:26" ht="13.2">
      <c r="A555" s="13">
        <v>44250.667222222226</v>
      </c>
      <c r="B555" s="6" t="str">
        <f>HYPERLINK("https://twitter.com/JourneyHeroTech","@JourneyHeroTech")</f>
        <v>@JourneyHeroTech</v>
      </c>
      <c r="C555" s="14" t="s">
        <v>1061</v>
      </c>
      <c r="D555" s="14" t="s">
        <v>2702</v>
      </c>
      <c r="E555" s="6" t="str">
        <f>HYPERLINK("https://twitter.com/JourneyHeroTech/status/1364228721926791172","1364228721926791172")</f>
        <v>1364228721926791172</v>
      </c>
      <c r="F555" s="14" t="s">
        <v>2703</v>
      </c>
      <c r="G555" s="8"/>
      <c r="H555" s="8"/>
      <c r="I555" s="14">
        <v>18</v>
      </c>
      <c r="J555" s="14">
        <v>6</v>
      </c>
      <c r="K555" s="6" t="str">
        <f>HYPERLINK("http://twitter.com/download/iphone","Twitter for iPhone")</f>
        <v>Twitter for iPhone</v>
      </c>
      <c r="L555" s="15">
        <v>418</v>
      </c>
      <c r="M555" s="15">
        <v>1469</v>
      </c>
      <c r="N555" s="15">
        <v>4</v>
      </c>
      <c r="O555" s="9"/>
      <c r="P555" s="10">
        <v>43958.737557870365</v>
      </c>
      <c r="Q555" s="8"/>
      <c r="R555" s="14" t="s">
        <v>1065</v>
      </c>
      <c r="S555" s="7" t="s">
        <v>1066</v>
      </c>
      <c r="T555" s="8"/>
      <c r="U555" s="11" t="str">
        <f>HYPERLINK("https://pbs.twimg.com/profile_images/1258421949493100544/99J8Ehfn.jpg","View")</f>
        <v>View</v>
      </c>
      <c r="V555" s="8"/>
      <c r="W555" s="8"/>
      <c r="X555" s="8"/>
      <c r="Y555" s="8"/>
      <c r="Z555" s="8"/>
    </row>
    <row r="556" spans="1:26" ht="13.2">
      <c r="A556" s="13">
        <v>44250.667025462964</v>
      </c>
      <c r="B556" s="6" t="str">
        <f>HYPERLINK("https://twitter.com/AWSLatam","@AWSLatam")</f>
        <v>@AWSLatam</v>
      </c>
      <c r="C556" s="14" t="s">
        <v>2704</v>
      </c>
      <c r="D556" s="14" t="s">
        <v>1156</v>
      </c>
      <c r="E556" s="6" t="str">
        <f>HYPERLINK("https://twitter.com/AWSLatam/status/1364228651114496002","1364228651114496002")</f>
        <v>1364228651114496002</v>
      </c>
      <c r="F556" s="7" t="s">
        <v>1157</v>
      </c>
      <c r="G556" s="7" t="s">
        <v>2705</v>
      </c>
      <c r="H556" s="8"/>
      <c r="I556" s="14">
        <v>2</v>
      </c>
      <c r="J556" s="14">
        <v>5</v>
      </c>
      <c r="K556" s="6" t="str">
        <f>HYPERLINK("https://www.sprinklr.com","Sprinklr")</f>
        <v>Sprinklr</v>
      </c>
      <c r="L556" s="15">
        <v>7912</v>
      </c>
      <c r="M556" s="15">
        <v>31</v>
      </c>
      <c r="N556" s="15">
        <v>101</v>
      </c>
      <c r="O556" s="9"/>
      <c r="P556" s="10">
        <v>42462.125</v>
      </c>
      <c r="Q556" s="8"/>
      <c r="R556" s="14" t="s">
        <v>2706</v>
      </c>
      <c r="S556" s="7" t="s">
        <v>2707</v>
      </c>
      <c r="T556" s="8"/>
      <c r="U556" s="11" t="str">
        <f>HYPERLINK("https://pbs.twimg.com/profile_images/1321891545721630720/NgeNTTtd.png","View")</f>
        <v>View</v>
      </c>
      <c r="V556" s="8"/>
      <c r="W556" s="8"/>
      <c r="X556" s="8"/>
      <c r="Y556" s="8"/>
      <c r="Z556" s="8"/>
    </row>
    <row r="557" spans="1:26" ht="13.2">
      <c r="A557" s="13">
        <v>44250.666967592595</v>
      </c>
      <c r="B557" s="6" t="str">
        <f>HYPERLINK("https://twitter.com/Paula_Piccard","@Paula_Piccard")</f>
        <v>@Paula_Piccard</v>
      </c>
      <c r="C557" s="14" t="s">
        <v>1116</v>
      </c>
      <c r="D557" s="14" t="s">
        <v>2708</v>
      </c>
      <c r="E557" s="6" t="str">
        <f>HYPERLINK("https://twitter.com/Paula_Piccard/status/1364228629601783816","1364228629601783816")</f>
        <v>1364228629601783816</v>
      </c>
      <c r="F557" s="7" t="s">
        <v>2709</v>
      </c>
      <c r="G557" s="7" t="s">
        <v>2710</v>
      </c>
      <c r="H557" s="8"/>
      <c r="I557" s="14">
        <v>16</v>
      </c>
      <c r="J557" s="14">
        <v>14</v>
      </c>
      <c r="K557" s="6" t="str">
        <f>HYPERLINK("https://smarterqueue.com","SmarterQueue")</f>
        <v>SmarterQueue</v>
      </c>
      <c r="L557" s="15">
        <v>61067</v>
      </c>
      <c r="M557" s="15">
        <v>9852</v>
      </c>
      <c r="N557" s="15">
        <v>1284</v>
      </c>
      <c r="O557" s="9"/>
      <c r="P557" s="10">
        <v>40665.824629629627</v>
      </c>
      <c r="Q557" s="14" t="s">
        <v>1120</v>
      </c>
      <c r="R557" s="14" t="s">
        <v>1121</v>
      </c>
      <c r="S557" s="7" t="s">
        <v>1122</v>
      </c>
      <c r="T557" s="8"/>
      <c r="U557" s="11" t="str">
        <f>HYPERLINK("https://pbs.twimg.com/profile_images/1307804375981621254/KT6ID8H9.png","View")</f>
        <v>View</v>
      </c>
      <c r="V557" s="8"/>
      <c r="W557" s="8"/>
      <c r="X557" s="8"/>
      <c r="Y557" s="8"/>
      <c r="Z557" s="8"/>
    </row>
    <row r="558" spans="1:26" ht="13.2">
      <c r="A558" s="13">
        <v>44250.666921296295</v>
      </c>
      <c r="B558" s="6" t="str">
        <f>HYPERLINK("https://twitter.com/Bennett_DataSci","@Bennett_DataSci")</f>
        <v>@Bennett_DataSci</v>
      </c>
      <c r="C558" s="14" t="s">
        <v>2711</v>
      </c>
      <c r="D558" s="14" t="s">
        <v>2712</v>
      </c>
      <c r="E558" s="6" t="str">
        <f>HYPERLINK("https://twitter.com/Bennett_DataSci/status/1364228615424995337","1364228615424995337")</f>
        <v>1364228615424995337</v>
      </c>
      <c r="F558" s="7" t="s">
        <v>2713</v>
      </c>
      <c r="G558" s="7" t="s">
        <v>2714</v>
      </c>
      <c r="H558" s="8"/>
      <c r="I558" s="14">
        <v>0</v>
      </c>
      <c r="J558" s="14">
        <v>1</v>
      </c>
      <c r="K558" s="6" t="str">
        <f>HYPERLINK("https://buffer.com","Buffer")</f>
        <v>Buffer</v>
      </c>
      <c r="L558" s="15">
        <v>26</v>
      </c>
      <c r="M558" s="15">
        <v>48</v>
      </c>
      <c r="N558" s="15">
        <v>0</v>
      </c>
      <c r="O558" s="9"/>
      <c r="P558" s="10">
        <v>43483.210543981477</v>
      </c>
      <c r="Q558" s="14" t="s">
        <v>747</v>
      </c>
      <c r="R558" s="14" t="s">
        <v>2715</v>
      </c>
      <c r="S558" s="7" t="s">
        <v>2716</v>
      </c>
      <c r="T558" s="8"/>
      <c r="U558" s="11" t="str">
        <f>HYPERLINK("https://pbs.twimg.com/profile_images/1087093167013355520/gHtun9dc.jpg","View")</f>
        <v>View</v>
      </c>
      <c r="V558" s="8"/>
      <c r="W558" s="8"/>
      <c r="X558" s="8"/>
      <c r="Y558" s="8"/>
      <c r="Z558" s="8"/>
    </row>
    <row r="559" spans="1:26" ht="13.2">
      <c r="A559" s="13">
        <v>44250.666817129633</v>
      </c>
      <c r="B559" s="6" t="str">
        <f>HYPERLINK("https://twitter.com/StephanieHeit","@StephanieHeit")</f>
        <v>@StephanieHeit</v>
      </c>
      <c r="C559" s="14" t="s">
        <v>2717</v>
      </c>
      <c r="D559" s="14" t="s">
        <v>2718</v>
      </c>
      <c r="E559" s="6" t="str">
        <f>HYPERLINK("https://twitter.com/StephanieHeit/status/1364228577277992960","1364228577277992960")</f>
        <v>1364228577277992960</v>
      </c>
      <c r="F559" s="14" t="s">
        <v>2719</v>
      </c>
      <c r="G559" s="7" t="s">
        <v>2720</v>
      </c>
      <c r="H559" s="8"/>
      <c r="I559" s="14">
        <v>27</v>
      </c>
      <c r="J559" s="14">
        <v>13</v>
      </c>
      <c r="K559" s="6" t="str">
        <f>HYPERLINK("https://socxopte.com/","SocxoPte")</f>
        <v>SocxoPte</v>
      </c>
      <c r="L559" s="15">
        <v>700</v>
      </c>
      <c r="M559" s="15">
        <v>935</v>
      </c>
      <c r="N559" s="15">
        <v>20</v>
      </c>
      <c r="O559" s="9"/>
      <c r="P559" s="10">
        <v>41009.426562499997</v>
      </c>
      <c r="Q559" s="14" t="s">
        <v>2721</v>
      </c>
      <c r="R559" s="14" t="s">
        <v>2722</v>
      </c>
      <c r="S559" s="7" t="s">
        <v>2723</v>
      </c>
      <c r="T559" s="8"/>
      <c r="U559" s="11" t="str">
        <f>HYPERLINK("https://pbs.twimg.com/profile_images/1339304118003838977/I4OKP_qh.jpg","View")</f>
        <v>View</v>
      </c>
      <c r="V559" s="8"/>
      <c r="W559" s="8"/>
      <c r="X559" s="8"/>
      <c r="Y559" s="8"/>
      <c r="Z559" s="8"/>
    </row>
    <row r="560" spans="1:26" ht="13.2">
      <c r="A560" s="13">
        <v>44250.666759259257</v>
      </c>
      <c r="B560" s="6" t="str">
        <f>HYPERLINK("https://twitter.com/deepdatacorp","@deepdatacorp")</f>
        <v>@deepdatacorp</v>
      </c>
      <c r="C560" s="14" t="s">
        <v>2724</v>
      </c>
      <c r="D560" s="14" t="s">
        <v>2725</v>
      </c>
      <c r="E560" s="6" t="str">
        <f>HYPERLINK("https://twitter.com/deepdatacorp/status/1364228553835831296","1364228553835831296")</f>
        <v>1364228553835831296</v>
      </c>
      <c r="F560" s="8"/>
      <c r="G560" s="7" t="s">
        <v>2726</v>
      </c>
      <c r="H560" s="8"/>
      <c r="I560" s="14">
        <v>0</v>
      </c>
      <c r="J560" s="14">
        <v>0</v>
      </c>
      <c r="K560" s="6" t="str">
        <f>HYPERLINK("https://www.canva.com","Canva")</f>
        <v>Canva</v>
      </c>
      <c r="L560" s="15">
        <v>27</v>
      </c>
      <c r="M560" s="15">
        <v>73</v>
      </c>
      <c r="N560" s="15">
        <v>2</v>
      </c>
      <c r="O560" s="9"/>
      <c r="P560" s="10">
        <v>41431.890717592592</v>
      </c>
      <c r="Q560" s="8"/>
      <c r="R560" s="14" t="s">
        <v>2727</v>
      </c>
      <c r="S560" s="7" t="s">
        <v>2728</v>
      </c>
      <c r="T560" s="8"/>
      <c r="U560" s="11" t="str">
        <f>HYPERLINK("https://pbs.twimg.com/profile_images/1009607202099757056/kEjNrezC.jpg","View")</f>
        <v>View</v>
      </c>
      <c r="V560" s="8"/>
      <c r="W560" s="8"/>
      <c r="X560" s="8"/>
      <c r="Y560" s="8"/>
      <c r="Z560" s="8"/>
    </row>
    <row r="561" spans="1:26" ht="13.2">
      <c r="A561" s="13">
        <v>44250.666712962964</v>
      </c>
      <c r="B561" s="6" t="str">
        <f>HYPERLINK("https://twitter.com/Radiology_AI","@Radiology_AI")</f>
        <v>@Radiology_AI</v>
      </c>
      <c r="C561" s="14" t="s">
        <v>2729</v>
      </c>
      <c r="D561" s="14" t="s">
        <v>2730</v>
      </c>
      <c r="E561" s="6" t="str">
        <f>HYPERLINK("https://twitter.com/Radiology_AI/status/1364228540846153729","1364228540846153729")</f>
        <v>1364228540846153729</v>
      </c>
      <c r="F561" s="7" t="s">
        <v>2731</v>
      </c>
      <c r="G561" s="7" t="s">
        <v>2732</v>
      </c>
      <c r="H561" s="8"/>
      <c r="I561" s="14">
        <v>2</v>
      </c>
      <c r="J561" s="14">
        <v>9</v>
      </c>
      <c r="K561" s="6" t="str">
        <f>HYPERLINK("https://pubs.rsna.org/journal/ai","Radiology: AI app")</f>
        <v>Radiology: AI app</v>
      </c>
      <c r="L561" s="15">
        <v>7117</v>
      </c>
      <c r="M561" s="15">
        <v>18</v>
      </c>
      <c r="N561" s="15">
        <v>91</v>
      </c>
      <c r="O561" s="9"/>
      <c r="P561" s="10">
        <v>43412.634467592594</v>
      </c>
      <c r="Q561" s="14" t="s">
        <v>2733</v>
      </c>
      <c r="R561" s="14" t="s">
        <v>2734</v>
      </c>
      <c r="S561" s="7" t="s">
        <v>2735</v>
      </c>
      <c r="T561" s="8"/>
      <c r="U561" s="11" t="str">
        <f>HYPERLINK("https://pbs.twimg.com/profile_images/1088215563233579008/a69L4EZB.jpg","View")</f>
        <v>View</v>
      </c>
      <c r="V561" s="8"/>
      <c r="W561" s="8"/>
      <c r="X561" s="8"/>
      <c r="Y561" s="8"/>
      <c r="Z561" s="8"/>
    </row>
    <row r="562" spans="1:26" ht="13.2">
      <c r="A562" s="13">
        <v>44250.666712962964</v>
      </c>
      <c r="B562" s="6" t="str">
        <f>HYPERLINK("https://twitter.com/RVPTJV","@RVPTJV")</f>
        <v>@RVPTJV</v>
      </c>
      <c r="C562" s="14" t="s">
        <v>2736</v>
      </c>
      <c r="D562" s="14" t="s">
        <v>2737</v>
      </c>
      <c r="E562" s="6" t="str">
        <f>HYPERLINK("https://twitter.com/RVPTJV/status/1364228540561051648","1364228540561051648")</f>
        <v>1364228540561051648</v>
      </c>
      <c r="F562" s="7" t="s">
        <v>2738</v>
      </c>
      <c r="G562" s="8"/>
      <c r="H562" s="8"/>
      <c r="I562" s="14">
        <v>1</v>
      </c>
      <c r="J562" s="14">
        <v>0</v>
      </c>
      <c r="K562" s="6" t="str">
        <f>HYPERLINK("https://getbambu.com","Bambu by Sprout Social")</f>
        <v>Bambu by Sprout Social</v>
      </c>
      <c r="L562" s="15">
        <v>6866</v>
      </c>
      <c r="M562" s="15">
        <v>185</v>
      </c>
      <c r="N562" s="15">
        <v>37</v>
      </c>
      <c r="O562" s="9"/>
      <c r="P562" s="10">
        <v>39681.073831018519</v>
      </c>
      <c r="Q562" s="14" t="s">
        <v>2739</v>
      </c>
      <c r="R562" s="14" t="s">
        <v>2740</v>
      </c>
      <c r="S562" s="7" t="s">
        <v>2741</v>
      </c>
      <c r="T562" s="8"/>
      <c r="U562" s="11" t="str">
        <f>HYPERLINK("https://pbs.twimg.com/profile_images/739827321415176192/-FBGz8an.jpg","View")</f>
        <v>View</v>
      </c>
      <c r="V562" s="8"/>
      <c r="W562" s="8"/>
      <c r="X562" s="8"/>
      <c r="Y562" s="8"/>
      <c r="Z562" s="8"/>
    </row>
    <row r="563" spans="1:26" ht="13.2">
      <c r="A563" s="13">
        <v>44250.666689814811</v>
      </c>
      <c r="B563" s="6" t="str">
        <f>HYPERLINK("https://twitter.com/mekatronik_p","@mekatronik_p")</f>
        <v>@mekatronik_p</v>
      </c>
      <c r="C563" s="14" t="s">
        <v>384</v>
      </c>
      <c r="D563" s="14" t="s">
        <v>2742</v>
      </c>
      <c r="E563" s="6" t="str">
        <f>HYPERLINK("https://twitter.com/mekatronik_p/status/1364228532461703184","1364228532461703184")</f>
        <v>1364228532461703184</v>
      </c>
      <c r="F563" s="8"/>
      <c r="G563" s="7" t="s">
        <v>2743</v>
      </c>
      <c r="H563" s="8"/>
      <c r="I563" s="14">
        <v>2</v>
      </c>
      <c r="J563" s="14">
        <v>0</v>
      </c>
      <c r="K563" s="6" t="str">
        <f>HYPERLINK("https://mobile.twitter.com","Twitter Web App")</f>
        <v>Twitter Web App</v>
      </c>
      <c r="L563" s="15">
        <v>67</v>
      </c>
      <c r="M563" s="15">
        <v>1</v>
      </c>
      <c r="N563" s="15">
        <v>0</v>
      </c>
      <c r="O563" s="9"/>
      <c r="P563" s="10">
        <v>44109.854756944449</v>
      </c>
      <c r="Q563" s="8"/>
      <c r="R563" s="14" t="s">
        <v>387</v>
      </c>
      <c r="S563" s="8"/>
      <c r="T563" s="8"/>
      <c r="U563" s="11" t="str">
        <f>HYPERLINK("https://pbs.twimg.com/profile_images/1313188373624958976/SPe0w7x4.jpg","View")</f>
        <v>View</v>
      </c>
      <c r="V563" s="8"/>
      <c r="W563" s="8"/>
      <c r="X563" s="8"/>
      <c r="Y563" s="8"/>
      <c r="Z563" s="8"/>
    </row>
    <row r="564" spans="1:26" ht="13.2">
      <c r="A564" s="13">
        <v>44250.666689814811</v>
      </c>
      <c r="B564" s="6" t="str">
        <f>HYPERLINK("https://twitter.com/reddit_ml","@reddit_ml")</f>
        <v>@reddit_ml</v>
      </c>
      <c r="C564" s="14" t="s">
        <v>2744</v>
      </c>
      <c r="D564" s="14" t="s">
        <v>2745</v>
      </c>
      <c r="E564" s="6" t="str">
        <f>HYPERLINK("https://twitter.com/reddit_ml/status/1364228531564208129","1364228531564208129")</f>
        <v>1364228531564208129</v>
      </c>
      <c r="F564" s="7" t="s">
        <v>781</v>
      </c>
      <c r="G564" s="8"/>
      <c r="H564" s="8"/>
      <c r="I564" s="14">
        <v>1</v>
      </c>
      <c r="J564" s="14">
        <v>1</v>
      </c>
      <c r="K564" s="6" t="str">
        <f>HYPERLINK("https://www.reddit.com/r/MachineLearning/","reddit-ml-bot")</f>
        <v>reddit-ml-bot</v>
      </c>
      <c r="L564" s="15">
        <v>411</v>
      </c>
      <c r="M564" s="15">
        <v>93</v>
      </c>
      <c r="N564" s="15">
        <v>35</v>
      </c>
      <c r="O564" s="9"/>
      <c r="P564" s="10">
        <v>42527.844641203701</v>
      </c>
      <c r="Q564" s="8"/>
      <c r="R564" s="8"/>
      <c r="S564" s="7" t="s">
        <v>2746</v>
      </c>
      <c r="T564" s="8"/>
      <c r="U564" s="11" t="str">
        <f>HYPERLINK("https://pbs.twimg.com/profile_images/739887457206996992/9NUmKQvu.jpg","View")</f>
        <v>View</v>
      </c>
      <c r="V564" s="8"/>
      <c r="W564" s="8"/>
      <c r="X564" s="8"/>
      <c r="Y564" s="8"/>
      <c r="Z564" s="8"/>
    </row>
    <row r="565" spans="1:26" ht="13.2">
      <c r="A565" s="13">
        <v>44250.666122685187</v>
      </c>
      <c r="B565" s="6" t="str">
        <f>HYPERLINK("https://twitter.com/NeurAutomata","@NeurAutomata")</f>
        <v>@NeurAutomata</v>
      </c>
      <c r="C565" s="14" t="s">
        <v>400</v>
      </c>
      <c r="D565" s="14" t="s">
        <v>401</v>
      </c>
      <c r="E565" s="6" t="str">
        <f>HYPERLINK("https://twitter.com/NeurAutomata/status/1364228323816087562","1364228323816087562")</f>
        <v>1364228323816087562</v>
      </c>
      <c r="F565" s="7" t="s">
        <v>2747</v>
      </c>
      <c r="G565" s="8"/>
      <c r="H565" s="8"/>
      <c r="I565" s="14">
        <v>0</v>
      </c>
      <c r="J565" s="14">
        <v>0</v>
      </c>
      <c r="K565" s="6" t="str">
        <f>HYPERLINK("https://ifttt.com","IFTTT")</f>
        <v>IFTTT</v>
      </c>
      <c r="L565" s="15">
        <v>83</v>
      </c>
      <c r="M565" s="15">
        <v>14</v>
      </c>
      <c r="N565" s="15">
        <v>3</v>
      </c>
      <c r="O565" s="9"/>
      <c r="P565" s="10">
        <v>42862.083414351851</v>
      </c>
      <c r="Q565" s="14" t="s">
        <v>403</v>
      </c>
      <c r="R565" s="14" t="s">
        <v>404</v>
      </c>
      <c r="S565" s="8"/>
      <c r="T565" s="8"/>
      <c r="U565" s="11" t="str">
        <f>HYPERLINK("https://pbs.twimg.com/profile_images/861050448672718848/oHUlrvEK.jpg","View")</f>
        <v>View</v>
      </c>
      <c r="V565" s="8"/>
      <c r="W565" s="8"/>
      <c r="X565" s="8"/>
      <c r="Y565" s="8"/>
      <c r="Z565" s="8"/>
    </row>
    <row r="566" spans="1:26" ht="13.2">
      <c r="A566" s="13">
        <v>44250.666099537033</v>
      </c>
      <c r="B566" s="6" t="str">
        <f>HYPERLINK("https://twitter.com/jskalia","@jskalia")</f>
        <v>@jskalia</v>
      </c>
      <c r="C566" s="14" t="s">
        <v>889</v>
      </c>
      <c r="D566" s="14" t="s">
        <v>2748</v>
      </c>
      <c r="E566" s="6" t="str">
        <f>HYPERLINK("https://twitter.com/jskalia/status/1364228314873925633","1364228314873925633")</f>
        <v>1364228314873925633</v>
      </c>
      <c r="F566" s="7" t="s">
        <v>2749</v>
      </c>
      <c r="G566" s="8"/>
      <c r="H566" s="8"/>
      <c r="I566" s="14">
        <v>1</v>
      </c>
      <c r="J566" s="14">
        <v>1</v>
      </c>
      <c r="K566" s="6" t="str">
        <f>HYPERLINK("https://www.hootsuite.com","Hootsuite Inc.")</f>
        <v>Hootsuite Inc.</v>
      </c>
      <c r="L566" s="15">
        <v>133</v>
      </c>
      <c r="M566" s="15">
        <v>380</v>
      </c>
      <c r="N566" s="15">
        <v>1</v>
      </c>
      <c r="O566" s="9"/>
      <c r="P566" s="10">
        <v>39660.655624999999</v>
      </c>
      <c r="Q566" s="14" t="s">
        <v>892</v>
      </c>
      <c r="R566" s="14" t="s">
        <v>893</v>
      </c>
      <c r="S566" s="7" t="s">
        <v>894</v>
      </c>
      <c r="T566" s="8"/>
      <c r="U566" s="11" t="str">
        <f>HYPERLINK("https://pbs.twimg.com/profile_images/1176302763027947525/ZsxrML09.jpg","View")</f>
        <v>View</v>
      </c>
      <c r="V566" s="8"/>
      <c r="W566" s="8"/>
      <c r="X566" s="8"/>
      <c r="Y566" s="8"/>
      <c r="Z566" s="8"/>
    </row>
    <row r="567" spans="1:26" ht="13.2">
      <c r="A567" s="13">
        <v>44250.666041666671</v>
      </c>
      <c r="B567" s="6" t="str">
        <f>HYPERLINK("https://twitter.com/KirkDBorne","@KirkDBorne")</f>
        <v>@KirkDBorne</v>
      </c>
      <c r="C567" s="14" t="s">
        <v>127</v>
      </c>
      <c r="D567" s="14" t="s">
        <v>2750</v>
      </c>
      <c r="E567" s="6" t="str">
        <f>HYPERLINK("https://twitter.com/KirkDBorne/status/1364228297345925120","1364228297345925120")</f>
        <v>1364228297345925120</v>
      </c>
      <c r="F567" s="14" t="s">
        <v>2751</v>
      </c>
      <c r="G567" s="7" t="s">
        <v>2752</v>
      </c>
      <c r="H567" s="8"/>
      <c r="I567" s="14">
        <v>16</v>
      </c>
      <c r="J567" s="14">
        <v>17</v>
      </c>
      <c r="K567" s="6" t="str">
        <f>HYPERLINK("http://twitter.com/download/iphone","Twitter for iPhone")</f>
        <v>Twitter for iPhone</v>
      </c>
      <c r="L567" s="15">
        <v>273892</v>
      </c>
      <c r="M567" s="15">
        <v>8969</v>
      </c>
      <c r="N567" s="15">
        <v>8299</v>
      </c>
      <c r="O567" s="15" t="s">
        <v>130</v>
      </c>
      <c r="P567" s="10">
        <v>40991.732835648145</v>
      </c>
      <c r="Q567" s="14" t="s">
        <v>131</v>
      </c>
      <c r="R567" s="14" t="s">
        <v>132</v>
      </c>
      <c r="S567" s="7" t="s">
        <v>133</v>
      </c>
      <c r="T567" s="8"/>
      <c r="U567" s="11" t="str">
        <f>HYPERLINK("https://pbs.twimg.com/profile_images/1112733580948635648/s-8d1avb.jpg","View")</f>
        <v>View</v>
      </c>
      <c r="V567" s="8"/>
      <c r="W567" s="8"/>
      <c r="X567" s="8"/>
      <c r="Y567" s="8"/>
      <c r="Z567" s="8"/>
    </row>
    <row r="568" spans="1:26" ht="13.2">
      <c r="A568" s="13">
        <v>44250.665277777778</v>
      </c>
      <c r="B568" s="6" t="str">
        <f>HYPERLINK("https://twitter.com/derivedfromdata","@derivedfromdata")</f>
        <v>@derivedfromdata</v>
      </c>
      <c r="C568" s="14" t="s">
        <v>2091</v>
      </c>
      <c r="D568" s="14" t="s">
        <v>2753</v>
      </c>
      <c r="E568" s="6" t="str">
        <f>HYPERLINK("https://twitter.com/derivedfromdata/status/1364228017891930120","1364228017891930120")</f>
        <v>1364228017891930120</v>
      </c>
      <c r="F568" s="7" t="s">
        <v>2754</v>
      </c>
      <c r="G568" s="7" t="s">
        <v>2755</v>
      </c>
      <c r="H568" s="8"/>
      <c r="I568" s="14">
        <v>0</v>
      </c>
      <c r="J568" s="14">
        <v>1</v>
      </c>
      <c r="K568" s="6" t="str">
        <f>HYPERLINK("https://mobile.twitter.com","Twitter Web App")</f>
        <v>Twitter Web App</v>
      </c>
      <c r="L568" s="15">
        <v>227</v>
      </c>
      <c r="M568" s="15">
        <v>233</v>
      </c>
      <c r="N568" s="15">
        <v>10</v>
      </c>
      <c r="O568" s="9"/>
      <c r="P568" s="10">
        <v>43939.131342592591</v>
      </c>
      <c r="Q568" s="8"/>
      <c r="R568" s="14" t="s">
        <v>2095</v>
      </c>
      <c r="S568" s="7" t="s">
        <v>2096</v>
      </c>
      <c r="T568" s="8"/>
      <c r="U568" s="11" t="str">
        <f>HYPERLINK("https://pbs.twimg.com/profile_images/1277710688958525442/1KDd8mtL.jpg","View")</f>
        <v>View</v>
      </c>
      <c r="V568" s="8"/>
      <c r="W568" s="8"/>
      <c r="X568" s="8"/>
      <c r="Y568" s="8"/>
      <c r="Z568" s="8"/>
    </row>
    <row r="569" spans="1:26" ht="13.2">
      <c r="A569" s="13">
        <v>44250.664756944447</v>
      </c>
      <c r="B569" s="6" t="str">
        <f>HYPERLINK("https://twitter.com/Suresh_RJS","@Suresh_RJS")</f>
        <v>@Suresh_RJS</v>
      </c>
      <c r="C569" s="14" t="s">
        <v>2756</v>
      </c>
      <c r="D569" s="14" t="s">
        <v>1180</v>
      </c>
      <c r="E569" s="6" t="str">
        <f>HYPERLINK("https://twitter.com/Suresh_RJS/status/1364227829768970246","1364227829768970246")</f>
        <v>1364227829768970246</v>
      </c>
      <c r="F569" s="7" t="s">
        <v>2757</v>
      </c>
      <c r="G569" s="7" t="s">
        <v>2758</v>
      </c>
      <c r="H569" s="8"/>
      <c r="I569" s="14">
        <v>0</v>
      </c>
      <c r="J569" s="14">
        <v>1</v>
      </c>
      <c r="K569" s="6" t="str">
        <f>HYPERLINK("http://dynamicsignal.com/","Dynamic Signal")</f>
        <v>Dynamic Signal</v>
      </c>
      <c r="L569" s="15">
        <v>111</v>
      </c>
      <c r="M569" s="15">
        <v>550</v>
      </c>
      <c r="N569" s="15">
        <v>0</v>
      </c>
      <c r="O569" s="9"/>
      <c r="P569" s="10">
        <v>40304.62300925926</v>
      </c>
      <c r="Q569" s="14" t="s">
        <v>2759</v>
      </c>
      <c r="R569" s="14" t="s">
        <v>2760</v>
      </c>
      <c r="S569" s="7" t="s">
        <v>2761</v>
      </c>
      <c r="T569" s="8"/>
      <c r="U569" s="11" t="str">
        <f>HYPERLINK("https://pbs.twimg.com/profile_images/1272572773399957504/RdrSzzsc.jpg","View")</f>
        <v>View</v>
      </c>
      <c r="V569" s="8"/>
      <c r="W569" s="8"/>
      <c r="X569" s="8"/>
      <c r="Y569" s="8"/>
      <c r="Z569" s="8"/>
    </row>
    <row r="570" spans="1:26" ht="13.2">
      <c r="A570" s="13">
        <v>44250.66405092593</v>
      </c>
      <c r="B570" s="6" t="str">
        <f>HYPERLINK("https://twitter.com/amasolAG","@amasolAG")</f>
        <v>@amasolAG</v>
      </c>
      <c r="C570" s="14" t="s">
        <v>2762</v>
      </c>
      <c r="D570" s="14" t="s">
        <v>2763</v>
      </c>
      <c r="E570" s="6" t="str">
        <f>HYPERLINK("https://twitter.com/amasolAG/status/1364227575740993543","1364227575740993543")</f>
        <v>1364227575740993543</v>
      </c>
      <c r="F570" s="7" t="s">
        <v>2764</v>
      </c>
      <c r="G570" s="7" t="s">
        <v>2765</v>
      </c>
      <c r="H570" s="8"/>
      <c r="I570" s="14">
        <v>0</v>
      </c>
      <c r="J570" s="14">
        <v>1</v>
      </c>
      <c r="K570" s="6" t="str">
        <f>HYPERLINK("https://mobile.twitter.com","Twitter Web App")</f>
        <v>Twitter Web App</v>
      </c>
      <c r="L570" s="15">
        <v>1387</v>
      </c>
      <c r="M570" s="15">
        <v>3945</v>
      </c>
      <c r="N570" s="15">
        <v>98</v>
      </c>
      <c r="O570" s="9"/>
      <c r="P570" s="10">
        <v>42065.40662037037</v>
      </c>
      <c r="Q570" s="14" t="s">
        <v>2766</v>
      </c>
      <c r="R570" s="14" t="s">
        <v>2767</v>
      </c>
      <c r="S570" s="7" t="s">
        <v>2768</v>
      </c>
      <c r="T570" s="8"/>
      <c r="U570" s="11" t="str">
        <f>HYPERLINK("https://pbs.twimg.com/profile_images/1314580754299576320/l1tjeGjk.jpg","View")</f>
        <v>View</v>
      </c>
      <c r="V570" s="8"/>
      <c r="W570" s="8"/>
      <c r="X570" s="8"/>
      <c r="Y570" s="8"/>
      <c r="Z570" s="8"/>
    </row>
    <row r="571" spans="1:26" ht="13.2">
      <c r="A571" s="13">
        <v>44250.663113425922</v>
      </c>
      <c r="B571" s="6" t="str">
        <f>HYPERLINK("https://twitter.com/ahmadfaizan965","@ahmadfaizan965")</f>
        <v>@ahmadfaizan965</v>
      </c>
      <c r="C571" s="14" t="s">
        <v>2769</v>
      </c>
      <c r="D571" s="14" t="s">
        <v>2770</v>
      </c>
      <c r="E571" s="6" t="str">
        <f>HYPERLINK("https://twitter.com/ahmadfaizan965/status/1364227232885923840","1364227232885923840")</f>
        <v>1364227232885923840</v>
      </c>
      <c r="F571" s="8"/>
      <c r="G571" s="7" t="s">
        <v>2771</v>
      </c>
      <c r="H571" s="8"/>
      <c r="I571" s="14">
        <v>35</v>
      </c>
      <c r="J571" s="14">
        <v>18</v>
      </c>
      <c r="K571" s="6" t="str">
        <f>HYPERLINK("http://twitter.com/download/android","Twitter for Android")</f>
        <v>Twitter for Android</v>
      </c>
      <c r="L571" s="15">
        <v>41</v>
      </c>
      <c r="M571" s="15">
        <v>146</v>
      </c>
      <c r="N571" s="15">
        <v>1</v>
      </c>
      <c r="O571" s="9"/>
      <c r="P571" s="10">
        <v>44084.458368055552</v>
      </c>
      <c r="Q571" s="14" t="s">
        <v>2772</v>
      </c>
      <c r="R571" s="14" t="s">
        <v>2773</v>
      </c>
      <c r="S571" s="8"/>
      <c r="T571" s="8"/>
      <c r="U571" s="11" t="str">
        <f>HYPERLINK("https://pbs.twimg.com/profile_images/1359585260346875904/QI2f1JbZ.jpg","View")</f>
        <v>View</v>
      </c>
      <c r="V571" s="8"/>
      <c r="W571" s="8"/>
      <c r="X571" s="8"/>
      <c r="Y571" s="8"/>
      <c r="Z571" s="8"/>
    </row>
    <row r="572" spans="1:26" ht="13.2">
      <c r="A572" s="13">
        <v>44250.662905092591</v>
      </c>
      <c r="B572" s="6" t="str">
        <f>HYPERLINK("https://twitter.com/machinelearnflx","@machinelearnflx")</f>
        <v>@machinelearnflx</v>
      </c>
      <c r="C572" s="14" t="s">
        <v>279</v>
      </c>
      <c r="D572" s="14" t="s">
        <v>2774</v>
      </c>
      <c r="E572" s="6" t="str">
        <f>HYPERLINK("https://twitter.com/machinelearnflx/status/1364227157661130753","1364227157661130753")</f>
        <v>1364227157661130753</v>
      </c>
      <c r="F572" s="7" t="s">
        <v>2775</v>
      </c>
      <c r="G572" s="8"/>
      <c r="H572" s="8"/>
      <c r="I572" s="14">
        <v>4</v>
      </c>
      <c r="J572" s="14">
        <v>8</v>
      </c>
      <c r="K572" s="6" t="str">
        <f>HYPERLINK("https://twitter.com/pythonbot_","Postmatico")</f>
        <v>Postmatico</v>
      </c>
      <c r="L572" s="15">
        <v>90451</v>
      </c>
      <c r="M572" s="15">
        <v>35464</v>
      </c>
      <c r="N572" s="15">
        <v>2227</v>
      </c>
      <c r="O572" s="9"/>
      <c r="P572" s="10">
        <v>42386.538865740746</v>
      </c>
      <c r="Q572" s="8"/>
      <c r="R572" s="14" t="s">
        <v>282</v>
      </c>
      <c r="S572" s="7" t="s">
        <v>283</v>
      </c>
      <c r="T572" s="8"/>
      <c r="U572" s="11" t="str">
        <f>HYPERLINK("https://pbs.twimg.com/profile_images/688735459892195329/v8sHaWSG.jpg","View")</f>
        <v>View</v>
      </c>
      <c r="V572" s="8"/>
      <c r="W572" s="8"/>
      <c r="X572" s="8"/>
      <c r="Y572" s="8"/>
      <c r="Z572" s="8"/>
    </row>
    <row r="573" spans="1:26" ht="13.2">
      <c r="A573" s="13">
        <v>44250.66207175926</v>
      </c>
      <c r="B573" s="6" t="str">
        <f>HYPERLINK("https://twitter.com/IainLJBrown","@IainLJBrown")</f>
        <v>@IainLJBrown</v>
      </c>
      <c r="C573" s="14" t="s">
        <v>2776</v>
      </c>
      <c r="D573" s="14" t="s">
        <v>2777</v>
      </c>
      <c r="E573" s="6" t="str">
        <f>HYPERLINK("https://twitter.com/IainLJBrown/status/1364226858607255558","1364226858607255558")</f>
        <v>1364226858607255558</v>
      </c>
      <c r="F573" s="7" t="s">
        <v>2778</v>
      </c>
      <c r="G573" s="8"/>
      <c r="H573" s="8"/>
      <c r="I573" s="14">
        <v>29</v>
      </c>
      <c r="J573" s="14">
        <v>15</v>
      </c>
      <c r="K573" s="6" t="str">
        <f>HYPERLINK("https://ifttt.com","IFTTT")</f>
        <v>IFTTT</v>
      </c>
      <c r="L573" s="15">
        <v>115543</v>
      </c>
      <c r="M573" s="15">
        <v>98727</v>
      </c>
      <c r="N573" s="15">
        <v>423</v>
      </c>
      <c r="O573" s="9"/>
      <c r="P573" s="10">
        <v>40926.673900462964</v>
      </c>
      <c r="Q573" s="14" t="s">
        <v>753</v>
      </c>
      <c r="R573" s="14" t="s">
        <v>2779</v>
      </c>
      <c r="S573" s="7" t="s">
        <v>2780</v>
      </c>
      <c r="T573" s="8"/>
      <c r="U573" s="11" t="str">
        <f>HYPERLINK("https://pbs.twimg.com/profile_images/1352606177352364032/jQ7AI0vG.jpg","View")</f>
        <v>View</v>
      </c>
      <c r="V573" s="8"/>
      <c r="W573" s="8"/>
      <c r="X573" s="8"/>
      <c r="Y573" s="8"/>
      <c r="Z573" s="8"/>
    </row>
    <row r="574" spans="1:26" ht="13.2">
      <c r="A574" s="13">
        <v>44250.661504629628</v>
      </c>
      <c r="B574" s="6" t="str">
        <f>HYPERLINK("https://twitter.com/DDNewsOnline","@DDNewsOnline")</f>
        <v>@DDNewsOnline</v>
      </c>
      <c r="C574" s="14" t="s">
        <v>2781</v>
      </c>
      <c r="D574" s="14" t="s">
        <v>2782</v>
      </c>
      <c r="E574" s="6" t="str">
        <f>HYPERLINK("https://twitter.com/DDNewsOnline/status/1364226652121616387","1364226652121616387")</f>
        <v>1364226652121616387</v>
      </c>
      <c r="F574" s="7" t="s">
        <v>2783</v>
      </c>
      <c r="G574" s="7" t="s">
        <v>2784</v>
      </c>
      <c r="H574" s="8"/>
      <c r="I574" s="14">
        <v>1</v>
      </c>
      <c r="J574" s="14">
        <v>2</v>
      </c>
      <c r="K574" s="6" t="str">
        <f>HYPERLINK("https://mobile.twitter.com","Twitter Web App")</f>
        <v>Twitter Web App</v>
      </c>
      <c r="L574" s="15">
        <v>3067</v>
      </c>
      <c r="M574" s="15">
        <v>427</v>
      </c>
      <c r="N574" s="15">
        <v>89</v>
      </c>
      <c r="O574" s="9"/>
      <c r="P574" s="10">
        <v>39792.812025462961</v>
      </c>
      <c r="Q574" s="14" t="s">
        <v>2785</v>
      </c>
      <c r="R574" s="14" t="s">
        <v>2786</v>
      </c>
      <c r="S574" s="7" t="s">
        <v>2787</v>
      </c>
      <c r="T574" s="8"/>
      <c r="U574" s="11" t="str">
        <f>HYPERLINK("https://pbs.twimg.com/profile_images/1286709262287278080/SHRMveT5.jpg","View")</f>
        <v>View</v>
      </c>
      <c r="V574" s="8"/>
      <c r="W574" s="8"/>
      <c r="X574" s="8"/>
      <c r="Y574" s="8"/>
      <c r="Z574" s="8"/>
    </row>
    <row r="575" spans="1:26" ht="13.2">
      <c r="A575" s="13">
        <v>44250.66101851852</v>
      </c>
      <c r="B575" s="6" t="str">
        <f>HYPERLINK("https://twitter.com/bgalan2001","@bgalan2001")</f>
        <v>@bgalan2001</v>
      </c>
      <c r="C575" s="14" t="s">
        <v>2788</v>
      </c>
      <c r="D575" s="14" t="s">
        <v>1180</v>
      </c>
      <c r="E575" s="6" t="str">
        <f>HYPERLINK("https://twitter.com/bgalan2001/status/1364226475168161799","1364226475168161799")</f>
        <v>1364226475168161799</v>
      </c>
      <c r="F575" s="7" t="s">
        <v>2789</v>
      </c>
      <c r="G575" s="7" t="s">
        <v>2790</v>
      </c>
      <c r="H575" s="8"/>
      <c r="I575" s="14">
        <v>0</v>
      </c>
      <c r="J575" s="14">
        <v>2</v>
      </c>
      <c r="K575" s="6" t="str">
        <f>HYPERLINK("http://dynamicsignal.com/","Dynamic Signal")</f>
        <v>Dynamic Signal</v>
      </c>
      <c r="L575" s="15">
        <v>27</v>
      </c>
      <c r="M575" s="15">
        <v>131</v>
      </c>
      <c r="N575" s="15">
        <v>55</v>
      </c>
      <c r="O575" s="9"/>
      <c r="P575" s="10">
        <v>40071.946932870371</v>
      </c>
      <c r="Q575" s="8"/>
      <c r="R575" s="8"/>
      <c r="S575" s="8"/>
      <c r="T575" s="8"/>
      <c r="U575" s="11" t="str">
        <f>HYPERLINK("https://pbs.twimg.com/profile_images/743871392416825345/PDkp5A4G.jpg","View")</f>
        <v>View</v>
      </c>
      <c r="V575" s="8"/>
      <c r="W575" s="8"/>
      <c r="X575" s="8"/>
      <c r="Y575" s="8"/>
      <c r="Z575" s="8"/>
    </row>
    <row r="576" spans="1:26" ht="13.2">
      <c r="A576" s="13">
        <v>44250.660925925928</v>
      </c>
      <c r="B576" s="6" t="str">
        <f>HYPERLINK("https://twitter.com/azuleducation","@azuleducation")</f>
        <v>@azuleducation</v>
      </c>
      <c r="C576" s="14" t="s">
        <v>2791</v>
      </c>
      <c r="D576" s="14" t="s">
        <v>2792</v>
      </c>
      <c r="E576" s="6" t="str">
        <f>HYPERLINK("https://twitter.com/azuleducation/status/1364226440846135301","1364226440846135301")</f>
        <v>1364226440846135301</v>
      </c>
      <c r="F576" s="8"/>
      <c r="G576" s="7" t="s">
        <v>2793</v>
      </c>
      <c r="H576" s="8"/>
      <c r="I576" s="14">
        <v>1</v>
      </c>
      <c r="J576" s="14">
        <v>2</v>
      </c>
      <c r="K576" s="6" t="str">
        <f t="shared" ref="K576:K577" si="85">HYPERLINK("https://mobile.twitter.com","Twitter Web App")</f>
        <v>Twitter Web App</v>
      </c>
      <c r="L576" s="15">
        <v>30</v>
      </c>
      <c r="M576" s="15">
        <v>226</v>
      </c>
      <c r="N576" s="15">
        <v>0</v>
      </c>
      <c r="O576" s="9"/>
      <c r="P576" s="10">
        <v>44186.309351851851</v>
      </c>
      <c r="Q576" s="14" t="s">
        <v>403</v>
      </c>
      <c r="R576" s="14" t="s">
        <v>2794</v>
      </c>
      <c r="S576" s="7" t="s">
        <v>2795</v>
      </c>
      <c r="T576" s="8"/>
      <c r="U576" s="11" t="str">
        <f>HYPERLINK("https://pbs.twimg.com/profile_images/1344318013638660096/OPbO1nfY.jpg","View")</f>
        <v>View</v>
      </c>
      <c r="V576" s="8"/>
      <c r="W576" s="8"/>
      <c r="X576" s="8"/>
      <c r="Y576" s="8"/>
      <c r="Z576" s="8"/>
    </row>
    <row r="577" spans="1:26" ht="13.2">
      <c r="A577" s="13">
        <v>44250.660891203705</v>
      </c>
      <c r="B577" s="6" t="str">
        <f>HYPERLINK("https://twitter.com/PyImageSearch","@PyImageSearch")</f>
        <v>@PyImageSearch</v>
      </c>
      <c r="C577" s="14" t="s">
        <v>2796</v>
      </c>
      <c r="D577" s="14" t="s">
        <v>2797</v>
      </c>
      <c r="E577" s="6" t="str">
        <f>HYPERLINK("https://twitter.com/PyImageSearch/status/1364226427478966278","1364226427478966278")</f>
        <v>1364226427478966278</v>
      </c>
      <c r="F577" s="7" t="s">
        <v>2798</v>
      </c>
      <c r="G577" s="7" t="s">
        <v>2799</v>
      </c>
      <c r="H577" s="8"/>
      <c r="I577" s="14">
        <v>15</v>
      </c>
      <c r="J577" s="14">
        <v>50</v>
      </c>
      <c r="K577" s="6" t="str">
        <f t="shared" si="85"/>
        <v>Twitter Web App</v>
      </c>
      <c r="L577" s="15">
        <v>25764</v>
      </c>
      <c r="M577" s="15">
        <v>822</v>
      </c>
      <c r="N577" s="15">
        <v>565</v>
      </c>
      <c r="O577" s="9"/>
      <c r="P577" s="10">
        <v>41651.905011574076</v>
      </c>
      <c r="Q577" s="14" t="s">
        <v>2800</v>
      </c>
      <c r="R577" s="14" t="s">
        <v>2801</v>
      </c>
      <c r="S577" s="7" t="s">
        <v>2802</v>
      </c>
      <c r="T577" s="8"/>
      <c r="U577" s="11" t="str">
        <f>HYPERLINK("https://pbs.twimg.com/profile_images/1204454922944684036/EoIMiiPP.jpg","View")</f>
        <v>View</v>
      </c>
      <c r="V577" s="8"/>
      <c r="W577" s="8"/>
      <c r="X577" s="8"/>
      <c r="Y577" s="8"/>
      <c r="Z577" s="8"/>
    </row>
    <row r="578" spans="1:26" ht="13.2">
      <c r="A578" s="13">
        <v>44250.660810185189</v>
      </c>
      <c r="B578" s="6" t="str">
        <f>HYPERLINK("https://twitter.com/cornichecorp","@cornichecorp")</f>
        <v>@cornichecorp</v>
      </c>
      <c r="C578" s="14" t="s">
        <v>2271</v>
      </c>
      <c r="D578" s="14" t="s">
        <v>2803</v>
      </c>
      <c r="E578" s="6" t="str">
        <f>HYPERLINK("https://twitter.com/cornichecorp/status/1364226401801408515","1364226401801408515")</f>
        <v>1364226401801408515</v>
      </c>
      <c r="F578" s="14" t="s">
        <v>2804</v>
      </c>
      <c r="G578" s="8"/>
      <c r="H578" s="8"/>
      <c r="I578" s="14">
        <v>1</v>
      </c>
      <c r="J578" s="14">
        <v>1</v>
      </c>
      <c r="K578" s="6" t="str">
        <f>HYPERLINK("http://twinybots.com","TwinyBots")</f>
        <v>TwinyBots</v>
      </c>
      <c r="L578" s="15">
        <v>2349</v>
      </c>
      <c r="M578" s="15">
        <v>2163</v>
      </c>
      <c r="N578" s="15">
        <v>30</v>
      </c>
      <c r="O578" s="9"/>
      <c r="P578" s="10">
        <v>42246.917499999996</v>
      </c>
      <c r="Q578" s="14" t="s">
        <v>2274</v>
      </c>
      <c r="R578" s="14" t="s">
        <v>2275</v>
      </c>
      <c r="S578" s="8"/>
      <c r="T578" s="8"/>
      <c r="U578" s="11" t="str">
        <f>HYPERLINK("https://pbs.twimg.com/profile_images/1135863200396775424/vPe8Htor.png","View")</f>
        <v>View</v>
      </c>
      <c r="V578" s="8"/>
      <c r="W578" s="8"/>
      <c r="X578" s="8"/>
      <c r="Y578" s="8"/>
      <c r="Z578" s="8"/>
    </row>
    <row r="579" spans="1:26" ht="13.2">
      <c r="A579" s="13">
        <v>44250.660752314812</v>
      </c>
      <c r="B579" s="6" t="str">
        <f>HYPERLINK("https://twitter.com/sabrepc","@sabrepc")</f>
        <v>@sabrepc</v>
      </c>
      <c r="C579" s="14" t="s">
        <v>2805</v>
      </c>
      <c r="D579" s="14" t="s">
        <v>2806</v>
      </c>
      <c r="E579" s="6" t="str">
        <f>HYPERLINK("https://twitter.com/sabrepc/status/1364226379953283073","1364226379953283073")</f>
        <v>1364226379953283073</v>
      </c>
      <c r="F579" s="7" t="s">
        <v>2807</v>
      </c>
      <c r="G579" s="7" t="s">
        <v>2808</v>
      </c>
      <c r="H579" s="8"/>
      <c r="I579" s="14">
        <v>7</v>
      </c>
      <c r="J579" s="14">
        <v>4</v>
      </c>
      <c r="K579" s="6" t="str">
        <f>HYPERLINK("https://mobile.twitter.com","Twitter Web App")</f>
        <v>Twitter Web App</v>
      </c>
      <c r="L579" s="15">
        <v>146</v>
      </c>
      <c r="M579" s="15">
        <v>367</v>
      </c>
      <c r="N579" s="15">
        <v>2</v>
      </c>
      <c r="O579" s="9"/>
      <c r="P579" s="10">
        <v>40590.100138888891</v>
      </c>
      <c r="Q579" s="14" t="s">
        <v>2809</v>
      </c>
      <c r="R579" s="14" t="s">
        <v>2810</v>
      </c>
      <c r="S579" s="7" t="s">
        <v>2811</v>
      </c>
      <c r="T579" s="8"/>
      <c r="U579" s="11" t="str">
        <f>HYPERLINK("https://pbs.twimg.com/profile_images/1153718358107279361/vHfK4iDC.png","View")</f>
        <v>View</v>
      </c>
      <c r="V579" s="8"/>
      <c r="W579" s="8"/>
      <c r="X579" s="8"/>
      <c r="Y579" s="8"/>
      <c r="Z579" s="8"/>
    </row>
    <row r="580" spans="1:26" ht="13.2">
      <c r="A580" s="13">
        <v>44250.660752314812</v>
      </c>
      <c r="B580" s="6" t="str">
        <f>HYPERLINK("https://twitter.com/arXiv__ml","@arXiv__ml")</f>
        <v>@arXiv__ml</v>
      </c>
      <c r="C580" s="14" t="s">
        <v>2812</v>
      </c>
      <c r="D580" s="14" t="s">
        <v>2813</v>
      </c>
      <c r="E580" s="6" t="str">
        <f>HYPERLINK("https://twitter.com/arXiv__ml/status/1364226378913128450","1364226378913128450")</f>
        <v>1364226378913128450</v>
      </c>
      <c r="F580" s="7" t="s">
        <v>2814</v>
      </c>
      <c r="G580" s="8"/>
      <c r="H580" s="8"/>
      <c r="I580" s="14">
        <v>0</v>
      </c>
      <c r="J580" s="14">
        <v>2</v>
      </c>
      <c r="K580" s="6" t="str">
        <f>HYPERLINK("https://ifttt.com","IFTTT")</f>
        <v>IFTTT</v>
      </c>
      <c r="L580" s="15">
        <v>2542</v>
      </c>
      <c r="M580" s="15">
        <v>1470</v>
      </c>
      <c r="N580" s="15">
        <v>73</v>
      </c>
      <c r="O580" s="9"/>
      <c r="P580" s="10">
        <v>43387.731759259259</v>
      </c>
      <c r="Q580" s="14" t="s">
        <v>1036</v>
      </c>
      <c r="R580" s="14" t="s">
        <v>2815</v>
      </c>
      <c r="S580" s="7" t="s">
        <v>2816</v>
      </c>
      <c r="T580" s="8"/>
      <c r="U580" s="11" t="str">
        <f>HYPERLINK("https://pbs.twimg.com/profile_images/1067085474131394560/QOHl5dzN.jpg","View")</f>
        <v>View</v>
      </c>
      <c r="V580" s="8"/>
      <c r="W580" s="8"/>
      <c r="X580" s="8"/>
      <c r="Y580" s="8"/>
      <c r="Z580" s="8"/>
    </row>
    <row r="581" spans="1:26" ht="13.2">
      <c r="A581" s="13">
        <v>44250.660358796296</v>
      </c>
      <c r="B581" s="6" t="str">
        <f>HYPERLINK("https://twitter.com/ravi_b_parikh","@ravi_b_parikh")</f>
        <v>@ravi_b_parikh</v>
      </c>
      <c r="C581" s="14" t="s">
        <v>2817</v>
      </c>
      <c r="D581" s="14" t="s">
        <v>2818</v>
      </c>
      <c r="E581" s="6" t="str">
        <f>HYPERLINK("https://twitter.com/ravi_b_parikh/status/1364226237153955845","1364226237153955845")</f>
        <v>1364226237153955845</v>
      </c>
      <c r="F581" s="7" t="s">
        <v>2819</v>
      </c>
      <c r="G581" s="7" t="s">
        <v>2820</v>
      </c>
      <c r="H581" s="8"/>
      <c r="I581" s="14">
        <v>12</v>
      </c>
      <c r="J581" s="14">
        <v>25</v>
      </c>
      <c r="K581" s="6" t="str">
        <f>HYPERLINK("https://mobile.twitter.com","Twitter Web App")</f>
        <v>Twitter Web App</v>
      </c>
      <c r="L581" s="15">
        <v>1534</v>
      </c>
      <c r="M581" s="15">
        <v>977</v>
      </c>
      <c r="N581" s="15">
        <v>43</v>
      </c>
      <c r="O581" s="9"/>
      <c r="P581" s="10">
        <v>41516.110046296293</v>
      </c>
      <c r="Q581" s="14" t="s">
        <v>2800</v>
      </c>
      <c r="R581" s="14" t="s">
        <v>2821</v>
      </c>
      <c r="S581" s="7" t="s">
        <v>2822</v>
      </c>
      <c r="T581" s="8"/>
      <c r="U581" s="11" t="str">
        <f>HYPERLINK("https://pbs.twimg.com/profile_images/1160933433566085122/PUKboqi9.jpg","View")</f>
        <v>View</v>
      </c>
      <c r="V581" s="8"/>
      <c r="W581" s="8"/>
      <c r="X581" s="8"/>
      <c r="Y581" s="8"/>
      <c r="Z581" s="8"/>
    </row>
    <row r="582" spans="1:26" ht="13.2">
      <c r="A582" s="13">
        <v>44250.659432870365</v>
      </c>
      <c r="B582" s="6" t="str">
        <f>HYPERLINK("https://twitter.com/cba_sportspicks","@cba_sportspicks")</f>
        <v>@cba_sportspicks</v>
      </c>
      <c r="C582" s="14" t="s">
        <v>2823</v>
      </c>
      <c r="D582" s="14" t="s">
        <v>2824</v>
      </c>
      <c r="E582" s="6" t="str">
        <f>HYPERLINK("https://twitter.com/cba_sportspicks/status/1364225902591180816","1364225902591180816")</f>
        <v>1364225902591180816</v>
      </c>
      <c r="F582" s="8"/>
      <c r="G582" s="8"/>
      <c r="H582" s="8"/>
      <c r="I582" s="14">
        <v>0</v>
      </c>
      <c r="J582" s="14">
        <v>2</v>
      </c>
      <c r="K582" s="8"/>
      <c r="L582" s="15">
        <v>31</v>
      </c>
      <c r="M582" s="15">
        <v>198</v>
      </c>
      <c r="N582" s="15">
        <v>0</v>
      </c>
      <c r="O582" s="9"/>
      <c r="P582" s="10">
        <v>44236.713229166664</v>
      </c>
      <c r="Q582" s="8"/>
      <c r="R582" s="14" t="s">
        <v>2825</v>
      </c>
      <c r="S582" s="8"/>
      <c r="T582" s="8"/>
      <c r="U582" s="15" t="s">
        <v>1879</v>
      </c>
      <c r="V582" s="8"/>
      <c r="W582" s="8"/>
      <c r="X582" s="8"/>
      <c r="Y582" s="8"/>
      <c r="Z582" s="8"/>
    </row>
    <row r="583" spans="1:26" ht="13.2">
      <c r="A583" s="13">
        <v>44250.659386574072</v>
      </c>
      <c r="B583" s="6" t="str">
        <f>HYPERLINK("https://twitter.com/quantUniversity","@quantUniversity")</f>
        <v>@quantUniversity</v>
      </c>
      <c r="C583" s="14" t="s">
        <v>2826</v>
      </c>
      <c r="D583" s="14" t="s">
        <v>2827</v>
      </c>
      <c r="E583" s="6" t="str">
        <f>HYPERLINK("https://twitter.com/quantUniversity/status/1364225885574991873","1364225885574991873")</f>
        <v>1364225885574991873</v>
      </c>
      <c r="F583" s="7" t="s">
        <v>2828</v>
      </c>
      <c r="G583" s="8"/>
      <c r="H583" s="8"/>
      <c r="I583" s="14">
        <v>1</v>
      </c>
      <c r="J583" s="14">
        <v>1</v>
      </c>
      <c r="K583" s="6" t="str">
        <f t="shared" ref="K583:K589" si="86">HYPERLINK("https://mobile.twitter.com","Twitter Web App")</f>
        <v>Twitter Web App</v>
      </c>
      <c r="L583" s="15">
        <v>52</v>
      </c>
      <c r="M583" s="15">
        <v>37</v>
      </c>
      <c r="N583" s="15">
        <v>1</v>
      </c>
      <c r="O583" s="9"/>
      <c r="P583" s="10">
        <v>40629.58326388889</v>
      </c>
      <c r="Q583" s="14" t="s">
        <v>221</v>
      </c>
      <c r="R583" s="14" t="s">
        <v>2829</v>
      </c>
      <c r="S583" s="7" t="s">
        <v>2830</v>
      </c>
      <c r="T583" s="8"/>
      <c r="U583" s="11" t="str">
        <f>HYPERLINK("https://pbs.twimg.com/profile_images/1318928153151156228/QEkUb1UL.jpg","View")</f>
        <v>View</v>
      </c>
      <c r="V583" s="8"/>
      <c r="W583" s="8"/>
      <c r="X583" s="8"/>
      <c r="Y583" s="8"/>
      <c r="Z583" s="8"/>
    </row>
    <row r="584" spans="1:26" ht="13.2">
      <c r="A584" s="13">
        <v>44250.659305555557</v>
      </c>
      <c r="B584" s="6" t="str">
        <f>HYPERLINK("https://twitter.com/netcarreiras","@netcarreiras")</f>
        <v>@netcarreiras</v>
      </c>
      <c r="C584" s="14" t="s">
        <v>2831</v>
      </c>
      <c r="D584" s="14" t="s">
        <v>2832</v>
      </c>
      <c r="E584" s="6" t="str">
        <f>HYPERLINK("https://twitter.com/netcarreiras/status/1364225854977417218","1364225854977417218")</f>
        <v>1364225854977417218</v>
      </c>
      <c r="F584" s="7" t="s">
        <v>2833</v>
      </c>
      <c r="G584" s="8"/>
      <c r="H584" s="8"/>
      <c r="I584" s="14">
        <v>0</v>
      </c>
      <c r="J584" s="14">
        <v>1</v>
      </c>
      <c r="K584" s="6" t="str">
        <f t="shared" si="86"/>
        <v>Twitter Web App</v>
      </c>
      <c r="L584" s="15">
        <v>1274</v>
      </c>
      <c r="M584" s="15">
        <v>329</v>
      </c>
      <c r="N584" s="15">
        <v>42</v>
      </c>
      <c r="O584" s="9"/>
      <c r="P584" s="10">
        <v>40239.792523148149</v>
      </c>
      <c r="Q584" s="14" t="s">
        <v>2834</v>
      </c>
      <c r="R584" s="14" t="s">
        <v>2835</v>
      </c>
      <c r="S584" s="7" t="s">
        <v>2836</v>
      </c>
      <c r="T584" s="8"/>
      <c r="U584" s="11" t="str">
        <f>HYPERLINK("https://pbs.twimg.com/profile_images/1133795533573820417/dFZjCue4.png","View")</f>
        <v>View</v>
      </c>
      <c r="V584" s="8"/>
      <c r="W584" s="8"/>
      <c r="X584" s="8"/>
      <c r="Y584" s="8"/>
      <c r="Z584" s="8"/>
    </row>
    <row r="585" spans="1:26" ht="13.2">
      <c r="A585" s="13">
        <v>44250.658946759257</v>
      </c>
      <c r="B585" s="6" t="str">
        <f>HYPERLINK("https://twitter.com/HarbRimah","@HarbRimah")</f>
        <v>@HarbRimah</v>
      </c>
      <c r="C585" s="14" t="s">
        <v>2837</v>
      </c>
      <c r="D585" s="14" t="s">
        <v>2028</v>
      </c>
      <c r="E585" s="6" t="str">
        <f>HYPERLINK("https://twitter.com/HarbRimah/status/1364225726283583489","1364225726283583489")</f>
        <v>1364225726283583489</v>
      </c>
      <c r="F585" s="7" t="s">
        <v>2029</v>
      </c>
      <c r="G585" s="8"/>
      <c r="H585" s="8"/>
      <c r="I585" s="14">
        <v>26</v>
      </c>
      <c r="J585" s="14">
        <v>13</v>
      </c>
      <c r="K585" s="6" t="str">
        <f t="shared" si="86"/>
        <v>Twitter Web App</v>
      </c>
      <c r="L585" s="15">
        <v>8983</v>
      </c>
      <c r="M585" s="15">
        <v>4886</v>
      </c>
      <c r="N585" s="15">
        <v>675</v>
      </c>
      <c r="O585" s="9"/>
      <c r="P585" s="10">
        <v>41198.440601851849</v>
      </c>
      <c r="Q585" s="8"/>
      <c r="R585" s="14" t="s">
        <v>2838</v>
      </c>
      <c r="S585" s="8"/>
      <c r="T585" s="8"/>
      <c r="U585" s="11" t="str">
        <f>HYPERLINK("https://pbs.twimg.com/profile_images/909317895355863040/ls7cAjxm.jpg","View")</f>
        <v>View</v>
      </c>
      <c r="V585" s="8"/>
      <c r="W585" s="8"/>
      <c r="X585" s="8"/>
      <c r="Y585" s="8"/>
      <c r="Z585" s="8"/>
    </row>
    <row r="586" spans="1:26" ht="13.2">
      <c r="A586" s="13">
        <v>44250.658912037034</v>
      </c>
      <c r="B586" s="6" t="str">
        <f>HYPERLINK("https://twitter.com/ArgosMultiling","@ArgosMultiling")</f>
        <v>@ArgosMultiling</v>
      </c>
      <c r="C586" s="14" t="s">
        <v>2839</v>
      </c>
      <c r="D586" s="14" t="s">
        <v>2840</v>
      </c>
      <c r="E586" s="6" t="str">
        <f>HYPERLINK("https://twitter.com/ArgosMultiling/status/1364225712568242179","1364225712568242179")</f>
        <v>1364225712568242179</v>
      </c>
      <c r="F586" s="7" t="s">
        <v>2841</v>
      </c>
      <c r="G586" s="8"/>
      <c r="H586" s="8"/>
      <c r="I586" s="14">
        <v>0</v>
      </c>
      <c r="J586" s="14">
        <v>1</v>
      </c>
      <c r="K586" s="6" t="str">
        <f t="shared" si="86"/>
        <v>Twitter Web App</v>
      </c>
      <c r="L586" s="15">
        <v>896</v>
      </c>
      <c r="M586" s="15">
        <v>267</v>
      </c>
      <c r="N586" s="15">
        <v>50</v>
      </c>
      <c r="O586" s="9"/>
      <c r="P586" s="10">
        <v>40240.632858796293</v>
      </c>
      <c r="Q586" s="14" t="s">
        <v>2842</v>
      </c>
      <c r="R586" s="14" t="s">
        <v>2843</v>
      </c>
      <c r="S586" s="7" t="s">
        <v>2844</v>
      </c>
      <c r="T586" s="8"/>
      <c r="U586" s="11" t="str">
        <f>HYPERLINK("https://pbs.twimg.com/profile_images/554646898376581120/8LFzjZs0.png","View")</f>
        <v>View</v>
      </c>
      <c r="V586" s="8"/>
      <c r="W586" s="8"/>
      <c r="X586" s="8"/>
      <c r="Y586" s="8"/>
      <c r="Z586" s="8"/>
    </row>
    <row r="587" spans="1:26" ht="13.2">
      <c r="A587" s="13">
        <v>44250.658842592587</v>
      </c>
      <c r="B587" s="6" t="str">
        <f>HYPERLINK("https://twitter.com/biorankings","@biorankings")</f>
        <v>@biorankings</v>
      </c>
      <c r="C587" s="14" t="s">
        <v>2845</v>
      </c>
      <c r="D587" s="14" t="s">
        <v>2846</v>
      </c>
      <c r="E587" s="6" t="str">
        <f>HYPERLINK("https://twitter.com/biorankings/status/1364225686026682381","1364225686026682381")</f>
        <v>1364225686026682381</v>
      </c>
      <c r="F587" s="7" t="s">
        <v>2847</v>
      </c>
      <c r="G587" s="8"/>
      <c r="H587" s="8"/>
      <c r="I587" s="14">
        <v>0</v>
      </c>
      <c r="J587" s="14">
        <v>1</v>
      </c>
      <c r="K587" s="6" t="str">
        <f t="shared" si="86"/>
        <v>Twitter Web App</v>
      </c>
      <c r="L587" s="15">
        <v>276</v>
      </c>
      <c r="M587" s="15">
        <v>331</v>
      </c>
      <c r="N587" s="15">
        <v>9</v>
      </c>
      <c r="O587" s="9"/>
      <c r="P587" s="10">
        <v>40150.754537037035</v>
      </c>
      <c r="Q587" s="14" t="s">
        <v>514</v>
      </c>
      <c r="R587" s="14" t="s">
        <v>2848</v>
      </c>
      <c r="S587" s="7" t="s">
        <v>2849</v>
      </c>
      <c r="T587" s="8"/>
      <c r="U587" s="11" t="str">
        <f>HYPERLINK("https://pbs.twimg.com/profile_images/712385087677988864/tTVSDcU5.jpg","View")</f>
        <v>View</v>
      </c>
      <c r="V587" s="8"/>
      <c r="W587" s="8"/>
      <c r="X587" s="8"/>
      <c r="Y587" s="8"/>
      <c r="Z587" s="8"/>
    </row>
    <row r="588" spans="1:26" ht="13.2">
      <c r="A588" s="13">
        <v>44250.658495370371</v>
      </c>
      <c r="B588" s="6" t="str">
        <f>HYPERLINK("https://twitter.com/vumcdbmi","@vumcdbmi")</f>
        <v>@vumcdbmi</v>
      </c>
      <c r="C588" s="14" t="s">
        <v>2850</v>
      </c>
      <c r="D588" s="14" t="s">
        <v>2851</v>
      </c>
      <c r="E588" s="6" t="str">
        <f>HYPERLINK("https://twitter.com/vumcdbmi/status/1364225563037208576","1364225563037208576")</f>
        <v>1364225563037208576</v>
      </c>
      <c r="F588" s="8"/>
      <c r="G588" s="7" t="s">
        <v>2852</v>
      </c>
      <c r="H588" s="8"/>
      <c r="I588" s="14">
        <v>7</v>
      </c>
      <c r="J588" s="14">
        <v>5</v>
      </c>
      <c r="K588" s="6" t="str">
        <f t="shared" si="86"/>
        <v>Twitter Web App</v>
      </c>
      <c r="L588" s="15">
        <v>743</v>
      </c>
      <c r="M588" s="15">
        <v>444</v>
      </c>
      <c r="N588" s="15">
        <v>8</v>
      </c>
      <c r="O588" s="9"/>
      <c r="P588" s="10">
        <v>43374.669664351852</v>
      </c>
      <c r="Q588" s="14" t="s">
        <v>2853</v>
      </c>
      <c r="R588" s="14" t="s">
        <v>2854</v>
      </c>
      <c r="S588" s="7" t="s">
        <v>2855</v>
      </c>
      <c r="T588" s="8"/>
      <c r="U588" s="11" t="str">
        <f>HYPERLINK("https://pbs.twimg.com/profile_images/1046769372239466501/9PVsLWJg.jpg","View")</f>
        <v>View</v>
      </c>
      <c r="V588" s="8"/>
      <c r="W588" s="8"/>
      <c r="X588" s="8"/>
      <c r="Y588" s="8"/>
      <c r="Z588" s="8"/>
    </row>
    <row r="589" spans="1:26" ht="13.2">
      <c r="A589" s="13">
        <v>44250.658449074079</v>
      </c>
      <c r="B589" s="6" t="str">
        <f>HYPERLINK("https://twitter.com/HarbRimah","@HarbRimah")</f>
        <v>@HarbRimah</v>
      </c>
      <c r="C589" s="14" t="s">
        <v>2837</v>
      </c>
      <c r="D589" s="14" t="s">
        <v>2856</v>
      </c>
      <c r="E589" s="6" t="str">
        <f>HYPERLINK("https://twitter.com/HarbRimah/status/1364225544720506887","1364225544720506887")</f>
        <v>1364225544720506887</v>
      </c>
      <c r="F589" s="7" t="s">
        <v>2857</v>
      </c>
      <c r="G589" s="8"/>
      <c r="H589" s="8"/>
      <c r="I589" s="14">
        <v>25</v>
      </c>
      <c r="J589" s="14">
        <v>14</v>
      </c>
      <c r="K589" s="6" t="str">
        <f t="shared" si="86"/>
        <v>Twitter Web App</v>
      </c>
      <c r="L589" s="15">
        <v>8983</v>
      </c>
      <c r="M589" s="15">
        <v>4886</v>
      </c>
      <c r="N589" s="15">
        <v>675</v>
      </c>
      <c r="O589" s="9"/>
      <c r="P589" s="10">
        <v>41198.440601851849</v>
      </c>
      <c r="Q589" s="8"/>
      <c r="R589" s="14" t="s">
        <v>2838</v>
      </c>
      <c r="S589" s="8"/>
      <c r="T589" s="8"/>
      <c r="U589" s="11" t="str">
        <f>HYPERLINK("https://pbs.twimg.com/profile_images/909317895355863040/ls7cAjxm.jpg","View")</f>
        <v>View</v>
      </c>
      <c r="V589" s="8"/>
      <c r="W589" s="8"/>
      <c r="X589" s="8"/>
      <c r="Y589" s="8"/>
      <c r="Z589" s="8"/>
    </row>
    <row r="590" spans="1:26" ht="13.2">
      <c r="A590" s="13">
        <v>44250.658356481479</v>
      </c>
      <c r="B590" s="6" t="str">
        <f>HYPERLINK("https://twitter.com/RootsAutomation","@RootsAutomation")</f>
        <v>@RootsAutomation</v>
      </c>
      <c r="C590" s="14" t="s">
        <v>2858</v>
      </c>
      <c r="D590" s="14" t="s">
        <v>2859</v>
      </c>
      <c r="E590" s="6" t="str">
        <f>HYPERLINK("https://twitter.com/RootsAutomation/status/1364225511841558530","1364225511841558530")</f>
        <v>1364225511841558530</v>
      </c>
      <c r="F590" s="7" t="s">
        <v>2860</v>
      </c>
      <c r="G590" s="7" t="s">
        <v>2861</v>
      </c>
      <c r="H590" s="8"/>
      <c r="I590" s="14">
        <v>0</v>
      </c>
      <c r="J590" s="14">
        <v>0</v>
      </c>
      <c r="K590" s="6" t="str">
        <f>HYPERLINK("https://buffer.com","Buffer")</f>
        <v>Buffer</v>
      </c>
      <c r="L590" s="15">
        <v>667</v>
      </c>
      <c r="M590" s="15">
        <v>694</v>
      </c>
      <c r="N590" s="15">
        <v>0</v>
      </c>
      <c r="O590" s="9"/>
      <c r="P590" s="10">
        <v>43888.918229166666</v>
      </c>
      <c r="Q590" s="14" t="s">
        <v>215</v>
      </c>
      <c r="R590" s="14" t="s">
        <v>2862</v>
      </c>
      <c r="S590" s="7" t="s">
        <v>2863</v>
      </c>
      <c r="T590" s="8"/>
      <c r="U590" s="11" t="str">
        <f>HYPERLINK("https://pbs.twimg.com/profile_images/1245012049756852225/_Ne7z4l3.jpg","View")</f>
        <v>View</v>
      </c>
      <c r="V590" s="8"/>
      <c r="W590" s="8"/>
      <c r="X590" s="8"/>
      <c r="Y590" s="8"/>
      <c r="Z590" s="8"/>
    </row>
    <row r="591" spans="1:26" ht="13.2">
      <c r="A591" s="13">
        <v>44250.658333333333</v>
      </c>
      <c r="B591" s="6" t="str">
        <f>HYPERLINK("https://twitter.com/Nicolas2Pinto","@Nicolas2Pinto")</f>
        <v>@Nicolas2Pinto</v>
      </c>
      <c r="C591" s="14" t="s">
        <v>2864</v>
      </c>
      <c r="D591" s="14" t="s">
        <v>2865</v>
      </c>
      <c r="E591" s="6" t="str">
        <f>HYPERLINK("https://twitter.com/Nicolas2Pinto/status/1364225501439479815","1364225501439479815")</f>
        <v>1364225501439479815</v>
      </c>
      <c r="F591" s="7" t="s">
        <v>2866</v>
      </c>
      <c r="G591" s="7" t="s">
        <v>2867</v>
      </c>
      <c r="H591" s="8"/>
      <c r="I591" s="14">
        <v>2</v>
      </c>
      <c r="J591" s="14">
        <v>2</v>
      </c>
      <c r="K591" s="6" t="str">
        <f>HYPERLINK("https://about.twitter.com/products/tweetdeck","TweetDeck")</f>
        <v>TweetDeck</v>
      </c>
      <c r="L591" s="15">
        <v>6358</v>
      </c>
      <c r="M591" s="15">
        <v>4896</v>
      </c>
      <c r="N591" s="15">
        <v>605</v>
      </c>
      <c r="O591" s="9"/>
      <c r="P591" s="10">
        <v>41558.83252314815</v>
      </c>
      <c r="Q591" s="14" t="s">
        <v>106</v>
      </c>
      <c r="R591" s="14" t="s">
        <v>2868</v>
      </c>
      <c r="S591" s="7" t="s">
        <v>2869</v>
      </c>
      <c r="T591" s="8"/>
      <c r="U591" s="11" t="str">
        <f>HYPERLINK("https://pbs.twimg.com/profile_images/798896302276956160/cbW0VBL2.jpg","View")</f>
        <v>View</v>
      </c>
      <c r="V591" s="8"/>
      <c r="W591" s="8"/>
      <c r="X591" s="8"/>
      <c r="Y591" s="8"/>
      <c r="Z591" s="8"/>
    </row>
    <row r="592" spans="1:26" ht="13.2">
      <c r="A592" s="13">
        <v>44250.658148148148</v>
      </c>
      <c r="B592" s="6" t="str">
        <f>HYPERLINK("https://twitter.com/machinelearnflx","@machinelearnflx")</f>
        <v>@machinelearnflx</v>
      </c>
      <c r="C592" s="14" t="s">
        <v>279</v>
      </c>
      <c r="D592" s="14" t="s">
        <v>2870</v>
      </c>
      <c r="E592" s="6" t="str">
        <f>HYPERLINK("https://twitter.com/machinelearnflx/status/1364225436796948493","1364225436796948493")</f>
        <v>1364225436796948493</v>
      </c>
      <c r="F592" s="7" t="s">
        <v>2871</v>
      </c>
      <c r="G592" s="8"/>
      <c r="H592" s="8"/>
      <c r="I592" s="14">
        <v>3</v>
      </c>
      <c r="J592" s="14">
        <v>8</v>
      </c>
      <c r="K592" s="6" t="str">
        <f>HYPERLINK("https://twitter.com/pythonbot_","Postmatico")</f>
        <v>Postmatico</v>
      </c>
      <c r="L592" s="15">
        <v>90451</v>
      </c>
      <c r="M592" s="15">
        <v>35464</v>
      </c>
      <c r="N592" s="15">
        <v>2227</v>
      </c>
      <c r="O592" s="9"/>
      <c r="P592" s="10">
        <v>42386.538865740746</v>
      </c>
      <c r="Q592" s="8"/>
      <c r="R592" s="14" t="s">
        <v>282</v>
      </c>
      <c r="S592" s="7" t="s">
        <v>283</v>
      </c>
      <c r="T592" s="8"/>
      <c r="U592" s="11" t="str">
        <f>HYPERLINK("https://pbs.twimg.com/profile_images/688735459892195329/v8sHaWSG.jpg","View")</f>
        <v>View</v>
      </c>
      <c r="V592" s="8"/>
      <c r="W592" s="8"/>
      <c r="X592" s="8"/>
      <c r="Y592" s="8"/>
      <c r="Z592" s="8"/>
    </row>
    <row r="593" spans="1:26" ht="13.2">
      <c r="A593" s="13">
        <v>44250.657673611116</v>
      </c>
      <c r="B593" s="6" t="str">
        <f>HYPERLINK("https://twitter.com/Bahafis","@Bahafis")</f>
        <v>@Bahafis</v>
      </c>
      <c r="C593" s="14" t="s">
        <v>2872</v>
      </c>
      <c r="D593" s="14" t="s">
        <v>2873</v>
      </c>
      <c r="E593" s="6" t="str">
        <f>HYPERLINK("https://twitter.com/Bahafis/status/1364225264385884163","1364225264385884163")</f>
        <v>1364225264385884163</v>
      </c>
      <c r="F593" s="7" t="s">
        <v>2874</v>
      </c>
      <c r="G593" s="8"/>
      <c r="H593" s="8"/>
      <c r="I593" s="14">
        <v>0</v>
      </c>
      <c r="J593" s="14">
        <v>2</v>
      </c>
      <c r="K593" s="6" t="str">
        <f>HYPERLINK("http://twitter.com/download/iphone","Twitter for iPhone")</f>
        <v>Twitter for iPhone</v>
      </c>
      <c r="L593" s="15">
        <v>429</v>
      </c>
      <c r="M593" s="15">
        <v>1684</v>
      </c>
      <c r="N593" s="15">
        <v>27</v>
      </c>
      <c r="O593" s="9"/>
      <c r="P593" s="10">
        <v>40674.564942129626</v>
      </c>
      <c r="Q593" s="14" t="s">
        <v>2875</v>
      </c>
      <c r="R593" s="14" t="s">
        <v>2876</v>
      </c>
      <c r="S593" s="7" t="s">
        <v>2877</v>
      </c>
      <c r="T593" s="8"/>
      <c r="U593" s="11" t="str">
        <f>HYPERLINK("https://pbs.twimg.com/profile_images/466634968651665408/fe-kV2lX.jpeg","View")</f>
        <v>View</v>
      </c>
      <c r="V593" s="8"/>
      <c r="W593" s="8"/>
      <c r="X593" s="8"/>
      <c r="Y593" s="8"/>
      <c r="Z593" s="8"/>
    </row>
    <row r="594" spans="1:26" ht="13.2">
      <c r="A594" s="13">
        <v>44250.657673611116</v>
      </c>
      <c r="B594" s="6" t="str">
        <f t="shared" ref="B594:B595" si="87">HYPERLINK("https://twitter.com/HarbRimah","@HarbRimah")</f>
        <v>@HarbRimah</v>
      </c>
      <c r="C594" s="14" t="s">
        <v>2837</v>
      </c>
      <c r="D594" s="14" t="s">
        <v>2878</v>
      </c>
      <c r="E594" s="6" t="str">
        <f>HYPERLINK("https://twitter.com/HarbRimah/status/1364225262477406220","1364225262477406220")</f>
        <v>1364225262477406220</v>
      </c>
      <c r="F594" s="7" t="s">
        <v>2879</v>
      </c>
      <c r="G594" s="8"/>
      <c r="H594" s="8"/>
      <c r="I594" s="14">
        <v>16</v>
      </c>
      <c r="J594" s="14">
        <v>9</v>
      </c>
      <c r="K594" s="6" t="str">
        <f t="shared" ref="K594:K595" si="88">HYPERLINK("https://mobile.twitter.com","Twitter Web App")</f>
        <v>Twitter Web App</v>
      </c>
      <c r="L594" s="15">
        <v>8983</v>
      </c>
      <c r="M594" s="15">
        <v>4886</v>
      </c>
      <c r="N594" s="15">
        <v>675</v>
      </c>
      <c r="O594" s="9"/>
      <c r="P594" s="10">
        <v>41198.440601851849</v>
      </c>
      <c r="Q594" s="8"/>
      <c r="R594" s="14" t="s">
        <v>2838</v>
      </c>
      <c r="S594" s="8"/>
      <c r="T594" s="8"/>
      <c r="U594" s="11" t="str">
        <f t="shared" ref="U594:U595" si="89">HYPERLINK("https://pbs.twimg.com/profile_images/909317895355863040/ls7cAjxm.jpg","View")</f>
        <v>View</v>
      </c>
      <c r="V594" s="8"/>
      <c r="W594" s="8"/>
      <c r="X594" s="8"/>
      <c r="Y594" s="8"/>
      <c r="Z594" s="8"/>
    </row>
    <row r="595" spans="1:26" ht="13.2">
      <c r="A595" s="13">
        <v>44250.656817129631</v>
      </c>
      <c r="B595" s="6" t="str">
        <f t="shared" si="87"/>
        <v>@HarbRimah</v>
      </c>
      <c r="C595" s="14" t="s">
        <v>2837</v>
      </c>
      <c r="D595" s="14" t="s">
        <v>2880</v>
      </c>
      <c r="E595" s="6" t="str">
        <f>HYPERLINK("https://twitter.com/HarbRimah/status/1364224954280017920","1364224954280017920")</f>
        <v>1364224954280017920</v>
      </c>
      <c r="F595" s="7" t="s">
        <v>2881</v>
      </c>
      <c r="G595" s="8"/>
      <c r="H595" s="8"/>
      <c r="I595" s="14">
        <v>22</v>
      </c>
      <c r="J595" s="14">
        <v>12</v>
      </c>
      <c r="K595" s="6" t="str">
        <f t="shared" si="88"/>
        <v>Twitter Web App</v>
      </c>
      <c r="L595" s="15">
        <v>8983</v>
      </c>
      <c r="M595" s="15">
        <v>4886</v>
      </c>
      <c r="N595" s="15">
        <v>675</v>
      </c>
      <c r="O595" s="9"/>
      <c r="P595" s="10">
        <v>41198.440601851849</v>
      </c>
      <c r="Q595" s="8"/>
      <c r="R595" s="14" t="s">
        <v>2838</v>
      </c>
      <c r="S595" s="8"/>
      <c r="T595" s="8"/>
      <c r="U595" s="11" t="str">
        <f t="shared" si="89"/>
        <v>View</v>
      </c>
      <c r="V595" s="8"/>
      <c r="W595" s="8"/>
      <c r="X595" s="8"/>
      <c r="Y595" s="8"/>
      <c r="Z595" s="8"/>
    </row>
    <row r="596" spans="1:26" ht="13.2">
      <c r="A596" s="13">
        <v>44250.656712962962</v>
      </c>
      <c r="B596" s="6" t="str">
        <f>HYPERLINK("https://twitter.com/ai_summary","@ai_summary")</f>
        <v>@ai_summary</v>
      </c>
      <c r="C596" s="14" t="s">
        <v>528</v>
      </c>
      <c r="D596" s="14" t="s">
        <v>2882</v>
      </c>
      <c r="E596" s="6" t="str">
        <f>HYPERLINK("https://twitter.com/ai_summary/status/1364224916791259143","1364224916791259143")</f>
        <v>1364224916791259143</v>
      </c>
      <c r="F596" s="7" t="s">
        <v>2883</v>
      </c>
      <c r="G596" s="8"/>
      <c r="H596" s="8"/>
      <c r="I596" s="14">
        <v>1</v>
      </c>
      <c r="J596" s="14">
        <v>0</v>
      </c>
      <c r="K596" s="8"/>
      <c r="L596" s="15">
        <v>47</v>
      </c>
      <c r="M596" s="15">
        <v>7</v>
      </c>
      <c r="N596" s="15">
        <v>2</v>
      </c>
      <c r="O596" s="9"/>
      <c r="P596" s="10">
        <v>44039.504699074074</v>
      </c>
      <c r="Q596" s="8"/>
      <c r="R596" s="14" t="s">
        <v>531</v>
      </c>
      <c r="S596" s="8"/>
      <c r="T596" s="8"/>
      <c r="U596" s="11" t="str">
        <f>HYPERLINK("https://pbs.twimg.com/profile_images/1315240281206382592/-i10o6Yg.jpg","View")</f>
        <v>View</v>
      </c>
      <c r="V596" s="8"/>
      <c r="W596" s="8"/>
      <c r="X596" s="8"/>
      <c r="Y596" s="8"/>
      <c r="Z596" s="8"/>
    </row>
    <row r="597" spans="1:26" ht="13.2">
      <c r="A597" s="13">
        <v>44250.656666666662</v>
      </c>
      <c r="B597" s="6" t="str">
        <f>HYPERLINK("https://twitter.com/HySpeedGeo","@HySpeedGeo")</f>
        <v>@HySpeedGeo</v>
      </c>
      <c r="C597" s="14" t="s">
        <v>2884</v>
      </c>
      <c r="D597" s="14" t="s">
        <v>2885</v>
      </c>
      <c r="E597" s="6" t="str">
        <f>HYPERLINK("https://twitter.com/HySpeedGeo/status/1364224898130870279","1364224898130870279")</f>
        <v>1364224898130870279</v>
      </c>
      <c r="F597" s="7" t="s">
        <v>2886</v>
      </c>
      <c r="G597" s="7" t="s">
        <v>2887</v>
      </c>
      <c r="H597" s="8"/>
      <c r="I597" s="14">
        <v>0</v>
      </c>
      <c r="J597" s="14">
        <v>0</v>
      </c>
      <c r="K597" s="6" t="str">
        <f>HYPERLINK("https://mobile.twitter.com","Twitter Web App")</f>
        <v>Twitter Web App</v>
      </c>
      <c r="L597" s="15">
        <v>62</v>
      </c>
      <c r="M597" s="15">
        <v>0</v>
      </c>
      <c r="N597" s="15">
        <v>2</v>
      </c>
      <c r="O597" s="9"/>
      <c r="P597" s="10">
        <v>43654.688657407409</v>
      </c>
      <c r="Q597" s="8"/>
      <c r="R597" s="14" t="s">
        <v>2888</v>
      </c>
      <c r="S597" s="7" t="s">
        <v>2889</v>
      </c>
      <c r="T597" s="8"/>
      <c r="U597" s="11" t="str">
        <f>HYPERLINK("https://pbs.twimg.com/profile_images/1148242877207711745/ARtY8dZE.png","View")</f>
        <v>View</v>
      </c>
      <c r="V597" s="8"/>
      <c r="W597" s="8"/>
      <c r="X597" s="8"/>
      <c r="Y597" s="8"/>
      <c r="Z597" s="8"/>
    </row>
    <row r="598" spans="1:26" ht="13.2">
      <c r="A598" s="13">
        <v>44250.656342592592</v>
      </c>
      <c r="B598" s="6" t="str">
        <f>HYPERLINK("https://twitter.com/ipfconline1","@ipfconline1")</f>
        <v>@ipfconline1</v>
      </c>
      <c r="C598" s="14" t="s">
        <v>65</v>
      </c>
      <c r="D598" s="14" t="s">
        <v>2890</v>
      </c>
      <c r="E598" s="6" t="str">
        <f>HYPERLINK("https://twitter.com/ipfconline1/status/1364224780778360842","1364224780778360842")</f>
        <v>1364224780778360842</v>
      </c>
      <c r="F598" s="7" t="s">
        <v>2891</v>
      </c>
      <c r="G598" s="7" t="s">
        <v>2892</v>
      </c>
      <c r="H598" s="8"/>
      <c r="I598" s="14">
        <v>11</v>
      </c>
      <c r="J598" s="14">
        <v>12</v>
      </c>
      <c r="K598" s="6" t="str">
        <f>HYPERLINK("https://twittimer.com","Twittimer")</f>
        <v>Twittimer</v>
      </c>
      <c r="L598" s="15">
        <v>112675</v>
      </c>
      <c r="M598" s="15">
        <v>107162</v>
      </c>
      <c r="N598" s="15">
        <v>7806</v>
      </c>
      <c r="O598" s="9"/>
      <c r="P598" s="10">
        <v>42433.031967592593</v>
      </c>
      <c r="Q598" s="14" t="s">
        <v>69</v>
      </c>
      <c r="R598" s="14" t="s">
        <v>70</v>
      </c>
      <c r="S598" s="7" t="s">
        <v>71</v>
      </c>
      <c r="T598" s="8"/>
      <c r="U598" s="11" t="str">
        <f>HYPERLINK("https://pbs.twimg.com/profile_images/729065804004769793/St2_Pum9.jpg","View")</f>
        <v>View</v>
      </c>
      <c r="V598" s="8"/>
      <c r="W598" s="8"/>
      <c r="X598" s="8"/>
      <c r="Y598" s="8"/>
      <c r="Z598" s="8"/>
    </row>
    <row r="599" spans="1:26" ht="13.2">
      <c r="A599" s="13">
        <v>44250.655856481477</v>
      </c>
      <c r="B599" s="6" t="str">
        <f>HYPERLINK("https://twitter.com/benrozemberczki","@benrozemberczki")</f>
        <v>@benrozemberczki</v>
      </c>
      <c r="C599" s="14" t="s">
        <v>2893</v>
      </c>
      <c r="D599" s="14" t="s">
        <v>2894</v>
      </c>
      <c r="E599" s="6" t="str">
        <f>HYPERLINK("https://twitter.com/benrozemberczki/status/1364224606123401219","1364224606123401219")</f>
        <v>1364224606123401219</v>
      </c>
      <c r="F599" s="7" t="s">
        <v>2895</v>
      </c>
      <c r="G599" s="7" t="s">
        <v>2896</v>
      </c>
      <c r="H599" s="8"/>
      <c r="I599" s="14">
        <v>1</v>
      </c>
      <c r="J599" s="14">
        <v>7</v>
      </c>
      <c r="K599" s="6" t="str">
        <f t="shared" ref="K599:K600" si="90">HYPERLINK("https://mobile.twitter.com","Twitter Web App")</f>
        <v>Twitter Web App</v>
      </c>
      <c r="L599" s="15">
        <v>671</v>
      </c>
      <c r="M599" s="15">
        <v>323</v>
      </c>
      <c r="N599" s="15">
        <v>11</v>
      </c>
      <c r="O599" s="9"/>
      <c r="P599" s="10">
        <v>43503.018807870365</v>
      </c>
      <c r="Q599" s="14" t="s">
        <v>2599</v>
      </c>
      <c r="R599" s="14" t="s">
        <v>2897</v>
      </c>
      <c r="S599" s="7" t="s">
        <v>2898</v>
      </c>
      <c r="T599" s="8"/>
      <c r="U599" s="11" t="str">
        <f>HYPERLINK("https://pbs.twimg.com/profile_images/1093292801511563269/PEZLZ0eJ.jpg","View")</f>
        <v>View</v>
      </c>
      <c r="V599" s="8"/>
      <c r="W599" s="8"/>
      <c r="X599" s="8"/>
      <c r="Y599" s="8"/>
      <c r="Z599" s="8"/>
    </row>
    <row r="600" spans="1:26" ht="13.2">
      <c r="A600" s="13">
        <v>44250.655833333338</v>
      </c>
      <c r="B600" s="6" t="str">
        <f>HYPERLINK("https://twitter.com/HarbRimah","@HarbRimah")</f>
        <v>@HarbRimah</v>
      </c>
      <c r="C600" s="14" t="s">
        <v>2837</v>
      </c>
      <c r="D600" s="14" t="s">
        <v>2899</v>
      </c>
      <c r="E600" s="6" t="str">
        <f>HYPERLINK("https://twitter.com/HarbRimah/status/1364224594912059392","1364224594912059392")</f>
        <v>1364224594912059392</v>
      </c>
      <c r="F600" s="7" t="s">
        <v>2900</v>
      </c>
      <c r="G600" s="8"/>
      <c r="H600" s="8"/>
      <c r="I600" s="14">
        <v>19</v>
      </c>
      <c r="J600" s="14">
        <v>7</v>
      </c>
      <c r="K600" s="6" t="str">
        <f t="shared" si="90"/>
        <v>Twitter Web App</v>
      </c>
      <c r="L600" s="15">
        <v>8983</v>
      </c>
      <c r="M600" s="15">
        <v>4886</v>
      </c>
      <c r="N600" s="15">
        <v>675</v>
      </c>
      <c r="O600" s="9"/>
      <c r="P600" s="10">
        <v>41198.440601851849</v>
      </c>
      <c r="Q600" s="8"/>
      <c r="R600" s="14" t="s">
        <v>2838</v>
      </c>
      <c r="S600" s="8"/>
      <c r="T600" s="8"/>
      <c r="U600" s="11" t="str">
        <f>HYPERLINK("https://pbs.twimg.com/profile_images/909317895355863040/ls7cAjxm.jpg","View")</f>
        <v>View</v>
      </c>
      <c r="V600" s="8"/>
      <c r="W600" s="8"/>
      <c r="X600" s="8"/>
      <c r="Y600" s="8"/>
      <c r="Z600" s="8"/>
    </row>
    <row r="601" spans="1:26" ht="13.2">
      <c r="A601" s="13">
        <v>44250.655717592592</v>
      </c>
      <c r="B601" s="6" t="str">
        <f>HYPERLINK("https://twitter.com/TECKpert","@TECKpert")</f>
        <v>@TECKpert</v>
      </c>
      <c r="C601" s="14" t="s">
        <v>2901</v>
      </c>
      <c r="D601" s="14" t="s">
        <v>2902</v>
      </c>
      <c r="E601" s="6" t="str">
        <f>HYPERLINK("https://twitter.com/TECKpert/status/1364224556140023814","1364224556140023814")</f>
        <v>1364224556140023814</v>
      </c>
      <c r="F601" s="7" t="s">
        <v>2903</v>
      </c>
      <c r="G601" s="8"/>
      <c r="H601" s="8"/>
      <c r="I601" s="14">
        <v>0</v>
      </c>
      <c r="J601" s="14">
        <v>0</v>
      </c>
      <c r="K601" s="6" t="str">
        <f>HYPERLINK("https://www.hootsuite.com","Hootsuite Inc.")</f>
        <v>Hootsuite Inc.</v>
      </c>
      <c r="L601" s="15">
        <v>485</v>
      </c>
      <c r="M601" s="15">
        <v>371</v>
      </c>
      <c r="N601" s="15">
        <v>54</v>
      </c>
      <c r="O601" s="9"/>
      <c r="P601" s="10">
        <v>39882.761030092595</v>
      </c>
      <c r="Q601" s="14" t="s">
        <v>2904</v>
      </c>
      <c r="R601" s="14" t="s">
        <v>2905</v>
      </c>
      <c r="S601" s="7" t="s">
        <v>2906</v>
      </c>
      <c r="T601" s="8"/>
      <c r="U601" s="11" t="str">
        <f>HYPERLINK("https://pbs.twimg.com/profile_images/1103741788366561280/8DNn7eyF.png","View")</f>
        <v>View</v>
      </c>
      <c r="V601" s="8"/>
      <c r="W601" s="8"/>
      <c r="X601" s="8"/>
      <c r="Y601" s="8"/>
      <c r="Z601" s="8"/>
    </row>
    <row r="602" spans="1:26" ht="13.2">
      <c r="A602" s="13">
        <v>44250.655127314814</v>
      </c>
      <c r="B602" s="6" t="str">
        <f>HYPERLINK("https://twitter.com/PHRIresearch","@PHRIresearch")</f>
        <v>@PHRIresearch</v>
      </c>
      <c r="C602" s="14" t="s">
        <v>2907</v>
      </c>
      <c r="D602" s="14" t="s">
        <v>2908</v>
      </c>
      <c r="E602" s="6" t="str">
        <f>HYPERLINK("https://twitter.com/PHRIresearch/status/1364224340774952962","1364224340774952962")</f>
        <v>1364224340774952962</v>
      </c>
      <c r="F602" s="7" t="s">
        <v>2909</v>
      </c>
      <c r="G602" s="8"/>
      <c r="H602" s="8"/>
      <c r="I602" s="14">
        <v>2</v>
      </c>
      <c r="J602" s="14">
        <v>1</v>
      </c>
      <c r="K602" s="6" t="str">
        <f>HYPERLINK("http://twitter.com/download/iphone","Twitter for iPhone")</f>
        <v>Twitter for iPhone</v>
      </c>
      <c r="L602" s="15">
        <v>2822</v>
      </c>
      <c r="M602" s="15">
        <v>5001</v>
      </c>
      <c r="N602" s="15">
        <v>13</v>
      </c>
      <c r="O602" s="9"/>
      <c r="P602" s="10">
        <v>43437.783761574072</v>
      </c>
      <c r="Q602" s="14" t="s">
        <v>2910</v>
      </c>
      <c r="R602" s="14" t="s">
        <v>2911</v>
      </c>
      <c r="S602" s="7" t="s">
        <v>2912</v>
      </c>
      <c r="T602" s="8"/>
      <c r="U602" s="11" t="str">
        <f>HYPERLINK("https://pbs.twimg.com/profile_images/1343928676971409410/_jYgDBZS.png","View")</f>
        <v>View</v>
      </c>
      <c r="V602" s="8"/>
      <c r="W602" s="8"/>
      <c r="X602" s="8"/>
      <c r="Y602" s="8"/>
      <c r="Z602" s="8"/>
    </row>
    <row r="603" spans="1:26" ht="13.2">
      <c r="A603" s="13">
        <v>44250.655127314814</v>
      </c>
      <c r="B603" s="6" t="str">
        <f>HYPERLINK("https://twitter.com/HarbRimah","@HarbRimah")</f>
        <v>@HarbRimah</v>
      </c>
      <c r="C603" s="14" t="s">
        <v>2837</v>
      </c>
      <c r="D603" s="14" t="s">
        <v>2913</v>
      </c>
      <c r="E603" s="6" t="str">
        <f>HYPERLINK("https://twitter.com/HarbRimah/status/1364224339831263240","1364224339831263240")</f>
        <v>1364224339831263240</v>
      </c>
      <c r="F603" s="7" t="s">
        <v>2914</v>
      </c>
      <c r="G603" s="8"/>
      <c r="H603" s="8"/>
      <c r="I603" s="14">
        <v>27</v>
      </c>
      <c r="J603" s="14">
        <v>17</v>
      </c>
      <c r="K603" s="6" t="str">
        <f>HYPERLINK("https://mobile.twitter.com","Twitter Web App")</f>
        <v>Twitter Web App</v>
      </c>
      <c r="L603" s="15">
        <v>8983</v>
      </c>
      <c r="M603" s="15">
        <v>4886</v>
      </c>
      <c r="N603" s="15">
        <v>675</v>
      </c>
      <c r="O603" s="9"/>
      <c r="P603" s="10">
        <v>41198.440601851849</v>
      </c>
      <c r="Q603" s="8"/>
      <c r="R603" s="14" t="s">
        <v>2838</v>
      </c>
      <c r="S603" s="8"/>
      <c r="T603" s="8"/>
      <c r="U603" s="11" t="str">
        <f>HYPERLINK("https://pbs.twimg.com/profile_images/909317895355863040/ls7cAjxm.jpg","View")</f>
        <v>View</v>
      </c>
      <c r="V603" s="8"/>
      <c r="W603" s="8"/>
      <c r="X603" s="8"/>
      <c r="Y603" s="8"/>
      <c r="Z603" s="8"/>
    </row>
    <row r="604" spans="1:26" ht="13.2">
      <c r="A604" s="13">
        <v>44250.654861111107</v>
      </c>
      <c r="B604" s="6" t="str">
        <f>HYPERLINK("https://twitter.com/readyforthenet","@readyforthenet")</f>
        <v>@readyforthenet</v>
      </c>
      <c r="C604" s="14" t="s">
        <v>2915</v>
      </c>
      <c r="D604" s="14" t="s">
        <v>1180</v>
      </c>
      <c r="E604" s="6" t="str">
        <f>HYPERLINK("https://twitter.com/readyforthenet/status/1364224242707927058","1364224242707927058")</f>
        <v>1364224242707927058</v>
      </c>
      <c r="F604" s="7" t="s">
        <v>2916</v>
      </c>
      <c r="G604" s="7" t="s">
        <v>2917</v>
      </c>
      <c r="H604" s="8"/>
      <c r="I604" s="14">
        <v>7</v>
      </c>
      <c r="J604" s="14">
        <v>4</v>
      </c>
      <c r="K604" s="6" t="str">
        <f>HYPERLINK("http://dynamicsignal.com/","Dynamic Signal")</f>
        <v>Dynamic Signal</v>
      </c>
      <c r="L604" s="15">
        <v>1572</v>
      </c>
      <c r="M604" s="15">
        <v>1654</v>
      </c>
      <c r="N604" s="15">
        <v>47</v>
      </c>
      <c r="O604" s="9"/>
      <c r="P604" s="10">
        <v>39827.175717592589</v>
      </c>
      <c r="Q604" s="14" t="s">
        <v>2918</v>
      </c>
      <c r="R604" s="14" t="s">
        <v>2919</v>
      </c>
      <c r="S604" s="7" t="s">
        <v>2920</v>
      </c>
      <c r="T604" s="8"/>
      <c r="U604" s="11" t="str">
        <f>HYPERLINK("https://pbs.twimg.com/profile_images/1108199555391283201/2R5718mq.png","View")</f>
        <v>View</v>
      </c>
      <c r="V604" s="8"/>
      <c r="W604" s="8"/>
      <c r="X604" s="8"/>
      <c r="Y604" s="8"/>
      <c r="Z604" s="8"/>
    </row>
    <row r="605" spans="1:26" ht="13.2">
      <c r="A605" s="13">
        <v>44250.654733796298</v>
      </c>
      <c r="B605" s="6" t="str">
        <f>HYPERLINK("https://twitter.com/gk_spain","@gk_spain")</f>
        <v>@gk_spain</v>
      </c>
      <c r="C605" s="14" t="s">
        <v>2921</v>
      </c>
      <c r="D605" s="14" t="s">
        <v>2922</v>
      </c>
      <c r="E605" s="6" t="str">
        <f>HYPERLINK("https://twitter.com/gk_spain/status/1364224197560467456","1364224197560467456")</f>
        <v>1364224197560467456</v>
      </c>
      <c r="F605" s="7" t="s">
        <v>2923</v>
      </c>
      <c r="G605" s="7" t="s">
        <v>2924</v>
      </c>
      <c r="H605" s="8"/>
      <c r="I605" s="14">
        <v>0</v>
      </c>
      <c r="J605" s="14">
        <v>0</v>
      </c>
      <c r="K605" s="6" t="str">
        <f t="shared" ref="K605:K606" si="91">HYPERLINK("https://mobile.twitter.com","Twitter Web App")</f>
        <v>Twitter Web App</v>
      </c>
      <c r="L605" s="15">
        <v>632</v>
      </c>
      <c r="M605" s="15">
        <v>678</v>
      </c>
      <c r="N605" s="15">
        <v>80</v>
      </c>
      <c r="O605" s="9"/>
      <c r="P605" s="10">
        <v>40164.84510416667</v>
      </c>
      <c r="Q605" s="14" t="s">
        <v>1053</v>
      </c>
      <c r="R605" s="14" t="s">
        <v>2925</v>
      </c>
      <c r="S605" s="7" t="s">
        <v>2926</v>
      </c>
      <c r="T605" s="8"/>
      <c r="U605" s="11" t="str">
        <f>HYPERLINK("https://pbs.twimg.com/profile_images/1141017300356804608/Sn70CI5J.jpg","View")</f>
        <v>View</v>
      </c>
      <c r="V605" s="8"/>
      <c r="W605" s="8"/>
      <c r="X605" s="8"/>
      <c r="Y605" s="8"/>
      <c r="Z605" s="8"/>
    </row>
    <row r="606" spans="1:26" ht="13.2">
      <c r="A606" s="13">
        <v>44250.654479166667</v>
      </c>
      <c r="B606" s="6" t="str">
        <f>HYPERLINK("https://twitter.com/VeronicaBlancoR","@VeronicaBlancoR")</f>
        <v>@VeronicaBlancoR</v>
      </c>
      <c r="C606" s="14" t="s">
        <v>2927</v>
      </c>
      <c r="D606" s="14" t="s">
        <v>2928</v>
      </c>
      <c r="E606" s="6" t="str">
        <f>HYPERLINK("https://twitter.com/VeronicaBlancoR/status/1364224106535641092","1364224106535641092")</f>
        <v>1364224106535641092</v>
      </c>
      <c r="F606" s="7" t="s">
        <v>2929</v>
      </c>
      <c r="G606" s="7" t="s">
        <v>2930</v>
      </c>
      <c r="H606" s="8"/>
      <c r="I606" s="14">
        <v>36</v>
      </c>
      <c r="J606" s="14">
        <v>23</v>
      </c>
      <c r="K606" s="6" t="str">
        <f t="shared" si="91"/>
        <v>Twitter Web App</v>
      </c>
      <c r="L606" s="15">
        <v>835</v>
      </c>
      <c r="M606" s="15">
        <v>1071</v>
      </c>
      <c r="N606" s="15">
        <v>10</v>
      </c>
      <c r="O606" s="9"/>
      <c r="P606" s="10">
        <v>41412.500925925924</v>
      </c>
      <c r="Q606" s="14" t="s">
        <v>2931</v>
      </c>
      <c r="R606" s="14" t="s">
        <v>2932</v>
      </c>
      <c r="S606" s="7" t="s">
        <v>2933</v>
      </c>
      <c r="T606" s="8"/>
      <c r="U606" s="11" t="str">
        <f>HYPERLINK("https://pbs.twimg.com/profile_images/1176865274991206400/GGKw6c5H.jpg","View")</f>
        <v>View</v>
      </c>
      <c r="V606" s="8"/>
      <c r="W606" s="8"/>
      <c r="X606" s="8"/>
      <c r="Y606" s="8"/>
      <c r="Z606" s="8"/>
    </row>
    <row r="607" spans="1:26" ht="13.2">
      <c r="A607" s="13">
        <v>44250.654456018514</v>
      </c>
      <c r="B607" s="6" t="str">
        <f>HYPERLINK("https://twitter.com/titangilroy","@titangilroy")</f>
        <v>@titangilroy</v>
      </c>
      <c r="C607" s="14" t="s">
        <v>2934</v>
      </c>
      <c r="D607" s="14" t="s">
        <v>2935</v>
      </c>
      <c r="E607" s="6" t="str">
        <f>HYPERLINK("https://twitter.com/titangilroy/status/1364224096863588353","1364224096863588353")</f>
        <v>1364224096863588353</v>
      </c>
      <c r="F607" s="8"/>
      <c r="G607" s="7" t="s">
        <v>2936</v>
      </c>
      <c r="H607" s="8"/>
      <c r="I607" s="14">
        <v>2</v>
      </c>
      <c r="J607" s="14">
        <v>6</v>
      </c>
      <c r="K607" s="6" t="str">
        <f>HYPERLINK("http://twitter.com/download/iphone","Twitter for iPhone")</f>
        <v>Twitter for iPhone</v>
      </c>
      <c r="L607" s="15">
        <v>1945</v>
      </c>
      <c r="M607" s="15">
        <v>237</v>
      </c>
      <c r="N607" s="15">
        <v>14</v>
      </c>
      <c r="O607" s="9"/>
      <c r="P607" s="10">
        <v>43119.818807870368</v>
      </c>
      <c r="Q607" s="14" t="s">
        <v>2937</v>
      </c>
      <c r="R607" s="14" t="s">
        <v>2938</v>
      </c>
      <c r="S607" s="7" t="s">
        <v>2939</v>
      </c>
      <c r="T607" s="8"/>
      <c r="U607" s="11" t="str">
        <f>HYPERLINK("https://pbs.twimg.com/profile_images/1364224765364301829/BTfITJ0f.jpg","View")</f>
        <v>View</v>
      </c>
      <c r="V607" s="8"/>
      <c r="W607" s="8"/>
      <c r="X607" s="8"/>
      <c r="Y607" s="8"/>
      <c r="Z607" s="8"/>
    </row>
    <row r="608" spans="1:26" ht="13.2">
      <c r="A608" s="13">
        <v>44250.654328703706</v>
      </c>
      <c r="B608" s="6" t="str">
        <f>HYPERLINK("https://twitter.com/ailab_mtitech","@ailab_mtitech")</f>
        <v>@ailab_mtitech</v>
      </c>
      <c r="C608" s="14" t="s">
        <v>1733</v>
      </c>
      <c r="D608" s="14" t="s">
        <v>2940</v>
      </c>
      <c r="E608" s="6" t="str">
        <f>HYPERLINK("https://twitter.com/ailab_mtitech/status/1364224049719611400","1364224049719611400")</f>
        <v>1364224049719611400</v>
      </c>
      <c r="F608" s="7" t="s">
        <v>2941</v>
      </c>
      <c r="G608" s="8"/>
      <c r="H608" s="8"/>
      <c r="I608" s="14">
        <v>2</v>
      </c>
      <c r="J608" s="14">
        <v>0</v>
      </c>
      <c r="K608" s="6" t="str">
        <f t="shared" ref="K608:K610" si="92">HYPERLINK("https://mobile.twitter.com","Twitter Web App")</f>
        <v>Twitter Web App</v>
      </c>
      <c r="L608" s="15">
        <v>112</v>
      </c>
      <c r="M608" s="15">
        <v>446</v>
      </c>
      <c r="N608" s="15">
        <v>0</v>
      </c>
      <c r="O608" s="9"/>
      <c r="P608" s="10">
        <v>44093.297337962962</v>
      </c>
      <c r="Q608" s="14" t="s">
        <v>1736</v>
      </c>
      <c r="R608" s="14" t="s">
        <v>1737</v>
      </c>
      <c r="S608" s="7" t="s">
        <v>1738</v>
      </c>
      <c r="T608" s="8"/>
      <c r="U608" s="11" t="str">
        <f>HYPERLINK("https://pbs.twimg.com/profile_images/1307186254539182082/Jz3kK0vE.jpg","View")</f>
        <v>View</v>
      </c>
      <c r="V608" s="8"/>
      <c r="W608" s="8"/>
      <c r="X608" s="8"/>
      <c r="Y608" s="8"/>
      <c r="Z608" s="8"/>
    </row>
    <row r="609" spans="1:26" ht="13.2">
      <c r="A609" s="13">
        <v>44250.654270833329</v>
      </c>
      <c r="B609" s="6" t="str">
        <f>HYPERLINK("https://twitter.com/Synced_Global","@Synced_Global")</f>
        <v>@Synced_Global</v>
      </c>
      <c r="C609" s="14" t="s">
        <v>1339</v>
      </c>
      <c r="D609" s="14" t="s">
        <v>2942</v>
      </c>
      <c r="E609" s="6" t="str">
        <f>HYPERLINK("https://twitter.com/Synced_Global/status/1364224030857781259","1364224030857781259")</f>
        <v>1364224030857781259</v>
      </c>
      <c r="F609" s="7" t="s">
        <v>2943</v>
      </c>
      <c r="G609" s="8"/>
      <c r="H609" s="8"/>
      <c r="I609" s="14">
        <v>0</v>
      </c>
      <c r="J609" s="14">
        <v>0</v>
      </c>
      <c r="K609" s="6" t="str">
        <f t="shared" si="92"/>
        <v>Twitter Web App</v>
      </c>
      <c r="L609" s="15">
        <v>3608</v>
      </c>
      <c r="M609" s="15">
        <v>251</v>
      </c>
      <c r="N609" s="15">
        <v>118</v>
      </c>
      <c r="O609" s="9"/>
      <c r="P609" s="10">
        <v>42748.499421296292</v>
      </c>
      <c r="Q609" s="14" t="s">
        <v>696</v>
      </c>
      <c r="R609" s="14" t="s">
        <v>1343</v>
      </c>
      <c r="S609" s="7" t="s">
        <v>1344</v>
      </c>
      <c r="T609" s="8"/>
      <c r="U609" s="11" t="str">
        <f>HYPERLINK("https://pbs.twimg.com/profile_images/895029477192851456/7dh0KKva.jpg","View")</f>
        <v>View</v>
      </c>
      <c r="V609" s="8"/>
      <c r="W609" s="8"/>
      <c r="X609" s="8"/>
      <c r="Y609" s="8"/>
      <c r="Z609" s="8"/>
    </row>
    <row r="610" spans="1:26" ht="13.2">
      <c r="A610" s="13">
        <v>44250.654224537036</v>
      </c>
      <c r="B610" s="6" t="str">
        <f>HYPERLINK("https://twitter.com/labszarpgmailc1","@labszarpgmailc1")</f>
        <v>@labszarpgmailc1</v>
      </c>
      <c r="C610" s="14" t="s">
        <v>2944</v>
      </c>
      <c r="D610" s="14" t="s">
        <v>2945</v>
      </c>
      <c r="E610" s="6" t="str">
        <f>HYPERLINK("https://twitter.com/labszarpgmailc1/status/1364224013539500044","1364224013539500044")</f>
        <v>1364224013539500044</v>
      </c>
      <c r="F610" s="8"/>
      <c r="G610" s="7" t="s">
        <v>2946</v>
      </c>
      <c r="H610" s="8"/>
      <c r="I610" s="14">
        <v>0</v>
      </c>
      <c r="J610" s="14">
        <v>0</v>
      </c>
      <c r="K610" s="6" t="str">
        <f t="shared" si="92"/>
        <v>Twitter Web App</v>
      </c>
      <c r="L610" s="15">
        <v>3</v>
      </c>
      <c r="M610" s="15">
        <v>1</v>
      </c>
      <c r="N610" s="15">
        <v>0</v>
      </c>
      <c r="O610" s="9"/>
      <c r="P610" s="10">
        <v>44218.678136574075</v>
      </c>
      <c r="Q610" s="8"/>
      <c r="R610" s="14" t="s">
        <v>2947</v>
      </c>
      <c r="S610" s="7" t="s">
        <v>2948</v>
      </c>
      <c r="T610" s="8"/>
      <c r="U610" s="11" t="str">
        <f>HYPERLINK("https://pbs.twimg.com/profile_images/1352636729379852289/a9nigYeV.jpg","View")</f>
        <v>View</v>
      </c>
      <c r="V610" s="8"/>
      <c r="W610" s="8"/>
      <c r="X610" s="8"/>
      <c r="Y610" s="8"/>
      <c r="Z610" s="8"/>
    </row>
    <row r="611" spans="1:26" ht="13.2">
      <c r="A611" s="13">
        <v>44250.653842592597</v>
      </c>
      <c r="B611" s="6" t="str">
        <f>HYPERLINK("https://twitter.com/Philip_Paisnel","@Philip_Paisnel")</f>
        <v>@Philip_Paisnel</v>
      </c>
      <c r="C611" s="14" t="s">
        <v>2949</v>
      </c>
      <c r="D611" s="14" t="s">
        <v>2950</v>
      </c>
      <c r="E611" s="6" t="str">
        <f>HYPERLINK("https://twitter.com/Philip_Paisnel/status/1364223875861540869","1364223875861540869")</f>
        <v>1364223875861540869</v>
      </c>
      <c r="F611" s="7" t="s">
        <v>2951</v>
      </c>
      <c r="G611" s="8"/>
      <c r="H611" s="8"/>
      <c r="I611" s="14">
        <v>1</v>
      </c>
      <c r="J611" s="14">
        <v>1</v>
      </c>
      <c r="K611" s="6" t="str">
        <f>HYPERLINK("https://paper.li","Paper.li")</f>
        <v>Paper.li</v>
      </c>
      <c r="L611" s="15">
        <v>3107</v>
      </c>
      <c r="M611" s="15">
        <v>4525</v>
      </c>
      <c r="N611" s="15">
        <v>47</v>
      </c>
      <c r="O611" s="9"/>
      <c r="P611" s="10">
        <v>40871.233587962961</v>
      </c>
      <c r="Q611" s="14" t="s">
        <v>2952</v>
      </c>
      <c r="R611" s="14" t="s">
        <v>2953</v>
      </c>
      <c r="S611" s="7" t="s">
        <v>2954</v>
      </c>
      <c r="T611" s="8"/>
      <c r="U611" s="11" t="str">
        <f>HYPERLINK("https://pbs.twimg.com/profile_images/1359902709823004676/Fe0ph6kf.jpg","View")</f>
        <v>View</v>
      </c>
      <c r="V611" s="8"/>
      <c r="W611" s="8"/>
      <c r="X611" s="8"/>
      <c r="Y611" s="8"/>
      <c r="Z611" s="8"/>
    </row>
    <row r="612" spans="1:26" ht="13.2">
      <c r="A612" s="13">
        <v>44250.653657407413</v>
      </c>
      <c r="B612" s="6" t="str">
        <f>HYPERLINK("https://twitter.com/HarbRimah","@HarbRimah")</f>
        <v>@HarbRimah</v>
      </c>
      <c r="C612" s="14" t="s">
        <v>2837</v>
      </c>
      <c r="D612" s="14" t="s">
        <v>2955</v>
      </c>
      <c r="E612" s="6" t="str">
        <f>HYPERLINK("https://twitter.com/HarbRimah/status/1364223807490117634","1364223807490117634")</f>
        <v>1364223807490117634</v>
      </c>
      <c r="F612" s="7" t="s">
        <v>2956</v>
      </c>
      <c r="G612" s="8"/>
      <c r="H612" s="8"/>
      <c r="I612" s="14">
        <v>22</v>
      </c>
      <c r="J612" s="14">
        <v>9</v>
      </c>
      <c r="K612" s="6" t="str">
        <f t="shared" ref="K612:K617" si="93">HYPERLINK("https://mobile.twitter.com","Twitter Web App")</f>
        <v>Twitter Web App</v>
      </c>
      <c r="L612" s="15">
        <v>8983</v>
      </c>
      <c r="M612" s="15">
        <v>4886</v>
      </c>
      <c r="N612" s="15">
        <v>675</v>
      </c>
      <c r="O612" s="9"/>
      <c r="P612" s="10">
        <v>41198.440601851849</v>
      </c>
      <c r="Q612" s="8"/>
      <c r="R612" s="14" t="s">
        <v>2838</v>
      </c>
      <c r="S612" s="8"/>
      <c r="T612" s="8"/>
      <c r="U612" s="11" t="str">
        <f>HYPERLINK("https://pbs.twimg.com/profile_images/909317895355863040/ls7cAjxm.jpg","View")</f>
        <v>View</v>
      </c>
      <c r="V612" s="8"/>
      <c r="W612" s="8"/>
      <c r="X612" s="8"/>
      <c r="Y612" s="8"/>
      <c r="Z612" s="8"/>
    </row>
    <row r="613" spans="1:26" ht="13.2">
      <c r="A613" s="13">
        <v>44250.653587962966</v>
      </c>
      <c r="B613" s="6" t="str">
        <f>HYPERLINK("https://twitter.com/TheNisargDave","@TheNisargDave")</f>
        <v>@TheNisargDave</v>
      </c>
      <c r="C613" s="14" t="s">
        <v>2957</v>
      </c>
      <c r="D613" s="14" t="s">
        <v>2958</v>
      </c>
      <c r="E613" s="6" t="str">
        <f>HYPERLINK("https://twitter.com/TheNisargDave/status/1364223784367124480","1364223784367124480")</f>
        <v>1364223784367124480</v>
      </c>
      <c r="F613" s="7" t="s">
        <v>2959</v>
      </c>
      <c r="G613" s="8"/>
      <c r="H613" s="8"/>
      <c r="I613" s="14">
        <v>0</v>
      </c>
      <c r="J613" s="14">
        <v>0</v>
      </c>
      <c r="K613" s="6" t="str">
        <f t="shared" si="93"/>
        <v>Twitter Web App</v>
      </c>
      <c r="L613" s="15">
        <v>217</v>
      </c>
      <c r="M613" s="15">
        <v>728</v>
      </c>
      <c r="N613" s="15">
        <v>1</v>
      </c>
      <c r="O613" s="9"/>
      <c r="P613" s="10">
        <v>43350.832453703704</v>
      </c>
      <c r="Q613" s="14" t="s">
        <v>2800</v>
      </c>
      <c r="R613" s="14" t="s">
        <v>2960</v>
      </c>
      <c r="S613" s="7" t="s">
        <v>2961</v>
      </c>
      <c r="T613" s="8"/>
      <c r="U613" s="11" t="str">
        <f>HYPERLINK("https://pbs.twimg.com/profile_images/1276237104318754817/bnKtmrgI.jpg","View")</f>
        <v>View</v>
      </c>
      <c r="V613" s="8"/>
      <c r="W613" s="8"/>
      <c r="X613" s="8"/>
      <c r="Y613" s="8"/>
      <c r="Z613" s="8"/>
    </row>
    <row r="614" spans="1:26" ht="13.2">
      <c r="A614" s="13">
        <v>44250.653541666667</v>
      </c>
      <c r="B614" s="6" t="str">
        <f>HYPERLINK("https://twitter.com/k_anusha7","@k_anusha7")</f>
        <v>@k_anusha7</v>
      </c>
      <c r="C614" s="14" t="s">
        <v>2962</v>
      </c>
      <c r="D614" s="14" t="s">
        <v>2963</v>
      </c>
      <c r="E614" s="6" t="str">
        <f>HYPERLINK("https://twitter.com/k_anusha7/status/1364223765668761606","1364223765668761606")</f>
        <v>1364223765668761606</v>
      </c>
      <c r="F614" s="8"/>
      <c r="G614" s="7" t="s">
        <v>2964</v>
      </c>
      <c r="H614" s="8"/>
      <c r="I614" s="14">
        <v>8</v>
      </c>
      <c r="J614" s="14">
        <v>5</v>
      </c>
      <c r="K614" s="6" t="str">
        <f t="shared" si="93"/>
        <v>Twitter Web App</v>
      </c>
      <c r="L614" s="15">
        <v>1</v>
      </c>
      <c r="M614" s="15">
        <v>2</v>
      </c>
      <c r="N614" s="15">
        <v>0</v>
      </c>
      <c r="O614" s="9"/>
      <c r="P614" s="10">
        <v>44238.789317129631</v>
      </c>
      <c r="Q614" s="8"/>
      <c r="R614" s="8"/>
      <c r="S614" s="8"/>
      <c r="T614" s="8"/>
      <c r="U614" s="11" t="str">
        <f>HYPERLINK("https://pbs.twimg.com/profile_images/1359924745873936384/qFkppl9n.jpg","View")</f>
        <v>View</v>
      </c>
      <c r="V614" s="8"/>
      <c r="W614" s="8"/>
      <c r="X614" s="8"/>
      <c r="Y614" s="8"/>
      <c r="Z614" s="8"/>
    </row>
    <row r="615" spans="1:26" ht="13.2">
      <c r="A615" s="13">
        <v>44250.65347222222</v>
      </c>
      <c r="B615" s="6" t="str">
        <f>HYPERLINK("https://twitter.com/SourabhSKatoch","@SourabhSKatoch")</f>
        <v>@SourabhSKatoch</v>
      </c>
      <c r="C615" s="14" t="s">
        <v>2965</v>
      </c>
      <c r="D615" s="14" t="s">
        <v>2966</v>
      </c>
      <c r="E615" s="6" t="str">
        <f>HYPERLINK("https://twitter.com/SourabhSKatoch/status/1364223739555164162","1364223739555164162")</f>
        <v>1364223739555164162</v>
      </c>
      <c r="F615" s="7" t="s">
        <v>2967</v>
      </c>
      <c r="G615" s="7" t="s">
        <v>2968</v>
      </c>
      <c r="H615" s="8"/>
      <c r="I615" s="14">
        <v>21</v>
      </c>
      <c r="J615" s="14">
        <v>13</v>
      </c>
      <c r="K615" s="6" t="str">
        <f t="shared" si="93"/>
        <v>Twitter Web App</v>
      </c>
      <c r="L615" s="15">
        <v>12277</v>
      </c>
      <c r="M615" s="15">
        <v>11846</v>
      </c>
      <c r="N615" s="15">
        <v>59</v>
      </c>
      <c r="O615" s="9"/>
      <c r="P615" s="10">
        <v>42623.507314814815</v>
      </c>
      <c r="Q615" s="14" t="s">
        <v>2969</v>
      </c>
      <c r="R615" s="14" t="s">
        <v>2970</v>
      </c>
      <c r="S615" s="8"/>
      <c r="T615" s="8"/>
      <c r="U615" s="11" t="str">
        <f>HYPERLINK("https://pbs.twimg.com/profile_images/1250501846709334017/WU0jzEqi.jpg","View")</f>
        <v>View</v>
      </c>
      <c r="V615" s="8"/>
      <c r="W615" s="8"/>
      <c r="X615" s="8"/>
      <c r="Y615" s="8"/>
      <c r="Z615" s="8"/>
    </row>
    <row r="616" spans="1:26" ht="13.2">
      <c r="A616" s="13">
        <v>44250.653240740736</v>
      </c>
      <c r="B616" s="6" t="str">
        <f>HYPERLINK("https://twitter.com/HarbRimah","@HarbRimah")</f>
        <v>@HarbRimah</v>
      </c>
      <c r="C616" s="14" t="s">
        <v>2837</v>
      </c>
      <c r="D616" s="14" t="s">
        <v>2971</v>
      </c>
      <c r="E616" s="6" t="str">
        <f>HYPERLINK("https://twitter.com/HarbRimah/status/1364223656050659337","1364223656050659337")</f>
        <v>1364223656050659337</v>
      </c>
      <c r="F616" s="7" t="s">
        <v>2972</v>
      </c>
      <c r="G616" s="8"/>
      <c r="H616" s="8"/>
      <c r="I616" s="14">
        <v>16</v>
      </c>
      <c r="J616" s="14">
        <v>5</v>
      </c>
      <c r="K616" s="6" t="str">
        <f t="shared" si="93"/>
        <v>Twitter Web App</v>
      </c>
      <c r="L616" s="15">
        <v>8983</v>
      </c>
      <c r="M616" s="15">
        <v>4886</v>
      </c>
      <c r="N616" s="15">
        <v>675</v>
      </c>
      <c r="O616" s="9"/>
      <c r="P616" s="10">
        <v>41198.440601851849</v>
      </c>
      <c r="Q616" s="8"/>
      <c r="R616" s="14" t="s">
        <v>2838</v>
      </c>
      <c r="S616" s="8"/>
      <c r="T616" s="8"/>
      <c r="U616" s="11" t="str">
        <f>HYPERLINK("https://pbs.twimg.com/profile_images/909317895355863040/ls7cAjxm.jpg","View")</f>
        <v>View</v>
      </c>
      <c r="V616" s="8"/>
      <c r="W616" s="8"/>
      <c r="X616" s="8"/>
      <c r="Y616" s="8"/>
      <c r="Z616" s="8"/>
    </row>
    <row r="617" spans="1:26" ht="13.2">
      <c r="A617" s="13">
        <v>44250.652442129634</v>
      </c>
      <c r="B617" s="6" t="str">
        <f>HYPERLINK("https://twitter.com/TheEcoPreneurs","@TheEcoPreneurs")</f>
        <v>@TheEcoPreneurs</v>
      </c>
      <c r="C617" s="14" t="s">
        <v>2973</v>
      </c>
      <c r="D617" s="14" t="s">
        <v>2974</v>
      </c>
      <c r="E617" s="6" t="str">
        <f>HYPERLINK("https://twitter.com/TheEcoPreneurs/status/1364223365666336772","1364223365666336772")</f>
        <v>1364223365666336772</v>
      </c>
      <c r="F617" s="7" t="s">
        <v>2975</v>
      </c>
      <c r="G617" s="7" t="s">
        <v>2976</v>
      </c>
      <c r="H617" s="8"/>
      <c r="I617" s="14">
        <v>6</v>
      </c>
      <c r="J617" s="14">
        <v>6</v>
      </c>
      <c r="K617" s="6" t="str">
        <f t="shared" si="93"/>
        <v>Twitter Web App</v>
      </c>
      <c r="L617" s="15">
        <v>109</v>
      </c>
      <c r="M617" s="15">
        <v>11</v>
      </c>
      <c r="N617" s="15">
        <v>1</v>
      </c>
      <c r="O617" s="9"/>
      <c r="P617" s="10">
        <v>41969.313090277778</v>
      </c>
      <c r="Q617" s="14" t="s">
        <v>2977</v>
      </c>
      <c r="R617" s="14" t="s">
        <v>2978</v>
      </c>
      <c r="S617" s="7" t="s">
        <v>2979</v>
      </c>
      <c r="T617" s="8"/>
      <c r="U617" s="11" t="str">
        <f>HYPERLINK("https://pbs.twimg.com/profile_images/574247870347415552/mdFe5izN.png","View")</f>
        <v>View</v>
      </c>
      <c r="V617" s="8"/>
      <c r="W617" s="8"/>
      <c r="X617" s="8"/>
      <c r="Y617" s="8"/>
      <c r="Z617" s="8"/>
    </row>
    <row r="618" spans="1:26" ht="13.2">
      <c r="A618" s="13">
        <v>44250.65215277778</v>
      </c>
      <c r="B618" s="6" t="str">
        <f>HYPERLINK("https://twitter.com/philiprang","@philiprang")</f>
        <v>@philiprang</v>
      </c>
      <c r="C618" s="14" t="s">
        <v>2980</v>
      </c>
      <c r="D618" s="14" t="s">
        <v>1180</v>
      </c>
      <c r="E618" s="6" t="str">
        <f>HYPERLINK("https://twitter.com/philiprang/status/1364223262461337609","1364223262461337609")</f>
        <v>1364223262461337609</v>
      </c>
      <c r="F618" s="7" t="s">
        <v>2981</v>
      </c>
      <c r="G618" s="7" t="s">
        <v>2982</v>
      </c>
      <c r="H618" s="8"/>
      <c r="I618" s="14">
        <v>2</v>
      </c>
      <c r="J618" s="14">
        <v>1</v>
      </c>
      <c r="K618" s="6" t="str">
        <f>HYPERLINK("http://dynamicsignal.com/","Dynamic Signal")</f>
        <v>Dynamic Signal</v>
      </c>
      <c r="L618" s="15">
        <v>705</v>
      </c>
      <c r="M618" s="15">
        <v>2757</v>
      </c>
      <c r="N618" s="15">
        <v>78</v>
      </c>
      <c r="O618" s="9"/>
      <c r="P618" s="10">
        <v>39750.64916666667</v>
      </c>
      <c r="Q618" s="8"/>
      <c r="R618" s="14" t="s">
        <v>2983</v>
      </c>
      <c r="S618" s="8"/>
      <c r="T618" s="8"/>
      <c r="U618" s="11" t="str">
        <f>HYPERLINK("https://pbs.twimg.com/profile_images/118073293/phil_out.JPG","View")</f>
        <v>View</v>
      </c>
      <c r="V618" s="8"/>
      <c r="W618" s="8"/>
      <c r="X618" s="8"/>
      <c r="Y618" s="8"/>
      <c r="Z618" s="8"/>
    </row>
    <row r="619" spans="1:26" ht="13.2">
      <c r="A619" s="13">
        <v>44250.651689814811</v>
      </c>
      <c r="B619" s="6" t="str">
        <f>HYPERLINK("https://twitter.com/HITLABnyc","@HITLABnyc")</f>
        <v>@HITLABnyc</v>
      </c>
      <c r="C619" s="14" t="s">
        <v>2984</v>
      </c>
      <c r="D619" s="14" t="s">
        <v>2985</v>
      </c>
      <c r="E619" s="6" t="str">
        <f>HYPERLINK("https://twitter.com/HITLABnyc/status/1364223096312446976","1364223096312446976")</f>
        <v>1364223096312446976</v>
      </c>
      <c r="F619" s="7" t="s">
        <v>2986</v>
      </c>
      <c r="G619" s="8"/>
      <c r="H619" s="8"/>
      <c r="I619" s="14">
        <v>0</v>
      </c>
      <c r="J619" s="14">
        <v>1</v>
      </c>
      <c r="K619" s="6" t="str">
        <f>HYPERLINK("https://mobile.twitter.com","Twitter Web App")</f>
        <v>Twitter Web App</v>
      </c>
      <c r="L619" s="15">
        <v>3784</v>
      </c>
      <c r="M619" s="15">
        <v>3749</v>
      </c>
      <c r="N619" s="15">
        <v>327</v>
      </c>
      <c r="O619" s="9"/>
      <c r="P619" s="10">
        <v>40361.946331018517</v>
      </c>
      <c r="Q619" s="14" t="s">
        <v>215</v>
      </c>
      <c r="R619" s="14" t="s">
        <v>2987</v>
      </c>
      <c r="S619" s="7" t="s">
        <v>2988</v>
      </c>
      <c r="T619" s="8"/>
      <c r="U619" s="11" t="str">
        <f>HYPERLINK("https://pbs.twimg.com/profile_images/1258836017353654273/be8KZSQt.jpg","View")</f>
        <v>View</v>
      </c>
      <c r="V619" s="8"/>
      <c r="W619" s="8"/>
      <c r="X619" s="8"/>
      <c r="Y619" s="8"/>
      <c r="Z619" s="8"/>
    </row>
    <row r="620" spans="1:26" ht="13.2">
      <c r="A620" s="13">
        <v>44250.651689814811</v>
      </c>
      <c r="B620" s="6" t="str">
        <f>HYPERLINK("https://twitter.com/reliyant","@reliyant")</f>
        <v>@reliyant</v>
      </c>
      <c r="C620" s="14" t="s">
        <v>2989</v>
      </c>
      <c r="D620" s="14" t="s">
        <v>2990</v>
      </c>
      <c r="E620" s="6" t="str">
        <f>HYPERLINK("https://twitter.com/reliyant/status/1364223094710284290","1364223094710284290")</f>
        <v>1364223094710284290</v>
      </c>
      <c r="F620" s="7" t="s">
        <v>2991</v>
      </c>
      <c r="G620" s="8"/>
      <c r="H620" s="8"/>
      <c r="I620" s="14">
        <v>1</v>
      </c>
      <c r="J620" s="14">
        <v>0</v>
      </c>
      <c r="K620" s="6" t="str">
        <f>HYPERLINK("https://www.hootsuite.com","Hootsuite Inc.")</f>
        <v>Hootsuite Inc.</v>
      </c>
      <c r="L620" s="15">
        <v>107</v>
      </c>
      <c r="M620" s="15">
        <v>78</v>
      </c>
      <c r="N620" s="15">
        <v>1</v>
      </c>
      <c r="O620" s="9"/>
      <c r="P620" s="10">
        <v>43355.560173611113</v>
      </c>
      <c r="Q620" s="8"/>
      <c r="R620" s="14" t="s">
        <v>2992</v>
      </c>
      <c r="S620" s="8"/>
      <c r="T620" s="8"/>
      <c r="U620" s="11" t="str">
        <f>HYPERLINK("https://pbs.twimg.com/profile_images/1040214787815342080/O1xcX-g2.jpg","View")</f>
        <v>View</v>
      </c>
      <c r="V620" s="8"/>
      <c r="W620" s="8"/>
      <c r="X620" s="8"/>
      <c r="Y620" s="8"/>
      <c r="Z620" s="8"/>
    </row>
    <row r="621" spans="1:26" ht="13.2">
      <c r="A621" s="13">
        <v>44250.651412037041</v>
      </c>
      <c r="B621" s="6" t="str">
        <f>HYPERLINK("https://twitter.com/VicenteGilPalop","@VicenteGilPalop")</f>
        <v>@VicenteGilPalop</v>
      </c>
      <c r="C621" s="14" t="s">
        <v>2993</v>
      </c>
      <c r="D621" s="14" t="s">
        <v>2994</v>
      </c>
      <c r="E621" s="6" t="str">
        <f>HYPERLINK("https://twitter.com/VicenteGilPalop/status/1364222994369966080","1364222994369966080")</f>
        <v>1364222994369966080</v>
      </c>
      <c r="F621" s="7" t="s">
        <v>2995</v>
      </c>
      <c r="G621" s="7" t="s">
        <v>2996</v>
      </c>
      <c r="H621" s="8"/>
      <c r="I621" s="14">
        <v>0</v>
      </c>
      <c r="J621" s="14">
        <v>0</v>
      </c>
      <c r="K621" s="6" t="str">
        <f>HYPERLINK("https://buffer.com","Buffer")</f>
        <v>Buffer</v>
      </c>
      <c r="L621" s="15">
        <v>1236</v>
      </c>
      <c r="M621" s="15">
        <v>446</v>
      </c>
      <c r="N621" s="15">
        <v>34</v>
      </c>
      <c r="O621" s="9"/>
      <c r="P621" s="10">
        <v>41938.757337962961</v>
      </c>
      <c r="Q621" s="8"/>
      <c r="R621" s="14" t="s">
        <v>2997</v>
      </c>
      <c r="S621" s="7" t="s">
        <v>2998</v>
      </c>
      <c r="T621" s="8"/>
      <c r="U621" s="11" t="str">
        <f>HYPERLINK("https://pbs.twimg.com/profile_images/1197120524784144384/JSObV2ye.jpg","View")</f>
        <v>View</v>
      </c>
      <c r="V621" s="8"/>
      <c r="W621" s="8"/>
      <c r="X621" s="8"/>
      <c r="Y621" s="8"/>
      <c r="Z621" s="8"/>
    </row>
    <row r="622" spans="1:26" ht="13.2">
      <c r="A622" s="13">
        <v>44250.651388888888</v>
      </c>
      <c r="B622" s="6" t="str">
        <f>HYPERLINK("https://twitter.com/AKM_Intisar","@AKM_Intisar")</f>
        <v>@AKM_Intisar</v>
      </c>
      <c r="C622" s="14" t="s">
        <v>1409</v>
      </c>
      <c r="D622" s="14" t="s">
        <v>2999</v>
      </c>
      <c r="E622" s="6" t="str">
        <f>HYPERLINK("https://twitter.com/AKM_Intisar/status/1364222984840384515","1364222984840384515")</f>
        <v>1364222984840384515</v>
      </c>
      <c r="F622" s="8"/>
      <c r="G622" s="8"/>
      <c r="H622" s="8"/>
      <c r="I622" s="14">
        <v>14</v>
      </c>
      <c r="J622" s="14">
        <v>9</v>
      </c>
      <c r="K622" s="6" t="str">
        <f t="shared" ref="K622:K624" si="94">HYPERLINK("https://mobile.twitter.com","Twitter Web App")</f>
        <v>Twitter Web App</v>
      </c>
      <c r="L622" s="15">
        <v>656</v>
      </c>
      <c r="M622" s="15">
        <v>3183</v>
      </c>
      <c r="N622" s="15">
        <v>1</v>
      </c>
      <c r="O622" s="9"/>
      <c r="P622" s="10">
        <v>40237.325590277775</v>
      </c>
      <c r="Q622" s="14" t="s">
        <v>1411</v>
      </c>
      <c r="R622" s="14" t="s">
        <v>1412</v>
      </c>
      <c r="S622" s="7" t="s">
        <v>1223</v>
      </c>
      <c r="T622" s="8"/>
      <c r="U622" s="11" t="str">
        <f>HYPERLINK("https://pbs.twimg.com/profile_images/1340328446858170369/PHJ_TWVH.jpg","View")</f>
        <v>View</v>
      </c>
      <c r="V622" s="8"/>
      <c r="W622" s="8"/>
      <c r="X622" s="8"/>
      <c r="Y622" s="8"/>
      <c r="Z622" s="8"/>
    </row>
    <row r="623" spans="1:26" ht="13.2">
      <c r="A623" s="13">
        <v>44250.650752314818</v>
      </c>
      <c r="B623" s="6" t="str">
        <f>HYPERLINK("https://twitter.com/GlobalFloodNews","@GlobalFloodNews")</f>
        <v>@GlobalFloodNews</v>
      </c>
      <c r="C623" s="14" t="s">
        <v>3000</v>
      </c>
      <c r="D623" s="14" t="s">
        <v>3001</v>
      </c>
      <c r="E623" s="6" t="str">
        <f>HYPERLINK("https://twitter.com/GlobalFloodNews/status/1364222754392707079","1364222754392707079")</f>
        <v>1364222754392707079</v>
      </c>
      <c r="F623" s="8"/>
      <c r="G623" s="7" t="s">
        <v>3002</v>
      </c>
      <c r="H623" s="8"/>
      <c r="I623" s="14">
        <v>2</v>
      </c>
      <c r="J623" s="14">
        <v>3</v>
      </c>
      <c r="K623" s="6" t="str">
        <f t="shared" si="94"/>
        <v>Twitter Web App</v>
      </c>
      <c r="L623" s="15">
        <v>1324</v>
      </c>
      <c r="M623" s="15">
        <v>309</v>
      </c>
      <c r="N623" s="15">
        <v>79</v>
      </c>
      <c r="O623" s="9"/>
      <c r="P623" s="10">
        <v>41446.599907407406</v>
      </c>
      <c r="Q623" s="14" t="s">
        <v>3003</v>
      </c>
      <c r="R623" s="14" t="s">
        <v>3004</v>
      </c>
      <c r="S623" s="7" t="s">
        <v>3005</v>
      </c>
      <c r="T623" s="8"/>
      <c r="U623" s="11" t="str">
        <f>HYPERLINK("https://pbs.twimg.com/profile_images/378800000139025862/fba2c4be03a7e8f6f403939922ae5500.jpeg","View")</f>
        <v>View</v>
      </c>
      <c r="V623" s="8"/>
      <c r="W623" s="8"/>
      <c r="X623" s="8"/>
      <c r="Y623" s="8"/>
      <c r="Z623" s="8"/>
    </row>
    <row r="624" spans="1:26" ht="13.2">
      <c r="A624" s="13">
        <v>44250.650694444441</v>
      </c>
      <c r="B624" s="6" t="str">
        <f>HYPERLINK("https://twitter.com/SKlausDev","@SKlausDev")</f>
        <v>@SKlausDev</v>
      </c>
      <c r="C624" s="14" t="s">
        <v>1404</v>
      </c>
      <c r="D624" s="14" t="s">
        <v>3006</v>
      </c>
      <c r="E624" s="6" t="str">
        <f>HYPERLINK("https://twitter.com/SKlausDev/status/1364222733165367297","1364222733165367297")</f>
        <v>1364222733165367297</v>
      </c>
      <c r="F624" s="7" t="s">
        <v>3007</v>
      </c>
      <c r="G624" s="8"/>
      <c r="H624" s="8"/>
      <c r="I624" s="14">
        <v>1</v>
      </c>
      <c r="J624" s="14">
        <v>1</v>
      </c>
      <c r="K624" s="6" t="str">
        <f t="shared" si="94"/>
        <v>Twitter Web App</v>
      </c>
      <c r="L624" s="15">
        <v>1288</v>
      </c>
      <c r="M624" s="15">
        <v>910</v>
      </c>
      <c r="N624" s="15">
        <v>505</v>
      </c>
      <c r="O624" s="9"/>
      <c r="P624" s="10">
        <v>42492.59207175926</v>
      </c>
      <c r="Q624" s="14" t="s">
        <v>1407</v>
      </c>
      <c r="R624" s="14" t="s">
        <v>1408</v>
      </c>
      <c r="S624" s="8"/>
      <c r="T624" s="8"/>
      <c r="U624" s="11" t="str">
        <f>HYPERLINK("https://pbs.twimg.com/profile_images/727109083283726336/pMHGSHGB.jpg","View")</f>
        <v>View</v>
      </c>
      <c r="V624" s="8"/>
      <c r="W624" s="8"/>
      <c r="X624" s="8"/>
      <c r="Y624" s="8"/>
      <c r="Z624" s="8"/>
    </row>
    <row r="625" spans="1:26" ht="13.2">
      <c r="A625" s="13">
        <v>44250.650555555556</v>
      </c>
      <c r="B625" s="6" t="str">
        <f>HYPERLINK("https://twitter.com/KyleGibbs44","@KyleGibbs44")</f>
        <v>@KyleGibbs44</v>
      </c>
      <c r="C625" s="14" t="s">
        <v>3008</v>
      </c>
      <c r="D625" s="14" t="s">
        <v>3009</v>
      </c>
      <c r="E625" s="6" t="str">
        <f>HYPERLINK("https://twitter.com/KyleGibbs44/status/1364222682103828485","1364222682103828485")</f>
        <v>1364222682103828485</v>
      </c>
      <c r="F625" s="7" t="s">
        <v>3010</v>
      </c>
      <c r="G625" s="8"/>
      <c r="H625" s="8"/>
      <c r="I625" s="14">
        <v>1</v>
      </c>
      <c r="J625" s="14">
        <v>1</v>
      </c>
      <c r="K625" s="6" t="str">
        <f>HYPERLINK("http://www.linkedin.com/","LinkedIn")</f>
        <v>LinkedIn</v>
      </c>
      <c r="L625" s="15">
        <v>358</v>
      </c>
      <c r="M625" s="15">
        <v>718</v>
      </c>
      <c r="N625" s="15">
        <v>26</v>
      </c>
      <c r="O625" s="9"/>
      <c r="P625" s="10">
        <v>40591.702013888891</v>
      </c>
      <c r="Q625" s="14" t="s">
        <v>599</v>
      </c>
      <c r="R625" s="14" t="s">
        <v>3011</v>
      </c>
      <c r="S625" s="8"/>
      <c r="T625" s="8"/>
      <c r="U625" s="11" t="str">
        <f>HYPERLINK("https://pbs.twimg.com/profile_images/1577158782/eng-paris_july_08_263.jpg","View")</f>
        <v>View</v>
      </c>
      <c r="V625" s="8"/>
      <c r="W625" s="8"/>
      <c r="X625" s="8"/>
      <c r="Y625" s="8"/>
      <c r="Z625" s="8"/>
    </row>
    <row r="626" spans="1:26" ht="13.2">
      <c r="A626" s="13">
        <v>44250.65042824074</v>
      </c>
      <c r="B626" s="6" t="str">
        <f>HYPERLINK("https://twitter.com/ThirdEyeMedia_","@ThirdEyeMedia_")</f>
        <v>@ThirdEyeMedia_</v>
      </c>
      <c r="C626" s="14" t="s">
        <v>3012</v>
      </c>
      <c r="D626" s="14" t="s">
        <v>3013</v>
      </c>
      <c r="E626" s="6" t="str">
        <f>HYPERLINK("https://twitter.com/ThirdEyeMedia_/status/1364222635719020554","1364222635719020554")</f>
        <v>1364222635719020554</v>
      </c>
      <c r="F626" s="7" t="s">
        <v>3014</v>
      </c>
      <c r="G626" s="8"/>
      <c r="H626" s="8"/>
      <c r="I626" s="14">
        <v>1</v>
      </c>
      <c r="J626" s="14">
        <v>1</v>
      </c>
      <c r="K626" s="6" t="str">
        <f>HYPERLINK("http://twitter.com/download/iphone","Twitter for iPhone")</f>
        <v>Twitter for iPhone</v>
      </c>
      <c r="L626" s="15">
        <v>492</v>
      </c>
      <c r="M626" s="15">
        <v>1322</v>
      </c>
      <c r="N626" s="15">
        <v>68</v>
      </c>
      <c r="O626" s="9"/>
      <c r="P626" s="10">
        <v>42660.817557870367</v>
      </c>
      <c r="Q626" s="14" t="s">
        <v>3015</v>
      </c>
      <c r="R626" s="14" t="s">
        <v>3016</v>
      </c>
      <c r="S626" s="7" t="s">
        <v>3017</v>
      </c>
      <c r="T626" s="8"/>
      <c r="U626" s="11" t="str">
        <f>HYPERLINK("https://pbs.twimg.com/profile_images/1356656691530633220/ZUTW8SNf.jpg","View")</f>
        <v>View</v>
      </c>
      <c r="V626" s="8"/>
      <c r="W626" s="8"/>
      <c r="X626" s="8"/>
      <c r="Y626" s="8"/>
      <c r="Z626" s="8"/>
    </row>
    <row r="627" spans="1:26" ht="13.2">
      <c r="A627" s="13">
        <v>44250.649305555555</v>
      </c>
      <c r="B627" s="6" t="str">
        <f>HYPERLINK("https://twitter.com/Data_4_People","@Data_4_People")</f>
        <v>@Data_4_People</v>
      </c>
      <c r="C627" s="14" t="s">
        <v>3018</v>
      </c>
      <c r="D627" s="14" t="s">
        <v>2659</v>
      </c>
      <c r="E627" s="6" t="str">
        <f>HYPERLINK("https://twitter.com/Data_4_People/status/1364222229584642057","1364222229584642057")</f>
        <v>1364222229584642057</v>
      </c>
      <c r="F627" s="7" t="s">
        <v>2660</v>
      </c>
      <c r="G627" s="8"/>
      <c r="H627" s="8"/>
      <c r="I627" s="14">
        <v>2</v>
      </c>
      <c r="J627" s="14">
        <v>1</v>
      </c>
      <c r="K627" s="6" t="str">
        <f>HYPERLINK("https://social.zoho.com","Zoho Social")</f>
        <v>Zoho Social</v>
      </c>
      <c r="L627" s="15">
        <v>270</v>
      </c>
      <c r="M627" s="15">
        <v>881</v>
      </c>
      <c r="N627" s="15">
        <v>2</v>
      </c>
      <c r="O627" s="9"/>
      <c r="P627" s="10">
        <v>43354.771331018521</v>
      </c>
      <c r="Q627" s="14" t="s">
        <v>2661</v>
      </c>
      <c r="R627" s="14" t="s">
        <v>3019</v>
      </c>
      <c r="S627" s="7" t="s">
        <v>2663</v>
      </c>
      <c r="T627" s="8"/>
      <c r="U627" s="11" t="str">
        <f>HYPERLINK("https://pbs.twimg.com/profile_images/1040422465506295808/4j5vdpz0.jpg","View")</f>
        <v>View</v>
      </c>
      <c r="V627" s="8"/>
      <c r="W627" s="8"/>
      <c r="X627" s="8"/>
      <c r="Y627" s="8"/>
      <c r="Z627" s="8"/>
    </row>
    <row r="628" spans="1:26" ht="13.2">
      <c r="A628" s="13">
        <v>44250.64875</v>
      </c>
      <c r="B628" s="6" t="str">
        <f>HYPERLINK("https://twitter.com/TFI_Canada","@TFI_Canada")</f>
        <v>@TFI_Canada</v>
      </c>
      <c r="C628" s="14" t="s">
        <v>3020</v>
      </c>
      <c r="D628" s="14" t="s">
        <v>3021</v>
      </c>
      <c r="E628" s="6" t="str">
        <f>HYPERLINK("https://twitter.com/TFI_Canada/status/1364222027519971333","1364222027519971333")</f>
        <v>1364222027519971333</v>
      </c>
      <c r="F628" s="7" t="s">
        <v>3022</v>
      </c>
      <c r="G628" s="8"/>
      <c r="H628" s="8"/>
      <c r="I628" s="14">
        <v>1</v>
      </c>
      <c r="J628" s="14">
        <v>1</v>
      </c>
      <c r="K628" s="6" t="str">
        <f>HYPERLINK("https://mobile.twitter.com","Twitter Web App")</f>
        <v>Twitter Web App</v>
      </c>
      <c r="L628" s="15">
        <v>1743</v>
      </c>
      <c r="M628" s="15">
        <v>742</v>
      </c>
      <c r="N628" s="15">
        <v>94</v>
      </c>
      <c r="O628" s="9"/>
      <c r="P628" s="10">
        <v>41136.853356481479</v>
      </c>
      <c r="Q628" s="14" t="s">
        <v>1505</v>
      </c>
      <c r="R628" s="14" t="s">
        <v>3023</v>
      </c>
      <c r="S628" s="7" t="s">
        <v>3024</v>
      </c>
      <c r="T628" s="8"/>
      <c r="U628" s="11" t="str">
        <f>HYPERLINK("https://pbs.twimg.com/profile_images/1111677110513528833/ZkOIcKkP.png","View")</f>
        <v>View</v>
      </c>
      <c r="V628" s="8"/>
      <c r="W628" s="8"/>
      <c r="X628" s="8"/>
      <c r="Y628" s="8"/>
      <c r="Z628" s="8"/>
    </row>
    <row r="629" spans="1:26" ht="13.2">
      <c r="A629" s="13">
        <v>44250.648148148146</v>
      </c>
      <c r="B629" s="6" t="str">
        <f>HYPERLINK("https://twitter.com/KakaniKatija","@KakaniKatija")</f>
        <v>@KakaniKatija</v>
      </c>
      <c r="C629" s="14" t="s">
        <v>3025</v>
      </c>
      <c r="D629" s="14" t="s">
        <v>3026</v>
      </c>
      <c r="E629" s="6" t="str">
        <f>HYPERLINK("https://twitter.com/KakaniKatija/status/1364221809994817545","1364221809994817545")</f>
        <v>1364221809994817545</v>
      </c>
      <c r="F629" s="7" t="s">
        <v>3027</v>
      </c>
      <c r="G629" s="8"/>
      <c r="H629" s="8"/>
      <c r="I629" s="14">
        <v>8</v>
      </c>
      <c r="J629" s="14">
        <v>12</v>
      </c>
      <c r="K629" s="6" t="str">
        <f t="shared" ref="K629:K630" si="95">HYPERLINK("http://twitter.com/download/iphone","Twitter for iPhone")</f>
        <v>Twitter for iPhone</v>
      </c>
      <c r="L629" s="15">
        <v>4595</v>
      </c>
      <c r="M629" s="15">
        <v>703</v>
      </c>
      <c r="N629" s="15">
        <v>51</v>
      </c>
      <c r="O629" s="9"/>
      <c r="P629" s="10">
        <v>40719.848935185189</v>
      </c>
      <c r="Q629" s="14" t="s">
        <v>3028</v>
      </c>
      <c r="R629" s="14" t="s">
        <v>3029</v>
      </c>
      <c r="S629" s="7" t="s">
        <v>3030</v>
      </c>
      <c r="T629" s="8"/>
      <c r="U629" s="11" t="str">
        <f>HYPERLINK("https://pbs.twimg.com/profile_images/499991724521832448/tAkWR94U.jpeg","View")</f>
        <v>View</v>
      </c>
      <c r="V629" s="8"/>
      <c r="W629" s="8"/>
      <c r="X629" s="8"/>
      <c r="Y629" s="8"/>
      <c r="Z629" s="8"/>
    </row>
    <row r="630" spans="1:26" ht="13.2">
      <c r="A630" s="13">
        <v>44250.647789351853</v>
      </c>
      <c r="B630" s="6" t="str">
        <f>HYPERLINK("https://twitter.com/wissenakademie","@wissenakademie")</f>
        <v>@wissenakademie</v>
      </c>
      <c r="C630" s="14" t="s">
        <v>3031</v>
      </c>
      <c r="D630" s="14" t="s">
        <v>3032</v>
      </c>
      <c r="E630" s="6" t="str">
        <f>HYPERLINK("https://twitter.com/wissenakademie/status/1364221681183518727","1364221681183518727")</f>
        <v>1364221681183518727</v>
      </c>
      <c r="F630" s="8"/>
      <c r="G630" s="7" t="s">
        <v>3033</v>
      </c>
      <c r="H630" s="8"/>
      <c r="I630" s="14">
        <v>1</v>
      </c>
      <c r="J630" s="14">
        <v>0</v>
      </c>
      <c r="K630" s="6" t="str">
        <f t="shared" si="95"/>
        <v>Twitter for iPhone</v>
      </c>
      <c r="L630" s="15">
        <v>1450</v>
      </c>
      <c r="M630" s="15">
        <v>20</v>
      </c>
      <c r="N630" s="15">
        <v>12</v>
      </c>
      <c r="O630" s="9"/>
      <c r="P630" s="10">
        <v>40522.513692129629</v>
      </c>
      <c r="Q630" s="14" t="s">
        <v>3034</v>
      </c>
      <c r="R630" s="14" t="s">
        <v>3035</v>
      </c>
      <c r="S630" s="7" t="s">
        <v>3036</v>
      </c>
      <c r="T630" s="8"/>
      <c r="U630" s="11" t="str">
        <f>HYPERLINK("https://pbs.twimg.com/profile_images/1272872741843226624/W0wdKtWv.jpg","View")</f>
        <v>View</v>
      </c>
      <c r="V630" s="8"/>
      <c r="W630" s="8"/>
      <c r="X630" s="8"/>
      <c r="Y630" s="8"/>
      <c r="Z630" s="8"/>
    </row>
    <row r="631" spans="1:26" ht="13.2">
      <c r="A631" s="13">
        <v>44250.646851851852</v>
      </c>
      <c r="B631" s="6" t="str">
        <f>HYPERLINK("https://twitter.com/DiegoNogare","@DiegoNogare")</f>
        <v>@DiegoNogare</v>
      </c>
      <c r="C631" s="14" t="s">
        <v>3037</v>
      </c>
      <c r="D631" s="14" t="s">
        <v>3038</v>
      </c>
      <c r="E631" s="6" t="str">
        <f>HYPERLINK("https://twitter.com/DiegoNogare/status/1364221341000327188","1364221341000327188")</f>
        <v>1364221341000327188</v>
      </c>
      <c r="F631" s="8"/>
      <c r="G631" s="7" t="s">
        <v>3039</v>
      </c>
      <c r="H631" s="8"/>
      <c r="I631" s="14">
        <v>3</v>
      </c>
      <c r="J631" s="14">
        <v>11</v>
      </c>
      <c r="K631" s="6" t="str">
        <f t="shared" ref="K631:K632" si="96">HYPERLINK("https://mobile.twitter.com","Twitter Web App")</f>
        <v>Twitter Web App</v>
      </c>
      <c r="L631" s="15">
        <v>3833</v>
      </c>
      <c r="M631" s="15">
        <v>681</v>
      </c>
      <c r="N631" s="15">
        <v>174</v>
      </c>
      <c r="O631" s="9"/>
      <c r="P631" s="10">
        <v>39987.064305555556</v>
      </c>
      <c r="Q631" s="14" t="s">
        <v>3040</v>
      </c>
      <c r="R631" s="14" t="s">
        <v>3041</v>
      </c>
      <c r="S631" s="7" t="s">
        <v>3042</v>
      </c>
      <c r="T631" s="8"/>
      <c r="U631" s="11" t="str">
        <f>HYPERLINK("https://pbs.twimg.com/profile_images/1277653184455094273/nxGoGgtm.jpg","View")</f>
        <v>View</v>
      </c>
      <c r="V631" s="8"/>
      <c r="W631" s="8"/>
      <c r="X631" s="8"/>
      <c r="Y631" s="8"/>
      <c r="Z631" s="8"/>
    </row>
    <row r="632" spans="1:26" ht="13.2">
      <c r="A632" s="13">
        <v>44250.645949074074</v>
      </c>
      <c r="B632" s="6" t="str">
        <f>HYPERLINK("https://twitter.com/derivedfromdata","@derivedfromdata")</f>
        <v>@derivedfromdata</v>
      </c>
      <c r="C632" s="14" t="s">
        <v>2091</v>
      </c>
      <c r="D632" s="14" t="s">
        <v>3043</v>
      </c>
      <c r="E632" s="6" t="str">
        <f>HYPERLINK("https://twitter.com/derivedfromdata/status/1364221016126476288","1364221016126476288")</f>
        <v>1364221016126476288</v>
      </c>
      <c r="F632" s="7" t="s">
        <v>3044</v>
      </c>
      <c r="G632" s="7" t="s">
        <v>3045</v>
      </c>
      <c r="H632" s="8"/>
      <c r="I632" s="14">
        <v>0</v>
      </c>
      <c r="J632" s="14">
        <v>0</v>
      </c>
      <c r="K632" s="6" t="str">
        <f t="shared" si="96"/>
        <v>Twitter Web App</v>
      </c>
      <c r="L632" s="15">
        <v>227</v>
      </c>
      <c r="M632" s="15">
        <v>233</v>
      </c>
      <c r="N632" s="15">
        <v>10</v>
      </c>
      <c r="O632" s="9"/>
      <c r="P632" s="10">
        <v>43939.131342592591</v>
      </c>
      <c r="Q632" s="8"/>
      <c r="R632" s="14" t="s">
        <v>2095</v>
      </c>
      <c r="S632" s="7" t="s">
        <v>2096</v>
      </c>
      <c r="T632" s="8"/>
      <c r="U632" s="11" t="str">
        <f>HYPERLINK("https://pbs.twimg.com/profile_images/1277710688958525442/1KDd8mtL.jpg","View")</f>
        <v>View</v>
      </c>
      <c r="V632" s="8"/>
      <c r="W632" s="8"/>
      <c r="X632" s="8"/>
      <c r="Y632" s="8"/>
      <c r="Z632" s="8"/>
    </row>
    <row r="633" spans="1:26" ht="13.2">
      <c r="A633" s="13">
        <v>44250.645856481482</v>
      </c>
      <c r="B633" s="6" t="str">
        <f>HYPERLINK("https://twitter.com/LaForge_AI","@LaForge_AI")</f>
        <v>@LaForge_AI</v>
      </c>
      <c r="C633" s="14" t="s">
        <v>102</v>
      </c>
      <c r="D633" s="14" t="s">
        <v>3046</v>
      </c>
      <c r="E633" s="6" t="str">
        <f>HYPERLINK("https://twitter.com/LaForge_AI/status/1364220981569458181","1364220981569458181")</f>
        <v>1364220981569458181</v>
      </c>
      <c r="F633" s="7" t="s">
        <v>2603</v>
      </c>
      <c r="G633" s="7" t="s">
        <v>3047</v>
      </c>
      <c r="H633" s="8"/>
      <c r="I633" s="14">
        <v>4</v>
      </c>
      <c r="J633" s="14">
        <v>4</v>
      </c>
      <c r="K633" s="6" t="str">
        <f>HYPERLINK("https://www.la-forge.ai","Rss2Twitter for La Forge")</f>
        <v>Rss2Twitter for La Forge</v>
      </c>
      <c r="L633" s="15">
        <v>9854</v>
      </c>
      <c r="M633" s="15">
        <v>10507</v>
      </c>
      <c r="N633" s="15">
        <v>126</v>
      </c>
      <c r="O633" s="9"/>
      <c r="P633" s="10">
        <v>43660.755891203706</v>
      </c>
      <c r="Q633" s="14" t="s">
        <v>106</v>
      </c>
      <c r="R633" s="14" t="s">
        <v>107</v>
      </c>
      <c r="S633" s="7" t="s">
        <v>108</v>
      </c>
      <c r="T633" s="8"/>
      <c r="U633" s="11" t="str">
        <f>HYPERLINK("https://pbs.twimg.com/profile_images/1261961910020423681/fC-WUmbt.jpg","View")</f>
        <v>View</v>
      </c>
      <c r="V633" s="8"/>
      <c r="W633" s="8"/>
      <c r="X633" s="8"/>
      <c r="Y633" s="8"/>
      <c r="Z633" s="8"/>
    </row>
    <row r="634" spans="1:26" ht="13.2">
      <c r="A634" s="13">
        <v>44250.645833333328</v>
      </c>
      <c r="B634" s="6" t="str">
        <f>HYPERLINK("https://twitter.com/Bukmedianet1","@Bukmedianet1")</f>
        <v>@Bukmedianet1</v>
      </c>
      <c r="C634" s="14" t="s">
        <v>3048</v>
      </c>
      <c r="D634" s="14" t="s">
        <v>3049</v>
      </c>
      <c r="E634" s="6" t="str">
        <f>HYPERLINK("https://twitter.com/Bukmedianet1/status/1364220973990375424","1364220973990375424")</f>
        <v>1364220973990375424</v>
      </c>
      <c r="F634" s="7" t="s">
        <v>3050</v>
      </c>
      <c r="G634" s="8"/>
      <c r="H634" s="8"/>
      <c r="I634" s="14">
        <v>11</v>
      </c>
      <c r="J634" s="14">
        <v>6</v>
      </c>
      <c r="K634" s="6" t="str">
        <f t="shared" ref="K634:K636" si="97">HYPERLINK("https://about.twitter.com/products/tweetdeck","TweetDeck")</f>
        <v>TweetDeck</v>
      </c>
      <c r="L634" s="15">
        <v>88</v>
      </c>
      <c r="M634" s="15">
        <v>0</v>
      </c>
      <c r="N634" s="15">
        <v>4</v>
      </c>
      <c r="O634" s="9"/>
      <c r="P634" s="10">
        <v>43880.605243055557</v>
      </c>
      <c r="Q634" s="8"/>
      <c r="R634" s="8"/>
      <c r="S634" s="8"/>
      <c r="T634" s="8"/>
      <c r="U634" s="11" t="str">
        <f>HYPERLINK("https://pbs.twimg.com/profile_images/1230123219446689793/fuRvDRX2.jpg","View")</f>
        <v>View</v>
      </c>
      <c r="V634" s="8"/>
      <c r="W634" s="8"/>
      <c r="X634" s="8"/>
      <c r="Y634" s="8"/>
      <c r="Z634" s="8"/>
    </row>
    <row r="635" spans="1:26" ht="13.2">
      <c r="A635" s="13">
        <v>44250.645833333328</v>
      </c>
      <c r="B635" s="6" t="str">
        <f>HYPERLINK("https://twitter.com/scanta_io","@scanta_io")</f>
        <v>@scanta_io</v>
      </c>
      <c r="C635" s="14" t="s">
        <v>388</v>
      </c>
      <c r="D635" s="14" t="s">
        <v>3051</v>
      </c>
      <c r="E635" s="6" t="str">
        <f>HYPERLINK("https://twitter.com/scanta_io/status/1364220971465338891","1364220971465338891")</f>
        <v>1364220971465338891</v>
      </c>
      <c r="F635" s="8"/>
      <c r="G635" s="8"/>
      <c r="H635" s="8"/>
      <c r="I635" s="14">
        <v>12</v>
      </c>
      <c r="J635" s="14">
        <v>6</v>
      </c>
      <c r="K635" s="6" t="str">
        <f t="shared" si="97"/>
        <v>TweetDeck</v>
      </c>
      <c r="L635" s="15">
        <v>307</v>
      </c>
      <c r="M635" s="15">
        <v>474</v>
      </c>
      <c r="N635" s="15">
        <v>6</v>
      </c>
      <c r="O635" s="9"/>
      <c r="P635" s="10">
        <v>42927.621400462958</v>
      </c>
      <c r="Q635" s="14" t="s">
        <v>390</v>
      </c>
      <c r="R635" s="14" t="s">
        <v>391</v>
      </c>
      <c r="S635" s="7" t="s">
        <v>392</v>
      </c>
      <c r="T635" s="8"/>
      <c r="U635" s="11" t="str">
        <f>HYPERLINK("https://pbs.twimg.com/profile_images/884759857240227841/TPVpzh1Z.jpg","View")</f>
        <v>View</v>
      </c>
      <c r="V635" s="8"/>
      <c r="W635" s="8"/>
      <c r="X635" s="8"/>
      <c r="Y635" s="8"/>
      <c r="Z635" s="8"/>
    </row>
    <row r="636" spans="1:26" ht="13.2">
      <c r="A636" s="13">
        <v>44250.645833333328</v>
      </c>
      <c r="B636" s="6" t="str">
        <f>HYPERLINK("https://twitter.com/ThinkLBC","@ThinkLBC")</f>
        <v>@ThinkLBC</v>
      </c>
      <c r="C636" s="14" t="s">
        <v>3052</v>
      </c>
      <c r="D636" s="14" t="s">
        <v>3053</v>
      </c>
      <c r="E636" s="6" t="str">
        <f>HYPERLINK("https://twitter.com/ThinkLBC/status/1364220971314532353","1364220971314532353")</f>
        <v>1364220971314532353</v>
      </c>
      <c r="F636" s="8"/>
      <c r="G636" s="7" t="s">
        <v>3054</v>
      </c>
      <c r="H636" s="8"/>
      <c r="I636" s="14">
        <v>20</v>
      </c>
      <c r="J636" s="14">
        <v>16</v>
      </c>
      <c r="K636" s="6" t="str">
        <f t="shared" si="97"/>
        <v>TweetDeck</v>
      </c>
      <c r="L636" s="15">
        <v>587</v>
      </c>
      <c r="M636" s="15">
        <v>637</v>
      </c>
      <c r="N636" s="15">
        <v>5</v>
      </c>
      <c r="O636" s="9"/>
      <c r="P636" s="10">
        <v>43969.237442129626</v>
      </c>
      <c r="Q636" s="8"/>
      <c r="R636" s="14" t="s">
        <v>3055</v>
      </c>
      <c r="S636" s="7" t="s">
        <v>3056</v>
      </c>
      <c r="T636" s="8"/>
      <c r="U636" s="11" t="str">
        <f>HYPERLINK("https://pbs.twimg.com/profile_images/1262226985264328704/zybINi_P.jpg","View")</f>
        <v>View</v>
      </c>
      <c r="V636" s="8"/>
      <c r="W636" s="8"/>
      <c r="X636" s="8"/>
      <c r="Y636" s="8"/>
      <c r="Z636" s="8"/>
    </row>
    <row r="637" spans="1:26" ht="13.2">
      <c r="A637" s="13">
        <v>44250.645740740743</v>
      </c>
      <c r="B637" s="6" t="str">
        <f>HYPERLINK("https://twitter.com/NIKHILK79711688","@NIKHILK79711688")</f>
        <v>@NIKHILK79711688</v>
      </c>
      <c r="C637" s="14" t="s">
        <v>3057</v>
      </c>
      <c r="D637" s="14" t="s">
        <v>3058</v>
      </c>
      <c r="E637" s="6" t="str">
        <f>HYPERLINK("https://twitter.com/NIKHILK79711688/status/1364220937449578497","1364220937449578497")</f>
        <v>1364220937449578497</v>
      </c>
      <c r="F637" s="8"/>
      <c r="G637" s="8"/>
      <c r="H637" s="8"/>
      <c r="I637" s="14">
        <v>1</v>
      </c>
      <c r="J637" s="14">
        <v>0</v>
      </c>
      <c r="K637" s="6" t="str">
        <f t="shared" ref="K637:K638" si="98">HYPERLINK("http://twitter.com/download/android","Twitter for Android")</f>
        <v>Twitter for Android</v>
      </c>
      <c r="L637" s="15">
        <v>9</v>
      </c>
      <c r="M637" s="15">
        <v>17</v>
      </c>
      <c r="N637" s="15">
        <v>0</v>
      </c>
      <c r="O637" s="9"/>
      <c r="P637" s="10">
        <v>44035.428541666668</v>
      </c>
      <c r="Q637" s="8"/>
      <c r="R637" s="14" t="s">
        <v>3059</v>
      </c>
      <c r="S637" s="8"/>
      <c r="T637" s="8"/>
      <c r="U637" s="11" t="str">
        <f>HYPERLINK("https://pbs.twimg.com/profile_images/1352464789054738432/oIfSpDMg.jpg","View")</f>
        <v>View</v>
      </c>
      <c r="V637" s="8"/>
      <c r="W637" s="8"/>
      <c r="X637" s="8"/>
      <c r="Y637" s="8"/>
      <c r="Z637" s="8"/>
    </row>
    <row r="638" spans="1:26" ht="13.2">
      <c r="A638" s="13">
        <v>44250.645057870366</v>
      </c>
      <c r="B638" s="6" t="str">
        <f>HYPERLINK("https://twitter.com/YuganshJ","@YuganshJ")</f>
        <v>@YuganshJ</v>
      </c>
      <c r="C638" s="14" t="s">
        <v>828</v>
      </c>
      <c r="D638" s="14" t="s">
        <v>3060</v>
      </c>
      <c r="E638" s="6" t="str">
        <f>HYPERLINK("https://twitter.com/YuganshJ/status/1364220693265616899","1364220693265616899")</f>
        <v>1364220693265616899</v>
      </c>
      <c r="F638" s="7" t="s">
        <v>830</v>
      </c>
      <c r="G638" s="8"/>
      <c r="H638" s="8"/>
      <c r="I638" s="14">
        <v>13</v>
      </c>
      <c r="J638" s="14">
        <v>8</v>
      </c>
      <c r="K638" s="6" t="str">
        <f t="shared" si="98"/>
        <v>Twitter for Android</v>
      </c>
      <c r="L638" s="15">
        <v>928</v>
      </c>
      <c r="M638" s="15">
        <v>4637</v>
      </c>
      <c r="N638" s="15">
        <v>9</v>
      </c>
      <c r="O638" s="9"/>
      <c r="P638" s="10">
        <v>42502.662465277783</v>
      </c>
      <c r="Q638" s="14" t="s">
        <v>831</v>
      </c>
      <c r="R638" s="14" t="s">
        <v>832</v>
      </c>
      <c r="S638" s="7" t="s">
        <v>833</v>
      </c>
      <c r="T638" s="8"/>
      <c r="U638" s="11" t="str">
        <f>HYPERLINK("https://pbs.twimg.com/profile_images/1353939554659520512/bvr0rSct.jpg","View")</f>
        <v>View</v>
      </c>
      <c r="V638" s="8"/>
      <c r="W638" s="8"/>
      <c r="X638" s="8"/>
      <c r="Y638" s="8"/>
      <c r="Z638" s="8"/>
    </row>
    <row r="639" spans="1:26" ht="13.2">
      <c r="A639" s="13">
        <v>44250.644768518519</v>
      </c>
      <c r="B639" s="6" t="str">
        <f>HYPERLINK("https://twitter.com/HarbRimah","@HarbRimah")</f>
        <v>@HarbRimah</v>
      </c>
      <c r="C639" s="14" t="s">
        <v>2837</v>
      </c>
      <c r="D639" s="14" t="s">
        <v>3061</v>
      </c>
      <c r="E639" s="6" t="str">
        <f>HYPERLINK("https://twitter.com/HarbRimah/status/1364220587044859907","1364220587044859907")</f>
        <v>1364220587044859907</v>
      </c>
      <c r="F639" s="7" t="s">
        <v>3062</v>
      </c>
      <c r="G639" s="8"/>
      <c r="H639" s="8"/>
      <c r="I639" s="14">
        <v>20</v>
      </c>
      <c r="J639" s="14">
        <v>13</v>
      </c>
      <c r="K639" s="6" t="str">
        <f t="shared" ref="K639:K640" si="99">HYPERLINK("https://mobile.twitter.com","Twitter Web App")</f>
        <v>Twitter Web App</v>
      </c>
      <c r="L639" s="15">
        <v>8983</v>
      </c>
      <c r="M639" s="15">
        <v>4886</v>
      </c>
      <c r="N639" s="15">
        <v>675</v>
      </c>
      <c r="O639" s="9"/>
      <c r="P639" s="10">
        <v>41198.440601851849</v>
      </c>
      <c r="Q639" s="8"/>
      <c r="R639" s="14" t="s">
        <v>2838</v>
      </c>
      <c r="S639" s="8"/>
      <c r="T639" s="8"/>
      <c r="U639" s="11" t="str">
        <f>HYPERLINK("https://pbs.twimg.com/profile_images/909317895355863040/ls7cAjxm.jpg","View")</f>
        <v>View</v>
      </c>
      <c r="V639" s="8"/>
      <c r="W639" s="8"/>
      <c r="X639" s="8"/>
      <c r="Y639" s="8"/>
      <c r="Z639" s="8"/>
    </row>
    <row r="640" spans="1:26" ht="13.2">
      <c r="A640" s="13">
        <v>44250.643842592588</v>
      </c>
      <c r="B640" s="6" t="str">
        <f>HYPERLINK("https://twitter.com/MrYelameli","@MrYelameli")</f>
        <v>@MrYelameli</v>
      </c>
      <c r="C640" s="14" t="s">
        <v>3063</v>
      </c>
      <c r="D640" s="14" t="s">
        <v>3064</v>
      </c>
      <c r="E640" s="6" t="str">
        <f>HYPERLINK("https://twitter.com/MrYelameli/status/1364220249990565891","1364220249990565891")</f>
        <v>1364220249990565891</v>
      </c>
      <c r="F640" s="7" t="s">
        <v>3065</v>
      </c>
      <c r="G640" s="8"/>
      <c r="H640" s="8"/>
      <c r="I640" s="14">
        <v>1</v>
      </c>
      <c r="J640" s="14">
        <v>2</v>
      </c>
      <c r="K640" s="6" t="str">
        <f t="shared" si="99"/>
        <v>Twitter Web App</v>
      </c>
      <c r="L640" s="15">
        <v>159</v>
      </c>
      <c r="M640" s="15">
        <v>321</v>
      </c>
      <c r="N640" s="15">
        <v>58</v>
      </c>
      <c r="O640" s="9"/>
      <c r="P640" s="10">
        <v>42185.712222222224</v>
      </c>
      <c r="Q640" s="14" t="s">
        <v>3066</v>
      </c>
      <c r="R640" s="14" t="s">
        <v>3067</v>
      </c>
      <c r="S640" s="7" t="s">
        <v>3068</v>
      </c>
      <c r="T640" s="8"/>
      <c r="U640" s="11" t="str">
        <f>HYPERLINK("https://pbs.twimg.com/profile_images/1168486750949232640/oaTKEoLW.jpg","View")</f>
        <v>View</v>
      </c>
      <c r="V640" s="8"/>
      <c r="W640" s="8"/>
      <c r="X640" s="8"/>
      <c r="Y640" s="8"/>
      <c r="Z640" s="8"/>
    </row>
    <row r="641" spans="1:26" ht="13.2">
      <c r="A641" s="13">
        <v>44250.643750000003</v>
      </c>
      <c r="B641" s="6" t="str">
        <f>HYPERLINK("https://twitter.com/SSI_Innovations","@SSI_Innovations")</f>
        <v>@SSI_Innovations</v>
      </c>
      <c r="C641" s="14" t="s">
        <v>656</v>
      </c>
      <c r="D641" s="14" t="s">
        <v>3069</v>
      </c>
      <c r="E641" s="6" t="str">
        <f>HYPERLINK("https://twitter.com/SSI_Innovations/status/1364220216478216192","1364220216478216192")</f>
        <v>1364220216478216192</v>
      </c>
      <c r="F641" s="8"/>
      <c r="G641" s="7" t="s">
        <v>3070</v>
      </c>
      <c r="H641" s="8"/>
      <c r="I641" s="14">
        <v>37</v>
      </c>
      <c r="J641" s="14">
        <v>23</v>
      </c>
      <c r="K641" s="6" t="str">
        <f>HYPERLINK("https://about.twitter.com/products/tweetdeck","TweetDeck")</f>
        <v>TweetDeck</v>
      </c>
      <c r="L641" s="15">
        <v>4449</v>
      </c>
      <c r="M641" s="15">
        <v>5002</v>
      </c>
      <c r="N641" s="15">
        <v>270</v>
      </c>
      <c r="O641" s="9"/>
      <c r="P641" s="10">
        <v>42264.36791666667</v>
      </c>
      <c r="Q641" s="14" t="s">
        <v>660</v>
      </c>
      <c r="R641" s="14" t="s">
        <v>661</v>
      </c>
      <c r="S641" s="7" t="s">
        <v>662</v>
      </c>
      <c r="T641" s="8"/>
      <c r="U641" s="11" t="str">
        <f>HYPERLINK("https://pbs.twimg.com/profile_images/649205321848631296/u39Qrzjg.jpg","View")</f>
        <v>View</v>
      </c>
      <c r="V641" s="8"/>
      <c r="W641" s="8"/>
      <c r="X641" s="8"/>
      <c r="Y641" s="8"/>
      <c r="Z641" s="8"/>
    </row>
    <row r="642" spans="1:26" ht="13.2">
      <c r="A642" s="13">
        <v>44250.642418981486</v>
      </c>
      <c r="B642" s="6" t="str">
        <f>HYPERLINK("https://twitter.com/andresvilarino","@andresvilarino")</f>
        <v>@andresvilarino</v>
      </c>
      <c r="C642" s="14" t="s">
        <v>72</v>
      </c>
      <c r="D642" s="14" t="s">
        <v>3071</v>
      </c>
      <c r="E642" s="6" t="str">
        <f>HYPERLINK("https://twitter.com/andresvilarino/status/1364219735173459971","1364219735173459971")</f>
        <v>1364219735173459971</v>
      </c>
      <c r="F642" s="7" t="s">
        <v>3072</v>
      </c>
      <c r="G642" s="7" t="s">
        <v>3073</v>
      </c>
      <c r="H642" s="8"/>
      <c r="I642" s="14">
        <v>3</v>
      </c>
      <c r="J642" s="14">
        <v>2</v>
      </c>
      <c r="K642" s="6" t="str">
        <f>HYPERLINK("https://www.hootsuite.com","Hootsuite Inc.")</f>
        <v>Hootsuite Inc.</v>
      </c>
      <c r="L642" s="15">
        <v>5136</v>
      </c>
      <c r="M642" s="15">
        <v>5043</v>
      </c>
      <c r="N642" s="15">
        <v>79</v>
      </c>
      <c r="O642" s="9"/>
      <c r="P642" s="10">
        <v>40346.43136574074</v>
      </c>
      <c r="Q642" s="14" t="s">
        <v>75</v>
      </c>
      <c r="R642" s="14" t="s">
        <v>76</v>
      </c>
      <c r="S642" s="7" t="s">
        <v>77</v>
      </c>
      <c r="T642" s="8"/>
      <c r="U642" s="11" t="str">
        <f>HYPERLINK("https://pbs.twimg.com/profile_images/1015329397929177088/9OR3sIzf.jpg","View")</f>
        <v>View</v>
      </c>
      <c r="V642" s="8"/>
      <c r="W642" s="8"/>
      <c r="X642" s="8"/>
      <c r="Y642" s="8"/>
      <c r="Z642" s="8"/>
    </row>
    <row r="643" spans="1:26" ht="13.2">
      <c r="A643" s="13">
        <v>44250.642361111109</v>
      </c>
      <c r="B643" s="6" t="str">
        <f>HYPERLINK("https://twitter.com/couponfree01","@couponfree01")</f>
        <v>@couponfree01</v>
      </c>
      <c r="C643" s="14" t="s">
        <v>3074</v>
      </c>
      <c r="D643" s="14" t="s">
        <v>3075</v>
      </c>
      <c r="E643" s="6" t="str">
        <f>HYPERLINK("https://twitter.com/couponfree01/status/1364219713140764679","1364219713140764679")</f>
        <v>1364219713140764679</v>
      </c>
      <c r="F643" s="7" t="s">
        <v>3076</v>
      </c>
      <c r="G643" s="8"/>
      <c r="H643" s="8"/>
      <c r="I643" s="14">
        <v>12</v>
      </c>
      <c r="J643" s="14">
        <v>5</v>
      </c>
      <c r="K643" s="6" t="str">
        <f>HYPERLINK("https://about.twitter.com/products/tweetdeck","TweetDeck")</f>
        <v>TweetDeck</v>
      </c>
      <c r="L643" s="15">
        <v>2207</v>
      </c>
      <c r="M643" s="15">
        <v>4235</v>
      </c>
      <c r="N643" s="15">
        <v>28</v>
      </c>
      <c r="O643" s="9"/>
      <c r="P643" s="10">
        <v>43164.382303240738</v>
      </c>
      <c r="Q643" s="14" t="s">
        <v>3077</v>
      </c>
      <c r="R643" s="14" t="s">
        <v>3078</v>
      </c>
      <c r="S643" s="8"/>
      <c r="T643" s="8"/>
      <c r="U643" s="11" t="str">
        <f>HYPERLINK("https://pbs.twimg.com/profile_images/970573416821547009/oDkr4BWt.jpg","View")</f>
        <v>View</v>
      </c>
      <c r="V643" s="8"/>
      <c r="W643" s="8"/>
      <c r="X643" s="8"/>
      <c r="Y643" s="8"/>
      <c r="Z643" s="8"/>
    </row>
    <row r="644" spans="1:26" ht="13.2">
      <c r="A644" s="13">
        <v>44250.64230324074</v>
      </c>
      <c r="B644" s="6" t="str">
        <f>HYPERLINK("https://twitter.com/CyberseerNet","@CyberseerNet")</f>
        <v>@CyberseerNet</v>
      </c>
      <c r="C644" s="14" t="s">
        <v>3079</v>
      </c>
      <c r="D644" s="14" t="s">
        <v>3080</v>
      </c>
      <c r="E644" s="6" t="str">
        <f>HYPERLINK("https://twitter.com/CyberseerNet/status/1364219695281430530","1364219695281430530")</f>
        <v>1364219695281430530</v>
      </c>
      <c r="F644" s="8"/>
      <c r="G644" s="7" t="s">
        <v>3081</v>
      </c>
      <c r="H644" s="8"/>
      <c r="I644" s="14">
        <v>3</v>
      </c>
      <c r="J644" s="14">
        <v>7</v>
      </c>
      <c r="K644" s="6" t="str">
        <f>HYPERLINK("https://sproutsocial.com","Sprout Social")</f>
        <v>Sprout Social</v>
      </c>
      <c r="L644" s="15">
        <v>700</v>
      </c>
      <c r="M644" s="15">
        <v>946</v>
      </c>
      <c r="N644" s="15">
        <v>112</v>
      </c>
      <c r="O644" s="9"/>
      <c r="P644" s="10">
        <v>41662.580069444448</v>
      </c>
      <c r="Q644" s="14" t="s">
        <v>2551</v>
      </c>
      <c r="R644" s="14" t="s">
        <v>3082</v>
      </c>
      <c r="S644" s="7" t="s">
        <v>3083</v>
      </c>
      <c r="T644" s="8"/>
      <c r="U644" s="11" t="str">
        <f>HYPERLINK("https://pbs.twimg.com/profile_images/1199288707616034818/CF0pIxoq.jpg","View")</f>
        <v>View</v>
      </c>
      <c r="V644" s="8"/>
      <c r="W644" s="8"/>
      <c r="X644" s="8"/>
      <c r="Y644" s="8"/>
      <c r="Z644" s="8"/>
    </row>
    <row r="645" spans="1:26" ht="13.2">
      <c r="A645" s="13">
        <v>44250.641875000001</v>
      </c>
      <c r="B645" s="6" t="str">
        <f>HYPERLINK("https://twitter.com/HarbRimah","@HarbRimah")</f>
        <v>@HarbRimah</v>
      </c>
      <c r="C645" s="14" t="s">
        <v>2837</v>
      </c>
      <c r="D645" s="14" t="s">
        <v>3084</v>
      </c>
      <c r="E645" s="6" t="str">
        <f>HYPERLINK("https://twitter.com/HarbRimah/status/1364219537093103616","1364219537093103616")</f>
        <v>1364219537093103616</v>
      </c>
      <c r="F645" s="7" t="s">
        <v>791</v>
      </c>
      <c r="G645" s="8"/>
      <c r="H645" s="8"/>
      <c r="I645" s="14">
        <v>29</v>
      </c>
      <c r="J645" s="14">
        <v>22</v>
      </c>
      <c r="K645" s="6" t="str">
        <f>HYPERLINK("https://mobile.twitter.com","Twitter Web App")</f>
        <v>Twitter Web App</v>
      </c>
      <c r="L645" s="15">
        <v>8983</v>
      </c>
      <c r="M645" s="15">
        <v>4886</v>
      </c>
      <c r="N645" s="15">
        <v>675</v>
      </c>
      <c r="O645" s="9"/>
      <c r="P645" s="10">
        <v>41198.440601851849</v>
      </c>
      <c r="Q645" s="8"/>
      <c r="R645" s="14" t="s">
        <v>2838</v>
      </c>
      <c r="S645" s="8"/>
      <c r="T645" s="8"/>
      <c r="U645" s="11" t="str">
        <f>HYPERLINK("https://pbs.twimg.com/profile_images/909317895355863040/ls7cAjxm.jpg","View")</f>
        <v>View</v>
      </c>
      <c r="V645" s="8"/>
      <c r="W645" s="8"/>
      <c r="X645" s="8"/>
      <c r="Y645" s="8"/>
      <c r="Z645" s="8"/>
    </row>
    <row r="646" spans="1:26" ht="13.2">
      <c r="A646" s="13">
        <v>44250.64167824074</v>
      </c>
      <c r="B646" s="6" t="str">
        <f>HYPERLINK("https://twitter.com/hacking_future","@hacking_future")</f>
        <v>@hacking_future</v>
      </c>
      <c r="C646" s="14" t="s">
        <v>3085</v>
      </c>
      <c r="D646" s="14" t="s">
        <v>669</v>
      </c>
      <c r="E646" s="6" t="str">
        <f>HYPERLINK("https://twitter.com/hacking_future/status/1364219467190910977","1364219467190910977")</f>
        <v>1364219467190910977</v>
      </c>
      <c r="F646" s="7" t="s">
        <v>3086</v>
      </c>
      <c r="G646" s="8"/>
      <c r="H646" s="8"/>
      <c r="I646" s="14">
        <v>3</v>
      </c>
      <c r="J646" s="14">
        <v>3</v>
      </c>
      <c r="K646" s="6" t="str">
        <f>HYPERLINK("https://buffer.com","Buffer")</f>
        <v>Buffer</v>
      </c>
      <c r="L646" s="15">
        <v>1502</v>
      </c>
      <c r="M646" s="15">
        <v>1987</v>
      </c>
      <c r="N646" s="15">
        <v>48</v>
      </c>
      <c r="O646" s="9"/>
      <c r="P646" s="10">
        <v>42822.824421296296</v>
      </c>
      <c r="Q646" s="14" t="s">
        <v>1815</v>
      </c>
      <c r="R646" s="14" t="s">
        <v>3087</v>
      </c>
      <c r="S646" s="7" t="s">
        <v>3088</v>
      </c>
      <c r="T646" s="8"/>
      <c r="U646" s="11" t="str">
        <f>HYPERLINK("https://pbs.twimg.com/profile_images/859699037385232385/aq_sLibI.jpg","View")</f>
        <v>View</v>
      </c>
      <c r="V646" s="8"/>
      <c r="W646" s="8"/>
      <c r="X646" s="8"/>
      <c r="Y646" s="8"/>
      <c r="Z646" s="8"/>
    </row>
    <row r="647" spans="1:26" ht="13.2">
      <c r="A647" s="13">
        <v>44250.641377314816</v>
      </c>
      <c r="B647" s="6" t="str">
        <f>HYPERLINK("https://twitter.com/sayantan_world","@sayantan_world")</f>
        <v>@sayantan_world</v>
      </c>
      <c r="C647" s="14" t="s">
        <v>3089</v>
      </c>
      <c r="D647" s="14" t="s">
        <v>3090</v>
      </c>
      <c r="E647" s="6" t="str">
        <f>HYPERLINK("https://twitter.com/sayantan_world/status/1364219357304299520","1364219357304299520")</f>
        <v>1364219357304299520</v>
      </c>
      <c r="F647" s="8"/>
      <c r="G647" s="7" t="s">
        <v>3091</v>
      </c>
      <c r="H647" s="8"/>
      <c r="I647" s="14">
        <v>2</v>
      </c>
      <c r="J647" s="14">
        <v>9</v>
      </c>
      <c r="K647" s="6" t="str">
        <f t="shared" ref="K647:K648" si="100">HYPERLINK("https://mobile.twitter.com","Twitter Web App")</f>
        <v>Twitter Web App</v>
      </c>
      <c r="L647" s="15">
        <v>207</v>
      </c>
      <c r="M647" s="15">
        <v>341</v>
      </c>
      <c r="N647" s="15">
        <v>0</v>
      </c>
      <c r="O647" s="9"/>
      <c r="P647" s="10">
        <v>43449.658599537041</v>
      </c>
      <c r="Q647" s="14" t="s">
        <v>3092</v>
      </c>
      <c r="R647" s="14" t="s">
        <v>3093</v>
      </c>
      <c r="S647" s="7" t="s">
        <v>3094</v>
      </c>
      <c r="T647" s="8"/>
      <c r="U647" s="11" t="str">
        <f>HYPERLINK("https://pbs.twimg.com/profile_images/1102138220395945984/tUxde2ZL.png","View")</f>
        <v>View</v>
      </c>
      <c r="V647" s="8"/>
      <c r="W647" s="8"/>
      <c r="X647" s="8"/>
      <c r="Y647" s="8"/>
      <c r="Z647" s="8"/>
    </row>
    <row r="648" spans="1:26" ht="13.2">
      <c r="A648" s="13">
        <v>44250.641238425931</v>
      </c>
      <c r="B648" s="6" t="str">
        <f>HYPERLINK("https://twitter.com/bbva_argentina","@bbva_argentina")</f>
        <v>@bbva_argentina</v>
      </c>
      <c r="C648" s="14" t="s">
        <v>3095</v>
      </c>
      <c r="D648" s="14" t="s">
        <v>3096</v>
      </c>
      <c r="E648" s="6" t="str">
        <f>HYPERLINK("https://twitter.com/bbva_argentina/status/1364219307828330496","1364219307828330496")</f>
        <v>1364219307828330496</v>
      </c>
      <c r="F648" s="7" t="s">
        <v>3097</v>
      </c>
      <c r="G648" s="8"/>
      <c r="H648" s="8"/>
      <c r="I648" s="14">
        <v>0</v>
      </c>
      <c r="J648" s="14">
        <v>4</v>
      </c>
      <c r="K648" s="6" t="str">
        <f t="shared" si="100"/>
        <v>Twitter Web App</v>
      </c>
      <c r="L648" s="15">
        <v>155161</v>
      </c>
      <c r="M648" s="15">
        <v>13866</v>
      </c>
      <c r="N648" s="15">
        <v>199</v>
      </c>
      <c r="O648" s="15" t="s">
        <v>130</v>
      </c>
      <c r="P648" s="10">
        <v>40289.910312499997</v>
      </c>
      <c r="Q648" s="14" t="s">
        <v>882</v>
      </c>
      <c r="R648" s="14" t="s">
        <v>3098</v>
      </c>
      <c r="S648" s="7" t="s">
        <v>3099</v>
      </c>
      <c r="T648" s="8"/>
      <c r="U648" s="11" t="str">
        <f>HYPERLINK("https://pbs.twimg.com/profile_images/1267936834568491011/sMmbxG1l.jpg","View")</f>
        <v>View</v>
      </c>
      <c r="V648" s="8"/>
      <c r="W648" s="8"/>
      <c r="X648" s="8"/>
      <c r="Y648" s="8"/>
      <c r="Z648" s="8"/>
    </row>
    <row r="649" spans="1:26" ht="13.2">
      <c r="A649" s="13">
        <v>44250.641134259262</v>
      </c>
      <c r="B649" s="6" t="str">
        <f t="shared" ref="B649:B652" si="101">HYPERLINK("https://twitter.com/into_AI","@into_AI")</f>
        <v>@into_AI</v>
      </c>
      <c r="C649" s="14" t="s">
        <v>2021</v>
      </c>
      <c r="D649" s="14" t="s">
        <v>3100</v>
      </c>
      <c r="E649" s="6" t="str">
        <f>HYPERLINK("https://twitter.com/into_AI/status/1364219270427738114","1364219270427738114")</f>
        <v>1364219270427738114</v>
      </c>
      <c r="F649" s="7" t="s">
        <v>3101</v>
      </c>
      <c r="G649" s="8"/>
      <c r="H649" s="8"/>
      <c r="I649" s="14">
        <v>1</v>
      </c>
      <c r="J649" s="14">
        <v>2</v>
      </c>
      <c r="K649" s="6" t="str">
        <f t="shared" ref="K649:K652" si="102">HYPERLINK("http://into.AI","into.AI")</f>
        <v>into.AI</v>
      </c>
      <c r="L649" s="15">
        <v>19374</v>
      </c>
      <c r="M649" s="15">
        <v>1707</v>
      </c>
      <c r="N649" s="15">
        <v>3164</v>
      </c>
      <c r="O649" s="9"/>
      <c r="P649" s="10">
        <v>42133.721620370372</v>
      </c>
      <c r="Q649" s="14" t="s">
        <v>2024</v>
      </c>
      <c r="R649" s="14" t="s">
        <v>2025</v>
      </c>
      <c r="S649" s="7" t="s">
        <v>2026</v>
      </c>
      <c r="T649" s="8"/>
      <c r="U649" s="11" t="str">
        <f t="shared" ref="U649:U652" si="103">HYPERLINK("https://pbs.twimg.com/profile_images/967341160124608512/LM2Y5Q5m.jpg","View")</f>
        <v>View</v>
      </c>
      <c r="V649" s="8"/>
      <c r="W649" s="8"/>
      <c r="X649" s="8"/>
      <c r="Y649" s="8"/>
      <c r="Z649" s="8"/>
    </row>
    <row r="650" spans="1:26" ht="13.2">
      <c r="A650" s="13">
        <v>44250.641076388885</v>
      </c>
      <c r="B650" s="6" t="str">
        <f t="shared" si="101"/>
        <v>@into_AI</v>
      </c>
      <c r="C650" s="14" t="s">
        <v>2021</v>
      </c>
      <c r="D650" s="14" t="s">
        <v>3102</v>
      </c>
      <c r="E650" s="6" t="str">
        <f>HYPERLINK("https://twitter.com/into_AI/status/1364219248961282049","1364219248961282049")</f>
        <v>1364219248961282049</v>
      </c>
      <c r="F650" s="7" t="s">
        <v>3103</v>
      </c>
      <c r="G650" s="8"/>
      <c r="H650" s="8"/>
      <c r="I650" s="14">
        <v>1</v>
      </c>
      <c r="J650" s="14">
        <v>2</v>
      </c>
      <c r="K650" s="6" t="str">
        <f t="shared" si="102"/>
        <v>into.AI</v>
      </c>
      <c r="L650" s="15">
        <v>19374</v>
      </c>
      <c r="M650" s="15">
        <v>1707</v>
      </c>
      <c r="N650" s="15">
        <v>3164</v>
      </c>
      <c r="O650" s="9"/>
      <c r="P650" s="10">
        <v>42133.721620370372</v>
      </c>
      <c r="Q650" s="14" t="s">
        <v>2024</v>
      </c>
      <c r="R650" s="14" t="s">
        <v>2025</v>
      </c>
      <c r="S650" s="7" t="s">
        <v>2026</v>
      </c>
      <c r="T650" s="8"/>
      <c r="U650" s="11" t="str">
        <f t="shared" si="103"/>
        <v>View</v>
      </c>
      <c r="V650" s="8"/>
      <c r="W650" s="8"/>
      <c r="X650" s="8"/>
      <c r="Y650" s="8"/>
      <c r="Z650" s="8"/>
    </row>
    <row r="651" spans="1:26" ht="13.2">
      <c r="A651" s="13">
        <v>44250.64099537037</v>
      </c>
      <c r="B651" s="6" t="str">
        <f t="shared" si="101"/>
        <v>@into_AI</v>
      </c>
      <c r="C651" s="14" t="s">
        <v>2021</v>
      </c>
      <c r="D651" s="14" t="s">
        <v>3104</v>
      </c>
      <c r="E651" s="6" t="str">
        <f>HYPERLINK("https://twitter.com/into_AI/status/1364219218007379973","1364219218007379973")</f>
        <v>1364219218007379973</v>
      </c>
      <c r="F651" s="7" t="s">
        <v>3105</v>
      </c>
      <c r="G651" s="8"/>
      <c r="H651" s="8"/>
      <c r="I651" s="14">
        <v>1</v>
      </c>
      <c r="J651" s="14">
        <v>2</v>
      </c>
      <c r="K651" s="6" t="str">
        <f t="shared" si="102"/>
        <v>into.AI</v>
      </c>
      <c r="L651" s="15">
        <v>19374</v>
      </c>
      <c r="M651" s="15">
        <v>1707</v>
      </c>
      <c r="N651" s="15">
        <v>3164</v>
      </c>
      <c r="O651" s="9"/>
      <c r="P651" s="10">
        <v>42133.721620370372</v>
      </c>
      <c r="Q651" s="14" t="s">
        <v>2024</v>
      </c>
      <c r="R651" s="14" t="s">
        <v>2025</v>
      </c>
      <c r="S651" s="7" t="s">
        <v>2026</v>
      </c>
      <c r="T651" s="8"/>
      <c r="U651" s="11" t="str">
        <f t="shared" si="103"/>
        <v>View</v>
      </c>
      <c r="V651" s="8"/>
      <c r="W651" s="8"/>
      <c r="X651" s="8"/>
      <c r="Y651" s="8"/>
      <c r="Z651" s="8"/>
    </row>
    <row r="652" spans="1:26" ht="13.2">
      <c r="A652" s="13">
        <v>44250.640925925924</v>
      </c>
      <c r="B652" s="6" t="str">
        <f t="shared" si="101"/>
        <v>@into_AI</v>
      </c>
      <c r="C652" s="14" t="s">
        <v>2021</v>
      </c>
      <c r="D652" s="14" t="s">
        <v>3106</v>
      </c>
      <c r="E652" s="6" t="str">
        <f>HYPERLINK("https://twitter.com/into_AI/status/1364219194187866120","1364219194187866120")</f>
        <v>1364219194187866120</v>
      </c>
      <c r="F652" s="7" t="s">
        <v>3107</v>
      </c>
      <c r="G652" s="8"/>
      <c r="H652" s="8"/>
      <c r="I652" s="14">
        <v>1</v>
      </c>
      <c r="J652" s="14">
        <v>2</v>
      </c>
      <c r="K652" s="6" t="str">
        <f t="shared" si="102"/>
        <v>into.AI</v>
      </c>
      <c r="L652" s="15">
        <v>19374</v>
      </c>
      <c r="M652" s="15">
        <v>1707</v>
      </c>
      <c r="N652" s="15">
        <v>3164</v>
      </c>
      <c r="O652" s="9"/>
      <c r="P652" s="10">
        <v>42133.721620370372</v>
      </c>
      <c r="Q652" s="14" t="s">
        <v>2024</v>
      </c>
      <c r="R652" s="14" t="s">
        <v>2025</v>
      </c>
      <c r="S652" s="7" t="s">
        <v>2026</v>
      </c>
      <c r="T652" s="8"/>
      <c r="U652" s="11" t="str">
        <f t="shared" si="103"/>
        <v>View</v>
      </c>
      <c r="V652" s="8"/>
      <c r="W652" s="8"/>
      <c r="X652" s="8"/>
      <c r="Y652" s="8"/>
      <c r="Z652" s="8"/>
    </row>
    <row r="653" spans="1:26" ht="13.2">
      <c r="A653" s="13">
        <v>44250.640706018516</v>
      </c>
      <c r="B653" s="6" t="str">
        <f>HYPERLINK("https://twitter.com/MariaAndreinaFr","@MariaAndreinaFr")</f>
        <v>@MariaAndreinaFr</v>
      </c>
      <c r="C653" s="14" t="s">
        <v>3108</v>
      </c>
      <c r="D653" s="14" t="s">
        <v>3109</v>
      </c>
      <c r="E653" s="6" t="str">
        <f>HYPERLINK("https://twitter.com/MariaAndreinaFr/status/1364219115083354113","1364219115083354113")</f>
        <v>1364219115083354113</v>
      </c>
      <c r="F653" s="7" t="s">
        <v>3110</v>
      </c>
      <c r="G653" s="8"/>
      <c r="H653" s="8"/>
      <c r="I653" s="14">
        <v>7</v>
      </c>
      <c r="J653" s="14">
        <v>5</v>
      </c>
      <c r="K653" s="6" t="str">
        <f t="shared" ref="K653:K655" si="104">HYPERLINK("https://mobile.twitter.com","Twitter Web App")</f>
        <v>Twitter Web App</v>
      </c>
      <c r="L653" s="15">
        <v>159</v>
      </c>
      <c r="M653" s="15">
        <v>269</v>
      </c>
      <c r="N653" s="15">
        <v>5</v>
      </c>
      <c r="O653" s="9"/>
      <c r="P653" s="10">
        <v>40033.908634259264</v>
      </c>
      <c r="Q653" s="14" t="s">
        <v>3111</v>
      </c>
      <c r="R653" s="14" t="s">
        <v>3112</v>
      </c>
      <c r="S653" s="7" t="s">
        <v>3113</v>
      </c>
      <c r="T653" s="8"/>
      <c r="U653" s="11" t="str">
        <f>HYPERLINK("https://pbs.twimg.com/profile_images/1283429761084198912/yHurFmO7.jpg","View")</f>
        <v>View</v>
      </c>
      <c r="V653" s="8"/>
      <c r="W653" s="8"/>
      <c r="X653" s="8"/>
      <c r="Y653" s="8"/>
      <c r="Z653" s="8"/>
    </row>
    <row r="654" spans="1:26" ht="13.2">
      <c r="A654" s="13">
        <v>44250.640208333338</v>
      </c>
      <c r="B654" s="6" t="str">
        <f>HYPERLINK("https://twitter.com/HarbRimah","@HarbRimah")</f>
        <v>@HarbRimah</v>
      </c>
      <c r="C654" s="14" t="s">
        <v>2837</v>
      </c>
      <c r="D654" s="14" t="s">
        <v>3114</v>
      </c>
      <c r="E654" s="6" t="str">
        <f>HYPERLINK("https://twitter.com/HarbRimah/status/1364218932429795329","1364218932429795329")</f>
        <v>1364218932429795329</v>
      </c>
      <c r="F654" s="7" t="s">
        <v>3115</v>
      </c>
      <c r="G654" s="8"/>
      <c r="H654" s="8"/>
      <c r="I654" s="14">
        <v>36</v>
      </c>
      <c r="J654" s="14">
        <v>22</v>
      </c>
      <c r="K654" s="6" t="str">
        <f t="shared" si="104"/>
        <v>Twitter Web App</v>
      </c>
      <c r="L654" s="15">
        <v>8983</v>
      </c>
      <c r="M654" s="15">
        <v>4886</v>
      </c>
      <c r="N654" s="15">
        <v>675</v>
      </c>
      <c r="O654" s="9"/>
      <c r="P654" s="10">
        <v>41198.440601851849</v>
      </c>
      <c r="Q654" s="8"/>
      <c r="R654" s="14" t="s">
        <v>2838</v>
      </c>
      <c r="S654" s="8"/>
      <c r="T654" s="8"/>
      <c r="U654" s="11" t="str">
        <f>HYPERLINK("https://pbs.twimg.com/profile_images/909317895355863040/ls7cAjxm.jpg","View")</f>
        <v>View</v>
      </c>
      <c r="V654" s="8"/>
      <c r="W654" s="8"/>
      <c r="X654" s="8"/>
      <c r="Y654" s="8"/>
      <c r="Z654" s="8"/>
    </row>
    <row r="655" spans="1:26" ht="13.2">
      <c r="A655" s="13">
        <v>44250.639872685184</v>
      </c>
      <c r="B655" s="6" t="str">
        <f>HYPERLINK("https://twitter.com/love12utakata","@love12utakata")</f>
        <v>@love12utakata</v>
      </c>
      <c r="C655" s="14" t="s">
        <v>3116</v>
      </c>
      <c r="D655" s="14" t="s">
        <v>3117</v>
      </c>
      <c r="E655" s="6" t="str">
        <f>HYPERLINK("https://twitter.com/love12utakata/status/1364218810937434114","1364218810937434114")</f>
        <v>1364218810937434114</v>
      </c>
      <c r="F655" s="8"/>
      <c r="G655" s="7" t="s">
        <v>3118</v>
      </c>
      <c r="H655" s="8"/>
      <c r="I655" s="14">
        <v>0</v>
      </c>
      <c r="J655" s="14">
        <v>1</v>
      </c>
      <c r="K655" s="6" t="str">
        <f t="shared" si="104"/>
        <v>Twitter Web App</v>
      </c>
      <c r="L655" s="15">
        <v>33</v>
      </c>
      <c r="M655" s="15">
        <v>192</v>
      </c>
      <c r="N655" s="15">
        <v>0</v>
      </c>
      <c r="O655" s="9"/>
      <c r="P655" s="10">
        <v>44207.984849537039</v>
      </c>
      <c r="Q655" s="14" t="s">
        <v>3119</v>
      </c>
      <c r="R655" s="14" t="s">
        <v>3120</v>
      </c>
      <c r="S655" s="8"/>
      <c r="T655" s="8"/>
      <c r="U655" s="11" t="str">
        <f>HYPERLINK("https://pbs.twimg.com/profile_images/1364058211930701826/rwkqHlru.jpg","View")</f>
        <v>View</v>
      </c>
      <c r="V655" s="8"/>
      <c r="W655" s="8"/>
      <c r="X655" s="8"/>
      <c r="Y655" s="8"/>
      <c r="Z655" s="8"/>
    </row>
    <row r="656" spans="1:26" ht="13.2">
      <c r="A656" s="13">
        <v>44250.63961805556</v>
      </c>
      <c r="B656" s="6" t="str">
        <f>HYPERLINK("https://twitter.com/me_thepast","@me_thepast")</f>
        <v>@me_thepast</v>
      </c>
      <c r="C656" s="14" t="s">
        <v>3121</v>
      </c>
      <c r="D656" s="14" t="s">
        <v>3122</v>
      </c>
      <c r="E656" s="6" t="str">
        <f>HYPERLINK("https://twitter.com/me_thepast/status/1364218720118317061","1364218720118317061")</f>
        <v>1364218720118317061</v>
      </c>
      <c r="F656" s="8"/>
      <c r="G656" s="8"/>
      <c r="H656" s="8"/>
      <c r="I656" s="14">
        <v>2</v>
      </c>
      <c r="J656" s="14">
        <v>1</v>
      </c>
      <c r="K656" s="6" t="str">
        <f>HYPERLINK("http://twitter.com/download/android","Twitter for Android")</f>
        <v>Twitter for Android</v>
      </c>
      <c r="L656" s="15">
        <v>58</v>
      </c>
      <c r="M656" s="15">
        <v>167</v>
      </c>
      <c r="N656" s="15">
        <v>0</v>
      </c>
      <c r="O656" s="9"/>
      <c r="P656" s="10">
        <v>44146.377210648148</v>
      </c>
      <c r="Q656" s="8"/>
      <c r="R656" s="14" t="s">
        <v>3123</v>
      </c>
      <c r="S656" s="8"/>
      <c r="T656" s="8"/>
      <c r="U656" s="11" t="str">
        <f>HYPERLINK("https://pbs.twimg.com/profile_images/1340011304329867264/foeZJ5ZL.jpg","View")</f>
        <v>View</v>
      </c>
      <c r="V656" s="8"/>
      <c r="W656" s="8"/>
      <c r="X656" s="8"/>
      <c r="Y656" s="8"/>
      <c r="Z656" s="8"/>
    </row>
    <row r="657" spans="1:26" ht="13.2">
      <c r="A657" s="13">
        <v>44250.638888888891</v>
      </c>
      <c r="B657" s="6" t="str">
        <f>HYPERLINK("https://twitter.com/couponfree01","@couponfree01")</f>
        <v>@couponfree01</v>
      </c>
      <c r="C657" s="14" t="s">
        <v>3074</v>
      </c>
      <c r="D657" s="14" t="s">
        <v>3124</v>
      </c>
      <c r="E657" s="6" t="str">
        <f>HYPERLINK("https://twitter.com/couponfree01/status/1364218454996258818","1364218454996258818")</f>
        <v>1364218454996258818</v>
      </c>
      <c r="F657" s="7" t="s">
        <v>3125</v>
      </c>
      <c r="G657" s="8"/>
      <c r="H657" s="8"/>
      <c r="I657" s="14">
        <v>7</v>
      </c>
      <c r="J657" s="14">
        <v>5</v>
      </c>
      <c r="K657" s="6" t="str">
        <f>HYPERLINK("https://about.twitter.com/products/tweetdeck","TweetDeck")</f>
        <v>TweetDeck</v>
      </c>
      <c r="L657" s="15">
        <v>2207</v>
      </c>
      <c r="M657" s="15">
        <v>4235</v>
      </c>
      <c r="N657" s="15">
        <v>28</v>
      </c>
      <c r="O657" s="9"/>
      <c r="P657" s="10">
        <v>43164.382303240738</v>
      </c>
      <c r="Q657" s="14" t="s">
        <v>3077</v>
      </c>
      <c r="R657" s="14" t="s">
        <v>3078</v>
      </c>
      <c r="S657" s="8"/>
      <c r="T657" s="8"/>
      <c r="U657" s="11" t="str">
        <f>HYPERLINK("https://pbs.twimg.com/profile_images/970573416821547009/oDkr4BWt.jpg","View")</f>
        <v>View</v>
      </c>
      <c r="V657" s="8"/>
      <c r="W657" s="8"/>
      <c r="X657" s="8"/>
      <c r="Y657" s="8"/>
      <c r="Z657" s="8"/>
    </row>
    <row r="658" spans="1:26" ht="13.2">
      <c r="A658" s="13">
        <v>44250.638726851852</v>
      </c>
      <c r="B658" s="6" t="str">
        <f>HYPERLINK("https://twitter.com/AWSBrasil","@AWSBrasil")</f>
        <v>@AWSBrasil</v>
      </c>
      <c r="C658" s="14" t="s">
        <v>3126</v>
      </c>
      <c r="D658" s="14" t="s">
        <v>3127</v>
      </c>
      <c r="E658" s="6" t="str">
        <f>HYPERLINK("https://twitter.com/AWSBrasil/status/1364218396494200832","1364218396494200832")</f>
        <v>1364218396494200832</v>
      </c>
      <c r="F658" s="7" t="s">
        <v>3128</v>
      </c>
      <c r="G658" s="7" t="s">
        <v>3129</v>
      </c>
      <c r="H658" s="8"/>
      <c r="I658" s="14">
        <v>0</v>
      </c>
      <c r="J658" s="14">
        <v>0</v>
      </c>
      <c r="K658" s="6" t="str">
        <f>HYPERLINK("https://www.sprinklr.com","Sprinklr")</f>
        <v>Sprinklr</v>
      </c>
      <c r="L658" s="15">
        <v>4510</v>
      </c>
      <c r="M658" s="15">
        <v>41</v>
      </c>
      <c r="N658" s="15">
        <v>93</v>
      </c>
      <c r="O658" s="9"/>
      <c r="P658" s="10">
        <v>41814.973310185189</v>
      </c>
      <c r="Q658" s="8"/>
      <c r="R658" s="14" t="s">
        <v>3130</v>
      </c>
      <c r="S658" s="7" t="s">
        <v>3131</v>
      </c>
      <c r="T658" s="8"/>
      <c r="U658" s="11" t="str">
        <f>HYPERLINK("https://pbs.twimg.com/profile_images/1321887032260505600/UHC9ZjPt.png","View")</f>
        <v>View</v>
      </c>
      <c r="V658" s="8"/>
      <c r="W658" s="8"/>
      <c r="X658" s="8"/>
      <c r="Y658" s="8"/>
      <c r="Z658" s="8"/>
    </row>
    <row r="659" spans="1:26" ht="13.2">
      <c r="A659" s="13">
        <v>44250.638182870374</v>
      </c>
      <c r="B659" s="6" t="str">
        <f>HYPERLINK("https://twitter.com/couponed_code","@couponed_code")</f>
        <v>@couponed_code</v>
      </c>
      <c r="C659" s="14" t="s">
        <v>2605</v>
      </c>
      <c r="D659" s="14" t="s">
        <v>3132</v>
      </c>
      <c r="E659" s="6" t="str">
        <f>HYPERLINK("https://twitter.com/couponed_code/status/1364218199554748417","1364218199554748417")</f>
        <v>1364218199554748417</v>
      </c>
      <c r="F659" s="7" t="s">
        <v>3133</v>
      </c>
      <c r="G659" s="7" t="s">
        <v>3134</v>
      </c>
      <c r="H659" s="8"/>
      <c r="I659" s="14">
        <v>15</v>
      </c>
      <c r="J659" s="14">
        <v>7</v>
      </c>
      <c r="K659" s="6" t="str">
        <f t="shared" ref="K659:K661" si="105">HYPERLINK("https://mobile.twitter.com","Twitter Web App")</f>
        <v>Twitter Web App</v>
      </c>
      <c r="L659" s="15">
        <v>411</v>
      </c>
      <c r="M659" s="15">
        <v>189</v>
      </c>
      <c r="N659" s="15">
        <v>12</v>
      </c>
      <c r="O659" s="9"/>
      <c r="P659" s="10">
        <v>43795.697094907402</v>
      </c>
      <c r="Q659" s="8"/>
      <c r="R659" s="14" t="s">
        <v>2609</v>
      </c>
      <c r="S659" s="7" t="s">
        <v>249</v>
      </c>
      <c r="T659" s="8"/>
      <c r="U659" s="11" t="str">
        <f>HYPERLINK("https://pbs.twimg.com/profile_images/1199354488051515392/yHRbpMAp.jpg","View")</f>
        <v>View</v>
      </c>
      <c r="V659" s="8"/>
      <c r="W659" s="8"/>
      <c r="X659" s="8"/>
      <c r="Y659" s="8"/>
      <c r="Z659" s="8"/>
    </row>
    <row r="660" spans="1:26" ht="13.2">
      <c r="A660" s="13">
        <v>44250.637719907405</v>
      </c>
      <c r="B660" s="6" t="str">
        <f>HYPERLINK("https://twitter.com/jrdothoughts","@jrdothoughts")</f>
        <v>@jrdothoughts</v>
      </c>
      <c r="C660" s="14" t="s">
        <v>3135</v>
      </c>
      <c r="D660" s="14" t="s">
        <v>3136</v>
      </c>
      <c r="E660" s="6" t="str">
        <f>HYPERLINK("https://twitter.com/jrdothoughts/status/1364218030293741569","1364218030293741569")</f>
        <v>1364218030293741569</v>
      </c>
      <c r="F660" s="7" t="s">
        <v>3137</v>
      </c>
      <c r="G660" s="8"/>
      <c r="H660" s="8"/>
      <c r="I660" s="14">
        <v>3</v>
      </c>
      <c r="J660" s="14">
        <v>3</v>
      </c>
      <c r="K660" s="6" t="str">
        <f t="shared" si="105"/>
        <v>Twitter Web App</v>
      </c>
      <c r="L660" s="15">
        <v>2618</v>
      </c>
      <c r="M660" s="15">
        <v>1218</v>
      </c>
      <c r="N660" s="15">
        <v>438</v>
      </c>
      <c r="O660" s="9"/>
      <c r="P660" s="10">
        <v>40804.714363425926</v>
      </c>
      <c r="Q660" s="8"/>
      <c r="R660" s="14" t="s">
        <v>3138</v>
      </c>
      <c r="S660" s="7" t="s">
        <v>3139</v>
      </c>
      <c r="T660" s="8"/>
      <c r="U660" s="11" t="str">
        <f>HYPERLINK("https://pbs.twimg.com/profile_images/1011600856494505986/nm2klZ1_.jpg","View")</f>
        <v>View</v>
      </c>
      <c r="V660" s="8"/>
      <c r="W660" s="8"/>
      <c r="X660" s="8"/>
      <c r="Y660" s="8"/>
      <c r="Z660" s="8"/>
    </row>
    <row r="661" spans="1:26" ht="13.2">
      <c r="A661" s="13">
        <v>44250.63762731482</v>
      </c>
      <c r="B661" s="6" t="str">
        <f>HYPERLINK("https://twitter.com/reconshell","@reconshell")</f>
        <v>@reconshell</v>
      </c>
      <c r="C661" s="14" t="s">
        <v>3140</v>
      </c>
      <c r="D661" s="14" t="s">
        <v>3141</v>
      </c>
      <c r="E661" s="6" t="str">
        <f>HYPERLINK("https://twitter.com/reconshell/status/1364218000006516738","1364218000006516738")</f>
        <v>1364218000006516738</v>
      </c>
      <c r="F661" s="7" t="s">
        <v>3142</v>
      </c>
      <c r="G661" s="8"/>
      <c r="H661" s="8"/>
      <c r="I661" s="14">
        <v>7</v>
      </c>
      <c r="J661" s="14">
        <v>5</v>
      </c>
      <c r="K661" s="6" t="str">
        <f t="shared" si="105"/>
        <v>Twitter Web App</v>
      </c>
      <c r="L661" s="15">
        <v>462</v>
      </c>
      <c r="M661" s="15">
        <v>348</v>
      </c>
      <c r="N661" s="15">
        <v>8</v>
      </c>
      <c r="O661" s="9"/>
      <c r="P661" s="10">
        <v>44070.744930555556</v>
      </c>
      <c r="Q661" s="7" t="s">
        <v>3143</v>
      </c>
      <c r="R661" s="14" t="s">
        <v>3144</v>
      </c>
      <c r="S661" s="7" t="s">
        <v>3145</v>
      </c>
      <c r="T661" s="8"/>
      <c r="U661" s="11" t="str">
        <f>HYPERLINK("https://pbs.twimg.com/profile_images/1343105217219289088/z1MkqnKr.jpg","View")</f>
        <v>View</v>
      </c>
      <c r="V661" s="8"/>
      <c r="W661" s="8"/>
      <c r="X661" s="8"/>
      <c r="Y661" s="8"/>
      <c r="Z661" s="8"/>
    </row>
    <row r="662" spans="1:26" ht="13.2">
      <c r="A662" s="13">
        <v>44250.637048611112</v>
      </c>
      <c r="B662" s="6" t="str">
        <f>HYPERLINK("https://twitter.com/BrankoBoro","@BrankoBoro")</f>
        <v>@BrankoBoro</v>
      </c>
      <c r="C662" s="14" t="s">
        <v>3146</v>
      </c>
      <c r="D662" s="14" t="s">
        <v>3147</v>
      </c>
      <c r="E662" s="6" t="str">
        <f>HYPERLINK("https://twitter.com/BrankoBoro/status/1364217788324274182","1364217788324274182")</f>
        <v>1364217788324274182</v>
      </c>
      <c r="F662" s="14" t="s">
        <v>3148</v>
      </c>
      <c r="G662" s="8"/>
      <c r="H662" s="8"/>
      <c r="I662" s="14">
        <v>1</v>
      </c>
      <c r="J662" s="14">
        <v>3</v>
      </c>
      <c r="K662" s="6" t="str">
        <f t="shared" ref="K662:K663" si="106">HYPERLINK("http://twinybots.com","TwinyBots")</f>
        <v>TwinyBots</v>
      </c>
      <c r="L662" s="15">
        <v>1564</v>
      </c>
      <c r="M662" s="15">
        <v>1414</v>
      </c>
      <c r="N662" s="15">
        <v>16</v>
      </c>
      <c r="O662" s="9"/>
      <c r="P662" s="10">
        <v>41758.65792824074</v>
      </c>
      <c r="Q662" s="14" t="s">
        <v>3149</v>
      </c>
      <c r="R662" s="14" t="s">
        <v>3150</v>
      </c>
      <c r="S662" s="7" t="s">
        <v>3151</v>
      </c>
      <c r="T662" s="8"/>
      <c r="U662" s="11" t="str">
        <f>HYPERLINK("https://pbs.twimg.com/profile_images/1137048121459060739/c9tNcG8J.png","View")</f>
        <v>View</v>
      </c>
      <c r="V662" s="8"/>
      <c r="W662" s="8"/>
      <c r="X662" s="8"/>
      <c r="Y662" s="8"/>
      <c r="Z662" s="8"/>
    </row>
    <row r="663" spans="1:26" ht="13.2">
      <c r="A663" s="13">
        <v>44250.637002314819</v>
      </c>
      <c r="B663" s="6" t="str">
        <f>HYPERLINK("https://twitter.com/naikrd","@naikrd")</f>
        <v>@naikrd</v>
      </c>
      <c r="C663" s="14" t="s">
        <v>3152</v>
      </c>
      <c r="D663" s="14" t="s">
        <v>3153</v>
      </c>
      <c r="E663" s="6" t="str">
        <f>HYPERLINK("https://twitter.com/naikrd/status/1364217771039547394","1364217771039547394")</f>
        <v>1364217771039547394</v>
      </c>
      <c r="F663" s="14" t="s">
        <v>3154</v>
      </c>
      <c r="G663" s="8"/>
      <c r="H663" s="8"/>
      <c r="I663" s="14">
        <v>1</v>
      </c>
      <c r="J663" s="14">
        <v>2</v>
      </c>
      <c r="K663" s="6" t="str">
        <f t="shared" si="106"/>
        <v>TwinyBots</v>
      </c>
      <c r="L663" s="15">
        <v>525</v>
      </c>
      <c r="M663" s="15">
        <v>297</v>
      </c>
      <c r="N663" s="15">
        <v>25</v>
      </c>
      <c r="O663" s="9"/>
      <c r="P663" s="10">
        <v>39946.865474537037</v>
      </c>
      <c r="Q663" s="14" t="s">
        <v>914</v>
      </c>
      <c r="R663" s="14" t="s">
        <v>3155</v>
      </c>
      <c r="S663" s="8"/>
      <c r="T663" s="8"/>
      <c r="U663" s="11" t="str">
        <f>HYPERLINK("https://pbs.twimg.com/profile_images/1185037441696174080/kw-QxCdn.jpg","View")</f>
        <v>View</v>
      </c>
      <c r="V663" s="8"/>
      <c r="W663" s="8"/>
      <c r="X663" s="8"/>
      <c r="Y663" s="8"/>
      <c r="Z663" s="8"/>
    </row>
    <row r="664" spans="1:26" ht="13.2">
      <c r="A664" s="13">
        <v>44250.636967592596</v>
      </c>
      <c r="B664" s="6" t="str">
        <f>HYPERLINK("https://twitter.com/_Harinivas_","@_Harinivas_")</f>
        <v>@_Harinivas_</v>
      </c>
      <c r="C664" s="14" t="s">
        <v>3156</v>
      </c>
      <c r="D664" s="14" t="s">
        <v>3157</v>
      </c>
      <c r="E664" s="6" t="str">
        <f>HYPERLINK("https://twitter.com/_Harinivas_/status/1364217757856714755","1364217757856714755")</f>
        <v>1364217757856714755</v>
      </c>
      <c r="F664" s="8"/>
      <c r="G664" s="7" t="s">
        <v>3158</v>
      </c>
      <c r="H664" s="8"/>
      <c r="I664" s="14">
        <v>1</v>
      </c>
      <c r="J664" s="14">
        <v>3</v>
      </c>
      <c r="K664" s="6" t="str">
        <f>HYPERLINK("http://twitter.com/download/android","Twitter for Android")</f>
        <v>Twitter for Android</v>
      </c>
      <c r="L664" s="15">
        <v>16</v>
      </c>
      <c r="M664" s="15">
        <v>85</v>
      </c>
      <c r="N664" s="15">
        <v>0</v>
      </c>
      <c r="O664" s="9"/>
      <c r="P664" s="10">
        <v>44245.6091087963</v>
      </c>
      <c r="Q664" s="8"/>
      <c r="R664" s="14" t="s">
        <v>3159</v>
      </c>
      <c r="S664" s="8"/>
      <c r="T664" s="8"/>
      <c r="U664" s="11" t="str">
        <f>HYPERLINK("https://pbs.twimg.com/profile_images/1363061419797716994/2Yn7O2fH.jpg","View")</f>
        <v>View</v>
      </c>
      <c r="V664" s="8"/>
      <c r="W664" s="8"/>
      <c r="X664" s="8"/>
      <c r="Y664" s="8"/>
      <c r="Z664" s="8"/>
    </row>
    <row r="665" spans="1:26" ht="13.2">
      <c r="A665" s="13">
        <v>44250.636504629627</v>
      </c>
      <c r="B665" s="6" t="str">
        <f>HYPERLINK("https://twitter.com/machinelearnflx","@machinelearnflx")</f>
        <v>@machinelearnflx</v>
      </c>
      <c r="C665" s="14" t="s">
        <v>279</v>
      </c>
      <c r="D665" s="14" t="s">
        <v>3160</v>
      </c>
      <c r="E665" s="6" t="str">
        <f>HYPERLINK("https://twitter.com/machinelearnflx/status/1364217592655839237","1364217592655839237")</f>
        <v>1364217592655839237</v>
      </c>
      <c r="F665" s="7" t="s">
        <v>3161</v>
      </c>
      <c r="G665" s="8"/>
      <c r="H665" s="8"/>
      <c r="I665" s="14">
        <v>2</v>
      </c>
      <c r="J665" s="14">
        <v>9</v>
      </c>
      <c r="K665" s="6" t="str">
        <f>HYPERLINK("https://twitter.com/pythonbot_","Postmatico")</f>
        <v>Postmatico</v>
      </c>
      <c r="L665" s="15">
        <v>90451</v>
      </c>
      <c r="M665" s="15">
        <v>35464</v>
      </c>
      <c r="N665" s="15">
        <v>2227</v>
      </c>
      <c r="O665" s="9"/>
      <c r="P665" s="10">
        <v>42386.538865740746</v>
      </c>
      <c r="Q665" s="8"/>
      <c r="R665" s="14" t="s">
        <v>282</v>
      </c>
      <c r="S665" s="7" t="s">
        <v>283</v>
      </c>
      <c r="T665" s="8"/>
      <c r="U665" s="11" t="str">
        <f>HYPERLINK("https://pbs.twimg.com/profile_images/688735459892195329/v8sHaWSG.jpg","View")</f>
        <v>View</v>
      </c>
      <c r="V665" s="8"/>
      <c r="W665" s="8"/>
      <c r="X665" s="8"/>
      <c r="Y665" s="8"/>
      <c r="Z665" s="8"/>
    </row>
    <row r="666" spans="1:26" ht="13.2">
      <c r="A666" s="13">
        <v>44250.636446759258</v>
      </c>
      <c r="B666" s="6" t="str">
        <f>HYPERLINK("https://twitter.com/HarbRimah","@HarbRimah")</f>
        <v>@HarbRimah</v>
      </c>
      <c r="C666" s="14" t="s">
        <v>2837</v>
      </c>
      <c r="D666" s="14" t="s">
        <v>3162</v>
      </c>
      <c r="E666" s="6" t="str">
        <f>HYPERLINK("https://twitter.com/HarbRimah/status/1364217571122282496","1364217571122282496")</f>
        <v>1364217571122282496</v>
      </c>
      <c r="F666" s="7" t="s">
        <v>3163</v>
      </c>
      <c r="G666" s="8"/>
      <c r="H666" s="8"/>
      <c r="I666" s="14">
        <v>38</v>
      </c>
      <c r="J666" s="14">
        <v>20</v>
      </c>
      <c r="K666" s="6" t="str">
        <f>HYPERLINK("https://mobile.twitter.com","Twitter Web App")</f>
        <v>Twitter Web App</v>
      </c>
      <c r="L666" s="15">
        <v>8983</v>
      </c>
      <c r="M666" s="15">
        <v>4886</v>
      </c>
      <c r="N666" s="15">
        <v>675</v>
      </c>
      <c r="O666" s="9"/>
      <c r="P666" s="10">
        <v>41198.440601851849</v>
      </c>
      <c r="Q666" s="8"/>
      <c r="R666" s="14" t="s">
        <v>2838</v>
      </c>
      <c r="S666" s="8"/>
      <c r="T666" s="8"/>
      <c r="U666" s="11" t="str">
        <f>HYPERLINK("https://pbs.twimg.com/profile_images/909317895355863040/ls7cAjxm.jpg","View")</f>
        <v>View</v>
      </c>
      <c r="V666" s="8"/>
      <c r="W666" s="8"/>
      <c r="X666" s="8"/>
      <c r="Y666" s="8"/>
      <c r="Z666" s="8"/>
    </row>
    <row r="667" spans="1:26" ht="13.2">
      <c r="A667" s="13">
        <v>44250.636226851857</v>
      </c>
      <c r="B667" s="6" t="str">
        <f>HYPERLINK("https://twitter.com/hashem25","@hashem25")</f>
        <v>@hashem25</v>
      </c>
      <c r="C667" s="14" t="s">
        <v>3164</v>
      </c>
      <c r="D667" s="14" t="s">
        <v>3165</v>
      </c>
      <c r="E667" s="6" t="str">
        <f>HYPERLINK("https://twitter.com/hashem25/status/1364217489274601480","1364217489274601480")</f>
        <v>1364217489274601480</v>
      </c>
      <c r="F667" s="7" t="s">
        <v>3166</v>
      </c>
      <c r="G667" s="8"/>
      <c r="H667" s="8"/>
      <c r="I667" s="14">
        <v>1</v>
      </c>
      <c r="J667" s="14">
        <v>2</v>
      </c>
      <c r="K667" s="6" t="str">
        <f>HYPERLINK("http://twinybots.com","TwinyBots")</f>
        <v>TwinyBots</v>
      </c>
      <c r="L667" s="15">
        <v>2283</v>
      </c>
      <c r="M667" s="15">
        <v>2047</v>
      </c>
      <c r="N667" s="15">
        <v>93</v>
      </c>
      <c r="O667" s="9"/>
      <c r="P667" s="10">
        <v>39985.529166666667</v>
      </c>
      <c r="Q667" s="14" t="s">
        <v>3167</v>
      </c>
      <c r="R667" s="14" t="s">
        <v>3168</v>
      </c>
      <c r="S667" s="8"/>
      <c r="T667" s="8"/>
      <c r="U667" s="11" t="str">
        <f>HYPERLINK("https://pbs.twimg.com/profile_images/605251240675573761/Ldc2HXa7.jpg","View")</f>
        <v>View</v>
      </c>
      <c r="V667" s="8"/>
      <c r="W667" s="8"/>
      <c r="X667" s="8"/>
      <c r="Y667" s="8"/>
      <c r="Z667" s="8"/>
    </row>
    <row r="668" spans="1:26" ht="13.2">
      <c r="A668" s="13">
        <v>44250.636122685188</v>
      </c>
      <c r="B668" s="6" t="str">
        <f>HYPERLINK("https://twitter.com/BirisIlias","@BirisIlias")</f>
        <v>@BirisIlias</v>
      </c>
      <c r="C668" s="14" t="s">
        <v>3169</v>
      </c>
      <c r="D668" s="14" t="s">
        <v>3170</v>
      </c>
      <c r="E668" s="6" t="str">
        <f>HYPERLINK("https://twitter.com/BirisIlias/status/1364217452658380803","1364217452658380803")</f>
        <v>1364217452658380803</v>
      </c>
      <c r="F668" s="7" t="s">
        <v>3171</v>
      </c>
      <c r="G668" s="8"/>
      <c r="H668" s="8"/>
      <c r="I668" s="14">
        <v>1</v>
      </c>
      <c r="J668" s="14">
        <v>2</v>
      </c>
      <c r="K668" s="6" t="str">
        <f>HYPERLINK("https://buffer.com","Buffer")</f>
        <v>Buffer</v>
      </c>
      <c r="L668" s="15">
        <v>150</v>
      </c>
      <c r="M668" s="15">
        <v>629</v>
      </c>
      <c r="N668" s="15">
        <v>6</v>
      </c>
      <c r="O668" s="9"/>
      <c r="P668" s="10">
        <v>43313.706608796296</v>
      </c>
      <c r="Q668" s="8"/>
      <c r="R668" s="14" t="s">
        <v>3172</v>
      </c>
      <c r="S668" s="8"/>
      <c r="T668" s="8"/>
      <c r="U668" s="11" t="str">
        <f>HYPERLINK("https://pbs.twimg.com/profile_images/1030029486430011393/qhP6lzgT.jpg","View")</f>
        <v>View</v>
      </c>
      <c r="V668" s="8"/>
      <c r="W668" s="8"/>
      <c r="X668" s="8"/>
      <c r="Y668" s="8"/>
      <c r="Z668" s="8"/>
    </row>
    <row r="669" spans="1:26" ht="13.2">
      <c r="A669" s="13">
        <v>44250.635844907403</v>
      </c>
      <c r="B669" s="6" t="str">
        <f>HYPERLINK("https://twitter.com/MedicaliPhone","@MedicaliPhone")</f>
        <v>@MedicaliPhone</v>
      </c>
      <c r="C669" s="14" t="s">
        <v>269</v>
      </c>
      <c r="D669" s="14" t="s">
        <v>2481</v>
      </c>
      <c r="E669" s="6" t="str">
        <f>HYPERLINK("https://twitter.com/MedicaliPhone/status/1364217354037719040","1364217354037719040")</f>
        <v>1364217354037719040</v>
      </c>
      <c r="F669" s="14" t="s">
        <v>2482</v>
      </c>
      <c r="G669" s="8"/>
      <c r="H669" s="8"/>
      <c r="I669" s="14">
        <v>1</v>
      </c>
      <c r="J669" s="14">
        <v>2</v>
      </c>
      <c r="K669" s="6" t="str">
        <f>HYPERLINK("http://twinybots.com","TwinyBots")</f>
        <v>TwinyBots</v>
      </c>
      <c r="L669" s="15">
        <v>18689</v>
      </c>
      <c r="M669" s="15">
        <v>19077</v>
      </c>
      <c r="N669" s="15">
        <v>450</v>
      </c>
      <c r="O669" s="9"/>
      <c r="P669" s="10">
        <v>39978.071932870371</v>
      </c>
      <c r="Q669" s="14" t="s">
        <v>270</v>
      </c>
      <c r="R669" s="14" t="s">
        <v>271</v>
      </c>
      <c r="S669" s="7" t="s">
        <v>272</v>
      </c>
      <c r="T669" s="8"/>
      <c r="U669" s="11" t="str">
        <f>HYPERLINK("https://pbs.twimg.com/profile_images/671869096389021696/Z1Kr3P0K.png","View")</f>
        <v>View</v>
      </c>
      <c r="V669" s="8"/>
      <c r="W669" s="8"/>
      <c r="X669" s="8"/>
      <c r="Y669" s="8"/>
      <c r="Z669" s="8"/>
    </row>
    <row r="670" spans="1:26" ht="13.2">
      <c r="A670" s="13">
        <v>44250.635763888888</v>
      </c>
      <c r="B670" s="6" t="str">
        <f>HYPERLINK("https://twitter.com/JyotiSahai","@JyotiSahai")</f>
        <v>@JyotiSahai</v>
      </c>
      <c r="C670" s="14" t="s">
        <v>3173</v>
      </c>
      <c r="D670" s="14" t="s">
        <v>3174</v>
      </c>
      <c r="E670" s="6" t="str">
        <f>HYPERLINK("https://twitter.com/JyotiSahai/status/1364217322458673156","1364217322458673156")</f>
        <v>1364217322458673156</v>
      </c>
      <c r="F670" s="7" t="s">
        <v>3175</v>
      </c>
      <c r="G670" s="8"/>
      <c r="H670" s="8"/>
      <c r="I670" s="14">
        <v>4</v>
      </c>
      <c r="J670" s="14">
        <v>3</v>
      </c>
      <c r="K670" s="6" t="str">
        <f t="shared" ref="K670:K671" si="107">HYPERLINK("https://mobile.twitter.com","Twitter Web App")</f>
        <v>Twitter Web App</v>
      </c>
      <c r="L670" s="15">
        <v>426</v>
      </c>
      <c r="M670" s="15">
        <v>595</v>
      </c>
      <c r="N670" s="15">
        <v>12</v>
      </c>
      <c r="O670" s="9"/>
      <c r="P670" s="10">
        <v>41622.584618055553</v>
      </c>
      <c r="Q670" s="14" t="s">
        <v>3176</v>
      </c>
      <c r="R670" s="14" t="s">
        <v>3177</v>
      </c>
      <c r="S670" s="7" t="s">
        <v>3178</v>
      </c>
      <c r="T670" s="8"/>
      <c r="U670" s="11" t="str">
        <f>HYPERLINK("https://pbs.twimg.com/profile_images/414052426824421376/3G4eYsXQ.jpeg","View")</f>
        <v>View</v>
      </c>
      <c r="V670" s="8"/>
      <c r="W670" s="8"/>
      <c r="X670" s="8"/>
      <c r="Y670" s="8"/>
      <c r="Z670" s="8"/>
    </row>
    <row r="671" spans="1:26" ht="13.2">
      <c r="A671" s="13">
        <v>44250.635624999995</v>
      </c>
      <c r="B671" s="6" t="str">
        <f>HYPERLINK("https://twitter.com/HarbRimah","@HarbRimah")</f>
        <v>@HarbRimah</v>
      </c>
      <c r="C671" s="14" t="s">
        <v>2837</v>
      </c>
      <c r="D671" s="14" t="s">
        <v>3179</v>
      </c>
      <c r="E671" s="6" t="str">
        <f>HYPERLINK("https://twitter.com/HarbRimah/status/1364217271699259396","1364217271699259396")</f>
        <v>1364217271699259396</v>
      </c>
      <c r="F671" s="7" t="s">
        <v>3180</v>
      </c>
      <c r="G671" s="8"/>
      <c r="H671" s="8"/>
      <c r="I671" s="14">
        <v>27</v>
      </c>
      <c r="J671" s="14">
        <v>19</v>
      </c>
      <c r="K671" s="6" t="str">
        <f t="shared" si="107"/>
        <v>Twitter Web App</v>
      </c>
      <c r="L671" s="15">
        <v>8983</v>
      </c>
      <c r="M671" s="15">
        <v>4886</v>
      </c>
      <c r="N671" s="15">
        <v>675</v>
      </c>
      <c r="O671" s="9"/>
      <c r="P671" s="10">
        <v>41198.440601851849</v>
      </c>
      <c r="Q671" s="8"/>
      <c r="R671" s="14" t="s">
        <v>2838</v>
      </c>
      <c r="S671" s="8"/>
      <c r="T671" s="8"/>
      <c r="U671" s="11" t="str">
        <f>HYPERLINK("https://pbs.twimg.com/profile_images/909317895355863040/ls7cAjxm.jpg","View")</f>
        <v>View</v>
      </c>
      <c r="V671" s="8"/>
      <c r="W671" s="8"/>
      <c r="X671" s="8"/>
      <c r="Y671" s="8"/>
      <c r="Z671" s="8"/>
    </row>
    <row r="672" spans="1:26" ht="13.2">
      <c r="A672" s="13">
        <v>44250.635601851856</v>
      </c>
      <c r="B672" s="6" t="str">
        <f>HYPERLINK("https://twitter.com/linguica_trader","@linguica_trader")</f>
        <v>@linguica_trader</v>
      </c>
      <c r="C672" s="14" t="s">
        <v>3181</v>
      </c>
      <c r="D672" s="14" t="s">
        <v>3182</v>
      </c>
      <c r="E672" s="6" t="str">
        <f>HYPERLINK("https://twitter.com/linguica_trader/status/1364217264594124806","1364217264594124806")</f>
        <v>1364217264594124806</v>
      </c>
      <c r="F672" s="8"/>
      <c r="G672" s="8"/>
      <c r="H672" s="8"/>
      <c r="I672" s="14">
        <v>0</v>
      </c>
      <c r="J672" s="14">
        <v>1</v>
      </c>
      <c r="K672" s="6" t="str">
        <f>HYPERLINK("http://twitter.com/download/android","Twitter for Android")</f>
        <v>Twitter for Android</v>
      </c>
      <c r="L672" s="15">
        <v>20</v>
      </c>
      <c r="M672" s="15">
        <v>106</v>
      </c>
      <c r="N672" s="15">
        <v>0</v>
      </c>
      <c r="O672" s="9"/>
      <c r="P672" s="10">
        <v>43944.152546296296</v>
      </c>
      <c r="Q672" s="14" t="s">
        <v>3183</v>
      </c>
      <c r="R672" s="14" t="s">
        <v>3184</v>
      </c>
      <c r="S672" s="7" t="s">
        <v>3185</v>
      </c>
      <c r="T672" s="8"/>
      <c r="U672" s="11" t="str">
        <f>HYPERLINK("https://pbs.twimg.com/profile_images/1335248549341179905/fbVSeN65.jpg","View")</f>
        <v>View</v>
      </c>
      <c r="V672" s="8"/>
      <c r="W672" s="8"/>
      <c r="X672" s="8"/>
      <c r="Y672" s="8"/>
      <c r="Z672" s="8"/>
    </row>
    <row r="673" spans="1:26" ht="13.2">
      <c r="A673" s="13">
        <v>44250.635416666672</v>
      </c>
      <c r="B673" s="6" t="str">
        <f>HYPERLINK("https://twitter.com/couponfree01","@couponfree01")</f>
        <v>@couponfree01</v>
      </c>
      <c r="C673" s="14" t="s">
        <v>3074</v>
      </c>
      <c r="D673" s="14" t="s">
        <v>3186</v>
      </c>
      <c r="E673" s="6" t="str">
        <f>HYPERLINK("https://twitter.com/couponfree01/status/1364217197195915268","1364217197195915268")</f>
        <v>1364217197195915268</v>
      </c>
      <c r="F673" s="7" t="s">
        <v>3187</v>
      </c>
      <c r="G673" s="8"/>
      <c r="H673" s="8"/>
      <c r="I673" s="14">
        <v>10</v>
      </c>
      <c r="J673" s="14">
        <v>3</v>
      </c>
      <c r="K673" s="6" t="str">
        <f>HYPERLINK("https://about.twitter.com/products/tweetdeck","TweetDeck")</f>
        <v>TweetDeck</v>
      </c>
      <c r="L673" s="15">
        <v>2207</v>
      </c>
      <c r="M673" s="15">
        <v>4235</v>
      </c>
      <c r="N673" s="15">
        <v>28</v>
      </c>
      <c r="O673" s="9"/>
      <c r="P673" s="10">
        <v>43164.382303240738</v>
      </c>
      <c r="Q673" s="14" t="s">
        <v>3077</v>
      </c>
      <c r="R673" s="14" t="s">
        <v>3078</v>
      </c>
      <c r="S673" s="8"/>
      <c r="T673" s="8"/>
      <c r="U673" s="11" t="str">
        <f>HYPERLINK("https://pbs.twimg.com/profile_images/970573416821547009/oDkr4BWt.jpg","View")</f>
        <v>View</v>
      </c>
      <c r="V673" s="8"/>
      <c r="W673" s="8"/>
      <c r="X673" s="8"/>
      <c r="Y673" s="8"/>
      <c r="Z673" s="8"/>
    </row>
    <row r="674" spans="1:26" ht="13.2">
      <c r="A674" s="13">
        <v>44250.635405092587</v>
      </c>
      <c r="B674" s="6" t="str">
        <f>HYPERLINK("https://twitter.com/TeldatCorp","@TeldatCorp")</f>
        <v>@TeldatCorp</v>
      </c>
      <c r="C674" s="14" t="s">
        <v>3188</v>
      </c>
      <c r="D674" s="14" t="s">
        <v>3189</v>
      </c>
      <c r="E674" s="6" t="str">
        <f>HYPERLINK("https://twitter.com/TeldatCorp/status/1364217192783503362","1364217192783503362")</f>
        <v>1364217192783503362</v>
      </c>
      <c r="F674" s="7" t="s">
        <v>3190</v>
      </c>
      <c r="G674" s="7" t="s">
        <v>3191</v>
      </c>
      <c r="H674" s="8"/>
      <c r="I674" s="14">
        <v>5</v>
      </c>
      <c r="J674" s="14">
        <v>4</v>
      </c>
      <c r="K674" s="6" t="str">
        <f t="shared" ref="K674:K680" si="108">HYPERLINK("https://mobile.twitter.com","Twitter Web App")</f>
        <v>Twitter Web App</v>
      </c>
      <c r="L674" s="15">
        <v>2037</v>
      </c>
      <c r="M674" s="15">
        <v>1491</v>
      </c>
      <c r="N674" s="15">
        <v>321</v>
      </c>
      <c r="O674" s="9"/>
      <c r="P674" s="10">
        <v>41457.489386574074</v>
      </c>
      <c r="Q674" s="14" t="s">
        <v>75</v>
      </c>
      <c r="R674" s="14" t="s">
        <v>3192</v>
      </c>
      <c r="S674" s="7" t="s">
        <v>3193</v>
      </c>
      <c r="T674" s="8"/>
      <c r="U674" s="11" t="str">
        <f>HYPERLINK("https://pbs.twimg.com/profile_images/976387744422416384/ECvPSB0l.jpg","View")</f>
        <v>View</v>
      </c>
      <c r="V674" s="8"/>
      <c r="W674" s="8"/>
      <c r="X674" s="8"/>
      <c r="Y674" s="8"/>
      <c r="Z674" s="8"/>
    </row>
    <row r="675" spans="1:26" ht="13.2">
      <c r="A675" s="13">
        <v>44250.635393518518</v>
      </c>
      <c r="B675" s="6" t="str">
        <f>HYPERLINK("https://twitter.com/darkwolfsolves","@darkwolfsolves")</f>
        <v>@darkwolfsolves</v>
      </c>
      <c r="C675" s="14" t="s">
        <v>3194</v>
      </c>
      <c r="D675" s="14" t="s">
        <v>3195</v>
      </c>
      <c r="E675" s="6" t="str">
        <f>HYPERLINK("https://twitter.com/darkwolfsolves/status/1364217188081688576","1364217188081688576")</f>
        <v>1364217188081688576</v>
      </c>
      <c r="F675" s="7" t="s">
        <v>3196</v>
      </c>
      <c r="G675" s="8"/>
      <c r="H675" s="8"/>
      <c r="I675" s="14">
        <v>3</v>
      </c>
      <c r="J675" s="14">
        <v>3</v>
      </c>
      <c r="K675" s="6" t="str">
        <f t="shared" si="108"/>
        <v>Twitter Web App</v>
      </c>
      <c r="L675" s="15">
        <v>51</v>
      </c>
      <c r="M675" s="15">
        <v>30</v>
      </c>
      <c r="N675" s="15">
        <v>1</v>
      </c>
      <c r="O675" s="9"/>
      <c r="P675" s="10">
        <v>43484.070844907408</v>
      </c>
      <c r="Q675" s="14" t="s">
        <v>3197</v>
      </c>
      <c r="R675" s="14" t="s">
        <v>3198</v>
      </c>
      <c r="S675" s="7" t="s">
        <v>3199</v>
      </c>
      <c r="T675" s="8"/>
      <c r="U675" s="11" t="str">
        <f>HYPERLINK("https://pbs.twimg.com/profile_images/1087725281958232064/3gijNeI5.jpg","View")</f>
        <v>View</v>
      </c>
      <c r="V675" s="8"/>
      <c r="W675" s="8"/>
      <c r="X675" s="8"/>
      <c r="Y675" s="8"/>
      <c r="Z675" s="8"/>
    </row>
    <row r="676" spans="1:26" ht="13.2">
      <c r="A676" s="13">
        <v>44250.635347222225</v>
      </c>
      <c r="B676" s="6" t="str">
        <f>HYPERLINK("https://twitter.com/Ronald_vanLoon","@Ronald_vanLoon")</f>
        <v>@Ronald_vanLoon</v>
      </c>
      <c r="C676" s="14" t="s">
        <v>2433</v>
      </c>
      <c r="D676" s="14" t="s">
        <v>3200</v>
      </c>
      <c r="E676" s="6" t="str">
        <f>HYPERLINK("https://twitter.com/Ronald_vanLoon/status/1364217174496264192","1364217174496264192")</f>
        <v>1364217174496264192</v>
      </c>
      <c r="F676" s="7" t="s">
        <v>3201</v>
      </c>
      <c r="G676" s="7" t="s">
        <v>3202</v>
      </c>
      <c r="H676" s="8"/>
      <c r="I676" s="14">
        <v>9</v>
      </c>
      <c r="J676" s="14">
        <v>6</v>
      </c>
      <c r="K676" s="6" t="str">
        <f t="shared" si="108"/>
        <v>Twitter Web App</v>
      </c>
      <c r="L676" s="15">
        <v>239362</v>
      </c>
      <c r="M676" s="15">
        <v>180517</v>
      </c>
      <c r="N676" s="15">
        <v>5589</v>
      </c>
      <c r="O676" s="9"/>
      <c r="P676" s="10">
        <v>41015.413553240738</v>
      </c>
      <c r="Q676" s="14" t="s">
        <v>1141</v>
      </c>
      <c r="R676" s="14" t="s">
        <v>2437</v>
      </c>
      <c r="S676" s="7" t="s">
        <v>2438</v>
      </c>
      <c r="T676" s="8"/>
      <c r="U676" s="11" t="str">
        <f>HYPERLINK("https://pbs.twimg.com/profile_images/1107936345769607169/sJKWJd7g.png","View")</f>
        <v>View</v>
      </c>
      <c r="V676" s="8"/>
      <c r="W676" s="8"/>
      <c r="X676" s="8"/>
      <c r="Y676" s="8"/>
      <c r="Z676" s="8"/>
    </row>
    <row r="677" spans="1:26" ht="13.2">
      <c r="A677" s="13">
        <v>44250.635300925926</v>
      </c>
      <c r="B677" s="6" t="str">
        <f>HYPERLINK("https://twitter.com/GlobaltechO","@GlobaltechO")</f>
        <v>@GlobaltechO</v>
      </c>
      <c r="C677" s="14" t="s">
        <v>3203</v>
      </c>
      <c r="D677" s="14" t="s">
        <v>3204</v>
      </c>
      <c r="E677" s="6" t="str">
        <f>HYPERLINK("https://twitter.com/GlobaltechO/status/1364217157328887809","1364217157328887809")</f>
        <v>1364217157328887809</v>
      </c>
      <c r="F677" s="7" t="s">
        <v>3205</v>
      </c>
      <c r="G677" s="8"/>
      <c r="H677" s="8"/>
      <c r="I677" s="14">
        <v>1</v>
      </c>
      <c r="J677" s="14">
        <v>2</v>
      </c>
      <c r="K677" s="6" t="str">
        <f t="shared" si="108"/>
        <v>Twitter Web App</v>
      </c>
      <c r="L677" s="15">
        <v>646</v>
      </c>
      <c r="M677" s="15">
        <v>41</v>
      </c>
      <c r="N677" s="15">
        <v>0</v>
      </c>
      <c r="O677" s="9"/>
      <c r="P677" s="10">
        <v>43960.528680555552</v>
      </c>
      <c r="Q677" s="14" t="s">
        <v>364</v>
      </c>
      <c r="R677" s="14" t="s">
        <v>3206</v>
      </c>
      <c r="S677" s="7" t="s">
        <v>3207</v>
      </c>
      <c r="T677" s="8"/>
      <c r="U677" s="11" t="str">
        <f>HYPERLINK("https://pbs.twimg.com/profile_images/1259072981675806720/Vj3Qqifz.jpg","View")</f>
        <v>View</v>
      </c>
      <c r="V677" s="8"/>
      <c r="W677" s="8"/>
      <c r="X677" s="8"/>
      <c r="Y677" s="8"/>
      <c r="Z677" s="8"/>
    </row>
    <row r="678" spans="1:26" ht="13.2">
      <c r="A678" s="13">
        <v>44250.635266203702</v>
      </c>
      <c r="B678" s="6" t="str">
        <f>HYPERLINK("https://twitter.com/Raghadalkhati14","@Raghadalkhati14")</f>
        <v>@Raghadalkhati14</v>
      </c>
      <c r="C678" s="14" t="s">
        <v>3208</v>
      </c>
      <c r="D678" s="14" t="s">
        <v>3209</v>
      </c>
      <c r="E678" s="6" t="str">
        <f>HYPERLINK("https://twitter.com/Raghadalkhati14/status/1364217141755576322","1364217141755576322")</f>
        <v>1364217141755576322</v>
      </c>
      <c r="F678" s="8"/>
      <c r="G678" s="7" t="s">
        <v>3210</v>
      </c>
      <c r="H678" s="8"/>
      <c r="I678" s="14">
        <v>4</v>
      </c>
      <c r="J678" s="14">
        <v>3</v>
      </c>
      <c r="K678" s="6" t="str">
        <f t="shared" si="108"/>
        <v>Twitter Web App</v>
      </c>
      <c r="L678" s="15">
        <v>1</v>
      </c>
      <c r="M678" s="15">
        <v>23</v>
      </c>
      <c r="N678" s="15">
        <v>0</v>
      </c>
      <c r="O678" s="9"/>
      <c r="P678" s="10">
        <v>44206.480474537035</v>
      </c>
      <c r="Q678" s="8"/>
      <c r="R678" s="14" t="s">
        <v>3211</v>
      </c>
      <c r="S678" s="8"/>
      <c r="T678" s="8"/>
      <c r="U678" s="11" t="str">
        <f>HYPERLINK("https://pbs.twimg.com/profile_images/1348223918897819649/bzpLmDi2.jpg","View")</f>
        <v>View</v>
      </c>
      <c r="V678" s="8"/>
      <c r="W678" s="8"/>
      <c r="X678" s="8"/>
      <c r="Y678" s="8"/>
      <c r="Z678" s="8"/>
    </row>
    <row r="679" spans="1:26" ht="13.2">
      <c r="A679" s="13">
        <v>44250.634884259256</v>
      </c>
      <c r="B679" s="6" t="str">
        <f>HYPERLINK("https://twitter.com/HySpeedGeo","@HySpeedGeo")</f>
        <v>@HySpeedGeo</v>
      </c>
      <c r="C679" s="14" t="s">
        <v>2884</v>
      </c>
      <c r="D679" s="14" t="s">
        <v>3212</v>
      </c>
      <c r="E679" s="6" t="str">
        <f>HYPERLINK("https://twitter.com/HySpeedGeo/status/1364217005344251913","1364217005344251913")</f>
        <v>1364217005344251913</v>
      </c>
      <c r="F679" s="7" t="s">
        <v>3213</v>
      </c>
      <c r="G679" s="8"/>
      <c r="H679" s="8"/>
      <c r="I679" s="14">
        <v>2</v>
      </c>
      <c r="J679" s="14">
        <v>3</v>
      </c>
      <c r="K679" s="6" t="str">
        <f t="shared" si="108"/>
        <v>Twitter Web App</v>
      </c>
      <c r="L679" s="15">
        <v>62</v>
      </c>
      <c r="M679" s="15">
        <v>0</v>
      </c>
      <c r="N679" s="15">
        <v>2</v>
      </c>
      <c r="O679" s="9"/>
      <c r="P679" s="10">
        <v>43654.688657407409</v>
      </c>
      <c r="Q679" s="8"/>
      <c r="R679" s="14" t="s">
        <v>2888</v>
      </c>
      <c r="S679" s="7" t="s">
        <v>2889</v>
      </c>
      <c r="T679" s="8"/>
      <c r="U679" s="11" t="str">
        <f>HYPERLINK("https://pbs.twimg.com/profile_images/1148242877207711745/ARtY8dZE.png","View")</f>
        <v>View</v>
      </c>
      <c r="V679" s="8"/>
      <c r="W679" s="8"/>
      <c r="X679" s="8"/>
      <c r="Y679" s="8"/>
      <c r="Z679" s="8"/>
    </row>
    <row r="680" spans="1:26" ht="13.2">
      <c r="A680" s="13">
        <v>44250.633750000001</v>
      </c>
      <c r="B680" s="6" t="str">
        <f>HYPERLINK("https://twitter.com/TheEcoPreneurs","@TheEcoPreneurs")</f>
        <v>@TheEcoPreneurs</v>
      </c>
      <c r="C680" s="14" t="s">
        <v>2973</v>
      </c>
      <c r="D680" s="14" t="s">
        <v>3214</v>
      </c>
      <c r="E680" s="6" t="str">
        <f>HYPERLINK("https://twitter.com/TheEcoPreneurs/status/1364216593387986950","1364216593387986950")</f>
        <v>1364216593387986950</v>
      </c>
      <c r="F680" s="7" t="s">
        <v>3215</v>
      </c>
      <c r="G680" s="7" t="s">
        <v>3216</v>
      </c>
      <c r="H680" s="8"/>
      <c r="I680" s="14">
        <v>7</v>
      </c>
      <c r="J680" s="14">
        <v>6</v>
      </c>
      <c r="K680" s="6" t="str">
        <f t="shared" si="108"/>
        <v>Twitter Web App</v>
      </c>
      <c r="L680" s="15">
        <v>109</v>
      </c>
      <c r="M680" s="15">
        <v>11</v>
      </c>
      <c r="N680" s="15">
        <v>1</v>
      </c>
      <c r="O680" s="9"/>
      <c r="P680" s="10">
        <v>41969.313090277778</v>
      </c>
      <c r="Q680" s="14" t="s">
        <v>2977</v>
      </c>
      <c r="R680" s="14" t="s">
        <v>2978</v>
      </c>
      <c r="S680" s="7" t="s">
        <v>2979</v>
      </c>
      <c r="T680" s="8"/>
      <c r="U680" s="11" t="str">
        <f>HYPERLINK("https://pbs.twimg.com/profile_images/574247870347415552/mdFe5izN.png","View")</f>
        <v>View</v>
      </c>
      <c r="V680" s="8"/>
      <c r="W680" s="8"/>
      <c r="X680" s="8"/>
      <c r="Y680" s="8"/>
      <c r="Z680" s="8"/>
    </row>
    <row r="681" spans="1:26" ht="13.2">
      <c r="A681" s="13">
        <v>44250.633703703701</v>
      </c>
      <c r="B681" s="6" t="str">
        <f>HYPERLINK("https://twitter.com/milocamj","@milocamj")</f>
        <v>@milocamj</v>
      </c>
      <c r="C681" s="14" t="s">
        <v>1805</v>
      </c>
      <c r="D681" s="14" t="s">
        <v>3217</v>
      </c>
      <c r="E681" s="6" t="str">
        <f>HYPERLINK("https://twitter.com/milocamj/status/1364216575373418496","1364216575373418496")</f>
        <v>1364216575373418496</v>
      </c>
      <c r="F681" s="7" t="s">
        <v>3218</v>
      </c>
      <c r="G681" s="8"/>
      <c r="H681" s="8"/>
      <c r="I681" s="14">
        <v>1</v>
      </c>
      <c r="J681" s="14">
        <v>2</v>
      </c>
      <c r="K681" s="6" t="str">
        <f>HYPERLINK("https://dlvrit.com/","dlvr.it")</f>
        <v>dlvr.it</v>
      </c>
      <c r="L681" s="15">
        <v>2595</v>
      </c>
      <c r="M681" s="15">
        <v>48</v>
      </c>
      <c r="N681" s="15">
        <v>1282</v>
      </c>
      <c r="O681" s="9"/>
      <c r="P681" s="10">
        <v>39904.699837962966</v>
      </c>
      <c r="Q681" s="14" t="s">
        <v>1809</v>
      </c>
      <c r="R681" s="14" t="s">
        <v>1810</v>
      </c>
      <c r="S681" s="7" t="s">
        <v>1811</v>
      </c>
      <c r="T681" s="8"/>
      <c r="U681" s="11" t="str">
        <f>HYPERLINK("https://pbs.twimg.com/profile_images/1108578778018709505/56I0aOhL.jpg","View")</f>
        <v>View</v>
      </c>
      <c r="V681" s="8"/>
      <c r="W681" s="8"/>
      <c r="X681" s="8"/>
      <c r="Y681" s="8"/>
      <c r="Z681" s="8"/>
    </row>
    <row r="682" spans="1:26" ht="13.2">
      <c r="A682" s="13">
        <v>44250.633657407408</v>
      </c>
      <c r="B682" s="6" t="str">
        <f>HYPERLINK("https://twitter.com/HarbRimah","@HarbRimah")</f>
        <v>@HarbRimah</v>
      </c>
      <c r="C682" s="14" t="s">
        <v>2837</v>
      </c>
      <c r="D682" s="14" t="s">
        <v>3219</v>
      </c>
      <c r="E682" s="6" t="str">
        <f>HYPERLINK("https://twitter.com/HarbRimah/status/1364216558092967941","1364216558092967941")</f>
        <v>1364216558092967941</v>
      </c>
      <c r="F682" s="7" t="s">
        <v>3220</v>
      </c>
      <c r="G682" s="8"/>
      <c r="H682" s="8"/>
      <c r="I682" s="14">
        <v>26</v>
      </c>
      <c r="J682" s="14">
        <v>15</v>
      </c>
      <c r="K682" s="6" t="str">
        <f t="shared" ref="K682:K683" si="109">HYPERLINK("https://mobile.twitter.com","Twitter Web App")</f>
        <v>Twitter Web App</v>
      </c>
      <c r="L682" s="15">
        <v>8983</v>
      </c>
      <c r="M682" s="15">
        <v>4886</v>
      </c>
      <c r="N682" s="15">
        <v>675</v>
      </c>
      <c r="O682" s="9"/>
      <c r="P682" s="10">
        <v>41198.440601851849</v>
      </c>
      <c r="Q682" s="8"/>
      <c r="R682" s="14" t="s">
        <v>2838</v>
      </c>
      <c r="S682" s="8"/>
      <c r="T682" s="8"/>
      <c r="U682" s="11" t="str">
        <f>HYPERLINK("https://pbs.twimg.com/profile_images/909317895355863040/ls7cAjxm.jpg","View")</f>
        <v>View</v>
      </c>
      <c r="V682" s="8"/>
      <c r="W682" s="8"/>
      <c r="X682" s="8"/>
      <c r="Y682" s="8"/>
      <c r="Z682" s="8"/>
    </row>
    <row r="683" spans="1:26" ht="13.2">
      <c r="A683" s="13">
        <v>44250.633414351847</v>
      </c>
      <c r="B683" s="6" t="str">
        <f>HYPERLINK("https://twitter.com/narrasoft","@narrasoft")</f>
        <v>@narrasoft</v>
      </c>
      <c r="C683" s="14" t="s">
        <v>3221</v>
      </c>
      <c r="D683" s="14" t="s">
        <v>3222</v>
      </c>
      <c r="E683" s="6" t="str">
        <f>HYPERLINK("https://twitter.com/narrasoft/status/1364216470889136130","1364216470889136130")</f>
        <v>1364216470889136130</v>
      </c>
      <c r="F683" s="7" t="s">
        <v>3223</v>
      </c>
      <c r="G683" s="7" t="s">
        <v>3224</v>
      </c>
      <c r="H683" s="8"/>
      <c r="I683" s="14">
        <v>8</v>
      </c>
      <c r="J683" s="14">
        <v>8</v>
      </c>
      <c r="K683" s="6" t="str">
        <f t="shared" si="109"/>
        <v>Twitter Web App</v>
      </c>
      <c r="L683" s="15">
        <v>754</v>
      </c>
      <c r="M683" s="15">
        <v>615</v>
      </c>
      <c r="N683" s="15">
        <v>14</v>
      </c>
      <c r="O683" s="9"/>
      <c r="P683" s="10">
        <v>40107.669409722221</v>
      </c>
      <c r="Q683" s="14" t="s">
        <v>3225</v>
      </c>
      <c r="R683" s="14" t="s">
        <v>3226</v>
      </c>
      <c r="S683" s="7" t="s">
        <v>3227</v>
      </c>
      <c r="T683" s="8"/>
      <c r="U683" s="11" t="str">
        <f>HYPERLINK("https://pbs.twimg.com/profile_images/1313855645905416192/6z2DTzp3.jpg","View")</f>
        <v>View</v>
      </c>
      <c r="V683" s="8"/>
      <c r="W683" s="8"/>
      <c r="X683" s="8"/>
      <c r="Y683" s="8"/>
      <c r="Z683" s="8"/>
    </row>
    <row r="684" spans="1:26" ht="13.2">
      <c r="A684" s="13">
        <v>44250.632662037038</v>
      </c>
      <c r="B684" s="6" t="str">
        <f>HYPERLINK("https://twitter.com/danieluriol","@danieluriol")</f>
        <v>@danieluriol</v>
      </c>
      <c r="C684" s="14" t="s">
        <v>517</v>
      </c>
      <c r="D684" s="14" t="s">
        <v>3228</v>
      </c>
      <c r="E684" s="6" t="str">
        <f>HYPERLINK("https://twitter.com/danieluriol/status/1364216197991059460","1364216197991059460")</f>
        <v>1364216197991059460</v>
      </c>
      <c r="F684" s="7" t="s">
        <v>3229</v>
      </c>
      <c r="G684" s="7" t="s">
        <v>3230</v>
      </c>
      <c r="H684" s="8"/>
      <c r="I684" s="14">
        <v>3</v>
      </c>
      <c r="J684" s="14">
        <v>1</v>
      </c>
      <c r="K684" s="6" t="str">
        <f>HYPERLINK("https://buffer.com","Buffer")</f>
        <v>Buffer</v>
      </c>
      <c r="L684" s="15">
        <v>3441</v>
      </c>
      <c r="M684" s="15">
        <v>455</v>
      </c>
      <c r="N684" s="15">
        <v>8</v>
      </c>
      <c r="O684" s="9"/>
      <c r="P684" s="10">
        <v>39707.014618055553</v>
      </c>
      <c r="Q684" s="8"/>
      <c r="R684" s="14" t="s">
        <v>521</v>
      </c>
      <c r="S684" s="7" t="s">
        <v>522</v>
      </c>
      <c r="T684" s="8"/>
      <c r="U684" s="11" t="str">
        <f>HYPERLINK("https://pbs.twimg.com/profile_images/1284935813604814848/mVDJVdEi.jpg","View")</f>
        <v>View</v>
      </c>
      <c r="V684" s="8"/>
      <c r="W684" s="8"/>
      <c r="X684" s="8"/>
      <c r="Y684" s="8"/>
      <c r="Z684" s="8"/>
    </row>
    <row r="685" spans="1:26" ht="13.2">
      <c r="A685" s="13">
        <v>44250.632476851853</v>
      </c>
      <c r="B685" s="6" t="str">
        <f>HYPERLINK("https://twitter.com/AlexanderNet","@AlexanderNet")</f>
        <v>@AlexanderNet</v>
      </c>
      <c r="C685" s="14" t="s">
        <v>3231</v>
      </c>
      <c r="D685" s="14" t="s">
        <v>3232</v>
      </c>
      <c r="E685" s="6" t="str">
        <f>HYPERLINK("https://twitter.com/AlexanderNet/status/1364216132295655424","1364216132295655424")</f>
        <v>1364216132295655424</v>
      </c>
      <c r="F685" s="7" t="s">
        <v>3233</v>
      </c>
      <c r="G685" s="8"/>
      <c r="H685" s="8"/>
      <c r="I685" s="14">
        <v>0</v>
      </c>
      <c r="J685" s="14">
        <v>0</v>
      </c>
      <c r="K685" s="6" t="str">
        <f>HYPERLINK("https://paper.li","Paper.li")</f>
        <v>Paper.li</v>
      </c>
      <c r="L685" s="15">
        <v>10567</v>
      </c>
      <c r="M685" s="15">
        <v>4338</v>
      </c>
      <c r="N685" s="15">
        <v>162</v>
      </c>
      <c r="O685" s="9"/>
      <c r="P685" s="10">
        <v>39818.857222222221</v>
      </c>
      <c r="Q685" s="14" t="s">
        <v>322</v>
      </c>
      <c r="R685" s="14" t="s">
        <v>3234</v>
      </c>
      <c r="S685" s="7" t="s">
        <v>3235</v>
      </c>
      <c r="T685" s="8"/>
      <c r="U685" s="11" t="str">
        <f>HYPERLINK("https://pbs.twimg.com/profile_images/485171095545196544/bZZkTjT0.png","View")</f>
        <v>View</v>
      </c>
      <c r="V685" s="8"/>
      <c r="W685" s="8"/>
      <c r="X685" s="8"/>
      <c r="Y685" s="8"/>
      <c r="Z685" s="8"/>
    </row>
    <row r="686" spans="1:26" ht="13.2">
      <c r="A686" s="13">
        <v>44250.632395833338</v>
      </c>
      <c r="B686" s="6" t="str">
        <f>HYPERLINK("https://twitter.com/flowrax_x","@flowrax_x")</f>
        <v>@flowrax_x</v>
      </c>
      <c r="C686" s="14" t="s">
        <v>250</v>
      </c>
      <c r="D686" s="14" t="s">
        <v>3236</v>
      </c>
      <c r="E686" s="6" t="str">
        <f>HYPERLINK("https://twitter.com/flowrax_x/status/1364216104793608197","1364216104793608197")</f>
        <v>1364216104793608197</v>
      </c>
      <c r="F686" s="8"/>
      <c r="G686" s="7" t="s">
        <v>3237</v>
      </c>
      <c r="H686" s="8"/>
      <c r="I686" s="14">
        <v>13</v>
      </c>
      <c r="J686" s="14">
        <v>5</v>
      </c>
      <c r="K686" s="6" t="str">
        <f>HYPERLINK("https://www.later.com","LaterMedia")</f>
        <v>LaterMedia</v>
      </c>
      <c r="L686" s="15">
        <v>18</v>
      </c>
      <c r="M686" s="15">
        <v>78</v>
      </c>
      <c r="N686" s="15">
        <v>0</v>
      </c>
      <c r="O686" s="9"/>
      <c r="P686" s="10">
        <v>44238.855486111112</v>
      </c>
      <c r="Q686" s="8"/>
      <c r="R686" s="14" t="s">
        <v>253</v>
      </c>
      <c r="S686" s="7" t="s">
        <v>254</v>
      </c>
      <c r="T686" s="8"/>
      <c r="U686" s="11" t="str">
        <f>HYPERLINK("https://pbs.twimg.com/profile_images/1359948560158978050/uGqG2sUw.jpg","View")</f>
        <v>View</v>
      </c>
      <c r="V686" s="8"/>
      <c r="W686" s="8"/>
      <c r="X686" s="8"/>
      <c r="Y686" s="8"/>
      <c r="Z686" s="8"/>
    </row>
    <row r="687" spans="1:26" ht="13.2">
      <c r="A687" s="13">
        <v>44250.632337962961</v>
      </c>
      <c r="B687" s="6" t="str">
        <f>HYPERLINK("https://twitter.com/guidaautonoma","@guidaautonoma")</f>
        <v>@guidaautonoma</v>
      </c>
      <c r="C687" s="14" t="s">
        <v>2203</v>
      </c>
      <c r="D687" s="14" t="s">
        <v>3238</v>
      </c>
      <c r="E687" s="6" t="str">
        <f>HYPERLINK("https://twitter.com/guidaautonoma/status/1364216082316333056","1364216082316333056")</f>
        <v>1364216082316333056</v>
      </c>
      <c r="F687" s="7" t="s">
        <v>3239</v>
      </c>
      <c r="G687" s="8"/>
      <c r="H687" s="8"/>
      <c r="I687" s="14">
        <v>1</v>
      </c>
      <c r="J687" s="14">
        <v>1</v>
      </c>
      <c r="K687" s="6" t="str">
        <f>HYPERLINK("http://twitter.com/download/android","Twitter for Android")</f>
        <v>Twitter for Android</v>
      </c>
      <c r="L687" s="15">
        <v>7074</v>
      </c>
      <c r="M687" s="15">
        <v>6991</v>
      </c>
      <c r="N687" s="15">
        <v>411</v>
      </c>
      <c r="O687" s="9"/>
      <c r="P687" s="10">
        <v>42496.270833333328</v>
      </c>
      <c r="Q687" s="14" t="s">
        <v>2207</v>
      </c>
      <c r="R687" s="14" t="s">
        <v>2208</v>
      </c>
      <c r="S687" s="7" t="s">
        <v>2209</v>
      </c>
      <c r="T687" s="8"/>
      <c r="U687" s="11" t="str">
        <f>HYPERLINK("https://pbs.twimg.com/profile_images/728675456971583488/AVbaFxlK.jpg","View")</f>
        <v>View</v>
      </c>
      <c r="V687" s="8"/>
      <c r="W687" s="8"/>
      <c r="X687" s="8"/>
      <c r="Y687" s="8"/>
      <c r="Z687" s="8"/>
    </row>
    <row r="688" spans="1:26" ht="13.2">
      <c r="A688" s="13">
        <v>44250.631944444445</v>
      </c>
      <c r="B688" s="6" t="str">
        <f>HYPERLINK("https://twitter.com/couponfree01","@couponfree01")</f>
        <v>@couponfree01</v>
      </c>
      <c r="C688" s="14" t="s">
        <v>3074</v>
      </c>
      <c r="D688" s="14" t="s">
        <v>3240</v>
      </c>
      <c r="E688" s="6" t="str">
        <f>HYPERLINK("https://twitter.com/couponfree01/status/1364215938258591744","1364215938258591744")</f>
        <v>1364215938258591744</v>
      </c>
      <c r="F688" s="7" t="s">
        <v>3241</v>
      </c>
      <c r="G688" s="8"/>
      <c r="H688" s="8"/>
      <c r="I688" s="14">
        <v>12</v>
      </c>
      <c r="J688" s="14">
        <v>3</v>
      </c>
      <c r="K688" s="6" t="str">
        <f>HYPERLINK("https://about.twitter.com/products/tweetdeck","TweetDeck")</f>
        <v>TweetDeck</v>
      </c>
      <c r="L688" s="15">
        <v>2207</v>
      </c>
      <c r="M688" s="15">
        <v>4235</v>
      </c>
      <c r="N688" s="15">
        <v>28</v>
      </c>
      <c r="O688" s="9"/>
      <c r="P688" s="10">
        <v>43164.382303240738</v>
      </c>
      <c r="Q688" s="14" t="s">
        <v>3077</v>
      </c>
      <c r="R688" s="14" t="s">
        <v>3078</v>
      </c>
      <c r="S688" s="8"/>
      <c r="T688" s="8"/>
      <c r="U688" s="11" t="str">
        <f>HYPERLINK("https://pbs.twimg.com/profile_images/970573416821547009/oDkr4BWt.jpg","View")</f>
        <v>View</v>
      </c>
      <c r="V688" s="8"/>
      <c r="W688" s="8"/>
      <c r="X688" s="8"/>
      <c r="Y688" s="8"/>
      <c r="Z688" s="8"/>
    </row>
    <row r="689" spans="1:26" ht="13.2">
      <c r="A689" s="13">
        <v>44250.631712962961</v>
      </c>
      <c r="B689" s="6" t="str">
        <f>HYPERLINK("https://twitter.com/HarbRimah","@HarbRimah")</f>
        <v>@HarbRimah</v>
      </c>
      <c r="C689" s="14" t="s">
        <v>2837</v>
      </c>
      <c r="D689" s="14" t="s">
        <v>3242</v>
      </c>
      <c r="E689" s="6" t="str">
        <f>HYPERLINK("https://twitter.com/HarbRimah/status/1364215856088178689","1364215856088178689")</f>
        <v>1364215856088178689</v>
      </c>
      <c r="F689" s="7" t="s">
        <v>543</v>
      </c>
      <c r="G689" s="8"/>
      <c r="H689" s="8"/>
      <c r="I689" s="14">
        <v>14</v>
      </c>
      <c r="J689" s="14">
        <v>3</v>
      </c>
      <c r="K689" s="6" t="str">
        <f>HYPERLINK("https://mobile.twitter.com","Twitter Web App")</f>
        <v>Twitter Web App</v>
      </c>
      <c r="L689" s="15">
        <v>8983</v>
      </c>
      <c r="M689" s="15">
        <v>4886</v>
      </c>
      <c r="N689" s="15">
        <v>675</v>
      </c>
      <c r="O689" s="9"/>
      <c r="P689" s="10">
        <v>41198.440601851849</v>
      </c>
      <c r="Q689" s="8"/>
      <c r="R689" s="14" t="s">
        <v>2838</v>
      </c>
      <c r="S689" s="8"/>
      <c r="T689" s="8"/>
      <c r="U689" s="11" t="str">
        <f>HYPERLINK("https://pbs.twimg.com/profile_images/909317895355863040/ls7cAjxm.jpg","View")</f>
        <v>View</v>
      </c>
      <c r="V689" s="8"/>
      <c r="W689" s="8"/>
      <c r="X689" s="8"/>
      <c r="Y689" s="8"/>
      <c r="Z689" s="8"/>
    </row>
    <row r="690" spans="1:26" ht="13.2">
      <c r="A690" s="13">
        <v>44250.631504629629</v>
      </c>
      <c r="B690" s="6" t="str">
        <f>HYPERLINK("https://twitter.com/MarkDHeiLong","@MarkDHeiLong")</f>
        <v>@MarkDHeiLong</v>
      </c>
      <c r="C690" s="14" t="s">
        <v>3243</v>
      </c>
      <c r="D690" s="14" t="s">
        <v>3244</v>
      </c>
      <c r="E690" s="6" t="str">
        <f>HYPERLINK("https://twitter.com/MarkDHeiLong/status/1364215780980776962","1364215780980776962")</f>
        <v>1364215780980776962</v>
      </c>
      <c r="F690" s="8"/>
      <c r="G690" s="7" t="s">
        <v>3245</v>
      </c>
      <c r="H690" s="8"/>
      <c r="I690" s="14">
        <v>3</v>
      </c>
      <c r="J690" s="14">
        <v>15</v>
      </c>
      <c r="K690" s="6" t="str">
        <f>HYPERLINK("http://twitter.com/download/iphone","Twitter for iPhone")</f>
        <v>Twitter for iPhone</v>
      </c>
      <c r="L690" s="15">
        <v>479</v>
      </c>
      <c r="M690" s="15">
        <v>3750</v>
      </c>
      <c r="N690" s="15">
        <v>6</v>
      </c>
      <c r="O690" s="9"/>
      <c r="P690" s="10">
        <v>42759.867523148147</v>
      </c>
      <c r="Q690" s="14" t="s">
        <v>3246</v>
      </c>
      <c r="R690" s="14" t="s">
        <v>3247</v>
      </c>
      <c r="S690" s="7" t="s">
        <v>3248</v>
      </c>
      <c r="T690" s="8"/>
      <c r="U690" s="11" t="str">
        <f>HYPERLINK("https://pbs.twimg.com/profile_images/1315669952687484929/3vTeTpt0.jpg","View")</f>
        <v>View</v>
      </c>
      <c r="V690" s="8"/>
      <c r="W690" s="8"/>
      <c r="X690" s="8"/>
      <c r="Y690" s="8"/>
      <c r="Z690" s="8"/>
    </row>
    <row r="691" spans="1:26" ht="13.2">
      <c r="A691" s="13">
        <v>44250.631342592591</v>
      </c>
      <c r="B691" s="6" t="str">
        <f>HYPERLINK("https://twitter.com/Treadstone71LLC","@Treadstone71LLC")</f>
        <v>@Treadstone71LLC</v>
      </c>
      <c r="C691" s="14" t="s">
        <v>3249</v>
      </c>
      <c r="D691" s="14" t="s">
        <v>3250</v>
      </c>
      <c r="E691" s="6" t="str">
        <f>HYPERLINK("https://twitter.com/Treadstone71LLC/status/1364215719735533570","1364215719735533570")</f>
        <v>1364215719735533570</v>
      </c>
      <c r="F691" s="7" t="s">
        <v>3251</v>
      </c>
      <c r="G691" s="8"/>
      <c r="H691" s="8"/>
      <c r="I691" s="14">
        <v>0</v>
      </c>
      <c r="J691" s="14">
        <v>0</v>
      </c>
      <c r="K691" s="6" t="str">
        <f>HYPERLINK("https://paper.li","Paper.li")</f>
        <v>Paper.li</v>
      </c>
      <c r="L691" s="15">
        <v>302717</v>
      </c>
      <c r="M691" s="15">
        <v>5629</v>
      </c>
      <c r="N691" s="15">
        <v>1111</v>
      </c>
      <c r="O691" s="9"/>
      <c r="P691" s="10">
        <v>39865.603807870371</v>
      </c>
      <c r="Q691" s="14" t="s">
        <v>3252</v>
      </c>
      <c r="R691" s="14" t="s">
        <v>3253</v>
      </c>
      <c r="S691" s="7" t="s">
        <v>3254</v>
      </c>
      <c r="T691" s="8"/>
      <c r="U691" s="11" t="str">
        <f>HYPERLINK("https://pbs.twimg.com/profile_images/1257042147649433601/e0gUgrlv.jpg","View")</f>
        <v>View</v>
      </c>
      <c r="V691" s="8"/>
      <c r="W691" s="8"/>
      <c r="X691" s="8"/>
      <c r="Y691" s="8"/>
      <c r="Z691" s="8"/>
    </row>
    <row r="692" spans="1:26" ht="13.2">
      <c r="A692" s="13">
        <v>44250.630856481483</v>
      </c>
      <c r="B692" s="6" t="str">
        <f>HYPERLINK("https://twitter.com/Edge__Tech","@Edge__Tech")</f>
        <v>@Edge__Tech</v>
      </c>
      <c r="C692" s="14" t="s">
        <v>3255</v>
      </c>
      <c r="D692" s="14" t="s">
        <v>3256</v>
      </c>
      <c r="E692" s="6" t="str">
        <f>HYPERLINK("https://twitter.com/Edge__Tech/status/1364215546498207748","1364215546498207748")</f>
        <v>1364215546498207748</v>
      </c>
      <c r="F692" s="7" t="s">
        <v>3257</v>
      </c>
      <c r="G692" s="7" t="s">
        <v>3258</v>
      </c>
      <c r="H692" s="8"/>
      <c r="I692" s="14">
        <v>2</v>
      </c>
      <c r="J692" s="14">
        <v>1</v>
      </c>
      <c r="K692" s="6" t="str">
        <f>HYPERLINK("http://www.mailchimp.com","Mailchimp")</f>
        <v>Mailchimp</v>
      </c>
      <c r="L692" s="15">
        <v>654</v>
      </c>
      <c r="M692" s="15">
        <v>2044</v>
      </c>
      <c r="N692" s="15">
        <v>11</v>
      </c>
      <c r="O692" s="9"/>
      <c r="P692" s="10">
        <v>43346.569756944446</v>
      </c>
      <c r="Q692" s="14" t="s">
        <v>3259</v>
      </c>
      <c r="R692" s="14" t="s">
        <v>3260</v>
      </c>
      <c r="S692" s="7" t="s">
        <v>3261</v>
      </c>
      <c r="T692" s="8"/>
      <c r="U692" s="11" t="str">
        <f>HYPERLINK("https://pbs.twimg.com/profile_images/1036581832928776192/qcEpZsUv.jpg","View")</f>
        <v>View</v>
      </c>
      <c r="V692" s="8"/>
      <c r="W692" s="8"/>
      <c r="X692" s="8"/>
      <c r="Y692" s="8"/>
      <c r="Z692" s="8"/>
    </row>
    <row r="693" spans="1:26" ht="13.2">
      <c r="A693" s="13">
        <v>44250.630775462967</v>
      </c>
      <c r="B693" s="6" t="str">
        <f>HYPERLINK("https://twitter.com/arXiv_Daily","@arXiv_Daily")</f>
        <v>@arXiv_Daily</v>
      </c>
      <c r="C693" s="14" t="s">
        <v>3262</v>
      </c>
      <c r="D693" s="14" t="s">
        <v>3263</v>
      </c>
      <c r="E693" s="6" t="str">
        <f>HYPERLINK("https://twitter.com/arXiv_Daily/status/1364215517058191370","1364215517058191370")</f>
        <v>1364215517058191370</v>
      </c>
      <c r="F693" s="7" t="s">
        <v>3264</v>
      </c>
      <c r="G693" s="8"/>
      <c r="H693" s="8"/>
      <c r="I693" s="14">
        <v>0</v>
      </c>
      <c r="J693" s="14">
        <v>2</v>
      </c>
      <c r="K693" s="6" t="str">
        <f>HYPERLINK("https://deepai.org/","ArXiv Daily")</f>
        <v>ArXiv Daily</v>
      </c>
      <c r="L693" s="15">
        <v>31503</v>
      </c>
      <c r="M693" s="15">
        <v>2032</v>
      </c>
      <c r="N693" s="15">
        <v>444</v>
      </c>
      <c r="O693" s="9"/>
      <c r="P693" s="10">
        <v>43095.185717592598</v>
      </c>
      <c r="Q693" s="14" t="s">
        <v>3265</v>
      </c>
      <c r="R693" s="14" t="s">
        <v>3266</v>
      </c>
      <c r="S693" s="7" t="s">
        <v>3267</v>
      </c>
      <c r="T693" s="8"/>
      <c r="U693" s="11" t="str">
        <f>HYPERLINK("https://pbs.twimg.com/profile_images/945497303036526593/s9LSNZ9p.jpg","View")</f>
        <v>View</v>
      </c>
      <c r="V693" s="8"/>
      <c r="W693" s="8"/>
      <c r="X693" s="8"/>
      <c r="Y693" s="8"/>
      <c r="Z693" s="8"/>
    </row>
    <row r="694" spans="1:26" ht="13.2">
      <c r="A694" s="13">
        <v>44250.630555555559</v>
      </c>
      <c r="B694" s="6" t="str">
        <f>HYPERLINK("https://twitter.com/StrathclydeOA","@StrathclydeOA")</f>
        <v>@StrathclydeOA</v>
      </c>
      <c r="C694" s="14" t="s">
        <v>3268</v>
      </c>
      <c r="D694" s="14" t="s">
        <v>3269</v>
      </c>
      <c r="E694" s="6" t="str">
        <f>HYPERLINK("https://twitter.com/StrathclydeOA/status/1364215435034468355","1364215435034468355")</f>
        <v>1364215435034468355</v>
      </c>
      <c r="F694" s="7" t="s">
        <v>3270</v>
      </c>
      <c r="G694" s="7" t="s">
        <v>3271</v>
      </c>
      <c r="H694" s="8"/>
      <c r="I694" s="14">
        <v>3</v>
      </c>
      <c r="J694" s="14">
        <v>2</v>
      </c>
      <c r="K694" s="6" t="str">
        <f>HYPERLINK("https://about.twitter.com/products/tweetdeck","TweetDeck")</f>
        <v>TweetDeck</v>
      </c>
      <c r="L694" s="15">
        <v>1706</v>
      </c>
      <c r="M694" s="15">
        <v>1462</v>
      </c>
      <c r="N694" s="15">
        <v>144</v>
      </c>
      <c r="O694" s="9"/>
      <c r="P694" s="10">
        <v>42187.557083333333</v>
      </c>
      <c r="Q694" s="14" t="s">
        <v>3272</v>
      </c>
      <c r="R694" s="14" t="s">
        <v>3273</v>
      </c>
      <c r="S694" s="7" t="s">
        <v>3274</v>
      </c>
      <c r="T694" s="8"/>
      <c r="U694" s="11" t="str">
        <f>HYPERLINK("https://pbs.twimg.com/profile_images/843865451650318336/LvZ-l1Rp.jpg","View")</f>
        <v>View</v>
      </c>
      <c r="V694" s="8"/>
      <c r="W694" s="8"/>
      <c r="X694" s="8"/>
      <c r="Y694" s="8"/>
      <c r="Z694" s="8"/>
    </row>
    <row r="695" spans="1:26" ht="13.2">
      <c r="A695" s="13">
        <v>44250.629733796297</v>
      </c>
      <c r="B695" s="6" t="str">
        <f>HYPERLINK("https://twitter.com/CambConsultants","@CambConsultants")</f>
        <v>@CambConsultants</v>
      </c>
      <c r="C695" s="14" t="s">
        <v>3275</v>
      </c>
      <c r="D695" s="14" t="s">
        <v>3276</v>
      </c>
      <c r="E695" s="6" t="str">
        <f>HYPERLINK("https://twitter.com/CambConsultants/status/1364215140300840971","1364215140300840971")</f>
        <v>1364215140300840971</v>
      </c>
      <c r="F695" s="7" t="s">
        <v>3277</v>
      </c>
      <c r="G695" s="8"/>
      <c r="H695" s="8"/>
      <c r="I695" s="14">
        <v>1</v>
      </c>
      <c r="J695" s="14">
        <v>1</v>
      </c>
      <c r="K695" s="6" t="str">
        <f>HYPERLINK("http://www.hubspot.com/","HubSpot")</f>
        <v>HubSpot</v>
      </c>
      <c r="L695" s="15">
        <v>4627</v>
      </c>
      <c r="M695" s="15">
        <v>759</v>
      </c>
      <c r="N695" s="15">
        <v>162</v>
      </c>
      <c r="O695" s="9"/>
      <c r="P695" s="10">
        <v>40098.716168981482</v>
      </c>
      <c r="Q695" s="14" t="s">
        <v>3278</v>
      </c>
      <c r="R695" s="14" t="s">
        <v>3279</v>
      </c>
      <c r="S695" s="7" t="s">
        <v>3280</v>
      </c>
      <c r="T695" s="8"/>
      <c r="U695" s="11" t="str">
        <f>HYPERLINK("https://pbs.twimg.com/profile_images/1278200695280340992/302DQWRJ.jpg","View")</f>
        <v>View</v>
      </c>
      <c r="V695" s="8"/>
      <c r="W695" s="8"/>
      <c r="X695" s="8"/>
      <c r="Y695" s="8"/>
      <c r="Z695" s="8"/>
    </row>
    <row r="696" spans="1:26" ht="13.2">
      <c r="A696" s="13">
        <v>44250.629618055551</v>
      </c>
      <c r="B696" s="6" t="str">
        <f>HYPERLINK("https://twitter.com/flyingeze","@flyingeze")</f>
        <v>@flyingeze</v>
      </c>
      <c r="C696" s="14" t="s">
        <v>3281</v>
      </c>
      <c r="D696" s="14" t="s">
        <v>3282</v>
      </c>
      <c r="E696" s="6" t="str">
        <f>HYPERLINK("https://twitter.com/flyingeze/status/1364215094561808387","1364215094561808387")</f>
        <v>1364215094561808387</v>
      </c>
      <c r="F696" s="7" t="s">
        <v>3283</v>
      </c>
      <c r="G696" s="8"/>
      <c r="H696" s="8"/>
      <c r="I696" s="14">
        <v>1</v>
      </c>
      <c r="J696" s="14">
        <v>1</v>
      </c>
      <c r="K696" s="6" t="str">
        <f>HYPERLINK("https://www.flyingeze.com/","Flying Eze")</f>
        <v>Flying Eze</v>
      </c>
      <c r="L696" s="15">
        <v>1433</v>
      </c>
      <c r="M696" s="15">
        <v>1634</v>
      </c>
      <c r="N696" s="15">
        <v>8</v>
      </c>
      <c r="O696" s="9"/>
      <c r="P696" s="10">
        <v>42072.599085648151</v>
      </c>
      <c r="Q696" s="8"/>
      <c r="R696" s="14" t="s">
        <v>3284</v>
      </c>
      <c r="S696" s="7" t="s">
        <v>3285</v>
      </c>
      <c r="T696" s="8"/>
      <c r="U696" s="11" t="str">
        <f>HYPERLINK("https://pbs.twimg.com/profile_images/1358232226899648515/b752yw6d.jpg","View")</f>
        <v>View</v>
      </c>
      <c r="V696" s="8"/>
      <c r="W696" s="8"/>
      <c r="X696" s="8"/>
      <c r="Y696" s="8"/>
      <c r="Z696" s="8"/>
    </row>
    <row r="697" spans="1:26" ht="13.2">
      <c r="A697" s="13">
        <v>44250.629293981481</v>
      </c>
      <c r="B697" s="6" t="str">
        <f>HYPERLINK("https://twitter.com/BarthsSt","@BarthsSt")</f>
        <v>@BarthsSt</v>
      </c>
      <c r="C697" s="14" t="s">
        <v>3286</v>
      </c>
      <c r="D697" s="14" t="s">
        <v>3287</v>
      </c>
      <c r="E697" s="6" t="str">
        <f>HYPERLINK("https://twitter.com/BarthsSt/status/1364214977666502658","1364214977666502658")</f>
        <v>1364214977666502658</v>
      </c>
      <c r="F697" s="8"/>
      <c r="G697" s="7" t="s">
        <v>3288</v>
      </c>
      <c r="H697" s="8"/>
      <c r="I697" s="14">
        <v>1</v>
      </c>
      <c r="J697" s="14">
        <v>1</v>
      </c>
      <c r="K697" s="6" t="str">
        <f>HYPERLINK("https://mobile.twitter.com","Twitter Web App")</f>
        <v>Twitter Web App</v>
      </c>
      <c r="L697" s="15">
        <v>1</v>
      </c>
      <c r="M697" s="15">
        <v>1</v>
      </c>
      <c r="N697" s="15">
        <v>0</v>
      </c>
      <c r="O697" s="9"/>
      <c r="P697" s="10">
        <v>43983.67050925926</v>
      </c>
      <c r="Q697" s="8"/>
      <c r="R697" s="14" t="s">
        <v>3289</v>
      </c>
      <c r="S697" s="8"/>
      <c r="T697" s="8"/>
      <c r="U697" s="11" t="str">
        <f>HYPERLINK("https://pbs.twimg.com/profile_images/1273641625709711362/yS8GgBL1.jpg","View")</f>
        <v>View</v>
      </c>
      <c r="V697" s="8"/>
      <c r="W697" s="8"/>
      <c r="X697" s="8"/>
      <c r="Y697" s="8"/>
      <c r="Z697" s="8"/>
    </row>
    <row r="698" spans="1:26" ht="13.2">
      <c r="A698" s="13">
        <v>44250.629166666666</v>
      </c>
      <c r="B698" s="6" t="str">
        <f>HYPERLINK("https://twitter.com/LearnEngineeri2","@LearnEngineeri2")</f>
        <v>@LearnEngineeri2</v>
      </c>
      <c r="C698" s="14" t="s">
        <v>3290</v>
      </c>
      <c r="D698" s="14" t="s">
        <v>3291</v>
      </c>
      <c r="E698" s="6" t="str">
        <f>HYPERLINK("https://twitter.com/LearnEngineeri2/status/1364214932091392002","1364214932091392002")</f>
        <v>1364214932091392002</v>
      </c>
      <c r="F698" s="14" t="s">
        <v>3292</v>
      </c>
      <c r="G698" s="7" t="s">
        <v>3293</v>
      </c>
      <c r="H698" s="8"/>
      <c r="I698" s="14">
        <v>6</v>
      </c>
      <c r="J698" s="14">
        <v>3</v>
      </c>
      <c r="K698" s="6" t="str">
        <f>HYPERLINK("https://www.semrush.com/","SEMrush Social Media Tool")</f>
        <v>SEMrush Social Media Tool</v>
      </c>
      <c r="L698" s="15">
        <v>0</v>
      </c>
      <c r="M698" s="15">
        <v>5</v>
      </c>
      <c r="N698" s="15">
        <v>0</v>
      </c>
      <c r="O698" s="9"/>
      <c r="P698" s="10">
        <v>44220.853738425925</v>
      </c>
      <c r="Q698" s="8"/>
      <c r="R698" s="14" t="s">
        <v>3294</v>
      </c>
      <c r="S698" s="8"/>
      <c r="T698" s="8"/>
      <c r="U698" s="11" t="str">
        <f>HYPERLINK("https://pbs.twimg.com/profile_images/1353424777806016514/UEUVkmzY.png","View")</f>
        <v>View</v>
      </c>
      <c r="V698" s="8"/>
      <c r="W698" s="8"/>
      <c r="X698" s="8"/>
      <c r="Y698" s="8"/>
      <c r="Z698" s="8"/>
    </row>
    <row r="699" spans="1:26" ht="13.2">
      <c r="A699" s="13">
        <v>44250.628518518519</v>
      </c>
      <c r="B699" s="6" t="str">
        <f>HYPERLINK("https://twitter.com/machines_data","@machines_data")</f>
        <v>@machines_data</v>
      </c>
      <c r="C699" s="14" t="s">
        <v>3295</v>
      </c>
      <c r="D699" s="14" t="s">
        <v>3296</v>
      </c>
      <c r="E699" s="6" t="str">
        <f>HYPERLINK("https://twitter.com/machines_data/status/1364214697948557313","1364214697948557313")</f>
        <v>1364214697948557313</v>
      </c>
      <c r="F699" s="7" t="s">
        <v>3297</v>
      </c>
      <c r="G699" s="7" t="s">
        <v>3298</v>
      </c>
      <c r="H699" s="8"/>
      <c r="I699" s="14">
        <v>1</v>
      </c>
      <c r="J699" s="14">
        <v>1</v>
      </c>
      <c r="K699" s="6" t="str">
        <f>HYPERLINK("https://buffer.com","Buffer")</f>
        <v>Buffer</v>
      </c>
      <c r="L699" s="15">
        <v>57</v>
      </c>
      <c r="M699" s="15">
        <v>132</v>
      </c>
      <c r="N699" s="15">
        <v>0</v>
      </c>
      <c r="O699" s="9"/>
      <c r="P699" s="10">
        <v>44083.50680555556</v>
      </c>
      <c r="Q699" s="8"/>
      <c r="R699" s="14" t="s">
        <v>3299</v>
      </c>
      <c r="S699" s="7" t="s">
        <v>3300</v>
      </c>
      <c r="T699" s="8"/>
      <c r="U699" s="11" t="str">
        <f>HYPERLINK("https://pbs.twimg.com/profile_images/1314553091618869249/U1eR1q5k.jpg","View")</f>
        <v>View</v>
      </c>
      <c r="V699" s="8"/>
      <c r="W699" s="8"/>
      <c r="X699" s="8"/>
      <c r="Y699" s="8"/>
      <c r="Z699" s="8"/>
    </row>
    <row r="700" spans="1:26" ht="13.2">
      <c r="A700" s="13">
        <v>44250.627546296295</v>
      </c>
      <c r="B700" s="6" t="str">
        <f>HYPERLINK("https://twitter.com/Smartlogic_com","@Smartlogic_com")</f>
        <v>@Smartlogic_com</v>
      </c>
      <c r="C700" s="7" t="s">
        <v>3301</v>
      </c>
      <c r="D700" s="14" t="s">
        <v>3302</v>
      </c>
      <c r="E700" s="6" t="str">
        <f>HYPERLINK("https://twitter.com/Smartlogic_com/status/1364214346843381761","1364214346843381761")</f>
        <v>1364214346843381761</v>
      </c>
      <c r="F700" s="14" t="s">
        <v>3303</v>
      </c>
      <c r="G700" s="7" t="s">
        <v>3304</v>
      </c>
      <c r="H700" s="8"/>
      <c r="I700" s="14">
        <v>3</v>
      </c>
      <c r="J700" s="14">
        <v>2</v>
      </c>
      <c r="K700" s="6" t="str">
        <f t="shared" ref="K700:K701" si="110">HYPERLINK("https://mobile.twitter.com","Twitter Web App")</f>
        <v>Twitter Web App</v>
      </c>
      <c r="L700" s="15">
        <v>3182</v>
      </c>
      <c r="M700" s="15">
        <v>1924</v>
      </c>
      <c r="N700" s="15">
        <v>67</v>
      </c>
      <c r="O700" s="9"/>
      <c r="P700" s="10">
        <v>40302.504699074074</v>
      </c>
      <c r="Q700" s="14" t="s">
        <v>3305</v>
      </c>
      <c r="R700" s="14" t="s">
        <v>3306</v>
      </c>
      <c r="S700" s="7" t="s">
        <v>3307</v>
      </c>
      <c r="T700" s="8"/>
      <c r="U700" s="11" t="str">
        <f>HYPERLINK("https://pbs.twimg.com/profile_images/860131151322767360/v9pF9jYi.jpg","View")</f>
        <v>View</v>
      </c>
      <c r="V700" s="8"/>
      <c r="W700" s="8"/>
      <c r="X700" s="8"/>
      <c r="Y700" s="8"/>
      <c r="Z700" s="8"/>
    </row>
    <row r="701" spans="1:26" ht="13.2">
      <c r="A701" s="13">
        <v>44250.627430555556</v>
      </c>
      <c r="B701" s="6" t="str">
        <f>HYPERLINK("https://twitter.com/nexsoftsys","@nexsoftsys")</f>
        <v>@nexsoftsys</v>
      </c>
      <c r="C701" s="14" t="s">
        <v>3308</v>
      </c>
      <c r="D701" s="14" t="s">
        <v>3309</v>
      </c>
      <c r="E701" s="6" t="str">
        <f>HYPERLINK("https://twitter.com/nexsoftsys/status/1364214301897019392","1364214301897019392")</f>
        <v>1364214301897019392</v>
      </c>
      <c r="F701" s="7" t="s">
        <v>3310</v>
      </c>
      <c r="G701" s="8"/>
      <c r="H701" s="8"/>
      <c r="I701" s="14">
        <v>2</v>
      </c>
      <c r="J701" s="14">
        <v>1</v>
      </c>
      <c r="K701" s="6" t="str">
        <f t="shared" si="110"/>
        <v>Twitter Web App</v>
      </c>
      <c r="L701" s="15">
        <v>618</v>
      </c>
      <c r="M701" s="15">
        <v>427</v>
      </c>
      <c r="N701" s="15">
        <v>0</v>
      </c>
      <c r="O701" s="9"/>
      <c r="P701" s="10">
        <v>42202.36237268518</v>
      </c>
      <c r="Q701" s="14" t="s">
        <v>914</v>
      </c>
      <c r="R701" s="14" t="s">
        <v>3311</v>
      </c>
      <c r="S701" s="7" t="s">
        <v>3312</v>
      </c>
      <c r="T701" s="8"/>
      <c r="U701" s="11" t="str">
        <f>HYPERLINK("https://pbs.twimg.com/profile_images/1029329923519983616/lX9bmiGZ.jpg","View")</f>
        <v>View</v>
      </c>
      <c r="V701" s="8"/>
      <c r="W701" s="8"/>
      <c r="X701" s="8"/>
      <c r="Y701" s="8"/>
      <c r="Z701" s="8"/>
    </row>
    <row r="702" spans="1:26" ht="13.2">
      <c r="A702" s="13">
        <v>44250.627372685187</v>
      </c>
      <c r="B702" s="6" t="str">
        <f>HYPERLINK("https://twitter.com/SureshRukman","@SureshRukman")</f>
        <v>@SureshRukman</v>
      </c>
      <c r="C702" s="14" t="s">
        <v>3313</v>
      </c>
      <c r="D702" s="14" t="s">
        <v>2458</v>
      </c>
      <c r="E702" s="6" t="str">
        <f>HYPERLINK("https://twitter.com/SureshRukman/status/1364214280619503616","1364214280619503616")</f>
        <v>1364214280619503616</v>
      </c>
      <c r="F702" s="14" t="s">
        <v>2459</v>
      </c>
      <c r="G702" s="8"/>
      <c r="H702" s="8"/>
      <c r="I702" s="14">
        <v>1</v>
      </c>
      <c r="J702" s="14">
        <v>1</v>
      </c>
      <c r="K702" s="6" t="str">
        <f>HYPERLINK("http://twinybots.com","TwinyBots")</f>
        <v>TwinyBots</v>
      </c>
      <c r="L702" s="15">
        <v>2176</v>
      </c>
      <c r="M702" s="15">
        <v>2281</v>
      </c>
      <c r="N702" s="15">
        <v>293</v>
      </c>
      <c r="O702" s="9"/>
      <c r="P702" s="10">
        <v>41359.54041666667</v>
      </c>
      <c r="Q702" s="14" t="s">
        <v>2551</v>
      </c>
      <c r="R702" s="14" t="s">
        <v>3314</v>
      </c>
      <c r="S702" s="7" t="s">
        <v>2553</v>
      </c>
      <c r="T702" s="8"/>
      <c r="U702" s="11" t="str">
        <f>HYPERLINK("https://pbs.twimg.com/profile_images/1038762339368087554/JICJ5viP.jpg","View")</f>
        <v>View</v>
      </c>
      <c r="V702" s="8"/>
      <c r="W702" s="8"/>
      <c r="X702" s="8"/>
      <c r="Y702" s="8"/>
      <c r="Z702" s="8"/>
    </row>
    <row r="703" spans="1:26" ht="13.2">
      <c r="A703" s="13">
        <v>44250.627222222218</v>
      </c>
      <c r="B703" s="6" t="str">
        <f>HYPERLINK("https://twitter.com/WhiteheartVic","@WhiteheartVic")</f>
        <v>@WhiteheartVic</v>
      </c>
      <c r="C703" s="14" t="s">
        <v>114</v>
      </c>
      <c r="D703" s="14" t="s">
        <v>3315</v>
      </c>
      <c r="E703" s="6" t="str">
        <f>HYPERLINK("https://twitter.com/WhiteheartVic/status/1364214226361978880","1364214226361978880")</f>
        <v>1364214226361978880</v>
      </c>
      <c r="F703" s="14" t="s">
        <v>3316</v>
      </c>
      <c r="G703" s="8"/>
      <c r="H703" s="8"/>
      <c r="I703" s="14">
        <v>3</v>
      </c>
      <c r="J703" s="14">
        <v>3</v>
      </c>
      <c r="K703" s="6" t="str">
        <f>HYPERLINK("https://mobile.twitter.com","Twitter Web App")</f>
        <v>Twitter Web App</v>
      </c>
      <c r="L703" s="15">
        <v>3146</v>
      </c>
      <c r="M703" s="15">
        <v>4964</v>
      </c>
      <c r="N703" s="15">
        <v>35</v>
      </c>
      <c r="O703" s="9"/>
      <c r="P703" s="10">
        <v>43986.105486111112</v>
      </c>
      <c r="Q703" s="14" t="s">
        <v>118</v>
      </c>
      <c r="R703" s="14" t="s">
        <v>119</v>
      </c>
      <c r="S703" s="8"/>
      <c r="T703" s="8"/>
      <c r="U703" s="11" t="str">
        <f>HYPERLINK("https://pbs.twimg.com/profile_images/1268347384511201283/CHCU-bga.jpg","View")</f>
        <v>View</v>
      </c>
      <c r="V703" s="8"/>
      <c r="W703" s="8"/>
      <c r="X703" s="8"/>
      <c r="Y703" s="8"/>
      <c r="Z703" s="8"/>
    </row>
    <row r="704" spans="1:26" ht="13.2">
      <c r="A704" s="13">
        <v>44250.627152777779</v>
      </c>
      <c r="B704" s="6" t="str">
        <f>HYPERLINK("https://twitter.com/lopezunwired","@lopezunwired")</f>
        <v>@lopezunwired</v>
      </c>
      <c r="C704" s="14" t="s">
        <v>224</v>
      </c>
      <c r="D704" s="14" t="s">
        <v>3317</v>
      </c>
      <c r="E704" s="6" t="str">
        <f>HYPERLINK("https://twitter.com/lopezunwired/status/1364214202190106624","1364214202190106624")</f>
        <v>1364214202190106624</v>
      </c>
      <c r="F704" s="7" t="s">
        <v>3318</v>
      </c>
      <c r="G704" s="7" t="s">
        <v>3319</v>
      </c>
      <c r="H704" s="8"/>
      <c r="I704" s="14">
        <v>3</v>
      </c>
      <c r="J704" s="14">
        <v>2</v>
      </c>
      <c r="K704" s="6" t="str">
        <f>HYPERLINK("https://dlvrit.com/","dlvr.it")</f>
        <v>dlvr.it</v>
      </c>
      <c r="L704" s="15">
        <v>1803</v>
      </c>
      <c r="M704" s="15">
        <v>800</v>
      </c>
      <c r="N704" s="15">
        <v>586</v>
      </c>
      <c r="O704" s="9"/>
      <c r="P704" s="10">
        <v>39831.947152777779</v>
      </c>
      <c r="Q704" s="14" t="s">
        <v>228</v>
      </c>
      <c r="R704" s="14" t="s">
        <v>229</v>
      </c>
      <c r="S704" s="7" t="s">
        <v>230</v>
      </c>
      <c r="T704" s="8"/>
      <c r="U704" s="11" t="str">
        <f>HYPERLINK("https://pbs.twimg.com/profile_images/3326137784/c6c1c2570fc7b9711dd8de812b996a66.jpeg","View")</f>
        <v>View</v>
      </c>
      <c r="V704" s="8"/>
      <c r="W704" s="8"/>
      <c r="X704" s="8"/>
      <c r="Y704" s="8"/>
      <c r="Z704" s="8"/>
    </row>
    <row r="705" spans="1:26" ht="13.2">
      <c r="A705" s="13">
        <v>44250.626793981486</v>
      </c>
      <c r="B705" s="6" t="str">
        <f>HYPERLINK("https://twitter.com/Psik_Network","@Psik_Network")</f>
        <v>@Psik_Network</v>
      </c>
      <c r="C705" s="14" t="s">
        <v>3320</v>
      </c>
      <c r="D705" s="14" t="s">
        <v>3321</v>
      </c>
      <c r="E705" s="6" t="str">
        <f>HYPERLINK("https://twitter.com/Psik_Network/status/1364214073974546434","1364214073974546434")</f>
        <v>1364214073974546434</v>
      </c>
      <c r="F705" s="7" t="s">
        <v>3322</v>
      </c>
      <c r="G705" s="7" t="s">
        <v>3323</v>
      </c>
      <c r="H705" s="8"/>
      <c r="I705" s="14">
        <v>2</v>
      </c>
      <c r="J705" s="14">
        <v>2</v>
      </c>
      <c r="K705" s="6" t="str">
        <f>HYPERLINK("https://mobile.twitter.com","Twitter Web App")</f>
        <v>Twitter Web App</v>
      </c>
      <c r="L705" s="15">
        <v>1715</v>
      </c>
      <c r="M705" s="15">
        <v>1565</v>
      </c>
      <c r="N705" s="15">
        <v>15</v>
      </c>
      <c r="O705" s="9"/>
      <c r="P705" s="10">
        <v>41473.466296296298</v>
      </c>
      <c r="Q705" s="14" t="s">
        <v>3324</v>
      </c>
      <c r="R705" s="14" t="s">
        <v>3325</v>
      </c>
      <c r="S705" s="7" t="s">
        <v>3326</v>
      </c>
      <c r="T705" s="8"/>
      <c r="U705" s="11" t="str">
        <f>HYPERLINK("https://pbs.twimg.com/profile_images/981195067347079170/CaycnmyF.jpg","View")</f>
        <v>View</v>
      </c>
      <c r="V705" s="8"/>
      <c r="W705" s="8"/>
      <c r="X705" s="8"/>
      <c r="Y705" s="8"/>
      <c r="Z705" s="8"/>
    </row>
    <row r="706" spans="1:26" ht="13.2">
      <c r="A706" s="13">
        <v>44250.626516203702</v>
      </c>
      <c r="B706" s="6" t="str">
        <f>HYPERLINK("https://twitter.com/lmacvittie","@lmacvittie")</f>
        <v>@lmacvittie</v>
      </c>
      <c r="C706" s="14" t="s">
        <v>3327</v>
      </c>
      <c r="D706" s="14" t="s">
        <v>3328</v>
      </c>
      <c r="E706" s="6" t="str">
        <f>HYPERLINK("https://twitter.com/lmacvittie/status/1364213972531089408","1364213972531089408")</f>
        <v>1364213972531089408</v>
      </c>
      <c r="F706" s="8"/>
      <c r="G706" s="8"/>
      <c r="H706" s="8"/>
      <c r="I706" s="14">
        <v>1</v>
      </c>
      <c r="J706" s="14">
        <v>5</v>
      </c>
      <c r="K706" s="6" t="str">
        <f>HYPERLINK("https://about.twitter.com/products/tweetdeck","TweetDeck")</f>
        <v>TweetDeck</v>
      </c>
      <c r="L706" s="15">
        <v>8426</v>
      </c>
      <c r="M706" s="15">
        <v>3549</v>
      </c>
      <c r="N706" s="15">
        <v>783</v>
      </c>
      <c r="O706" s="9"/>
      <c r="P706" s="10">
        <v>39321.9377662037</v>
      </c>
      <c r="Q706" s="8"/>
      <c r="R706" s="14" t="s">
        <v>3329</v>
      </c>
      <c r="S706" s="8"/>
      <c r="T706" s="8"/>
      <c r="U706" s="11" t="str">
        <f>HYPERLINK("https://pbs.twimg.com/profile_images/1314175921348399104/2z91Jlmi.jpg","View")</f>
        <v>View</v>
      </c>
      <c r="V706" s="8"/>
      <c r="W706" s="8"/>
      <c r="X706" s="8"/>
      <c r="Y706" s="8"/>
      <c r="Z706" s="8"/>
    </row>
    <row r="707" spans="1:26" ht="13.2">
      <c r="A707" s="13">
        <v>44250.626423611116</v>
      </c>
      <c r="B707" s="6" t="str">
        <f>HYPERLINK("https://twitter.com/Kaam_De","@Kaam_De")</f>
        <v>@Kaam_De</v>
      </c>
      <c r="C707" s="14" t="s">
        <v>3330</v>
      </c>
      <c r="D707" s="14" t="s">
        <v>3331</v>
      </c>
      <c r="E707" s="6" t="str">
        <f>HYPERLINK("https://twitter.com/Kaam_De/status/1364213937294688256","1364213937294688256")</f>
        <v>1364213937294688256</v>
      </c>
      <c r="F707" s="14" t="s">
        <v>3332</v>
      </c>
      <c r="G707" s="7" t="s">
        <v>3333</v>
      </c>
      <c r="H707" s="8"/>
      <c r="I707" s="14">
        <v>1</v>
      </c>
      <c r="J707" s="14">
        <v>1</v>
      </c>
      <c r="K707" s="6" t="str">
        <f>HYPERLINK("https://buffer.com","Buffer")</f>
        <v>Buffer</v>
      </c>
      <c r="L707" s="15">
        <v>298</v>
      </c>
      <c r="M707" s="15">
        <v>137</v>
      </c>
      <c r="N707" s="15">
        <v>1</v>
      </c>
      <c r="O707" s="9"/>
      <c r="P707" s="10">
        <v>41624.102361111109</v>
      </c>
      <c r="Q707" s="14" t="s">
        <v>364</v>
      </c>
      <c r="R707" s="14" t="s">
        <v>3334</v>
      </c>
      <c r="S707" s="7" t="s">
        <v>3335</v>
      </c>
      <c r="T707" s="8"/>
      <c r="U707" s="11" t="str">
        <f>HYPERLINK("https://pbs.twimg.com/profile_images/1276400300312559616/SXMt7V1k.jpg","View")</f>
        <v>View</v>
      </c>
      <c r="V707" s="8"/>
      <c r="W707" s="8"/>
      <c r="X707" s="8"/>
      <c r="Y707" s="8"/>
      <c r="Z707" s="8"/>
    </row>
    <row r="708" spans="1:26" ht="13.2">
      <c r="A708" s="13">
        <v>44250.626111111109</v>
      </c>
      <c r="B708" s="6" t="str">
        <f>HYPERLINK("https://twitter.com/NotRealAI","@NotRealAI")</f>
        <v>@NotRealAI</v>
      </c>
      <c r="C708" s="7" t="s">
        <v>3336</v>
      </c>
      <c r="D708" s="14" t="s">
        <v>3337</v>
      </c>
      <c r="E708" s="6" t="str">
        <f>HYPERLINK("https://twitter.com/NotRealAI/status/1364213825487126535","1364213825487126535")</f>
        <v>1364213825487126535</v>
      </c>
      <c r="F708" s="8"/>
      <c r="G708" s="7" t="s">
        <v>3338</v>
      </c>
      <c r="H708" s="8"/>
      <c r="I708" s="14">
        <v>0</v>
      </c>
      <c r="J708" s="14">
        <v>1</v>
      </c>
      <c r="K708" s="6" t="str">
        <f>HYPERLINK("https://www.later.com","LaterMedia")</f>
        <v>LaterMedia</v>
      </c>
      <c r="L708" s="15">
        <v>784</v>
      </c>
      <c r="M708" s="15">
        <v>3224</v>
      </c>
      <c r="N708" s="15">
        <v>4</v>
      </c>
      <c r="O708" s="9"/>
      <c r="P708" s="10">
        <v>44030.424942129626</v>
      </c>
      <c r="Q708" s="8"/>
      <c r="R708" s="14" t="s">
        <v>3339</v>
      </c>
      <c r="S708" s="7" t="s">
        <v>3340</v>
      </c>
      <c r="T708" s="8"/>
      <c r="U708" s="11" t="str">
        <f>HYPERLINK("https://pbs.twimg.com/profile_images/1364243567154143235/9Zb3NUjd.jpg","View")</f>
        <v>View</v>
      </c>
      <c r="V708" s="8"/>
      <c r="W708" s="8"/>
      <c r="X708" s="8"/>
      <c r="Y708" s="8"/>
      <c r="Z708" s="8"/>
    </row>
    <row r="709" spans="1:26" ht="13.2">
      <c r="A709" s="13">
        <v>44250.625833333332</v>
      </c>
      <c r="B709" s="6" t="str">
        <f>HYPERLINK("https://twitter.com/globaliqx","@globaliqx")</f>
        <v>@globaliqx</v>
      </c>
      <c r="C709" s="14" t="s">
        <v>305</v>
      </c>
      <c r="D709" s="14" t="s">
        <v>3341</v>
      </c>
      <c r="E709" s="6" t="str">
        <f>HYPERLINK("https://twitter.com/globaliqx/status/1364213725822136324","1364213725822136324")</f>
        <v>1364213725822136324</v>
      </c>
      <c r="F709" s="7" t="s">
        <v>3342</v>
      </c>
      <c r="G709" s="7" t="s">
        <v>3343</v>
      </c>
      <c r="H709" s="8"/>
      <c r="I709" s="14">
        <v>7</v>
      </c>
      <c r="J709" s="14">
        <v>7</v>
      </c>
      <c r="K709" s="6" t="str">
        <f t="shared" ref="K709:K711" si="111">HYPERLINK("https://buffer.com","Buffer")</f>
        <v>Buffer</v>
      </c>
      <c r="L709" s="15">
        <v>10339</v>
      </c>
      <c r="M709" s="15">
        <v>7808</v>
      </c>
      <c r="N709" s="15">
        <v>868</v>
      </c>
      <c r="O709" s="9"/>
      <c r="P709" s="10">
        <v>41565.721296296295</v>
      </c>
      <c r="Q709" s="14" t="s">
        <v>309</v>
      </c>
      <c r="R709" s="14" t="s">
        <v>310</v>
      </c>
      <c r="S709" s="7" t="s">
        <v>311</v>
      </c>
      <c r="T709" s="8"/>
      <c r="U709" s="11" t="str">
        <f>HYPERLINK("https://pbs.twimg.com/profile_images/695005663492247556/v0EQSRal.jpg","View")</f>
        <v>View</v>
      </c>
      <c r="V709" s="8"/>
      <c r="W709" s="8"/>
      <c r="X709" s="8"/>
      <c r="Y709" s="8"/>
      <c r="Z709" s="8"/>
    </row>
    <row r="710" spans="1:26" ht="13.2">
      <c r="A710" s="13">
        <v>44250.625798611116</v>
      </c>
      <c r="B710" s="6" t="str">
        <f>HYPERLINK("https://twitter.com/RichardEudes","@RichardEudes")</f>
        <v>@RichardEudes</v>
      </c>
      <c r="C710" s="14" t="s">
        <v>341</v>
      </c>
      <c r="D710" s="14" t="s">
        <v>3344</v>
      </c>
      <c r="E710" s="6" t="str">
        <f>HYPERLINK("https://twitter.com/RichardEudes/status/1364213710340947968","1364213710340947968")</f>
        <v>1364213710340947968</v>
      </c>
      <c r="F710" s="7" t="s">
        <v>3345</v>
      </c>
      <c r="G710" s="8"/>
      <c r="H710" s="8"/>
      <c r="I710" s="14">
        <v>1</v>
      </c>
      <c r="J710" s="14">
        <v>1</v>
      </c>
      <c r="K710" s="6" t="str">
        <f t="shared" si="111"/>
        <v>Buffer</v>
      </c>
      <c r="L710" s="15">
        <v>16960</v>
      </c>
      <c r="M710" s="15">
        <v>1979</v>
      </c>
      <c r="N710" s="15">
        <v>668</v>
      </c>
      <c r="O710" s="9"/>
      <c r="P710" s="10">
        <v>39985.961481481485</v>
      </c>
      <c r="Q710" s="14" t="s">
        <v>106</v>
      </c>
      <c r="R710" s="14" t="s">
        <v>344</v>
      </c>
      <c r="S710" s="7" t="s">
        <v>345</v>
      </c>
      <c r="T710" s="8"/>
      <c r="U710" s="11" t="str">
        <f>HYPERLINK("https://pbs.twimg.com/profile_images/1332753391886491648/I9fBm3kf.jpg","View")</f>
        <v>View</v>
      </c>
      <c r="V710" s="8"/>
      <c r="W710" s="8"/>
      <c r="X710" s="8"/>
      <c r="Y710" s="8"/>
      <c r="Z710" s="8"/>
    </row>
    <row r="711" spans="1:26" ht="13.2">
      <c r="A711" s="13">
        <v>44250.625648148147</v>
      </c>
      <c r="B711" s="6" t="str">
        <f>HYPERLINK("https://twitter.com/ProgrammerWkly","@ProgrammerWkly")</f>
        <v>@ProgrammerWkly</v>
      </c>
      <c r="C711" s="14" t="s">
        <v>1123</v>
      </c>
      <c r="D711" s="14" t="s">
        <v>3346</v>
      </c>
      <c r="E711" s="6" t="str">
        <f>HYPERLINK("https://twitter.com/ProgrammerWkly/status/1364213657442406407","1364213657442406407")</f>
        <v>1364213657442406407</v>
      </c>
      <c r="F711" s="7" t="s">
        <v>3347</v>
      </c>
      <c r="G711" s="7" t="s">
        <v>3348</v>
      </c>
      <c r="H711" s="8"/>
      <c r="I711" s="14">
        <v>2</v>
      </c>
      <c r="J711" s="14">
        <v>1</v>
      </c>
      <c r="K711" s="6" t="str">
        <f t="shared" si="111"/>
        <v>Buffer</v>
      </c>
      <c r="L711" s="15">
        <v>2824</v>
      </c>
      <c r="M711" s="15">
        <v>0</v>
      </c>
      <c r="N711" s="15">
        <v>223</v>
      </c>
      <c r="O711" s="9"/>
      <c r="P711" s="10">
        <v>40501.003148148149</v>
      </c>
      <c r="Q711" s="8"/>
      <c r="R711" s="14" t="s">
        <v>1126</v>
      </c>
      <c r="S711" s="7" t="s">
        <v>1127</v>
      </c>
      <c r="T711" s="8"/>
      <c r="U711" s="11" t="str">
        <f>HYPERLINK("https://pbs.twimg.com/profile_images/1253166237955342336/gol4c3MZ.jpg","View")</f>
        <v>View</v>
      </c>
      <c r="V711" s="8"/>
      <c r="W711" s="8"/>
      <c r="X711" s="8"/>
      <c r="Y711" s="8"/>
      <c r="Z711" s="8"/>
    </row>
    <row r="712" spans="1:26" ht="13.2">
      <c r="A712" s="13">
        <v>44250.625474537039</v>
      </c>
      <c r="B712" s="6" t="str">
        <f>HYPERLINK("https://twitter.com/efipm","@efipm")</f>
        <v>@efipm</v>
      </c>
      <c r="C712" s="14" t="s">
        <v>3349</v>
      </c>
      <c r="D712" s="14" t="s">
        <v>3350</v>
      </c>
      <c r="E712" s="6" t="str">
        <f>HYPERLINK("https://twitter.com/efipm/status/1364213593810624516","1364213593810624516")</f>
        <v>1364213593810624516</v>
      </c>
      <c r="F712" s="7" t="s">
        <v>3351</v>
      </c>
      <c r="G712" s="8"/>
      <c r="H712" s="8"/>
      <c r="I712" s="14">
        <v>2</v>
      </c>
      <c r="J712" s="14">
        <v>3</v>
      </c>
      <c r="K712" s="6" t="str">
        <f>HYPERLINK("https://www.hootsuite.com","Hootsuite Inc.")</f>
        <v>Hootsuite Inc.</v>
      </c>
      <c r="L712" s="15">
        <v>12334</v>
      </c>
      <c r="M712" s="15">
        <v>6500</v>
      </c>
      <c r="N712" s="15">
        <v>653</v>
      </c>
      <c r="O712" s="9"/>
      <c r="P712" s="10">
        <v>40235.705381944441</v>
      </c>
      <c r="Q712" s="14" t="s">
        <v>2424</v>
      </c>
      <c r="R712" s="14" t="s">
        <v>3352</v>
      </c>
      <c r="S712" s="7" t="s">
        <v>3353</v>
      </c>
      <c r="T712" s="8"/>
      <c r="U712" s="11" t="str">
        <f>HYPERLINK("https://pbs.twimg.com/profile_images/1195282385652396033/axe-vhwN.png","View")</f>
        <v>View</v>
      </c>
      <c r="V712" s="8"/>
      <c r="W712" s="8"/>
      <c r="X712" s="8"/>
      <c r="Y712" s="8"/>
      <c r="Z712" s="8"/>
    </row>
    <row r="713" spans="1:26" ht="13.2">
      <c r="A713" s="13">
        <v>44250.625347222223</v>
      </c>
      <c r="B713" s="6" t="str">
        <f>HYPERLINK("https://twitter.com/Deep_In_Depth","@Deep_In_Depth")</f>
        <v>@Deep_In_Depth</v>
      </c>
      <c r="C713" s="14" t="s">
        <v>312</v>
      </c>
      <c r="D713" s="14" t="s">
        <v>3354</v>
      </c>
      <c r="E713" s="6" t="str">
        <f>HYPERLINK("https://twitter.com/Deep_In_Depth/status/1364213548201750530","1364213548201750530")</f>
        <v>1364213548201750530</v>
      </c>
      <c r="F713" s="7" t="s">
        <v>3355</v>
      </c>
      <c r="G713" s="8"/>
      <c r="H713" s="8"/>
      <c r="I713" s="14">
        <v>1</v>
      </c>
      <c r="J713" s="14">
        <v>2</v>
      </c>
      <c r="K713" s="6" t="str">
        <f>HYPERLINK("https://buffer.com","Buffer")</f>
        <v>Buffer</v>
      </c>
      <c r="L713" s="15">
        <v>10954</v>
      </c>
      <c r="M713" s="15">
        <v>9176</v>
      </c>
      <c r="N713" s="15">
        <v>159</v>
      </c>
      <c r="O713" s="9"/>
      <c r="P713" s="10">
        <v>42864.439525462964</v>
      </c>
      <c r="Q713" s="14" t="s">
        <v>315</v>
      </c>
      <c r="R713" s="14" t="s">
        <v>316</v>
      </c>
      <c r="S713" s="7" t="s">
        <v>317</v>
      </c>
      <c r="T713" s="8"/>
      <c r="U713" s="11" t="str">
        <f>HYPERLINK("https://pbs.twimg.com/profile_images/861866967493431296/PIjaSD4g.jpg","View")</f>
        <v>View</v>
      </c>
      <c r="V713" s="8"/>
      <c r="W713" s="8"/>
      <c r="X713" s="8"/>
      <c r="Y713" s="8"/>
      <c r="Z713" s="8"/>
    </row>
    <row r="714" spans="1:26" ht="13.2">
      <c r="A714" s="13">
        <v>44250.6252662037</v>
      </c>
      <c r="B714" s="6" t="str">
        <f>HYPERLINK("https://twitter.com/Diyotta","@Diyotta")</f>
        <v>@Diyotta</v>
      </c>
      <c r="C714" s="14" t="s">
        <v>3356</v>
      </c>
      <c r="D714" s="14" t="s">
        <v>3357</v>
      </c>
      <c r="E714" s="6" t="str">
        <f>HYPERLINK("https://twitter.com/Diyotta/status/1364213517402791936","1364213517402791936")</f>
        <v>1364213517402791936</v>
      </c>
      <c r="F714" s="7" t="s">
        <v>3358</v>
      </c>
      <c r="G714" s="7" t="s">
        <v>3359</v>
      </c>
      <c r="H714" s="8"/>
      <c r="I714" s="14">
        <v>2</v>
      </c>
      <c r="J714" s="14">
        <v>1</v>
      </c>
      <c r="K714" s="6" t="str">
        <f>HYPERLINK("https://social.zoho.com","Zoho Social")</f>
        <v>Zoho Social</v>
      </c>
      <c r="L714" s="15">
        <v>1006</v>
      </c>
      <c r="M714" s="15">
        <v>4747</v>
      </c>
      <c r="N714" s="15">
        <v>74</v>
      </c>
      <c r="O714" s="9"/>
      <c r="P714" s="10">
        <v>41136.208333333336</v>
      </c>
      <c r="Q714" s="14" t="s">
        <v>138</v>
      </c>
      <c r="R714" s="14" t="s">
        <v>3360</v>
      </c>
      <c r="S714" s="7" t="s">
        <v>3361</v>
      </c>
      <c r="T714" s="8"/>
      <c r="U714" s="11" t="str">
        <f>HYPERLINK("https://pbs.twimg.com/profile_images/1308042740811390980/BjL_Kmrj.jpg","View")</f>
        <v>View</v>
      </c>
      <c r="V714" s="8"/>
      <c r="W714" s="8"/>
      <c r="X714" s="8"/>
      <c r="Y714" s="8"/>
      <c r="Z714" s="8"/>
    </row>
    <row r="715" spans="1:26" ht="13.2">
      <c r="A715" s="13">
        <v>44250.625138888892</v>
      </c>
      <c r="B715" s="6" t="str">
        <f>HYPERLINK("https://twitter.com/Geiselsoftware","@Geiselsoftware")</f>
        <v>@Geiselsoftware</v>
      </c>
      <c r="C715" s="14" t="s">
        <v>3362</v>
      </c>
      <c r="D715" s="14" t="s">
        <v>3363</v>
      </c>
      <c r="E715" s="6" t="str">
        <f>HYPERLINK("https://twitter.com/Geiselsoftware/status/1364213471898984462","1364213471898984462")</f>
        <v>1364213471898984462</v>
      </c>
      <c r="F715" s="7" t="s">
        <v>3364</v>
      </c>
      <c r="G715" s="7" t="s">
        <v>3365</v>
      </c>
      <c r="H715" s="8"/>
      <c r="I715" s="14">
        <v>1</v>
      </c>
      <c r="J715" s="14">
        <v>2</v>
      </c>
      <c r="K715" s="6" t="str">
        <f>HYPERLINK("https://buffer.com","Buffer")</f>
        <v>Buffer</v>
      </c>
      <c r="L715" s="15">
        <v>665</v>
      </c>
      <c r="M715" s="15">
        <v>1233</v>
      </c>
      <c r="N715" s="15">
        <v>18</v>
      </c>
      <c r="O715" s="9"/>
      <c r="P715" s="10">
        <v>41358.972581018519</v>
      </c>
      <c r="Q715" s="14" t="s">
        <v>3366</v>
      </c>
      <c r="R715" s="14" t="s">
        <v>3367</v>
      </c>
      <c r="S715" s="7" t="s">
        <v>3368</v>
      </c>
      <c r="T715" s="8"/>
      <c r="U715" s="11" t="str">
        <f>HYPERLINK("https://pbs.twimg.com/profile_images/980804796968992768/6XhT7C3Z.jpg","View")</f>
        <v>View</v>
      </c>
      <c r="V715" s="8"/>
      <c r="W715" s="8"/>
      <c r="X715" s="8"/>
      <c r="Y715" s="8"/>
      <c r="Z715" s="8"/>
    </row>
    <row r="716" spans="1:26" ht="13.2">
      <c r="A716" s="13">
        <v>44250.625104166669</v>
      </c>
      <c r="B716" s="6" t="str">
        <f>HYPERLINK("https://twitter.com/StephanieHeit","@StephanieHeit")</f>
        <v>@StephanieHeit</v>
      </c>
      <c r="C716" s="14" t="s">
        <v>2717</v>
      </c>
      <c r="D716" s="14" t="s">
        <v>3369</v>
      </c>
      <c r="E716" s="6" t="str">
        <f>HYPERLINK("https://twitter.com/StephanieHeit/status/1364213461002035200","1364213461002035200")</f>
        <v>1364213461002035200</v>
      </c>
      <c r="F716" s="14" t="s">
        <v>3370</v>
      </c>
      <c r="G716" s="7" t="s">
        <v>736</v>
      </c>
      <c r="H716" s="8"/>
      <c r="I716" s="14">
        <v>23</v>
      </c>
      <c r="J716" s="14">
        <v>10</v>
      </c>
      <c r="K716" s="6" t="str">
        <f>HYPERLINK("https://socxopte.com/","SocxoPte")</f>
        <v>SocxoPte</v>
      </c>
      <c r="L716" s="15">
        <v>700</v>
      </c>
      <c r="M716" s="15">
        <v>935</v>
      </c>
      <c r="N716" s="15">
        <v>20</v>
      </c>
      <c r="O716" s="9"/>
      <c r="P716" s="10">
        <v>41009.426562499997</v>
      </c>
      <c r="Q716" s="14" t="s">
        <v>2721</v>
      </c>
      <c r="R716" s="14" t="s">
        <v>2722</v>
      </c>
      <c r="S716" s="7" t="s">
        <v>2723</v>
      </c>
      <c r="T716" s="8"/>
      <c r="U716" s="11" t="str">
        <f>HYPERLINK("https://pbs.twimg.com/profile_images/1339304118003838977/I4OKP_qh.jpg","View")</f>
        <v>View</v>
      </c>
      <c r="V716" s="8"/>
      <c r="W716" s="8"/>
      <c r="X716" s="8"/>
      <c r="Y716" s="8"/>
      <c r="Z716" s="8"/>
    </row>
    <row r="717" spans="1:26" ht="13.2">
      <c r="A717" s="13">
        <v>44250.625081018516</v>
      </c>
      <c r="B717" s="6" t="str">
        <f>HYPERLINK("https://twitter.com/ipfconline1","@ipfconline1")</f>
        <v>@ipfconline1</v>
      </c>
      <c r="C717" s="14" t="s">
        <v>65</v>
      </c>
      <c r="D717" s="14" t="s">
        <v>3371</v>
      </c>
      <c r="E717" s="6" t="str">
        <f>HYPERLINK("https://twitter.com/ipfconline1/status/1364213453574074371","1364213453574074371")</f>
        <v>1364213453574074371</v>
      </c>
      <c r="F717" s="7" t="s">
        <v>3372</v>
      </c>
      <c r="G717" s="7" t="s">
        <v>3373</v>
      </c>
      <c r="H717" s="8"/>
      <c r="I717" s="14">
        <v>15</v>
      </c>
      <c r="J717" s="14">
        <v>15</v>
      </c>
      <c r="K717" s="6" t="str">
        <f>HYPERLINK("https://twittimer.com","Twittimer")</f>
        <v>Twittimer</v>
      </c>
      <c r="L717" s="15">
        <v>112675</v>
      </c>
      <c r="M717" s="15">
        <v>107162</v>
      </c>
      <c r="N717" s="15">
        <v>7806</v>
      </c>
      <c r="O717" s="9"/>
      <c r="P717" s="10">
        <v>42433.031967592593</v>
      </c>
      <c r="Q717" s="14" t="s">
        <v>69</v>
      </c>
      <c r="R717" s="14" t="s">
        <v>70</v>
      </c>
      <c r="S717" s="7" t="s">
        <v>71</v>
      </c>
      <c r="T717" s="8"/>
      <c r="U717" s="11" t="str">
        <f>HYPERLINK("https://pbs.twimg.com/profile_images/729065804004769793/St2_Pum9.jpg","View")</f>
        <v>View</v>
      </c>
      <c r="V717" s="8"/>
      <c r="W717" s="8"/>
      <c r="X717" s="8"/>
      <c r="Y717" s="8"/>
      <c r="Z717" s="8"/>
    </row>
    <row r="718" spans="1:26" ht="13.2">
      <c r="A718" s="13">
        <v>44250.625069444446</v>
      </c>
      <c r="B718" s="6" t="str">
        <f>HYPERLINK("https://twitter.com/aitwos","@aitwos")</f>
        <v>@aitwos</v>
      </c>
      <c r="C718" s="14" t="s">
        <v>3374</v>
      </c>
      <c r="D718" s="14" t="s">
        <v>3375</v>
      </c>
      <c r="E718" s="6" t="str">
        <f>HYPERLINK("https://twitter.com/aitwos/status/1364213448587038720","1364213448587038720")</f>
        <v>1364213448587038720</v>
      </c>
      <c r="F718" s="8"/>
      <c r="G718" s="7" t="s">
        <v>3376</v>
      </c>
      <c r="H718" s="8"/>
      <c r="I718" s="14">
        <v>1</v>
      </c>
      <c r="J718" s="14">
        <v>5</v>
      </c>
      <c r="K718" s="6" t="str">
        <f>HYPERLINK("https://mobile.twitter.com","Twitter Web App")</f>
        <v>Twitter Web App</v>
      </c>
      <c r="L718" s="15">
        <v>62</v>
      </c>
      <c r="M718" s="15">
        <v>34</v>
      </c>
      <c r="N718" s="15">
        <v>0</v>
      </c>
      <c r="O718" s="9"/>
      <c r="P718" s="10">
        <v>43896.621203703704</v>
      </c>
      <c r="Q718" s="8"/>
      <c r="R718" s="14" t="s">
        <v>3377</v>
      </c>
      <c r="S718" s="7" t="s">
        <v>3378</v>
      </c>
      <c r="T718" s="8"/>
      <c r="U718" s="11" t="str">
        <f>HYPERLINK("https://pbs.twimg.com/profile_images/1235926843200593920/rBIANcvb.jpg","View")</f>
        <v>View</v>
      </c>
      <c r="V718" s="8"/>
      <c r="W718" s="8"/>
      <c r="X718" s="8"/>
      <c r="Y718" s="8"/>
      <c r="Z718" s="8"/>
    </row>
    <row r="719" spans="1:26" ht="13.2">
      <c r="A719" s="13">
        <v>44250.62501157407</v>
      </c>
      <c r="B719" s="6" t="str">
        <f>HYPERLINK("https://twitter.com/ManningBooks","@ManningBooks")</f>
        <v>@ManningBooks</v>
      </c>
      <c r="C719" s="14" t="s">
        <v>3379</v>
      </c>
      <c r="D719" s="14" t="s">
        <v>3380</v>
      </c>
      <c r="E719" s="6" t="str">
        <f>HYPERLINK("https://twitter.com/ManningBooks/status/1364213427976036355","1364213427976036355")</f>
        <v>1364213427976036355</v>
      </c>
      <c r="F719" s="14" t="s">
        <v>3381</v>
      </c>
      <c r="G719" s="7" t="s">
        <v>3382</v>
      </c>
      <c r="H719" s="8"/>
      <c r="I719" s="14">
        <v>4</v>
      </c>
      <c r="J719" s="14">
        <v>3</v>
      </c>
      <c r="K719" s="6" t="str">
        <f>HYPERLINK("https://about.twitter.com/products/tweetdeck","TweetDeck")</f>
        <v>TweetDeck</v>
      </c>
      <c r="L719" s="15">
        <v>24634</v>
      </c>
      <c r="M719" s="15">
        <v>1409</v>
      </c>
      <c r="N719" s="15">
        <v>1641</v>
      </c>
      <c r="O719" s="9"/>
      <c r="P719" s="10">
        <v>39889.759317129632</v>
      </c>
      <c r="Q719" s="14" t="s">
        <v>3383</v>
      </c>
      <c r="R719" s="14" t="s">
        <v>3384</v>
      </c>
      <c r="S719" s="7" t="s">
        <v>3385</v>
      </c>
      <c r="T719" s="8"/>
      <c r="U719" s="11" t="str">
        <f>HYPERLINK("https://pbs.twimg.com/profile_images/1256298824773050370/j6NVJrcf.jpg","View")</f>
        <v>View</v>
      </c>
      <c r="V719" s="8"/>
      <c r="W719" s="8"/>
      <c r="X719" s="8"/>
      <c r="Y719" s="8"/>
      <c r="Z719" s="8"/>
    </row>
    <row r="720" spans="1:26" ht="13.2">
      <c r="A720" s="13">
        <v>44250.62501157407</v>
      </c>
      <c r="B720" s="6" t="str">
        <f>HYPERLINK("https://twitter.com/therealjpittman","@therealjpittman")</f>
        <v>@therealjpittman</v>
      </c>
      <c r="C720" s="14" t="s">
        <v>3386</v>
      </c>
      <c r="D720" s="14" t="s">
        <v>3387</v>
      </c>
      <c r="E720" s="6" t="str">
        <f>HYPERLINK("https://twitter.com/therealjpittman/status/1364213427670024199","1364213427670024199")</f>
        <v>1364213427670024199</v>
      </c>
      <c r="F720" s="7" t="s">
        <v>3388</v>
      </c>
      <c r="G720" s="8"/>
      <c r="H720" s="8"/>
      <c r="I720" s="14">
        <v>1</v>
      </c>
      <c r="J720" s="14">
        <v>1</v>
      </c>
      <c r="K720" s="6" t="str">
        <f>HYPERLINK("https://github.com/jasonmpittman/retweet-bot-ng","retweet-bot-ng")</f>
        <v>retweet-bot-ng</v>
      </c>
      <c r="L720" s="15">
        <v>776</v>
      </c>
      <c r="M720" s="15">
        <v>749</v>
      </c>
      <c r="N720" s="15">
        <v>106</v>
      </c>
      <c r="O720" s="9"/>
      <c r="P720" s="10">
        <v>41837.757106481484</v>
      </c>
      <c r="Q720" s="14" t="s">
        <v>3389</v>
      </c>
      <c r="R720" s="14" t="s">
        <v>3390</v>
      </c>
      <c r="S720" s="7" t="s">
        <v>3391</v>
      </c>
      <c r="T720" s="8"/>
      <c r="U720" s="11" t="str">
        <f>HYPERLINK("https://pbs.twimg.com/profile_images/1175408228978626561/xVOYMpZ3.jpg","View")</f>
        <v>View</v>
      </c>
      <c r="V720" s="8"/>
      <c r="W720" s="8"/>
      <c r="X720" s="8"/>
      <c r="Y720" s="8"/>
      <c r="Z720" s="8"/>
    </row>
    <row r="721" spans="1:26" ht="13.2">
      <c r="A721" s="13">
        <v>44250.62501157407</v>
      </c>
      <c r="B721" s="6" t="str">
        <f>HYPERLINK("https://twitter.com/SSuccess_data","@SSuccess_data")</f>
        <v>@SSuccess_data</v>
      </c>
      <c r="C721" s="14" t="s">
        <v>1797</v>
      </c>
      <c r="D721" s="14" t="s">
        <v>3392</v>
      </c>
      <c r="E721" s="6" t="str">
        <f>HYPERLINK("https://twitter.com/SSuccess_data/status/1364213425312792584","1364213425312792584")</f>
        <v>1364213425312792584</v>
      </c>
      <c r="F721" s="7" t="s">
        <v>3393</v>
      </c>
      <c r="G721" s="7" t="s">
        <v>3394</v>
      </c>
      <c r="H721" s="8"/>
      <c r="I721" s="14">
        <v>0</v>
      </c>
      <c r="J721" s="14">
        <v>0</v>
      </c>
      <c r="K721" s="6" t="str">
        <f>HYPERLINK("https://social.zoho.com","Zoho Social")</f>
        <v>Zoho Social</v>
      </c>
      <c r="L721" s="15">
        <v>42</v>
      </c>
      <c r="M721" s="15">
        <v>79</v>
      </c>
      <c r="N721" s="15">
        <v>1</v>
      </c>
      <c r="O721" s="9"/>
      <c r="P721" s="10">
        <v>44151.822534722218</v>
      </c>
      <c r="Q721" s="14" t="s">
        <v>1799</v>
      </c>
      <c r="R721" s="14" t="s">
        <v>1800</v>
      </c>
      <c r="S721" s="7" t="s">
        <v>1801</v>
      </c>
      <c r="T721" s="8"/>
      <c r="U721" s="11" t="str">
        <f>HYPERLINK("https://pbs.twimg.com/profile_images/1328414764675063817/b7xikCPd.jpg","View")</f>
        <v>View</v>
      </c>
      <c r="V721" s="8"/>
      <c r="W721" s="8"/>
      <c r="X721" s="8"/>
      <c r="Y721" s="8"/>
      <c r="Z721" s="8"/>
    </row>
    <row r="722" spans="1:26" ht="13.2">
      <c r="A722" s="13">
        <v>44250.624583333338</v>
      </c>
      <c r="B722" s="6" t="str">
        <f>HYPERLINK("https://twitter.com/model_zoo","@model_zoo")</f>
        <v>@model_zoo</v>
      </c>
      <c r="C722" s="14" t="s">
        <v>3395</v>
      </c>
      <c r="D722" s="14" t="s">
        <v>3396</v>
      </c>
      <c r="E722" s="6" t="str">
        <f>HYPERLINK("https://twitter.com/model_zoo/status/1364213271553794052","1364213271553794052")</f>
        <v>1364213271553794052</v>
      </c>
      <c r="F722" s="7" t="s">
        <v>3397</v>
      </c>
      <c r="G722" s="8"/>
      <c r="H722" s="8"/>
      <c r="I722" s="14">
        <v>1</v>
      </c>
      <c r="J722" s="14">
        <v>1</v>
      </c>
      <c r="K722" s="6" t="str">
        <f>HYPERLINK("https://modelzoo.co","Model Zoo")</f>
        <v>Model Zoo</v>
      </c>
      <c r="L722" s="15">
        <v>188</v>
      </c>
      <c r="M722" s="15">
        <v>211</v>
      </c>
      <c r="N722" s="15">
        <v>5</v>
      </c>
      <c r="O722" s="9"/>
      <c r="P722" s="10">
        <v>43255.714965277773</v>
      </c>
      <c r="Q722" s="8"/>
      <c r="R722" s="14" t="s">
        <v>3398</v>
      </c>
      <c r="S722" s="7" t="s">
        <v>3399</v>
      </c>
      <c r="T722" s="8"/>
      <c r="U722" s="11" t="str">
        <f>HYPERLINK("https://pbs.twimg.com/profile_images/1008002124699992065/Vg4hNScn.jpg","View")</f>
        <v>View</v>
      </c>
      <c r="V722" s="8"/>
      <c r="W722" s="8"/>
      <c r="X722" s="8"/>
      <c r="Y722" s="8"/>
      <c r="Z722" s="8"/>
    </row>
    <row r="723" spans="1:26" ht="13.2">
      <c r="A723" s="13">
        <v>44250.624548611115</v>
      </c>
      <c r="B723" s="6" t="str">
        <f t="shared" ref="B723:B724" si="112">HYPERLINK("https://twitter.com/NeurAutomata","@NeurAutomata")</f>
        <v>@NeurAutomata</v>
      </c>
      <c r="C723" s="14" t="s">
        <v>400</v>
      </c>
      <c r="D723" s="14" t="s">
        <v>401</v>
      </c>
      <c r="E723" s="6" t="str">
        <f>HYPERLINK("https://twitter.com/NeurAutomata/status/1364213259205804032","1364213259205804032")</f>
        <v>1364213259205804032</v>
      </c>
      <c r="F723" s="7" t="s">
        <v>3400</v>
      </c>
      <c r="G723" s="8"/>
      <c r="H723" s="8"/>
      <c r="I723" s="14">
        <v>1</v>
      </c>
      <c r="J723" s="14">
        <v>1</v>
      </c>
      <c r="K723" s="6" t="str">
        <f t="shared" ref="K723:K724" si="113">HYPERLINK("https://ifttt.com","IFTTT")</f>
        <v>IFTTT</v>
      </c>
      <c r="L723" s="15">
        <v>83</v>
      </c>
      <c r="M723" s="15">
        <v>14</v>
      </c>
      <c r="N723" s="15">
        <v>3</v>
      </c>
      <c r="O723" s="9"/>
      <c r="P723" s="10">
        <v>42862.083414351851</v>
      </c>
      <c r="Q723" s="14" t="s">
        <v>403</v>
      </c>
      <c r="R723" s="14" t="s">
        <v>404</v>
      </c>
      <c r="S723" s="8"/>
      <c r="T723" s="8"/>
      <c r="U723" s="11" t="str">
        <f t="shared" ref="U723:U724" si="114">HYPERLINK("https://pbs.twimg.com/profile_images/861050448672718848/oHUlrvEK.jpg","View")</f>
        <v>View</v>
      </c>
      <c r="V723" s="8"/>
      <c r="W723" s="8"/>
      <c r="X723" s="8"/>
      <c r="Y723" s="8"/>
      <c r="Z723" s="8"/>
    </row>
    <row r="724" spans="1:26" ht="13.2">
      <c r="A724" s="13">
        <v>44250.624548611115</v>
      </c>
      <c r="B724" s="6" t="str">
        <f t="shared" si="112"/>
        <v>@NeurAutomata</v>
      </c>
      <c r="C724" s="14" t="s">
        <v>400</v>
      </c>
      <c r="D724" s="14" t="s">
        <v>401</v>
      </c>
      <c r="E724" s="6" t="str">
        <f>HYPERLINK("https://twitter.com/NeurAutomata/status/1364213257402265600","1364213257402265600")</f>
        <v>1364213257402265600</v>
      </c>
      <c r="F724" s="7" t="s">
        <v>3401</v>
      </c>
      <c r="G724" s="8"/>
      <c r="H724" s="8"/>
      <c r="I724" s="14">
        <v>1</v>
      </c>
      <c r="J724" s="14">
        <v>1</v>
      </c>
      <c r="K724" s="6" t="str">
        <f t="shared" si="113"/>
        <v>IFTTT</v>
      </c>
      <c r="L724" s="15">
        <v>83</v>
      </c>
      <c r="M724" s="15">
        <v>14</v>
      </c>
      <c r="N724" s="15">
        <v>3</v>
      </c>
      <c r="O724" s="9"/>
      <c r="P724" s="10">
        <v>42862.083414351851</v>
      </c>
      <c r="Q724" s="14" t="s">
        <v>403</v>
      </c>
      <c r="R724" s="14" t="s">
        <v>404</v>
      </c>
      <c r="S724" s="8"/>
      <c r="T724" s="8"/>
      <c r="U724" s="11" t="str">
        <f t="shared" si="114"/>
        <v>View</v>
      </c>
      <c r="V724" s="8"/>
      <c r="W724" s="8"/>
      <c r="X724" s="8"/>
      <c r="Y724" s="8"/>
      <c r="Z724" s="8"/>
    </row>
    <row r="725" spans="1:26" ht="13.2">
      <c r="A725" s="13">
        <v>44250.624502314815</v>
      </c>
      <c r="B725" s="6" t="str">
        <f>HYPERLINK("https://twitter.com/TheSandyCoder","@TheSandyCoder")</f>
        <v>@TheSandyCoder</v>
      </c>
      <c r="C725" s="14" t="s">
        <v>3402</v>
      </c>
      <c r="D725" s="14" t="s">
        <v>3403</v>
      </c>
      <c r="E725" s="6" t="str">
        <f>HYPERLINK("https://twitter.com/TheSandyCoder/status/1364213241963032579","1364213241963032579")</f>
        <v>1364213241963032579</v>
      </c>
      <c r="F725" s="14" t="s">
        <v>3404</v>
      </c>
      <c r="G725" s="7" t="s">
        <v>3405</v>
      </c>
      <c r="H725" s="8"/>
      <c r="I725" s="14">
        <v>1</v>
      </c>
      <c r="J725" s="14">
        <v>3</v>
      </c>
      <c r="K725" s="6" t="str">
        <f>HYPERLINK("http://twitter.com/download/iphone","Twitter for iPhone")</f>
        <v>Twitter for iPhone</v>
      </c>
      <c r="L725" s="15">
        <v>406</v>
      </c>
      <c r="M725" s="15">
        <v>645</v>
      </c>
      <c r="N725" s="15">
        <v>4</v>
      </c>
      <c r="O725" s="9"/>
      <c r="P725" s="10">
        <v>43236.314270833333</v>
      </c>
      <c r="Q725" s="14" t="s">
        <v>3406</v>
      </c>
      <c r="R725" s="14" t="s">
        <v>3407</v>
      </c>
      <c r="S725" s="7" t="s">
        <v>3408</v>
      </c>
      <c r="T725" s="8"/>
      <c r="U725" s="11" t="str">
        <f>HYPERLINK("https://pbs.twimg.com/profile_images/1258405104174141440/n-etcYr6.jpg","View")</f>
        <v>View</v>
      </c>
      <c r="V725" s="8"/>
      <c r="W725" s="8"/>
      <c r="X725" s="8"/>
      <c r="Y725" s="8"/>
      <c r="Z725" s="8"/>
    </row>
    <row r="726" spans="1:26" ht="13.2">
      <c r="A726" s="13">
        <v>44250.62431712963</v>
      </c>
      <c r="B726" s="6" t="str">
        <f>HYPERLINK("https://twitter.com/hacking_future","@hacking_future")</f>
        <v>@hacking_future</v>
      </c>
      <c r="C726" s="14" t="s">
        <v>3085</v>
      </c>
      <c r="D726" s="14" t="s">
        <v>669</v>
      </c>
      <c r="E726" s="6" t="str">
        <f>HYPERLINK("https://twitter.com/hacking_future/status/1364213174581477378","1364213174581477378")</f>
        <v>1364213174581477378</v>
      </c>
      <c r="F726" s="7" t="s">
        <v>3409</v>
      </c>
      <c r="G726" s="8"/>
      <c r="H726" s="8"/>
      <c r="I726" s="14">
        <v>1</v>
      </c>
      <c r="J726" s="14">
        <v>1</v>
      </c>
      <c r="K726" s="6" t="str">
        <f>HYPERLINK("https://buffer.com","Buffer")</f>
        <v>Buffer</v>
      </c>
      <c r="L726" s="15">
        <v>1502</v>
      </c>
      <c r="M726" s="15">
        <v>1987</v>
      </c>
      <c r="N726" s="15">
        <v>48</v>
      </c>
      <c r="O726" s="9"/>
      <c r="P726" s="10">
        <v>42822.824421296296</v>
      </c>
      <c r="Q726" s="14" t="s">
        <v>1815</v>
      </c>
      <c r="R726" s="14" t="s">
        <v>3087</v>
      </c>
      <c r="S726" s="7" t="s">
        <v>3088</v>
      </c>
      <c r="T726" s="8"/>
      <c r="U726" s="11" t="str">
        <f>HYPERLINK("https://pbs.twimg.com/profile_images/859699037385232385/aq_sLibI.jpg","View")</f>
        <v>View</v>
      </c>
      <c r="V726" s="8"/>
      <c r="W726" s="8"/>
      <c r="X726" s="8"/>
      <c r="Y726" s="8"/>
      <c r="Z726" s="8"/>
    </row>
    <row r="727" spans="1:26" ht="13.2">
      <c r="A727" s="13">
        <v>44250.624027777776</v>
      </c>
      <c r="B727" s="6" t="str">
        <f>HYPERLINK("https://twitter.com/apolloenergies","@apolloenergies")</f>
        <v>@apolloenergies</v>
      </c>
      <c r="C727" s="14" t="s">
        <v>3410</v>
      </c>
      <c r="D727" s="14" t="s">
        <v>3411</v>
      </c>
      <c r="E727" s="6" t="str">
        <f>HYPERLINK("https://twitter.com/apolloenergies/status/1364213069245804546","1364213069245804546")</f>
        <v>1364213069245804546</v>
      </c>
      <c r="F727" s="7" t="s">
        <v>3412</v>
      </c>
      <c r="G727" s="8"/>
      <c r="H727" s="8"/>
      <c r="I727" s="14">
        <v>0</v>
      </c>
      <c r="J727" s="14">
        <v>0</v>
      </c>
      <c r="K727" s="6" t="str">
        <f>HYPERLINK("https://paper.li","Paper.li")</f>
        <v>Paper.li</v>
      </c>
      <c r="L727" s="15">
        <v>6966</v>
      </c>
      <c r="M727" s="15">
        <v>6239</v>
      </c>
      <c r="N727" s="15">
        <v>126</v>
      </c>
      <c r="O727" s="9"/>
      <c r="P727" s="10">
        <v>40615.959398148145</v>
      </c>
      <c r="Q727" s="14" t="s">
        <v>3413</v>
      </c>
      <c r="R727" s="14" t="s">
        <v>3414</v>
      </c>
      <c r="S727" s="7" t="s">
        <v>3415</v>
      </c>
      <c r="T727" s="8"/>
      <c r="U727" s="11" t="str">
        <f>HYPERLINK("https://pbs.twimg.com/profile_images/499598587064369152/qQ6fIHc3.png","View")</f>
        <v>View</v>
      </c>
      <c r="V727" s="8"/>
      <c r="W727" s="8"/>
      <c r="X727" s="8"/>
      <c r="Y727" s="8"/>
      <c r="Z727" s="8"/>
    </row>
    <row r="728" spans="1:26" ht="13.2">
      <c r="A728" s="13">
        <v>44250.622847222221</v>
      </c>
      <c r="B728" s="6" t="str">
        <f>HYPERLINK("https://twitter.com/_Harinivas_","@_Harinivas_")</f>
        <v>@_Harinivas_</v>
      </c>
      <c r="C728" s="14" t="s">
        <v>3156</v>
      </c>
      <c r="D728" s="14" t="s">
        <v>3416</v>
      </c>
      <c r="E728" s="6" t="str">
        <f>HYPERLINK("https://twitter.com/_Harinivas_/status/1364212640671694852","1364212640671694852")</f>
        <v>1364212640671694852</v>
      </c>
      <c r="F728" s="8"/>
      <c r="G728" s="7" t="s">
        <v>3417</v>
      </c>
      <c r="H728" s="8"/>
      <c r="I728" s="14">
        <v>2</v>
      </c>
      <c r="J728" s="14">
        <v>2</v>
      </c>
      <c r="K728" s="6" t="str">
        <f>HYPERLINK("http://twitter.com/download/android","Twitter for Android")</f>
        <v>Twitter for Android</v>
      </c>
      <c r="L728" s="15">
        <v>16</v>
      </c>
      <c r="M728" s="15">
        <v>85</v>
      </c>
      <c r="N728" s="15">
        <v>0</v>
      </c>
      <c r="O728" s="9"/>
      <c r="P728" s="10">
        <v>44245.6091087963</v>
      </c>
      <c r="Q728" s="8"/>
      <c r="R728" s="14" t="s">
        <v>3159</v>
      </c>
      <c r="S728" s="8"/>
      <c r="T728" s="8"/>
      <c r="U728" s="11" t="str">
        <f>HYPERLINK("https://pbs.twimg.com/profile_images/1363061419797716994/2Yn7O2fH.jpg","View")</f>
        <v>View</v>
      </c>
      <c r="V728" s="8"/>
      <c r="W728" s="8"/>
      <c r="X728" s="8"/>
      <c r="Y728" s="8"/>
      <c r="Z728" s="8"/>
    </row>
    <row r="729" spans="1:26" ht="13.2">
      <c r="A729" s="13">
        <v>44250.622662037036</v>
      </c>
      <c r="B729" s="6" t="str">
        <f>HYPERLINK("https://twitter.com/LucientData","@LucientData")</f>
        <v>@LucientData</v>
      </c>
      <c r="C729" s="14" t="s">
        <v>3418</v>
      </c>
      <c r="D729" s="14" t="s">
        <v>3419</v>
      </c>
      <c r="E729" s="6" t="str">
        <f>HYPERLINK("https://twitter.com/LucientData/status/1364212573953011717","1364212573953011717")</f>
        <v>1364212573953011717</v>
      </c>
      <c r="F729" s="7" t="s">
        <v>3420</v>
      </c>
      <c r="G729" s="7" t="s">
        <v>3421</v>
      </c>
      <c r="H729" s="8"/>
      <c r="I729" s="14">
        <v>1</v>
      </c>
      <c r="J729" s="14">
        <v>2</v>
      </c>
      <c r="K729" s="6" t="str">
        <f>HYPERLINK("https://app.socialpilot.co/","SocialPilot.co")</f>
        <v>SocialPilot.co</v>
      </c>
      <c r="L729" s="15">
        <v>1414</v>
      </c>
      <c r="M729" s="15">
        <v>214</v>
      </c>
      <c r="N729" s="15">
        <v>70</v>
      </c>
      <c r="O729" s="9"/>
      <c r="P729" s="10">
        <v>39933.73028935185</v>
      </c>
      <c r="Q729" s="14" t="s">
        <v>1815</v>
      </c>
      <c r="R729" s="14" t="s">
        <v>3422</v>
      </c>
      <c r="S729" s="7" t="s">
        <v>3423</v>
      </c>
      <c r="T729" s="8"/>
      <c r="U729" s="11" t="str">
        <f>HYPERLINK("https://pbs.twimg.com/profile_images/1329088890418827267/aF1dAdUd.jpg","View")</f>
        <v>View</v>
      </c>
      <c r="V729" s="8"/>
      <c r="W729" s="8"/>
      <c r="X729" s="8"/>
      <c r="Y729" s="8"/>
      <c r="Z729" s="8"/>
    </row>
    <row r="730" spans="1:26" ht="13.2">
      <c r="A730" s="13">
        <v>44250.622418981482</v>
      </c>
      <c r="B730" s="6" t="str">
        <f>HYPERLINK("https://twitter.com/FoxBigdata","@FoxBigdata")</f>
        <v>@FoxBigdata</v>
      </c>
      <c r="C730" s="14" t="s">
        <v>3424</v>
      </c>
      <c r="D730" s="14" t="s">
        <v>3425</v>
      </c>
      <c r="E730" s="6" t="str">
        <f>HYPERLINK("https://twitter.com/FoxBigdata/status/1364212486715695109","1364212486715695109")</f>
        <v>1364212486715695109</v>
      </c>
      <c r="F730" s="8"/>
      <c r="G730" s="8"/>
      <c r="H730" s="8"/>
      <c r="I730" s="14">
        <v>3</v>
      </c>
      <c r="J730" s="14">
        <v>3</v>
      </c>
      <c r="K730" s="6" t="str">
        <f>HYPERLINK("http://twitter.com/download/iphone","Twitter for iPhone")</f>
        <v>Twitter for iPhone</v>
      </c>
      <c r="L730" s="15">
        <v>10239</v>
      </c>
      <c r="M730" s="15">
        <v>7358</v>
      </c>
      <c r="N730" s="15">
        <v>91</v>
      </c>
      <c r="O730" s="9"/>
      <c r="P730" s="10">
        <v>42143.968321759261</v>
      </c>
      <c r="Q730" s="14" t="s">
        <v>2800</v>
      </c>
      <c r="R730" s="14" t="s">
        <v>3426</v>
      </c>
      <c r="S730" s="7" t="s">
        <v>3427</v>
      </c>
      <c r="T730" s="8"/>
      <c r="U730" s="11" t="str">
        <f>HYPERLINK("https://pbs.twimg.com/profile_images/1328313049820827651/WGcOZaDl.jpg","View")</f>
        <v>View</v>
      </c>
      <c r="V730" s="8"/>
      <c r="W730" s="8"/>
      <c r="X730" s="8"/>
      <c r="Y730" s="8"/>
      <c r="Z730" s="8"/>
    </row>
    <row r="731" spans="1:26" ht="13.2">
      <c r="A731" s="13">
        <v>44250.621574074074</v>
      </c>
      <c r="B731" s="6" t="str">
        <f>HYPERLINK("https://twitter.com/BlueOrangeData","@BlueOrangeData")</f>
        <v>@BlueOrangeData</v>
      </c>
      <c r="C731" s="14" t="s">
        <v>3428</v>
      </c>
      <c r="D731" s="14" t="s">
        <v>3429</v>
      </c>
      <c r="E731" s="6" t="str">
        <f>HYPERLINK("https://twitter.com/BlueOrangeData/status/1364212181936582658","1364212181936582658")</f>
        <v>1364212181936582658</v>
      </c>
      <c r="F731" s="7" t="s">
        <v>3430</v>
      </c>
      <c r="G731" s="8"/>
      <c r="H731" s="8"/>
      <c r="I731" s="14">
        <v>1</v>
      </c>
      <c r="J731" s="14">
        <v>2</v>
      </c>
      <c r="K731" s="6" t="str">
        <f t="shared" ref="K731:K732" si="115">HYPERLINK("https://www.hootsuite.com","Hootsuite Inc.")</f>
        <v>Hootsuite Inc.</v>
      </c>
      <c r="L731" s="15">
        <v>1048</v>
      </c>
      <c r="M731" s="15">
        <v>629</v>
      </c>
      <c r="N731" s="15">
        <v>7</v>
      </c>
      <c r="O731" s="9"/>
      <c r="P731" s="10">
        <v>43770.656122685185</v>
      </c>
      <c r="Q731" s="14" t="s">
        <v>215</v>
      </c>
      <c r="R731" s="14" t="s">
        <v>3431</v>
      </c>
      <c r="S731" s="7" t="s">
        <v>3432</v>
      </c>
      <c r="T731" s="8"/>
      <c r="U731" s="11" t="str">
        <f>HYPERLINK("https://pbs.twimg.com/profile_images/1190278672932052992/CdpKnSAA.jpg","View")</f>
        <v>View</v>
      </c>
      <c r="V731" s="8"/>
      <c r="W731" s="8"/>
      <c r="X731" s="8"/>
      <c r="Y731" s="8"/>
      <c r="Z731" s="8"/>
    </row>
    <row r="732" spans="1:26" ht="13.2">
      <c r="A732" s="13">
        <v>44250.621574074074</v>
      </c>
      <c r="B732" s="6" t="str">
        <f>HYPERLINK("https://twitter.com/UofT_TCAIREM","@UofT_TCAIREM")</f>
        <v>@UofT_TCAIREM</v>
      </c>
      <c r="C732" s="14" t="s">
        <v>1213</v>
      </c>
      <c r="D732" s="14" t="s">
        <v>1214</v>
      </c>
      <c r="E732" s="6" t="str">
        <f>HYPERLINK("https://twitter.com/UofT_TCAIREM/status/1364212180565053441","1364212180565053441")</f>
        <v>1364212180565053441</v>
      </c>
      <c r="F732" s="7" t="s">
        <v>1215</v>
      </c>
      <c r="G732" s="7" t="s">
        <v>3433</v>
      </c>
      <c r="H732" s="8"/>
      <c r="I732" s="14">
        <v>6</v>
      </c>
      <c r="J732" s="14">
        <v>5</v>
      </c>
      <c r="K732" s="6" t="str">
        <f t="shared" si="115"/>
        <v>Hootsuite Inc.</v>
      </c>
      <c r="L732" s="15">
        <v>625</v>
      </c>
      <c r="M732" s="15">
        <v>1330</v>
      </c>
      <c r="N732" s="15">
        <v>5</v>
      </c>
      <c r="O732" s="9"/>
      <c r="P732" s="10">
        <v>44078.8122337963</v>
      </c>
      <c r="Q732" s="14" t="s">
        <v>1217</v>
      </c>
      <c r="R732" s="14" t="s">
        <v>1218</v>
      </c>
      <c r="S732" s="7" t="s">
        <v>1219</v>
      </c>
      <c r="T732" s="8"/>
      <c r="U732" s="11" t="str">
        <f>HYPERLINK("https://pbs.twimg.com/profile_images/1324121822263185409/XujIy-bC.jpg","View")</f>
        <v>View</v>
      </c>
      <c r="V732" s="8"/>
      <c r="W732" s="8"/>
      <c r="X732" s="8"/>
      <c r="Y732" s="8"/>
      <c r="Z732" s="8"/>
    </row>
    <row r="733" spans="1:26" ht="13.2">
      <c r="A733" s="13">
        <v>44250.621435185181</v>
      </c>
      <c r="B733" s="6" t="str">
        <f>HYPERLINK("https://twitter.com/CourseOp","@CourseOp")</f>
        <v>@CourseOp</v>
      </c>
      <c r="C733" s="14" t="s">
        <v>3434</v>
      </c>
      <c r="D733" s="14" t="s">
        <v>3435</v>
      </c>
      <c r="E733" s="6" t="str">
        <f>HYPERLINK("https://twitter.com/CourseOp/status/1364212129910427654","1364212129910427654")</f>
        <v>1364212129910427654</v>
      </c>
      <c r="F733" s="7" t="s">
        <v>3436</v>
      </c>
      <c r="G733" s="8"/>
      <c r="H733" s="8"/>
      <c r="I733" s="14">
        <v>14</v>
      </c>
      <c r="J733" s="14">
        <v>4</v>
      </c>
      <c r="K733" s="6" t="str">
        <f>HYPERLINK("https://www.jucktion.com","Jucktion")</f>
        <v>Jucktion</v>
      </c>
      <c r="L733" s="15">
        <v>2371</v>
      </c>
      <c r="M733" s="15">
        <v>3349</v>
      </c>
      <c r="N733" s="15">
        <v>33</v>
      </c>
      <c r="O733" s="9"/>
      <c r="P733" s="10">
        <v>43363.274502314816</v>
      </c>
      <c r="Q733" s="14" t="s">
        <v>3437</v>
      </c>
      <c r="R733" s="14" t="s">
        <v>3438</v>
      </c>
      <c r="S733" s="7" t="s">
        <v>3439</v>
      </c>
      <c r="T733" s="8"/>
      <c r="U733" s="11" t="str">
        <f>HYPERLINK("https://pbs.twimg.com/profile_images/1042752273716326400/4fXbScZ1.jpg","View")</f>
        <v>View</v>
      </c>
      <c r="V733" s="8"/>
      <c r="W733" s="8"/>
      <c r="X733" s="8"/>
      <c r="Y733" s="8"/>
      <c r="Z733" s="8"/>
    </row>
    <row r="734" spans="1:26" ht="13.2">
      <c r="A734" s="13">
        <v>44250.62100694445</v>
      </c>
      <c r="B734" s="6" t="str">
        <f>HYPERLINK("https://twitter.com/MADANA_HQ","@MADANA_HQ")</f>
        <v>@MADANA_HQ</v>
      </c>
      <c r="C734" s="14" t="s">
        <v>3440</v>
      </c>
      <c r="D734" s="14" t="s">
        <v>3441</v>
      </c>
      <c r="E734" s="6" t="str">
        <f>HYPERLINK("https://twitter.com/MADANA_HQ/status/1364211977027919877","1364211977027919877")</f>
        <v>1364211977027919877</v>
      </c>
      <c r="F734" s="7" t="s">
        <v>3442</v>
      </c>
      <c r="G734" s="8"/>
      <c r="H734" s="8"/>
      <c r="I734" s="14">
        <v>14</v>
      </c>
      <c r="J734" s="14">
        <v>15</v>
      </c>
      <c r="K734" s="6" t="str">
        <f>HYPERLINK("https://mobile.twitter.com","Twitter Web App")</f>
        <v>Twitter Web App</v>
      </c>
      <c r="L734" s="15">
        <v>3525</v>
      </c>
      <c r="M734" s="15">
        <v>257</v>
      </c>
      <c r="N734" s="15">
        <v>31</v>
      </c>
      <c r="O734" s="9"/>
      <c r="P734" s="10">
        <v>42933.656747685185</v>
      </c>
      <c r="Q734" s="14" t="s">
        <v>3443</v>
      </c>
      <c r="R734" s="14" t="s">
        <v>3444</v>
      </c>
      <c r="S734" s="7" t="s">
        <v>3445</v>
      </c>
      <c r="T734" s="8"/>
      <c r="U734" s="11" t="str">
        <f>HYPERLINK("https://pbs.twimg.com/profile_images/1313474828993810433/re6DOMxQ.jpg","View")</f>
        <v>View</v>
      </c>
      <c r="V734" s="8"/>
      <c r="W734" s="8"/>
      <c r="X734" s="8"/>
      <c r="Y734" s="8"/>
      <c r="Z734" s="8"/>
    </row>
    <row r="735" spans="1:26" ht="13.2">
      <c r="A735" s="13">
        <v>44250.620833333334</v>
      </c>
      <c r="B735" s="6" t="str">
        <f>HYPERLINK("https://twitter.com/jamesvgingerich","@jamesvgingerich")</f>
        <v>@jamesvgingerich</v>
      </c>
      <c r="C735" s="14" t="s">
        <v>1087</v>
      </c>
      <c r="D735" s="14" t="s">
        <v>3446</v>
      </c>
      <c r="E735" s="6" t="str">
        <f>HYPERLINK("https://twitter.com/jamesvgingerich/status/1364211911693271042","1364211911693271042")</f>
        <v>1364211911693271042</v>
      </c>
      <c r="F735" s="7" t="s">
        <v>3447</v>
      </c>
      <c r="G735" s="7" t="s">
        <v>3448</v>
      </c>
      <c r="H735" s="8"/>
      <c r="I735" s="14">
        <v>0</v>
      </c>
      <c r="J735" s="14">
        <v>0</v>
      </c>
      <c r="K735" s="6" t="str">
        <f>HYPERLINK("https://about.twitter.com/products/tweetdeck","TweetDeck")</f>
        <v>TweetDeck</v>
      </c>
      <c r="L735" s="15">
        <v>53483</v>
      </c>
      <c r="M735" s="15">
        <v>56072</v>
      </c>
      <c r="N735" s="15">
        <v>1126</v>
      </c>
      <c r="O735" s="9"/>
      <c r="P735" s="10">
        <v>39623.806192129632</v>
      </c>
      <c r="Q735" s="14" t="s">
        <v>1091</v>
      </c>
      <c r="R735" s="14" t="s">
        <v>1092</v>
      </c>
      <c r="S735" s="7" t="s">
        <v>1093</v>
      </c>
      <c r="T735" s="8"/>
      <c r="U735" s="11" t="str">
        <f>HYPERLINK("https://pbs.twimg.com/profile_images/692168521/james_profile.jpg","View")</f>
        <v>View</v>
      </c>
      <c r="V735" s="8"/>
      <c r="W735" s="8"/>
      <c r="X735" s="8"/>
      <c r="Y735" s="8"/>
      <c r="Z735" s="8"/>
    </row>
    <row r="736" spans="1:26" ht="13.2">
      <c r="A736" s="13">
        <v>44250.620358796295</v>
      </c>
      <c r="B736" s="6" t="str">
        <f t="shared" ref="B736:B738" si="116">HYPERLINK("https://twitter.com/IainLJBrown","@IainLJBrown")</f>
        <v>@IainLJBrown</v>
      </c>
      <c r="C736" s="14" t="s">
        <v>2776</v>
      </c>
      <c r="D736" s="14" t="s">
        <v>3449</v>
      </c>
      <c r="E736" s="6" t="str">
        <f>HYPERLINK("https://twitter.com/IainLJBrown/status/1364211740104421377","1364211740104421377")</f>
        <v>1364211740104421377</v>
      </c>
      <c r="F736" s="7" t="s">
        <v>3450</v>
      </c>
      <c r="G736" s="8"/>
      <c r="H736" s="8"/>
      <c r="I736" s="14">
        <v>21</v>
      </c>
      <c r="J736" s="14">
        <v>14</v>
      </c>
      <c r="K736" s="6" t="str">
        <f t="shared" ref="K736:K738" si="117">HYPERLINK("https://ifttt.com","IFTTT")</f>
        <v>IFTTT</v>
      </c>
      <c r="L736" s="15">
        <v>115543</v>
      </c>
      <c r="M736" s="15">
        <v>98727</v>
      </c>
      <c r="N736" s="15">
        <v>423</v>
      </c>
      <c r="O736" s="9"/>
      <c r="P736" s="10">
        <v>40926.673900462964</v>
      </c>
      <c r="Q736" s="14" t="s">
        <v>753</v>
      </c>
      <c r="R736" s="14" t="s">
        <v>2779</v>
      </c>
      <c r="S736" s="7" t="s">
        <v>2780</v>
      </c>
      <c r="T736" s="8"/>
      <c r="U736" s="11" t="str">
        <f t="shared" ref="U736:U738" si="118">HYPERLINK("https://pbs.twimg.com/profile_images/1352606177352364032/jQ7AI0vG.jpg","View")</f>
        <v>View</v>
      </c>
      <c r="V736" s="8"/>
      <c r="W736" s="8"/>
      <c r="X736" s="8"/>
      <c r="Y736" s="8"/>
      <c r="Z736" s="8"/>
    </row>
    <row r="737" spans="1:26" ht="13.2">
      <c r="A737" s="13">
        <v>44250.620347222226</v>
      </c>
      <c r="B737" s="6" t="str">
        <f t="shared" si="116"/>
        <v>@IainLJBrown</v>
      </c>
      <c r="C737" s="14" t="s">
        <v>2776</v>
      </c>
      <c r="D737" s="14" t="s">
        <v>3451</v>
      </c>
      <c r="E737" s="6" t="str">
        <f>HYPERLINK("https://twitter.com/IainLJBrown/status/1364211737751408643","1364211737751408643")</f>
        <v>1364211737751408643</v>
      </c>
      <c r="F737" s="7" t="s">
        <v>3452</v>
      </c>
      <c r="G737" s="8"/>
      <c r="H737" s="8"/>
      <c r="I737" s="14">
        <v>24</v>
      </c>
      <c r="J737" s="14">
        <v>12</v>
      </c>
      <c r="K737" s="6" t="str">
        <f t="shared" si="117"/>
        <v>IFTTT</v>
      </c>
      <c r="L737" s="15">
        <v>115543</v>
      </c>
      <c r="M737" s="15">
        <v>98727</v>
      </c>
      <c r="N737" s="15">
        <v>423</v>
      </c>
      <c r="O737" s="9"/>
      <c r="P737" s="10">
        <v>40926.673900462964</v>
      </c>
      <c r="Q737" s="14" t="s">
        <v>753</v>
      </c>
      <c r="R737" s="14" t="s">
        <v>2779</v>
      </c>
      <c r="S737" s="7" t="s">
        <v>2780</v>
      </c>
      <c r="T737" s="8"/>
      <c r="U737" s="11" t="str">
        <f t="shared" si="118"/>
        <v>View</v>
      </c>
      <c r="V737" s="8"/>
      <c r="W737" s="8"/>
      <c r="X737" s="8"/>
      <c r="Y737" s="8"/>
      <c r="Z737" s="8"/>
    </row>
    <row r="738" spans="1:26" ht="13.2">
      <c r="A738" s="13">
        <v>44250.620347222226</v>
      </c>
      <c r="B738" s="6" t="str">
        <f t="shared" si="116"/>
        <v>@IainLJBrown</v>
      </c>
      <c r="C738" s="14" t="s">
        <v>2776</v>
      </c>
      <c r="D738" s="14" t="s">
        <v>3453</v>
      </c>
      <c r="E738" s="6" t="str">
        <f>HYPERLINK("https://twitter.com/IainLJBrown/status/1364211735113129987","1364211735113129987")</f>
        <v>1364211735113129987</v>
      </c>
      <c r="F738" s="14" t="s">
        <v>3454</v>
      </c>
      <c r="G738" s="8"/>
      <c r="H738" s="8"/>
      <c r="I738" s="14">
        <v>24</v>
      </c>
      <c r="J738" s="14">
        <v>11</v>
      </c>
      <c r="K738" s="6" t="str">
        <f t="shared" si="117"/>
        <v>IFTTT</v>
      </c>
      <c r="L738" s="15">
        <v>115543</v>
      </c>
      <c r="M738" s="15">
        <v>98727</v>
      </c>
      <c r="N738" s="15">
        <v>423</v>
      </c>
      <c r="O738" s="9"/>
      <c r="P738" s="10">
        <v>40926.673900462964</v>
      </c>
      <c r="Q738" s="14" t="s">
        <v>753</v>
      </c>
      <c r="R738" s="14" t="s">
        <v>2779</v>
      </c>
      <c r="S738" s="7" t="s">
        <v>2780</v>
      </c>
      <c r="T738" s="8"/>
      <c r="U738" s="11" t="str">
        <f t="shared" si="118"/>
        <v>View</v>
      </c>
      <c r="V738" s="8"/>
      <c r="W738" s="8"/>
      <c r="X738" s="8"/>
      <c r="Y738" s="8"/>
      <c r="Z738" s="8"/>
    </row>
    <row r="739" spans="1:26" ht="13.2">
      <c r="A739" s="13">
        <v>44250.61917824074</v>
      </c>
      <c r="B739" s="6" t="str">
        <f>HYPERLINK("https://twitter.com/MedicaliPhone","@MedicaliPhone")</f>
        <v>@MedicaliPhone</v>
      </c>
      <c r="C739" s="14" t="s">
        <v>269</v>
      </c>
      <c r="D739" s="14" t="s">
        <v>3455</v>
      </c>
      <c r="E739" s="6" t="str">
        <f>HYPERLINK("https://twitter.com/MedicaliPhone/status/1364211314927804416","1364211314927804416")</f>
        <v>1364211314927804416</v>
      </c>
      <c r="F739" s="14" t="s">
        <v>3456</v>
      </c>
      <c r="G739" s="8"/>
      <c r="H739" s="8"/>
      <c r="I739" s="14">
        <v>0</v>
      </c>
      <c r="J739" s="14">
        <v>0</v>
      </c>
      <c r="K739" s="6" t="str">
        <f>HYPERLINK("http://twinybots.com","TwinyBots")</f>
        <v>TwinyBots</v>
      </c>
      <c r="L739" s="15">
        <v>18689</v>
      </c>
      <c r="M739" s="15">
        <v>19077</v>
      </c>
      <c r="N739" s="15">
        <v>450</v>
      </c>
      <c r="O739" s="9"/>
      <c r="P739" s="10">
        <v>39978.071932870371</v>
      </c>
      <c r="Q739" s="14" t="s">
        <v>270</v>
      </c>
      <c r="R739" s="14" t="s">
        <v>271</v>
      </c>
      <c r="S739" s="7" t="s">
        <v>272</v>
      </c>
      <c r="T739" s="8"/>
      <c r="U739" s="11" t="str">
        <f>HYPERLINK("https://pbs.twimg.com/profile_images/671869096389021696/Z1Kr3P0K.png","View")</f>
        <v>View</v>
      </c>
      <c r="V739" s="8"/>
      <c r="W739" s="8"/>
      <c r="X739" s="8"/>
      <c r="Y739" s="8"/>
      <c r="Z739" s="8"/>
    </row>
    <row r="740" spans="1:26" ht="13.2">
      <c r="A740" s="13">
        <v>44250.618611111116</v>
      </c>
      <c r="B740" s="6" t="str">
        <f>HYPERLINK("https://twitter.com/JourneyHeroTech","@JourneyHeroTech")</f>
        <v>@JourneyHeroTech</v>
      </c>
      <c r="C740" s="14" t="s">
        <v>1061</v>
      </c>
      <c r="D740" s="14" t="s">
        <v>3457</v>
      </c>
      <c r="E740" s="6" t="str">
        <f>HYPERLINK("https://twitter.com/JourneyHeroTech/status/1364211109318770692","1364211109318770692")</f>
        <v>1364211109318770692</v>
      </c>
      <c r="F740" s="7" t="s">
        <v>3458</v>
      </c>
      <c r="G740" s="8"/>
      <c r="H740" s="8"/>
      <c r="I740" s="14">
        <v>30</v>
      </c>
      <c r="J740" s="14">
        <v>15</v>
      </c>
      <c r="K740" s="6" t="str">
        <f>HYPERLINK("http://twitter.com/download/iphone","Twitter for iPhone")</f>
        <v>Twitter for iPhone</v>
      </c>
      <c r="L740" s="15">
        <v>418</v>
      </c>
      <c r="M740" s="15">
        <v>1469</v>
      </c>
      <c r="N740" s="15">
        <v>4</v>
      </c>
      <c r="O740" s="9"/>
      <c r="P740" s="10">
        <v>43958.737557870365</v>
      </c>
      <c r="Q740" s="8"/>
      <c r="R740" s="14" t="s">
        <v>1065</v>
      </c>
      <c r="S740" s="7" t="s">
        <v>1066</v>
      </c>
      <c r="T740" s="8"/>
      <c r="U740" s="11" t="str">
        <f>HYPERLINK("https://pbs.twimg.com/profile_images/1258421949493100544/99J8Ehfn.jpg","View")</f>
        <v>View</v>
      </c>
      <c r="V740" s="8"/>
      <c r="W740" s="8"/>
      <c r="X740" s="8"/>
      <c r="Y740" s="8"/>
      <c r="Z740" s="8"/>
    </row>
    <row r="741" spans="1:26" ht="13.2">
      <c r="A741" s="13">
        <v>44250.618356481486</v>
      </c>
      <c r="B741" s="6" t="str">
        <f>HYPERLINK("https://twitter.com/stanford__ai","@stanford__ai")</f>
        <v>@stanford__ai</v>
      </c>
      <c r="C741" s="14" t="s">
        <v>475</v>
      </c>
      <c r="D741" s="14" t="s">
        <v>3459</v>
      </c>
      <c r="E741" s="6" t="str">
        <f>HYPERLINK("https://twitter.com/stanford__ai/status/1364211015748059137","1364211015748059137")</f>
        <v>1364211015748059137</v>
      </c>
      <c r="F741" s="7" t="s">
        <v>3460</v>
      </c>
      <c r="G741" s="8"/>
      <c r="H741" s="8"/>
      <c r="I741" s="14">
        <v>0</v>
      </c>
      <c r="J741" s="14">
        <v>0</v>
      </c>
      <c r="K741" s="6" t="str">
        <f>HYPERLINK("https://ifttt.com","IFTTT")</f>
        <v>IFTTT</v>
      </c>
      <c r="L741" s="15">
        <v>928</v>
      </c>
      <c r="M741" s="15">
        <v>1487</v>
      </c>
      <c r="N741" s="15">
        <v>20</v>
      </c>
      <c r="O741" s="9"/>
      <c r="P741" s="10">
        <v>43558.915891203702</v>
      </c>
      <c r="Q741" s="14" t="s">
        <v>478</v>
      </c>
      <c r="R741" s="14" t="s">
        <v>479</v>
      </c>
      <c r="S741" s="7" t="s">
        <v>480</v>
      </c>
      <c r="T741" s="8"/>
      <c r="U741" s="11" t="str">
        <f>HYPERLINK("https://pbs.twimg.com/profile_images/1113531441625935878/OR4W_sLY.jpg","View")</f>
        <v>View</v>
      </c>
      <c r="V741" s="8"/>
      <c r="W741" s="8"/>
      <c r="X741" s="8"/>
      <c r="Y741" s="8"/>
      <c r="Z741" s="8"/>
    </row>
    <row r="742" spans="1:26" ht="13.2">
      <c r="A742" s="13">
        <v>44250.618171296301</v>
      </c>
      <c r="B742" s="6" t="str">
        <f>HYPERLINK("https://twitter.com/beyond_machine","@beyond_machine")</f>
        <v>@beyond_machine</v>
      </c>
      <c r="C742" s="14" t="s">
        <v>3461</v>
      </c>
      <c r="D742" s="14" t="s">
        <v>3462</v>
      </c>
      <c r="E742" s="6" t="str">
        <f>HYPERLINK("https://twitter.com/beyond_machine/status/1364210946663739392","1364210946663739392")</f>
        <v>1364210946663739392</v>
      </c>
      <c r="F742" s="7" t="s">
        <v>3463</v>
      </c>
      <c r="G742" s="8"/>
      <c r="H742" s="8"/>
      <c r="I742" s="14">
        <v>0</v>
      </c>
      <c r="J742" s="14">
        <v>1</v>
      </c>
      <c r="K742" s="6" t="str">
        <f>HYPERLINK("https://crowdfireapp.com","Crowdfire App")</f>
        <v>Crowdfire App</v>
      </c>
      <c r="L742" s="15">
        <v>333</v>
      </c>
      <c r="M742" s="15">
        <v>1059</v>
      </c>
      <c r="N742" s="15">
        <v>48</v>
      </c>
      <c r="O742" s="9"/>
      <c r="P742" s="10">
        <v>42555.596180555556</v>
      </c>
      <c r="Q742" s="14" t="s">
        <v>3464</v>
      </c>
      <c r="R742" s="14" t="s">
        <v>3465</v>
      </c>
      <c r="S742" s="7" t="s">
        <v>3466</v>
      </c>
      <c r="T742" s="8"/>
      <c r="U742" s="11" t="str">
        <f>HYPERLINK("https://pbs.twimg.com/profile_images/929034669781344257/RizBrVJT.jpg","View")</f>
        <v>View</v>
      </c>
      <c r="V742" s="8"/>
      <c r="W742" s="8"/>
      <c r="X742" s="8"/>
      <c r="Y742" s="8"/>
      <c r="Z742" s="8"/>
    </row>
    <row r="743" spans="1:26" ht="13.2">
      <c r="A743" s="13">
        <v>44250.618055555555</v>
      </c>
      <c r="B743" s="6" t="str">
        <f>HYPERLINK("https://twitter.com/BeTalentMinded","@BeTalentMinded")</f>
        <v>@BeTalentMinded</v>
      </c>
      <c r="C743" s="14" t="s">
        <v>3467</v>
      </c>
      <c r="D743" s="14" t="s">
        <v>3468</v>
      </c>
      <c r="E743" s="6" t="str">
        <f>HYPERLINK("https://twitter.com/BeTalentMinded/status/1364210905068748803","1364210905068748803")</f>
        <v>1364210905068748803</v>
      </c>
      <c r="F743" s="7" t="s">
        <v>3469</v>
      </c>
      <c r="G743" s="8"/>
      <c r="H743" s="8"/>
      <c r="I743" s="14">
        <v>0</v>
      </c>
      <c r="J743" s="14">
        <v>0</v>
      </c>
      <c r="K743" s="6" t="str">
        <f t="shared" ref="K743:K744" si="119">HYPERLINK("https://mobile.twitter.com","Twitter Web App")</f>
        <v>Twitter Web App</v>
      </c>
      <c r="L743" s="15">
        <v>1191</v>
      </c>
      <c r="M743" s="15">
        <v>1894</v>
      </c>
      <c r="N743" s="15">
        <v>154</v>
      </c>
      <c r="O743" s="9"/>
      <c r="P743" s="10">
        <v>41984.933009259257</v>
      </c>
      <c r="Q743" s="14" t="s">
        <v>403</v>
      </c>
      <c r="R743" s="14" t="s">
        <v>3470</v>
      </c>
      <c r="S743" s="7" t="s">
        <v>3471</v>
      </c>
      <c r="T743" s="8"/>
      <c r="U743" s="11" t="str">
        <f>HYPERLINK("https://pbs.twimg.com/profile_images/1278701502752751620/99kbNp9Z.jpg","View")</f>
        <v>View</v>
      </c>
      <c r="V743" s="8"/>
      <c r="W743" s="8"/>
      <c r="X743" s="8"/>
      <c r="Y743" s="8"/>
      <c r="Z743" s="8"/>
    </row>
    <row r="744" spans="1:26" ht="13.2">
      <c r="A744" s="13">
        <v>44250.617777777778</v>
      </c>
      <c r="B744" s="6" t="str">
        <f>HYPERLINK("https://twitter.com/GTechCouncil","@GTechCouncil")</f>
        <v>@GTechCouncil</v>
      </c>
      <c r="C744" s="14" t="s">
        <v>3472</v>
      </c>
      <c r="D744" s="14" t="s">
        <v>3473</v>
      </c>
      <c r="E744" s="6" t="str">
        <f>HYPERLINK("https://twitter.com/GTechCouncil/status/1364210803570835456","1364210803570835456")</f>
        <v>1364210803570835456</v>
      </c>
      <c r="F744" s="7" t="s">
        <v>3474</v>
      </c>
      <c r="G744" s="7" t="s">
        <v>3475</v>
      </c>
      <c r="H744" s="8"/>
      <c r="I744" s="14">
        <v>2</v>
      </c>
      <c r="J744" s="14">
        <v>1</v>
      </c>
      <c r="K744" s="6" t="str">
        <f t="shared" si="119"/>
        <v>Twitter Web App</v>
      </c>
      <c r="L744" s="15">
        <v>152</v>
      </c>
      <c r="M744" s="15">
        <v>10</v>
      </c>
      <c r="N744" s="15">
        <v>3</v>
      </c>
      <c r="O744" s="9"/>
      <c r="P744" s="10">
        <v>43258.378298611111</v>
      </c>
      <c r="Q744" s="14" t="s">
        <v>875</v>
      </c>
      <c r="R744" s="14" t="s">
        <v>3476</v>
      </c>
      <c r="S744" s="7" t="s">
        <v>3477</v>
      </c>
      <c r="T744" s="8"/>
      <c r="U744" s="11" t="str">
        <f>HYPERLINK("https://pbs.twimg.com/profile_images/1014500976122908672/Fx0Sk6Xa.jpg","View")</f>
        <v>View</v>
      </c>
      <c r="V744" s="8"/>
      <c r="W744" s="8"/>
      <c r="X744" s="8"/>
      <c r="Y744" s="8"/>
      <c r="Z744" s="8"/>
    </row>
    <row r="745" spans="1:26" ht="13.2">
      <c r="A745" s="13">
        <v>44250.617152777777</v>
      </c>
      <c r="B745" s="6" t="str">
        <f>HYPERLINK("https://twitter.com/shanebrighton","@shanebrighton")</f>
        <v>@shanebrighton</v>
      </c>
      <c r="C745" s="14" t="s">
        <v>3478</v>
      </c>
      <c r="D745" s="14" t="s">
        <v>3479</v>
      </c>
      <c r="E745" s="6" t="str">
        <f>HYPERLINK("https://twitter.com/shanebrighton/status/1364210576944152585","1364210576944152585")</f>
        <v>1364210576944152585</v>
      </c>
      <c r="F745" s="7" t="s">
        <v>3480</v>
      </c>
      <c r="G745" s="8"/>
      <c r="H745" s="8"/>
      <c r="I745" s="14">
        <v>1</v>
      </c>
      <c r="J745" s="14">
        <v>1</v>
      </c>
      <c r="K745" s="6" t="str">
        <f>HYPERLINK("http://www.powerapps.com","Microsoft Power Platform")</f>
        <v>Microsoft Power Platform</v>
      </c>
      <c r="L745" s="15">
        <v>8689</v>
      </c>
      <c r="M745" s="15">
        <v>3485</v>
      </c>
      <c r="N745" s="15">
        <v>99</v>
      </c>
      <c r="O745" s="9"/>
      <c r="P745" s="10">
        <v>39544.54787037037</v>
      </c>
      <c r="Q745" s="14" t="s">
        <v>599</v>
      </c>
      <c r="R745" s="14" t="s">
        <v>3481</v>
      </c>
      <c r="S745" s="7" t="s">
        <v>3482</v>
      </c>
      <c r="T745" s="8"/>
      <c r="U745" s="11" t="str">
        <f>HYPERLINK("https://pbs.twimg.com/profile_images/1100770585557286912/Oz7w9LUf.png","View")</f>
        <v>View</v>
      </c>
      <c r="V745" s="8"/>
      <c r="W745" s="8"/>
      <c r="X745" s="8"/>
      <c r="Y745" s="8"/>
      <c r="Z745" s="8"/>
    </row>
    <row r="746" spans="1:26" ht="13.2">
      <c r="A746" s="13">
        <v>44250.616585648153</v>
      </c>
      <c r="B746" s="6" t="str">
        <f>HYPERLINK("https://twitter.com/Accelebrate","@Accelebrate")</f>
        <v>@Accelebrate</v>
      </c>
      <c r="C746" s="14" t="s">
        <v>3483</v>
      </c>
      <c r="D746" s="14" t="s">
        <v>3484</v>
      </c>
      <c r="E746" s="6" t="str">
        <f>HYPERLINK("https://twitter.com/Accelebrate/status/1364210372761313289","1364210372761313289")</f>
        <v>1364210372761313289</v>
      </c>
      <c r="F746" s="7" t="s">
        <v>3485</v>
      </c>
      <c r="G746" s="7" t="s">
        <v>3486</v>
      </c>
      <c r="H746" s="8"/>
      <c r="I746" s="14">
        <v>0</v>
      </c>
      <c r="J746" s="14">
        <v>2</v>
      </c>
      <c r="K746" s="6" t="str">
        <f>HYPERLINK("https://mobile.twitter.com","Twitter Web App")</f>
        <v>Twitter Web App</v>
      </c>
      <c r="L746" s="15">
        <v>139</v>
      </c>
      <c r="M746" s="15">
        <v>36</v>
      </c>
      <c r="N746" s="15">
        <v>3</v>
      </c>
      <c r="O746" s="9"/>
      <c r="P746" s="10">
        <v>40088.183877314819</v>
      </c>
      <c r="Q746" s="14" t="s">
        <v>3487</v>
      </c>
      <c r="R746" s="14" t="s">
        <v>3488</v>
      </c>
      <c r="S746" s="7" t="s">
        <v>3489</v>
      </c>
      <c r="T746" s="8"/>
      <c r="U746" s="11" t="str">
        <f>HYPERLINK("https://pbs.twimg.com/profile_images/1347556424914710528/UAuHy_bX.png","View")</f>
        <v>View</v>
      </c>
      <c r="V746" s="8"/>
      <c r="W746" s="8"/>
      <c r="X746" s="8"/>
      <c r="Y746" s="8"/>
      <c r="Z746" s="8"/>
    </row>
    <row r="747" spans="1:26" ht="13.2">
      <c r="A747" s="13">
        <v>44250.616145833337</v>
      </c>
      <c r="B747" s="6" t="str">
        <f>HYPERLINK("https://twitter.com/jucktion","@jucktion")</f>
        <v>@jucktion</v>
      </c>
      <c r="C747" s="14" t="s">
        <v>3490</v>
      </c>
      <c r="D747" s="14" t="s">
        <v>3435</v>
      </c>
      <c r="E747" s="6" t="str">
        <f>HYPERLINK("https://twitter.com/jucktion/status/1364210215340679168","1364210215340679168")</f>
        <v>1364210215340679168</v>
      </c>
      <c r="F747" s="7" t="s">
        <v>3491</v>
      </c>
      <c r="G747" s="8"/>
      <c r="H747" s="8"/>
      <c r="I747" s="14">
        <v>23</v>
      </c>
      <c r="J747" s="14">
        <v>11</v>
      </c>
      <c r="K747" s="6" t="str">
        <f>HYPERLINK("https://amplifr.com","Amplifr")</f>
        <v>Amplifr</v>
      </c>
      <c r="L747" s="15">
        <v>8348</v>
      </c>
      <c r="M747" s="15">
        <v>3946</v>
      </c>
      <c r="N747" s="15">
        <v>237</v>
      </c>
      <c r="O747" s="9"/>
      <c r="P747" s="10">
        <v>40555.287349537037</v>
      </c>
      <c r="Q747" s="14" t="s">
        <v>3492</v>
      </c>
      <c r="R747" s="14" t="s">
        <v>3493</v>
      </c>
      <c r="S747" s="7" t="s">
        <v>3494</v>
      </c>
      <c r="T747" s="8"/>
      <c r="U747" s="11" t="str">
        <f>HYPERLINK("https://pbs.twimg.com/profile_images/764116951425622021/mtvK_yjw.jpg","View")</f>
        <v>View</v>
      </c>
      <c r="V747" s="8"/>
      <c r="W747" s="8"/>
      <c r="X747" s="8"/>
      <c r="Y747" s="8"/>
      <c r="Z747" s="8"/>
    </row>
    <row r="748" spans="1:26" ht="13.2">
      <c r="A748" s="13">
        <v>44250.616111111114</v>
      </c>
      <c r="B748" s="6" t="str">
        <f>HYPERLINK("https://twitter.com/GlobaltechO","@GlobaltechO")</f>
        <v>@GlobaltechO</v>
      </c>
      <c r="C748" s="14" t="s">
        <v>3203</v>
      </c>
      <c r="D748" s="14" t="s">
        <v>3495</v>
      </c>
      <c r="E748" s="6" t="str">
        <f>HYPERLINK("https://twitter.com/GlobaltechO/status/1364210200534679552","1364210200534679552")</f>
        <v>1364210200534679552</v>
      </c>
      <c r="F748" s="7" t="s">
        <v>3205</v>
      </c>
      <c r="G748" s="8"/>
      <c r="H748" s="8"/>
      <c r="I748" s="14">
        <v>0</v>
      </c>
      <c r="J748" s="14">
        <v>2</v>
      </c>
      <c r="K748" s="6" t="str">
        <f t="shared" ref="K748:K749" si="120">HYPERLINK("https://mobile.twitter.com","Twitter Web App")</f>
        <v>Twitter Web App</v>
      </c>
      <c r="L748" s="15">
        <v>646</v>
      </c>
      <c r="M748" s="15">
        <v>41</v>
      </c>
      <c r="N748" s="15">
        <v>0</v>
      </c>
      <c r="O748" s="9"/>
      <c r="P748" s="10">
        <v>43960.528680555552</v>
      </c>
      <c r="Q748" s="14" t="s">
        <v>364</v>
      </c>
      <c r="R748" s="14" t="s">
        <v>3206</v>
      </c>
      <c r="S748" s="7" t="s">
        <v>3207</v>
      </c>
      <c r="T748" s="8"/>
      <c r="U748" s="11" t="str">
        <f>HYPERLINK("https://pbs.twimg.com/profile_images/1259072981675806720/Vj3Qqifz.jpg","View")</f>
        <v>View</v>
      </c>
      <c r="V748" s="8"/>
      <c r="W748" s="8"/>
      <c r="X748" s="8"/>
      <c r="Y748" s="8"/>
      <c r="Z748" s="8"/>
    </row>
    <row r="749" spans="1:26" ht="13.2">
      <c r="A749" s="13">
        <v>44250.615856481483</v>
      </c>
      <c r="B749" s="6" t="str">
        <f>HYPERLINK("https://twitter.com/ErwanDemont","@ErwanDemont")</f>
        <v>@ErwanDemont</v>
      </c>
      <c r="C749" s="14" t="s">
        <v>3496</v>
      </c>
      <c r="D749" s="14" t="s">
        <v>3497</v>
      </c>
      <c r="E749" s="6" t="str">
        <f>HYPERLINK("https://twitter.com/ErwanDemont/status/1364210109237313537","1364210109237313537")</f>
        <v>1364210109237313537</v>
      </c>
      <c r="F749" s="7" t="s">
        <v>3498</v>
      </c>
      <c r="G749" s="8"/>
      <c r="H749" s="8"/>
      <c r="I749" s="14">
        <v>1</v>
      </c>
      <c r="J749" s="14">
        <v>2</v>
      </c>
      <c r="K749" s="6" t="str">
        <f t="shared" si="120"/>
        <v>Twitter Web App</v>
      </c>
      <c r="L749" s="15">
        <v>1511</v>
      </c>
      <c r="M749" s="15">
        <v>4156</v>
      </c>
      <c r="N749" s="15">
        <v>131</v>
      </c>
      <c r="O749" s="9"/>
      <c r="P749" s="10">
        <v>41533.669108796297</v>
      </c>
      <c r="Q749" s="14" t="s">
        <v>106</v>
      </c>
      <c r="R749" s="14" t="s">
        <v>3499</v>
      </c>
      <c r="S749" s="7" t="s">
        <v>3500</v>
      </c>
      <c r="T749" s="8"/>
      <c r="U749" s="11" t="str">
        <f>HYPERLINK("https://pbs.twimg.com/profile_images/1143092529421783040/vsbWCqZ1.png","View")</f>
        <v>View</v>
      </c>
      <c r="V749" s="8"/>
      <c r="W749" s="8"/>
      <c r="X749" s="8"/>
      <c r="Y749" s="8"/>
      <c r="Z749" s="8"/>
    </row>
    <row r="750" spans="1:26" ht="13.2">
      <c r="A750" s="13">
        <v>44250.61555555556</v>
      </c>
      <c r="B750" s="6" t="str">
        <f>HYPERLINK("https://twitter.com/newsfile_corp","@newsfile_corp")</f>
        <v>@newsfile_corp</v>
      </c>
      <c r="C750" s="14" t="s">
        <v>3501</v>
      </c>
      <c r="D750" s="14" t="s">
        <v>3502</v>
      </c>
      <c r="E750" s="6" t="str">
        <f>HYPERLINK("https://twitter.com/newsfile_corp/status/1364210001364025347","1364210001364025347")</f>
        <v>1364210001364025347</v>
      </c>
      <c r="F750" s="7" t="s">
        <v>3503</v>
      </c>
      <c r="G750" s="8"/>
      <c r="H750" s="8"/>
      <c r="I750" s="14">
        <v>4</v>
      </c>
      <c r="J750" s="14">
        <v>5</v>
      </c>
      <c r="K750" s="6" t="str">
        <f>HYPERLINK("http://www.newsfilecorp.com","Newsfile News Tweets")</f>
        <v>Newsfile News Tweets</v>
      </c>
      <c r="L750" s="15">
        <v>1888</v>
      </c>
      <c r="M750" s="15">
        <v>43</v>
      </c>
      <c r="N750" s="15">
        <v>31</v>
      </c>
      <c r="O750" s="9"/>
      <c r="P750" s="10">
        <v>40524.731585648144</v>
      </c>
      <c r="Q750" s="14" t="s">
        <v>3504</v>
      </c>
      <c r="R750" s="14" t="s">
        <v>3505</v>
      </c>
      <c r="S750" s="7" t="s">
        <v>3506</v>
      </c>
      <c r="T750" s="8"/>
      <c r="U750" s="11" t="str">
        <f>HYPERLINK("https://pbs.twimg.com/profile_images/964573207264030720/xqLSRNdS.jpg","View")</f>
        <v>View</v>
      </c>
      <c r="V750" s="8"/>
      <c r="W750" s="8"/>
      <c r="X750" s="8"/>
      <c r="Y750" s="8"/>
      <c r="Z750" s="8"/>
    </row>
    <row r="751" spans="1:26" ht="13.2">
      <c r="A751" s="13">
        <v>44250.615289351852</v>
      </c>
      <c r="B751" s="6" t="str">
        <f>HYPERLINK("https://twitter.com/RichardEudes","@RichardEudes")</f>
        <v>@RichardEudes</v>
      </c>
      <c r="C751" s="14" t="s">
        <v>341</v>
      </c>
      <c r="D751" s="14" t="s">
        <v>3507</v>
      </c>
      <c r="E751" s="6" t="str">
        <f>HYPERLINK("https://twitter.com/RichardEudes/status/1364209902827286529","1364209902827286529")</f>
        <v>1364209902827286529</v>
      </c>
      <c r="F751" s="7" t="s">
        <v>3508</v>
      </c>
      <c r="G751" s="8"/>
      <c r="H751" s="8"/>
      <c r="I751" s="14">
        <v>0</v>
      </c>
      <c r="J751" s="14">
        <v>1</v>
      </c>
      <c r="K751" s="6" t="str">
        <f>HYPERLINK("https://buffer.com","Buffer")</f>
        <v>Buffer</v>
      </c>
      <c r="L751" s="15">
        <v>16960</v>
      </c>
      <c r="M751" s="15">
        <v>1979</v>
      </c>
      <c r="N751" s="15">
        <v>668</v>
      </c>
      <c r="O751" s="9"/>
      <c r="P751" s="10">
        <v>39985.961481481485</v>
      </c>
      <c r="Q751" s="14" t="s">
        <v>106</v>
      </c>
      <c r="R751" s="14" t="s">
        <v>344</v>
      </c>
      <c r="S751" s="7" t="s">
        <v>345</v>
      </c>
      <c r="T751" s="8"/>
      <c r="U751" s="11" t="str">
        <f>HYPERLINK("https://pbs.twimg.com/profile_images/1332753391886491648/I9fBm3kf.jpg","View")</f>
        <v>View</v>
      </c>
      <c r="V751" s="8"/>
      <c r="W751" s="8"/>
      <c r="X751" s="8"/>
      <c r="Y751" s="8"/>
      <c r="Z751" s="8"/>
    </row>
    <row r="752" spans="1:26" ht="13.2">
      <c r="A752" s="13">
        <v>44250.615081018521</v>
      </c>
      <c r="B752" s="6" t="str">
        <f>HYPERLINK("https://twitter.com/_M_Dey","@_M_Dey")</f>
        <v>@_M_Dey</v>
      </c>
      <c r="C752" s="14" t="s">
        <v>2112</v>
      </c>
      <c r="D752" s="14" t="s">
        <v>3509</v>
      </c>
      <c r="E752" s="6" t="str">
        <f>HYPERLINK("https://twitter.com/_M_Dey/status/1364209826293706752","1364209826293706752")</f>
        <v>1364209826293706752</v>
      </c>
      <c r="F752" s="7" t="s">
        <v>3510</v>
      </c>
      <c r="G752" s="8"/>
      <c r="H752" s="8"/>
      <c r="I752" s="14">
        <v>4</v>
      </c>
      <c r="J752" s="14">
        <v>3</v>
      </c>
      <c r="K752" s="6" t="str">
        <f>HYPERLINK("http://dynamicsignal.com/","Dynamic Signal")</f>
        <v>Dynamic Signal</v>
      </c>
      <c r="L752" s="15">
        <v>1174</v>
      </c>
      <c r="M752" s="15">
        <v>4503</v>
      </c>
      <c r="N752" s="15">
        <v>19</v>
      </c>
      <c r="O752" s="9"/>
      <c r="P752" s="10">
        <v>42691.486655092594</v>
      </c>
      <c r="Q752" s="14" t="s">
        <v>106</v>
      </c>
      <c r="R752" s="14" t="s">
        <v>2115</v>
      </c>
      <c r="S752" s="7" t="s">
        <v>2116</v>
      </c>
      <c r="T752" s="8"/>
      <c r="U752" s="11" t="str">
        <f>HYPERLINK("https://pbs.twimg.com/profile_images/799206549025603584/G1d1duXU.jpg","View")</f>
        <v>View</v>
      </c>
      <c r="V752" s="8"/>
      <c r="W752" s="8"/>
      <c r="X752" s="8"/>
      <c r="Y752" s="8"/>
      <c r="Z752" s="8"/>
    </row>
    <row r="753" spans="1:26" ht="13.2">
      <c r="A753" s="13">
        <v>44250.614988425921</v>
      </c>
      <c r="B753" s="6" t="str">
        <f>HYPERLINK("https://twitter.com/TradersLog","@TradersLog")</f>
        <v>@TradersLog</v>
      </c>
      <c r="C753" s="7" t="s">
        <v>3511</v>
      </c>
      <c r="D753" s="14" t="s">
        <v>3512</v>
      </c>
      <c r="E753" s="6" t="str">
        <f>HYPERLINK("https://twitter.com/TradersLog/status/1364209795624968195","1364209795624968195")</f>
        <v>1364209795624968195</v>
      </c>
      <c r="F753" s="7" t="s">
        <v>3513</v>
      </c>
      <c r="G753" s="8"/>
      <c r="H753" s="8"/>
      <c r="I753" s="14">
        <v>0</v>
      </c>
      <c r="J753" s="14">
        <v>0</v>
      </c>
      <c r="K753" s="6" t="str">
        <f>HYPERLINK("https://mobile.twitter.com","Twitter Web App")</f>
        <v>Twitter Web App</v>
      </c>
      <c r="L753" s="15">
        <v>26055</v>
      </c>
      <c r="M753" s="15">
        <v>9523</v>
      </c>
      <c r="N753" s="15">
        <v>769</v>
      </c>
      <c r="O753" s="9"/>
      <c r="P753" s="10">
        <v>39791.632164351853</v>
      </c>
      <c r="Q753" s="14" t="s">
        <v>848</v>
      </c>
      <c r="R753" s="14" t="s">
        <v>3514</v>
      </c>
      <c r="S753" s="7" t="s">
        <v>3515</v>
      </c>
      <c r="T753" s="8"/>
      <c r="U753" s="11" t="str">
        <f>HYPERLINK("https://pbs.twimg.com/profile_images/520567833546080256/VgMmpPqP.png","View")</f>
        <v>View</v>
      </c>
      <c r="V753" s="8"/>
      <c r="W753" s="8"/>
      <c r="X753" s="8"/>
      <c r="Y753" s="8"/>
      <c r="Z753" s="8"/>
    </row>
    <row r="754" spans="1:26" ht="13.2">
      <c r="A754" s="13">
        <v>44250.614687499998</v>
      </c>
      <c r="B754" s="6" t="str">
        <f>HYPERLINK("https://twitter.com/noelchandler","@noelchandler")</f>
        <v>@noelchandler</v>
      </c>
      <c r="C754" s="14" t="s">
        <v>3516</v>
      </c>
      <c r="D754" s="14" t="s">
        <v>3517</v>
      </c>
      <c r="E754" s="6" t="str">
        <f>HYPERLINK("https://twitter.com/noelchandler/status/1364209683993624577","1364209683993624577")</f>
        <v>1364209683993624577</v>
      </c>
      <c r="F754" s="7" t="s">
        <v>3518</v>
      </c>
      <c r="G754" s="7" t="s">
        <v>3519</v>
      </c>
      <c r="H754" s="8"/>
      <c r="I754" s="14">
        <v>0</v>
      </c>
      <c r="J754" s="14">
        <v>0</v>
      </c>
      <c r="K754" s="6" t="str">
        <f>HYPERLINK("https://buffer.com","Buffer")</f>
        <v>Buffer</v>
      </c>
      <c r="L754" s="15">
        <v>5379</v>
      </c>
      <c r="M754" s="15">
        <v>5031</v>
      </c>
      <c r="N754" s="15">
        <v>0</v>
      </c>
      <c r="O754" s="9"/>
      <c r="P754" s="10">
        <v>39869.201851851853</v>
      </c>
      <c r="Q754" s="14" t="s">
        <v>3520</v>
      </c>
      <c r="R754" s="14" t="s">
        <v>3521</v>
      </c>
      <c r="S754" s="7" t="s">
        <v>3522</v>
      </c>
      <c r="T754" s="8"/>
      <c r="U754" s="11" t="str">
        <f>HYPERLINK("https://pbs.twimg.com/profile_images/951422069941653504/-kev7IA6.jpg","View")</f>
        <v>View</v>
      </c>
      <c r="V754" s="8"/>
      <c r="W754" s="8"/>
      <c r="X754" s="8"/>
      <c r="Y754" s="8"/>
      <c r="Z754" s="8"/>
    </row>
    <row r="755" spans="1:26" ht="13.2">
      <c r="A755" s="13">
        <v>44250.614675925928</v>
      </c>
      <c r="B755" s="6" t="str">
        <f>HYPERLINK("https://twitter.com/s_kampakis","@s_kampakis")</f>
        <v>@s_kampakis</v>
      </c>
      <c r="C755" s="14" t="s">
        <v>823</v>
      </c>
      <c r="D755" s="14" t="s">
        <v>3523</v>
      </c>
      <c r="E755" s="6" t="str">
        <f>HYPERLINK("https://twitter.com/s_kampakis/status/1364209680617271296","1364209680617271296")</f>
        <v>1364209680617271296</v>
      </c>
      <c r="F755" s="7" t="s">
        <v>3524</v>
      </c>
      <c r="G755" s="8"/>
      <c r="H755" s="8"/>
      <c r="I755" s="14">
        <v>0</v>
      </c>
      <c r="J755" s="14">
        <v>0</v>
      </c>
      <c r="K755" s="6" t="str">
        <f>HYPERLINK("https://crowdfireapp.com","Crowdfire App")</f>
        <v>Crowdfire App</v>
      </c>
      <c r="L755" s="15">
        <v>1205</v>
      </c>
      <c r="M755" s="15">
        <v>2076</v>
      </c>
      <c r="N755" s="15">
        <v>87</v>
      </c>
      <c r="O755" s="9"/>
      <c r="P755" s="10">
        <v>41877.766087962962</v>
      </c>
      <c r="Q755" s="14" t="s">
        <v>753</v>
      </c>
      <c r="R755" s="14" t="s">
        <v>826</v>
      </c>
      <c r="S755" s="7" t="s">
        <v>827</v>
      </c>
      <c r="T755" s="8"/>
      <c r="U755" s="11" t="str">
        <f>HYPERLINK("https://pbs.twimg.com/profile_images/1175015480496726019/1UxlBHvw.jpg","View")</f>
        <v>View</v>
      </c>
      <c r="V755" s="8"/>
      <c r="W755" s="8"/>
      <c r="X755" s="8"/>
      <c r="Y755" s="8"/>
      <c r="Z755" s="8"/>
    </row>
    <row r="756" spans="1:26" ht="13.2">
      <c r="A756" s="13">
        <v>44250.614583333328</v>
      </c>
      <c r="B756" s="6" t="str">
        <f>HYPERLINK("https://twitter.com/GovCounterFraud","@GovCounterFraud")</f>
        <v>@GovCounterFraud</v>
      </c>
      <c r="C756" s="14" t="s">
        <v>3525</v>
      </c>
      <c r="D756" s="14" t="s">
        <v>3526</v>
      </c>
      <c r="E756" s="6" t="str">
        <f>HYPERLINK("https://twitter.com/GovCounterFraud/status/1364209647780036608","1364209647780036608")</f>
        <v>1364209647780036608</v>
      </c>
      <c r="F756" s="8"/>
      <c r="G756" s="7" t="s">
        <v>3527</v>
      </c>
      <c r="H756" s="8"/>
      <c r="I756" s="14">
        <v>1</v>
      </c>
      <c r="J756" s="14">
        <v>0</v>
      </c>
      <c r="K756" s="6" t="str">
        <f>HYPERLINK("http://www.hubspot.com/","HubSpot")</f>
        <v>HubSpot</v>
      </c>
      <c r="L756" s="15">
        <v>612</v>
      </c>
      <c r="M756" s="15">
        <v>548</v>
      </c>
      <c r="N756" s="15">
        <v>10</v>
      </c>
      <c r="O756" s="9"/>
      <c r="P756" s="10">
        <v>41283.721655092595</v>
      </c>
      <c r="Q756" s="14" t="s">
        <v>2551</v>
      </c>
      <c r="R756" s="14" t="s">
        <v>3528</v>
      </c>
      <c r="S756" s="7" t="s">
        <v>3529</v>
      </c>
      <c r="T756" s="8"/>
      <c r="U756" s="11" t="str">
        <f>HYPERLINK("https://pbs.twimg.com/profile_images/1190233776212889603/O-8LDdU9.jpg","View")</f>
        <v>View</v>
      </c>
      <c r="V756" s="8"/>
      <c r="W756" s="8"/>
      <c r="X756" s="8"/>
      <c r="Y756" s="8"/>
      <c r="Z756" s="8"/>
    </row>
    <row r="757" spans="1:26" ht="13.2">
      <c r="A757" s="13">
        <v>44250.614259259259</v>
      </c>
      <c r="B757" s="6" t="str">
        <f>HYPERLINK("https://twitter.com/grjenkin","@grjenkin")</f>
        <v>@grjenkin</v>
      </c>
      <c r="C757" s="14" t="s">
        <v>3530</v>
      </c>
      <c r="D757" s="14" t="s">
        <v>3531</v>
      </c>
      <c r="E757" s="6" t="str">
        <f>HYPERLINK("https://twitter.com/grjenkin/status/1364209529337085954","1364209529337085954")</f>
        <v>1364209529337085954</v>
      </c>
      <c r="F757" s="14" t="s">
        <v>3532</v>
      </c>
      <c r="G757" s="8"/>
      <c r="H757" s="8"/>
      <c r="I757" s="14">
        <v>0</v>
      </c>
      <c r="J757" s="14">
        <v>0</v>
      </c>
      <c r="K757" s="6" t="str">
        <f>HYPERLINK("http://twinybots.com","TwinyBots")</f>
        <v>TwinyBots</v>
      </c>
      <c r="L757" s="15">
        <v>8509</v>
      </c>
      <c r="M757" s="15">
        <v>9300</v>
      </c>
      <c r="N757" s="15">
        <v>589</v>
      </c>
      <c r="O757" s="9"/>
      <c r="P757" s="10">
        <v>39302.898541666669</v>
      </c>
      <c r="Q757" s="14" t="s">
        <v>3533</v>
      </c>
      <c r="R757" s="14" t="s">
        <v>3534</v>
      </c>
      <c r="S757" s="7" t="s">
        <v>3535</v>
      </c>
      <c r="T757" s="8"/>
      <c r="U757" s="11" t="str">
        <f>HYPERLINK("https://pbs.twimg.com/profile_images/526492552/polarized_garry.jpg","View")</f>
        <v>View</v>
      </c>
      <c r="V757" s="8"/>
      <c r="W757" s="8"/>
      <c r="X757" s="8"/>
      <c r="Y757" s="8"/>
      <c r="Z757" s="8"/>
    </row>
    <row r="758" spans="1:26" ht="13.2">
      <c r="A758" s="13">
        <v>44250.61409722222</v>
      </c>
      <c r="B758" s="6" t="str">
        <f>HYPERLINK("https://twitter.com/dinoreynyc","@dinoreynyc")</f>
        <v>@dinoreynyc</v>
      </c>
      <c r="C758" s="14" t="s">
        <v>3536</v>
      </c>
      <c r="D758" s="14" t="s">
        <v>3537</v>
      </c>
      <c r="E758" s="6" t="str">
        <f>HYPERLINK("https://twitter.com/dinoreynyc/status/1364209469656338432","1364209469656338432")</f>
        <v>1364209469656338432</v>
      </c>
      <c r="F758" s="14" t="s">
        <v>3538</v>
      </c>
      <c r="G758" s="7" t="s">
        <v>3539</v>
      </c>
      <c r="H758" s="8"/>
      <c r="I758" s="14">
        <v>0</v>
      </c>
      <c r="J758" s="14">
        <v>3</v>
      </c>
      <c r="K758" s="6" t="str">
        <f>HYPERLINK("http://twitter.com/download/android","Twitter for Android")</f>
        <v>Twitter for Android</v>
      </c>
      <c r="L758" s="15">
        <v>242</v>
      </c>
      <c r="M758" s="15">
        <v>435</v>
      </c>
      <c r="N758" s="15">
        <v>5</v>
      </c>
      <c r="O758" s="9"/>
      <c r="P758" s="10">
        <v>40730.72965277778</v>
      </c>
      <c r="Q758" s="14" t="s">
        <v>3540</v>
      </c>
      <c r="R758" s="14" t="s">
        <v>3541</v>
      </c>
      <c r="S758" s="8"/>
      <c r="T758" s="8"/>
      <c r="U758" s="11" t="str">
        <f>HYPERLINK("https://pbs.twimg.com/profile_images/1357787805771038722/-V_Hrb3n.jpg","View")</f>
        <v>View</v>
      </c>
      <c r="V758" s="8"/>
      <c r="W758" s="8"/>
      <c r="X758" s="8"/>
      <c r="Y758" s="8"/>
      <c r="Z758" s="8"/>
    </row>
    <row r="759" spans="1:26" ht="13.2">
      <c r="A759" s="13">
        <v>44250.613877314812</v>
      </c>
      <c r="B759" s="6" t="str">
        <f>HYPERLINK("https://twitter.com/FreeHipwee","@FreeHipwee")</f>
        <v>@FreeHipwee</v>
      </c>
      <c r="C759" s="14" t="s">
        <v>1968</v>
      </c>
      <c r="D759" s="14" t="s">
        <v>3542</v>
      </c>
      <c r="E759" s="6" t="str">
        <f>HYPERLINK("https://twitter.com/FreeHipwee/status/1364209392208420867","1364209392208420867")</f>
        <v>1364209392208420867</v>
      </c>
      <c r="F759" s="7" t="s">
        <v>3543</v>
      </c>
      <c r="G759" s="8"/>
      <c r="H759" s="8"/>
      <c r="I759" s="14">
        <v>20</v>
      </c>
      <c r="J759" s="14">
        <v>9</v>
      </c>
      <c r="K759" s="6" t="str">
        <f>HYPERLINK("https://mobile.twitter.com","Twitter Web App")</f>
        <v>Twitter Web App</v>
      </c>
      <c r="L759" s="15">
        <v>444</v>
      </c>
      <c r="M759" s="15">
        <v>152</v>
      </c>
      <c r="N759" s="15">
        <v>7</v>
      </c>
      <c r="O759" s="9"/>
      <c r="P759" s="10">
        <v>43642.24018518519</v>
      </c>
      <c r="Q759" s="8"/>
      <c r="R759" s="14" t="s">
        <v>1971</v>
      </c>
      <c r="S759" s="8"/>
      <c r="T759" s="8"/>
      <c r="U759" s="11" t="str">
        <f>HYPERLINK("https://pbs.twimg.com/profile_images/1143734724977762304/i9HNUbp4.png","View")</f>
        <v>View</v>
      </c>
      <c r="V759" s="8"/>
      <c r="W759" s="8"/>
      <c r="X759" s="8"/>
      <c r="Y759" s="8"/>
      <c r="Z759" s="8"/>
    </row>
    <row r="760" spans="1:26" ht="13.2">
      <c r="A760" s="13">
        <v>44250.613576388889</v>
      </c>
      <c r="B760" s="6" t="str">
        <f>HYPERLINK("https://twitter.com/_Harinivas_","@_Harinivas_")</f>
        <v>@_Harinivas_</v>
      </c>
      <c r="C760" s="14" t="s">
        <v>3156</v>
      </c>
      <c r="D760" s="14" t="s">
        <v>3544</v>
      </c>
      <c r="E760" s="6" t="str">
        <f>HYPERLINK("https://twitter.com/_Harinivas_/status/1364209283215237122","1364209283215237122")</f>
        <v>1364209283215237122</v>
      </c>
      <c r="F760" s="8"/>
      <c r="G760" s="8"/>
      <c r="H760" s="8"/>
      <c r="I760" s="14">
        <v>0</v>
      </c>
      <c r="J760" s="14">
        <v>2</v>
      </c>
      <c r="K760" s="6" t="str">
        <f>HYPERLINK("http://twitter.com/download/android","Twitter for Android")</f>
        <v>Twitter for Android</v>
      </c>
      <c r="L760" s="15">
        <v>16</v>
      </c>
      <c r="M760" s="15">
        <v>85</v>
      </c>
      <c r="N760" s="15">
        <v>0</v>
      </c>
      <c r="O760" s="9"/>
      <c r="P760" s="10">
        <v>44245.6091087963</v>
      </c>
      <c r="Q760" s="8"/>
      <c r="R760" s="14" t="s">
        <v>3159</v>
      </c>
      <c r="S760" s="8"/>
      <c r="T760" s="8"/>
      <c r="U760" s="11" t="str">
        <f>HYPERLINK("https://pbs.twimg.com/profile_images/1363061419797716994/2Yn7O2fH.jpg","View")</f>
        <v>View</v>
      </c>
      <c r="V760" s="8"/>
      <c r="W760" s="8"/>
      <c r="X760" s="8"/>
      <c r="Y760" s="8"/>
      <c r="Z760" s="8"/>
    </row>
    <row r="761" spans="1:26" ht="13.2">
      <c r="A761" s="13">
        <v>44250.613333333335</v>
      </c>
      <c r="B761" s="6" t="str">
        <f>HYPERLINK("https://twitter.com/mlmemoirs","@mlmemoirs")</f>
        <v>@mlmemoirs</v>
      </c>
      <c r="C761" s="14" t="s">
        <v>577</v>
      </c>
      <c r="D761" s="14" t="s">
        <v>3459</v>
      </c>
      <c r="E761" s="6" t="str">
        <f>HYPERLINK("https://twitter.com/mlmemoirs/status/1364209195873099776","1364209195873099776")</f>
        <v>1364209195873099776</v>
      </c>
      <c r="F761" s="7" t="s">
        <v>3545</v>
      </c>
      <c r="G761" s="8"/>
      <c r="H761" s="8"/>
      <c r="I761" s="14">
        <v>1</v>
      </c>
      <c r="J761" s="14">
        <v>0</v>
      </c>
      <c r="K761" s="6" t="str">
        <f>HYPERLINK("https://ifttt.com","IFTTT")</f>
        <v>IFTTT</v>
      </c>
      <c r="L761" s="15">
        <v>1674</v>
      </c>
      <c r="M761" s="15">
        <v>2216</v>
      </c>
      <c r="N761" s="15">
        <v>30</v>
      </c>
      <c r="O761" s="9"/>
      <c r="P761" s="10">
        <v>43238.970069444447</v>
      </c>
      <c r="Q761" s="14" t="s">
        <v>478</v>
      </c>
      <c r="R761" s="14" t="s">
        <v>579</v>
      </c>
      <c r="S761" s="8"/>
      <c r="T761" s="8"/>
      <c r="U761" s="11" t="str">
        <f>HYPERLINK("https://pbs.twimg.com/profile_images/1050964116729413637/Q5tLLPAf.jpg","View")</f>
        <v>View</v>
      </c>
      <c r="V761" s="8"/>
      <c r="W761" s="8"/>
      <c r="X761" s="8"/>
      <c r="Y761" s="8"/>
      <c r="Z761" s="8"/>
    </row>
    <row r="762" spans="1:26" ht="13.2">
      <c r="A762" s="13">
        <v>44250.613321759258</v>
      </c>
      <c r="B762" s="6" t="str">
        <f>HYPERLINK("https://twitter.com/Everyday_MBA","@Everyday_MBA")</f>
        <v>@Everyday_MBA</v>
      </c>
      <c r="C762" s="14" t="s">
        <v>3546</v>
      </c>
      <c r="D762" s="14" t="s">
        <v>3547</v>
      </c>
      <c r="E762" s="6" t="str">
        <f>HYPERLINK("https://twitter.com/Everyday_MBA/status/1364209191150358533","1364209191150358533")</f>
        <v>1364209191150358533</v>
      </c>
      <c r="F762" s="7" t="s">
        <v>3548</v>
      </c>
      <c r="G762" s="8"/>
      <c r="H762" s="8"/>
      <c r="I762" s="14">
        <v>1</v>
      </c>
      <c r="J762" s="14">
        <v>1</v>
      </c>
      <c r="K762" s="6" t="str">
        <f>HYPERLINK("https://www.socialjukebox.com","The Social Jukebox")</f>
        <v>The Social Jukebox</v>
      </c>
      <c r="L762" s="15">
        <v>3819</v>
      </c>
      <c r="M762" s="15">
        <v>3185</v>
      </c>
      <c r="N762" s="15">
        <v>1740</v>
      </c>
      <c r="O762" s="9"/>
      <c r="P762" s="10">
        <v>42070.982476851852</v>
      </c>
      <c r="Q762" s="14" t="s">
        <v>3549</v>
      </c>
      <c r="R762" s="14" t="s">
        <v>3550</v>
      </c>
      <c r="S762" s="7" t="s">
        <v>3551</v>
      </c>
      <c r="T762" s="8"/>
      <c r="U762" s="11" t="str">
        <f>HYPERLINK("https://pbs.twimg.com/profile_images/574337677459202048/Q2PmXkVJ.jpeg","View")</f>
        <v>View</v>
      </c>
      <c r="V762" s="8"/>
      <c r="W762" s="8"/>
      <c r="X762" s="8"/>
      <c r="Y762" s="8"/>
      <c r="Z762" s="8"/>
    </row>
    <row r="763" spans="1:26" ht="13.2">
      <c r="A763" s="13">
        <v>44250.612905092596</v>
      </c>
      <c r="B763" s="6" t="str">
        <f>HYPERLINK("https://twitter.com/taneemishere","@taneemishere")</f>
        <v>@taneemishere</v>
      </c>
      <c r="C763" s="14" t="s">
        <v>3552</v>
      </c>
      <c r="D763" s="14" t="s">
        <v>3553</v>
      </c>
      <c r="E763" s="6" t="str">
        <f>HYPERLINK("https://twitter.com/taneemishere/status/1364209038188306435","1364209038188306435")</f>
        <v>1364209038188306435</v>
      </c>
      <c r="F763" s="7" t="s">
        <v>3554</v>
      </c>
      <c r="G763" s="8"/>
      <c r="H763" s="8"/>
      <c r="I763" s="14">
        <v>0</v>
      </c>
      <c r="J763" s="14">
        <v>0</v>
      </c>
      <c r="K763" s="6" t="str">
        <f>HYPERLINK("http://twitter.com/download/android","Twitter for Android")</f>
        <v>Twitter for Android</v>
      </c>
      <c r="L763" s="15">
        <v>384</v>
      </c>
      <c r="M763" s="15">
        <v>110</v>
      </c>
      <c r="N763" s="15">
        <v>2</v>
      </c>
      <c r="O763" s="9"/>
      <c r="P763" s="10">
        <v>41830.661423611113</v>
      </c>
      <c r="Q763" s="14" t="s">
        <v>3555</v>
      </c>
      <c r="R763" s="14" t="s">
        <v>3556</v>
      </c>
      <c r="S763" s="7" t="s">
        <v>3557</v>
      </c>
      <c r="T763" s="8"/>
      <c r="U763" s="11" t="str">
        <f>HYPERLINK("https://pbs.twimg.com/profile_images/1343227227434065923/boP0UHQV.jpg","View")</f>
        <v>View</v>
      </c>
      <c r="V763" s="8"/>
      <c r="W763" s="8"/>
      <c r="X763" s="8"/>
      <c r="Y763" s="8"/>
      <c r="Z763" s="8"/>
    </row>
    <row r="764" spans="1:26" ht="13.2">
      <c r="A764" s="13">
        <v>44250.612546296295</v>
      </c>
      <c r="B764" s="6" t="str">
        <f>HYPERLINK("https://twitter.com/SpirosMargaris","@SpirosMargaris")</f>
        <v>@SpirosMargaris</v>
      </c>
      <c r="C764" s="14" t="s">
        <v>3558</v>
      </c>
      <c r="D764" s="14" t="s">
        <v>3559</v>
      </c>
      <c r="E764" s="6" t="str">
        <f>HYPERLINK("https://twitter.com/SpirosMargaris/status/1364208911256059906","1364208911256059906")</f>
        <v>1364208911256059906</v>
      </c>
      <c r="F764" s="7" t="s">
        <v>3560</v>
      </c>
      <c r="G764" s="7" t="s">
        <v>3561</v>
      </c>
      <c r="H764" s="8"/>
      <c r="I764" s="14">
        <v>7</v>
      </c>
      <c r="J764" s="14">
        <v>4</v>
      </c>
      <c r="K764" s="6" t="str">
        <f>HYPERLINK("https://buffer.com","Buffer")</f>
        <v>Buffer</v>
      </c>
      <c r="L764" s="15">
        <v>107389</v>
      </c>
      <c r="M764" s="15">
        <v>15890</v>
      </c>
      <c r="N764" s="15">
        <v>5693</v>
      </c>
      <c r="O764" s="15" t="s">
        <v>130</v>
      </c>
      <c r="P764" s="10">
        <v>41857.30574074074</v>
      </c>
      <c r="Q764" s="14" t="s">
        <v>3562</v>
      </c>
      <c r="R764" s="14" t="s">
        <v>3563</v>
      </c>
      <c r="S764" s="7" t="s">
        <v>3564</v>
      </c>
      <c r="T764" s="8"/>
      <c r="U764" s="11" t="str">
        <f>HYPERLINK("https://pbs.twimg.com/profile_images/1346443960986775553/TGeiH97s.jpg","View")</f>
        <v>View</v>
      </c>
      <c r="V764" s="8"/>
      <c r="W764" s="8"/>
      <c r="X764" s="8"/>
      <c r="Y764" s="8"/>
      <c r="Z764" s="8"/>
    </row>
    <row r="765" spans="1:26" ht="13.2">
      <c r="A765" s="13">
        <v>44250.611655092594</v>
      </c>
      <c r="B765" s="6" t="str">
        <f>HYPERLINK("https://twitter.com/luizpicolo_","@luizpicolo_")</f>
        <v>@luizpicolo_</v>
      </c>
      <c r="C765" s="14" t="s">
        <v>3565</v>
      </c>
      <c r="D765" s="14" t="s">
        <v>3566</v>
      </c>
      <c r="E765" s="6" t="str">
        <f>HYPERLINK("https://twitter.com/luizpicolo_/status/1364208587669725184","1364208587669725184")</f>
        <v>1364208587669725184</v>
      </c>
      <c r="F765" s="8"/>
      <c r="G765" s="7" t="s">
        <v>3567</v>
      </c>
      <c r="H765" s="8"/>
      <c r="I765" s="14">
        <v>0</v>
      </c>
      <c r="J765" s="14">
        <v>0</v>
      </c>
      <c r="K765" s="6" t="str">
        <f t="shared" ref="K765:K767" si="121">HYPERLINK("https://mobile.twitter.com","Twitter Web App")</f>
        <v>Twitter Web App</v>
      </c>
      <c r="L765" s="15">
        <v>219</v>
      </c>
      <c r="M765" s="15">
        <v>126</v>
      </c>
      <c r="N765" s="15">
        <v>15</v>
      </c>
      <c r="O765" s="9"/>
      <c r="P765" s="10">
        <v>40262.673206018517</v>
      </c>
      <c r="Q765" s="14" t="s">
        <v>3568</v>
      </c>
      <c r="R765" s="14" t="s">
        <v>3569</v>
      </c>
      <c r="S765" s="8"/>
      <c r="T765" s="8"/>
      <c r="U765" s="11" t="str">
        <f>HYPERLINK("https://pbs.twimg.com/profile_images/1361142403088977921/tul84729.jpg","View")</f>
        <v>View</v>
      </c>
      <c r="V765" s="8"/>
      <c r="W765" s="8"/>
      <c r="X765" s="8"/>
      <c r="Y765" s="8"/>
      <c r="Z765" s="8"/>
    </row>
    <row r="766" spans="1:26" ht="13.2">
      <c r="A766" s="13">
        <v>44250.611412037033</v>
      </c>
      <c r="B766" s="6" t="str">
        <f>HYPERLINK("https://twitter.com/mambo247","@mambo247")</f>
        <v>@mambo247</v>
      </c>
      <c r="C766" s="14" t="s">
        <v>3570</v>
      </c>
      <c r="D766" s="14" t="s">
        <v>3571</v>
      </c>
      <c r="E766" s="6" t="str">
        <f>HYPERLINK("https://twitter.com/mambo247/status/1364208497282457603","1364208497282457603")</f>
        <v>1364208497282457603</v>
      </c>
      <c r="F766" s="7" t="s">
        <v>3572</v>
      </c>
      <c r="G766" s="7" t="s">
        <v>3573</v>
      </c>
      <c r="H766" s="8"/>
      <c r="I766" s="14">
        <v>21</v>
      </c>
      <c r="J766" s="14">
        <v>9</v>
      </c>
      <c r="K766" s="6" t="str">
        <f t="shared" si="121"/>
        <v>Twitter Web App</v>
      </c>
      <c r="L766" s="15">
        <v>533</v>
      </c>
      <c r="M766" s="15">
        <v>848</v>
      </c>
      <c r="N766" s="15">
        <v>11</v>
      </c>
      <c r="O766" s="9"/>
      <c r="P766" s="10">
        <v>39967.831875000003</v>
      </c>
      <c r="Q766" s="14" t="s">
        <v>3574</v>
      </c>
      <c r="R766" s="14" t="s">
        <v>3575</v>
      </c>
      <c r="S766" s="7" t="s">
        <v>3576</v>
      </c>
      <c r="T766" s="8"/>
      <c r="U766" s="11" t="str">
        <f>HYPERLINK("https://pbs.twimg.com/profile_images/564647138110361600/SFiwTA-S.png","View")</f>
        <v>View</v>
      </c>
      <c r="V766" s="8"/>
      <c r="W766" s="8"/>
      <c r="X766" s="8"/>
      <c r="Y766" s="8"/>
      <c r="Z766" s="8"/>
    </row>
    <row r="767" spans="1:26" ht="13.2">
      <c r="A767" s="13">
        <v>44250.611203703702</v>
      </c>
      <c r="B767" s="6" t="str">
        <f>HYPERLINK("https://twitter.com/7wData","@7wData")</f>
        <v>@7wData</v>
      </c>
      <c r="C767" s="14" t="s">
        <v>3577</v>
      </c>
      <c r="D767" s="14" t="s">
        <v>3578</v>
      </c>
      <c r="E767" s="6" t="str">
        <f>HYPERLINK("https://twitter.com/7wData/status/1364208423181701127","1364208423181701127")</f>
        <v>1364208423181701127</v>
      </c>
      <c r="F767" s="7" t="s">
        <v>3579</v>
      </c>
      <c r="G767" s="7" t="s">
        <v>3580</v>
      </c>
      <c r="H767" s="8"/>
      <c r="I767" s="14">
        <v>0</v>
      </c>
      <c r="J767" s="14">
        <v>0</v>
      </c>
      <c r="K767" s="6" t="str">
        <f t="shared" si="121"/>
        <v>Twitter Web App</v>
      </c>
      <c r="L767" s="15">
        <v>77046</v>
      </c>
      <c r="M767" s="15">
        <v>84757</v>
      </c>
      <c r="N767" s="15">
        <v>8391</v>
      </c>
      <c r="O767" s="9"/>
      <c r="P767" s="10">
        <v>41516.861932870372</v>
      </c>
      <c r="Q767" s="14" t="s">
        <v>3581</v>
      </c>
      <c r="R767" s="14" t="s">
        <v>3582</v>
      </c>
      <c r="S767" s="7" t="s">
        <v>3583</v>
      </c>
      <c r="T767" s="8"/>
      <c r="U767" s="11" t="str">
        <f>HYPERLINK("https://pbs.twimg.com/profile_images/603260553012781056/ri__z73B.png","View")</f>
        <v>View</v>
      </c>
      <c r="V767" s="8"/>
      <c r="W767" s="8"/>
      <c r="X767" s="8"/>
      <c r="Y767" s="8"/>
      <c r="Z767" s="8"/>
    </row>
    <row r="768" spans="1:26" ht="13.2">
      <c r="A768" s="13">
        <v>44250.611157407402</v>
      </c>
      <c r="B768" s="6" t="str">
        <f>HYPERLINK("https://twitter.com/sandy_carter","@sandy_carter")</f>
        <v>@sandy_carter</v>
      </c>
      <c r="C768" s="14" t="s">
        <v>3584</v>
      </c>
      <c r="D768" s="14" t="s">
        <v>3585</v>
      </c>
      <c r="E768" s="6" t="str">
        <f>HYPERLINK("https://twitter.com/sandy_carter/status/1364208405095792641","1364208405095792641")</f>
        <v>1364208405095792641</v>
      </c>
      <c r="F768" s="7" t="s">
        <v>3586</v>
      </c>
      <c r="G768" s="7" t="s">
        <v>3587</v>
      </c>
      <c r="H768" s="8"/>
      <c r="I768" s="14">
        <v>7</v>
      </c>
      <c r="J768" s="14">
        <v>16</v>
      </c>
      <c r="K768" s="6" t="str">
        <f>HYPERLINK("https://www.hootsuite.com","Hootsuite Inc.")</f>
        <v>Hootsuite Inc.</v>
      </c>
      <c r="L768" s="15">
        <v>81095</v>
      </c>
      <c r="M768" s="15">
        <v>70058</v>
      </c>
      <c r="N768" s="15">
        <v>4081</v>
      </c>
      <c r="O768" s="15" t="s">
        <v>130</v>
      </c>
      <c r="P768" s="10">
        <v>39508.696655092594</v>
      </c>
      <c r="Q768" s="14" t="s">
        <v>390</v>
      </c>
      <c r="R768" s="14" t="s">
        <v>3588</v>
      </c>
      <c r="S768" s="7" t="s">
        <v>3589</v>
      </c>
      <c r="T768" s="8"/>
      <c r="U768" s="11" t="str">
        <f>HYPERLINK("https://pbs.twimg.com/profile_images/688039108/retouched_3726.jpg","View")</f>
        <v>View</v>
      </c>
      <c r="V768" s="8"/>
      <c r="W768" s="8"/>
      <c r="X768" s="8"/>
      <c r="Y768" s="8"/>
      <c r="Z768" s="8"/>
    </row>
    <row r="769" spans="1:26" ht="13.2">
      <c r="A769" s="13">
        <v>44250.610833333332</v>
      </c>
      <c r="B769" s="6" t="str">
        <f>HYPERLINK("https://twitter.com/love12utakata","@love12utakata")</f>
        <v>@love12utakata</v>
      </c>
      <c r="C769" s="14" t="s">
        <v>3116</v>
      </c>
      <c r="D769" s="14" t="s">
        <v>3590</v>
      </c>
      <c r="E769" s="6" t="str">
        <f>HYPERLINK("https://twitter.com/love12utakata/status/1364208287961341962","1364208287961341962")</f>
        <v>1364208287961341962</v>
      </c>
      <c r="F769" s="8"/>
      <c r="G769" s="7" t="s">
        <v>3591</v>
      </c>
      <c r="H769" s="8"/>
      <c r="I769" s="14">
        <v>0</v>
      </c>
      <c r="J769" s="14">
        <v>1</v>
      </c>
      <c r="K769" s="6" t="str">
        <f t="shared" ref="K769:K770" si="122">HYPERLINK("https://mobile.twitter.com","Twitter Web App")</f>
        <v>Twitter Web App</v>
      </c>
      <c r="L769" s="15">
        <v>33</v>
      </c>
      <c r="M769" s="15">
        <v>192</v>
      </c>
      <c r="N769" s="15">
        <v>0</v>
      </c>
      <c r="O769" s="9"/>
      <c r="P769" s="10">
        <v>44207.984849537039</v>
      </c>
      <c r="Q769" s="14" t="s">
        <v>3119</v>
      </c>
      <c r="R769" s="14" t="s">
        <v>3120</v>
      </c>
      <c r="S769" s="8"/>
      <c r="T769" s="8"/>
      <c r="U769" s="11" t="str">
        <f>HYPERLINK("https://pbs.twimg.com/profile_images/1364058211930701826/rwkqHlru.jpg","View")</f>
        <v>View</v>
      </c>
      <c r="V769" s="8"/>
      <c r="W769" s="8"/>
      <c r="X769" s="8"/>
      <c r="Y769" s="8"/>
      <c r="Z769" s="8"/>
    </row>
    <row r="770" spans="1:26" ht="13.2">
      <c r="A770" s="13">
        <v>44250.61072916667</v>
      </c>
      <c r="B770" s="6" t="str">
        <f>HYPERLINK("https://twitter.com/Harry_Robots","@Harry_Robots")</f>
        <v>@Harry_Robots</v>
      </c>
      <c r="C770" s="14" t="s">
        <v>3592</v>
      </c>
      <c r="D770" s="14" t="s">
        <v>3593</v>
      </c>
      <c r="E770" s="6" t="str">
        <f>HYPERLINK("https://twitter.com/Harry_Robots/status/1364208249789165576","1364208249789165576")</f>
        <v>1364208249789165576</v>
      </c>
      <c r="F770" s="7" t="s">
        <v>3594</v>
      </c>
      <c r="G770" s="7" t="s">
        <v>3595</v>
      </c>
      <c r="H770" s="8"/>
      <c r="I770" s="14">
        <v>8</v>
      </c>
      <c r="J770" s="14">
        <v>6</v>
      </c>
      <c r="K770" s="6" t="str">
        <f t="shared" si="122"/>
        <v>Twitter Web App</v>
      </c>
      <c r="L770" s="15">
        <v>14305</v>
      </c>
      <c r="M770" s="15">
        <v>6985</v>
      </c>
      <c r="N770" s="15">
        <v>126</v>
      </c>
      <c r="O770" s="9"/>
      <c r="P770" s="10">
        <v>43173.544861111106</v>
      </c>
      <c r="Q770" s="14" t="s">
        <v>3596</v>
      </c>
      <c r="R770" s="14" t="s">
        <v>3597</v>
      </c>
      <c r="S770" s="7" t="s">
        <v>3598</v>
      </c>
      <c r="T770" s="8"/>
      <c r="U770" s="11" t="str">
        <f>HYPERLINK("https://pbs.twimg.com/profile_images/980134048214409216/9hzujrdU.jpg","View")</f>
        <v>View</v>
      </c>
      <c r="V770" s="8"/>
      <c r="W770" s="8"/>
      <c r="X770" s="8"/>
      <c r="Y770" s="8"/>
      <c r="Z770" s="8"/>
    </row>
    <row r="771" spans="1:26" ht="13.2">
      <c r="A771" s="13">
        <v>44250.610578703709</v>
      </c>
      <c r="B771" s="6" t="str">
        <f>HYPERLINK("https://twitter.com/balavenkatesh22","@balavenkatesh22")</f>
        <v>@balavenkatesh22</v>
      </c>
      <c r="C771" s="14" t="s">
        <v>3599</v>
      </c>
      <c r="D771" s="14" t="s">
        <v>3600</v>
      </c>
      <c r="E771" s="6" t="str">
        <f>HYPERLINK("https://twitter.com/balavenkatesh22/status/1364208195971940352","1364208195971940352")</f>
        <v>1364208195971940352</v>
      </c>
      <c r="F771" s="8"/>
      <c r="G771" s="7" t="s">
        <v>3601</v>
      </c>
      <c r="H771" s="8"/>
      <c r="I771" s="14">
        <v>3</v>
      </c>
      <c r="J771" s="14">
        <v>0</v>
      </c>
      <c r="K771" s="6" t="str">
        <f>HYPERLINK("http://twitter.com/download/android","Twitter for Android")</f>
        <v>Twitter for Android</v>
      </c>
      <c r="L771" s="15">
        <v>298</v>
      </c>
      <c r="M771" s="15">
        <v>1444</v>
      </c>
      <c r="N771" s="15">
        <v>2</v>
      </c>
      <c r="O771" s="9"/>
      <c r="P771" s="10">
        <v>40594.583668981482</v>
      </c>
      <c r="Q771" s="14" t="s">
        <v>3602</v>
      </c>
      <c r="R771" s="14" t="s">
        <v>3603</v>
      </c>
      <c r="S771" s="7" t="s">
        <v>3604</v>
      </c>
      <c r="T771" s="8"/>
      <c r="U771" s="11" t="str">
        <f>HYPERLINK("https://pbs.twimg.com/profile_images/1330983465290895362/kvmMHObe.jpg","View")</f>
        <v>View</v>
      </c>
      <c r="V771" s="8"/>
      <c r="W771" s="8"/>
      <c r="X771" s="8"/>
      <c r="Y771" s="8"/>
      <c r="Z771" s="8"/>
    </row>
    <row r="772" spans="1:26" ht="13.2">
      <c r="A772" s="13">
        <v>44250.610347222224</v>
      </c>
      <c r="B772" s="6" t="str">
        <f>HYPERLINK("https://twitter.com/unsuckEBAY","@unsuckEBAY")</f>
        <v>@unsuckEBAY</v>
      </c>
      <c r="C772" s="14" t="s">
        <v>3605</v>
      </c>
      <c r="D772" s="14" t="s">
        <v>3606</v>
      </c>
      <c r="E772" s="6" t="str">
        <f>HYPERLINK("https://twitter.com/unsuckEBAY/status/1364208113407176704","1364208113407176704")</f>
        <v>1364208113407176704</v>
      </c>
      <c r="F772" s="7" t="s">
        <v>3607</v>
      </c>
      <c r="G772" s="7" t="s">
        <v>3608</v>
      </c>
      <c r="H772" s="8"/>
      <c r="I772" s="14">
        <v>2</v>
      </c>
      <c r="J772" s="14">
        <v>1</v>
      </c>
      <c r="K772" s="6" t="str">
        <f t="shared" ref="K772:K773" si="123">HYPERLINK("https://mobile.twitter.com","Twitter Web App")</f>
        <v>Twitter Web App</v>
      </c>
      <c r="L772" s="15">
        <v>15438</v>
      </c>
      <c r="M772" s="15">
        <v>14893</v>
      </c>
      <c r="N772" s="15">
        <v>23</v>
      </c>
      <c r="O772" s="9"/>
      <c r="P772" s="10">
        <v>43244.821932870371</v>
      </c>
      <c r="Q772" s="8"/>
      <c r="R772" s="14" t="s">
        <v>3609</v>
      </c>
      <c r="S772" s="8"/>
      <c r="T772" s="8"/>
      <c r="U772" s="11" t="str">
        <f>HYPERLINK("https://pbs.twimg.com/profile_images/1223942844555108358/9kApka1V.jpg","View")</f>
        <v>View</v>
      </c>
      <c r="V772" s="8"/>
      <c r="W772" s="8"/>
      <c r="X772" s="8"/>
      <c r="Y772" s="8"/>
      <c r="Z772" s="8"/>
    </row>
    <row r="773" spans="1:26" ht="13.2">
      <c r="A773" s="13">
        <v>44250.609432870369</v>
      </c>
      <c r="B773" s="6" t="str">
        <f>HYPERLINK("https://twitter.com/CNRIAC","@CNRIAC")</f>
        <v>@CNRIAC</v>
      </c>
      <c r="C773" s="14" t="s">
        <v>3610</v>
      </c>
      <c r="D773" s="14" t="s">
        <v>3611</v>
      </c>
      <c r="E773" s="6" t="str">
        <f>HYPERLINK("https://twitter.com/CNRIAC/status/1364207781507715082","1364207781507715082")</f>
        <v>1364207781507715082</v>
      </c>
      <c r="F773" s="7" t="s">
        <v>3612</v>
      </c>
      <c r="G773" s="7" t="s">
        <v>3613</v>
      </c>
      <c r="H773" s="8"/>
      <c r="I773" s="14">
        <v>2</v>
      </c>
      <c r="J773" s="14">
        <v>1</v>
      </c>
      <c r="K773" s="6" t="str">
        <f t="shared" si="123"/>
        <v>Twitter Web App</v>
      </c>
      <c r="L773" s="15">
        <v>146</v>
      </c>
      <c r="M773" s="15">
        <v>221</v>
      </c>
      <c r="N773" s="15">
        <v>1</v>
      </c>
      <c r="O773" s="9"/>
      <c r="P773" s="10">
        <v>44123.418611111112</v>
      </c>
      <c r="Q773" s="14" t="s">
        <v>3614</v>
      </c>
      <c r="R773" s="14" t="s">
        <v>3615</v>
      </c>
      <c r="S773" s="7" t="s">
        <v>3616</v>
      </c>
      <c r="T773" s="8"/>
      <c r="U773" s="11" t="str">
        <f>HYPERLINK("https://pbs.twimg.com/profile_images/1318100461724012545/iF-IEgN1.jpg","View")</f>
        <v>View</v>
      </c>
      <c r="V773" s="8"/>
      <c r="W773" s="8"/>
      <c r="X773" s="8"/>
      <c r="Y773" s="8"/>
      <c r="Z773" s="8"/>
    </row>
    <row r="774" spans="1:26" ht="13.2">
      <c r="A774" s="13">
        <v>44250.609085648146</v>
      </c>
      <c r="B774" s="6" t="str">
        <f>HYPERLINK("https://twitter.com/SpirosMargaris","@SpirosMargaris")</f>
        <v>@SpirosMargaris</v>
      </c>
      <c r="C774" s="14" t="s">
        <v>3558</v>
      </c>
      <c r="D774" s="14" t="s">
        <v>3617</v>
      </c>
      <c r="E774" s="6" t="str">
        <f>HYPERLINK("https://twitter.com/SpirosMargaris/status/1364207656135782401","1364207656135782401")</f>
        <v>1364207656135782401</v>
      </c>
      <c r="F774" s="7" t="s">
        <v>3618</v>
      </c>
      <c r="G774" s="7" t="s">
        <v>3619</v>
      </c>
      <c r="H774" s="8"/>
      <c r="I774" s="14">
        <v>2</v>
      </c>
      <c r="J774" s="14">
        <v>1</v>
      </c>
      <c r="K774" s="6" t="str">
        <f>HYPERLINK("https://buffer.com","Buffer")</f>
        <v>Buffer</v>
      </c>
      <c r="L774" s="15">
        <v>107389</v>
      </c>
      <c r="M774" s="15">
        <v>15890</v>
      </c>
      <c r="N774" s="15">
        <v>5693</v>
      </c>
      <c r="O774" s="15" t="s">
        <v>130</v>
      </c>
      <c r="P774" s="10">
        <v>41857.30574074074</v>
      </c>
      <c r="Q774" s="14" t="s">
        <v>3562</v>
      </c>
      <c r="R774" s="14" t="s">
        <v>3563</v>
      </c>
      <c r="S774" s="7" t="s">
        <v>3564</v>
      </c>
      <c r="T774" s="8"/>
      <c r="U774" s="11" t="str">
        <f>HYPERLINK("https://pbs.twimg.com/profile_images/1346443960986775553/TGeiH97s.jpg","View")</f>
        <v>View</v>
      </c>
      <c r="V774" s="8"/>
      <c r="W774" s="8"/>
      <c r="X774" s="8"/>
      <c r="Y774" s="8"/>
      <c r="Z774" s="8"/>
    </row>
    <row r="775" spans="1:26" ht="13.2">
      <c r="A775" s="13">
        <v>44250.60864583333</v>
      </c>
      <c r="B775" s="6" t="str">
        <f>HYPERLINK("https://twitter.com/ZetaneSystems","@ZetaneSystems")</f>
        <v>@ZetaneSystems</v>
      </c>
      <c r="C775" s="14" t="s">
        <v>1094</v>
      </c>
      <c r="D775" s="14" t="s">
        <v>3620</v>
      </c>
      <c r="E775" s="6" t="str">
        <f>HYPERLINK("https://twitter.com/ZetaneSystems/status/1364207497515515910","1364207497515515910")</f>
        <v>1364207497515515910</v>
      </c>
      <c r="F775" s="7" t="s">
        <v>3621</v>
      </c>
      <c r="G775" s="8"/>
      <c r="H775" s="8"/>
      <c r="I775" s="14">
        <v>0</v>
      </c>
      <c r="J775" s="14">
        <v>0</v>
      </c>
      <c r="K775" s="6" t="str">
        <f>HYPERLINK("http://www.hubspot.com/","HubSpot")</f>
        <v>HubSpot</v>
      </c>
      <c r="L775" s="15">
        <v>72</v>
      </c>
      <c r="M775" s="15">
        <v>112</v>
      </c>
      <c r="N775" s="15">
        <v>2</v>
      </c>
      <c r="O775" s="9"/>
      <c r="P775" s="10">
        <v>43118.280578703707</v>
      </c>
      <c r="Q775" s="14" t="s">
        <v>1098</v>
      </c>
      <c r="R775" s="14" t="s">
        <v>1099</v>
      </c>
      <c r="S775" s="7" t="s">
        <v>1100</v>
      </c>
      <c r="T775" s="8"/>
      <c r="U775" s="11" t="str">
        <f>HYPERLINK("https://pbs.twimg.com/profile_images/1309648920105160707/EKlapVVo.jpg","View")</f>
        <v>View</v>
      </c>
      <c r="V775" s="8"/>
      <c r="W775" s="8"/>
      <c r="X775" s="8"/>
      <c r="Y775" s="8"/>
      <c r="Z775" s="8"/>
    </row>
    <row r="776" spans="1:26" ht="13.2">
      <c r="A776" s="13">
        <v>44250.608356481476</v>
      </c>
      <c r="B776" s="6" t="str">
        <f>HYPERLINK("https://twitter.com/asifrazzaq1988","@asifrazzaq1988")</f>
        <v>@asifrazzaq1988</v>
      </c>
      <c r="C776" s="14" t="s">
        <v>53</v>
      </c>
      <c r="D776" s="14" t="s">
        <v>3622</v>
      </c>
      <c r="E776" s="6" t="str">
        <f>HYPERLINK("https://twitter.com/asifrazzaq1988/status/1364207393266036736","1364207393266036736")</f>
        <v>1364207393266036736</v>
      </c>
      <c r="F776" s="7" t="s">
        <v>3623</v>
      </c>
      <c r="G776" s="8"/>
      <c r="H776" s="8"/>
      <c r="I776" s="14">
        <v>2</v>
      </c>
      <c r="J776" s="14">
        <v>0</v>
      </c>
      <c r="K776" s="6" t="str">
        <f>HYPERLINK("https://dlvrit.com/","dlvr.it")</f>
        <v>dlvr.it</v>
      </c>
      <c r="L776" s="15">
        <v>5022</v>
      </c>
      <c r="M776" s="15">
        <v>3191</v>
      </c>
      <c r="N776" s="15">
        <v>77</v>
      </c>
      <c r="O776" s="9"/>
      <c r="P776" s="10">
        <v>42237.408136574071</v>
      </c>
      <c r="Q776" s="14" t="s">
        <v>56</v>
      </c>
      <c r="R776" s="14" t="s">
        <v>57</v>
      </c>
      <c r="S776" s="7" t="s">
        <v>58</v>
      </c>
      <c r="T776" s="8"/>
      <c r="U776" s="11" t="str">
        <f>HYPERLINK("https://pbs.twimg.com/profile_images/1329326638589382657/lE7wr_tF.jpg","View")</f>
        <v>View</v>
      </c>
      <c r="V776" s="8"/>
      <c r="W776" s="8"/>
      <c r="X776" s="8"/>
      <c r="Y776" s="8"/>
      <c r="Z776" s="8"/>
    </row>
    <row r="777" spans="1:26" ht="13.2">
      <c r="A777" s="13">
        <v>44250.608263888891</v>
      </c>
      <c r="B777" s="6" t="str">
        <f>HYPERLINK("https://twitter.com/mambo247","@mambo247")</f>
        <v>@mambo247</v>
      </c>
      <c r="C777" s="14" t="s">
        <v>3570</v>
      </c>
      <c r="D777" s="14" t="s">
        <v>3624</v>
      </c>
      <c r="E777" s="6" t="str">
        <f>HYPERLINK("https://twitter.com/mambo247/status/1364207357266427917","1364207357266427917")</f>
        <v>1364207357266427917</v>
      </c>
      <c r="F777" s="7" t="s">
        <v>3625</v>
      </c>
      <c r="G777" s="7" t="s">
        <v>3626</v>
      </c>
      <c r="H777" s="8"/>
      <c r="I777" s="14">
        <v>24</v>
      </c>
      <c r="J777" s="14">
        <v>14</v>
      </c>
      <c r="K777" s="6" t="str">
        <f t="shared" ref="K777:K778" si="124">HYPERLINK("https://mobile.twitter.com","Twitter Web App")</f>
        <v>Twitter Web App</v>
      </c>
      <c r="L777" s="15">
        <v>533</v>
      </c>
      <c r="M777" s="15">
        <v>848</v>
      </c>
      <c r="N777" s="15">
        <v>11</v>
      </c>
      <c r="O777" s="9"/>
      <c r="P777" s="10">
        <v>39967.831875000003</v>
      </c>
      <c r="Q777" s="14" t="s">
        <v>3574</v>
      </c>
      <c r="R777" s="14" t="s">
        <v>3575</v>
      </c>
      <c r="S777" s="7" t="s">
        <v>3576</v>
      </c>
      <c r="T777" s="8"/>
      <c r="U777" s="11" t="str">
        <f>HYPERLINK("https://pbs.twimg.com/profile_images/564647138110361600/SFiwTA-S.png","View")</f>
        <v>View</v>
      </c>
      <c r="V777" s="8"/>
      <c r="W777" s="8"/>
      <c r="X777" s="8"/>
      <c r="Y777" s="8"/>
      <c r="Z777" s="8"/>
    </row>
    <row r="778" spans="1:26" ht="13.2">
      <c r="A778" s="13">
        <v>44250.608159722222</v>
      </c>
      <c r="B778" s="6" t="str">
        <f>HYPERLINK("https://twitter.com/Call_Me_Kush__","@Call_Me_Kush__")</f>
        <v>@Call_Me_Kush__</v>
      </c>
      <c r="C778" s="14" t="s">
        <v>2588</v>
      </c>
      <c r="D778" s="14" t="s">
        <v>3627</v>
      </c>
      <c r="E778" s="6" t="str">
        <f>HYPERLINK("https://twitter.com/Call_Me_Kush__/status/1364207318410293249","1364207318410293249")</f>
        <v>1364207318410293249</v>
      </c>
      <c r="F778" s="8"/>
      <c r="G778" s="8"/>
      <c r="H778" s="8"/>
      <c r="I778" s="14">
        <v>0</v>
      </c>
      <c r="J778" s="14">
        <v>0</v>
      </c>
      <c r="K778" s="6" t="str">
        <f t="shared" si="124"/>
        <v>Twitter Web App</v>
      </c>
      <c r="L778" s="15">
        <v>7</v>
      </c>
      <c r="M778" s="15">
        <v>16</v>
      </c>
      <c r="N778" s="15">
        <v>0</v>
      </c>
      <c r="O778" s="9"/>
      <c r="P778" s="10">
        <v>44248.637418981481</v>
      </c>
      <c r="Q778" s="8"/>
      <c r="R778" s="14" t="s">
        <v>3628</v>
      </c>
      <c r="S778" s="8"/>
      <c r="T778" s="8"/>
      <c r="U778" s="11" t="str">
        <f>HYPERLINK("https://pbs.twimg.com/profile_images/1363493349777309700/08So_wlI.jpg","View")</f>
        <v>View</v>
      </c>
      <c r="V778" s="8"/>
      <c r="W778" s="8"/>
      <c r="X778" s="8"/>
      <c r="Y778" s="8"/>
      <c r="Z778" s="8"/>
    </row>
    <row r="779" spans="1:26" ht="13.2">
      <c r="A779" s="13">
        <v>44250.608136574076</v>
      </c>
      <c r="B779" s="6" t="str">
        <f>HYPERLINK("https://twitter.com/aisear_ch","@aisear_ch")</f>
        <v>@aisear_ch</v>
      </c>
      <c r="C779" s="14" t="s">
        <v>739</v>
      </c>
      <c r="D779" s="14" t="s">
        <v>2458</v>
      </c>
      <c r="E779" s="6" t="str">
        <f>HYPERLINK("https://twitter.com/aisear_ch/status/1364207310948728839","1364207310948728839")</f>
        <v>1364207310948728839</v>
      </c>
      <c r="F779" s="14" t="s">
        <v>2459</v>
      </c>
      <c r="G779" s="8"/>
      <c r="H779" s="8"/>
      <c r="I779" s="14">
        <v>0</v>
      </c>
      <c r="J779" s="14">
        <v>0</v>
      </c>
      <c r="K779" s="6" t="str">
        <f t="shared" ref="K779:K780" si="125">HYPERLINK("http://twinybots.com","TwinyBots")</f>
        <v>TwinyBots</v>
      </c>
      <c r="L779" s="15">
        <v>200</v>
      </c>
      <c r="M779" s="15">
        <v>27</v>
      </c>
      <c r="N779" s="15">
        <v>6</v>
      </c>
      <c r="O779" s="9"/>
      <c r="P779" s="10">
        <v>43992.386319444442</v>
      </c>
      <c r="Q779" s="8"/>
      <c r="R779" s="14" t="s">
        <v>742</v>
      </c>
      <c r="S779" s="7" t="s">
        <v>743</v>
      </c>
      <c r="T779" s="8"/>
      <c r="U779" s="11" t="str">
        <f>HYPERLINK("https://pbs.twimg.com/profile_images/1271018990178045953/M-vBrs0H.png","View")</f>
        <v>View</v>
      </c>
      <c r="V779" s="8"/>
      <c r="W779" s="8"/>
      <c r="X779" s="8"/>
      <c r="Y779" s="8"/>
      <c r="Z779" s="8"/>
    </row>
    <row r="780" spans="1:26" ht="13.2">
      <c r="A780" s="13">
        <v>44250.608136574076</v>
      </c>
      <c r="B780" s="6" t="str">
        <f>HYPERLINK("https://twitter.com/MedicaliPhone","@MedicaliPhone")</f>
        <v>@MedicaliPhone</v>
      </c>
      <c r="C780" s="14" t="s">
        <v>269</v>
      </c>
      <c r="D780" s="14" t="s">
        <v>3629</v>
      </c>
      <c r="E780" s="6" t="str">
        <f>HYPERLINK("https://twitter.com/MedicaliPhone/status/1364207310936145925","1364207310936145925")</f>
        <v>1364207310936145925</v>
      </c>
      <c r="F780" s="14" t="s">
        <v>3630</v>
      </c>
      <c r="G780" s="8"/>
      <c r="H780" s="8"/>
      <c r="I780" s="14">
        <v>0</v>
      </c>
      <c r="J780" s="14">
        <v>0</v>
      </c>
      <c r="K780" s="6" t="str">
        <f t="shared" si="125"/>
        <v>TwinyBots</v>
      </c>
      <c r="L780" s="15">
        <v>18689</v>
      </c>
      <c r="M780" s="15">
        <v>19077</v>
      </c>
      <c r="N780" s="15">
        <v>450</v>
      </c>
      <c r="O780" s="9"/>
      <c r="P780" s="10">
        <v>39978.071932870371</v>
      </c>
      <c r="Q780" s="14" t="s">
        <v>270</v>
      </c>
      <c r="R780" s="14" t="s">
        <v>271</v>
      </c>
      <c r="S780" s="7" t="s">
        <v>272</v>
      </c>
      <c r="T780" s="8"/>
      <c r="U780" s="11" t="str">
        <f>HYPERLINK("https://pbs.twimg.com/profile_images/671869096389021696/Z1Kr3P0K.png","View")</f>
        <v>View</v>
      </c>
      <c r="V780" s="8"/>
      <c r="W780" s="8"/>
      <c r="X780" s="8"/>
      <c r="Y780" s="8"/>
      <c r="Z780" s="8"/>
    </row>
    <row r="781" spans="1:26" ht="13.2">
      <c r="A781" s="13">
        <v>44250.607789351852</v>
      </c>
      <c r="B781" s="6" t="str">
        <f>HYPERLINK("https://twitter.com/Social_Molly","@Social_Molly")</f>
        <v>@Social_Molly</v>
      </c>
      <c r="C781" s="14" t="s">
        <v>3631</v>
      </c>
      <c r="D781" s="14" t="s">
        <v>3632</v>
      </c>
      <c r="E781" s="6" t="str">
        <f>HYPERLINK("https://twitter.com/Social_Molly/status/1364207187778699266","1364207187778699266")</f>
        <v>1364207187778699266</v>
      </c>
      <c r="F781" s="7" t="s">
        <v>3633</v>
      </c>
      <c r="G781" s="7" t="s">
        <v>3634</v>
      </c>
      <c r="H781" s="8"/>
      <c r="I781" s="14">
        <v>0</v>
      </c>
      <c r="J781" s="14">
        <v>1</v>
      </c>
      <c r="K781" s="6" t="str">
        <f>HYPERLINK("https://mobile.twitter.com","Twitter Web App")</f>
        <v>Twitter Web App</v>
      </c>
      <c r="L781" s="15">
        <v>12130</v>
      </c>
      <c r="M781" s="15">
        <v>6463</v>
      </c>
      <c r="N781" s="15">
        <v>103</v>
      </c>
      <c r="O781" s="9"/>
      <c r="P781" s="10">
        <v>43174.238796296297</v>
      </c>
      <c r="Q781" s="14" t="s">
        <v>3635</v>
      </c>
      <c r="R781" s="14" t="s">
        <v>3636</v>
      </c>
      <c r="S781" s="8"/>
      <c r="T781" s="8"/>
      <c r="U781" s="11" t="str">
        <f>HYPERLINK("https://pbs.twimg.com/profile_images/981743224749408256/OTsOfujW.jpg","View")</f>
        <v>View</v>
      </c>
      <c r="V781" s="8"/>
      <c r="W781" s="8"/>
      <c r="X781" s="8"/>
      <c r="Y781" s="8"/>
      <c r="Z781" s="8"/>
    </row>
    <row r="782" spans="1:26" ht="13.2">
      <c r="A782" s="13">
        <v>44250.607638888891</v>
      </c>
      <c r="B782" s="6" t="str">
        <f>HYPERLINK("https://twitter.com/DataVault_UK","@DataVault_UK")</f>
        <v>@DataVault_UK</v>
      </c>
      <c r="C782" s="14" t="s">
        <v>3637</v>
      </c>
      <c r="D782" s="14" t="s">
        <v>3638</v>
      </c>
      <c r="E782" s="6" t="str">
        <f>HYPERLINK("https://twitter.com/DataVault_UK/status/1364207131008917504","1364207131008917504")</f>
        <v>1364207131008917504</v>
      </c>
      <c r="F782" s="7" t="s">
        <v>3639</v>
      </c>
      <c r="G782" s="7" t="s">
        <v>3640</v>
      </c>
      <c r="H782" s="8"/>
      <c r="I782" s="14">
        <v>0</v>
      </c>
      <c r="J782" s="14">
        <v>0</v>
      </c>
      <c r="K782" s="6" t="str">
        <f>HYPERLINK("https://www.semrush.com/","SEMrush Social Media Tool")</f>
        <v>SEMrush Social Media Tool</v>
      </c>
      <c r="L782" s="15">
        <v>5194</v>
      </c>
      <c r="M782" s="15">
        <v>5572</v>
      </c>
      <c r="N782" s="15">
        <v>70</v>
      </c>
      <c r="O782" s="9"/>
      <c r="P782" s="10">
        <v>42970.700972222221</v>
      </c>
      <c r="Q782" s="14" t="s">
        <v>3641</v>
      </c>
      <c r="R782" s="14" t="s">
        <v>3642</v>
      </c>
      <c r="S782" s="7" t="s">
        <v>3643</v>
      </c>
      <c r="T782" s="8"/>
      <c r="U782" s="11" t="str">
        <f>HYPERLINK("https://pbs.twimg.com/profile_images/900399393760837633/eJJ4cTTc.jpg","View")</f>
        <v>View</v>
      </c>
      <c r="V782" s="8"/>
      <c r="W782" s="8"/>
      <c r="X782" s="8"/>
      <c r="Y782" s="8"/>
      <c r="Z782" s="8"/>
    </row>
    <row r="783" spans="1:26" ht="13.2">
      <c r="A783" s="13">
        <v>44250.60732638889</v>
      </c>
      <c r="B783" s="6" t="str">
        <f>HYPERLINK("https://twitter.com/machinelearnflx","@machinelearnflx")</f>
        <v>@machinelearnflx</v>
      </c>
      <c r="C783" s="14" t="s">
        <v>279</v>
      </c>
      <c r="D783" s="14" t="s">
        <v>3644</v>
      </c>
      <c r="E783" s="6" t="str">
        <f>HYPERLINK("https://twitter.com/machinelearnflx/status/1364207018672807937","1364207018672807937")</f>
        <v>1364207018672807937</v>
      </c>
      <c r="F783" s="7" t="s">
        <v>3645</v>
      </c>
      <c r="G783" s="8"/>
      <c r="H783" s="8"/>
      <c r="I783" s="14">
        <v>3</v>
      </c>
      <c r="J783" s="14">
        <v>5</v>
      </c>
      <c r="K783" s="6" t="str">
        <f>HYPERLINK("https://twitter.com/pythonbot_","Postmatico")</f>
        <v>Postmatico</v>
      </c>
      <c r="L783" s="15">
        <v>90451</v>
      </c>
      <c r="M783" s="15">
        <v>35464</v>
      </c>
      <c r="N783" s="15">
        <v>2227</v>
      </c>
      <c r="O783" s="9"/>
      <c r="P783" s="10">
        <v>42386.538865740746</v>
      </c>
      <c r="Q783" s="8"/>
      <c r="R783" s="14" t="s">
        <v>282</v>
      </c>
      <c r="S783" s="7" t="s">
        <v>283</v>
      </c>
      <c r="T783" s="8"/>
      <c r="U783" s="11" t="str">
        <f>HYPERLINK("https://pbs.twimg.com/profile_images/688735459892195329/v8sHaWSG.jpg","View")</f>
        <v>View</v>
      </c>
      <c r="V783" s="8"/>
      <c r="W783" s="8"/>
      <c r="X783" s="8"/>
      <c r="Y783" s="8"/>
      <c r="Z783" s="8"/>
    </row>
    <row r="784" spans="1:26" ht="13.2">
      <c r="A784" s="13">
        <v>44250.606585648144</v>
      </c>
      <c r="B784" s="6" t="str">
        <f>HYPERLINK("https://twitter.com/Call_Me_Kush_","@Call_Me_Kush_")</f>
        <v>@Call_Me_Kush_</v>
      </c>
      <c r="C784" s="14" t="s">
        <v>2588</v>
      </c>
      <c r="D784" s="14" t="s">
        <v>3627</v>
      </c>
      <c r="E784" s="6" t="str">
        <f>HYPERLINK("https://twitter.com/Call_Me_Kush_/status/1364206748706295814","1364206748706295814")</f>
        <v>1364206748706295814</v>
      </c>
      <c r="F784" s="8"/>
      <c r="G784" s="8"/>
      <c r="H784" s="8"/>
      <c r="I784" s="14">
        <v>0</v>
      </c>
      <c r="J784" s="14">
        <v>0</v>
      </c>
      <c r="K784" s="6" t="str">
        <f t="shared" ref="K784:K785" si="126">HYPERLINK("https://mobile.twitter.com","Twitter Web App")</f>
        <v>Twitter Web App</v>
      </c>
      <c r="L784" s="15">
        <v>1667</v>
      </c>
      <c r="M784" s="15">
        <v>1395</v>
      </c>
      <c r="N784" s="15">
        <v>1</v>
      </c>
      <c r="O784" s="9"/>
      <c r="P784" s="10">
        <v>43511.20784722222</v>
      </c>
      <c r="Q784" s="8"/>
      <c r="R784" s="14" t="s">
        <v>2590</v>
      </c>
      <c r="S784" s="8"/>
      <c r="T784" s="8"/>
      <c r="U784" s="11" t="str">
        <f>HYPERLINK("https://pbs.twimg.com/profile_images/1363412091546136579/7TlIx2C4.jpg","View")</f>
        <v>View</v>
      </c>
      <c r="V784" s="8"/>
      <c r="W784" s="8"/>
      <c r="X784" s="8"/>
      <c r="Y784" s="8"/>
      <c r="Z784" s="8"/>
    </row>
    <row r="785" spans="1:26" ht="13.2">
      <c r="A785" s="13">
        <v>44250.606539351851</v>
      </c>
      <c r="B785" s="6" t="str">
        <f>HYPERLINK("https://twitter.com/AISciNet","@AISciNet")</f>
        <v>@AISciNet</v>
      </c>
      <c r="C785" s="14" t="s">
        <v>3646</v>
      </c>
      <c r="D785" s="14" t="s">
        <v>3647</v>
      </c>
      <c r="E785" s="6" t="str">
        <f>HYPERLINK("https://twitter.com/AISciNet/status/1364206732264751112","1364206732264751112")</f>
        <v>1364206732264751112</v>
      </c>
      <c r="F785" s="7" t="s">
        <v>3648</v>
      </c>
      <c r="G785" s="7" t="s">
        <v>3649</v>
      </c>
      <c r="H785" s="8"/>
      <c r="I785" s="14">
        <v>0</v>
      </c>
      <c r="J785" s="14">
        <v>1</v>
      </c>
      <c r="K785" s="6" t="str">
        <f t="shared" si="126"/>
        <v>Twitter Web App</v>
      </c>
      <c r="L785" s="15">
        <v>573</v>
      </c>
      <c r="M785" s="15">
        <v>291</v>
      </c>
      <c r="N785" s="15">
        <v>10</v>
      </c>
      <c r="O785" s="9"/>
      <c r="P785" s="10">
        <v>43285.630162037036</v>
      </c>
      <c r="Q785" s="14" t="s">
        <v>3650</v>
      </c>
      <c r="R785" s="14" t="s">
        <v>3651</v>
      </c>
      <c r="S785" s="7" t="s">
        <v>3652</v>
      </c>
      <c r="T785" s="8"/>
      <c r="U785" s="11" t="str">
        <f>HYPERLINK("https://pbs.twimg.com/profile_images/1014529603040358401/QSvRJkdk.jpg","View")</f>
        <v>View</v>
      </c>
      <c r="V785" s="8"/>
      <c r="W785" s="8"/>
      <c r="X785" s="8"/>
      <c r="Y785" s="8"/>
      <c r="Z785" s="8"/>
    </row>
    <row r="786" spans="1:26" ht="13.2">
      <c r="A786" s="13">
        <v>44250.60560185185</v>
      </c>
      <c r="B786" s="6" t="str">
        <f>HYPERLINK("https://twitter.com/ipfconline1","@ipfconline1")</f>
        <v>@ipfconline1</v>
      </c>
      <c r="C786" s="14" t="s">
        <v>65</v>
      </c>
      <c r="D786" s="14" t="s">
        <v>3653</v>
      </c>
      <c r="E786" s="6" t="str">
        <f>HYPERLINK("https://twitter.com/ipfconline1/status/1364206392526184448","1364206392526184448")</f>
        <v>1364206392526184448</v>
      </c>
      <c r="F786" s="7" t="s">
        <v>3654</v>
      </c>
      <c r="G786" s="7" t="s">
        <v>3655</v>
      </c>
      <c r="H786" s="8"/>
      <c r="I786" s="14">
        <v>12</v>
      </c>
      <c r="J786" s="14">
        <v>12</v>
      </c>
      <c r="K786" s="6" t="str">
        <f>HYPERLINK("https://twittimer.com","Twittimer")</f>
        <v>Twittimer</v>
      </c>
      <c r="L786" s="15">
        <v>112675</v>
      </c>
      <c r="M786" s="15">
        <v>107162</v>
      </c>
      <c r="N786" s="15">
        <v>7806</v>
      </c>
      <c r="O786" s="9"/>
      <c r="P786" s="10">
        <v>42433.031967592593</v>
      </c>
      <c r="Q786" s="14" t="s">
        <v>69</v>
      </c>
      <c r="R786" s="14" t="s">
        <v>70</v>
      </c>
      <c r="S786" s="7" t="s">
        <v>71</v>
      </c>
      <c r="T786" s="8"/>
      <c r="U786" s="11" t="str">
        <f>HYPERLINK("https://pbs.twimg.com/profile_images/729065804004769793/St2_Pum9.jpg","View")</f>
        <v>View</v>
      </c>
      <c r="V786" s="8"/>
      <c r="W786" s="8"/>
      <c r="X786" s="8"/>
      <c r="Y786" s="8"/>
      <c r="Z786" s="8"/>
    </row>
    <row r="787" spans="1:26" ht="13.2">
      <c r="A787" s="13">
        <v>44250.604768518519</v>
      </c>
      <c r="B787" s="6" t="str">
        <f>HYPERLINK("https://twitter.com/MLWhiz","@MLWhiz")</f>
        <v>@MLWhiz</v>
      </c>
      <c r="C787" s="14" t="s">
        <v>1173</v>
      </c>
      <c r="D787" s="14" t="s">
        <v>3656</v>
      </c>
      <c r="E787" s="6" t="str">
        <f>HYPERLINK("https://twitter.com/MLWhiz/status/1364206092012683265","1364206092012683265")</f>
        <v>1364206092012683265</v>
      </c>
      <c r="F787" s="7" t="s">
        <v>3657</v>
      </c>
      <c r="G787" s="7" t="s">
        <v>3658</v>
      </c>
      <c r="H787" s="8"/>
      <c r="I787" s="14">
        <v>4</v>
      </c>
      <c r="J787" s="14">
        <v>6</v>
      </c>
      <c r="K787" s="6" t="str">
        <f>HYPERLINK("https://missinglettr.com","Missinglettr")</f>
        <v>Missinglettr</v>
      </c>
      <c r="L787" s="15">
        <v>1951</v>
      </c>
      <c r="M787" s="15">
        <v>235</v>
      </c>
      <c r="N787" s="15">
        <v>61</v>
      </c>
      <c r="O787" s="9"/>
      <c r="P787" s="10">
        <v>40062.971597222218</v>
      </c>
      <c r="Q787" s="14" t="s">
        <v>753</v>
      </c>
      <c r="R787" s="14" t="s">
        <v>1177</v>
      </c>
      <c r="S787" s="7" t="s">
        <v>1178</v>
      </c>
      <c r="T787" s="8"/>
      <c r="U787" s="11" t="str">
        <f>HYPERLINK("https://pbs.twimg.com/profile_images/1292181673312784384/xU7Wselt.jpg","View")</f>
        <v>View</v>
      </c>
      <c r="V787" s="8"/>
      <c r="W787" s="8"/>
      <c r="X787" s="8"/>
      <c r="Y787" s="8"/>
      <c r="Z787" s="8"/>
    </row>
    <row r="788" spans="1:26" ht="13.2">
      <c r="A788" s="13">
        <v>44250.604629629626</v>
      </c>
      <c r="B788" s="6" t="str">
        <f>HYPERLINK("https://twitter.com/KatyKelemen","@KatyKelemen")</f>
        <v>@KatyKelemen</v>
      </c>
      <c r="C788" s="14" t="s">
        <v>3659</v>
      </c>
      <c r="D788" s="14" t="s">
        <v>3660</v>
      </c>
      <c r="E788" s="6" t="str">
        <f>HYPERLINK("https://twitter.com/KatyKelemen/status/1364206038891655172","1364206038891655172")</f>
        <v>1364206038891655172</v>
      </c>
      <c r="F788" s="7" t="s">
        <v>3661</v>
      </c>
      <c r="G788" s="8"/>
      <c r="H788" s="8"/>
      <c r="I788" s="14">
        <v>0</v>
      </c>
      <c r="J788" s="14">
        <v>1</v>
      </c>
      <c r="K788" s="6" t="str">
        <f>HYPERLINK("https://mobile.twitter.com","Twitter Web App")</f>
        <v>Twitter Web App</v>
      </c>
      <c r="L788" s="15">
        <v>88</v>
      </c>
      <c r="M788" s="15">
        <v>475</v>
      </c>
      <c r="N788" s="15">
        <v>5</v>
      </c>
      <c r="O788" s="9"/>
      <c r="P788" s="10">
        <v>44007.345358796301</v>
      </c>
      <c r="Q788" s="14" t="s">
        <v>1120</v>
      </c>
      <c r="R788" s="14" t="s">
        <v>3662</v>
      </c>
      <c r="S788" s="7" t="s">
        <v>3663</v>
      </c>
      <c r="T788" s="8"/>
      <c r="U788" s="11" t="str">
        <f>HYPERLINK("https://pbs.twimg.com/profile_images/1276036782925045760/VyTeMKfQ.jpg","View")</f>
        <v>View</v>
      </c>
      <c r="V788" s="8"/>
      <c r="W788" s="8"/>
      <c r="X788" s="8"/>
      <c r="Y788" s="8"/>
      <c r="Z788" s="8"/>
    </row>
    <row r="789" spans="1:26" ht="13.2">
      <c r="A789" s="13">
        <v>44250.604513888888</v>
      </c>
      <c r="B789" s="6" t="str">
        <f>HYPERLINK("https://twitter.com/ayokasystems","@ayokasystems")</f>
        <v>@ayokasystems</v>
      </c>
      <c r="C789" s="14" t="s">
        <v>3664</v>
      </c>
      <c r="D789" s="14" t="s">
        <v>3665</v>
      </c>
      <c r="E789" s="6" t="str">
        <f>HYPERLINK("https://twitter.com/ayokasystems/status/1364205998018359299","1364205998018359299")</f>
        <v>1364205998018359299</v>
      </c>
      <c r="F789" s="7" t="s">
        <v>3666</v>
      </c>
      <c r="G789" s="8"/>
      <c r="H789" s="8"/>
      <c r="I789" s="14">
        <v>1</v>
      </c>
      <c r="J789" s="14">
        <v>1</v>
      </c>
      <c r="K789" s="6" t="str">
        <f>HYPERLINK("https://www.hootsuite.com","Hootsuite Inc.")</f>
        <v>Hootsuite Inc.</v>
      </c>
      <c r="L789" s="15">
        <v>1366</v>
      </c>
      <c r="M789" s="15">
        <v>1407</v>
      </c>
      <c r="N789" s="15">
        <v>168</v>
      </c>
      <c r="O789" s="9"/>
      <c r="P789" s="10">
        <v>40367.950694444444</v>
      </c>
      <c r="Q789" s="14" t="s">
        <v>3667</v>
      </c>
      <c r="R789" s="14" t="s">
        <v>3668</v>
      </c>
      <c r="S789" s="7" t="s">
        <v>3669</v>
      </c>
      <c r="T789" s="8"/>
      <c r="U789" s="11" t="str">
        <f>HYPERLINK("https://pbs.twimg.com/profile_images/653598180592873472/UzMhJY-l.png","View")</f>
        <v>View</v>
      </c>
      <c r="V789" s="8"/>
      <c r="W789" s="8"/>
      <c r="X789" s="8"/>
      <c r="Y789" s="8"/>
      <c r="Z789" s="8"/>
    </row>
    <row r="790" spans="1:26" ht="13.2">
      <c r="A790" s="13">
        <v>44250.604479166665</v>
      </c>
      <c r="B790" s="6" t="str">
        <f>HYPERLINK("https://twitter.com/ArceoChoya","@ArceoChoya")</f>
        <v>@ArceoChoya</v>
      </c>
      <c r="C790" s="14" t="s">
        <v>3670</v>
      </c>
      <c r="D790" s="14" t="s">
        <v>3671</v>
      </c>
      <c r="E790" s="6" t="str">
        <f>HYPERLINK("https://twitter.com/ArceoChoya/status/1364205985808572420","1364205985808572420")</f>
        <v>1364205985808572420</v>
      </c>
      <c r="F790" s="7" t="s">
        <v>3672</v>
      </c>
      <c r="G790" s="7" t="s">
        <v>3673</v>
      </c>
      <c r="H790" s="8"/>
      <c r="I790" s="14">
        <v>1</v>
      </c>
      <c r="J790" s="14">
        <v>0</v>
      </c>
      <c r="K790" s="6" t="str">
        <f>HYPERLINK("https://mobile.twitter.com","Twitter Web App")</f>
        <v>Twitter Web App</v>
      </c>
      <c r="L790" s="15">
        <v>943</v>
      </c>
      <c r="M790" s="15">
        <v>890</v>
      </c>
      <c r="N790" s="15">
        <v>11</v>
      </c>
      <c r="O790" s="9"/>
      <c r="P790" s="10">
        <v>43514.004432870366</v>
      </c>
      <c r="Q790" s="14" t="s">
        <v>3674</v>
      </c>
      <c r="R790" s="14" t="s">
        <v>3675</v>
      </c>
      <c r="S790" s="8"/>
      <c r="T790" s="8"/>
      <c r="U790" s="11" t="str">
        <f>HYPERLINK("https://pbs.twimg.com/profile_images/1116159551307255809/OK6d0ci1.png","View")</f>
        <v>View</v>
      </c>
      <c r="V790" s="8"/>
      <c r="W790" s="8"/>
      <c r="X790" s="8"/>
      <c r="Y790" s="8"/>
      <c r="Z790" s="8"/>
    </row>
    <row r="791" spans="1:26" ht="13.2">
      <c r="A791" s="13">
        <v>44250.604398148149</v>
      </c>
      <c r="B791" s="6" t="str">
        <f>HYPERLINK("https://twitter.com/ORBITRRI","@ORBITRRI")</f>
        <v>@ORBITRRI</v>
      </c>
      <c r="C791" s="14" t="s">
        <v>3676</v>
      </c>
      <c r="D791" s="14" t="s">
        <v>3677</v>
      </c>
      <c r="E791" s="6" t="str">
        <f>HYPERLINK("https://twitter.com/ORBITRRI/status/1364205957660741633","1364205957660741633")</f>
        <v>1364205957660741633</v>
      </c>
      <c r="F791" s="7" t="s">
        <v>3678</v>
      </c>
      <c r="G791" s="8"/>
      <c r="H791" s="8"/>
      <c r="I791" s="14">
        <v>1</v>
      </c>
      <c r="J791" s="14">
        <v>0</v>
      </c>
      <c r="K791" s="6" t="str">
        <f t="shared" ref="K791:K793" si="127">HYPERLINK("https://www.hootsuite.com","Hootsuite Inc.")</f>
        <v>Hootsuite Inc.</v>
      </c>
      <c r="L791" s="15">
        <v>482</v>
      </c>
      <c r="M791" s="15">
        <v>327</v>
      </c>
      <c r="N791" s="15">
        <v>8</v>
      </c>
      <c r="O791" s="9"/>
      <c r="P791" s="10">
        <v>42761.667465277773</v>
      </c>
      <c r="Q791" s="14" t="s">
        <v>3679</v>
      </c>
      <c r="R791" s="14" t="s">
        <v>3680</v>
      </c>
      <c r="S791" s="7" t="s">
        <v>3681</v>
      </c>
      <c r="T791" s="8"/>
      <c r="U791" s="11" t="str">
        <f>HYPERLINK("https://pbs.twimg.com/profile_images/825978013477195776/I7Mwl3so.jpg","View")</f>
        <v>View</v>
      </c>
      <c r="V791" s="8"/>
      <c r="W791" s="8"/>
      <c r="X791" s="8"/>
      <c r="Y791" s="8"/>
      <c r="Z791" s="8"/>
    </row>
    <row r="792" spans="1:26" ht="13.2">
      <c r="A792" s="13">
        <v>44250.60429398148</v>
      </c>
      <c r="B792" s="6" t="str">
        <f>HYPERLINK("https://twitter.com/analyticjob","@analyticjob")</f>
        <v>@analyticjob</v>
      </c>
      <c r="C792" s="14" t="s">
        <v>3682</v>
      </c>
      <c r="D792" s="14" t="s">
        <v>3683</v>
      </c>
      <c r="E792" s="6" t="str">
        <f>HYPERLINK("https://twitter.com/analyticjob/status/1364205920708923399","1364205920708923399")</f>
        <v>1364205920708923399</v>
      </c>
      <c r="F792" s="14" t="s">
        <v>3684</v>
      </c>
      <c r="G792" s="8"/>
      <c r="H792" s="8"/>
      <c r="I792" s="14">
        <v>4</v>
      </c>
      <c r="J792" s="14">
        <v>2</v>
      </c>
      <c r="K792" s="6" t="str">
        <f t="shared" si="127"/>
        <v>Hootsuite Inc.</v>
      </c>
      <c r="L792" s="15">
        <v>59</v>
      </c>
      <c r="M792" s="15">
        <v>7</v>
      </c>
      <c r="N792" s="15">
        <v>1</v>
      </c>
      <c r="O792" s="9"/>
      <c r="P792" s="10">
        <v>43580.350231481483</v>
      </c>
      <c r="Q792" s="14" t="s">
        <v>3685</v>
      </c>
      <c r="R792" s="14" t="s">
        <v>3686</v>
      </c>
      <c r="S792" s="7" t="s">
        <v>3687</v>
      </c>
      <c r="T792" s="8"/>
      <c r="U792" s="11" t="str">
        <f>HYPERLINK("https://pbs.twimg.com/profile_images/1306510995280592897/1-GwcUwP.jpg","View")</f>
        <v>View</v>
      </c>
      <c r="V792" s="8"/>
      <c r="W792" s="8"/>
      <c r="X792" s="8"/>
      <c r="Y792" s="8"/>
      <c r="Z792" s="8"/>
    </row>
    <row r="793" spans="1:26" ht="13.2">
      <c r="A793" s="13">
        <v>44250.604259259257</v>
      </c>
      <c r="B793" s="6" t="str">
        <f>HYPERLINK("https://twitter.com/FINTECHCircle","@FINTECHCircle")</f>
        <v>@FINTECHCircle</v>
      </c>
      <c r="C793" s="14" t="s">
        <v>3688</v>
      </c>
      <c r="D793" s="14" t="s">
        <v>3689</v>
      </c>
      <c r="E793" s="6" t="str">
        <f>HYPERLINK("https://twitter.com/FINTECHCircle/status/1364205907765256192","1364205907765256192")</f>
        <v>1364205907765256192</v>
      </c>
      <c r="F793" s="7" t="s">
        <v>3690</v>
      </c>
      <c r="G793" s="8"/>
      <c r="H793" s="8"/>
      <c r="I793" s="14">
        <v>1</v>
      </c>
      <c r="J793" s="14">
        <v>1</v>
      </c>
      <c r="K793" s="6" t="str">
        <f t="shared" si="127"/>
        <v>Hootsuite Inc.</v>
      </c>
      <c r="L793" s="15">
        <v>46797</v>
      </c>
      <c r="M793" s="15">
        <v>2304</v>
      </c>
      <c r="N793" s="15">
        <v>1651</v>
      </c>
      <c r="O793" s="9"/>
      <c r="P793" s="10">
        <v>41902.0003125</v>
      </c>
      <c r="Q793" s="14" t="s">
        <v>3691</v>
      </c>
      <c r="R793" s="14" t="s">
        <v>3692</v>
      </c>
      <c r="S793" s="7" t="s">
        <v>3693</v>
      </c>
      <c r="T793" s="8"/>
      <c r="U793" s="11" t="str">
        <f>HYPERLINK("https://pbs.twimg.com/profile_images/1130135332215828480/mcyBnqE2.jpg","View")</f>
        <v>View</v>
      </c>
      <c r="V793" s="8"/>
      <c r="W793" s="8"/>
      <c r="X793" s="8"/>
      <c r="Y793" s="8"/>
      <c r="Z793" s="8"/>
    </row>
    <row r="794" spans="1:26" ht="13.2">
      <c r="A794" s="13">
        <v>44250.60423611111</v>
      </c>
      <c r="B794" s="6" t="str">
        <f>HYPERLINK("https://twitter.com/Zak_is_the_Best","@Zak_is_the_Best")</f>
        <v>@Zak_is_the_Best</v>
      </c>
      <c r="C794" s="14" t="s">
        <v>3694</v>
      </c>
      <c r="D794" s="14" t="s">
        <v>3695</v>
      </c>
      <c r="E794" s="6" t="str">
        <f>HYPERLINK("https://twitter.com/Zak_is_the_Best/status/1364205899896750082","1364205899896750082")</f>
        <v>1364205899896750082</v>
      </c>
      <c r="F794" s="7" t="s">
        <v>3696</v>
      </c>
      <c r="G794" s="8"/>
      <c r="H794" s="8"/>
      <c r="I794" s="14">
        <v>0</v>
      </c>
      <c r="J794" s="14">
        <v>0</v>
      </c>
      <c r="K794" s="6" t="str">
        <f>HYPERLINK("http://www.linkedin.com/","LinkedIn")</f>
        <v>LinkedIn</v>
      </c>
      <c r="L794" s="15">
        <v>95</v>
      </c>
      <c r="M794" s="15">
        <v>1115</v>
      </c>
      <c r="N794" s="15">
        <v>0</v>
      </c>
      <c r="O794" s="9"/>
      <c r="P794" s="10">
        <v>40616.97047453704</v>
      </c>
      <c r="Q794" s="14" t="s">
        <v>2424</v>
      </c>
      <c r="R794" s="8"/>
      <c r="S794" s="7" t="s">
        <v>3697</v>
      </c>
      <c r="T794" s="8"/>
      <c r="U794" s="11" t="str">
        <f>HYPERLINK("https://pbs.twimg.com/profile_images/989012752919298048/3aQ-a3Vj.jpg","View")</f>
        <v>View</v>
      </c>
      <c r="V794" s="8"/>
      <c r="W794" s="8"/>
      <c r="X794" s="8"/>
      <c r="Y794" s="8"/>
      <c r="Z794" s="8"/>
    </row>
    <row r="795" spans="1:26" ht="13.2">
      <c r="A795" s="13">
        <v>44250.604189814811</v>
      </c>
      <c r="B795" s="6" t="str">
        <f>HYPERLINK("https://twitter.com/EMTMEA","@EMTMEA")</f>
        <v>@EMTMEA</v>
      </c>
      <c r="C795" s="14" t="s">
        <v>3698</v>
      </c>
      <c r="D795" s="14" t="s">
        <v>3699</v>
      </c>
      <c r="E795" s="6" t="str">
        <f>HYPERLINK("https://twitter.com/EMTMEA/status/1364205882091872259","1364205882091872259")</f>
        <v>1364205882091872259</v>
      </c>
      <c r="F795" s="7" t="s">
        <v>3700</v>
      </c>
      <c r="G795" s="8"/>
      <c r="H795" s="8"/>
      <c r="I795" s="14">
        <v>0</v>
      </c>
      <c r="J795" s="14">
        <v>1</v>
      </c>
      <c r="K795" s="6" t="str">
        <f>HYPERLINK("https://social.zoho.com","Zoho Social")</f>
        <v>Zoho Social</v>
      </c>
      <c r="L795" s="15">
        <v>242</v>
      </c>
      <c r="M795" s="15">
        <v>19</v>
      </c>
      <c r="N795" s="15">
        <v>6</v>
      </c>
      <c r="O795" s="9"/>
      <c r="P795" s="10">
        <v>41346.829745370371</v>
      </c>
      <c r="Q795" s="14" t="s">
        <v>3701</v>
      </c>
      <c r="R795" s="14" t="s">
        <v>3702</v>
      </c>
      <c r="S795" s="7" t="s">
        <v>3703</v>
      </c>
      <c r="T795" s="8"/>
      <c r="U795" s="11" t="str">
        <f>HYPERLINK("https://pbs.twimg.com/profile_images/3375819798/288c1aee7db8319b574cd14ccd16e845.jpeg","View")</f>
        <v>View</v>
      </c>
      <c r="V795" s="8"/>
      <c r="W795" s="8"/>
      <c r="X795" s="8"/>
      <c r="Y795" s="8"/>
      <c r="Z795" s="8"/>
    </row>
    <row r="796" spans="1:26" ht="13.2">
      <c r="A796" s="13">
        <v>44250.604178240741</v>
      </c>
      <c r="B796" s="6" t="str">
        <f>HYPERLINK("https://twitter.com/crypto_hal9k","@crypto_hal9k")</f>
        <v>@crypto_hal9k</v>
      </c>
      <c r="C796" s="14" t="s">
        <v>3704</v>
      </c>
      <c r="D796" s="14" t="s">
        <v>3705</v>
      </c>
      <c r="E796" s="6" t="str">
        <f>HYPERLINK("https://twitter.com/crypto_hal9k/status/1364205875905331203","1364205875905331203")</f>
        <v>1364205875905331203</v>
      </c>
      <c r="F796" s="8"/>
      <c r="G796" s="7" t="s">
        <v>3706</v>
      </c>
      <c r="H796" s="8"/>
      <c r="I796" s="14">
        <v>0</v>
      </c>
      <c r="J796" s="14">
        <v>1</v>
      </c>
      <c r="K796" s="8"/>
      <c r="L796" s="15">
        <v>212</v>
      </c>
      <c r="M796" s="15">
        <v>56</v>
      </c>
      <c r="N796" s="15">
        <v>0</v>
      </c>
      <c r="O796" s="9"/>
      <c r="P796" s="10">
        <v>41602.251643518517</v>
      </c>
      <c r="Q796" s="8"/>
      <c r="R796" s="14" t="s">
        <v>3707</v>
      </c>
      <c r="S796" s="8"/>
      <c r="T796" s="8"/>
      <c r="U796" s="11" t="str">
        <f>HYPERLINK("https://pbs.twimg.com/profile_images/1305238765808611333/cqM-Boc_.jpg","View")</f>
        <v>View</v>
      </c>
      <c r="V796" s="8"/>
      <c r="W796" s="8"/>
      <c r="X796" s="8"/>
      <c r="Y796" s="8"/>
      <c r="Z796" s="8"/>
    </row>
    <row r="797" spans="1:26" ht="13.2">
      <c r="A797" s="13">
        <v>44250.604004629626</v>
      </c>
      <c r="B797" s="6" t="str">
        <f>HYPERLINK("https://twitter.com/dataisgoodcom","@dataisgoodcom")</f>
        <v>@dataisgoodcom</v>
      </c>
      <c r="C797" s="14" t="s">
        <v>3708</v>
      </c>
      <c r="D797" s="14" t="s">
        <v>3709</v>
      </c>
      <c r="E797" s="6" t="str">
        <f>HYPERLINK("https://twitter.com/dataisgoodcom/status/1364205813347196931","1364205813347196931")</f>
        <v>1364205813347196931</v>
      </c>
      <c r="F797" s="8"/>
      <c r="G797" s="7" t="s">
        <v>3710</v>
      </c>
      <c r="H797" s="8"/>
      <c r="I797" s="14">
        <v>5</v>
      </c>
      <c r="J797" s="14">
        <v>2</v>
      </c>
      <c r="K797" s="6" t="str">
        <f t="shared" ref="K797:K799" si="128">HYPERLINK("https://mobile.twitter.com","Twitter Web App")</f>
        <v>Twitter Web App</v>
      </c>
      <c r="L797" s="15">
        <v>45</v>
      </c>
      <c r="M797" s="15">
        <v>0</v>
      </c>
      <c r="N797" s="15">
        <v>1</v>
      </c>
      <c r="O797" s="9"/>
      <c r="P797" s="10">
        <v>40305.833877314813</v>
      </c>
      <c r="Q797" s="14" t="s">
        <v>3711</v>
      </c>
      <c r="R797" s="14" t="s">
        <v>3712</v>
      </c>
      <c r="S797" s="7" t="s">
        <v>3713</v>
      </c>
      <c r="T797" s="8"/>
      <c r="U797" s="11" t="str">
        <f>HYPERLINK("https://pbs.twimg.com/profile_images/1260131355679240192/hZqsqkiU.jpg","View")</f>
        <v>View</v>
      </c>
      <c r="V797" s="8"/>
      <c r="W797" s="8"/>
      <c r="X797" s="8"/>
      <c r="Y797" s="8"/>
      <c r="Z797" s="8"/>
    </row>
    <row r="798" spans="1:26" ht="13.2">
      <c r="A798" s="13">
        <v>44250.603842592594</v>
      </c>
      <c r="B798" s="6" t="str">
        <f>HYPERLINK("https://twitter.com/PoetryAssessor","@PoetryAssessor")</f>
        <v>@PoetryAssessor</v>
      </c>
      <c r="C798" s="14" t="s">
        <v>3714</v>
      </c>
      <c r="D798" s="14" t="s">
        <v>3715</v>
      </c>
      <c r="E798" s="6" t="str">
        <f>HYPERLINK("https://twitter.com/PoetryAssessor/status/1364205754450804742","1364205754450804742")</f>
        <v>1364205754450804742</v>
      </c>
      <c r="F798" s="7" t="s">
        <v>3716</v>
      </c>
      <c r="G798" s="8"/>
      <c r="H798" s="8"/>
      <c r="I798" s="14">
        <v>9</v>
      </c>
      <c r="J798" s="14">
        <v>7</v>
      </c>
      <c r="K798" s="6" t="str">
        <f t="shared" si="128"/>
        <v>Twitter Web App</v>
      </c>
      <c r="L798" s="15">
        <v>1198</v>
      </c>
      <c r="M798" s="15">
        <v>2876</v>
      </c>
      <c r="N798" s="15">
        <v>155</v>
      </c>
      <c r="O798" s="9"/>
      <c r="P798" s="10">
        <v>41271.576724537037</v>
      </c>
      <c r="Q798" s="14" t="s">
        <v>3717</v>
      </c>
      <c r="R798" s="14" t="s">
        <v>3718</v>
      </c>
      <c r="S798" s="7" t="s">
        <v>3719</v>
      </c>
      <c r="T798" s="8"/>
      <c r="U798" s="11" t="str">
        <f>HYPERLINK("https://pbs.twimg.com/profile_images/997625996072239104/il37BWtJ.jpg","View")</f>
        <v>View</v>
      </c>
      <c r="V798" s="8"/>
      <c r="W798" s="8"/>
      <c r="X798" s="8"/>
      <c r="Y798" s="8"/>
      <c r="Z798" s="8"/>
    </row>
    <row r="799" spans="1:26" ht="13.2">
      <c r="A799" s="13">
        <v>44250.603333333333</v>
      </c>
      <c r="B799" s="6" t="str">
        <f>HYPERLINK("https://twitter.com/SitesCourse","@SitesCourse")</f>
        <v>@SitesCourse</v>
      </c>
      <c r="C799" s="14" t="s">
        <v>3720</v>
      </c>
      <c r="D799" s="14" t="s">
        <v>3721</v>
      </c>
      <c r="E799" s="6" t="str">
        <f>HYPERLINK("https://twitter.com/SitesCourse/status/1364205571679784961","1364205571679784961")</f>
        <v>1364205571679784961</v>
      </c>
      <c r="F799" s="7" t="s">
        <v>3722</v>
      </c>
      <c r="G799" s="8"/>
      <c r="H799" s="8"/>
      <c r="I799" s="14">
        <v>10</v>
      </c>
      <c r="J799" s="14">
        <v>4</v>
      </c>
      <c r="K799" s="6" t="str">
        <f t="shared" si="128"/>
        <v>Twitter Web App</v>
      </c>
      <c r="L799" s="15">
        <v>552</v>
      </c>
      <c r="M799" s="15">
        <v>267</v>
      </c>
      <c r="N799" s="15">
        <v>9</v>
      </c>
      <c r="O799" s="9"/>
      <c r="P799" s="10">
        <v>43643.167245370365</v>
      </c>
      <c r="Q799" s="8"/>
      <c r="R799" s="14" t="s">
        <v>3723</v>
      </c>
      <c r="S799" s="8"/>
      <c r="T799" s="8"/>
      <c r="U799" s="11" t="str">
        <f>HYPERLINK("https://pbs.twimg.com/profile_images/1144118140319629312/5pj0yCwy.png","View")</f>
        <v>View</v>
      </c>
      <c r="V799" s="8"/>
      <c r="W799" s="8"/>
      <c r="X799" s="8"/>
      <c r="Y799" s="8"/>
      <c r="Z799" s="8"/>
    </row>
    <row r="800" spans="1:26" ht="13.2">
      <c r="A800" s="13">
        <v>44250.602500000001</v>
      </c>
      <c r="B800" s="6" t="str">
        <f>HYPERLINK("https://twitter.com/DS_Analytics","@DS_Analytics")</f>
        <v>@DS_Analytics</v>
      </c>
      <c r="C800" s="14" t="s">
        <v>2389</v>
      </c>
      <c r="D800" s="14" t="s">
        <v>3724</v>
      </c>
      <c r="E800" s="6" t="str">
        <f>HYPERLINK("https://twitter.com/DS_Analytics/status/1364205268142354438","1364205268142354438")</f>
        <v>1364205268142354438</v>
      </c>
      <c r="F800" s="7" t="s">
        <v>3725</v>
      </c>
      <c r="G800" s="8"/>
      <c r="H800" s="8"/>
      <c r="I800" s="14">
        <v>1</v>
      </c>
      <c r="J800" s="14">
        <v>2</v>
      </c>
      <c r="K800" s="6" t="str">
        <f>HYPERLINK("https://ifttt.com","IFTTT")</f>
        <v>IFTTT</v>
      </c>
      <c r="L800" s="15">
        <v>4945</v>
      </c>
      <c r="M800" s="15">
        <v>4504</v>
      </c>
      <c r="N800" s="15">
        <v>46</v>
      </c>
      <c r="O800" s="9"/>
      <c r="P800" s="10">
        <v>43019.662314814814</v>
      </c>
      <c r="Q800" s="8"/>
      <c r="R800" s="14" t="s">
        <v>2392</v>
      </c>
      <c r="S800" s="8"/>
      <c r="T800" s="8"/>
      <c r="U800" s="11" t="str">
        <f>HYPERLINK("https://pbs.twimg.com/profile_images/955817556635504640/FflsX454.jpg","View")</f>
        <v>View</v>
      </c>
      <c r="V800" s="8"/>
      <c r="W800" s="8"/>
      <c r="X800" s="8"/>
      <c r="Y800" s="8"/>
      <c r="Z800" s="8"/>
    </row>
    <row r="801" spans="1:26" ht="13.2">
      <c r="A801" s="13">
        <v>44250.602349537032</v>
      </c>
      <c r="B801" s="6" t="str">
        <f>HYPERLINK("https://twitter.com/Kelash89976308","@Kelash89976308")</f>
        <v>@Kelash89976308</v>
      </c>
      <c r="C801" s="14" t="s">
        <v>3726</v>
      </c>
      <c r="D801" s="14" t="s">
        <v>3727</v>
      </c>
      <c r="E801" s="6" t="str">
        <f>HYPERLINK("https://twitter.com/Kelash89976308/status/1364205215101067271","1364205215101067271")</f>
        <v>1364205215101067271</v>
      </c>
      <c r="F801" s="8"/>
      <c r="G801" s="7" t="s">
        <v>3728</v>
      </c>
      <c r="H801" s="8"/>
      <c r="I801" s="14">
        <v>0</v>
      </c>
      <c r="J801" s="14">
        <v>0</v>
      </c>
      <c r="K801" s="6" t="str">
        <f>HYPERLINK("http://twitter.com/download/android","Twitter for Android")</f>
        <v>Twitter for Android</v>
      </c>
      <c r="L801" s="15">
        <v>3</v>
      </c>
      <c r="M801" s="15">
        <v>69</v>
      </c>
      <c r="N801" s="15">
        <v>0</v>
      </c>
      <c r="O801" s="9"/>
      <c r="P801" s="10">
        <v>44152.349942129629</v>
      </c>
      <c r="Q801" s="8"/>
      <c r="R801" s="14" t="s">
        <v>3729</v>
      </c>
      <c r="S801" s="8"/>
      <c r="T801" s="8"/>
      <c r="U801" s="11" t="str">
        <f>HYPERLINK("https://pbs.twimg.com/profile_images/1328600179524689921/1YthSR31.jpg","View")</f>
        <v>View</v>
      </c>
      <c r="V801" s="8"/>
      <c r="W801" s="8"/>
      <c r="X801" s="8"/>
      <c r="Y801" s="8"/>
      <c r="Z801" s="8"/>
    </row>
    <row r="802" spans="1:26" ht="13.2">
      <c r="A802" s="13">
        <v>44250.602175925931</v>
      </c>
      <c r="B802" s="6" t="str">
        <f>HYPERLINK("https://twitter.com/DecisionsSmart","@DecisionsSmart")</f>
        <v>@DecisionsSmart</v>
      </c>
      <c r="C802" s="14" t="s">
        <v>212</v>
      </c>
      <c r="D802" s="14" t="s">
        <v>2458</v>
      </c>
      <c r="E802" s="6" t="str">
        <f>HYPERLINK("https://twitter.com/DecisionsSmart/status/1364205151343550466","1364205151343550466")</f>
        <v>1364205151343550466</v>
      </c>
      <c r="F802" s="14" t="s">
        <v>2459</v>
      </c>
      <c r="G802" s="8"/>
      <c r="H802" s="8"/>
      <c r="I802" s="14">
        <v>1</v>
      </c>
      <c r="J802" s="14">
        <v>1</v>
      </c>
      <c r="K802" s="6" t="str">
        <f>HYPERLINK("http://twinybots.com","TwinyBots")</f>
        <v>TwinyBots</v>
      </c>
      <c r="L802" s="15">
        <v>6690</v>
      </c>
      <c r="M802" s="15">
        <v>5126</v>
      </c>
      <c r="N802" s="15">
        <v>88</v>
      </c>
      <c r="O802" s="9"/>
      <c r="P802" s="10">
        <v>43282.143495370372</v>
      </c>
      <c r="Q802" s="14" t="s">
        <v>215</v>
      </c>
      <c r="R802" s="14" t="s">
        <v>216</v>
      </c>
      <c r="S802" s="8"/>
      <c r="T802" s="8"/>
      <c r="U802" s="11" t="str">
        <f>HYPERLINK("https://pbs.twimg.com/profile_images/1273753380373004289/crFq1msz.jpg","View")</f>
        <v>View</v>
      </c>
      <c r="V802" s="8"/>
      <c r="W802" s="8"/>
      <c r="X802" s="8"/>
      <c r="Y802" s="8"/>
      <c r="Z802" s="8"/>
    </row>
    <row r="803" spans="1:26" ht="13.2">
      <c r="A803" s="13">
        <v>44250.602083333331</v>
      </c>
      <c r="B803" s="6" t="str">
        <f>HYPERLINK("https://twitter.com/unsaid_ai","@unsaid_ai")</f>
        <v>@unsaid_ai</v>
      </c>
      <c r="C803" s="14" t="s">
        <v>3730</v>
      </c>
      <c r="D803" s="14" t="s">
        <v>3731</v>
      </c>
      <c r="E803" s="6" t="str">
        <f>HYPERLINK("https://twitter.com/unsaid_ai/status/1364205117017190404","1364205117017190404")</f>
        <v>1364205117017190404</v>
      </c>
      <c r="F803" s="8"/>
      <c r="G803" s="7" t="s">
        <v>3732</v>
      </c>
      <c r="H803" s="8"/>
      <c r="I803" s="14">
        <v>0</v>
      </c>
      <c r="J803" s="14">
        <v>0</v>
      </c>
      <c r="K803" s="6" t="str">
        <f>HYPERLINK("https://mobile.twitter.com","Twitter Web App")</f>
        <v>Twitter Web App</v>
      </c>
      <c r="L803" s="15">
        <v>1</v>
      </c>
      <c r="M803" s="15">
        <v>6</v>
      </c>
      <c r="N803" s="15">
        <v>0</v>
      </c>
      <c r="O803" s="9"/>
      <c r="P803" s="10">
        <v>44203.556620370371</v>
      </c>
      <c r="Q803" s="14" t="s">
        <v>1468</v>
      </c>
      <c r="R803" s="14" t="s">
        <v>3733</v>
      </c>
      <c r="S803" s="7" t="s">
        <v>3734</v>
      </c>
      <c r="T803" s="8"/>
      <c r="U803" s="11" t="str">
        <f>HYPERLINK("https://pbs.twimg.com/profile_images/1363856247754264580/sdElkHz4.jpg","View")</f>
        <v>View</v>
      </c>
      <c r="V803" s="8"/>
      <c r="W803" s="8"/>
      <c r="X803" s="8"/>
      <c r="Y803" s="8"/>
      <c r="Z803" s="8"/>
    </row>
    <row r="804" spans="1:26" ht="13.2">
      <c r="A804" s="13">
        <v>44250.601909722223</v>
      </c>
      <c r="B804" s="6" t="str">
        <f>HYPERLINK("https://twitter.com/ReformReality","@ReformReality")</f>
        <v>@ReformReality</v>
      </c>
      <c r="C804" s="14" t="s">
        <v>3735</v>
      </c>
      <c r="D804" s="14" t="s">
        <v>3736</v>
      </c>
      <c r="E804" s="6" t="str">
        <f>HYPERLINK("https://twitter.com/ReformReality/status/1364205056778731524","1364205056778731524")</f>
        <v>1364205056778731524</v>
      </c>
      <c r="F804" s="14" t="s">
        <v>3737</v>
      </c>
      <c r="G804" s="8"/>
      <c r="H804" s="8"/>
      <c r="I804" s="14">
        <v>0</v>
      </c>
      <c r="J804" s="14">
        <v>0</v>
      </c>
      <c r="K804" s="6" t="str">
        <f>HYPERLINK("http://twinybots.com","TwinyBots")</f>
        <v>TwinyBots</v>
      </c>
      <c r="L804" s="15">
        <v>203</v>
      </c>
      <c r="M804" s="15">
        <v>23</v>
      </c>
      <c r="N804" s="15">
        <v>4</v>
      </c>
      <c r="O804" s="9"/>
      <c r="P804" s="10">
        <v>43439.079861111109</v>
      </c>
      <c r="Q804" s="14" t="s">
        <v>1505</v>
      </c>
      <c r="R804" s="14" t="s">
        <v>3738</v>
      </c>
      <c r="S804" s="7" t="s">
        <v>3739</v>
      </c>
      <c r="T804" s="8"/>
      <c r="U804" s="11" t="str">
        <f>HYPERLINK("https://pbs.twimg.com/profile_images/1070119802314797056/lyCEoXtL.jpg","View")</f>
        <v>View</v>
      </c>
      <c r="V804" s="8"/>
      <c r="W804" s="8"/>
      <c r="X804" s="8"/>
      <c r="Y804" s="8"/>
      <c r="Z804" s="8"/>
    </row>
    <row r="805" spans="1:26" ht="13.2">
      <c r="A805" s="13">
        <v>44250.601053240738</v>
      </c>
      <c r="B805" s="6" t="str">
        <f>HYPERLINK("https://twitter.com/PacktPub","@PacktPub")</f>
        <v>@PacktPub</v>
      </c>
      <c r="C805" s="14" t="s">
        <v>3740</v>
      </c>
      <c r="D805" s="14" t="s">
        <v>3741</v>
      </c>
      <c r="E805" s="6" t="str">
        <f>HYPERLINK("https://twitter.com/PacktPub/status/1364204743082446851","1364204743082446851")</f>
        <v>1364204743082446851</v>
      </c>
      <c r="F805" s="7" t="s">
        <v>3742</v>
      </c>
      <c r="G805" s="7" t="s">
        <v>3743</v>
      </c>
      <c r="H805" s="8"/>
      <c r="I805" s="14">
        <v>4</v>
      </c>
      <c r="J805" s="14">
        <v>3</v>
      </c>
      <c r="K805" s="6" t="str">
        <f t="shared" ref="K805:K808" si="129">HYPERLINK("https://mobile.twitter.com","Twitter Web App")</f>
        <v>Twitter Web App</v>
      </c>
      <c r="L805" s="15">
        <v>30067</v>
      </c>
      <c r="M805" s="15">
        <v>1796</v>
      </c>
      <c r="N805" s="15">
        <v>1261</v>
      </c>
      <c r="O805" s="15" t="s">
        <v>130</v>
      </c>
      <c r="P805" s="10">
        <v>39783.594988425924</v>
      </c>
      <c r="Q805" s="14" t="s">
        <v>650</v>
      </c>
      <c r="R805" s="14" t="s">
        <v>3744</v>
      </c>
      <c r="S805" s="7" t="s">
        <v>3745</v>
      </c>
      <c r="T805" s="8"/>
      <c r="U805" s="11" t="str">
        <f>HYPERLINK("https://pbs.twimg.com/profile_images/1336355091759198208/k6icRogI.jpg","View")</f>
        <v>View</v>
      </c>
      <c r="V805" s="8"/>
      <c r="W805" s="8"/>
      <c r="X805" s="8"/>
      <c r="Y805" s="8"/>
      <c r="Z805" s="8"/>
    </row>
    <row r="806" spans="1:26" ht="13.2">
      <c r="A806" s="13">
        <v>44250.600763888884</v>
      </c>
      <c r="B806" s="6" t="str">
        <f>HYPERLINK("https://twitter.com/AaronPeterHurst","@AaronPeterHurst")</f>
        <v>@AaronPeterHurst</v>
      </c>
      <c r="C806" s="14" t="s">
        <v>3746</v>
      </c>
      <c r="D806" s="14" t="s">
        <v>3747</v>
      </c>
      <c r="E806" s="6" t="str">
        <f>HYPERLINK("https://twitter.com/AaronPeterHurst/status/1364204641634902017","1364204641634902017")</f>
        <v>1364204641634902017</v>
      </c>
      <c r="F806" s="14" t="s">
        <v>3748</v>
      </c>
      <c r="G806" s="7" t="s">
        <v>3749</v>
      </c>
      <c r="H806" s="8"/>
      <c r="I806" s="14">
        <v>0</v>
      </c>
      <c r="J806" s="14">
        <v>1</v>
      </c>
      <c r="K806" s="6" t="str">
        <f t="shared" si="129"/>
        <v>Twitter Web App</v>
      </c>
      <c r="L806" s="15">
        <v>425</v>
      </c>
      <c r="M806" s="15">
        <v>599</v>
      </c>
      <c r="N806" s="15">
        <v>12</v>
      </c>
      <c r="O806" s="9"/>
      <c r="P806" s="10">
        <v>41195.822511574072</v>
      </c>
      <c r="Q806" s="8"/>
      <c r="R806" s="14" t="s">
        <v>3750</v>
      </c>
      <c r="S806" s="7" t="s">
        <v>3751</v>
      </c>
      <c r="T806" s="8"/>
      <c r="U806" s="11" t="str">
        <f>HYPERLINK("https://pbs.twimg.com/profile_images/1270337030610976768/REeoMgHF.jpg","View")</f>
        <v>View</v>
      </c>
      <c r="V806" s="8"/>
      <c r="W806" s="8"/>
      <c r="X806" s="8"/>
      <c r="Y806" s="8"/>
      <c r="Z806" s="8"/>
    </row>
    <row r="807" spans="1:26" ht="13.2">
      <c r="A807" s="13">
        <v>44250.600428240738</v>
      </c>
      <c r="B807" s="6" t="str">
        <f>HYPERLINK("https://twitter.com/MTone123","@MTone123")</f>
        <v>@MTone123</v>
      </c>
      <c r="C807" s="14" t="s">
        <v>3752</v>
      </c>
      <c r="D807" s="14" t="s">
        <v>3753</v>
      </c>
      <c r="E807" s="6" t="str">
        <f>HYPERLINK("https://twitter.com/MTone123/status/1364204516904607746","1364204516904607746")</f>
        <v>1364204516904607746</v>
      </c>
      <c r="F807" s="7" t="s">
        <v>3754</v>
      </c>
      <c r="G807" s="8"/>
      <c r="H807" s="8"/>
      <c r="I807" s="14">
        <v>0</v>
      </c>
      <c r="J807" s="14">
        <v>0</v>
      </c>
      <c r="K807" s="6" t="str">
        <f t="shared" si="129"/>
        <v>Twitter Web App</v>
      </c>
      <c r="L807" s="15">
        <v>3144</v>
      </c>
      <c r="M807" s="15">
        <v>252</v>
      </c>
      <c r="N807" s="15">
        <v>272</v>
      </c>
      <c r="O807" s="9"/>
      <c r="P807" s="10">
        <v>40458.197824074072</v>
      </c>
      <c r="Q807" s="14" t="s">
        <v>3755</v>
      </c>
      <c r="R807" s="14" t="s">
        <v>3756</v>
      </c>
      <c r="S807" s="8"/>
      <c r="T807" s="8"/>
      <c r="U807" s="11" t="str">
        <f>HYPERLINK("https://pbs.twimg.com/profile_images/1296605362636779520/A-ejf_Y2.jpg","View")</f>
        <v>View</v>
      </c>
      <c r="V807" s="8"/>
      <c r="W807" s="8"/>
      <c r="X807" s="8"/>
      <c r="Y807" s="8"/>
      <c r="Z807" s="8"/>
    </row>
    <row r="808" spans="1:26" ht="13.2">
      <c r="A808" s="13">
        <v>44250.599664351852</v>
      </c>
      <c r="B808" s="6" t="str">
        <f>HYPERLINK("https://twitter.com/KhalidHamdan0","@KhalidHamdan0")</f>
        <v>@KhalidHamdan0</v>
      </c>
      <c r="C808" s="14" t="s">
        <v>3757</v>
      </c>
      <c r="D808" s="14" t="s">
        <v>3758</v>
      </c>
      <c r="E808" s="6" t="str">
        <f>HYPERLINK("https://twitter.com/KhalidHamdan0/status/1364204242626576384","1364204242626576384")</f>
        <v>1364204242626576384</v>
      </c>
      <c r="F808" s="7" t="s">
        <v>3759</v>
      </c>
      <c r="G808" s="7" t="s">
        <v>3760</v>
      </c>
      <c r="H808" s="8"/>
      <c r="I808" s="14">
        <v>2</v>
      </c>
      <c r="J808" s="14">
        <v>1</v>
      </c>
      <c r="K808" s="6" t="str">
        <f t="shared" si="129"/>
        <v>Twitter Web App</v>
      </c>
      <c r="L808" s="15">
        <v>13865</v>
      </c>
      <c r="M808" s="15">
        <v>3380</v>
      </c>
      <c r="N808" s="15">
        <v>2161</v>
      </c>
      <c r="O808" s="9"/>
      <c r="P808" s="10">
        <v>40310.828553240739</v>
      </c>
      <c r="Q808" s="14" t="s">
        <v>599</v>
      </c>
      <c r="R808" s="14" t="s">
        <v>3761</v>
      </c>
      <c r="S808" s="8"/>
      <c r="T808" s="8"/>
      <c r="U808" s="11" t="str">
        <f>HYPERLINK("https://pbs.twimg.com/profile_images/853683295317626880/-YHlzfio.jpg","View")</f>
        <v>View</v>
      </c>
      <c r="V808" s="8"/>
      <c r="W808" s="8"/>
      <c r="X808" s="8"/>
      <c r="Y808" s="8"/>
      <c r="Z808" s="8"/>
    </row>
    <row r="809" spans="1:26" ht="13.2">
      <c r="A809" s="13">
        <v>44250.599166666667</v>
      </c>
      <c r="B809" s="6" t="str">
        <f>HYPERLINK("https://twitter.com/KirkDBorne","@KirkDBorne")</f>
        <v>@KirkDBorne</v>
      </c>
      <c r="C809" s="14" t="s">
        <v>127</v>
      </c>
      <c r="D809" s="14" t="s">
        <v>3762</v>
      </c>
      <c r="E809" s="6" t="str">
        <f>HYPERLINK("https://twitter.com/KirkDBorne/status/1364204060992274432","1364204060992274432")</f>
        <v>1364204060992274432</v>
      </c>
      <c r="F809" s="7" t="s">
        <v>3763</v>
      </c>
      <c r="G809" s="7" t="s">
        <v>3764</v>
      </c>
      <c r="H809" s="8"/>
      <c r="I809" s="14">
        <v>3</v>
      </c>
      <c r="J809" s="14">
        <v>6</v>
      </c>
      <c r="K809" s="6" t="str">
        <f>HYPERLINK("http://twitter.com/download/iphone","Twitter for iPhone")</f>
        <v>Twitter for iPhone</v>
      </c>
      <c r="L809" s="15">
        <v>273892</v>
      </c>
      <c r="M809" s="15">
        <v>8969</v>
      </c>
      <c r="N809" s="15">
        <v>8299</v>
      </c>
      <c r="O809" s="15" t="s">
        <v>130</v>
      </c>
      <c r="P809" s="10">
        <v>40991.732835648145</v>
      </c>
      <c r="Q809" s="14" t="s">
        <v>131</v>
      </c>
      <c r="R809" s="14" t="s">
        <v>132</v>
      </c>
      <c r="S809" s="7" t="s">
        <v>133</v>
      </c>
      <c r="T809" s="8"/>
      <c r="U809" s="11" t="str">
        <f>HYPERLINK("https://pbs.twimg.com/profile_images/1112733580948635648/s-8d1avb.jpg","View")</f>
        <v>View</v>
      </c>
      <c r="V809" s="8"/>
      <c r="W809" s="8"/>
      <c r="X809" s="8"/>
      <c r="Y809" s="8"/>
      <c r="Z809" s="8"/>
    </row>
    <row r="810" spans="1:26" ht="13.2">
      <c r="A810" s="13">
        <v>44250.598946759259</v>
      </c>
      <c r="B810" s="6" t="str">
        <f>HYPERLINK("https://twitter.com/ConnectSteven","@ConnectSteven")</f>
        <v>@ConnectSteven</v>
      </c>
      <c r="C810" s="14" t="s">
        <v>3765</v>
      </c>
      <c r="D810" s="14" t="s">
        <v>3766</v>
      </c>
      <c r="E810" s="6" t="str">
        <f>HYPERLINK("https://twitter.com/ConnectSteven/status/1364203979324891137","1364203979324891137")</f>
        <v>1364203979324891137</v>
      </c>
      <c r="F810" s="7" t="s">
        <v>3767</v>
      </c>
      <c r="G810" s="8"/>
      <c r="H810" s="8"/>
      <c r="I810" s="14">
        <v>0</v>
      </c>
      <c r="J810" s="14">
        <v>0</v>
      </c>
      <c r="K810" s="6" t="str">
        <f>HYPERLINK("https://mobile.twitter.com","Twitter Web App")</f>
        <v>Twitter Web App</v>
      </c>
      <c r="L810" s="15">
        <v>1723</v>
      </c>
      <c r="M810" s="15">
        <v>1050</v>
      </c>
      <c r="N810" s="15">
        <v>325</v>
      </c>
      <c r="O810" s="9"/>
      <c r="P810" s="10">
        <v>42340.296018518522</v>
      </c>
      <c r="Q810" s="14" t="s">
        <v>3768</v>
      </c>
      <c r="R810" s="14" t="s">
        <v>3769</v>
      </c>
      <c r="S810" s="8"/>
      <c r="T810" s="8"/>
      <c r="U810" s="11" t="str">
        <f>HYPERLINK("https://pbs.twimg.com/profile_images/671936259619610624/Ljve4DKI.png","View")</f>
        <v>View</v>
      </c>
      <c r="V810" s="8"/>
      <c r="W810" s="8"/>
      <c r="X810" s="8"/>
      <c r="Y810" s="8"/>
      <c r="Z810" s="8"/>
    </row>
    <row r="811" spans="1:26" ht="13.2">
      <c r="A811" s="13">
        <v>44250.598634259259</v>
      </c>
      <c r="B811" s="6" t="str">
        <f>HYPERLINK("https://twitter.com/ThedomainHuB","@ThedomainHuB")</f>
        <v>@ThedomainHuB</v>
      </c>
      <c r="C811" s="14" t="s">
        <v>3770</v>
      </c>
      <c r="D811" s="14" t="s">
        <v>3771</v>
      </c>
      <c r="E811" s="6" t="str">
        <f>HYPERLINK("https://twitter.com/ThedomainHuB/status/1364203867492155402","1364203867492155402")</f>
        <v>1364203867492155402</v>
      </c>
      <c r="F811" s="7" t="s">
        <v>3772</v>
      </c>
      <c r="G811" s="7" t="s">
        <v>3773</v>
      </c>
      <c r="H811" s="8"/>
      <c r="I811" s="14">
        <v>3</v>
      </c>
      <c r="J811" s="14">
        <v>1</v>
      </c>
      <c r="K811" s="6" t="str">
        <f>HYPERLINK("http://twitter.com/download/android","Twitter for Android")</f>
        <v>Twitter for Android</v>
      </c>
      <c r="L811" s="15">
        <v>1256</v>
      </c>
      <c r="M811" s="15">
        <v>4549</v>
      </c>
      <c r="N811" s="15">
        <v>16</v>
      </c>
      <c r="O811" s="9"/>
      <c r="P811" s="10">
        <v>41388.356400462959</v>
      </c>
      <c r="Q811" s="14" t="s">
        <v>3774</v>
      </c>
      <c r="R811" s="14" t="s">
        <v>3775</v>
      </c>
      <c r="S811" s="7" t="s">
        <v>3776</v>
      </c>
      <c r="T811" s="8"/>
      <c r="U811" s="11" t="str">
        <f>HYPERLINK("https://pbs.twimg.com/profile_images/1362769885521080321/bL4rByio.jpg","View")</f>
        <v>View</v>
      </c>
      <c r="V811" s="8"/>
      <c r="W811" s="8"/>
      <c r="X811" s="8"/>
      <c r="Y811" s="8"/>
      <c r="Z811" s="8"/>
    </row>
    <row r="812" spans="1:26" ht="13.2">
      <c r="A812" s="13">
        <v>44250.59851851852</v>
      </c>
      <c r="B812" s="6" t="str">
        <f>HYPERLINK("https://twitter.com/imhrs06","@imhrs06")</f>
        <v>@imhrs06</v>
      </c>
      <c r="C812" s="14" t="s">
        <v>3777</v>
      </c>
      <c r="D812" s="14" t="s">
        <v>3778</v>
      </c>
      <c r="E812" s="6" t="str">
        <f>HYPERLINK("https://twitter.com/imhrs06/status/1364203825540845575","1364203825540845575")</f>
        <v>1364203825540845575</v>
      </c>
      <c r="F812" s="7" t="s">
        <v>3779</v>
      </c>
      <c r="G812" s="8"/>
      <c r="H812" s="8"/>
      <c r="I812" s="14">
        <v>0</v>
      </c>
      <c r="J812" s="14">
        <v>1</v>
      </c>
      <c r="K812" s="6" t="str">
        <f>HYPERLINK("https://mobile.twitter.com","Twitter Web App")</f>
        <v>Twitter Web App</v>
      </c>
      <c r="L812" s="15">
        <v>251</v>
      </c>
      <c r="M812" s="15">
        <v>1455</v>
      </c>
      <c r="N812" s="15">
        <v>0</v>
      </c>
      <c r="O812" s="9"/>
      <c r="P812" s="10">
        <v>43609.185798611114</v>
      </c>
      <c r="Q812" s="14" t="s">
        <v>3780</v>
      </c>
      <c r="R812" s="14" t="s">
        <v>3781</v>
      </c>
      <c r="S812" s="7" t="s">
        <v>3782</v>
      </c>
      <c r="T812" s="8"/>
      <c r="U812" s="11" t="str">
        <f>HYPERLINK("https://pbs.twimg.com/profile_images/1362083932347523073/qX904Wa2.jpg","View")</f>
        <v>View</v>
      </c>
      <c r="V812" s="8"/>
      <c r="W812" s="8"/>
      <c r="X812" s="8"/>
      <c r="Y812" s="8"/>
      <c r="Z812" s="8"/>
    </row>
    <row r="813" spans="1:26" ht="13.2">
      <c r="A813" s="13">
        <v>44250.598298611112</v>
      </c>
      <c r="B813" s="6" t="str">
        <f>HYPERLINK("https://twitter.com/machinelearnflx","@machinelearnflx")</f>
        <v>@machinelearnflx</v>
      </c>
      <c r="C813" s="14" t="s">
        <v>279</v>
      </c>
      <c r="D813" s="14" t="s">
        <v>3783</v>
      </c>
      <c r="E813" s="6" t="str">
        <f>HYPERLINK("https://twitter.com/machinelearnflx/status/1364203745014349826","1364203745014349826")</f>
        <v>1364203745014349826</v>
      </c>
      <c r="F813" s="7" t="s">
        <v>3784</v>
      </c>
      <c r="G813" s="8"/>
      <c r="H813" s="8"/>
      <c r="I813" s="14">
        <v>2</v>
      </c>
      <c r="J813" s="14">
        <v>3</v>
      </c>
      <c r="K813" s="6" t="str">
        <f>HYPERLINK("https://twitter.com/pythonbot_","Postmatico")</f>
        <v>Postmatico</v>
      </c>
      <c r="L813" s="15">
        <v>90451</v>
      </c>
      <c r="M813" s="15">
        <v>35464</v>
      </c>
      <c r="N813" s="15">
        <v>2227</v>
      </c>
      <c r="O813" s="9"/>
      <c r="P813" s="10">
        <v>42386.538865740746</v>
      </c>
      <c r="Q813" s="8"/>
      <c r="R813" s="14" t="s">
        <v>282</v>
      </c>
      <c r="S813" s="7" t="s">
        <v>283</v>
      </c>
      <c r="T813" s="8"/>
      <c r="U813" s="11" t="str">
        <f>HYPERLINK("https://pbs.twimg.com/profile_images/688735459892195329/v8sHaWSG.jpg","View")</f>
        <v>View</v>
      </c>
      <c r="V813" s="8"/>
      <c r="W813" s="8"/>
      <c r="X813" s="8"/>
      <c r="Y813" s="8"/>
      <c r="Z813" s="8"/>
    </row>
    <row r="814" spans="1:26" ht="13.2">
      <c r="A814" s="13">
        <v>44250.598009259258</v>
      </c>
      <c r="B814" s="6" t="str">
        <f>HYPERLINK("https://twitter.com/jatins","@jatins")</f>
        <v>@jatins</v>
      </c>
      <c r="C814" s="14" t="s">
        <v>3785</v>
      </c>
      <c r="D814" s="14" t="s">
        <v>3786</v>
      </c>
      <c r="E814" s="6" t="str">
        <f>HYPERLINK("https://twitter.com/jatins/status/1364203641968599054","1364203641968599054")</f>
        <v>1364203641968599054</v>
      </c>
      <c r="F814" s="7" t="s">
        <v>1333</v>
      </c>
      <c r="G814" s="8"/>
      <c r="H814" s="8"/>
      <c r="I814" s="14">
        <v>1</v>
      </c>
      <c r="J814" s="14">
        <v>1</v>
      </c>
      <c r="K814" s="6" t="str">
        <f t="shared" ref="K814:K815" si="130">HYPERLINK("http://twitter.com/download/android","Twitter for Android")</f>
        <v>Twitter for Android</v>
      </c>
      <c r="L814" s="15">
        <v>5363</v>
      </c>
      <c r="M814" s="15">
        <v>1435</v>
      </c>
      <c r="N814" s="15">
        <v>20</v>
      </c>
      <c r="O814" s="9"/>
      <c r="P814" s="10">
        <v>39809.897962962961</v>
      </c>
      <c r="Q814" s="14" t="s">
        <v>3787</v>
      </c>
      <c r="R814" s="14" t="s">
        <v>3788</v>
      </c>
      <c r="S814" s="7" t="s">
        <v>3789</v>
      </c>
      <c r="T814" s="8"/>
      <c r="U814" s="11" t="str">
        <f>HYPERLINK("https://pbs.twimg.com/profile_images/945361757140217856/4fBOcLCR.jpg","View")</f>
        <v>View</v>
      </c>
      <c r="V814" s="8"/>
      <c r="W814" s="8"/>
      <c r="X814" s="8"/>
      <c r="Y814" s="8"/>
      <c r="Z814" s="8"/>
    </row>
    <row r="815" spans="1:26" ht="13.2">
      <c r="A815" s="13">
        <v>44250.597673611112</v>
      </c>
      <c r="B815" s="6" t="str">
        <f>HYPERLINK("https://twitter.com/cariindataid","@cariindataid")</f>
        <v>@cariindataid</v>
      </c>
      <c r="C815" s="7" t="s">
        <v>3790</v>
      </c>
      <c r="D815" s="14" t="s">
        <v>3791</v>
      </c>
      <c r="E815" s="6" t="str">
        <f>HYPERLINK("https://twitter.com/cariindataid/status/1364203519318745088","1364203519318745088")</f>
        <v>1364203519318745088</v>
      </c>
      <c r="F815" s="8"/>
      <c r="G815" s="7" t="s">
        <v>3792</v>
      </c>
      <c r="H815" s="8"/>
      <c r="I815" s="14">
        <v>0</v>
      </c>
      <c r="J815" s="14">
        <v>0</v>
      </c>
      <c r="K815" s="6" t="str">
        <f t="shared" si="130"/>
        <v>Twitter for Android</v>
      </c>
      <c r="L815" s="15">
        <v>0</v>
      </c>
      <c r="M815" s="15">
        <v>0</v>
      </c>
      <c r="N815" s="15">
        <v>0</v>
      </c>
      <c r="O815" s="9"/>
      <c r="P815" s="10">
        <v>44250.589317129634</v>
      </c>
      <c r="Q815" s="14" t="s">
        <v>3793</v>
      </c>
      <c r="R815" s="14" t="s">
        <v>3794</v>
      </c>
      <c r="S815" s="7" t="s">
        <v>3795</v>
      </c>
      <c r="T815" s="8"/>
      <c r="U815" s="11" t="str">
        <f>HYPERLINK("https://pbs.twimg.com/profile_images/1364200651572477954/67-QROHZ.jpg","View")</f>
        <v>View</v>
      </c>
      <c r="V815" s="8"/>
      <c r="W815" s="8"/>
      <c r="X815" s="8"/>
      <c r="Y815" s="8"/>
      <c r="Z815" s="8"/>
    </row>
    <row r="816" spans="1:26" ht="13.2">
      <c r="A816" s="13">
        <v>44250.597638888888</v>
      </c>
      <c r="B816" s="6" t="str">
        <f>HYPERLINK("https://twitter.com/Cn1699","@Cn1699")</f>
        <v>@Cn1699</v>
      </c>
      <c r="C816" s="14" t="s">
        <v>3796</v>
      </c>
      <c r="D816" s="14" t="s">
        <v>3797</v>
      </c>
      <c r="E816" s="6" t="str">
        <f>HYPERLINK("https://twitter.com/Cn1699/status/1364203509139333121","1364203509139333121")</f>
        <v>1364203509139333121</v>
      </c>
      <c r="F816" s="7" t="s">
        <v>3798</v>
      </c>
      <c r="G816" s="7" t="s">
        <v>3799</v>
      </c>
      <c r="H816" s="8"/>
      <c r="I816" s="14">
        <v>0</v>
      </c>
      <c r="J816" s="14">
        <v>0</v>
      </c>
      <c r="K816" s="6" t="str">
        <f>HYPERLINK("https://buffer.com","Buffer")</f>
        <v>Buffer</v>
      </c>
      <c r="L816" s="15">
        <v>656</v>
      </c>
      <c r="M816" s="15">
        <v>1443</v>
      </c>
      <c r="N816" s="15">
        <v>27</v>
      </c>
      <c r="O816" s="9"/>
      <c r="P816" s="10">
        <v>42224.520914351851</v>
      </c>
      <c r="Q816" s="14" t="s">
        <v>3800</v>
      </c>
      <c r="R816" s="14" t="s">
        <v>3801</v>
      </c>
      <c r="S816" s="7" t="s">
        <v>3802</v>
      </c>
      <c r="T816" s="8"/>
      <c r="U816" s="11" t="str">
        <f>HYPERLINK("https://pbs.twimg.com/profile_images/1266622410788237312/GFT8hult.jpg","View")</f>
        <v>View</v>
      </c>
      <c r="V816" s="8"/>
      <c r="W816" s="8"/>
      <c r="X816" s="8"/>
      <c r="Y816" s="8"/>
      <c r="Z816" s="8"/>
    </row>
    <row r="817" spans="1:26" ht="13.2">
      <c r="A817" s="13">
        <v>44250.597384259258</v>
      </c>
      <c r="B817" s="6" t="str">
        <f>HYPERLINK("https://twitter.com/Mohammed_AMahdi","@Mohammed_AMahdi")</f>
        <v>@Mohammed_AMahdi</v>
      </c>
      <c r="C817" s="14" t="s">
        <v>3803</v>
      </c>
      <c r="D817" s="14" t="s">
        <v>3804</v>
      </c>
      <c r="E817" s="6" t="str">
        <f>HYPERLINK("https://twitter.com/Mohammed_AMahdi/status/1364203413169463297","1364203413169463297")</f>
        <v>1364203413169463297</v>
      </c>
      <c r="F817" s="7" t="s">
        <v>3805</v>
      </c>
      <c r="G817" s="8"/>
      <c r="H817" s="8"/>
      <c r="I817" s="14">
        <v>11</v>
      </c>
      <c r="J817" s="14">
        <v>4</v>
      </c>
      <c r="K817" s="6" t="str">
        <f>HYPERLINK("http://twitter.com/download/iphone","Twitter for iPhone")</f>
        <v>Twitter for iPhone</v>
      </c>
      <c r="L817" s="15">
        <v>143</v>
      </c>
      <c r="M817" s="15">
        <v>420</v>
      </c>
      <c r="N817" s="15">
        <v>2</v>
      </c>
      <c r="O817" s="9"/>
      <c r="P817" s="10">
        <v>42181.366886574076</v>
      </c>
      <c r="Q817" s="14" t="s">
        <v>3806</v>
      </c>
      <c r="R817" s="14" t="s">
        <v>3807</v>
      </c>
      <c r="S817" s="8"/>
      <c r="T817" s="8"/>
      <c r="U817" s="11" t="str">
        <f>HYPERLINK("https://pbs.twimg.com/profile_images/1230152130616602629/icidmIxI.jpg","View")</f>
        <v>View</v>
      </c>
      <c r="V817" s="8"/>
      <c r="W817" s="8"/>
      <c r="X817" s="8"/>
      <c r="Y817" s="8"/>
      <c r="Z817" s="8"/>
    </row>
    <row r="818" spans="1:26" ht="13.2">
      <c r="A818" s="13">
        <v>44250.597222222219</v>
      </c>
      <c r="B818" s="6" t="str">
        <f>HYPERLINK("https://twitter.com/OscarGenomics","@OscarGenomics")</f>
        <v>@OscarGenomics</v>
      </c>
      <c r="C818" s="14" t="s">
        <v>3808</v>
      </c>
      <c r="D818" s="14" t="s">
        <v>3809</v>
      </c>
      <c r="E818" s="6" t="str">
        <f>HYPERLINK("https://twitter.com/OscarGenomics/status/1364203355300634628","1364203355300634628")</f>
        <v>1364203355300634628</v>
      </c>
      <c r="F818" s="7" t="s">
        <v>3810</v>
      </c>
      <c r="G818" s="8"/>
      <c r="H818" s="8"/>
      <c r="I818" s="14">
        <v>1</v>
      </c>
      <c r="J818" s="14">
        <v>6</v>
      </c>
      <c r="K818" s="6" t="str">
        <f t="shared" ref="K818:K822" si="131">HYPERLINK("https://mobile.twitter.com","Twitter Web App")</f>
        <v>Twitter Web App</v>
      </c>
      <c r="L818" s="15">
        <v>1776</v>
      </c>
      <c r="M818" s="15">
        <v>650</v>
      </c>
      <c r="N818" s="15">
        <v>44</v>
      </c>
      <c r="O818" s="9"/>
      <c r="P818" s="10">
        <v>39296.251770833333</v>
      </c>
      <c r="Q818" s="14" t="s">
        <v>869</v>
      </c>
      <c r="R818" s="14" t="s">
        <v>3811</v>
      </c>
      <c r="S818" s="7" t="s">
        <v>3812</v>
      </c>
      <c r="T818" s="8"/>
      <c r="U818" s="11" t="str">
        <f>HYPERLINK("https://pbs.twimg.com/profile_images/1218245004193386502/Pg667TPd.jpg","View")</f>
        <v>View</v>
      </c>
      <c r="V818" s="8"/>
      <c r="W818" s="8"/>
      <c r="X818" s="8"/>
      <c r="Y818" s="8"/>
      <c r="Z818" s="8"/>
    </row>
    <row r="819" spans="1:26" ht="13.2">
      <c r="A819" s="13">
        <v>44250.596863425926</v>
      </c>
      <c r="B819" s="6" t="str">
        <f>HYPERLINK("https://twitter.com/KhalidHamdan0","@KhalidHamdan0")</f>
        <v>@KhalidHamdan0</v>
      </c>
      <c r="C819" s="14" t="s">
        <v>3757</v>
      </c>
      <c r="D819" s="14" t="s">
        <v>3813</v>
      </c>
      <c r="E819" s="6" t="str">
        <f>HYPERLINK("https://twitter.com/KhalidHamdan0/status/1364203225776275464","1364203225776275464")</f>
        <v>1364203225776275464</v>
      </c>
      <c r="F819" s="7" t="s">
        <v>2579</v>
      </c>
      <c r="G819" s="7" t="s">
        <v>3814</v>
      </c>
      <c r="H819" s="8"/>
      <c r="I819" s="14">
        <v>2</v>
      </c>
      <c r="J819" s="14">
        <v>2</v>
      </c>
      <c r="K819" s="6" t="str">
        <f t="shared" si="131"/>
        <v>Twitter Web App</v>
      </c>
      <c r="L819" s="15">
        <v>13865</v>
      </c>
      <c r="M819" s="15">
        <v>3380</v>
      </c>
      <c r="N819" s="15">
        <v>2161</v>
      </c>
      <c r="O819" s="9"/>
      <c r="P819" s="10">
        <v>40310.828553240739</v>
      </c>
      <c r="Q819" s="14" t="s">
        <v>599</v>
      </c>
      <c r="R819" s="14" t="s">
        <v>3761</v>
      </c>
      <c r="S819" s="8"/>
      <c r="T819" s="8"/>
      <c r="U819" s="11" t="str">
        <f>HYPERLINK("https://pbs.twimg.com/profile_images/853683295317626880/-YHlzfio.jpg","View")</f>
        <v>View</v>
      </c>
      <c r="V819" s="8"/>
      <c r="W819" s="8"/>
      <c r="X819" s="8"/>
      <c r="Y819" s="8"/>
      <c r="Z819" s="8"/>
    </row>
    <row r="820" spans="1:26" ht="13.2">
      <c r="A820" s="13">
        <v>44250.596666666665</v>
      </c>
      <c r="B820" s="6" t="str">
        <f>HYPERLINK("https://twitter.com/discdiver","@discdiver")</f>
        <v>@discdiver</v>
      </c>
      <c r="C820" s="14" t="s">
        <v>3815</v>
      </c>
      <c r="D820" s="14" t="s">
        <v>3816</v>
      </c>
      <c r="E820" s="6" t="str">
        <f>HYPERLINK("https://twitter.com/discdiver/status/1364203156318617601","1364203156318617601")</f>
        <v>1364203156318617601</v>
      </c>
      <c r="F820" s="7" t="s">
        <v>3817</v>
      </c>
      <c r="G820" s="8"/>
      <c r="H820" s="8"/>
      <c r="I820" s="14">
        <v>2</v>
      </c>
      <c r="J820" s="14">
        <v>2</v>
      </c>
      <c r="K820" s="6" t="str">
        <f t="shared" si="131"/>
        <v>Twitter Web App</v>
      </c>
      <c r="L820" s="15">
        <v>1049</v>
      </c>
      <c r="M820" s="15">
        <v>650</v>
      </c>
      <c r="N820" s="15">
        <v>46</v>
      </c>
      <c r="O820" s="9"/>
      <c r="P820" s="10">
        <v>40198.030428240745</v>
      </c>
      <c r="Q820" s="14" t="s">
        <v>191</v>
      </c>
      <c r="R820" s="14" t="s">
        <v>3818</v>
      </c>
      <c r="S820" s="7" t="s">
        <v>3819</v>
      </c>
      <c r="T820" s="8"/>
      <c r="U820" s="11" t="str">
        <f>HYPERLINK("https://pbs.twimg.com/profile_images/1030655387593265152/jET3lzrR.jpg","View")</f>
        <v>View</v>
      </c>
      <c r="V820" s="8"/>
      <c r="W820" s="8"/>
      <c r="X820" s="8"/>
      <c r="Y820" s="8"/>
      <c r="Z820" s="8"/>
    </row>
    <row r="821" spans="1:26" ht="13.2">
      <c r="A821" s="13">
        <v>44250.596585648149</v>
      </c>
      <c r="B821" s="6" t="str">
        <f>HYPERLINK("https://twitter.com/Ronald_vanLoon","@Ronald_vanLoon")</f>
        <v>@Ronald_vanLoon</v>
      </c>
      <c r="C821" s="14" t="s">
        <v>2433</v>
      </c>
      <c r="D821" s="14" t="s">
        <v>3820</v>
      </c>
      <c r="E821" s="6" t="str">
        <f>HYPERLINK("https://twitter.com/Ronald_vanLoon/status/1364203126262235137","1364203126262235137")</f>
        <v>1364203126262235137</v>
      </c>
      <c r="F821" s="7" t="s">
        <v>3821</v>
      </c>
      <c r="G821" s="7" t="s">
        <v>3822</v>
      </c>
      <c r="H821" s="8"/>
      <c r="I821" s="14">
        <v>3</v>
      </c>
      <c r="J821" s="14">
        <v>4</v>
      </c>
      <c r="K821" s="6" t="str">
        <f t="shared" si="131"/>
        <v>Twitter Web App</v>
      </c>
      <c r="L821" s="15">
        <v>239362</v>
      </c>
      <c r="M821" s="15">
        <v>180517</v>
      </c>
      <c r="N821" s="15">
        <v>5589</v>
      </c>
      <c r="O821" s="9"/>
      <c r="P821" s="10">
        <v>41015.413553240738</v>
      </c>
      <c r="Q821" s="14" t="s">
        <v>1141</v>
      </c>
      <c r="R821" s="14" t="s">
        <v>2437</v>
      </c>
      <c r="S821" s="7" t="s">
        <v>2438</v>
      </c>
      <c r="T821" s="8"/>
      <c r="U821" s="11" t="str">
        <f>HYPERLINK("https://pbs.twimg.com/profile_images/1107936345769607169/sJKWJd7g.png","View")</f>
        <v>View</v>
      </c>
      <c r="V821" s="8"/>
      <c r="W821" s="8"/>
      <c r="X821" s="8"/>
      <c r="Y821" s="8"/>
      <c r="Z821" s="8"/>
    </row>
    <row r="822" spans="1:26" ht="13.2">
      <c r="A822" s="13">
        <v>44250.596076388887</v>
      </c>
      <c r="B822" s="6" t="str">
        <f>HYPERLINK("https://twitter.com/flyvenkat","@flyvenkat")</f>
        <v>@flyvenkat</v>
      </c>
      <c r="C822" s="14" t="s">
        <v>3823</v>
      </c>
      <c r="D822" s="14" t="s">
        <v>3824</v>
      </c>
      <c r="E822" s="6" t="str">
        <f>HYPERLINK("https://twitter.com/flyvenkat/status/1364202942773923840","1364202942773923840")</f>
        <v>1364202942773923840</v>
      </c>
      <c r="F822" s="7" t="s">
        <v>3825</v>
      </c>
      <c r="G822" s="8"/>
      <c r="H822" s="8"/>
      <c r="I822" s="14">
        <v>2</v>
      </c>
      <c r="J822" s="14">
        <v>1</v>
      </c>
      <c r="K822" s="6" t="str">
        <f t="shared" si="131"/>
        <v>Twitter Web App</v>
      </c>
      <c r="L822" s="15">
        <v>2571</v>
      </c>
      <c r="M822" s="15">
        <v>4774</v>
      </c>
      <c r="N822" s="15">
        <v>408</v>
      </c>
      <c r="O822" s="9"/>
      <c r="P822" s="10">
        <v>40232.194965277777</v>
      </c>
      <c r="Q822" s="14" t="s">
        <v>3826</v>
      </c>
      <c r="R822" s="14" t="s">
        <v>3827</v>
      </c>
      <c r="S822" s="7" t="s">
        <v>3828</v>
      </c>
      <c r="T822" s="8"/>
      <c r="U822" s="11" t="str">
        <f>HYPERLINK("https://pbs.twimg.com/profile_images/984748707676536832/FFmcaXms.jpg","View")</f>
        <v>View</v>
      </c>
      <c r="V822" s="8"/>
      <c r="W822" s="8"/>
      <c r="X822" s="8"/>
      <c r="Y822" s="8"/>
      <c r="Z822" s="8"/>
    </row>
    <row r="823" spans="1:26" ht="13.2">
      <c r="A823" s="13">
        <v>44250.596006944441</v>
      </c>
      <c r="B823" s="6" t="str">
        <f>HYPERLINK("https://twitter.com/h3techdev","@h3techdev")</f>
        <v>@h3techdev</v>
      </c>
      <c r="C823" s="14" t="s">
        <v>2072</v>
      </c>
      <c r="D823" s="14" t="s">
        <v>3829</v>
      </c>
      <c r="E823" s="6" t="str">
        <f>HYPERLINK("https://twitter.com/h3techdev/status/1364202916408557577","1364202916408557577")</f>
        <v>1364202916408557577</v>
      </c>
      <c r="F823" s="14" t="s">
        <v>3830</v>
      </c>
      <c r="G823" s="7" t="s">
        <v>3831</v>
      </c>
      <c r="H823" s="8"/>
      <c r="I823" s="14">
        <v>4</v>
      </c>
      <c r="J823" s="14">
        <v>0</v>
      </c>
      <c r="K823" s="6" t="str">
        <f>HYPERLINK("http://twitter.com/download/android","Twitter for Android")</f>
        <v>Twitter for Android</v>
      </c>
      <c r="L823" s="15">
        <v>369</v>
      </c>
      <c r="M823" s="15">
        <v>714</v>
      </c>
      <c r="N823" s="15">
        <v>9</v>
      </c>
      <c r="O823" s="9"/>
      <c r="P823" s="10">
        <v>42340.912476851852</v>
      </c>
      <c r="Q823" s="14" t="s">
        <v>2076</v>
      </c>
      <c r="R823" s="14" t="s">
        <v>2077</v>
      </c>
      <c r="S823" s="7" t="s">
        <v>2078</v>
      </c>
      <c r="T823" s="8"/>
      <c r="U823" s="11" t="str">
        <f>HYPERLINK("https://pbs.twimg.com/profile_images/1352063268915822592/jLlu3x-O.jpg","View")</f>
        <v>View</v>
      </c>
      <c r="V823" s="8"/>
      <c r="W823" s="8"/>
      <c r="X823" s="8"/>
      <c r="Y823" s="8"/>
      <c r="Z823" s="8"/>
    </row>
    <row r="824" spans="1:26" ht="13.2">
      <c r="A824" s="13">
        <v>44250.59584490741</v>
      </c>
      <c r="B824" s="6" t="str">
        <f>HYPERLINK("https://twitter.com/BristowColin","@BristowColin")</f>
        <v>@BristowColin</v>
      </c>
      <c r="C824" s="14" t="s">
        <v>596</v>
      </c>
      <c r="D824" s="14" t="s">
        <v>3832</v>
      </c>
      <c r="E824" s="6" t="str">
        <f>HYPERLINK("https://twitter.com/BristowColin/status/1364202858162233345","1364202858162233345")</f>
        <v>1364202858162233345</v>
      </c>
      <c r="F824" s="7" t="s">
        <v>3833</v>
      </c>
      <c r="G824" s="8"/>
      <c r="H824" s="8"/>
      <c r="I824" s="14">
        <v>17</v>
      </c>
      <c r="J824" s="14">
        <v>5</v>
      </c>
      <c r="K824" s="6" t="str">
        <f>HYPERLINK("http://dynamicsignal.com/","Dynamic Signal")</f>
        <v>Dynamic Signal</v>
      </c>
      <c r="L824" s="15">
        <v>12149</v>
      </c>
      <c r="M824" s="15">
        <v>9707</v>
      </c>
      <c r="N824" s="15">
        <v>155</v>
      </c>
      <c r="O824" s="9"/>
      <c r="P824" s="10">
        <v>40900.478090277778</v>
      </c>
      <c r="Q824" s="14" t="s">
        <v>599</v>
      </c>
      <c r="R824" s="14" t="s">
        <v>600</v>
      </c>
      <c r="S824" s="7" t="s">
        <v>601</v>
      </c>
      <c r="T824" s="8"/>
      <c r="U824" s="11" t="str">
        <f>HYPERLINK("https://pbs.twimg.com/profile_images/692994884270198784/jQX64C1s.jpg","View")</f>
        <v>View</v>
      </c>
      <c r="V824" s="8"/>
      <c r="W824" s="8"/>
      <c r="X824" s="8"/>
      <c r="Y824" s="8"/>
      <c r="Z824" s="8"/>
    </row>
    <row r="825" spans="1:26" ht="13.2">
      <c r="A825" s="13">
        <v>44250.594826388886</v>
      </c>
      <c r="B825" s="6" t="str">
        <f>HYPERLINK("https://twitter.com/kath0134","@kath0134")</f>
        <v>@kath0134</v>
      </c>
      <c r="C825" s="14" t="s">
        <v>3834</v>
      </c>
      <c r="D825" s="14" t="s">
        <v>3835</v>
      </c>
      <c r="E825" s="6" t="str">
        <f>HYPERLINK("https://twitter.com/kath0134/status/1364202487205359616","1364202487205359616")</f>
        <v>1364202487205359616</v>
      </c>
      <c r="F825" s="7" t="s">
        <v>3836</v>
      </c>
      <c r="G825" s="7" t="s">
        <v>3837</v>
      </c>
      <c r="H825" s="8"/>
      <c r="I825" s="14">
        <v>0</v>
      </c>
      <c r="J825" s="14">
        <v>0</v>
      </c>
      <c r="K825" s="6" t="str">
        <f>HYPERLINK("https://dlvrit.com/","dlvr.it")</f>
        <v>dlvr.it</v>
      </c>
      <c r="L825" s="15">
        <v>2552</v>
      </c>
      <c r="M825" s="15">
        <v>817</v>
      </c>
      <c r="N825" s="15">
        <v>107</v>
      </c>
      <c r="O825" s="9"/>
      <c r="P825" s="10">
        <v>40397.695196759261</v>
      </c>
      <c r="Q825" s="8"/>
      <c r="R825" s="14" t="s">
        <v>3838</v>
      </c>
      <c r="S825" s="7" t="s">
        <v>3839</v>
      </c>
      <c r="T825" s="8"/>
      <c r="U825" s="11" t="str">
        <f>HYPERLINK("https://pbs.twimg.com/profile_images/776861341822885888/zZ3_xtIS.jpg","View")</f>
        <v>View</v>
      </c>
      <c r="V825" s="8"/>
      <c r="W825" s="8"/>
      <c r="X825" s="8"/>
      <c r="Y825" s="8"/>
      <c r="Z825" s="8"/>
    </row>
    <row r="826" spans="1:26" ht="13.2">
      <c r="A826" s="13">
        <v>44250.594664351855</v>
      </c>
      <c r="B826" s="6" t="str">
        <f>HYPERLINK("https://twitter.com/TopProRecruits","@TopProRecruits")</f>
        <v>@TopProRecruits</v>
      </c>
      <c r="C826" s="14" t="s">
        <v>3840</v>
      </c>
      <c r="D826" s="14" t="s">
        <v>3841</v>
      </c>
      <c r="E826" s="6" t="str">
        <f>HYPERLINK("https://twitter.com/TopProRecruits/status/1364202430733438978","1364202430733438978")</f>
        <v>1364202430733438978</v>
      </c>
      <c r="F826" s="7" t="s">
        <v>3842</v>
      </c>
      <c r="G826" s="8"/>
      <c r="H826" s="8"/>
      <c r="I826" s="14">
        <v>0</v>
      </c>
      <c r="J826" s="14">
        <v>1</v>
      </c>
      <c r="K826" s="6" t="str">
        <f>HYPERLINK("https://paper.li","Paper.li")</f>
        <v>Paper.li</v>
      </c>
      <c r="L826" s="15">
        <v>472</v>
      </c>
      <c r="M826" s="15">
        <v>779</v>
      </c>
      <c r="N826" s="15">
        <v>11</v>
      </c>
      <c r="O826" s="9"/>
      <c r="P826" s="10">
        <v>42961.092037037037</v>
      </c>
      <c r="Q826" s="14" t="s">
        <v>599</v>
      </c>
      <c r="R826" s="14" t="s">
        <v>3843</v>
      </c>
      <c r="S826" s="7" t="s">
        <v>3844</v>
      </c>
      <c r="T826" s="8"/>
      <c r="U826" s="11" t="str">
        <f>HYPERLINK("https://pbs.twimg.com/profile_images/1062071315690086400/wrj8vdK1.jpg","View")</f>
        <v>View</v>
      </c>
      <c r="V826" s="8"/>
      <c r="W826" s="8"/>
      <c r="X826" s="8"/>
      <c r="Y826" s="8"/>
      <c r="Z826" s="8"/>
    </row>
    <row r="827" spans="1:26" ht="13.2">
      <c r="A827" s="13">
        <v>44250.594189814816</v>
      </c>
      <c r="B827" s="6" t="str">
        <f>HYPERLINK("https://twitter.com/MedicaliPhone","@MedicaliPhone")</f>
        <v>@MedicaliPhone</v>
      </c>
      <c r="C827" s="14" t="s">
        <v>269</v>
      </c>
      <c r="D827" s="14" t="s">
        <v>39</v>
      </c>
      <c r="E827" s="6" t="str">
        <f>HYPERLINK("https://twitter.com/MedicaliPhone/status/1364202257886150657","1364202257886150657")</f>
        <v>1364202257886150657</v>
      </c>
      <c r="F827" s="14" t="s">
        <v>3845</v>
      </c>
      <c r="G827" s="8"/>
      <c r="H827" s="8"/>
      <c r="I827" s="14">
        <v>1</v>
      </c>
      <c r="J827" s="14">
        <v>2</v>
      </c>
      <c r="K827" s="6" t="str">
        <f>HYPERLINK("http://twinybots.com","TwinyBots")</f>
        <v>TwinyBots</v>
      </c>
      <c r="L827" s="15">
        <v>18689</v>
      </c>
      <c r="M827" s="15">
        <v>19077</v>
      </c>
      <c r="N827" s="15">
        <v>450</v>
      </c>
      <c r="O827" s="9"/>
      <c r="P827" s="10">
        <v>39978.071932870371</v>
      </c>
      <c r="Q827" s="14" t="s">
        <v>270</v>
      </c>
      <c r="R827" s="14" t="s">
        <v>271</v>
      </c>
      <c r="S827" s="7" t="s">
        <v>272</v>
      </c>
      <c r="T827" s="8"/>
      <c r="U827" s="11" t="str">
        <f>HYPERLINK("https://pbs.twimg.com/profile_images/671869096389021696/Z1Kr3P0K.png","View")</f>
        <v>View</v>
      </c>
      <c r="V827" s="8"/>
      <c r="W827" s="8"/>
      <c r="X827" s="8"/>
      <c r="Y827" s="8"/>
      <c r="Z827" s="8"/>
    </row>
    <row r="828" spans="1:26" ht="13.2">
      <c r="A828" s="13">
        <v>44250.593981481477</v>
      </c>
      <c r="B828" s="6" t="str">
        <f>HYPERLINK("https://twitter.com/AtulACleaver","@AtulACleaver")</f>
        <v>@AtulACleaver</v>
      </c>
      <c r="C828" s="14" t="s">
        <v>3846</v>
      </c>
      <c r="D828" s="14" t="s">
        <v>3847</v>
      </c>
      <c r="E828" s="6" t="str">
        <f>HYPERLINK("https://twitter.com/AtulACleaver/status/1364202180304117763","1364202180304117763")</f>
        <v>1364202180304117763</v>
      </c>
      <c r="F828" s="8"/>
      <c r="G828" s="7" t="s">
        <v>3848</v>
      </c>
      <c r="H828" s="8"/>
      <c r="I828" s="14">
        <v>0</v>
      </c>
      <c r="J828" s="14">
        <v>0</v>
      </c>
      <c r="K828" s="6" t="str">
        <f>HYPERLINK("https://www.hookle.net","Hookle App")</f>
        <v>Hookle App</v>
      </c>
      <c r="L828" s="15">
        <v>0</v>
      </c>
      <c r="M828" s="15">
        <v>14</v>
      </c>
      <c r="N828" s="15">
        <v>0</v>
      </c>
      <c r="O828" s="9"/>
      <c r="P828" s="10">
        <v>44197.443402777775</v>
      </c>
      <c r="Q828" s="14" t="s">
        <v>3849</v>
      </c>
      <c r="R828" s="14" t="s">
        <v>3850</v>
      </c>
      <c r="S828" s="8"/>
      <c r="T828" s="8"/>
      <c r="U828" s="11" t="str">
        <f>HYPERLINK("https://pbs.twimg.com/profile_images/1344941199778463745/TTRcdoCW.jpg","View")</f>
        <v>View</v>
      </c>
      <c r="V828" s="8"/>
      <c r="W828" s="8"/>
      <c r="X828" s="8"/>
      <c r="Y828" s="8"/>
      <c r="Z828" s="8"/>
    </row>
    <row r="829" spans="1:26" ht="13.2">
      <c r="A829" s="13">
        <v>44250.593900462962</v>
      </c>
      <c r="B829" s="6" t="str">
        <f>HYPERLINK("https://twitter.com/neuvays","@neuvays")</f>
        <v>@neuvays</v>
      </c>
      <c r="C829" s="14" t="s">
        <v>3851</v>
      </c>
      <c r="D829" s="14" t="s">
        <v>3852</v>
      </c>
      <c r="E829" s="6" t="str">
        <f>HYPERLINK("https://twitter.com/neuvays/status/1364202150927065092","1364202150927065092")</f>
        <v>1364202150927065092</v>
      </c>
      <c r="F829" s="8"/>
      <c r="G829" s="7" t="s">
        <v>3853</v>
      </c>
      <c r="H829" s="8"/>
      <c r="I829" s="14">
        <v>3</v>
      </c>
      <c r="J829" s="14">
        <v>1</v>
      </c>
      <c r="K829" s="6" t="str">
        <f>HYPERLINK("https://mobile.twitter.com","Twitter Web App")</f>
        <v>Twitter Web App</v>
      </c>
      <c r="L829" s="15">
        <v>27</v>
      </c>
      <c r="M829" s="15">
        <v>0</v>
      </c>
      <c r="N829" s="15">
        <v>0</v>
      </c>
      <c r="O829" s="9"/>
      <c r="P829" s="10">
        <v>43547.252754629633</v>
      </c>
      <c r="Q829" s="14" t="s">
        <v>3854</v>
      </c>
      <c r="R829" s="14" t="s">
        <v>3855</v>
      </c>
      <c r="S829" s="7" t="s">
        <v>3856</v>
      </c>
      <c r="T829" s="8"/>
      <c r="U829" s="11" t="str">
        <f>HYPERLINK("https://pbs.twimg.com/profile_images/1109319933727367174/3Ntc6F_T.png","View")</f>
        <v>View</v>
      </c>
      <c r="V829" s="8"/>
      <c r="W829" s="8"/>
      <c r="X829" s="8"/>
      <c r="Y829" s="8"/>
      <c r="Z829" s="8"/>
    </row>
    <row r="830" spans="1:26" ht="13.2">
      <c r="A830" s="13">
        <v>44250.593842592592</v>
      </c>
      <c r="B830" s="6" t="str">
        <f>HYPERLINK("https://twitter.com/Artificial_Twin","@Artificial_Twin")</f>
        <v>@Artificial_Twin</v>
      </c>
      <c r="C830" s="14" t="s">
        <v>545</v>
      </c>
      <c r="D830" s="14" t="s">
        <v>3857</v>
      </c>
      <c r="E830" s="6" t="str">
        <f>HYPERLINK("https://twitter.com/Artificial_Twin/status/1364202131230760963","1364202131230760963")</f>
        <v>1364202131230760963</v>
      </c>
      <c r="F830" s="7" t="s">
        <v>3858</v>
      </c>
      <c r="G830" s="7" t="s">
        <v>3859</v>
      </c>
      <c r="H830" s="8"/>
      <c r="I830" s="14">
        <v>0</v>
      </c>
      <c r="J830" s="14">
        <v>0</v>
      </c>
      <c r="K830" s="6" t="str">
        <f>HYPERLINK("https://buffer.com","Buffer")</f>
        <v>Buffer</v>
      </c>
      <c r="L830" s="15">
        <v>200</v>
      </c>
      <c r="M830" s="15">
        <v>3</v>
      </c>
      <c r="N830" s="15">
        <v>4</v>
      </c>
      <c r="O830" s="9"/>
      <c r="P830" s="10">
        <v>43717.989490740743</v>
      </c>
      <c r="Q830" s="14" t="s">
        <v>549</v>
      </c>
      <c r="R830" s="14" t="s">
        <v>550</v>
      </c>
      <c r="S830" s="7" t="s">
        <v>551</v>
      </c>
      <c r="T830" s="8"/>
      <c r="U830" s="11" t="str">
        <f>HYPERLINK("https://pbs.twimg.com/profile_images/1171178802019483653/YP9R7IMl.jpg","View")</f>
        <v>View</v>
      </c>
      <c r="V830" s="8"/>
      <c r="W830" s="8"/>
      <c r="X830" s="8"/>
      <c r="Y830" s="8"/>
      <c r="Z830" s="8"/>
    </row>
    <row r="831" spans="1:26" ht="13.2">
      <c r="A831" s="13">
        <v>44250.593657407408</v>
      </c>
      <c r="B831" s="6" t="str">
        <f>HYPERLINK("https://twitter.com/ThedomainHuB","@ThedomainHuB")</f>
        <v>@ThedomainHuB</v>
      </c>
      <c r="C831" s="14" t="s">
        <v>3770</v>
      </c>
      <c r="D831" s="14" t="s">
        <v>3771</v>
      </c>
      <c r="E831" s="6" t="str">
        <f>HYPERLINK("https://twitter.com/ThedomainHuB/status/1364202065107550213","1364202065107550213")</f>
        <v>1364202065107550213</v>
      </c>
      <c r="F831" s="7" t="s">
        <v>3860</v>
      </c>
      <c r="G831" s="7" t="s">
        <v>3861</v>
      </c>
      <c r="H831" s="8"/>
      <c r="I831" s="14">
        <v>3</v>
      </c>
      <c r="J831" s="14">
        <v>1</v>
      </c>
      <c r="K831" s="6" t="str">
        <f>HYPERLINK("https://mobile.twitter.com","Twitter Web App")</f>
        <v>Twitter Web App</v>
      </c>
      <c r="L831" s="15">
        <v>1256</v>
      </c>
      <c r="M831" s="15">
        <v>4549</v>
      </c>
      <c r="N831" s="15">
        <v>16</v>
      </c>
      <c r="O831" s="9"/>
      <c r="P831" s="10">
        <v>41388.356400462959</v>
      </c>
      <c r="Q831" s="14" t="s">
        <v>3774</v>
      </c>
      <c r="R831" s="14" t="s">
        <v>3775</v>
      </c>
      <c r="S831" s="7" t="s">
        <v>3776</v>
      </c>
      <c r="T831" s="8"/>
      <c r="U831" s="11" t="str">
        <f>HYPERLINK("https://pbs.twimg.com/profile_images/1362769885521080321/bL4rByio.jpg","View")</f>
        <v>View</v>
      </c>
      <c r="V831" s="8"/>
      <c r="W831" s="8"/>
      <c r="X831" s="8"/>
      <c r="Y831" s="8"/>
      <c r="Z831" s="8"/>
    </row>
    <row r="832" spans="1:26" ht="13.2">
      <c r="A832" s="13">
        <v>44250.593090277776</v>
      </c>
      <c r="B832" s="6" t="str">
        <f>HYPERLINK("https://twitter.com/milocamj","@milocamj")</f>
        <v>@milocamj</v>
      </c>
      <c r="C832" s="14" t="s">
        <v>1805</v>
      </c>
      <c r="D832" s="14" t="s">
        <v>3862</v>
      </c>
      <c r="E832" s="6" t="str">
        <f>HYPERLINK("https://twitter.com/milocamj/status/1364201857673928707","1364201857673928707")</f>
        <v>1364201857673928707</v>
      </c>
      <c r="F832" s="7" t="s">
        <v>3863</v>
      </c>
      <c r="G832" s="7" t="s">
        <v>3864</v>
      </c>
      <c r="H832" s="8"/>
      <c r="I832" s="14">
        <v>3</v>
      </c>
      <c r="J832" s="14">
        <v>0</v>
      </c>
      <c r="K832" s="6" t="str">
        <f>HYPERLINK("https://dlvrit.com/","dlvr.it")</f>
        <v>dlvr.it</v>
      </c>
      <c r="L832" s="15">
        <v>2595</v>
      </c>
      <c r="M832" s="15">
        <v>48</v>
      </c>
      <c r="N832" s="15">
        <v>1282</v>
      </c>
      <c r="O832" s="9"/>
      <c r="P832" s="10">
        <v>39904.699837962966</v>
      </c>
      <c r="Q832" s="14" t="s">
        <v>1809</v>
      </c>
      <c r="R832" s="14" t="s">
        <v>1810</v>
      </c>
      <c r="S832" s="7" t="s">
        <v>1811</v>
      </c>
      <c r="T832" s="8"/>
      <c r="U832" s="11" t="str">
        <f>HYPERLINK("https://pbs.twimg.com/profile_images/1108578778018709505/56I0aOhL.jpg","View")</f>
        <v>View</v>
      </c>
      <c r="V832" s="8"/>
      <c r="W832" s="8"/>
      <c r="X832" s="8"/>
      <c r="Y832" s="8"/>
      <c r="Z832" s="8"/>
    </row>
    <row r="833" spans="1:26" ht="13.2">
      <c r="A833" s="13">
        <v>44250.592731481476</v>
      </c>
      <c r="B833" s="6" t="str">
        <f>HYPERLINK("https://twitter.com/machinelearnflx","@machinelearnflx")</f>
        <v>@machinelearnflx</v>
      </c>
      <c r="C833" s="14" t="s">
        <v>279</v>
      </c>
      <c r="D833" s="14" t="s">
        <v>3865</v>
      </c>
      <c r="E833" s="6" t="str">
        <f>HYPERLINK("https://twitter.com/machinelearnflx/status/1364201729756172289","1364201729756172289")</f>
        <v>1364201729756172289</v>
      </c>
      <c r="F833" s="7" t="s">
        <v>3866</v>
      </c>
      <c r="G833" s="8"/>
      <c r="H833" s="8"/>
      <c r="I833" s="14">
        <v>3</v>
      </c>
      <c r="J833" s="14">
        <v>4</v>
      </c>
      <c r="K833" s="6" t="str">
        <f>HYPERLINK("https://twitter.com/pythonbot_","Postmatico")</f>
        <v>Postmatico</v>
      </c>
      <c r="L833" s="15">
        <v>90451</v>
      </c>
      <c r="M833" s="15">
        <v>35464</v>
      </c>
      <c r="N833" s="15">
        <v>2227</v>
      </c>
      <c r="O833" s="9"/>
      <c r="P833" s="10">
        <v>42386.538865740746</v>
      </c>
      <c r="Q833" s="8"/>
      <c r="R833" s="14" t="s">
        <v>282</v>
      </c>
      <c r="S833" s="7" t="s">
        <v>283</v>
      </c>
      <c r="T833" s="8"/>
      <c r="U833" s="11" t="str">
        <f>HYPERLINK("https://pbs.twimg.com/profile_images/688735459892195329/v8sHaWSG.jpg","View")</f>
        <v>View</v>
      </c>
      <c r="V833" s="8"/>
      <c r="W833" s="8"/>
      <c r="X833" s="8"/>
      <c r="Y833" s="8"/>
      <c r="Z833" s="8"/>
    </row>
    <row r="834" spans="1:26" ht="13.2">
      <c r="A834" s="13">
        <v>44250.592719907407</v>
      </c>
      <c r="B834" s="6" t="str">
        <f>HYPERLINK("https://twitter.com/guidaautonoma","@guidaautonoma")</f>
        <v>@guidaautonoma</v>
      </c>
      <c r="C834" s="14" t="s">
        <v>2203</v>
      </c>
      <c r="D834" s="14" t="s">
        <v>3867</v>
      </c>
      <c r="E834" s="6" t="str">
        <f>HYPERLINK("https://twitter.com/guidaautonoma/status/1364201724655898626","1364201724655898626")</f>
        <v>1364201724655898626</v>
      </c>
      <c r="F834" s="7" t="s">
        <v>3868</v>
      </c>
      <c r="G834" s="7" t="s">
        <v>3869</v>
      </c>
      <c r="H834" s="8"/>
      <c r="I834" s="14">
        <v>3</v>
      </c>
      <c r="J834" s="14">
        <v>1</v>
      </c>
      <c r="K834" s="6" t="str">
        <f>HYPERLINK("http://twitter.com/download/android","Twitter for Android")</f>
        <v>Twitter for Android</v>
      </c>
      <c r="L834" s="15">
        <v>7074</v>
      </c>
      <c r="M834" s="15">
        <v>6991</v>
      </c>
      <c r="N834" s="15">
        <v>411</v>
      </c>
      <c r="O834" s="9"/>
      <c r="P834" s="10">
        <v>42496.270833333328</v>
      </c>
      <c r="Q834" s="14" t="s">
        <v>2207</v>
      </c>
      <c r="R834" s="14" t="s">
        <v>2208</v>
      </c>
      <c r="S834" s="7" t="s">
        <v>2209</v>
      </c>
      <c r="T834" s="8"/>
      <c r="U834" s="11" t="str">
        <f>HYPERLINK("https://pbs.twimg.com/profile_images/728675456971583488/AVbaFxlK.jpg","View")</f>
        <v>View</v>
      </c>
      <c r="V834" s="8"/>
      <c r="W834" s="8"/>
      <c r="X834" s="8"/>
      <c r="Y834" s="8"/>
      <c r="Z834" s="8"/>
    </row>
    <row r="835" spans="1:26" ht="13.2">
      <c r="A835" s="13">
        <v>44250.592615740738</v>
      </c>
      <c r="B835" s="6" t="str">
        <f>HYPERLINK("https://twitter.com/SpotYourDeal","@SpotYourDeal")</f>
        <v>@SpotYourDeal</v>
      </c>
      <c r="C835" s="14" t="s">
        <v>3870</v>
      </c>
      <c r="D835" s="14" t="s">
        <v>3852</v>
      </c>
      <c r="E835" s="6" t="str">
        <f>HYPERLINK("https://twitter.com/SpotYourDeal/status/1364201688039481354","1364201688039481354")</f>
        <v>1364201688039481354</v>
      </c>
      <c r="F835" s="8"/>
      <c r="G835" s="7" t="s">
        <v>3871</v>
      </c>
      <c r="H835" s="8"/>
      <c r="I835" s="14">
        <v>4</v>
      </c>
      <c r="J835" s="14">
        <v>0</v>
      </c>
      <c r="K835" s="6" t="str">
        <f>HYPERLINK("https://mobile.twitter.com","Twitter Web App")</f>
        <v>Twitter Web App</v>
      </c>
      <c r="L835" s="15">
        <v>25</v>
      </c>
      <c r="M835" s="15">
        <v>180</v>
      </c>
      <c r="N835" s="15">
        <v>0</v>
      </c>
      <c r="O835" s="9"/>
      <c r="P835" s="10">
        <v>43444.722175925926</v>
      </c>
      <c r="Q835" s="14" t="s">
        <v>364</v>
      </c>
      <c r="R835" s="14" t="s">
        <v>3872</v>
      </c>
      <c r="S835" s="7" t="s">
        <v>3873</v>
      </c>
      <c r="T835" s="8"/>
      <c r="U835" s="11" t="str">
        <f>HYPERLINK("https://pbs.twimg.com/profile_images/1181891867035590660/sEwymiyq.png","View")</f>
        <v>View</v>
      </c>
      <c r="V835" s="8"/>
      <c r="W835" s="8"/>
      <c r="X835" s="8"/>
      <c r="Y835" s="8"/>
      <c r="Z835" s="8"/>
    </row>
    <row r="836" spans="1:26" ht="13.2">
      <c r="A836" s="13">
        <v>44250.592511574076</v>
      </c>
      <c r="B836" s="6" t="str">
        <f>HYPERLINK("https://twitter.com/M3_Konferenz","@M3_Konferenz")</f>
        <v>@M3_Konferenz</v>
      </c>
      <c r="C836" s="14" t="s">
        <v>3874</v>
      </c>
      <c r="D836" s="14" t="s">
        <v>3875</v>
      </c>
      <c r="E836" s="6" t="str">
        <f>HYPERLINK("https://twitter.com/M3_Konferenz/status/1364201649510744064","1364201649510744064")</f>
        <v>1364201649510744064</v>
      </c>
      <c r="F836" s="7" t="s">
        <v>3876</v>
      </c>
      <c r="G836" s="7" t="s">
        <v>3877</v>
      </c>
      <c r="H836" s="8"/>
      <c r="I836" s="14">
        <v>0</v>
      </c>
      <c r="J836" s="14">
        <v>0</v>
      </c>
      <c r="K836" s="6" t="str">
        <f t="shared" ref="K836:K837" si="132">HYPERLINK("https://about.twitter.com/products/tweetdeck","TweetDeck")</f>
        <v>TweetDeck</v>
      </c>
      <c r="L836" s="15">
        <v>185</v>
      </c>
      <c r="M836" s="15">
        <v>3</v>
      </c>
      <c r="N836" s="15">
        <v>1</v>
      </c>
      <c r="O836" s="9"/>
      <c r="P836" s="10">
        <v>42829.409201388888</v>
      </c>
      <c r="Q836" s="8"/>
      <c r="R836" s="8"/>
      <c r="S836" s="8"/>
      <c r="T836" s="8"/>
      <c r="U836" s="11" t="str">
        <f>HYPERLINK("https://pbs.twimg.com/profile_images/1064886725556752384/DNLQF6Zi.jpg","View")</f>
        <v>View</v>
      </c>
      <c r="V836" s="8"/>
      <c r="W836" s="8"/>
      <c r="X836" s="8"/>
      <c r="Y836" s="8"/>
      <c r="Z836" s="8"/>
    </row>
    <row r="837" spans="1:26" ht="13.2">
      <c r="A837" s="13">
        <v>44250.592361111107</v>
      </c>
      <c r="B837" s="6" t="str">
        <f>HYPERLINK("https://twitter.com/moorejh","@moorejh")</f>
        <v>@moorejh</v>
      </c>
      <c r="C837" s="14" t="s">
        <v>3878</v>
      </c>
      <c r="D837" s="14" t="s">
        <v>3879</v>
      </c>
      <c r="E837" s="6" t="str">
        <f>HYPERLINK("https://twitter.com/moorejh/status/1364201593776742402","1364201593776742402")</f>
        <v>1364201593776742402</v>
      </c>
      <c r="F837" s="7" t="s">
        <v>3880</v>
      </c>
      <c r="G837" s="8"/>
      <c r="H837" s="8"/>
      <c r="I837" s="14">
        <v>2</v>
      </c>
      <c r="J837" s="14">
        <v>3</v>
      </c>
      <c r="K837" s="6" t="str">
        <f t="shared" si="132"/>
        <v>TweetDeck</v>
      </c>
      <c r="L837" s="15">
        <v>29040</v>
      </c>
      <c r="M837" s="15">
        <v>17187</v>
      </c>
      <c r="N837" s="15">
        <v>1360</v>
      </c>
      <c r="O837" s="9"/>
      <c r="P837" s="10">
        <v>39649.048888888887</v>
      </c>
      <c r="Q837" s="14" t="s">
        <v>3881</v>
      </c>
      <c r="R837" s="14" t="s">
        <v>3882</v>
      </c>
      <c r="S837" s="7" t="s">
        <v>3883</v>
      </c>
      <c r="T837" s="8"/>
      <c r="U837" s="11" t="str">
        <f>HYPERLINK("https://pbs.twimg.com/profile_images/550024402142625793/5aw9u9E8.jpeg","View")</f>
        <v>View</v>
      </c>
      <c r="V837" s="8"/>
      <c r="W837" s="8"/>
      <c r="X837" s="8"/>
      <c r="Y837" s="8"/>
      <c r="Z837" s="8"/>
    </row>
    <row r="838" spans="1:26" ht="13.2">
      <c r="A838" s="13">
        <v>44250.592222222222</v>
      </c>
      <c r="B838" s="6" t="str">
        <f>HYPERLINK("https://twitter.com/botonomics","@botonomics")</f>
        <v>@botonomics</v>
      </c>
      <c r="C838" s="14" t="s">
        <v>3884</v>
      </c>
      <c r="D838" s="14" t="s">
        <v>3885</v>
      </c>
      <c r="E838" s="6" t="str">
        <f>HYPERLINK("https://twitter.com/botonomics/status/1364201544095207426","1364201544095207426")</f>
        <v>1364201544095207426</v>
      </c>
      <c r="F838" s="8"/>
      <c r="G838" s="7" t="s">
        <v>3886</v>
      </c>
      <c r="H838" s="8"/>
      <c r="I838" s="14">
        <v>0</v>
      </c>
      <c r="J838" s="14">
        <v>2</v>
      </c>
      <c r="K838" s="6" t="str">
        <f t="shared" ref="K838:K839" si="133">HYPERLINK("http://twitter.com/download/android","Twitter for Android")</f>
        <v>Twitter for Android</v>
      </c>
      <c r="L838" s="15">
        <v>23</v>
      </c>
      <c r="M838" s="15">
        <v>9</v>
      </c>
      <c r="N838" s="15">
        <v>0</v>
      </c>
      <c r="O838" s="9"/>
      <c r="P838" s="10">
        <v>43760.57068287037</v>
      </c>
      <c r="Q838" s="14" t="s">
        <v>3887</v>
      </c>
      <c r="R838" s="14" t="s">
        <v>3888</v>
      </c>
      <c r="S838" s="7" t="s">
        <v>3889</v>
      </c>
      <c r="T838" s="8"/>
      <c r="U838" s="11" t="str">
        <f>HYPERLINK("https://pbs.twimg.com/profile_images/1186627015937445888/-wMdUvwU.jpg","View")</f>
        <v>View</v>
      </c>
      <c r="V838" s="8"/>
      <c r="W838" s="8"/>
      <c r="X838" s="8"/>
      <c r="Y838" s="8"/>
      <c r="Z838" s="8"/>
    </row>
    <row r="839" spans="1:26" ht="13.2">
      <c r="A839" s="13">
        <v>44250.591921296298</v>
      </c>
      <c r="B839" s="6" t="str">
        <f>HYPERLINK("https://twitter.com/SpecificWhite","@SpecificWhite")</f>
        <v>@SpecificWhite</v>
      </c>
      <c r="C839" s="14" t="s">
        <v>3890</v>
      </c>
      <c r="D839" s="14" t="s">
        <v>3891</v>
      </c>
      <c r="E839" s="6" t="str">
        <f>HYPERLINK("https://twitter.com/SpecificWhite/status/1364201435911643138","1364201435911643138")</f>
        <v>1364201435911643138</v>
      </c>
      <c r="F839" s="7" t="s">
        <v>3892</v>
      </c>
      <c r="G839" s="7" t="s">
        <v>3893</v>
      </c>
      <c r="H839" s="8"/>
      <c r="I839" s="14">
        <v>0</v>
      </c>
      <c r="J839" s="14">
        <v>2</v>
      </c>
      <c r="K839" s="6" t="str">
        <f t="shared" si="133"/>
        <v>Twitter for Android</v>
      </c>
      <c r="L839" s="15">
        <v>583</v>
      </c>
      <c r="M839" s="15">
        <v>138</v>
      </c>
      <c r="N839" s="15">
        <v>0</v>
      </c>
      <c r="O839" s="9"/>
      <c r="P839" s="10">
        <v>44195.683287037042</v>
      </c>
      <c r="Q839" s="14" t="s">
        <v>811</v>
      </c>
      <c r="R839" s="14" t="s">
        <v>3894</v>
      </c>
      <c r="S839" s="8"/>
      <c r="T839" s="8"/>
      <c r="U839" s="11" t="str">
        <f>HYPERLINK("https://pbs.twimg.com/profile_images/1349843671617855489/5mvcoOl2.jpg","View")</f>
        <v>View</v>
      </c>
      <c r="V839" s="8"/>
      <c r="W839" s="8"/>
      <c r="X839" s="8"/>
      <c r="Y839" s="8"/>
      <c r="Z839" s="8"/>
    </row>
    <row r="840" spans="1:26" ht="13.2">
      <c r="A840" s="13">
        <v>44250.591782407406</v>
      </c>
      <c r="B840" s="6" t="str">
        <f>HYPERLINK("https://twitter.com/tianhuil","@tianhuil")</f>
        <v>@tianhuil</v>
      </c>
      <c r="C840" s="14" t="s">
        <v>923</v>
      </c>
      <c r="D840" s="14" t="s">
        <v>3895</v>
      </c>
      <c r="E840" s="6" t="str">
        <f>HYPERLINK("https://twitter.com/tianhuil/status/1364201384837607425","1364201384837607425")</f>
        <v>1364201384837607425</v>
      </c>
      <c r="F840" s="7" t="s">
        <v>3896</v>
      </c>
      <c r="G840" s="8"/>
      <c r="H840" s="8"/>
      <c r="I840" s="14">
        <v>18</v>
      </c>
      <c r="J840" s="14">
        <v>8</v>
      </c>
      <c r="K840" s="6" t="str">
        <f>HYPERLINK("https://socialpull.globalunderdog.com/","Social-Pull-Staging")</f>
        <v>Social-Pull-Staging</v>
      </c>
      <c r="L840" s="15">
        <v>4962</v>
      </c>
      <c r="M840" s="15">
        <v>4657</v>
      </c>
      <c r="N840" s="15">
        <v>1354</v>
      </c>
      <c r="O840" s="9"/>
      <c r="P840" s="10">
        <v>41075.722881944443</v>
      </c>
      <c r="Q840" s="14" t="s">
        <v>926</v>
      </c>
      <c r="R840" s="14" t="s">
        <v>927</v>
      </c>
      <c r="S840" s="7" t="s">
        <v>928</v>
      </c>
      <c r="T840" s="8"/>
      <c r="U840" s="11" t="str">
        <f>HYPERLINK("https://pbs.twimg.com/profile_images/618184546538749952/5nL3gc4f.jpg","View")</f>
        <v>View</v>
      </c>
      <c r="V840" s="8"/>
      <c r="W840" s="8"/>
      <c r="X840" s="8"/>
      <c r="Y840" s="8"/>
      <c r="Z840" s="8"/>
    </row>
    <row r="841" spans="1:26" ht="13.2">
      <c r="A841" s="13">
        <v>44250.591215277775</v>
      </c>
      <c r="B841" s="6" t="str">
        <f>HYPERLINK("https://twitter.com/nordicinst","@nordicinst")</f>
        <v>@nordicinst</v>
      </c>
      <c r="C841" s="14" t="s">
        <v>1812</v>
      </c>
      <c r="D841" s="14" t="s">
        <v>3897</v>
      </c>
      <c r="E841" s="6" t="str">
        <f>HYPERLINK("https://twitter.com/nordicinst/status/1364201179140489217","1364201179140489217")</f>
        <v>1364201179140489217</v>
      </c>
      <c r="F841" s="7" t="s">
        <v>3898</v>
      </c>
      <c r="G841" s="8"/>
      <c r="H841" s="8"/>
      <c r="I841" s="14">
        <v>0</v>
      </c>
      <c r="J841" s="14">
        <v>0</v>
      </c>
      <c r="K841" s="6" t="str">
        <f>HYPERLINK("https://ifttt.com","IFTTT")</f>
        <v>IFTTT</v>
      </c>
      <c r="L841" s="15">
        <v>18247</v>
      </c>
      <c r="M841" s="15">
        <v>17</v>
      </c>
      <c r="N841" s="15">
        <v>306</v>
      </c>
      <c r="O841" s="9"/>
      <c r="P841" s="10">
        <v>42796.734710648147</v>
      </c>
      <c r="Q841" s="14" t="s">
        <v>1815</v>
      </c>
      <c r="R841" s="14" t="s">
        <v>1816</v>
      </c>
      <c r="S841" s="7" t="s">
        <v>1817</v>
      </c>
      <c r="T841" s="8"/>
      <c r="U841" s="11" t="str">
        <f>HYPERLINK("https://pbs.twimg.com/profile_images/894659016705556480/_CJhwfbx.jpg","View")</f>
        <v>View</v>
      </c>
      <c r="V841" s="8"/>
      <c r="W841" s="8"/>
      <c r="X841" s="8"/>
      <c r="Y841" s="8"/>
      <c r="Z841" s="8"/>
    </row>
    <row r="842" spans="1:26" ht="13.2">
      <c r="A842" s="13">
        <v>44250.591006944444</v>
      </c>
      <c r="B842" s="6" t="str">
        <f>HYPERLINK("https://twitter.com/yywwy3","@yywwy3")</f>
        <v>@yywwy3</v>
      </c>
      <c r="C842" s="14" t="s">
        <v>3899</v>
      </c>
      <c r="D842" s="14" t="s">
        <v>3900</v>
      </c>
      <c r="E842" s="6" t="str">
        <f>HYPERLINK("https://twitter.com/yywwy3/status/1364201103424847879","1364201103424847879")</f>
        <v>1364201103424847879</v>
      </c>
      <c r="F842" s="8"/>
      <c r="G842" s="7" t="s">
        <v>3901</v>
      </c>
      <c r="H842" s="8"/>
      <c r="I842" s="14">
        <v>25</v>
      </c>
      <c r="J842" s="14">
        <v>4</v>
      </c>
      <c r="K842" s="6" t="str">
        <f t="shared" ref="K842:K843" si="134">HYPERLINK("https://mobile.twitter.com","Twitter Web App")</f>
        <v>Twitter Web App</v>
      </c>
      <c r="L842" s="15">
        <v>1168</v>
      </c>
      <c r="M842" s="15">
        <v>1444</v>
      </c>
      <c r="N842" s="15">
        <v>4</v>
      </c>
      <c r="O842" s="9"/>
      <c r="P842" s="10">
        <v>44127.356435185182</v>
      </c>
      <c r="Q842" s="14" t="s">
        <v>2501</v>
      </c>
      <c r="R842" s="14" t="s">
        <v>3902</v>
      </c>
      <c r="S842" s="8"/>
      <c r="T842" s="8"/>
      <c r="U842" s="11" t="str">
        <f>HYPERLINK("https://pbs.twimg.com/profile_images/1319539085661200384/VSgFxaju.jpg","View")</f>
        <v>View</v>
      </c>
      <c r="V842" s="8"/>
      <c r="W842" s="8"/>
      <c r="X842" s="8"/>
      <c r="Y842" s="8"/>
      <c r="Z842" s="8"/>
    </row>
    <row r="843" spans="1:26" ht="13.2">
      <c r="A843" s="13">
        <v>44250.590497685189</v>
      </c>
      <c r="B843" s="6" t="str">
        <f>HYPERLINK("https://twitter.com/Roshchupkin","@Roshchupkin")</f>
        <v>@Roshchupkin</v>
      </c>
      <c r="C843" s="14" t="s">
        <v>3903</v>
      </c>
      <c r="D843" s="14" t="s">
        <v>3904</v>
      </c>
      <c r="E843" s="6" t="str">
        <f>HYPERLINK("https://twitter.com/Roshchupkin/status/1364200918510616580","1364200918510616580")</f>
        <v>1364200918510616580</v>
      </c>
      <c r="F843" s="7" t="s">
        <v>3905</v>
      </c>
      <c r="G843" s="8"/>
      <c r="H843" s="8"/>
      <c r="I843" s="14">
        <v>2</v>
      </c>
      <c r="J843" s="14">
        <v>3</v>
      </c>
      <c r="K843" s="6" t="str">
        <f t="shared" si="134"/>
        <v>Twitter Web App</v>
      </c>
      <c r="L843" s="15">
        <v>186</v>
      </c>
      <c r="M843" s="15">
        <v>479</v>
      </c>
      <c r="N843" s="15">
        <v>1</v>
      </c>
      <c r="O843" s="9"/>
      <c r="P843" s="10">
        <v>40308.525023148148</v>
      </c>
      <c r="Q843" s="14" t="s">
        <v>3906</v>
      </c>
      <c r="R843" s="14" t="s">
        <v>3907</v>
      </c>
      <c r="S843" s="7" t="s">
        <v>3908</v>
      </c>
      <c r="T843" s="8"/>
      <c r="U843" s="11" t="str">
        <f>HYPERLINK("https://pbs.twimg.com/profile_images/1349359254495522818/NDfjfEUv.jpg","View")</f>
        <v>View</v>
      </c>
      <c r="V843" s="8"/>
      <c r="W843" s="8"/>
      <c r="X843" s="8"/>
      <c r="Y843" s="8"/>
      <c r="Z843" s="8"/>
    </row>
    <row r="844" spans="1:26" ht="13.2">
      <c r="A844" s="13">
        <v>44250.58902777778</v>
      </c>
      <c r="B844" s="6" t="str">
        <f>HYPERLINK("https://twitter.com/arXiv_Daily","@arXiv_Daily")</f>
        <v>@arXiv_Daily</v>
      </c>
      <c r="C844" s="14" t="s">
        <v>3262</v>
      </c>
      <c r="D844" s="14" t="s">
        <v>3909</v>
      </c>
      <c r="E844" s="6" t="str">
        <f>HYPERLINK("https://twitter.com/arXiv_Daily/status/1364200388841283587","1364200388841283587")</f>
        <v>1364200388841283587</v>
      </c>
      <c r="F844" s="7" t="s">
        <v>3910</v>
      </c>
      <c r="G844" s="8"/>
      <c r="H844" s="8"/>
      <c r="I844" s="14">
        <v>1</v>
      </c>
      <c r="J844" s="14">
        <v>4</v>
      </c>
      <c r="K844" s="6" t="str">
        <f>HYPERLINK("https://deepai.org/","ArXiv Daily")</f>
        <v>ArXiv Daily</v>
      </c>
      <c r="L844" s="15">
        <v>31503</v>
      </c>
      <c r="M844" s="15">
        <v>2032</v>
      </c>
      <c r="N844" s="15">
        <v>444</v>
      </c>
      <c r="O844" s="9"/>
      <c r="P844" s="10">
        <v>43095.185717592598</v>
      </c>
      <c r="Q844" s="14" t="s">
        <v>3265</v>
      </c>
      <c r="R844" s="14" t="s">
        <v>3266</v>
      </c>
      <c r="S844" s="7" t="s">
        <v>3267</v>
      </c>
      <c r="T844" s="8"/>
      <c r="U844" s="11" t="str">
        <f>HYPERLINK("https://pbs.twimg.com/profile_images/945497303036526593/s9LSNZ9p.jpg","View")</f>
        <v>View</v>
      </c>
      <c r="V844" s="8"/>
      <c r="W844" s="8"/>
      <c r="X844" s="8"/>
      <c r="Y844" s="8"/>
      <c r="Z844" s="8"/>
    </row>
    <row r="845" spans="1:26" ht="13.2">
      <c r="A845" s="13">
        <v>44250.588969907403</v>
      </c>
      <c r="B845" s="6" t="str">
        <f>HYPERLINK("https://twitter.com/towards_AI","@towards_AI")</f>
        <v>@towards_AI</v>
      </c>
      <c r="C845" s="14" t="s">
        <v>993</v>
      </c>
      <c r="D845" s="14" t="s">
        <v>3459</v>
      </c>
      <c r="E845" s="6" t="str">
        <f>HYPERLINK("https://twitter.com/towards_AI/status/1364200367832072197","1364200367832072197")</f>
        <v>1364200367832072197</v>
      </c>
      <c r="F845" s="7" t="s">
        <v>3460</v>
      </c>
      <c r="G845" s="8"/>
      <c r="H845" s="8"/>
      <c r="I845" s="14">
        <v>2</v>
      </c>
      <c r="J845" s="14">
        <v>3</v>
      </c>
      <c r="K845" s="6" t="str">
        <f>HYPERLINK("https://ifttt.com","IFTTT")</f>
        <v>IFTTT</v>
      </c>
      <c r="L845" s="15">
        <v>4357</v>
      </c>
      <c r="M845" s="15">
        <v>17</v>
      </c>
      <c r="N845" s="15">
        <v>66</v>
      </c>
      <c r="O845" s="9"/>
      <c r="P845" s="10">
        <v>43565.689467592594</v>
      </c>
      <c r="Q845" s="14" t="s">
        <v>322</v>
      </c>
      <c r="R845" s="14" t="s">
        <v>994</v>
      </c>
      <c r="S845" s="7" t="s">
        <v>995</v>
      </c>
      <c r="T845" s="8"/>
      <c r="U845" s="11" t="str">
        <f>HYPERLINK("https://pbs.twimg.com/profile_images/1289733180468203520/z8oEBpFo.png","View")</f>
        <v>View</v>
      </c>
      <c r="V845" s="8"/>
      <c r="W845" s="8"/>
      <c r="X845" s="8"/>
      <c r="Y845" s="8"/>
      <c r="Z845" s="8"/>
    </row>
    <row r="846" spans="1:26" ht="13.2">
      <c r="A846" s="13">
        <v>44250.588206018518</v>
      </c>
      <c r="B846" s="6" t="str">
        <f>HYPERLINK("https://twitter.com/TechNative","@TechNative")</f>
        <v>@TechNative</v>
      </c>
      <c r="C846" s="14" t="s">
        <v>866</v>
      </c>
      <c r="D846" s="14" t="s">
        <v>3911</v>
      </c>
      <c r="E846" s="6" t="str">
        <f>HYPERLINK("https://twitter.com/TechNative/status/1364200088642453504","1364200088642453504")</f>
        <v>1364200088642453504</v>
      </c>
      <c r="F846" s="7" t="s">
        <v>925</v>
      </c>
      <c r="G846" s="8"/>
      <c r="H846" s="8"/>
      <c r="I846" s="14">
        <v>7</v>
      </c>
      <c r="J846" s="14">
        <v>3</v>
      </c>
      <c r="K846" s="6" t="str">
        <f>HYPERLINK("https://sproutsocial.com","Sprout Social")</f>
        <v>Sprout Social</v>
      </c>
      <c r="L846" s="15">
        <v>84850</v>
      </c>
      <c r="M846" s="15">
        <v>60575</v>
      </c>
      <c r="N846" s="15">
        <v>2623</v>
      </c>
      <c r="O846" s="9"/>
      <c r="P846" s="10">
        <v>42289.695833333331</v>
      </c>
      <c r="Q846" s="14" t="s">
        <v>869</v>
      </c>
      <c r="R846" s="14" t="s">
        <v>870</v>
      </c>
      <c r="S846" s="7" t="s">
        <v>871</v>
      </c>
      <c r="T846" s="8"/>
      <c r="U846" s="11" t="str">
        <f>HYPERLINK("https://pbs.twimg.com/profile_images/877265193818103808/uriy-gaK.jpg","View")</f>
        <v>View</v>
      </c>
      <c r="V846" s="8"/>
      <c r="W846" s="8"/>
      <c r="X846" s="8"/>
      <c r="Y846" s="8"/>
      <c r="Z846" s="8"/>
    </row>
    <row r="847" spans="1:26" ht="13.2">
      <c r="A847" s="13">
        <v>44250.588206018518</v>
      </c>
      <c r="B847" s="6" t="str">
        <f>HYPERLINK("https://twitter.com/DivergentCIO","@DivergentCIO")</f>
        <v>@DivergentCIO</v>
      </c>
      <c r="C847" s="14" t="s">
        <v>3912</v>
      </c>
      <c r="D847" s="14" t="s">
        <v>3913</v>
      </c>
      <c r="E847" s="6" t="str">
        <f>HYPERLINK("https://twitter.com/DivergentCIO/status/1364200088332087296","1364200088332087296")</f>
        <v>1364200088332087296</v>
      </c>
      <c r="F847" s="7" t="s">
        <v>3914</v>
      </c>
      <c r="G847" s="8"/>
      <c r="H847" s="8"/>
      <c r="I847" s="14">
        <v>0</v>
      </c>
      <c r="J847" s="14">
        <v>0</v>
      </c>
      <c r="K847" s="6" t="str">
        <f>HYPERLINK("https://buffer.com","Buffer")</f>
        <v>Buffer</v>
      </c>
      <c r="L847" s="15">
        <v>28614</v>
      </c>
      <c r="M847" s="15">
        <v>26399</v>
      </c>
      <c r="N847" s="15">
        <v>1647</v>
      </c>
      <c r="O847" s="9"/>
      <c r="P847" s="10">
        <v>42071.947187500002</v>
      </c>
      <c r="Q847" s="14" t="s">
        <v>3915</v>
      </c>
      <c r="R847" s="14" t="s">
        <v>3916</v>
      </c>
      <c r="S847" s="7" t="s">
        <v>3917</v>
      </c>
      <c r="T847" s="8"/>
      <c r="U847" s="11" t="str">
        <f>HYPERLINK("https://pbs.twimg.com/profile_images/767507322583199745/rpfbzBzg.jpg","View")</f>
        <v>View</v>
      </c>
      <c r="V847" s="8"/>
      <c r="W847" s="8"/>
      <c r="X847" s="8"/>
      <c r="Y847" s="8"/>
      <c r="Z847" s="8"/>
    </row>
    <row r="848" spans="1:26" ht="13.2">
      <c r="A848" s="13">
        <v>44250.58798611111</v>
      </c>
      <c r="B848" s="6" t="str">
        <f>HYPERLINK("https://twitter.com/odsc","@odsc")</f>
        <v>@odsc</v>
      </c>
      <c r="C848" s="14" t="s">
        <v>217</v>
      </c>
      <c r="D848" s="14" t="s">
        <v>3918</v>
      </c>
      <c r="E848" s="6" t="str">
        <f>HYPERLINK("https://twitter.com/odsc/status/1364200008141185030","1364200008141185030")</f>
        <v>1364200008141185030</v>
      </c>
      <c r="F848" s="7" t="s">
        <v>3919</v>
      </c>
      <c r="G848" s="7" t="s">
        <v>3920</v>
      </c>
      <c r="H848" s="8"/>
      <c r="I848" s="14">
        <v>0</v>
      </c>
      <c r="J848" s="14">
        <v>1</v>
      </c>
      <c r="K848" s="6" t="str">
        <f t="shared" ref="K848:K849" si="135">HYPERLINK("http://www.hubspot.com/","HubSpot")</f>
        <v>HubSpot</v>
      </c>
      <c r="L848" s="15">
        <v>78817</v>
      </c>
      <c r="M848" s="15">
        <v>27883</v>
      </c>
      <c r="N848" s="15">
        <v>2461</v>
      </c>
      <c r="O848" s="9"/>
      <c r="P848" s="10">
        <v>42039.982766203699</v>
      </c>
      <c r="Q848" s="14" t="s">
        <v>221</v>
      </c>
      <c r="R848" s="14" t="s">
        <v>222</v>
      </c>
      <c r="S848" s="7" t="s">
        <v>223</v>
      </c>
      <c r="T848" s="8"/>
      <c r="U848" s="11" t="str">
        <f>HYPERLINK("https://pbs.twimg.com/profile_images/1115210960271228929/lHua2G3l.png","View")</f>
        <v>View</v>
      </c>
      <c r="V848" s="8"/>
      <c r="W848" s="8"/>
      <c r="X848" s="8"/>
      <c r="Y848" s="8"/>
      <c r="Z848" s="8"/>
    </row>
    <row r="849" spans="1:26" ht="13.2">
      <c r="A849" s="13">
        <v>44250.587546296301</v>
      </c>
      <c r="B849" s="6" t="str">
        <f>HYPERLINK("https://twitter.com/Opticks_protect","@Opticks_protect")</f>
        <v>@Opticks_protect</v>
      </c>
      <c r="C849" s="14" t="s">
        <v>3921</v>
      </c>
      <c r="D849" s="14" t="s">
        <v>3922</v>
      </c>
      <c r="E849" s="6" t="str">
        <f>HYPERLINK("https://twitter.com/Opticks_protect/status/1364199851978817537","1364199851978817537")</f>
        <v>1364199851978817537</v>
      </c>
      <c r="F849" s="7" t="s">
        <v>3923</v>
      </c>
      <c r="G849" s="7" t="s">
        <v>3924</v>
      </c>
      <c r="H849" s="8"/>
      <c r="I849" s="14">
        <v>0</v>
      </c>
      <c r="J849" s="14">
        <v>0</v>
      </c>
      <c r="K849" s="6" t="str">
        <f t="shared" si="135"/>
        <v>HubSpot</v>
      </c>
      <c r="L849" s="15">
        <v>204</v>
      </c>
      <c r="M849" s="15">
        <v>507</v>
      </c>
      <c r="N849" s="15">
        <v>0</v>
      </c>
      <c r="O849" s="9"/>
      <c r="P849" s="10">
        <v>43601.596250000002</v>
      </c>
      <c r="Q849" s="14" t="s">
        <v>3925</v>
      </c>
      <c r="R849" s="14" t="s">
        <v>3926</v>
      </c>
      <c r="S849" s="7" t="s">
        <v>3927</v>
      </c>
      <c r="T849" s="8"/>
      <c r="U849" s="11" t="str">
        <f>HYPERLINK("https://pbs.twimg.com/profile_images/1131153782140743682/E7pYBJkJ.png","View")</f>
        <v>View</v>
      </c>
      <c r="V849" s="8"/>
      <c r="W849" s="8"/>
      <c r="X849" s="8"/>
      <c r="Y849" s="8"/>
      <c r="Z849" s="8"/>
    </row>
    <row r="850" spans="1:26" ht="13.2">
      <c r="A850" s="13">
        <v>44250.587060185186</v>
      </c>
      <c r="B850" s="6" t="str">
        <f>HYPERLINK("https://twitter.com/mc_oleh","@mc_oleh")</f>
        <v>@mc_oleh</v>
      </c>
      <c r="C850" s="14" t="s">
        <v>3928</v>
      </c>
      <c r="D850" s="14" t="s">
        <v>3929</v>
      </c>
      <c r="E850" s="6" t="str">
        <f>HYPERLINK("https://twitter.com/mc_oleh/status/1364199672408117255","1364199672408117255")</f>
        <v>1364199672408117255</v>
      </c>
      <c r="F850" s="8"/>
      <c r="G850" s="7" t="s">
        <v>3930</v>
      </c>
      <c r="H850" s="8"/>
      <c r="I850" s="14">
        <v>6</v>
      </c>
      <c r="J850" s="14">
        <v>6</v>
      </c>
      <c r="K850" s="6" t="str">
        <f>HYPERLINK("https://mobile.twitter.com","Twitter Web App")</f>
        <v>Twitter Web App</v>
      </c>
      <c r="L850" s="15">
        <v>1094</v>
      </c>
      <c r="M850" s="15">
        <v>591</v>
      </c>
      <c r="N850" s="15">
        <v>53</v>
      </c>
      <c r="O850" s="9"/>
      <c r="P850" s="10">
        <v>41466.397881944446</v>
      </c>
      <c r="Q850" s="14" t="s">
        <v>3931</v>
      </c>
      <c r="R850" s="14" t="s">
        <v>3932</v>
      </c>
      <c r="S850" s="8"/>
      <c r="T850" s="8"/>
      <c r="U850" s="11" t="str">
        <f>HYPERLINK("https://pbs.twimg.com/profile_images/1254303190624940032/EESKBdiR.jpg","View")</f>
        <v>View</v>
      </c>
      <c r="V850" s="8"/>
      <c r="W850" s="8"/>
      <c r="X850" s="8"/>
      <c r="Y850" s="8"/>
      <c r="Z850" s="8"/>
    </row>
    <row r="851" spans="1:26" ht="13.2">
      <c r="A851" s="13">
        <v>44250.586886574078</v>
      </c>
      <c r="B851" s="6" t="str">
        <f>HYPERLINK("https://twitter.com/Zerone_India","@Zerone_India")</f>
        <v>@Zerone_India</v>
      </c>
      <c r="C851" s="14" t="s">
        <v>3933</v>
      </c>
      <c r="D851" s="14" t="s">
        <v>3934</v>
      </c>
      <c r="E851" s="6" t="str">
        <f>HYPERLINK("https://twitter.com/Zerone_India/status/1364199612475715586","1364199612475715586")</f>
        <v>1364199612475715586</v>
      </c>
      <c r="F851" s="14" t="s">
        <v>3935</v>
      </c>
      <c r="G851" s="7" t="s">
        <v>3936</v>
      </c>
      <c r="H851" s="8"/>
      <c r="I851" s="14">
        <v>2</v>
      </c>
      <c r="J851" s="14">
        <v>2</v>
      </c>
      <c r="K851" s="6" t="str">
        <f t="shared" ref="K851:K852" si="136">HYPERLINK("https://buffer.com","Buffer")</f>
        <v>Buffer</v>
      </c>
      <c r="L851" s="15">
        <v>267</v>
      </c>
      <c r="M851" s="15">
        <v>2688</v>
      </c>
      <c r="N851" s="15">
        <v>9</v>
      </c>
      <c r="O851" s="9"/>
      <c r="P851" s="10">
        <v>42824.290219907409</v>
      </c>
      <c r="Q851" s="14" t="s">
        <v>3937</v>
      </c>
      <c r="R851" s="14" t="s">
        <v>3938</v>
      </c>
      <c r="S851" s="7" t="s">
        <v>3939</v>
      </c>
      <c r="T851" s="8"/>
      <c r="U851" s="11" t="str">
        <f>HYPERLINK("https://pbs.twimg.com/profile_images/847320509792387074/nL4Hmex5.jpg","View")</f>
        <v>View</v>
      </c>
      <c r="V851" s="8"/>
      <c r="W851" s="8"/>
      <c r="X851" s="8"/>
      <c r="Y851" s="8"/>
      <c r="Z851" s="8"/>
    </row>
    <row r="852" spans="1:26" ht="13.2">
      <c r="A852" s="13">
        <v>44250.586817129632</v>
      </c>
      <c r="B852" s="6" t="str">
        <f>HYPERLINK("https://twitter.com/DivergentCIO","@DivergentCIO")</f>
        <v>@DivergentCIO</v>
      </c>
      <c r="C852" s="14" t="s">
        <v>3912</v>
      </c>
      <c r="D852" s="14" t="s">
        <v>3940</v>
      </c>
      <c r="E852" s="6" t="str">
        <f>HYPERLINK("https://twitter.com/DivergentCIO/status/1364199585921572867","1364199585921572867")</f>
        <v>1364199585921572867</v>
      </c>
      <c r="F852" s="7" t="s">
        <v>3941</v>
      </c>
      <c r="G852" s="8"/>
      <c r="H852" s="8"/>
      <c r="I852" s="14">
        <v>0</v>
      </c>
      <c r="J852" s="14">
        <v>0</v>
      </c>
      <c r="K852" s="6" t="str">
        <f t="shared" si="136"/>
        <v>Buffer</v>
      </c>
      <c r="L852" s="15">
        <v>28614</v>
      </c>
      <c r="M852" s="15">
        <v>26399</v>
      </c>
      <c r="N852" s="15">
        <v>1647</v>
      </c>
      <c r="O852" s="9"/>
      <c r="P852" s="10">
        <v>42071.947187500002</v>
      </c>
      <c r="Q852" s="14" t="s">
        <v>3915</v>
      </c>
      <c r="R852" s="14" t="s">
        <v>3916</v>
      </c>
      <c r="S852" s="7" t="s">
        <v>3917</v>
      </c>
      <c r="T852" s="8"/>
      <c r="U852" s="11" t="str">
        <f>HYPERLINK("https://pbs.twimg.com/profile_images/767507322583199745/rpfbzBzg.jpg","View")</f>
        <v>View</v>
      </c>
      <c r="V852" s="8"/>
      <c r="W852" s="8"/>
      <c r="X852" s="8"/>
      <c r="Y852" s="8"/>
      <c r="Z852" s="8"/>
    </row>
    <row r="853" spans="1:26" ht="13.2">
      <c r="A853" s="13">
        <v>44250.586377314816</v>
      </c>
      <c r="B853" s="6" t="str">
        <f>HYPERLINK("https://twitter.com/RELXHQ","@RELXHQ")</f>
        <v>@RELXHQ</v>
      </c>
      <c r="C853" s="14" t="s">
        <v>393</v>
      </c>
      <c r="D853" s="14" t="s">
        <v>3942</v>
      </c>
      <c r="E853" s="6" t="str">
        <f>HYPERLINK("https://twitter.com/RELXHQ/status/1364199427108265984","1364199427108265984")</f>
        <v>1364199427108265984</v>
      </c>
      <c r="F853" s="7" t="s">
        <v>3943</v>
      </c>
      <c r="G853" s="8"/>
      <c r="H853" s="8"/>
      <c r="I853" s="14">
        <v>0</v>
      </c>
      <c r="J853" s="14">
        <v>0</v>
      </c>
      <c r="K853" s="6" t="str">
        <f>HYPERLINK("https://fanbooster.com","Fanbooster by Traject")</f>
        <v>Fanbooster by Traject</v>
      </c>
      <c r="L853" s="15">
        <v>8905</v>
      </c>
      <c r="M853" s="15">
        <v>1344</v>
      </c>
      <c r="N853" s="15">
        <v>190</v>
      </c>
      <c r="O853" s="9"/>
      <c r="P853" s="10">
        <v>40233.643379629633</v>
      </c>
      <c r="Q853" s="14" t="s">
        <v>397</v>
      </c>
      <c r="R853" s="14" t="s">
        <v>398</v>
      </c>
      <c r="S853" s="7" t="s">
        <v>399</v>
      </c>
      <c r="T853" s="8"/>
      <c r="U853" s="11" t="str">
        <f>HYPERLINK("https://pbs.twimg.com/profile_images/1136974755893063681/JWeLW9LU.png","View")</f>
        <v>View</v>
      </c>
      <c r="V853" s="8"/>
      <c r="W853" s="8"/>
      <c r="X853" s="8"/>
      <c r="Y853" s="8"/>
      <c r="Z853" s="8"/>
    </row>
    <row r="854" spans="1:26" ht="13.2">
      <c r="A854" s="13">
        <v>44250.586180555554</v>
      </c>
      <c r="B854" s="6" t="str">
        <f>HYPERLINK("https://twitter.com/CodingPers_Bot","@CodingPers_Bot")</f>
        <v>@CodingPers_Bot</v>
      </c>
      <c r="C854" s="14" t="s">
        <v>1899</v>
      </c>
      <c r="D854" s="14" t="s">
        <v>3944</v>
      </c>
      <c r="E854" s="6" t="str">
        <f>HYPERLINK("https://twitter.com/CodingPers_Bot/status/1364199355897556996","1364199355897556996")</f>
        <v>1364199355897556996</v>
      </c>
      <c r="F854" s="7" t="s">
        <v>3945</v>
      </c>
      <c r="G854" s="8"/>
      <c r="H854" s="8"/>
      <c r="I854" s="14">
        <v>4</v>
      </c>
      <c r="J854" s="14">
        <v>1</v>
      </c>
      <c r="K854" s="8"/>
      <c r="L854" s="15">
        <v>7</v>
      </c>
      <c r="M854" s="15">
        <v>1</v>
      </c>
      <c r="N854" s="15">
        <v>0</v>
      </c>
      <c r="O854" s="9"/>
      <c r="P854" s="10">
        <v>44209.357442129629</v>
      </c>
      <c r="Q854" s="8"/>
      <c r="R854" s="14" t="s">
        <v>1902</v>
      </c>
      <c r="S854" s="7" t="s">
        <v>1903</v>
      </c>
      <c r="T854" s="8"/>
      <c r="U854" s="11" t="str">
        <f>HYPERLINK("https://pbs.twimg.com/profile_images/1354492057025449990/GKDFizO-.jpg","View")</f>
        <v>View</v>
      </c>
      <c r="V854" s="8"/>
      <c r="W854" s="8"/>
      <c r="X854" s="8"/>
      <c r="Y854" s="8"/>
      <c r="Z854" s="8"/>
    </row>
    <row r="855" spans="1:26" ht="13.2">
      <c r="A855" s="13">
        <v>44250.586168981477</v>
      </c>
      <c r="B855" s="6" t="str">
        <f>HYPERLINK("https://twitter.com/TheDIACommunity","@TheDIACommunity")</f>
        <v>@TheDIACommunity</v>
      </c>
      <c r="C855" s="14" t="s">
        <v>3946</v>
      </c>
      <c r="D855" s="14" t="s">
        <v>845</v>
      </c>
      <c r="E855" s="6" t="str">
        <f>HYPERLINK("https://twitter.com/TheDIACommunity/status/1364199352655314949","1364199352655314949")</f>
        <v>1364199352655314949</v>
      </c>
      <c r="F855" s="7" t="s">
        <v>846</v>
      </c>
      <c r="G855" s="7" t="s">
        <v>3947</v>
      </c>
      <c r="H855" s="8"/>
      <c r="I855" s="14">
        <v>1</v>
      </c>
      <c r="J855" s="14">
        <v>0</v>
      </c>
      <c r="K855" s="6" t="str">
        <f>HYPERLINK("https://app.agorapulse.com","AgoraPulse Manager")</f>
        <v>AgoraPulse Manager</v>
      </c>
      <c r="L855" s="15">
        <v>9469</v>
      </c>
      <c r="M855" s="15">
        <v>9228</v>
      </c>
      <c r="N855" s="15">
        <v>187</v>
      </c>
      <c r="O855" s="9"/>
      <c r="P855" s="10">
        <v>42326.516284722224</v>
      </c>
      <c r="Q855" s="14" t="s">
        <v>3925</v>
      </c>
      <c r="R855" s="14" t="s">
        <v>3948</v>
      </c>
      <c r="S855" s="7" t="s">
        <v>850</v>
      </c>
      <c r="T855" s="8"/>
      <c r="U855" s="11" t="str">
        <f>HYPERLINK("https://pbs.twimg.com/profile_images/1199277302762352641/6UfmF4RM.jpg","View")</f>
        <v>View</v>
      </c>
      <c r="V855" s="8"/>
      <c r="W855" s="8"/>
      <c r="X855" s="8"/>
      <c r="Y855" s="8"/>
      <c r="Z855" s="8"/>
    </row>
    <row r="856" spans="1:26" ht="13.2">
      <c r="A856" s="13">
        <v>44250.586122685185</v>
      </c>
      <c r="B856" s="6" t="str">
        <f>HYPERLINK("https://twitter.com/Davekido3","@Davekido3")</f>
        <v>@Davekido3</v>
      </c>
      <c r="C856" s="14" t="s">
        <v>3949</v>
      </c>
      <c r="D856" s="14" t="s">
        <v>3950</v>
      </c>
      <c r="E856" s="6" t="str">
        <f>HYPERLINK("https://twitter.com/Davekido3/status/1364199334376595463","1364199334376595463")</f>
        <v>1364199334376595463</v>
      </c>
      <c r="F856" s="8"/>
      <c r="G856" s="8"/>
      <c r="H856" s="8"/>
      <c r="I856" s="14">
        <v>1</v>
      </c>
      <c r="J856" s="14">
        <v>1</v>
      </c>
      <c r="K856" s="6" t="str">
        <f>HYPERLINK("https://mobile.twitter.com","Twitter Web App")</f>
        <v>Twitter Web App</v>
      </c>
      <c r="L856" s="15">
        <v>24</v>
      </c>
      <c r="M856" s="15">
        <v>207</v>
      </c>
      <c r="N856" s="15">
        <v>1</v>
      </c>
      <c r="O856" s="9"/>
      <c r="P856" s="10">
        <v>43214.452407407407</v>
      </c>
      <c r="Q856" s="14" t="s">
        <v>3951</v>
      </c>
      <c r="R856" s="14" t="s">
        <v>3952</v>
      </c>
      <c r="S856" s="7" t="s">
        <v>3953</v>
      </c>
      <c r="T856" s="8"/>
      <c r="U856" s="11" t="str">
        <f>HYPERLINK("https://pbs.twimg.com/profile_images/1352168300013379585/nDcYz1K0.jpg","View")</f>
        <v>View</v>
      </c>
      <c r="V856" s="8"/>
      <c r="W856" s="8"/>
      <c r="X856" s="8"/>
      <c r="Y856" s="8"/>
      <c r="Z856" s="8"/>
    </row>
    <row r="857" spans="1:26" ht="13.2">
      <c r="A857" s="13">
        <v>44250.586030092592</v>
      </c>
      <c r="B857" s="6" t="str">
        <f>HYPERLINK("https://twitter.com/InformationAge","@InformationAge")</f>
        <v>@InformationAge</v>
      </c>
      <c r="C857" s="14" t="s">
        <v>1887</v>
      </c>
      <c r="D857" s="14" t="s">
        <v>1888</v>
      </c>
      <c r="E857" s="6" t="str">
        <f>HYPERLINK("https://twitter.com/InformationAge/status/1364199298846633988","1364199298846633988")</f>
        <v>1364199298846633988</v>
      </c>
      <c r="F857" s="7" t="s">
        <v>746</v>
      </c>
      <c r="G857" s="7" t="s">
        <v>3749</v>
      </c>
      <c r="H857" s="8"/>
      <c r="I857" s="14">
        <v>2</v>
      </c>
      <c r="J857" s="14">
        <v>1</v>
      </c>
      <c r="K857" s="6" t="str">
        <f>HYPERLINK("https://www.hootsuite.com","Hootsuite Inc.")</f>
        <v>Hootsuite Inc.</v>
      </c>
      <c r="L857" s="15">
        <v>16633</v>
      </c>
      <c r="M857" s="15">
        <v>872</v>
      </c>
      <c r="N857" s="15">
        <v>1204</v>
      </c>
      <c r="O857" s="9"/>
      <c r="P857" s="10">
        <v>39840.772581018522</v>
      </c>
      <c r="Q857" s="14" t="s">
        <v>1890</v>
      </c>
      <c r="R857" s="14" t="s">
        <v>1891</v>
      </c>
      <c r="S857" s="7" t="s">
        <v>1892</v>
      </c>
      <c r="T857" s="8"/>
      <c r="U857" s="11" t="str">
        <f>HYPERLINK("https://pbs.twimg.com/profile_images/1011189249130057729/NerACf3J.jpg","View")</f>
        <v>View</v>
      </c>
      <c r="V857" s="8"/>
      <c r="W857" s="8"/>
      <c r="X857" s="8"/>
      <c r="Y857" s="8"/>
      <c r="Z857" s="8"/>
    </row>
    <row r="858" spans="1:26" ht="13.2">
      <c r="A858" s="13">
        <v>44250.585856481484</v>
      </c>
      <c r="B858" s="6" t="str">
        <f>HYPERLINK("https://twitter.com/sidsharma1990","@sidsharma1990")</f>
        <v>@sidsharma1990</v>
      </c>
      <c r="C858" s="14" t="s">
        <v>3954</v>
      </c>
      <c r="D858" s="14" t="s">
        <v>3955</v>
      </c>
      <c r="E858" s="6" t="str">
        <f>HYPERLINK("https://twitter.com/sidsharma1990/status/1364199239513870338","1364199239513870338")</f>
        <v>1364199239513870338</v>
      </c>
      <c r="F858" s="8"/>
      <c r="G858" s="7" t="s">
        <v>3956</v>
      </c>
      <c r="H858" s="8"/>
      <c r="I858" s="14">
        <v>0</v>
      </c>
      <c r="J858" s="14">
        <v>0</v>
      </c>
      <c r="K858" s="6" t="str">
        <f>HYPERLINK("http://twitter.com/download/android","Twitter for Android")</f>
        <v>Twitter for Android</v>
      </c>
      <c r="L858" s="15">
        <v>62</v>
      </c>
      <c r="M858" s="15">
        <v>55</v>
      </c>
      <c r="N858" s="15">
        <v>0</v>
      </c>
      <c r="O858" s="9"/>
      <c r="P858" s="10">
        <v>42492.97519675926</v>
      </c>
      <c r="Q858" s="14" t="s">
        <v>2969</v>
      </c>
      <c r="R858" s="14" t="s">
        <v>3957</v>
      </c>
      <c r="S858" s="7" t="s">
        <v>3958</v>
      </c>
      <c r="T858" s="8"/>
      <c r="U858" s="11" t="str">
        <f>HYPERLINK("https://pbs.twimg.com/profile_images/1303400032331157504/oq58qDND.jpg","View")</f>
        <v>View</v>
      </c>
      <c r="V858" s="8"/>
      <c r="W858" s="8"/>
      <c r="X858" s="8"/>
      <c r="Y858" s="8"/>
      <c r="Z858" s="8"/>
    </row>
    <row r="859" spans="1:26" ht="13.2">
      <c r="A859" s="13">
        <v>44250.585613425923</v>
      </c>
      <c r="B859" s="6" t="str">
        <f>HYPERLINK("https://twitter.com/cdaitgt","@cdaitgt")</f>
        <v>@cdaitgt</v>
      </c>
      <c r="C859" s="14" t="s">
        <v>3959</v>
      </c>
      <c r="D859" s="14" t="s">
        <v>3960</v>
      </c>
      <c r="E859" s="6" t="str">
        <f>HYPERLINK("https://twitter.com/cdaitgt/status/1364199149432881154","1364199149432881154")</f>
        <v>1364199149432881154</v>
      </c>
      <c r="F859" s="7" t="s">
        <v>3961</v>
      </c>
      <c r="G859" s="7" t="s">
        <v>3962</v>
      </c>
      <c r="H859" s="8"/>
      <c r="I859" s="14">
        <v>3</v>
      </c>
      <c r="J859" s="14">
        <v>2</v>
      </c>
      <c r="K859" s="6" t="str">
        <f>HYPERLINK("http://tapbots.com/tweetbot","Tweetbot for iΟS")</f>
        <v>Tweetbot for iΟS</v>
      </c>
      <c r="L859" s="15">
        <v>244</v>
      </c>
      <c r="M859" s="15">
        <v>633</v>
      </c>
      <c r="N859" s="15">
        <v>1</v>
      </c>
      <c r="O859" s="9"/>
      <c r="P859" s="10">
        <v>44076.944178240738</v>
      </c>
      <c r="Q859" s="8"/>
      <c r="R859" s="14" t="s">
        <v>3963</v>
      </c>
      <c r="S859" s="7" t="s">
        <v>3964</v>
      </c>
      <c r="T859" s="8"/>
      <c r="U859" s="11" t="str">
        <f>HYPERLINK("https://pbs.twimg.com/profile_images/1308102890452590601/X5g--g2Y.jpg","View")</f>
        <v>View</v>
      </c>
      <c r="V859" s="8"/>
      <c r="W859" s="8"/>
      <c r="X859" s="8"/>
      <c r="Y859" s="8"/>
      <c r="Z859" s="8"/>
    </row>
    <row r="860" spans="1:26" ht="13.2">
      <c r="A860" s="13">
        <v>44250.585150462968</v>
      </c>
      <c r="B860" s="6" t="str">
        <f>HYPERLINK("https://twitter.com/WeAreJADBio","@WeAreJADBio")</f>
        <v>@WeAreJADBio</v>
      </c>
      <c r="C860" s="14" t="s">
        <v>1912</v>
      </c>
      <c r="D860" s="14" t="s">
        <v>3965</v>
      </c>
      <c r="E860" s="6" t="str">
        <f>HYPERLINK("https://twitter.com/WeAreJADBio/status/1364198981727838211","1364198981727838211")</f>
        <v>1364198981727838211</v>
      </c>
      <c r="F860" s="7" t="s">
        <v>3966</v>
      </c>
      <c r="G860" s="7" t="s">
        <v>3967</v>
      </c>
      <c r="H860" s="8"/>
      <c r="I860" s="14">
        <v>0</v>
      </c>
      <c r="J860" s="14">
        <v>0</v>
      </c>
      <c r="K860" s="6" t="str">
        <f>HYPERLINK("https://promorepublic.com","PromoRepublic")</f>
        <v>PromoRepublic</v>
      </c>
      <c r="L860" s="15">
        <v>114</v>
      </c>
      <c r="M860" s="15">
        <v>545</v>
      </c>
      <c r="N860" s="15">
        <v>0</v>
      </c>
      <c r="O860" s="9"/>
      <c r="P860" s="10">
        <v>44018.772951388892</v>
      </c>
      <c r="Q860" s="14" t="s">
        <v>138</v>
      </c>
      <c r="R860" s="14" t="s">
        <v>1915</v>
      </c>
      <c r="S860" s="7" t="s">
        <v>1916</v>
      </c>
      <c r="T860" s="8"/>
      <c r="U860" s="11" t="str">
        <f>HYPERLINK("https://pbs.twimg.com/profile_images/1280179766964957186/pLxHxO-l.jpg","View")</f>
        <v>View</v>
      </c>
      <c r="V860" s="8"/>
      <c r="W860" s="8"/>
      <c r="X860" s="8"/>
      <c r="Y860" s="8"/>
      <c r="Z860" s="8"/>
    </row>
    <row r="861" spans="1:26" ht="13.2">
      <c r="A861" s="13">
        <v>44250.584444444445</v>
      </c>
      <c r="B861" s="6" t="str">
        <f>HYPERLINK("https://twitter.com/impetustech","@impetustech")</f>
        <v>@impetustech</v>
      </c>
      <c r="C861" s="14" t="s">
        <v>3968</v>
      </c>
      <c r="D861" s="14" t="s">
        <v>3969</v>
      </c>
      <c r="E861" s="6" t="str">
        <f>HYPERLINK("https://twitter.com/impetustech/status/1364198723908235272","1364198723908235272")</f>
        <v>1364198723908235272</v>
      </c>
      <c r="F861" s="7" t="s">
        <v>3970</v>
      </c>
      <c r="G861" s="7" t="s">
        <v>3971</v>
      </c>
      <c r="H861" s="8"/>
      <c r="I861" s="14">
        <v>1</v>
      </c>
      <c r="J861" s="14">
        <v>1</v>
      </c>
      <c r="K861" s="6" t="str">
        <f>HYPERLINK("https://www.hootsuite.com","Hootsuite Inc.")</f>
        <v>Hootsuite Inc.</v>
      </c>
      <c r="L861" s="15">
        <v>1385</v>
      </c>
      <c r="M861" s="15">
        <v>343</v>
      </c>
      <c r="N861" s="15">
        <v>240</v>
      </c>
      <c r="O861" s="9"/>
      <c r="P861" s="10">
        <v>39756.266435185185</v>
      </c>
      <c r="Q861" s="14" t="s">
        <v>3972</v>
      </c>
      <c r="R861" s="14" t="s">
        <v>3973</v>
      </c>
      <c r="S861" s="7" t="s">
        <v>3974</v>
      </c>
      <c r="T861" s="8"/>
      <c r="U861" s="11" t="str">
        <f>HYPERLINK("https://pbs.twimg.com/profile_images/1252505827463712768/VukckS0i.png","View")</f>
        <v>View</v>
      </c>
      <c r="V861" s="8"/>
      <c r="W861" s="8"/>
      <c r="X861" s="8"/>
      <c r="Y861" s="8"/>
      <c r="Z861" s="8"/>
    </row>
    <row r="862" spans="1:26" ht="13.2">
      <c r="A862" s="13">
        <v>44250.584340277783</v>
      </c>
      <c r="B862" s="6" t="str">
        <f>HYPERLINK("https://twitter.com/SuccessAnalytiX","@SuccessAnalytiX")</f>
        <v>@SuccessAnalytiX</v>
      </c>
      <c r="C862" s="14" t="s">
        <v>1149</v>
      </c>
      <c r="D862" s="14" t="s">
        <v>3975</v>
      </c>
      <c r="E862" s="6" t="str">
        <f>HYPERLINK("https://twitter.com/SuccessAnalytiX/status/1364198688747307008","1364198688747307008")</f>
        <v>1364198688747307008</v>
      </c>
      <c r="F862" s="7" t="s">
        <v>1151</v>
      </c>
      <c r="G862" s="8"/>
      <c r="H862" s="8"/>
      <c r="I862" s="14">
        <v>32</v>
      </c>
      <c r="J862" s="14">
        <v>7</v>
      </c>
      <c r="K862" s="6" t="str">
        <f>HYPERLINK("http://twitter.com/download/iphone","Twitter for iPhone")</f>
        <v>Twitter for iPhone</v>
      </c>
      <c r="L862" s="15">
        <v>2744</v>
      </c>
      <c r="M862" s="15">
        <v>2908</v>
      </c>
      <c r="N862" s="15">
        <v>11</v>
      </c>
      <c r="O862" s="9"/>
      <c r="P862" s="10">
        <v>43149.839606481481</v>
      </c>
      <c r="Q862" s="14" t="s">
        <v>1152</v>
      </c>
      <c r="R862" s="14" t="s">
        <v>1153</v>
      </c>
      <c r="S862" s="7" t="s">
        <v>1154</v>
      </c>
      <c r="T862" s="8"/>
      <c r="U862" s="11" t="str">
        <f>HYPERLINK("https://pbs.twimg.com/profile_images/1154058190545391616/pOYyXv3r.jpg","View")</f>
        <v>View</v>
      </c>
      <c r="V862" s="8"/>
      <c r="W862" s="8"/>
      <c r="X862" s="8"/>
      <c r="Y862" s="8"/>
      <c r="Z862" s="8"/>
    </row>
    <row r="863" spans="1:26" ht="13.2">
      <c r="A863" s="13">
        <v>44250.584247685183</v>
      </c>
      <c r="B863" s="6" t="str">
        <f>HYPERLINK("https://twitter.com/Qymatix","@Qymatix")</f>
        <v>@Qymatix</v>
      </c>
      <c r="C863" s="14" t="s">
        <v>3976</v>
      </c>
      <c r="D863" s="14" t="s">
        <v>3977</v>
      </c>
      <c r="E863" s="6" t="str">
        <f>HYPERLINK("https://twitter.com/Qymatix/status/1364198653540368387","1364198653540368387")</f>
        <v>1364198653540368387</v>
      </c>
      <c r="F863" s="7" t="s">
        <v>3978</v>
      </c>
      <c r="G863" s="7" t="s">
        <v>3979</v>
      </c>
      <c r="H863" s="8"/>
      <c r="I863" s="14">
        <v>1</v>
      </c>
      <c r="J863" s="14">
        <v>1</v>
      </c>
      <c r="K863" s="6" t="str">
        <f>HYPERLINK("https://www.hootsuite.com","Hootsuite Inc.")</f>
        <v>Hootsuite Inc.</v>
      </c>
      <c r="L863" s="15">
        <v>250</v>
      </c>
      <c r="M863" s="15">
        <v>86</v>
      </c>
      <c r="N863" s="15">
        <v>130</v>
      </c>
      <c r="O863" s="9"/>
      <c r="P863" s="10">
        <v>41572.442233796297</v>
      </c>
      <c r="Q863" s="14" t="s">
        <v>3980</v>
      </c>
      <c r="R863" s="14" t="s">
        <v>3981</v>
      </c>
      <c r="S863" s="7" t="s">
        <v>3982</v>
      </c>
      <c r="T863" s="8"/>
      <c r="U863" s="11" t="str">
        <f>HYPERLINK("https://pbs.twimg.com/profile_images/459221240201216002/uwDQHBdv.jpeg","View")</f>
        <v>View</v>
      </c>
      <c r="V863" s="8"/>
      <c r="W863" s="8"/>
      <c r="X863" s="8"/>
      <c r="Y863" s="8"/>
      <c r="Z863" s="8"/>
    </row>
    <row r="864" spans="1:26" ht="13.2">
      <c r="A864" s="13">
        <v>44250.583784722221</v>
      </c>
      <c r="B864" s="6" t="str">
        <f>HYPERLINK("https://twitter.com/SEND2PRESS","@SEND2PRESS")</f>
        <v>@SEND2PRESS</v>
      </c>
      <c r="C864" s="14" t="s">
        <v>3983</v>
      </c>
      <c r="D864" s="14" t="s">
        <v>3984</v>
      </c>
      <c r="E864" s="6" t="str">
        <f>HYPERLINK("https://twitter.com/SEND2PRESS/status/1364198487013814278","1364198487013814278")</f>
        <v>1364198487013814278</v>
      </c>
      <c r="F864" s="7" t="s">
        <v>3985</v>
      </c>
      <c r="G864" s="7" t="s">
        <v>3986</v>
      </c>
      <c r="H864" s="8"/>
      <c r="I864" s="14">
        <v>1</v>
      </c>
      <c r="J864" s="14">
        <v>0</v>
      </c>
      <c r="K864" s="8"/>
      <c r="L864" s="15">
        <v>902</v>
      </c>
      <c r="M864" s="15">
        <v>30</v>
      </c>
      <c r="N864" s="15">
        <v>213</v>
      </c>
      <c r="O864" s="9"/>
      <c r="P864" s="10">
        <v>39645.061550925922</v>
      </c>
      <c r="Q864" s="14" t="s">
        <v>3987</v>
      </c>
      <c r="R864" s="14" t="s">
        <v>3988</v>
      </c>
      <c r="S864" s="7" t="s">
        <v>3989</v>
      </c>
      <c r="T864" s="8"/>
      <c r="U864" s="11" t="str">
        <f>HYPERLINK("https://pbs.twimg.com/profile_images/1345130208865570816/FgCtcTsX.jpg","View")</f>
        <v>View</v>
      </c>
      <c r="V864" s="8"/>
      <c r="W864" s="8"/>
      <c r="X864" s="8"/>
      <c r="Y864" s="8"/>
      <c r="Z864" s="8"/>
    </row>
    <row r="865" spans="1:26" ht="13.2">
      <c r="A865" s="13">
        <v>44250.583622685182</v>
      </c>
      <c r="B865" s="6" t="str">
        <f>HYPERLINK("https://twitter.com/TeldatCorp","@TeldatCorp")</f>
        <v>@TeldatCorp</v>
      </c>
      <c r="C865" s="14" t="s">
        <v>3188</v>
      </c>
      <c r="D865" s="14" t="s">
        <v>3990</v>
      </c>
      <c r="E865" s="6" t="str">
        <f>HYPERLINK("https://twitter.com/TeldatCorp/status/1364198428985688065","1364198428985688065")</f>
        <v>1364198428985688065</v>
      </c>
      <c r="F865" s="7" t="s">
        <v>3991</v>
      </c>
      <c r="G865" s="7" t="s">
        <v>3992</v>
      </c>
      <c r="H865" s="8"/>
      <c r="I865" s="14">
        <v>11</v>
      </c>
      <c r="J865" s="14">
        <v>2</v>
      </c>
      <c r="K865" s="6" t="str">
        <f>HYPERLINK("https://www.hootsuite.com","Hootsuite Inc.")</f>
        <v>Hootsuite Inc.</v>
      </c>
      <c r="L865" s="15">
        <v>2037</v>
      </c>
      <c r="M865" s="15">
        <v>1491</v>
      </c>
      <c r="N865" s="15">
        <v>321</v>
      </c>
      <c r="O865" s="9"/>
      <c r="P865" s="10">
        <v>41457.489386574074</v>
      </c>
      <c r="Q865" s="14" t="s">
        <v>75</v>
      </c>
      <c r="R865" s="14" t="s">
        <v>3192</v>
      </c>
      <c r="S865" s="7" t="s">
        <v>3193</v>
      </c>
      <c r="T865" s="8"/>
      <c r="U865" s="11" t="str">
        <f>HYPERLINK("https://pbs.twimg.com/profile_images/976387744422416384/ECvPSB0l.jpg","View")</f>
        <v>View</v>
      </c>
      <c r="V865" s="8"/>
      <c r="W865" s="8"/>
      <c r="X865" s="8"/>
      <c r="Y865" s="8"/>
      <c r="Z865" s="8"/>
    </row>
    <row r="866" spans="1:26" ht="13.2">
      <c r="A866" s="13">
        <v>44250.583622685182</v>
      </c>
      <c r="B866" s="6" t="str">
        <f>HYPERLINK("https://twitter.com/kevindewalt","@kevindewalt")</f>
        <v>@kevindewalt</v>
      </c>
      <c r="C866" s="14" t="s">
        <v>3993</v>
      </c>
      <c r="D866" s="14" t="s">
        <v>3994</v>
      </c>
      <c r="E866" s="6" t="str">
        <f>HYPERLINK("https://twitter.com/kevindewalt/status/1364198427467395073","1364198427467395073")</f>
        <v>1364198427467395073</v>
      </c>
      <c r="F866" s="7" t="s">
        <v>3995</v>
      </c>
      <c r="G866" s="8"/>
      <c r="H866" s="8"/>
      <c r="I866" s="14">
        <v>0</v>
      </c>
      <c r="J866" s="14">
        <v>1</v>
      </c>
      <c r="K866" s="6" t="str">
        <f>HYPERLINK("https://mobile.twitter.com","Twitter Web App")</f>
        <v>Twitter Web App</v>
      </c>
      <c r="L866" s="15">
        <v>4271</v>
      </c>
      <c r="M866" s="15">
        <v>1654</v>
      </c>
      <c r="N866" s="15">
        <v>403</v>
      </c>
      <c r="O866" s="9"/>
      <c r="P866" s="10">
        <v>39407.55841435185</v>
      </c>
      <c r="Q866" s="14" t="s">
        <v>3996</v>
      </c>
      <c r="R866" s="14" t="s">
        <v>3997</v>
      </c>
      <c r="S866" s="7" t="s">
        <v>3998</v>
      </c>
      <c r="T866" s="8"/>
      <c r="U866" s="11" t="str">
        <f>HYPERLINK("https://pbs.twimg.com/profile_images/451331397504868352/49RvhbN4.jpeg","View")</f>
        <v>View</v>
      </c>
      <c r="V866" s="8"/>
      <c r="W866" s="8"/>
      <c r="X866" s="8"/>
      <c r="Y866" s="8"/>
      <c r="Z866" s="8"/>
    </row>
    <row r="867" spans="1:26" ht="13.2">
      <c r="A867" s="13">
        <v>44250.583587962959</v>
      </c>
      <c r="B867" s="6" t="str">
        <f>HYPERLINK("https://twitter.com/Paula_Piccard","@Paula_Piccard")</f>
        <v>@Paula_Piccard</v>
      </c>
      <c r="C867" s="14" t="s">
        <v>1116</v>
      </c>
      <c r="D867" s="14" t="s">
        <v>3999</v>
      </c>
      <c r="E867" s="6" t="str">
        <f>HYPERLINK("https://twitter.com/Paula_Piccard/status/1364198415962427394","1364198415962427394")</f>
        <v>1364198415962427394</v>
      </c>
      <c r="F867" s="7" t="s">
        <v>4000</v>
      </c>
      <c r="G867" s="7" t="s">
        <v>4001</v>
      </c>
      <c r="H867" s="8"/>
      <c r="I867" s="14">
        <v>26</v>
      </c>
      <c r="J867" s="14">
        <v>11</v>
      </c>
      <c r="K867" s="6" t="str">
        <f>HYPERLINK("https://smarterqueue.com","SmarterQueue")</f>
        <v>SmarterQueue</v>
      </c>
      <c r="L867" s="15">
        <v>61067</v>
      </c>
      <c r="M867" s="15">
        <v>9852</v>
      </c>
      <c r="N867" s="15">
        <v>1284</v>
      </c>
      <c r="O867" s="9"/>
      <c r="P867" s="10">
        <v>40665.824629629627</v>
      </c>
      <c r="Q867" s="14" t="s">
        <v>1120</v>
      </c>
      <c r="R867" s="14" t="s">
        <v>1121</v>
      </c>
      <c r="S867" s="7" t="s">
        <v>1122</v>
      </c>
      <c r="T867" s="8"/>
      <c r="U867" s="11" t="str">
        <f>HYPERLINK("https://pbs.twimg.com/profile_images/1307804375981621254/KT6ID8H9.png","View")</f>
        <v>View</v>
      </c>
      <c r="V867" s="8"/>
      <c r="W867" s="8"/>
      <c r="X867" s="8"/>
      <c r="Y867" s="8"/>
      <c r="Z867" s="8"/>
    </row>
    <row r="868" spans="1:26" ht="13.2">
      <c r="A868" s="13">
        <v>44250.583564814813</v>
      </c>
      <c r="B868" s="6" t="str">
        <f>HYPERLINK("https://twitter.com/rogerpeverelli","@rogerpeverelli")</f>
        <v>@rogerpeverelli</v>
      </c>
      <c r="C868" s="14" t="s">
        <v>4002</v>
      </c>
      <c r="D868" s="14" t="s">
        <v>845</v>
      </c>
      <c r="E868" s="6" t="str">
        <f>HYPERLINK("https://twitter.com/rogerpeverelli/status/1364198406831366146","1364198406831366146")</f>
        <v>1364198406831366146</v>
      </c>
      <c r="F868" s="7" t="s">
        <v>846</v>
      </c>
      <c r="G868" s="7" t="s">
        <v>4003</v>
      </c>
      <c r="H868" s="8"/>
      <c r="I868" s="14">
        <v>1</v>
      </c>
      <c r="J868" s="14">
        <v>0</v>
      </c>
      <c r="K868" s="6" t="str">
        <f>HYPERLINK("https://app.agorapulse.com","AgoraPulse Manager")</f>
        <v>AgoraPulse Manager</v>
      </c>
      <c r="L868" s="15">
        <v>1645</v>
      </c>
      <c r="M868" s="15">
        <v>359</v>
      </c>
      <c r="N868" s="15">
        <v>145</v>
      </c>
      <c r="O868" s="9"/>
      <c r="P868" s="10">
        <v>40852.53197916667</v>
      </c>
      <c r="Q868" s="14" t="s">
        <v>1141</v>
      </c>
      <c r="R868" s="14" t="s">
        <v>4004</v>
      </c>
      <c r="S868" s="7" t="s">
        <v>4005</v>
      </c>
      <c r="T868" s="8"/>
      <c r="U868" s="11" t="str">
        <f>HYPERLINK("https://pbs.twimg.com/profile_images/1623563837/roger_peverelli.JPG","View")</f>
        <v>View</v>
      </c>
      <c r="V868" s="8"/>
      <c r="W868" s="8"/>
      <c r="X868" s="8"/>
      <c r="Y868" s="8"/>
      <c r="Z868" s="8"/>
    </row>
    <row r="869" spans="1:26" ht="13.2">
      <c r="A869" s="13">
        <v>44250.583483796298</v>
      </c>
      <c r="B869" s="6" t="str">
        <f>HYPERLINK("https://twitter.com/MachineCurve","@MachineCurve")</f>
        <v>@MachineCurve</v>
      </c>
      <c r="C869" s="7" t="s">
        <v>4006</v>
      </c>
      <c r="D869" s="14" t="s">
        <v>4007</v>
      </c>
      <c r="E869" s="6" t="str">
        <f>HYPERLINK("https://twitter.com/MachineCurve/status/1364198376045223937","1364198376045223937")</f>
        <v>1364198376045223937</v>
      </c>
      <c r="F869" s="7" t="s">
        <v>4008</v>
      </c>
      <c r="G869" s="8"/>
      <c r="H869" s="8"/>
      <c r="I869" s="14">
        <v>33</v>
      </c>
      <c r="J869" s="14">
        <v>17</v>
      </c>
      <c r="K869" s="6" t="str">
        <f>HYPERLINK("https://buffer.com","Buffer")</f>
        <v>Buffer</v>
      </c>
      <c r="L869" s="15">
        <v>992</v>
      </c>
      <c r="M869" s="15">
        <v>1612</v>
      </c>
      <c r="N869" s="15">
        <v>7</v>
      </c>
      <c r="O869" s="9"/>
      <c r="P869" s="10">
        <v>43621.500289351854</v>
      </c>
      <c r="Q869" s="14" t="s">
        <v>4009</v>
      </c>
      <c r="R869" s="14" t="s">
        <v>4010</v>
      </c>
      <c r="S869" s="7" t="s">
        <v>4011</v>
      </c>
      <c r="T869" s="8"/>
      <c r="U869" s="11" t="str">
        <f>HYPERLINK("https://pbs.twimg.com/profile_images/1166405950418444288/d0u_-NSl.jpg","View")</f>
        <v>View</v>
      </c>
      <c r="V869" s="8"/>
      <c r="W869" s="8"/>
      <c r="X869" s="8"/>
      <c r="Y869" s="8"/>
      <c r="Z869" s="8"/>
    </row>
    <row r="870" spans="1:26" ht="13.2">
      <c r="A870" s="13">
        <v>44250.583472222221</v>
      </c>
      <c r="B870" s="6" t="str">
        <f>HYPERLINK("https://twitter.com/ipfconline1","@ipfconline1")</f>
        <v>@ipfconline1</v>
      </c>
      <c r="C870" s="14" t="s">
        <v>65</v>
      </c>
      <c r="D870" s="14" t="s">
        <v>4012</v>
      </c>
      <c r="E870" s="6" t="str">
        <f>HYPERLINK("https://twitter.com/ipfconline1/status/1364198374853943298","1364198374853943298")</f>
        <v>1364198374853943298</v>
      </c>
      <c r="F870" s="7" t="s">
        <v>4013</v>
      </c>
      <c r="G870" s="7" t="s">
        <v>4014</v>
      </c>
      <c r="H870" s="8"/>
      <c r="I870" s="14">
        <v>15</v>
      </c>
      <c r="J870" s="14">
        <v>12</v>
      </c>
      <c r="K870" s="6" t="str">
        <f>HYPERLINK("https://twittimer.com","Twittimer")</f>
        <v>Twittimer</v>
      </c>
      <c r="L870" s="15">
        <v>112675</v>
      </c>
      <c r="M870" s="15">
        <v>107162</v>
      </c>
      <c r="N870" s="15">
        <v>7806</v>
      </c>
      <c r="O870" s="9"/>
      <c r="P870" s="10">
        <v>42433.031967592593</v>
      </c>
      <c r="Q870" s="14" t="s">
        <v>69</v>
      </c>
      <c r="R870" s="14" t="s">
        <v>70</v>
      </c>
      <c r="S870" s="7" t="s">
        <v>71</v>
      </c>
      <c r="T870" s="8"/>
      <c r="U870" s="11" t="str">
        <f>HYPERLINK("https://pbs.twimg.com/profile_images/729065804004769793/St2_Pum9.jpg","View")</f>
        <v>View</v>
      </c>
      <c r="V870" s="8"/>
      <c r="W870" s="8"/>
      <c r="X870" s="8"/>
      <c r="Y870" s="8"/>
      <c r="Z870" s="8"/>
    </row>
    <row r="871" spans="1:26" ht="13.2">
      <c r="A871" s="13">
        <v>44250.583460648151</v>
      </c>
      <c r="B871" s="6" t="str">
        <f>HYPERLINK("https://twitter.com/HaroldSinnott","@HaroldSinnott")</f>
        <v>@HaroldSinnott</v>
      </c>
      <c r="C871" s="14" t="s">
        <v>4015</v>
      </c>
      <c r="D871" s="14" t="s">
        <v>4016</v>
      </c>
      <c r="E871" s="6" t="str">
        <f>HYPERLINK("https://twitter.com/HaroldSinnott/status/1364198367887245313","1364198367887245313")</f>
        <v>1364198367887245313</v>
      </c>
      <c r="F871" s="7" t="s">
        <v>4017</v>
      </c>
      <c r="G871" s="7" t="s">
        <v>4018</v>
      </c>
      <c r="H871" s="8"/>
      <c r="I871" s="14">
        <v>20</v>
      </c>
      <c r="J871" s="14">
        <v>16</v>
      </c>
      <c r="K871" s="6" t="str">
        <f>HYPERLINK("https://crowdfireapp.com","Crowdfire App")</f>
        <v>Crowdfire App</v>
      </c>
      <c r="L871" s="15">
        <v>76726</v>
      </c>
      <c r="M871" s="15">
        <v>46267</v>
      </c>
      <c r="N871" s="15">
        <v>2484</v>
      </c>
      <c r="O871" s="9"/>
      <c r="P871" s="10">
        <v>40465.568553240737</v>
      </c>
      <c r="Q871" s="14" t="s">
        <v>2904</v>
      </c>
      <c r="R871" s="14" t="s">
        <v>4019</v>
      </c>
      <c r="S871" s="7" t="s">
        <v>4020</v>
      </c>
      <c r="T871" s="8"/>
      <c r="U871" s="11" t="str">
        <f>HYPERLINK("https://pbs.twimg.com/profile_images/1214348334841901056/QSdqkzO-.jpg","View")</f>
        <v>View</v>
      </c>
      <c r="V871" s="8"/>
      <c r="W871" s="8"/>
      <c r="X871" s="8"/>
      <c r="Y871" s="8"/>
      <c r="Z871" s="8"/>
    </row>
    <row r="872" spans="1:26" ht="13.2">
      <c r="A872" s="13">
        <v>44250.583437499998</v>
      </c>
      <c r="B872" s="6" t="str">
        <f>HYPERLINK("https://twitter.com/themlguru","@themlguru")</f>
        <v>@themlguru</v>
      </c>
      <c r="C872" s="14" t="s">
        <v>362</v>
      </c>
      <c r="D872" s="14" t="s">
        <v>4021</v>
      </c>
      <c r="E872" s="6" t="str">
        <f>HYPERLINK("https://twitter.com/themlguru/status/1364198362342453248","1364198362342453248")</f>
        <v>1364198362342453248</v>
      </c>
      <c r="F872" s="8"/>
      <c r="G872" s="8"/>
      <c r="H872" s="8"/>
      <c r="I872" s="14">
        <v>0</v>
      </c>
      <c r="J872" s="14">
        <v>0</v>
      </c>
      <c r="K872" s="6" t="str">
        <f>HYPERLINK("https://twittimer.com","Twittimer")</f>
        <v>Twittimer</v>
      </c>
      <c r="L872" s="15">
        <v>10</v>
      </c>
      <c r="M872" s="15">
        <v>33</v>
      </c>
      <c r="N872" s="15">
        <v>0</v>
      </c>
      <c r="O872" s="9"/>
      <c r="P872" s="10">
        <v>44242.188148148147</v>
      </c>
      <c r="Q872" s="14" t="s">
        <v>364</v>
      </c>
      <c r="R872" s="8"/>
      <c r="S872" s="8"/>
      <c r="T872" s="8"/>
      <c r="U872" s="11" t="str">
        <f>HYPERLINK("https://pbs.twimg.com/profile_images/1361967087623700484/-6UQQ_sZ.jpg","View")</f>
        <v>View</v>
      </c>
      <c r="V872" s="8"/>
      <c r="W872" s="8"/>
      <c r="X872" s="8"/>
      <c r="Y872" s="8"/>
      <c r="Z872" s="8"/>
    </row>
    <row r="873" spans="1:26" ht="13.2">
      <c r="A873" s="13">
        <v>44250.583379629628</v>
      </c>
      <c r="B873" s="6" t="str">
        <f>HYPERLINK("https://twitter.com/go3cloud","@go3cloud")</f>
        <v>@go3cloud</v>
      </c>
      <c r="C873" s="14" t="s">
        <v>4022</v>
      </c>
      <c r="D873" s="14" t="s">
        <v>4023</v>
      </c>
      <c r="E873" s="6" t="str">
        <f>HYPERLINK("https://twitter.com/go3cloud/status/1364198341375123459","1364198341375123459")</f>
        <v>1364198341375123459</v>
      </c>
      <c r="F873" s="7" t="s">
        <v>4024</v>
      </c>
      <c r="G873" s="8"/>
      <c r="H873" s="8"/>
      <c r="I873" s="14">
        <v>1</v>
      </c>
      <c r="J873" s="14">
        <v>1</v>
      </c>
      <c r="K873" s="6" t="str">
        <f>HYPERLINK("http://www.hubspot.com/","HubSpot")</f>
        <v>HubSpot</v>
      </c>
      <c r="L873" s="15">
        <v>78</v>
      </c>
      <c r="M873" s="15">
        <v>90</v>
      </c>
      <c r="N873" s="15">
        <v>0</v>
      </c>
      <c r="O873" s="9"/>
      <c r="P873" s="10">
        <v>42951.796921296293</v>
      </c>
      <c r="Q873" s="14" t="s">
        <v>4025</v>
      </c>
      <c r="R873" s="14" t="s">
        <v>4026</v>
      </c>
      <c r="S873" s="7" t="s">
        <v>4027</v>
      </c>
      <c r="T873" s="8"/>
      <c r="U873" s="11" t="str">
        <f>HYPERLINK("https://pbs.twimg.com/profile_images/1309603722021015552/B_8A3INg.png","View")</f>
        <v>View</v>
      </c>
      <c r="V873" s="8"/>
      <c r="W873" s="8"/>
      <c r="X873" s="8"/>
      <c r="Y873" s="8"/>
      <c r="Z873" s="8"/>
    </row>
    <row r="874" spans="1:26" ht="13.2">
      <c r="A874" s="13">
        <v>44250.583356481482</v>
      </c>
      <c r="B874" s="6" t="str">
        <f>HYPERLINK("https://twitter.com/LaForge_AI","@LaForge_AI")</f>
        <v>@LaForge_AI</v>
      </c>
      <c r="C874" s="14" t="s">
        <v>102</v>
      </c>
      <c r="D874" s="14" t="s">
        <v>4028</v>
      </c>
      <c r="E874" s="6" t="str">
        <f>HYPERLINK("https://twitter.com/LaForge_AI/status/1364198332873269249","1364198332873269249")</f>
        <v>1364198332873269249</v>
      </c>
      <c r="F874" s="7" t="s">
        <v>4029</v>
      </c>
      <c r="G874" s="7" t="s">
        <v>4030</v>
      </c>
      <c r="H874" s="8"/>
      <c r="I874" s="14">
        <v>9</v>
      </c>
      <c r="J874" s="14">
        <v>7</v>
      </c>
      <c r="K874" s="6" t="str">
        <f>HYPERLINK("https://www.la-forge.ai","Rss2Twitter for La Forge")</f>
        <v>Rss2Twitter for La Forge</v>
      </c>
      <c r="L874" s="15">
        <v>9854</v>
      </c>
      <c r="M874" s="15">
        <v>10507</v>
      </c>
      <c r="N874" s="15">
        <v>126</v>
      </c>
      <c r="O874" s="9"/>
      <c r="P874" s="10">
        <v>43660.755891203706</v>
      </c>
      <c r="Q874" s="14" t="s">
        <v>106</v>
      </c>
      <c r="R874" s="14" t="s">
        <v>107</v>
      </c>
      <c r="S874" s="7" t="s">
        <v>108</v>
      </c>
      <c r="T874" s="8"/>
      <c r="U874" s="11" t="str">
        <f>HYPERLINK("https://pbs.twimg.com/profile_images/1261961910020423681/fC-WUmbt.jpg","View")</f>
        <v>View</v>
      </c>
      <c r="V874" s="8"/>
      <c r="W874" s="8"/>
      <c r="X874" s="8"/>
      <c r="Y874" s="8"/>
      <c r="Z874" s="8"/>
    </row>
    <row r="875" spans="1:26" ht="13.2">
      <c r="A875" s="13">
        <v>44250.583356481482</v>
      </c>
      <c r="B875" s="6" t="str">
        <f>HYPERLINK("https://twitter.com/reddit_ml","@reddit_ml")</f>
        <v>@reddit_ml</v>
      </c>
      <c r="C875" s="14" t="s">
        <v>2744</v>
      </c>
      <c r="D875" s="14" t="s">
        <v>4031</v>
      </c>
      <c r="E875" s="6" t="str">
        <f>HYPERLINK("https://twitter.com/reddit_ml/status/1364198332730589186","1364198332730589186")</f>
        <v>1364198332730589186</v>
      </c>
      <c r="F875" s="7" t="s">
        <v>2943</v>
      </c>
      <c r="G875" s="8"/>
      <c r="H875" s="8"/>
      <c r="I875" s="14">
        <v>0</v>
      </c>
      <c r="J875" s="14">
        <v>0</v>
      </c>
      <c r="K875" s="6" t="str">
        <f>HYPERLINK("https://www.reddit.com/r/MachineLearning/","reddit-ml-bot")</f>
        <v>reddit-ml-bot</v>
      </c>
      <c r="L875" s="15">
        <v>411</v>
      </c>
      <c r="M875" s="15">
        <v>93</v>
      </c>
      <c r="N875" s="15">
        <v>35</v>
      </c>
      <c r="O875" s="9"/>
      <c r="P875" s="10">
        <v>42527.844641203701</v>
      </c>
      <c r="Q875" s="8"/>
      <c r="R875" s="8"/>
      <c r="S875" s="7" t="s">
        <v>2746</v>
      </c>
      <c r="T875" s="8"/>
      <c r="U875" s="11" t="str">
        <f>HYPERLINK("https://pbs.twimg.com/profile_images/739887457206996992/9NUmKQvu.jpg","View")</f>
        <v>View</v>
      </c>
      <c r="V875" s="8"/>
      <c r="W875" s="8"/>
      <c r="X875" s="8"/>
      <c r="Y875" s="8"/>
      <c r="Z875" s="8"/>
    </row>
    <row r="876" spans="1:26" ht="13.2">
      <c r="A876" s="13">
        <v>44250.583356481482</v>
      </c>
      <c r="B876" s="6" t="str">
        <f>HYPERLINK("https://twitter.com/Johan_JHP","@Johan_JHP")</f>
        <v>@Johan_JHP</v>
      </c>
      <c r="C876" s="14" t="s">
        <v>4032</v>
      </c>
      <c r="D876" s="14" t="s">
        <v>4033</v>
      </c>
      <c r="E876" s="6" t="str">
        <f>HYPERLINK("https://twitter.com/Johan_JHP/status/1364198330465722369","1364198330465722369")</f>
        <v>1364198330465722369</v>
      </c>
      <c r="F876" s="7" t="s">
        <v>4034</v>
      </c>
      <c r="G876" s="8"/>
      <c r="H876" s="8"/>
      <c r="I876" s="14">
        <v>0</v>
      </c>
      <c r="J876" s="14">
        <v>0</v>
      </c>
      <c r="K876" s="6" t="str">
        <f>HYPERLINK("https://www.grapevine6.com","Grapevine6")</f>
        <v>Grapevine6</v>
      </c>
      <c r="L876" s="15">
        <v>105</v>
      </c>
      <c r="M876" s="15">
        <v>243</v>
      </c>
      <c r="N876" s="15">
        <v>0</v>
      </c>
      <c r="O876" s="9"/>
      <c r="P876" s="10">
        <v>43462.740960648152</v>
      </c>
      <c r="Q876" s="14" t="s">
        <v>4035</v>
      </c>
      <c r="R876" s="14" t="s">
        <v>4036</v>
      </c>
      <c r="S876" s="8"/>
      <c r="T876" s="8"/>
      <c r="U876" s="11" t="str">
        <f>HYPERLINK("https://pbs.twimg.com/profile_images/1082331026796568576/6ZxucDAn.jpg","View")</f>
        <v>View</v>
      </c>
      <c r="V876" s="8"/>
      <c r="W876" s="8"/>
      <c r="X876" s="8"/>
      <c r="Y876" s="8"/>
      <c r="Z876" s="8"/>
    </row>
    <row r="877" spans="1:26" ht="13.2">
      <c r="A877" s="13">
        <v>44250.583356481482</v>
      </c>
      <c r="B877" s="6" t="str">
        <f>HYPERLINK("https://twitter.com/LanaLabs","@LanaLabs")</f>
        <v>@LanaLabs</v>
      </c>
      <c r="C877" s="14" t="s">
        <v>4037</v>
      </c>
      <c r="D877" s="14" t="s">
        <v>4038</v>
      </c>
      <c r="E877" s="6" t="str">
        <f>HYPERLINK("https://twitter.com/LanaLabs/status/1364198330423779328","1364198330423779328")</f>
        <v>1364198330423779328</v>
      </c>
      <c r="F877" s="7" t="s">
        <v>4039</v>
      </c>
      <c r="G877" s="7" t="s">
        <v>4040</v>
      </c>
      <c r="H877" s="8"/>
      <c r="I877" s="14">
        <v>1</v>
      </c>
      <c r="J877" s="14">
        <v>1</v>
      </c>
      <c r="K877" s="6" t="str">
        <f>HYPERLINK("https://mobile.twitter.com","Twitter Web App")</f>
        <v>Twitter Web App</v>
      </c>
      <c r="L877" s="15">
        <v>393</v>
      </c>
      <c r="M877" s="15">
        <v>161</v>
      </c>
      <c r="N877" s="15">
        <v>26</v>
      </c>
      <c r="O877" s="9"/>
      <c r="P877" s="10">
        <v>42499.556990740741</v>
      </c>
      <c r="Q877" s="14" t="s">
        <v>3443</v>
      </c>
      <c r="R877" s="14" t="s">
        <v>4041</v>
      </c>
      <c r="S877" s="7" t="s">
        <v>4042</v>
      </c>
      <c r="T877" s="8"/>
      <c r="U877" s="11" t="str">
        <f>HYPERLINK("https://pbs.twimg.com/profile_images/1190156862328639490/9ZsBAWdb.jpg","View")</f>
        <v>View</v>
      </c>
      <c r="V877" s="8"/>
      <c r="W877" s="8"/>
      <c r="X877" s="8"/>
      <c r="Y877" s="8"/>
      <c r="Z877" s="8"/>
    </row>
    <row r="878" spans="1:26" ht="13.2">
      <c r="A878" s="13">
        <v>44250.583333333328</v>
      </c>
      <c r="B878" s="6" t="str">
        <f>HYPERLINK("https://twitter.com/ObjectiveFS","@ObjectiveFS")</f>
        <v>@ObjectiveFS</v>
      </c>
      <c r="C878" s="14" t="s">
        <v>4043</v>
      </c>
      <c r="D878" s="14" t="s">
        <v>4044</v>
      </c>
      <c r="E878" s="6" t="str">
        <f>HYPERLINK("https://twitter.com/ObjectiveFS/status/1364198324551774208","1364198324551774208")</f>
        <v>1364198324551774208</v>
      </c>
      <c r="F878" s="8"/>
      <c r="G878" s="8"/>
      <c r="H878" s="8"/>
      <c r="I878" s="14">
        <v>3</v>
      </c>
      <c r="J878" s="14">
        <v>1</v>
      </c>
      <c r="K878" s="6" t="str">
        <f>HYPERLINK("https://buffer.com","Buffer")</f>
        <v>Buffer</v>
      </c>
      <c r="L878" s="15">
        <v>424</v>
      </c>
      <c r="M878" s="15">
        <v>365</v>
      </c>
      <c r="N878" s="15">
        <v>33</v>
      </c>
      <c r="O878" s="9"/>
      <c r="P878" s="10">
        <v>41054.25304398148</v>
      </c>
      <c r="Q878" s="14" t="s">
        <v>4045</v>
      </c>
      <c r="R878" s="14" t="s">
        <v>4046</v>
      </c>
      <c r="S878" s="8"/>
      <c r="T878" s="8"/>
      <c r="U878" s="11" t="str">
        <f>HYPERLINK("https://pbs.twimg.com/profile_images/412117044444667904/s8s5rLra.png","View")</f>
        <v>View</v>
      </c>
      <c r="V878" s="8"/>
      <c r="W878" s="8"/>
      <c r="X878" s="8"/>
      <c r="Y878" s="8"/>
      <c r="Z878" s="8"/>
    </row>
    <row r="879" spans="1:26" ht="13.2">
      <c r="A879" s="13">
        <v>44250.583333333328</v>
      </c>
      <c r="B879" s="6" t="str">
        <f>HYPERLINK("https://twitter.com/JCIM_ACS","@JCIM_ACS")</f>
        <v>@JCIM_ACS</v>
      </c>
      <c r="C879" s="14" t="s">
        <v>4047</v>
      </c>
      <c r="D879" s="14" t="s">
        <v>4048</v>
      </c>
      <c r="E879" s="6" t="str">
        <f>HYPERLINK("https://twitter.com/JCIM_ACS/status/1364198324274946054","1364198324274946054")</f>
        <v>1364198324274946054</v>
      </c>
      <c r="F879" s="7" t="s">
        <v>4049</v>
      </c>
      <c r="G879" s="7" t="s">
        <v>4050</v>
      </c>
      <c r="H879" s="8"/>
      <c r="I879" s="14">
        <v>0</v>
      </c>
      <c r="J879" s="14">
        <v>8</v>
      </c>
      <c r="K879" s="6" t="str">
        <f>HYPERLINK("https://about.twitter.com/products/tweetdeck","TweetDeck")</f>
        <v>TweetDeck</v>
      </c>
      <c r="L879" s="15">
        <v>3781</v>
      </c>
      <c r="M879" s="15">
        <v>689</v>
      </c>
      <c r="N879" s="15">
        <v>75</v>
      </c>
      <c r="O879" s="9"/>
      <c r="P879" s="10">
        <v>42048.780335648145</v>
      </c>
      <c r="Q879" s="14" t="s">
        <v>191</v>
      </c>
      <c r="R879" s="14" t="s">
        <v>4051</v>
      </c>
      <c r="S879" s="7" t="s">
        <v>4052</v>
      </c>
      <c r="T879" s="8"/>
      <c r="U879" s="11" t="str">
        <f>HYPERLINK("https://pbs.twimg.com/profile_images/973949976035364866/h5_brcaR.jpg","View")</f>
        <v>View</v>
      </c>
      <c r="V879" s="8"/>
      <c r="W879" s="8"/>
      <c r="X879" s="8"/>
      <c r="Y879" s="8"/>
      <c r="Z879" s="8"/>
    </row>
    <row r="880" spans="1:26" ht="13.2">
      <c r="A880" s="13">
        <v>44250.582500000004</v>
      </c>
      <c r="B880" s="6" t="str">
        <f>HYPERLINK("https://twitter.com/DoloresRomeroM","@DoloresRomeroM")</f>
        <v>@DoloresRomeroM</v>
      </c>
      <c r="C880" s="14" t="s">
        <v>4053</v>
      </c>
      <c r="D880" s="14" t="s">
        <v>4054</v>
      </c>
      <c r="E880" s="6" t="str">
        <f>HYPERLINK("https://twitter.com/DoloresRomeroM/status/1364198021047717893","1364198021047717893")</f>
        <v>1364198021047717893</v>
      </c>
      <c r="F880" s="7" t="s">
        <v>4055</v>
      </c>
      <c r="G880" s="7" t="s">
        <v>4056</v>
      </c>
      <c r="H880" s="8"/>
      <c r="I880" s="14">
        <v>0</v>
      </c>
      <c r="J880" s="14">
        <v>11</v>
      </c>
      <c r="K880" s="6" t="str">
        <f>HYPERLINK("http://twitter.com/download/iphone","Twitter for iPhone")</f>
        <v>Twitter for iPhone</v>
      </c>
      <c r="L880" s="15">
        <v>959</v>
      </c>
      <c r="M880" s="15">
        <v>850</v>
      </c>
      <c r="N880" s="15">
        <v>6</v>
      </c>
      <c r="O880" s="9"/>
      <c r="P880" s="10">
        <v>43452.404953703706</v>
      </c>
      <c r="Q880" s="14" t="s">
        <v>4057</v>
      </c>
      <c r="R880" s="14" t="s">
        <v>4058</v>
      </c>
      <c r="S880" s="7" t="s">
        <v>4059</v>
      </c>
      <c r="T880" s="8"/>
      <c r="U880" s="11" t="str">
        <f>HYPERLINK("https://pbs.twimg.com/profile_images/1190360193550426113/sw4YGjgJ.jpg","View")</f>
        <v>View</v>
      </c>
      <c r="V880" s="8"/>
      <c r="W880" s="8"/>
      <c r="X880" s="8"/>
      <c r="Y880" s="8"/>
      <c r="Z880" s="8"/>
    </row>
    <row r="881" spans="1:26" ht="13.2">
      <c r="A881" s="13">
        <v>44250.58221064815</v>
      </c>
      <c r="B881" s="6" t="str">
        <f>HYPERLINK("https://twitter.com/evolvous","@evolvous")</f>
        <v>@evolvous</v>
      </c>
      <c r="C881" s="14" t="s">
        <v>4060</v>
      </c>
      <c r="D881" s="14" t="s">
        <v>4061</v>
      </c>
      <c r="E881" s="6" t="str">
        <f>HYPERLINK("https://twitter.com/evolvous/status/1364197915753865219","1364197915753865219")</f>
        <v>1364197915753865219</v>
      </c>
      <c r="F881" s="8"/>
      <c r="G881" s="7" t="s">
        <v>4062</v>
      </c>
      <c r="H881" s="8"/>
      <c r="I881" s="14">
        <v>0</v>
      </c>
      <c r="J881" s="14">
        <v>0</v>
      </c>
      <c r="K881" s="6" t="str">
        <f>HYPERLINK("http://www.mailchimp.com","Mailchimp")</f>
        <v>Mailchimp</v>
      </c>
      <c r="L881" s="15">
        <v>23</v>
      </c>
      <c r="M881" s="15">
        <v>137</v>
      </c>
      <c r="N881" s="15">
        <v>0</v>
      </c>
      <c r="O881" s="9"/>
      <c r="P881" s="10">
        <v>43555.919282407413</v>
      </c>
      <c r="Q881" s="14" t="s">
        <v>4063</v>
      </c>
      <c r="R881" s="14" t="s">
        <v>4064</v>
      </c>
      <c r="S881" s="7" t="s">
        <v>4065</v>
      </c>
      <c r="T881" s="8"/>
      <c r="U881" s="11" t="str">
        <f>HYPERLINK("https://pbs.twimg.com/profile_images/1112445958078394368/JBsdU-wV.png","View")</f>
        <v>View</v>
      </c>
      <c r="V881" s="8"/>
      <c r="W881" s="8"/>
      <c r="X881" s="8"/>
      <c r="Y881" s="8"/>
      <c r="Z881" s="8"/>
    </row>
    <row r="882" spans="1:26" ht="13.2">
      <c r="A882" s="13">
        <v>44250.581956018519</v>
      </c>
      <c r="B882" s="6" t="str">
        <f>HYPERLINK("https://twitter.com/Eli_Krumova","@Eli_Krumova")</f>
        <v>@Eli_Krumova</v>
      </c>
      <c r="C882" s="14" t="s">
        <v>947</v>
      </c>
      <c r="D882" s="14" t="s">
        <v>4066</v>
      </c>
      <c r="E882" s="6" t="str">
        <f>HYPERLINK("https://twitter.com/Eli_Krumova/status/1364197824045359111","1364197824045359111")</f>
        <v>1364197824045359111</v>
      </c>
      <c r="F882" s="14" t="s">
        <v>4067</v>
      </c>
      <c r="G882" s="14" t="s">
        <v>4068</v>
      </c>
      <c r="H882" s="8"/>
      <c r="I882" s="14">
        <v>6</v>
      </c>
      <c r="J882" s="14">
        <v>1</v>
      </c>
      <c r="K882" s="6" t="str">
        <f>HYPERLINK("https://mobile.twitter.com","Twitter Web App")</f>
        <v>Twitter Web App</v>
      </c>
      <c r="L882" s="15">
        <v>4471</v>
      </c>
      <c r="M882" s="15">
        <v>5001</v>
      </c>
      <c r="N882" s="15">
        <v>79</v>
      </c>
      <c r="O882" s="9"/>
      <c r="P882" s="10">
        <v>41346.597002314811</v>
      </c>
      <c r="Q882" s="14" t="s">
        <v>951</v>
      </c>
      <c r="R882" s="14" t="s">
        <v>952</v>
      </c>
      <c r="S882" s="8"/>
      <c r="T882" s="8"/>
      <c r="U882" s="11" t="str">
        <f>HYPERLINK("https://pbs.twimg.com/profile_images/1361638888427683840/HqNlplM_.jpg","View")</f>
        <v>View</v>
      </c>
      <c r="V882" s="8"/>
      <c r="W882" s="8"/>
      <c r="X882" s="8"/>
      <c r="Y882" s="8"/>
      <c r="Z882" s="8"/>
    </row>
    <row r="883" spans="1:26" ht="13.2">
      <c r="A883" s="13">
        <v>44250.581446759257</v>
      </c>
      <c r="B883" s="6" t="str">
        <f>HYPERLINK("https://twitter.com/RealRavi__","@RealRavi__")</f>
        <v>@RealRavi__</v>
      </c>
      <c r="C883" s="14" t="s">
        <v>4069</v>
      </c>
      <c r="D883" s="14" t="s">
        <v>4070</v>
      </c>
      <c r="E883" s="6" t="str">
        <f>HYPERLINK("https://twitter.com/RealRavi__/status/1364197641001852935","1364197641001852935")</f>
        <v>1364197641001852935</v>
      </c>
      <c r="F883" s="7" t="s">
        <v>4071</v>
      </c>
      <c r="G883" s="8"/>
      <c r="H883" s="8"/>
      <c r="I883" s="14">
        <v>4</v>
      </c>
      <c r="J883" s="14">
        <v>1</v>
      </c>
      <c r="K883" s="6" t="str">
        <f>HYPERLINK("http://twitter.com/download/android","Twitter for Android")</f>
        <v>Twitter for Android</v>
      </c>
      <c r="L883" s="15">
        <v>1121</v>
      </c>
      <c r="M883" s="15">
        <v>963</v>
      </c>
      <c r="N883" s="15">
        <v>13</v>
      </c>
      <c r="O883" s="9"/>
      <c r="P883" s="10">
        <v>40201.71402777778</v>
      </c>
      <c r="Q883" s="14" t="s">
        <v>4057</v>
      </c>
      <c r="R883" s="14" t="s">
        <v>4072</v>
      </c>
      <c r="S883" s="8"/>
      <c r="T883" s="8"/>
      <c r="U883" s="11" t="str">
        <f>HYPERLINK("https://pbs.twimg.com/profile_images/1332063458284670976/BAIIIW0Q.jpg","View")</f>
        <v>View</v>
      </c>
      <c r="V883" s="8"/>
      <c r="W883" s="8"/>
      <c r="X883" s="8"/>
      <c r="Y883" s="8"/>
      <c r="Z883" s="8"/>
    </row>
    <row r="884" spans="1:26" ht="13.2">
      <c r="A884" s="13">
        <v>44250.581331018519</v>
      </c>
      <c r="B884" s="6" t="str">
        <f>HYPERLINK("https://twitter.com/Necio_news","@Necio_news")</f>
        <v>@Necio_news</v>
      </c>
      <c r="C884" s="14" t="s">
        <v>4073</v>
      </c>
      <c r="D884" s="14" t="s">
        <v>3165</v>
      </c>
      <c r="E884" s="6" t="str">
        <f>HYPERLINK("https://twitter.com/Necio_news/status/1364197599109124097","1364197599109124097")</f>
        <v>1364197599109124097</v>
      </c>
      <c r="F884" s="7" t="s">
        <v>3166</v>
      </c>
      <c r="G884" s="8"/>
      <c r="H884" s="8"/>
      <c r="I884" s="14">
        <v>2</v>
      </c>
      <c r="J884" s="14">
        <v>0</v>
      </c>
      <c r="K884" s="6" t="str">
        <f>HYPERLINK("http://twinybots.com","TwinyBots")</f>
        <v>TwinyBots</v>
      </c>
      <c r="L884" s="15">
        <v>10032</v>
      </c>
      <c r="M884" s="15">
        <v>3391</v>
      </c>
      <c r="N884" s="15">
        <v>1115</v>
      </c>
      <c r="O884" s="9"/>
      <c r="P884" s="10">
        <v>42430.515879629631</v>
      </c>
      <c r="Q884" s="14" t="s">
        <v>4074</v>
      </c>
      <c r="R884" s="14" t="s">
        <v>4075</v>
      </c>
      <c r="S884" s="7" t="s">
        <v>4076</v>
      </c>
      <c r="T884" s="8"/>
      <c r="U884" s="11" t="str">
        <f>HYPERLINK("https://pbs.twimg.com/profile_images/756504133985767425/ulCoCLvF.jpg","View")</f>
        <v>View</v>
      </c>
      <c r="V884" s="8"/>
      <c r="W884" s="8"/>
      <c r="X884" s="8"/>
      <c r="Y884" s="8"/>
      <c r="Z884" s="8"/>
    </row>
    <row r="885" spans="1:26" ht="13.2">
      <c r="A885" s="13">
        <v>44250.581319444449</v>
      </c>
      <c r="B885" s="6" t="str">
        <f>HYPERLINK("https://twitter.com/Eli_Krumova","@Eli_Krumova")</f>
        <v>@Eli_Krumova</v>
      </c>
      <c r="C885" s="14" t="s">
        <v>947</v>
      </c>
      <c r="D885" s="14" t="s">
        <v>4077</v>
      </c>
      <c r="E885" s="6" t="str">
        <f>HYPERLINK("https://twitter.com/Eli_Krumova/status/1364197592297594881","1364197592297594881")</f>
        <v>1364197592297594881</v>
      </c>
      <c r="F885" s="14" t="s">
        <v>4078</v>
      </c>
      <c r="G885" s="14" t="s">
        <v>4079</v>
      </c>
      <c r="H885" s="8"/>
      <c r="I885" s="14">
        <v>6</v>
      </c>
      <c r="J885" s="14">
        <v>1</v>
      </c>
      <c r="K885" s="6" t="str">
        <f>HYPERLINK("https://mobile.twitter.com","Twitter Web App")</f>
        <v>Twitter Web App</v>
      </c>
      <c r="L885" s="15">
        <v>4471</v>
      </c>
      <c r="M885" s="15">
        <v>5001</v>
      </c>
      <c r="N885" s="15">
        <v>79</v>
      </c>
      <c r="O885" s="9"/>
      <c r="P885" s="10">
        <v>41346.597002314811</v>
      </c>
      <c r="Q885" s="14" t="s">
        <v>951</v>
      </c>
      <c r="R885" s="14" t="s">
        <v>952</v>
      </c>
      <c r="S885" s="8"/>
      <c r="T885" s="8"/>
      <c r="U885" s="11" t="str">
        <f>HYPERLINK("https://pbs.twimg.com/profile_images/1361638888427683840/HqNlplM_.jpg","View")</f>
        <v>View</v>
      </c>
      <c r="V885" s="8"/>
      <c r="W885" s="8"/>
      <c r="X885" s="8"/>
      <c r="Y885" s="8"/>
      <c r="Z885" s="8"/>
    </row>
    <row r="886" spans="1:26" ht="13.2">
      <c r="A886" s="13">
        <v>44250.580879629633</v>
      </c>
      <c r="B886" s="6" t="str">
        <f>HYPERLINK("https://twitter.com/rathore_vkrnt","@rathore_vkrnt")</f>
        <v>@rathore_vkrnt</v>
      </c>
      <c r="C886" s="14" t="s">
        <v>4080</v>
      </c>
      <c r="D886" s="14" t="s">
        <v>4081</v>
      </c>
      <c r="E886" s="6" t="str">
        <f>HYPERLINK("https://twitter.com/rathore_vkrnt/status/1364197433283014656","1364197433283014656")</f>
        <v>1364197433283014656</v>
      </c>
      <c r="F886" s="8"/>
      <c r="G886" s="7" t="s">
        <v>4082</v>
      </c>
      <c r="H886" s="8"/>
      <c r="I886" s="14">
        <v>0</v>
      </c>
      <c r="J886" s="14">
        <v>0</v>
      </c>
      <c r="K886" s="6" t="str">
        <f>HYPERLINK("http://twitter.com/download/android","Twitter for Android")</f>
        <v>Twitter for Android</v>
      </c>
      <c r="L886" s="15">
        <v>5</v>
      </c>
      <c r="M886" s="15">
        <v>29</v>
      </c>
      <c r="N886" s="15">
        <v>0</v>
      </c>
      <c r="O886" s="9"/>
      <c r="P886" s="10">
        <v>41917.121493055558</v>
      </c>
      <c r="Q886" s="14" t="s">
        <v>4083</v>
      </c>
      <c r="R886" s="14" t="s">
        <v>4084</v>
      </c>
      <c r="S886" s="8"/>
      <c r="T886" s="8"/>
      <c r="U886" s="11" t="str">
        <f>HYPERLINK("https://pbs.twimg.com/profile_images/1364198982432399362/K4udujHn.jpg","View")</f>
        <v>View</v>
      </c>
      <c r="V886" s="8"/>
      <c r="W886" s="8"/>
      <c r="X886" s="8"/>
      <c r="Y886" s="8"/>
      <c r="Z886" s="8"/>
    </row>
    <row r="887" spans="1:26" ht="13.2">
      <c r="A887" s="13">
        <v>44250.580497685187</v>
      </c>
      <c r="B887" s="6" t="str">
        <f>HYPERLINK("https://twitter.com/Eli_Krumova","@Eli_Krumova")</f>
        <v>@Eli_Krumova</v>
      </c>
      <c r="C887" s="14" t="s">
        <v>947</v>
      </c>
      <c r="D887" s="14" t="s">
        <v>4085</v>
      </c>
      <c r="E887" s="6" t="str">
        <f>HYPERLINK("https://twitter.com/Eli_Krumova/status/1364197294892081161","1364197294892081161")</f>
        <v>1364197294892081161</v>
      </c>
      <c r="F887" s="14" t="s">
        <v>4086</v>
      </c>
      <c r="G887" s="14" t="s">
        <v>4087</v>
      </c>
      <c r="H887" s="8"/>
      <c r="I887" s="14">
        <v>15</v>
      </c>
      <c r="J887" s="14">
        <v>2</v>
      </c>
      <c r="K887" s="6" t="str">
        <f>HYPERLINK("https://mobile.twitter.com","Twitter Web App")</f>
        <v>Twitter Web App</v>
      </c>
      <c r="L887" s="15">
        <v>4471</v>
      </c>
      <c r="M887" s="15">
        <v>5001</v>
      </c>
      <c r="N887" s="15">
        <v>79</v>
      </c>
      <c r="O887" s="9"/>
      <c r="P887" s="10">
        <v>41346.597002314811</v>
      </c>
      <c r="Q887" s="14" t="s">
        <v>951</v>
      </c>
      <c r="R887" s="14" t="s">
        <v>952</v>
      </c>
      <c r="S887" s="8"/>
      <c r="T887" s="8"/>
      <c r="U887" s="11" t="str">
        <f>HYPERLINK("https://pbs.twimg.com/profile_images/1361638888427683840/HqNlplM_.jpg","View")</f>
        <v>View</v>
      </c>
      <c r="V887" s="8"/>
      <c r="W887" s="8"/>
      <c r="X887" s="8"/>
      <c r="Y887" s="8"/>
      <c r="Z887" s="8"/>
    </row>
    <row r="888" spans="1:26" ht="13.2">
      <c r="A888" s="13">
        <v>44250.579907407402</v>
      </c>
      <c r="B888" s="6" t="str">
        <f>HYPERLINK("https://twitter.com/CatedraTEF_UEx","@CatedraTEF_UEx")</f>
        <v>@CatedraTEF_UEx</v>
      </c>
      <c r="C888" s="14" t="s">
        <v>4088</v>
      </c>
      <c r="D888" s="14" t="s">
        <v>4089</v>
      </c>
      <c r="E888" s="6" t="str">
        <f>HYPERLINK("https://twitter.com/CatedraTEF_UEx/status/1364197082924482561","1364197082924482561")</f>
        <v>1364197082924482561</v>
      </c>
      <c r="F888" s="7" t="s">
        <v>4090</v>
      </c>
      <c r="G888" s="8"/>
      <c r="H888" s="8"/>
      <c r="I888" s="14">
        <v>0</v>
      </c>
      <c r="J888" s="14">
        <v>0</v>
      </c>
      <c r="K888" s="6" t="str">
        <f>HYPERLINK("https://www.hootsuite.com","Hootsuite Inc.")</f>
        <v>Hootsuite Inc.</v>
      </c>
      <c r="L888" s="15">
        <v>2890</v>
      </c>
      <c r="M888" s="15">
        <v>2401</v>
      </c>
      <c r="N888" s="15">
        <v>325</v>
      </c>
      <c r="O888" s="9"/>
      <c r="P888" s="10">
        <v>40591.669803240744</v>
      </c>
      <c r="Q888" s="14" t="s">
        <v>4091</v>
      </c>
      <c r="R888" s="14" t="s">
        <v>4092</v>
      </c>
      <c r="S888" s="7" t="s">
        <v>4093</v>
      </c>
      <c r="T888" s="8"/>
      <c r="U888" s="11" t="str">
        <f>HYPERLINK("https://pbs.twimg.com/profile_images/1110269468050161664/sVctR7TS.png","View")</f>
        <v>View</v>
      </c>
      <c r="V888" s="8"/>
      <c r="W888" s="8"/>
      <c r="X888" s="8"/>
      <c r="Y888" s="8"/>
      <c r="Z888" s="8"/>
    </row>
    <row r="889" spans="1:26" ht="13.2">
      <c r="A889" s="13">
        <v>44250.579699074078</v>
      </c>
      <c r="B889" s="6" t="str">
        <f>HYPERLINK("https://twitter.com/Eli_Krumova","@Eli_Krumova")</f>
        <v>@Eli_Krumova</v>
      </c>
      <c r="C889" s="14" t="s">
        <v>947</v>
      </c>
      <c r="D889" s="14" t="s">
        <v>4094</v>
      </c>
      <c r="E889" s="6" t="str">
        <f>HYPERLINK("https://twitter.com/Eli_Krumova/status/1364197004176461827","1364197004176461827")</f>
        <v>1364197004176461827</v>
      </c>
      <c r="F889" s="8"/>
      <c r="G889" s="8"/>
      <c r="H889" s="8"/>
      <c r="I889" s="14">
        <v>2</v>
      </c>
      <c r="J889" s="14">
        <v>1</v>
      </c>
      <c r="K889" s="6" t="str">
        <f>HYPERLINK("https://mobile.twitter.com","Twitter Web App")</f>
        <v>Twitter Web App</v>
      </c>
      <c r="L889" s="15">
        <v>4471</v>
      </c>
      <c r="M889" s="15">
        <v>5001</v>
      </c>
      <c r="N889" s="15">
        <v>79</v>
      </c>
      <c r="O889" s="9"/>
      <c r="P889" s="10">
        <v>41346.597002314811</v>
      </c>
      <c r="Q889" s="14" t="s">
        <v>951</v>
      </c>
      <c r="R889" s="14" t="s">
        <v>952</v>
      </c>
      <c r="S889" s="8"/>
      <c r="T889" s="8"/>
      <c r="U889" s="11" t="str">
        <f>HYPERLINK("https://pbs.twimg.com/profile_images/1361638888427683840/HqNlplM_.jpg","View")</f>
        <v>View</v>
      </c>
      <c r="V889" s="8"/>
      <c r="W889" s="8"/>
      <c r="X889" s="8"/>
      <c r="Y889" s="8"/>
      <c r="Z889" s="8"/>
    </row>
    <row r="890" spans="1:26" ht="13.2">
      <c r="A890" s="13">
        <v>44250.579212962963</v>
      </c>
      <c r="B890" s="6" t="str">
        <f>HYPERLINK("https://twitter.com/edrc30","@edrc30")</f>
        <v>@edrc30</v>
      </c>
      <c r="C890" s="14" t="s">
        <v>4095</v>
      </c>
      <c r="D890" s="14" t="s">
        <v>3566</v>
      </c>
      <c r="E890" s="6" t="str">
        <f>HYPERLINK("https://twitter.com/edrc30/status/1364196829613625344","1364196829613625344")</f>
        <v>1364196829613625344</v>
      </c>
      <c r="F890" s="7" t="s">
        <v>4096</v>
      </c>
      <c r="G890" s="8"/>
      <c r="H890" s="8"/>
      <c r="I890" s="14">
        <v>1</v>
      </c>
      <c r="J890" s="14">
        <v>0</v>
      </c>
      <c r="K890" s="6" t="str">
        <f>HYPERLINK("http://twitter.com/download/android","Twitter for Android")</f>
        <v>Twitter for Android</v>
      </c>
      <c r="L890" s="15">
        <v>2776</v>
      </c>
      <c r="M890" s="15">
        <v>2898</v>
      </c>
      <c r="N890" s="15">
        <v>32</v>
      </c>
      <c r="O890" s="9"/>
      <c r="P890" s="10">
        <v>40187.146099537036</v>
      </c>
      <c r="Q890" s="14" t="s">
        <v>4097</v>
      </c>
      <c r="R890" s="14" t="s">
        <v>4098</v>
      </c>
      <c r="S890" s="8"/>
      <c r="T890" s="8"/>
      <c r="U890" s="11" t="str">
        <f>HYPERLINK("https://pbs.twimg.com/profile_images/1206033822804037632/TuIARUja.jpg","View")</f>
        <v>View</v>
      </c>
      <c r="V890" s="8"/>
      <c r="W890" s="8"/>
      <c r="X890" s="8"/>
      <c r="Y890" s="8"/>
      <c r="Z890" s="8"/>
    </row>
    <row r="891" spans="1:26" ht="13.2">
      <c r="A891" s="13">
        <v>44250.579189814816</v>
      </c>
      <c r="B891" s="6" t="str">
        <f>HYPERLINK("https://twitter.com/cybersecuritypl","@cybersecuritypl")</f>
        <v>@cybersecuritypl</v>
      </c>
      <c r="C891" s="14" t="s">
        <v>4099</v>
      </c>
      <c r="D891" s="14" t="s">
        <v>4100</v>
      </c>
      <c r="E891" s="6" t="str">
        <f>HYPERLINK("https://twitter.com/cybersecuritypl/status/1364196821698940934","1364196821698940934")</f>
        <v>1364196821698940934</v>
      </c>
      <c r="F891" s="7" t="s">
        <v>4101</v>
      </c>
      <c r="G891" s="8"/>
      <c r="H891" s="8"/>
      <c r="I891" s="14">
        <v>0</v>
      </c>
      <c r="J891" s="14">
        <v>0</v>
      </c>
      <c r="K891" s="6" t="str">
        <f>HYPERLINK("https://mobile.twitter.com","Twitter Web App")</f>
        <v>Twitter Web App</v>
      </c>
      <c r="L891" s="15">
        <v>17133</v>
      </c>
      <c r="M891" s="15">
        <v>2295</v>
      </c>
      <c r="N891" s="15">
        <v>421</v>
      </c>
      <c r="O891" s="9"/>
      <c r="P891" s="10">
        <v>42044.493668981479</v>
      </c>
      <c r="Q891" s="14" t="s">
        <v>322</v>
      </c>
      <c r="R891" s="14" t="s">
        <v>4102</v>
      </c>
      <c r="S891" s="7" t="s">
        <v>4103</v>
      </c>
      <c r="T891" s="8"/>
      <c r="U891" s="11" t="str">
        <f>HYPERLINK("https://pbs.twimg.com/profile_images/565506170249420800/6ggjkzcc.jpeg","View")</f>
        <v>View</v>
      </c>
      <c r="V891" s="8"/>
      <c r="W891" s="8"/>
      <c r="X891" s="8"/>
      <c r="Y891" s="8"/>
      <c r="Z891" s="8"/>
    </row>
    <row r="892" spans="1:26" ht="13.2">
      <c r="A892" s="13">
        <v>44250.578680555554</v>
      </c>
      <c r="B892" s="6" t="str">
        <f t="shared" ref="B892:B893" si="137">HYPERLINK("https://twitter.com/IainLJBrown","@IainLJBrown")</f>
        <v>@IainLJBrown</v>
      </c>
      <c r="C892" s="14" t="s">
        <v>2776</v>
      </c>
      <c r="D892" s="14" t="s">
        <v>2777</v>
      </c>
      <c r="E892" s="6" t="str">
        <f>HYPERLINK("https://twitter.com/IainLJBrown/status/1364196636906373123","1364196636906373123")</f>
        <v>1364196636906373123</v>
      </c>
      <c r="F892" s="7" t="s">
        <v>2778</v>
      </c>
      <c r="G892" s="8"/>
      <c r="H892" s="8"/>
      <c r="I892" s="14">
        <v>15</v>
      </c>
      <c r="J892" s="14">
        <v>8</v>
      </c>
      <c r="K892" s="6" t="str">
        <f t="shared" ref="K892:K893" si="138">HYPERLINK("https://ifttt.com","IFTTT")</f>
        <v>IFTTT</v>
      </c>
      <c r="L892" s="15">
        <v>115543</v>
      </c>
      <c r="M892" s="15">
        <v>98727</v>
      </c>
      <c r="N892" s="15">
        <v>423</v>
      </c>
      <c r="O892" s="9"/>
      <c r="P892" s="10">
        <v>40926.673900462964</v>
      </c>
      <c r="Q892" s="14" t="s">
        <v>753</v>
      </c>
      <c r="R892" s="14" t="s">
        <v>2779</v>
      </c>
      <c r="S892" s="7" t="s">
        <v>2780</v>
      </c>
      <c r="T892" s="8"/>
      <c r="U892" s="11" t="str">
        <f t="shared" ref="U892:U893" si="139">HYPERLINK("https://pbs.twimg.com/profile_images/1352606177352364032/jQ7AI0vG.jpg","View")</f>
        <v>View</v>
      </c>
      <c r="V892" s="8"/>
      <c r="W892" s="8"/>
      <c r="X892" s="8"/>
      <c r="Y892" s="8"/>
      <c r="Z892" s="8"/>
    </row>
    <row r="893" spans="1:26" ht="13.2">
      <c r="A893" s="13">
        <v>44250.578680555554</v>
      </c>
      <c r="B893" s="6" t="str">
        <f t="shared" si="137"/>
        <v>@IainLJBrown</v>
      </c>
      <c r="C893" s="14" t="s">
        <v>2776</v>
      </c>
      <c r="D893" s="14" t="s">
        <v>4104</v>
      </c>
      <c r="E893" s="6" t="str">
        <f>HYPERLINK("https://twitter.com/IainLJBrown/status/1364196635434180611","1364196635434180611")</f>
        <v>1364196635434180611</v>
      </c>
      <c r="F893" s="7" t="s">
        <v>4105</v>
      </c>
      <c r="G893" s="8"/>
      <c r="H893" s="8"/>
      <c r="I893" s="14">
        <v>12</v>
      </c>
      <c r="J893" s="14">
        <v>7</v>
      </c>
      <c r="K893" s="6" t="str">
        <f t="shared" si="138"/>
        <v>IFTTT</v>
      </c>
      <c r="L893" s="15">
        <v>115543</v>
      </c>
      <c r="M893" s="15">
        <v>98727</v>
      </c>
      <c r="N893" s="15">
        <v>423</v>
      </c>
      <c r="O893" s="9"/>
      <c r="P893" s="10">
        <v>40926.673900462964</v>
      </c>
      <c r="Q893" s="14" t="s">
        <v>753</v>
      </c>
      <c r="R893" s="14" t="s">
        <v>2779</v>
      </c>
      <c r="S893" s="7" t="s">
        <v>2780</v>
      </c>
      <c r="T893" s="8"/>
      <c r="U893" s="11" t="str">
        <f t="shared" si="139"/>
        <v>View</v>
      </c>
      <c r="V893" s="8"/>
      <c r="W893" s="8"/>
      <c r="X893" s="8"/>
      <c r="Y893" s="8"/>
      <c r="Z893" s="8"/>
    </row>
    <row r="894" spans="1:26" ht="13.2">
      <c r="A894" s="13">
        <v>44250.578564814816</v>
      </c>
      <c r="B894" s="6" t="str">
        <f>HYPERLINK("https://twitter.com/techsutram","@techsutram")</f>
        <v>@techsutram</v>
      </c>
      <c r="C894" s="14" t="s">
        <v>4106</v>
      </c>
      <c r="D894" s="14" t="s">
        <v>4107</v>
      </c>
      <c r="E894" s="6" t="str">
        <f>HYPERLINK("https://twitter.com/techsutram/status/1364196596448190465","1364196596448190465")</f>
        <v>1364196596448190465</v>
      </c>
      <c r="F894" s="7" t="s">
        <v>4108</v>
      </c>
      <c r="G894" s="7" t="s">
        <v>4109</v>
      </c>
      <c r="H894" s="8"/>
      <c r="I894" s="14">
        <v>1</v>
      </c>
      <c r="J894" s="14">
        <v>0</v>
      </c>
      <c r="K894" s="6" t="str">
        <f>HYPERLINK("https://crowdfireapp.com","Crowdfire App")</f>
        <v>Crowdfire App</v>
      </c>
      <c r="L894" s="15">
        <v>1046</v>
      </c>
      <c r="M894" s="15">
        <v>647</v>
      </c>
      <c r="N894" s="15">
        <v>97</v>
      </c>
      <c r="O894" s="9"/>
      <c r="P894" s="10">
        <v>39949.755648148144</v>
      </c>
      <c r="Q894" s="14" t="s">
        <v>2167</v>
      </c>
      <c r="R894" s="14" t="s">
        <v>4110</v>
      </c>
      <c r="S894" s="7" t="s">
        <v>4111</v>
      </c>
      <c r="T894" s="8"/>
      <c r="U894" s="11" t="str">
        <f>HYPERLINK("https://pbs.twimg.com/profile_images/916199810058686464/sL0iX59y.jpg","View")</f>
        <v>View</v>
      </c>
      <c r="V894" s="8"/>
      <c r="W894" s="8"/>
      <c r="X894" s="8"/>
      <c r="Y894" s="8"/>
      <c r="Z894" s="8"/>
    </row>
    <row r="895" spans="1:26" ht="13.2">
      <c r="A895" s="13">
        <v>44250.578506944439</v>
      </c>
      <c r="B895" s="6" t="str">
        <f>HYPERLINK("https://twitter.com/IIoTML","@IIoTML")</f>
        <v>@IIoTML</v>
      </c>
      <c r="C895" s="14" t="s">
        <v>4112</v>
      </c>
      <c r="D895" s="14" t="s">
        <v>4113</v>
      </c>
      <c r="E895" s="6" t="str">
        <f>HYPERLINK("https://twitter.com/IIoTML/status/1364196572406292488","1364196572406292488")</f>
        <v>1364196572406292488</v>
      </c>
      <c r="F895" s="7" t="s">
        <v>4114</v>
      </c>
      <c r="G895" s="8"/>
      <c r="H895" s="8"/>
      <c r="I895" s="14">
        <v>0</v>
      </c>
      <c r="J895" s="14">
        <v>0</v>
      </c>
      <c r="K895" s="6" t="str">
        <f t="shared" ref="K895:K896" si="140">HYPERLINK("https://dlvrit.com/","dlvr.it")</f>
        <v>dlvr.it</v>
      </c>
      <c r="L895" s="15">
        <v>3939</v>
      </c>
      <c r="M895" s="15">
        <v>563</v>
      </c>
      <c r="N895" s="15">
        <v>778</v>
      </c>
      <c r="O895" s="9"/>
      <c r="P895" s="10">
        <v>42425.534363425926</v>
      </c>
      <c r="Q895" s="8"/>
      <c r="R895" s="14" t="s">
        <v>4115</v>
      </c>
      <c r="S895" s="8"/>
      <c r="T895" s="8"/>
      <c r="U895" s="11" t="str">
        <f>HYPERLINK("https://pbs.twimg.com/profile_images/749384984100610048/0AWZDMUi.jpg","View")</f>
        <v>View</v>
      </c>
      <c r="V895" s="8"/>
      <c r="W895" s="8"/>
      <c r="X895" s="8"/>
      <c r="Y895" s="8"/>
      <c r="Z895" s="8"/>
    </row>
    <row r="896" spans="1:26" ht="13.2">
      <c r="A896" s="13">
        <v>44250.5784837963</v>
      </c>
      <c r="B896" s="6" t="str">
        <f>HYPERLINK("https://twitter.com/ArunNairID","@ArunNairID")</f>
        <v>@ArunNairID</v>
      </c>
      <c r="C896" s="14" t="s">
        <v>4116</v>
      </c>
      <c r="D896" s="14" t="s">
        <v>4113</v>
      </c>
      <c r="E896" s="6" t="str">
        <f>HYPERLINK("https://twitter.com/ArunNairID/status/1364196567746416642","1364196567746416642")</f>
        <v>1364196567746416642</v>
      </c>
      <c r="F896" s="7" t="s">
        <v>4114</v>
      </c>
      <c r="G896" s="8"/>
      <c r="H896" s="8"/>
      <c r="I896" s="14">
        <v>0</v>
      </c>
      <c r="J896" s="14">
        <v>0</v>
      </c>
      <c r="K896" s="6" t="str">
        <f t="shared" si="140"/>
        <v>dlvr.it</v>
      </c>
      <c r="L896" s="15">
        <v>550</v>
      </c>
      <c r="M896" s="15">
        <v>225</v>
      </c>
      <c r="N896" s="15">
        <v>108</v>
      </c>
      <c r="O896" s="9"/>
      <c r="P896" s="10">
        <v>42752.977175925931</v>
      </c>
      <c r="Q896" s="14" t="s">
        <v>4117</v>
      </c>
      <c r="R896" s="14" t="s">
        <v>4118</v>
      </c>
      <c r="S896" s="7" t="s">
        <v>4119</v>
      </c>
      <c r="T896" s="8"/>
      <c r="U896" s="11" t="str">
        <f>HYPERLINK("https://pbs.twimg.com/profile_images/821588636168814593/0gMtpnrf.jpg","View")</f>
        <v>View</v>
      </c>
      <c r="V896" s="8"/>
      <c r="W896" s="8"/>
      <c r="X896" s="8"/>
      <c r="Y896" s="8"/>
      <c r="Z896" s="8"/>
    </row>
    <row r="897" spans="1:26" ht="13.2">
      <c r="A897" s="13">
        <v>44250.578275462962</v>
      </c>
      <c r="B897" s="6" t="str">
        <f>HYPERLINK("https://twitter.com/lifebitAI","@lifebitAI")</f>
        <v>@lifebitAI</v>
      </c>
      <c r="C897" s="14" t="s">
        <v>4120</v>
      </c>
      <c r="D897" s="14" t="s">
        <v>4121</v>
      </c>
      <c r="E897" s="6" t="str">
        <f>HYPERLINK("https://twitter.com/lifebitAI/status/1364196491355635718","1364196491355635718")</f>
        <v>1364196491355635718</v>
      </c>
      <c r="F897" s="7" t="s">
        <v>4122</v>
      </c>
      <c r="G897" s="7" t="s">
        <v>4123</v>
      </c>
      <c r="H897" s="8"/>
      <c r="I897" s="14">
        <v>3</v>
      </c>
      <c r="J897" s="14">
        <v>6</v>
      </c>
      <c r="K897" s="6" t="str">
        <f t="shared" ref="K897:K898" si="141">HYPERLINK("https://mobile.twitter.com","Twitter Web App")</f>
        <v>Twitter Web App</v>
      </c>
      <c r="L897" s="15">
        <v>4099</v>
      </c>
      <c r="M897" s="15">
        <v>1920</v>
      </c>
      <c r="N897" s="15">
        <v>47</v>
      </c>
      <c r="O897" s="9"/>
      <c r="P897" s="10">
        <v>42895.60873842593</v>
      </c>
      <c r="Q897" s="14" t="s">
        <v>599</v>
      </c>
      <c r="R897" s="14" t="s">
        <v>4124</v>
      </c>
      <c r="S897" s="7" t="s">
        <v>4125</v>
      </c>
      <c r="T897" s="8"/>
      <c r="U897" s="11" t="str">
        <f>HYPERLINK("https://pbs.twimg.com/profile_images/972120873456095233/2a1jM0Km.jpg","View")</f>
        <v>View</v>
      </c>
      <c r="V897" s="8"/>
      <c r="W897" s="8"/>
      <c r="X897" s="8"/>
      <c r="Y897" s="8"/>
      <c r="Z897" s="8"/>
    </row>
    <row r="898" spans="1:26" ht="13.2">
      <c r="A898" s="13">
        <v>44250.578217592592</v>
      </c>
      <c r="B898" s="6" t="str">
        <f>HYPERLINK("https://twitter.com/ImmaFolchLazaro","@ImmaFolchLazaro")</f>
        <v>@ImmaFolchLazaro</v>
      </c>
      <c r="C898" s="14" t="s">
        <v>4126</v>
      </c>
      <c r="D898" s="14" t="s">
        <v>4127</v>
      </c>
      <c r="E898" s="6" t="str">
        <f>HYPERLINK("https://twitter.com/ImmaFolchLazaro/status/1364196467611750400","1364196467611750400")</f>
        <v>1364196467611750400</v>
      </c>
      <c r="F898" s="7" t="s">
        <v>4128</v>
      </c>
      <c r="G898" s="8"/>
      <c r="H898" s="8"/>
      <c r="I898" s="14">
        <v>0</v>
      </c>
      <c r="J898" s="14">
        <v>0</v>
      </c>
      <c r="K898" s="6" t="str">
        <f t="shared" si="141"/>
        <v>Twitter Web App</v>
      </c>
      <c r="L898" s="15">
        <v>939</v>
      </c>
      <c r="M898" s="15">
        <v>1944</v>
      </c>
      <c r="N898" s="15">
        <v>8</v>
      </c>
      <c r="O898" s="9"/>
      <c r="P898" s="10">
        <v>43109.704282407409</v>
      </c>
      <c r="Q898" s="14" t="s">
        <v>4129</v>
      </c>
      <c r="R898" s="14" t="s">
        <v>4130</v>
      </c>
      <c r="S898" s="8"/>
      <c r="T898" s="8"/>
      <c r="U898" s="11" t="str">
        <f>HYPERLINK("https://pbs.twimg.com/profile_images/1283712059105071107/wYhqG6-y.jpg","View")</f>
        <v>View</v>
      </c>
      <c r="V898" s="8"/>
      <c r="W898" s="8"/>
      <c r="X898" s="8"/>
      <c r="Y898" s="8"/>
      <c r="Z898" s="8"/>
    </row>
    <row r="899" spans="1:26" ht="13.2">
      <c r="A899" s="13">
        <v>44250.578148148154</v>
      </c>
      <c r="B899" s="6" t="str">
        <f>HYPERLINK("https://twitter.com/slashML","@slashML")</f>
        <v>@slashML</v>
      </c>
      <c r="C899" s="14" t="s">
        <v>779</v>
      </c>
      <c r="D899" s="14" t="s">
        <v>4131</v>
      </c>
      <c r="E899" s="6" t="str">
        <f>HYPERLINK("https://twitter.com/slashML/status/1364196442923933701","1364196442923933701")</f>
        <v>1364196442923933701</v>
      </c>
      <c r="F899" s="7" t="s">
        <v>2943</v>
      </c>
      <c r="G899" s="8"/>
      <c r="H899" s="8"/>
      <c r="I899" s="14">
        <v>4</v>
      </c>
      <c r="J899" s="14">
        <v>5</v>
      </c>
      <c r="K899" s="6" t="str">
        <f>HYPERLINK("https://www.reddit.com/r/MachineLearning/","From /r/MachineLearning")</f>
        <v>From /r/MachineLearning</v>
      </c>
      <c r="L899" s="15">
        <v>44297</v>
      </c>
      <c r="M899" s="15">
        <v>1</v>
      </c>
      <c r="N899" s="15">
        <v>600</v>
      </c>
      <c r="O899" s="9"/>
      <c r="P899" s="10">
        <v>42710.818564814814</v>
      </c>
      <c r="Q899" s="8"/>
      <c r="R899" s="14" t="s">
        <v>782</v>
      </c>
      <c r="S899" s="8"/>
      <c r="T899" s="8"/>
      <c r="U899" s="11" t="str">
        <f>HYPERLINK("https://pbs.twimg.com/profile_images/806213385545273344/s7sE4E8a.jpg","View")</f>
        <v>View</v>
      </c>
      <c r="V899" s="8"/>
      <c r="W899" s="8"/>
      <c r="X899" s="8"/>
      <c r="Y899" s="8"/>
      <c r="Z899" s="8"/>
    </row>
    <row r="900" spans="1:26" ht="13.2">
      <c r="A900" s="13">
        <v>44250.577627314815</v>
      </c>
      <c r="B900" s="6" t="str">
        <f>HYPERLINK("https://twitter.com/Superdigital9","@Superdigital9")</f>
        <v>@Superdigital9</v>
      </c>
      <c r="C900" s="14" t="s">
        <v>4132</v>
      </c>
      <c r="D900" s="14" t="s">
        <v>4133</v>
      </c>
      <c r="E900" s="6" t="str">
        <f>HYPERLINK("https://twitter.com/Superdigital9/status/1364196255522553857","1364196255522553857")</f>
        <v>1364196255522553857</v>
      </c>
      <c r="F900" s="14" t="s">
        <v>4134</v>
      </c>
      <c r="G900" s="8"/>
      <c r="H900" s="8"/>
      <c r="I900" s="14">
        <v>3</v>
      </c>
      <c r="J900" s="14">
        <v>3</v>
      </c>
      <c r="K900" s="6" t="str">
        <f>HYPERLINK("http://twinybots.com","TwinyBots")</f>
        <v>TwinyBots</v>
      </c>
      <c r="L900" s="15">
        <v>796</v>
      </c>
      <c r="M900" s="15">
        <v>1112</v>
      </c>
      <c r="N900" s="15">
        <v>11</v>
      </c>
      <c r="O900" s="9"/>
      <c r="P900" s="10">
        <v>43821.75409722222</v>
      </c>
      <c r="Q900" s="14" t="s">
        <v>3176</v>
      </c>
      <c r="R900" s="14" t="s">
        <v>4135</v>
      </c>
      <c r="S900" s="7" t="s">
        <v>4136</v>
      </c>
      <c r="T900" s="8"/>
      <c r="U900" s="11" t="str">
        <f>HYPERLINK("https://pbs.twimg.com/profile_images/1208795846831067138/cpdkWTEq.jpg","View")</f>
        <v>View</v>
      </c>
      <c r="V900" s="8"/>
      <c r="W900" s="8"/>
      <c r="X900" s="8"/>
      <c r="Y900" s="8"/>
      <c r="Z900" s="8"/>
    </row>
    <row r="901" spans="1:26" ht="13.2">
      <c r="A901" s="13">
        <v>44250.577291666668</v>
      </c>
      <c r="B901" s="6" t="str">
        <f t="shared" ref="B901:B902" si="142">HYPERLINK("https://twitter.com/arXiv__ml","@arXiv__ml")</f>
        <v>@arXiv__ml</v>
      </c>
      <c r="C901" s="14" t="s">
        <v>2812</v>
      </c>
      <c r="D901" s="14" t="s">
        <v>4137</v>
      </c>
      <c r="E901" s="6" t="str">
        <f>HYPERLINK("https://twitter.com/arXiv__ml/status/1364196133074042880","1364196133074042880")</f>
        <v>1364196133074042880</v>
      </c>
      <c r="F901" s="7" t="s">
        <v>4138</v>
      </c>
      <c r="G901" s="8"/>
      <c r="H901" s="8"/>
      <c r="I901" s="14">
        <v>0</v>
      </c>
      <c r="J901" s="14">
        <v>1</v>
      </c>
      <c r="K901" s="6" t="str">
        <f t="shared" ref="K901:K902" si="143">HYPERLINK("https://ifttt.com","IFTTT")</f>
        <v>IFTTT</v>
      </c>
      <c r="L901" s="15">
        <v>2542</v>
      </c>
      <c r="M901" s="15">
        <v>1470</v>
      </c>
      <c r="N901" s="15">
        <v>73</v>
      </c>
      <c r="O901" s="9"/>
      <c r="P901" s="10">
        <v>43387.731759259259</v>
      </c>
      <c r="Q901" s="14" t="s">
        <v>1036</v>
      </c>
      <c r="R901" s="14" t="s">
        <v>2815</v>
      </c>
      <c r="S901" s="7" t="s">
        <v>2816</v>
      </c>
      <c r="T901" s="8"/>
      <c r="U901" s="11" t="str">
        <f t="shared" ref="U901:U902" si="144">HYPERLINK("https://pbs.twimg.com/profile_images/1067085474131394560/QOHl5dzN.jpg","View")</f>
        <v>View</v>
      </c>
      <c r="V901" s="8"/>
      <c r="W901" s="8"/>
      <c r="X901" s="8"/>
      <c r="Y901" s="8"/>
      <c r="Z901" s="8"/>
    </row>
    <row r="902" spans="1:26" ht="13.2">
      <c r="A902" s="13">
        <v>44250.577268518522</v>
      </c>
      <c r="B902" s="6" t="str">
        <f t="shared" si="142"/>
        <v>@arXiv__ml</v>
      </c>
      <c r="C902" s="14" t="s">
        <v>2812</v>
      </c>
      <c r="D902" s="14" t="s">
        <v>4139</v>
      </c>
      <c r="E902" s="6" t="str">
        <f>HYPERLINK("https://twitter.com/arXiv__ml/status/1364196127336247297","1364196127336247297")</f>
        <v>1364196127336247297</v>
      </c>
      <c r="F902" s="7" t="s">
        <v>4140</v>
      </c>
      <c r="G902" s="8"/>
      <c r="H902" s="8"/>
      <c r="I902" s="14">
        <v>0</v>
      </c>
      <c r="J902" s="14">
        <v>2</v>
      </c>
      <c r="K902" s="6" t="str">
        <f t="shared" si="143"/>
        <v>IFTTT</v>
      </c>
      <c r="L902" s="15">
        <v>2542</v>
      </c>
      <c r="M902" s="15">
        <v>1470</v>
      </c>
      <c r="N902" s="15">
        <v>73</v>
      </c>
      <c r="O902" s="9"/>
      <c r="P902" s="10">
        <v>43387.731759259259</v>
      </c>
      <c r="Q902" s="14" t="s">
        <v>1036</v>
      </c>
      <c r="R902" s="14" t="s">
        <v>2815</v>
      </c>
      <c r="S902" s="7" t="s">
        <v>2816</v>
      </c>
      <c r="T902" s="8"/>
      <c r="U902" s="11" t="str">
        <f t="shared" si="144"/>
        <v>View</v>
      </c>
      <c r="V902" s="8"/>
      <c r="W902" s="8"/>
      <c r="X902" s="8"/>
      <c r="Y902" s="8"/>
      <c r="Z902" s="8"/>
    </row>
    <row r="903" spans="1:26" ht="13.2">
      <c r="A903" s="13">
        <v>44250.577013888891</v>
      </c>
      <c r="B903" s="6" t="str">
        <f>HYPERLINK("https://twitter.com/inexture","@inexture")</f>
        <v>@inexture</v>
      </c>
      <c r="C903" s="14" t="s">
        <v>4141</v>
      </c>
      <c r="D903" s="14" t="s">
        <v>4142</v>
      </c>
      <c r="E903" s="6" t="str">
        <f>HYPERLINK("https://twitter.com/inexture/status/1364196031689236483","1364196031689236483")</f>
        <v>1364196031689236483</v>
      </c>
      <c r="F903" s="7" t="s">
        <v>4143</v>
      </c>
      <c r="G903" s="7" t="s">
        <v>4144</v>
      </c>
      <c r="H903" s="8"/>
      <c r="I903" s="14">
        <v>0</v>
      </c>
      <c r="J903" s="14">
        <v>1</v>
      </c>
      <c r="K903" s="6" t="str">
        <f>HYPERLINK("https://mobile.twitter.com","Twitter Web App")</f>
        <v>Twitter Web App</v>
      </c>
      <c r="L903" s="15">
        <v>1314</v>
      </c>
      <c r="M903" s="15">
        <v>2434</v>
      </c>
      <c r="N903" s="15">
        <v>5</v>
      </c>
      <c r="O903" s="9"/>
      <c r="P903" s="10">
        <v>42413.312395833331</v>
      </c>
      <c r="Q903" s="14" t="s">
        <v>138</v>
      </c>
      <c r="R903" s="14" t="s">
        <v>4145</v>
      </c>
      <c r="S903" s="7" t="s">
        <v>4146</v>
      </c>
      <c r="T903" s="8"/>
      <c r="U903" s="11" t="str">
        <f>HYPERLINK("https://pbs.twimg.com/profile_images/1272869333199319042/W3XbqF4T.jpg","View")</f>
        <v>View</v>
      </c>
      <c r="V903" s="8"/>
      <c r="W903" s="8"/>
      <c r="X903" s="8"/>
      <c r="Y903" s="8"/>
      <c r="Z903" s="8"/>
    </row>
    <row r="904" spans="1:26" ht="13.2">
      <c r="A904" s="13">
        <v>44250.576643518521</v>
      </c>
      <c r="B904" s="6" t="str">
        <f>HYPERLINK("https://twitter.com/TheRamoliya","@TheRamoliya")</f>
        <v>@TheRamoliya</v>
      </c>
      <c r="C904" s="14" t="s">
        <v>4147</v>
      </c>
      <c r="D904" s="14" t="s">
        <v>4148</v>
      </c>
      <c r="E904" s="6" t="str">
        <f>HYPERLINK("https://twitter.com/TheRamoliya/status/1364195900629815298","1364195900629815298")</f>
        <v>1364195900629815298</v>
      </c>
      <c r="F904" s="8"/>
      <c r="G904" s="8"/>
      <c r="H904" s="8"/>
      <c r="I904" s="14">
        <v>35</v>
      </c>
      <c r="J904" s="14">
        <v>8</v>
      </c>
      <c r="K904" s="6" t="str">
        <f>HYPERLINK("http://itunes.apple.com/us/app/twitter/id409789998?mt=12","Twitter for Mac")</f>
        <v>Twitter for Mac</v>
      </c>
      <c r="L904" s="15">
        <v>1774</v>
      </c>
      <c r="M904" s="15">
        <v>272</v>
      </c>
      <c r="N904" s="15">
        <v>151</v>
      </c>
      <c r="O904" s="9"/>
      <c r="P904" s="10">
        <v>41931.310578703706</v>
      </c>
      <c r="Q904" s="8"/>
      <c r="R904" s="14" t="s">
        <v>4149</v>
      </c>
      <c r="S904" s="8"/>
      <c r="T904" s="8"/>
      <c r="U904" s="11" t="str">
        <f>HYPERLINK("https://pbs.twimg.com/profile_images/599808090804883456/ndzTe9J5.jpg","View")</f>
        <v>View</v>
      </c>
      <c r="V904" s="8"/>
      <c r="W904" s="8"/>
      <c r="X904" s="8"/>
      <c r="Y904" s="8"/>
      <c r="Z904" s="8"/>
    </row>
    <row r="905" spans="1:26" ht="13.2">
      <c r="A905" s="13">
        <v>44250.576643518521</v>
      </c>
      <c r="B905" s="6" t="str">
        <f>HYPERLINK("https://twitter.com/creativemf","@creativemf")</f>
        <v>@creativemf</v>
      </c>
      <c r="C905" s="14" t="s">
        <v>4150</v>
      </c>
      <c r="D905" s="14" t="s">
        <v>4151</v>
      </c>
      <c r="E905" s="6" t="str">
        <f>HYPERLINK("https://twitter.com/creativemf/status/1364195899371642883","1364195899371642883")</f>
        <v>1364195899371642883</v>
      </c>
      <c r="F905" s="7" t="s">
        <v>4152</v>
      </c>
      <c r="G905" s="8"/>
      <c r="H905" s="8"/>
      <c r="I905" s="14">
        <v>0</v>
      </c>
      <c r="J905" s="14">
        <v>0</v>
      </c>
      <c r="K905" s="6" t="str">
        <f>HYPERLINK("https://paper.li","Paper.li")</f>
        <v>Paper.li</v>
      </c>
      <c r="L905" s="15">
        <v>1245</v>
      </c>
      <c r="M905" s="15">
        <v>383</v>
      </c>
      <c r="N905" s="15">
        <v>318</v>
      </c>
      <c r="O905" s="9"/>
      <c r="P905" s="10">
        <v>39823.879143518519</v>
      </c>
      <c r="Q905" s="14" t="s">
        <v>4153</v>
      </c>
      <c r="R905" s="14" t="s">
        <v>4154</v>
      </c>
      <c r="S905" s="7" t="s">
        <v>4155</v>
      </c>
      <c r="T905" s="8"/>
      <c r="U905" s="11" t="str">
        <f>HYPERLINK("https://pbs.twimg.com/profile_images/1246824570381893634/3lGcotv5.png","View")</f>
        <v>View</v>
      </c>
      <c r="V905" s="8"/>
      <c r="W905" s="8"/>
      <c r="X905" s="8"/>
      <c r="Y905" s="8"/>
      <c r="Z905" s="8"/>
    </row>
    <row r="906" spans="1:26" ht="13.2">
      <c r="A906" s="13">
        <v>44250.57644675926</v>
      </c>
      <c r="B906" s="6" t="str">
        <f>HYPERLINK("https://twitter.com/KhaleejMag","@KhaleejMag")</f>
        <v>@KhaleejMag</v>
      </c>
      <c r="C906" s="14" t="s">
        <v>4156</v>
      </c>
      <c r="D906" s="14" t="s">
        <v>4157</v>
      </c>
      <c r="E906" s="6" t="str">
        <f>HYPERLINK("https://twitter.com/KhaleejMag/status/1364195827091144707","1364195827091144707")</f>
        <v>1364195827091144707</v>
      </c>
      <c r="F906" s="7" t="s">
        <v>4158</v>
      </c>
      <c r="G906" s="7" t="s">
        <v>4159</v>
      </c>
      <c r="H906" s="8"/>
      <c r="I906" s="14">
        <v>4</v>
      </c>
      <c r="J906" s="14">
        <v>3</v>
      </c>
      <c r="K906" s="6" t="str">
        <f>HYPERLINK("https://mobile.twitter.com","Twitter Web App")</f>
        <v>Twitter Web App</v>
      </c>
      <c r="L906" s="15">
        <v>80784</v>
      </c>
      <c r="M906" s="15">
        <v>63929</v>
      </c>
      <c r="N906" s="15">
        <v>570</v>
      </c>
      <c r="O906" s="9"/>
      <c r="P906" s="10">
        <v>40155.415000000001</v>
      </c>
      <c r="Q906" s="14" t="s">
        <v>4160</v>
      </c>
      <c r="R906" s="14" t="s">
        <v>4161</v>
      </c>
      <c r="S906" s="7" t="s">
        <v>4162</v>
      </c>
      <c r="T906" s="8"/>
      <c r="U906" s="11" t="str">
        <f>HYPERLINK("https://pbs.twimg.com/profile_images/791480759517315076/HJFQWCsu.jpg","View")</f>
        <v>View</v>
      </c>
      <c r="V906" s="8"/>
      <c r="W906" s="8"/>
      <c r="X906" s="8"/>
      <c r="Y906" s="8"/>
      <c r="Z906" s="8"/>
    </row>
    <row r="907" spans="1:26" ht="13.2">
      <c r="A907" s="13">
        <v>44250.576412037037</v>
      </c>
      <c r="B907" s="6" t="str">
        <f>HYPERLINK("https://twitter.com/SoulpageIT","@SoulpageIT")</f>
        <v>@SoulpageIT</v>
      </c>
      <c r="C907" s="14" t="s">
        <v>4163</v>
      </c>
      <c r="D907" s="14" t="s">
        <v>4164</v>
      </c>
      <c r="E907" s="6" t="str">
        <f>HYPERLINK("https://twitter.com/SoulpageIT/status/1364195813828796427","1364195813828796427")</f>
        <v>1364195813828796427</v>
      </c>
      <c r="F907" s="7" t="s">
        <v>4165</v>
      </c>
      <c r="G907" s="8"/>
      <c r="H907" s="8"/>
      <c r="I907" s="14">
        <v>2</v>
      </c>
      <c r="J907" s="14">
        <v>2</v>
      </c>
      <c r="K907" s="6" t="str">
        <f>HYPERLINK("https://www.hootsuite.com","Hootsuite Inc.")</f>
        <v>Hootsuite Inc.</v>
      </c>
      <c r="L907" s="15">
        <v>425</v>
      </c>
      <c r="M907" s="15">
        <v>389</v>
      </c>
      <c r="N907" s="15">
        <v>11</v>
      </c>
      <c r="O907" s="9"/>
      <c r="P907" s="10">
        <v>43315.213229166664</v>
      </c>
      <c r="Q907" s="14" t="s">
        <v>4166</v>
      </c>
      <c r="R907" s="14" t="s">
        <v>4167</v>
      </c>
      <c r="S907" s="7" t="s">
        <v>4168</v>
      </c>
      <c r="T907" s="8"/>
      <c r="U907" s="11" t="str">
        <f>HYPERLINK("https://pbs.twimg.com/profile_images/1025217633837301760/oxC27iiN.jpg","View")</f>
        <v>View</v>
      </c>
      <c r="V907" s="8"/>
      <c r="W907" s="8"/>
      <c r="X907" s="8"/>
      <c r="Y907" s="8"/>
      <c r="Z907" s="8"/>
    </row>
    <row r="908" spans="1:26" ht="13.2">
      <c r="A908" s="13">
        <v>44250.57640046296</v>
      </c>
      <c r="B908" s="6" t="str">
        <f>HYPERLINK("https://twitter.com/DivergentCIO","@DivergentCIO")</f>
        <v>@DivergentCIO</v>
      </c>
      <c r="C908" s="14" t="s">
        <v>3912</v>
      </c>
      <c r="D908" s="14" t="s">
        <v>4169</v>
      </c>
      <c r="E908" s="6" t="str">
        <f>HYPERLINK("https://twitter.com/DivergentCIO/status/1364195811152773127","1364195811152773127")</f>
        <v>1364195811152773127</v>
      </c>
      <c r="F908" s="7" t="s">
        <v>4170</v>
      </c>
      <c r="G908" s="8"/>
      <c r="H908" s="8"/>
      <c r="I908" s="14">
        <v>4</v>
      </c>
      <c r="J908" s="14">
        <v>4</v>
      </c>
      <c r="K908" s="6" t="str">
        <f>HYPERLINK("https://buffer.com","Buffer")</f>
        <v>Buffer</v>
      </c>
      <c r="L908" s="15">
        <v>28614</v>
      </c>
      <c r="M908" s="15">
        <v>26399</v>
      </c>
      <c r="N908" s="15">
        <v>1647</v>
      </c>
      <c r="O908" s="9"/>
      <c r="P908" s="10">
        <v>42071.947187500002</v>
      </c>
      <c r="Q908" s="14" t="s">
        <v>3915</v>
      </c>
      <c r="R908" s="14" t="s">
        <v>3916</v>
      </c>
      <c r="S908" s="7" t="s">
        <v>3917</v>
      </c>
      <c r="T908" s="8"/>
      <c r="U908" s="11" t="str">
        <f>HYPERLINK("https://pbs.twimg.com/profile_images/767507322583199745/rpfbzBzg.jpg","View")</f>
        <v>View</v>
      </c>
      <c r="V908" s="8"/>
      <c r="W908" s="8"/>
      <c r="X908" s="8"/>
      <c r="Y908" s="8"/>
      <c r="Z908" s="8"/>
    </row>
    <row r="909" spans="1:26" ht="13.2">
      <c r="A909" s="13">
        <v>44250.576180555552</v>
      </c>
      <c r="B909" s="6" t="str">
        <f>HYPERLINK("https://twitter.com/hardmaru","@hardmaru")</f>
        <v>@hardmaru</v>
      </c>
      <c r="C909" s="14" t="s">
        <v>4171</v>
      </c>
      <c r="D909" s="14" t="s">
        <v>4172</v>
      </c>
      <c r="E909" s="6" t="str">
        <f>HYPERLINK("https://twitter.com/hardmaru/status/1364195729699262468","1364195729699262468")</f>
        <v>1364195729699262468</v>
      </c>
      <c r="F909" s="7" t="s">
        <v>4173</v>
      </c>
      <c r="G909" s="8"/>
      <c r="H909" s="8"/>
      <c r="I909" s="14">
        <v>11</v>
      </c>
      <c r="J909" s="14">
        <v>48</v>
      </c>
      <c r="K909" s="6" t="str">
        <f>HYPERLINK("http://twitter.com/download/iphone","Twitter for iPhone")</f>
        <v>Twitter for iPhone</v>
      </c>
      <c r="L909" s="15">
        <v>97790</v>
      </c>
      <c r="M909" s="15">
        <v>955</v>
      </c>
      <c r="N909" s="15">
        <v>1969</v>
      </c>
      <c r="O909" s="9"/>
      <c r="P909" s="10">
        <v>41953.503553240742</v>
      </c>
      <c r="Q909" s="14" t="s">
        <v>4174</v>
      </c>
      <c r="R909" s="14" t="s">
        <v>4175</v>
      </c>
      <c r="S909" s="7" t="s">
        <v>4176</v>
      </c>
      <c r="T909" s="8"/>
      <c r="U909" s="11" t="str">
        <f>HYPERLINK("https://pbs.twimg.com/profile_images/1244133811278852097/rxL5LqpS.png","View")</f>
        <v>View</v>
      </c>
      <c r="V909" s="8"/>
      <c r="W909" s="8"/>
      <c r="X909" s="8"/>
      <c r="Y909" s="8"/>
      <c r="Z909" s="8"/>
    </row>
    <row r="910" spans="1:26" ht="13.2">
      <c r="A910" s="13">
        <v>44250.575717592597</v>
      </c>
      <c r="B910" s="6" t="str">
        <f>HYPERLINK("https://twitter.com/Datascience__","@Datascience__")</f>
        <v>@Datascience__</v>
      </c>
      <c r="C910" s="14" t="s">
        <v>1082</v>
      </c>
      <c r="D910" s="14" t="s">
        <v>4177</v>
      </c>
      <c r="E910" s="6" t="str">
        <f>HYPERLINK("https://twitter.com/Datascience__/status/1364195564288671750","1364195564288671750")</f>
        <v>1364195564288671750</v>
      </c>
      <c r="F910" s="7" t="s">
        <v>4178</v>
      </c>
      <c r="G910" s="8"/>
      <c r="H910" s="8"/>
      <c r="I910" s="14">
        <v>0</v>
      </c>
      <c r="J910" s="14">
        <v>1</v>
      </c>
      <c r="K910" s="6" t="str">
        <f>HYPERLINK("https://twitter.com/pythonbot_","Postmatico")</f>
        <v>Postmatico</v>
      </c>
      <c r="L910" s="15">
        <v>21499</v>
      </c>
      <c r="M910" s="15">
        <v>11071</v>
      </c>
      <c r="N910" s="15">
        <v>0</v>
      </c>
      <c r="O910" s="9"/>
      <c r="P910" s="10">
        <v>42735.551377314812</v>
      </c>
      <c r="Q910" s="8"/>
      <c r="R910" s="14" t="s">
        <v>1085</v>
      </c>
      <c r="S910" s="7" t="s">
        <v>1086</v>
      </c>
      <c r="T910" s="8"/>
      <c r="U910" s="11" t="str">
        <f>HYPERLINK("https://pbs.twimg.com/profile_images/989066461435097088/AQZSFyuk.jpg","View")</f>
        <v>View</v>
      </c>
      <c r="V910" s="8"/>
      <c r="W910" s="8"/>
      <c r="X910" s="8"/>
      <c r="Y910" s="8"/>
      <c r="Z910" s="8"/>
    </row>
    <row r="911" spans="1:26" ht="13.2">
      <c r="A911" s="13">
        <v>44250.574826388889</v>
      </c>
      <c r="B911" s="6" t="str">
        <f>HYPERLINK("https://twitter.com/dreoporto","@dreoporto")</f>
        <v>@dreoporto</v>
      </c>
      <c r="C911" s="14" t="s">
        <v>4179</v>
      </c>
      <c r="D911" s="14" t="s">
        <v>4180</v>
      </c>
      <c r="E911" s="6" t="str">
        <f>HYPERLINK("https://twitter.com/dreoporto/status/1364195238542266368","1364195238542266368")</f>
        <v>1364195238542266368</v>
      </c>
      <c r="F911" s="14" t="s">
        <v>4181</v>
      </c>
      <c r="G911" s="8"/>
      <c r="H911" s="8"/>
      <c r="I911" s="14">
        <v>4</v>
      </c>
      <c r="J911" s="14">
        <v>2</v>
      </c>
      <c r="K911" s="6" t="str">
        <f>HYPERLINK("http://twitter.com/#!/download/ipad","Twitter for iPad")</f>
        <v>Twitter for iPad</v>
      </c>
      <c r="L911" s="15">
        <v>125</v>
      </c>
      <c r="M911" s="15">
        <v>410</v>
      </c>
      <c r="N911" s="15">
        <v>29</v>
      </c>
      <c r="O911" s="9"/>
      <c r="P911" s="10">
        <v>40107.594525462962</v>
      </c>
      <c r="Q911" s="14" t="s">
        <v>4182</v>
      </c>
      <c r="R911" s="14" t="s">
        <v>4183</v>
      </c>
      <c r="S911" s="7" t="s">
        <v>4184</v>
      </c>
      <c r="T911" s="8"/>
      <c r="U911" s="11" t="str">
        <f>HYPERLINK("https://pbs.twimg.com/profile_images/1314016104277323776/GGhVXk7C.jpg","View")</f>
        <v>View</v>
      </c>
      <c r="V911" s="8"/>
      <c r="W911" s="8"/>
      <c r="X911" s="8"/>
      <c r="Y911" s="8"/>
      <c r="Z911" s="8"/>
    </row>
    <row r="912" spans="1:26" ht="13.2">
      <c r="A912" s="13">
        <v>44250.574814814812</v>
      </c>
      <c r="B912" s="6" t="str">
        <f>HYPERLINK("https://twitter.com/TechGDPR","@TechGDPR")</f>
        <v>@TechGDPR</v>
      </c>
      <c r="C912" s="14" t="s">
        <v>4185</v>
      </c>
      <c r="D912" s="14" t="s">
        <v>4186</v>
      </c>
      <c r="E912" s="6" t="str">
        <f>HYPERLINK("https://twitter.com/TechGDPR/status/1364195238051536900","1364195238051536900")</f>
        <v>1364195238051536900</v>
      </c>
      <c r="F912" s="8"/>
      <c r="G912" s="7" t="s">
        <v>4187</v>
      </c>
      <c r="H912" s="8"/>
      <c r="I912" s="14">
        <v>3</v>
      </c>
      <c r="J912" s="14">
        <v>0</v>
      </c>
      <c r="K912" s="6" t="str">
        <f>HYPERLINK("https://mobile.twitter.com","Twitter Web App")</f>
        <v>Twitter Web App</v>
      </c>
      <c r="L912" s="15">
        <v>438</v>
      </c>
      <c r="M912" s="15">
        <v>241</v>
      </c>
      <c r="N912" s="15">
        <v>11</v>
      </c>
      <c r="O912" s="9"/>
      <c r="P912" s="10">
        <v>43082.679525462961</v>
      </c>
      <c r="Q912" s="14" t="s">
        <v>3464</v>
      </c>
      <c r="R912" s="14" t="s">
        <v>4188</v>
      </c>
      <c r="S912" s="7" t="s">
        <v>4189</v>
      </c>
      <c r="T912" s="8"/>
      <c r="U912" s="11" t="str">
        <f>HYPERLINK("https://pbs.twimg.com/profile_images/941050671759085570/bV9v_ury.jpg","View")</f>
        <v>View</v>
      </c>
      <c r="V912" s="8"/>
      <c r="W912" s="8"/>
      <c r="X912" s="8"/>
      <c r="Y912" s="8"/>
      <c r="Z912" s="8"/>
    </row>
    <row r="913" spans="1:26" ht="13.2">
      <c r="A913" s="13">
        <v>44250.574710648143</v>
      </c>
      <c r="B913" s="6" t="str">
        <f>HYPERLINK("https://twitter.com/ehuntober","@ehuntober")</f>
        <v>@ehuntober</v>
      </c>
      <c r="C913" s="14" t="s">
        <v>4190</v>
      </c>
      <c r="D913" s="14" t="s">
        <v>4191</v>
      </c>
      <c r="E913" s="6" t="str">
        <f>HYPERLINK("https://twitter.com/ehuntober/status/1364195199065481217","1364195199065481217")</f>
        <v>1364195199065481217</v>
      </c>
      <c r="F913" s="8"/>
      <c r="G913" s="7" t="s">
        <v>4192</v>
      </c>
      <c r="H913" s="8"/>
      <c r="I913" s="14">
        <v>12</v>
      </c>
      <c r="J913" s="14">
        <v>10</v>
      </c>
      <c r="K913" s="6" t="str">
        <f>HYPERLINK("http://twitter.com/download/android","Twitter for Android")</f>
        <v>Twitter for Android</v>
      </c>
      <c r="L913" s="15">
        <v>118</v>
      </c>
      <c r="M913" s="15">
        <v>552</v>
      </c>
      <c r="N913" s="15">
        <v>1</v>
      </c>
      <c r="O913" s="9"/>
      <c r="P913" s="10">
        <v>44118.707048611112</v>
      </c>
      <c r="Q913" s="14" t="s">
        <v>4193</v>
      </c>
      <c r="R913" s="14" t="s">
        <v>4194</v>
      </c>
      <c r="S913" s="7" t="s">
        <v>4195</v>
      </c>
      <c r="T913" s="8"/>
      <c r="U913" s="11" t="str">
        <f>HYPERLINK("https://pbs.twimg.com/profile_images/1362421992864030721/U_F3kxt1.jpg","View")</f>
        <v>View</v>
      </c>
      <c r="V913" s="8"/>
      <c r="W913" s="8"/>
      <c r="X913" s="8"/>
      <c r="Y913" s="8"/>
      <c r="Z913" s="8"/>
    </row>
    <row r="914" spans="1:26" ht="13.2">
      <c r="A914" s="13">
        <v>44250.574513888889</v>
      </c>
      <c r="B914" s="6" t="str">
        <f>HYPERLINK("https://twitter.com/Datategy_France","@Datategy_France")</f>
        <v>@Datategy_France</v>
      </c>
      <c r="C914" s="14" t="s">
        <v>4196</v>
      </c>
      <c r="D914" s="14" t="s">
        <v>4197</v>
      </c>
      <c r="E914" s="6" t="str">
        <f>HYPERLINK("https://twitter.com/Datategy_France/status/1364195126227181569","1364195126227181569")</f>
        <v>1364195126227181569</v>
      </c>
      <c r="F914" s="7" t="s">
        <v>4198</v>
      </c>
      <c r="G914" s="8"/>
      <c r="H914" s="8"/>
      <c r="I914" s="14">
        <v>1</v>
      </c>
      <c r="J914" s="14">
        <v>1</v>
      </c>
      <c r="K914" s="6" t="str">
        <f>HYPERLINK("https://mobile.twitter.com","Twitter Web App")</f>
        <v>Twitter Web App</v>
      </c>
      <c r="L914" s="15">
        <v>61</v>
      </c>
      <c r="M914" s="15">
        <v>3</v>
      </c>
      <c r="N914" s="15">
        <v>2</v>
      </c>
      <c r="O914" s="9"/>
      <c r="P914" s="10">
        <v>43210.486759259264</v>
      </c>
      <c r="Q914" s="14" t="s">
        <v>106</v>
      </c>
      <c r="R914" s="14" t="s">
        <v>4199</v>
      </c>
      <c r="S914" s="7" t="s">
        <v>4200</v>
      </c>
      <c r="T914" s="8"/>
      <c r="U914" s="11" t="str">
        <f>HYPERLINK("https://pbs.twimg.com/profile_images/1318462287603257344/Z9Swtwir.jpg","View")</f>
        <v>View</v>
      </c>
      <c r="V914" s="8"/>
      <c r="W914" s="8"/>
      <c r="X914" s="8"/>
      <c r="Y914" s="8"/>
      <c r="Z914" s="8"/>
    </row>
    <row r="915" spans="1:26" ht="13.2">
      <c r="A915" s="13">
        <v>44250.573275462964</v>
      </c>
      <c r="B915" s="6" t="str">
        <f>HYPERLINK("https://twitter.com/informalai","@informalai")</f>
        <v>@informalai</v>
      </c>
      <c r="C915" s="14" t="s">
        <v>4201</v>
      </c>
      <c r="D915" s="14" t="s">
        <v>4202</v>
      </c>
      <c r="E915" s="6" t="str">
        <f>HYPERLINK("https://twitter.com/informalai/status/1364194677356961795","1364194677356961795")</f>
        <v>1364194677356961795</v>
      </c>
      <c r="F915" s="7" t="s">
        <v>4203</v>
      </c>
      <c r="G915" s="8"/>
      <c r="H915" s="8"/>
      <c r="I915" s="14">
        <v>1</v>
      </c>
      <c r="J915" s="14">
        <v>2</v>
      </c>
      <c r="K915" s="6" t="str">
        <f>HYPERLINK("http://twitter.com/download/android","Twitter for Android")</f>
        <v>Twitter for Android</v>
      </c>
      <c r="L915" s="15">
        <v>13</v>
      </c>
      <c r="M915" s="15">
        <v>110</v>
      </c>
      <c r="N915" s="15">
        <v>0</v>
      </c>
      <c r="O915" s="9"/>
      <c r="P915" s="10">
        <v>44033.44295138889</v>
      </c>
      <c r="Q915" s="8"/>
      <c r="R915" s="14" t="s">
        <v>4204</v>
      </c>
      <c r="S915" s="7" t="s">
        <v>4205</v>
      </c>
      <c r="T915" s="8"/>
      <c r="U915" s="11" t="str">
        <f>HYPERLINK("https://pbs.twimg.com/profile_images/1319877529314811904/QkUBRdLx.jpg","View")</f>
        <v>View</v>
      </c>
      <c r="V915" s="8"/>
      <c r="W915" s="8"/>
      <c r="X915" s="8"/>
      <c r="Y915" s="8"/>
      <c r="Z915" s="8"/>
    </row>
    <row r="916" spans="1:26" ht="13.2">
      <c r="A916" s="13">
        <v>44250.573263888888</v>
      </c>
      <c r="B916" s="6" t="str">
        <f>HYPERLINK("https://twitter.com/nonhumanSAM","@nonhumanSAM")</f>
        <v>@nonhumanSAM</v>
      </c>
      <c r="C916" s="14" t="s">
        <v>4206</v>
      </c>
      <c r="D916" s="14" t="s">
        <v>4207</v>
      </c>
      <c r="E916" s="6" t="str">
        <f>HYPERLINK("https://twitter.com/nonhumanSAM/status/1364194672344772608","1364194672344772608")</f>
        <v>1364194672344772608</v>
      </c>
      <c r="F916" s="8"/>
      <c r="G916" s="8"/>
      <c r="H916" s="8"/>
      <c r="I916" s="14">
        <v>1</v>
      </c>
      <c r="J916" s="14">
        <v>1</v>
      </c>
      <c r="K916" s="6" t="str">
        <f>HYPERLINK("https://cheapbotsdonequick.com","Cheap Bots, Done Quick!")</f>
        <v>Cheap Bots, Done Quick!</v>
      </c>
      <c r="L916" s="15">
        <v>39</v>
      </c>
      <c r="M916" s="15">
        <v>74</v>
      </c>
      <c r="N916" s="15">
        <v>5</v>
      </c>
      <c r="O916" s="9"/>
      <c r="P916" s="10">
        <v>42902.64230324074</v>
      </c>
      <c r="Q916" s="8"/>
      <c r="R916" s="8"/>
      <c r="S916" s="8"/>
      <c r="T916" s="8"/>
      <c r="U916" s="11" t="str">
        <f>HYPERLINK("https://pbs.twimg.com/profile_images/885918576263254016/i_gWcQuO.jpg","View")</f>
        <v>View</v>
      </c>
      <c r="V916" s="8"/>
      <c r="W916" s="8"/>
      <c r="X916" s="8"/>
      <c r="Y916" s="8"/>
      <c r="Z916" s="8"/>
    </row>
    <row r="917" spans="1:26" ht="13.2">
      <c r="A917" s="13">
        <v>44250.57304398148</v>
      </c>
      <c r="B917" s="6" t="str">
        <f>HYPERLINK("https://twitter.com/ImonUix","@ImonUix")</f>
        <v>@ImonUix</v>
      </c>
      <c r="C917" s="14" t="s">
        <v>4208</v>
      </c>
      <c r="D917" s="14" t="s">
        <v>4209</v>
      </c>
      <c r="E917" s="6" t="str">
        <f>HYPERLINK("https://twitter.com/ImonUix/status/1364194595572219907","1364194595572219907")</f>
        <v>1364194595572219907</v>
      </c>
      <c r="F917" s="7" t="s">
        <v>4210</v>
      </c>
      <c r="G917" s="7" t="s">
        <v>4211</v>
      </c>
      <c r="H917" s="8"/>
      <c r="I917" s="14">
        <v>10</v>
      </c>
      <c r="J917" s="14">
        <v>5</v>
      </c>
      <c r="K917" s="6" t="str">
        <f>HYPERLINK("https://mobile.twitter.com","Twitter Web App")</f>
        <v>Twitter Web App</v>
      </c>
      <c r="L917" s="15">
        <v>533</v>
      </c>
      <c r="M917" s="15">
        <v>1091</v>
      </c>
      <c r="N917" s="15">
        <v>4</v>
      </c>
      <c r="O917" s="9"/>
      <c r="P917" s="10">
        <v>43800.649212962962</v>
      </c>
      <c r="Q917" s="8"/>
      <c r="R917" s="14" t="s">
        <v>4212</v>
      </c>
      <c r="S917" s="7" t="s">
        <v>4213</v>
      </c>
      <c r="T917" s="8"/>
      <c r="U917" s="11" t="str">
        <f>HYPERLINK("https://pbs.twimg.com/profile_images/1201148378882740225/V9Rabhz2.jpg","View")</f>
        <v>View</v>
      </c>
      <c r="V917" s="8"/>
      <c r="W917" s="8"/>
      <c r="X917" s="8"/>
      <c r="Y917" s="8"/>
      <c r="Z917" s="8"/>
    </row>
    <row r="918" spans="1:26" ht="13.2">
      <c r="A918" s="13">
        <v>44250.573020833333</v>
      </c>
      <c r="B918" s="6" t="str">
        <f>HYPERLINK("https://twitter.com/khumie__","@khumie__")</f>
        <v>@khumie__</v>
      </c>
      <c r="C918" s="14" t="s">
        <v>4214</v>
      </c>
      <c r="D918" s="14" t="s">
        <v>4215</v>
      </c>
      <c r="E918" s="6" t="str">
        <f>HYPERLINK("https://twitter.com/khumie__/status/1364194586202157056","1364194586202157056")</f>
        <v>1364194586202157056</v>
      </c>
      <c r="F918" s="8"/>
      <c r="G918" s="7" t="s">
        <v>4216</v>
      </c>
      <c r="H918" s="8"/>
      <c r="I918" s="14">
        <v>0</v>
      </c>
      <c r="J918" s="14">
        <v>1</v>
      </c>
      <c r="K918" s="6" t="str">
        <f>HYPERLINK("http://twitter.com/download/android","Twitter for Android")</f>
        <v>Twitter for Android</v>
      </c>
      <c r="L918" s="15">
        <v>24</v>
      </c>
      <c r="M918" s="15">
        <v>64</v>
      </c>
      <c r="N918" s="15">
        <v>0</v>
      </c>
      <c r="O918" s="9"/>
      <c r="P918" s="10">
        <v>43794.739259259259</v>
      </c>
      <c r="Q918" s="14" t="s">
        <v>4217</v>
      </c>
      <c r="R918" s="14" t="s">
        <v>4218</v>
      </c>
      <c r="S918" s="8"/>
      <c r="T918" s="8"/>
      <c r="U918" s="11" t="str">
        <f>HYPERLINK("https://pbs.twimg.com/profile_images/1350176140447637505/OsUPgPk7.jpg","View")</f>
        <v>View</v>
      </c>
      <c r="V918" s="8"/>
      <c r="W918" s="8"/>
      <c r="X918" s="8"/>
      <c r="Y918" s="8"/>
      <c r="Z918" s="8"/>
    </row>
    <row r="919" spans="1:26" ht="13.2">
      <c r="A919" s="13">
        <v>44250.572905092587</v>
      </c>
      <c r="B919" s="6" t="str">
        <f>HYPERLINK("https://twitter.com/AddaliaTech","@AddaliaTech")</f>
        <v>@AddaliaTech</v>
      </c>
      <c r="C919" s="14" t="s">
        <v>4219</v>
      </c>
      <c r="D919" s="14" t="s">
        <v>4220</v>
      </c>
      <c r="E919" s="6" t="str">
        <f>HYPERLINK("https://twitter.com/AddaliaTech/status/1364194543772532737","1364194543772532737")</f>
        <v>1364194543772532737</v>
      </c>
      <c r="F919" s="7" t="s">
        <v>4221</v>
      </c>
      <c r="G919" s="8"/>
      <c r="H919" s="8"/>
      <c r="I919" s="14">
        <v>1</v>
      </c>
      <c r="J919" s="14">
        <v>1</v>
      </c>
      <c r="K919" s="6" t="str">
        <f>HYPERLINK("http://www.hubspot.com/","HubSpot")</f>
        <v>HubSpot</v>
      </c>
      <c r="L919" s="15">
        <v>590</v>
      </c>
      <c r="M919" s="15">
        <v>780</v>
      </c>
      <c r="N919" s="15">
        <v>1</v>
      </c>
      <c r="O919" s="9"/>
      <c r="P919" s="10">
        <v>42467.414988425924</v>
      </c>
      <c r="Q919" s="14" t="s">
        <v>2396</v>
      </c>
      <c r="R919" s="14" t="s">
        <v>4222</v>
      </c>
      <c r="S919" s="7" t="s">
        <v>4223</v>
      </c>
      <c r="T919" s="8"/>
      <c r="U919" s="11" t="str">
        <f>HYPERLINK("https://pbs.twimg.com/profile_images/912275937542238208/OfJc10UQ.jpg","View")</f>
        <v>View</v>
      </c>
      <c r="V919" s="8"/>
      <c r="W919" s="8"/>
      <c r="X919" s="8"/>
      <c r="Y919" s="8"/>
      <c r="Z919" s="8"/>
    </row>
    <row r="920" spans="1:26" ht="13.2">
      <c r="A920" s="13">
        <v>44250.572719907403</v>
      </c>
      <c r="B920" s="6" t="str">
        <f>HYPERLINK("https://twitter.com/cornichecorp","@cornichecorp")</f>
        <v>@cornichecorp</v>
      </c>
      <c r="C920" s="14" t="s">
        <v>2271</v>
      </c>
      <c r="D920" s="14" t="s">
        <v>4224</v>
      </c>
      <c r="E920" s="6" t="str">
        <f>HYPERLINK("https://twitter.com/cornichecorp/status/1364194477041213442","1364194477041213442")</f>
        <v>1364194477041213442</v>
      </c>
      <c r="F920" s="14" t="s">
        <v>4225</v>
      </c>
      <c r="G920" s="8"/>
      <c r="H920" s="8"/>
      <c r="I920" s="14">
        <v>0</v>
      </c>
      <c r="J920" s="14">
        <v>0</v>
      </c>
      <c r="K920" s="6" t="str">
        <f>HYPERLINK("http://twinybots.com","TwinyBots")</f>
        <v>TwinyBots</v>
      </c>
      <c r="L920" s="15">
        <v>2349</v>
      </c>
      <c r="M920" s="15">
        <v>2163</v>
      </c>
      <c r="N920" s="15">
        <v>30</v>
      </c>
      <c r="O920" s="9"/>
      <c r="P920" s="10">
        <v>42246.917499999996</v>
      </c>
      <c r="Q920" s="14" t="s">
        <v>2274</v>
      </c>
      <c r="R920" s="14" t="s">
        <v>2275</v>
      </c>
      <c r="S920" s="8"/>
      <c r="T920" s="8"/>
      <c r="U920" s="11" t="str">
        <f>HYPERLINK("https://pbs.twimg.com/profile_images/1135863200396775424/vPe8Htor.png","View")</f>
        <v>View</v>
      </c>
      <c r="V920" s="8"/>
      <c r="W920" s="8"/>
      <c r="X920" s="8"/>
      <c r="Y920" s="8"/>
      <c r="Z920" s="8"/>
    </row>
    <row r="921" spans="1:26" ht="13.2">
      <c r="A921" s="13">
        <v>44250.571527777778</v>
      </c>
      <c r="B921" s="6" t="str">
        <f>HYPERLINK("https://twitter.com/StanleyEpstein","@StanleyEpstein")</f>
        <v>@StanleyEpstein</v>
      </c>
      <c r="C921" s="14" t="s">
        <v>4226</v>
      </c>
      <c r="D921" s="14" t="s">
        <v>4227</v>
      </c>
      <c r="E921" s="6" t="str">
        <f>HYPERLINK("https://twitter.com/StanleyEpstein/status/1364194044029636610","1364194044029636610")</f>
        <v>1364194044029636610</v>
      </c>
      <c r="F921" s="7" t="s">
        <v>4228</v>
      </c>
      <c r="G921" s="7" t="s">
        <v>4229</v>
      </c>
      <c r="H921" s="8"/>
      <c r="I921" s="14">
        <v>1</v>
      </c>
      <c r="J921" s="14">
        <v>0</v>
      </c>
      <c r="K921" s="6" t="str">
        <f>HYPERLINK("https://about.twitter.com/products/tweetdeck","TweetDeck")</f>
        <v>TweetDeck</v>
      </c>
      <c r="L921" s="15">
        <v>4627</v>
      </c>
      <c r="M921" s="15">
        <v>209</v>
      </c>
      <c r="N921" s="15">
        <v>1099</v>
      </c>
      <c r="O921" s="9"/>
      <c r="P921" s="10">
        <v>39959.662395833337</v>
      </c>
      <c r="Q921" s="8"/>
      <c r="R921" s="14" t="s">
        <v>4230</v>
      </c>
      <c r="S921" s="7" t="s">
        <v>4231</v>
      </c>
      <c r="T921" s="8"/>
      <c r="U921" s="11" t="str">
        <f>HYPERLINK("https://pbs.twimg.com/profile_images/1029382278399631362/IFzuMwnm.jpg","View")</f>
        <v>View</v>
      </c>
      <c r="V921" s="8"/>
      <c r="W921" s="8"/>
      <c r="X921" s="8"/>
      <c r="Y921" s="8"/>
      <c r="Z921" s="8"/>
    </row>
    <row r="922" spans="1:26" ht="13.2">
      <c r="A922" s="13">
        <v>44250.571111111116</v>
      </c>
      <c r="B922" s="6" t="str">
        <f>HYPERLINK("https://twitter.com/Techfuturenew","@Techfuturenew")</f>
        <v>@Techfuturenew</v>
      </c>
      <c r="C922" s="14" t="s">
        <v>1725</v>
      </c>
      <c r="D922" s="14" t="s">
        <v>4133</v>
      </c>
      <c r="E922" s="6" t="str">
        <f>HYPERLINK("https://twitter.com/Techfuturenew/status/1364193892082610176","1364193892082610176")</f>
        <v>1364193892082610176</v>
      </c>
      <c r="F922" s="14" t="s">
        <v>4134</v>
      </c>
      <c r="G922" s="8"/>
      <c r="H922" s="8"/>
      <c r="I922" s="14">
        <v>2</v>
      </c>
      <c r="J922" s="14">
        <v>1</v>
      </c>
      <c r="K922" s="6" t="str">
        <f t="shared" ref="K922:K923" si="145">HYPERLINK("http://twinybots.com","TwinyBots")</f>
        <v>TwinyBots</v>
      </c>
      <c r="L922" s="15">
        <v>961</v>
      </c>
      <c r="M922" s="15">
        <v>411</v>
      </c>
      <c r="N922" s="15">
        <v>17</v>
      </c>
      <c r="O922" s="9"/>
      <c r="P922" s="10">
        <v>43080.534120370372</v>
      </c>
      <c r="Q922" s="14" t="s">
        <v>322</v>
      </c>
      <c r="R922" s="14" t="s">
        <v>1727</v>
      </c>
      <c r="S922" s="8"/>
      <c r="T922" s="8"/>
      <c r="U922" s="11" t="str">
        <f>HYPERLINK("https://pbs.twimg.com/profile_images/1201246977150922755/lKxY2XSy.jpg","View")</f>
        <v>View</v>
      </c>
      <c r="V922" s="8"/>
      <c r="W922" s="8"/>
      <c r="X922" s="8"/>
      <c r="Y922" s="8"/>
      <c r="Z922" s="8"/>
    </row>
    <row r="923" spans="1:26" ht="13.2">
      <c r="A923" s="13">
        <v>44250.571099537032</v>
      </c>
      <c r="B923" s="6" t="str">
        <f>HYPERLINK("https://twitter.com/naikrd","@naikrd")</f>
        <v>@naikrd</v>
      </c>
      <c r="C923" s="14" t="s">
        <v>3152</v>
      </c>
      <c r="D923" s="14" t="s">
        <v>2458</v>
      </c>
      <c r="E923" s="6" t="str">
        <f>HYPERLINK("https://twitter.com/naikrd/status/1364193889276604423","1364193889276604423")</f>
        <v>1364193889276604423</v>
      </c>
      <c r="F923" s="14" t="s">
        <v>2459</v>
      </c>
      <c r="G923" s="8"/>
      <c r="H923" s="8"/>
      <c r="I923" s="14">
        <v>0</v>
      </c>
      <c r="J923" s="14">
        <v>0</v>
      </c>
      <c r="K923" s="6" t="str">
        <f t="shared" si="145"/>
        <v>TwinyBots</v>
      </c>
      <c r="L923" s="15">
        <v>525</v>
      </c>
      <c r="M923" s="15">
        <v>297</v>
      </c>
      <c r="N923" s="15">
        <v>25</v>
      </c>
      <c r="O923" s="9"/>
      <c r="P923" s="10">
        <v>39946.865474537037</v>
      </c>
      <c r="Q923" s="14" t="s">
        <v>914</v>
      </c>
      <c r="R923" s="14" t="s">
        <v>3155</v>
      </c>
      <c r="S923" s="8"/>
      <c r="T923" s="8"/>
      <c r="U923" s="11" t="str">
        <f>HYPERLINK("https://pbs.twimg.com/profile_images/1185037441696174080/kw-QxCdn.jpg","View")</f>
        <v>View</v>
      </c>
      <c r="V923" s="8"/>
      <c r="W923" s="8"/>
      <c r="X923" s="8"/>
      <c r="Y923" s="8"/>
      <c r="Z923" s="8"/>
    </row>
    <row r="924" spans="1:26" ht="13.2">
      <c r="A924" s="13">
        <v>44250.571087962962</v>
      </c>
      <c r="B924" s="6" t="str">
        <f>HYPERLINK("https://twitter.com/bkornell","@bkornell")</f>
        <v>@bkornell</v>
      </c>
      <c r="C924" s="14" t="s">
        <v>4232</v>
      </c>
      <c r="D924" s="14" t="s">
        <v>4233</v>
      </c>
      <c r="E924" s="6" t="str">
        <f>HYPERLINK("https://twitter.com/bkornell/status/1364193884339847168","1364193884339847168")</f>
        <v>1364193884339847168</v>
      </c>
      <c r="F924" s="7" t="s">
        <v>4234</v>
      </c>
      <c r="G924" s="8"/>
      <c r="H924" s="8"/>
      <c r="I924" s="14">
        <v>3</v>
      </c>
      <c r="J924" s="14">
        <v>3</v>
      </c>
      <c r="K924" s="6" t="str">
        <f>HYPERLINK("https://mobile.twitter.com","Twitter Web App")</f>
        <v>Twitter Web App</v>
      </c>
      <c r="L924" s="15">
        <v>264</v>
      </c>
      <c r="M924" s="15">
        <v>241</v>
      </c>
      <c r="N924" s="15">
        <v>11</v>
      </c>
      <c r="O924" s="9"/>
      <c r="P924" s="10">
        <v>40170.857106481482</v>
      </c>
      <c r="Q924" s="14" t="s">
        <v>221</v>
      </c>
      <c r="R924" s="14" t="s">
        <v>4235</v>
      </c>
      <c r="S924" s="7" t="s">
        <v>4236</v>
      </c>
      <c r="T924" s="8"/>
      <c r="U924" s="11" t="str">
        <f>HYPERLINK("https://pbs.twimg.com/profile_images/1106111585/diner_3.jpg","View")</f>
        <v>View</v>
      </c>
      <c r="V924" s="8"/>
      <c r="W924" s="8"/>
      <c r="X924" s="8"/>
      <c r="Y924" s="8"/>
      <c r="Z924" s="8"/>
    </row>
    <row r="925" spans="1:26" ht="13.2">
      <c r="A925" s="13">
        <v>44250.571053240739</v>
      </c>
      <c r="B925" s="6" t="str">
        <f>HYPERLINK("https://twitter.com/FaceSpaceAI","@FaceSpaceAI")</f>
        <v>@FaceSpaceAI</v>
      </c>
      <c r="C925" s="7" t="s">
        <v>4237</v>
      </c>
      <c r="D925" s="14" t="s">
        <v>4238</v>
      </c>
      <c r="E925" s="6" t="str">
        <f>HYPERLINK("https://twitter.com/FaceSpaceAI/status/1364193872570703872","1364193872570703872")</f>
        <v>1364193872570703872</v>
      </c>
      <c r="F925" s="7" t="s">
        <v>4239</v>
      </c>
      <c r="G925" s="8"/>
      <c r="H925" s="8"/>
      <c r="I925" s="14">
        <v>0</v>
      </c>
      <c r="J925" s="14">
        <v>0</v>
      </c>
      <c r="K925" s="6" t="str">
        <f>HYPERLINK("https://contentstudio.io","ContentStudio.io")</f>
        <v>ContentStudio.io</v>
      </c>
      <c r="L925" s="15">
        <v>19</v>
      </c>
      <c r="M925" s="15">
        <v>21</v>
      </c>
      <c r="N925" s="15">
        <v>0</v>
      </c>
      <c r="O925" s="9"/>
      <c r="P925" s="10">
        <v>43452.990567129629</v>
      </c>
      <c r="Q925" s="14" t="s">
        <v>914</v>
      </c>
      <c r="R925" s="14" t="s">
        <v>4240</v>
      </c>
      <c r="S925" s="7" t="s">
        <v>4241</v>
      </c>
      <c r="T925" s="8"/>
      <c r="U925" s="11" t="str">
        <f>HYPERLINK("https://pbs.twimg.com/profile_images/1111040199960772608/_4PaqM40.jpg","View")</f>
        <v>View</v>
      </c>
      <c r="V925" s="8"/>
      <c r="W925" s="8"/>
      <c r="X925" s="8"/>
      <c r="Y925" s="8"/>
      <c r="Z925" s="8"/>
    </row>
    <row r="926" spans="1:26" ht="13.2">
      <c r="A926" s="13">
        <v>44250.569374999999</v>
      </c>
      <c r="B926" s="6" t="str">
        <f>HYPERLINK("https://twitter.com/Qlucore","@Qlucore")</f>
        <v>@Qlucore</v>
      </c>
      <c r="C926" s="14" t="s">
        <v>4242</v>
      </c>
      <c r="D926" s="14" t="s">
        <v>4243</v>
      </c>
      <c r="E926" s="6" t="str">
        <f>HYPERLINK("https://twitter.com/Qlucore/status/1364193263025029125","1364193263025029125")</f>
        <v>1364193263025029125</v>
      </c>
      <c r="F926" s="7" t="s">
        <v>4244</v>
      </c>
      <c r="G926" s="7" t="s">
        <v>4245</v>
      </c>
      <c r="H926" s="8"/>
      <c r="I926" s="14">
        <v>3</v>
      </c>
      <c r="J926" s="14">
        <v>5</v>
      </c>
      <c r="K926" s="6" t="str">
        <f t="shared" ref="K926:K927" si="146">HYPERLINK("https://mobile.twitter.com","Twitter Web App")</f>
        <v>Twitter Web App</v>
      </c>
      <c r="L926" s="15">
        <v>655</v>
      </c>
      <c r="M926" s="15">
        <v>953</v>
      </c>
      <c r="N926" s="15">
        <v>31</v>
      </c>
      <c r="O926" s="9"/>
      <c r="P926" s="10">
        <v>40709.479467592595</v>
      </c>
      <c r="Q926" s="14" t="s">
        <v>4246</v>
      </c>
      <c r="R926" s="14" t="s">
        <v>4247</v>
      </c>
      <c r="S926" s="7" t="s">
        <v>4248</v>
      </c>
      <c r="T926" s="8"/>
      <c r="U926" s="11" t="str">
        <f>HYPERLINK("https://pbs.twimg.com/profile_images/913740646241927168/09_LKdwv.jpg","View")</f>
        <v>View</v>
      </c>
      <c r="V926" s="8"/>
      <c r="W926" s="8"/>
      <c r="X926" s="8"/>
      <c r="Y926" s="8"/>
      <c r="Z926" s="8"/>
    </row>
    <row r="927" spans="1:26" ht="13.2">
      <c r="A927" s="13">
        <v>44250.568692129629</v>
      </c>
      <c r="B927" s="6" t="str">
        <f>HYPERLINK("https://twitter.com/mjcavaretta","@mjcavaretta")</f>
        <v>@mjcavaretta</v>
      </c>
      <c r="C927" s="14" t="s">
        <v>2463</v>
      </c>
      <c r="D927" s="14" t="s">
        <v>4249</v>
      </c>
      <c r="E927" s="6" t="str">
        <f>HYPERLINK("https://twitter.com/mjcavaretta/status/1364193016425152514","1364193016425152514")</f>
        <v>1364193016425152514</v>
      </c>
      <c r="F927" s="14" t="s">
        <v>4250</v>
      </c>
      <c r="G927" s="8"/>
      <c r="H927" s="8"/>
      <c r="I927" s="14">
        <v>0</v>
      </c>
      <c r="J927" s="14">
        <v>4</v>
      </c>
      <c r="K927" s="6" t="str">
        <f t="shared" si="146"/>
        <v>Twitter Web App</v>
      </c>
      <c r="L927" s="15">
        <v>16946</v>
      </c>
      <c r="M927" s="15">
        <v>6570</v>
      </c>
      <c r="N927" s="15">
        <v>1469</v>
      </c>
      <c r="O927" s="9"/>
      <c r="P927" s="10">
        <v>39941.666678240741</v>
      </c>
      <c r="Q927" s="14" t="s">
        <v>2466</v>
      </c>
      <c r="R927" s="14" t="s">
        <v>2467</v>
      </c>
      <c r="S927" s="7" t="s">
        <v>2468</v>
      </c>
      <c r="T927" s="8"/>
      <c r="U927" s="11" t="str">
        <f>HYPERLINK("https://pbs.twimg.com/profile_images/3641511865/06a74914910ecfbcf220979136ba34f8.jpeg","View")</f>
        <v>View</v>
      </c>
      <c r="V927" s="8"/>
      <c r="W927" s="8"/>
      <c r="X927" s="8"/>
      <c r="Y927" s="8"/>
      <c r="Z927" s="8"/>
    </row>
    <row r="928" spans="1:26" ht="13.2">
      <c r="A928" s="13">
        <v>44250.567731481482</v>
      </c>
      <c r="B928" s="6" t="str">
        <f>HYPERLINK("https://twitter.com/asifrazzaq1988","@asifrazzaq1988")</f>
        <v>@asifrazzaq1988</v>
      </c>
      <c r="C928" s="14" t="s">
        <v>53</v>
      </c>
      <c r="D928" s="14" t="s">
        <v>4251</v>
      </c>
      <c r="E928" s="6" t="str">
        <f>HYPERLINK("https://twitter.com/asifrazzaq1988/status/1364192670717943815","1364192670717943815")</f>
        <v>1364192670717943815</v>
      </c>
      <c r="F928" s="7" t="s">
        <v>4252</v>
      </c>
      <c r="G928" s="8"/>
      <c r="H928" s="8"/>
      <c r="I928" s="14">
        <v>1</v>
      </c>
      <c r="J928" s="14">
        <v>0</v>
      </c>
      <c r="K928" s="6" t="str">
        <f>HYPERLINK("https://dlvrit.com/","dlvr.it")</f>
        <v>dlvr.it</v>
      </c>
      <c r="L928" s="15">
        <v>5022</v>
      </c>
      <c r="M928" s="15">
        <v>3191</v>
      </c>
      <c r="N928" s="15">
        <v>77</v>
      </c>
      <c r="O928" s="9"/>
      <c r="P928" s="10">
        <v>42237.408136574071</v>
      </c>
      <c r="Q928" s="14" t="s">
        <v>56</v>
      </c>
      <c r="R928" s="14" t="s">
        <v>57</v>
      </c>
      <c r="S928" s="7" t="s">
        <v>58</v>
      </c>
      <c r="T928" s="8"/>
      <c r="U928" s="11" t="str">
        <f>HYPERLINK("https://pbs.twimg.com/profile_images/1329326638589382657/lE7wr_tF.jpg","View")</f>
        <v>View</v>
      </c>
      <c r="V928" s="8"/>
      <c r="W928" s="8"/>
      <c r="X928" s="8"/>
      <c r="Y928" s="8"/>
      <c r="Z928" s="8"/>
    </row>
    <row r="929" spans="1:26" ht="13.2">
      <c r="A929" s="13">
        <v>44250.567407407405</v>
      </c>
      <c r="B929" s="6" t="str">
        <f>HYPERLINK("https://twitter.com/Kingpin925","@Kingpin925")</f>
        <v>@Kingpin925</v>
      </c>
      <c r="C929" s="14" t="s">
        <v>4253</v>
      </c>
      <c r="D929" s="14" t="s">
        <v>4254</v>
      </c>
      <c r="E929" s="6" t="str">
        <f>HYPERLINK("https://twitter.com/Kingpin925/status/1364192550366502913","1364192550366502913")</f>
        <v>1364192550366502913</v>
      </c>
      <c r="F929" s="7" t="s">
        <v>4255</v>
      </c>
      <c r="G929" s="7" t="s">
        <v>4256</v>
      </c>
      <c r="H929" s="8"/>
      <c r="I929" s="14">
        <v>0</v>
      </c>
      <c r="J929" s="14">
        <v>0</v>
      </c>
      <c r="K929" s="6" t="str">
        <f>HYPERLINK("http://dynamicsignal.com/","Dynamic Signal")</f>
        <v>Dynamic Signal</v>
      </c>
      <c r="L929" s="15">
        <v>100</v>
      </c>
      <c r="M929" s="15">
        <v>208</v>
      </c>
      <c r="N929" s="15">
        <v>2</v>
      </c>
      <c r="O929" s="9"/>
      <c r="P929" s="10">
        <v>40604.795624999999</v>
      </c>
      <c r="Q929" s="14" t="s">
        <v>660</v>
      </c>
      <c r="R929" s="8"/>
      <c r="S929" s="8"/>
      <c r="T929" s="8"/>
      <c r="U929" s="11" t="str">
        <f>HYPERLINK("https://pbs.twimg.com/profile_images/744886815992078336/XJbxyv2N.jpg","View")</f>
        <v>View</v>
      </c>
      <c r="V929" s="8"/>
      <c r="W929" s="8"/>
      <c r="X929" s="8"/>
      <c r="Y929" s="8"/>
      <c r="Z929" s="8"/>
    </row>
    <row r="930" spans="1:26" ht="13.2">
      <c r="A930" s="13">
        <v>44250.567372685182</v>
      </c>
      <c r="B930" s="6" t="str">
        <f>HYPERLINK("https://twitter.com/DivergentCIO","@DivergentCIO")</f>
        <v>@DivergentCIO</v>
      </c>
      <c r="C930" s="14" t="s">
        <v>3912</v>
      </c>
      <c r="D930" s="14" t="s">
        <v>4257</v>
      </c>
      <c r="E930" s="6" t="str">
        <f>HYPERLINK("https://twitter.com/DivergentCIO/status/1364192538714898440","1364192538714898440")</f>
        <v>1364192538714898440</v>
      </c>
      <c r="F930" s="7" t="s">
        <v>4258</v>
      </c>
      <c r="G930" s="8"/>
      <c r="H930" s="8"/>
      <c r="I930" s="14">
        <v>1</v>
      </c>
      <c r="J930" s="14">
        <v>0</v>
      </c>
      <c r="K930" s="6" t="str">
        <f>HYPERLINK("https://buffer.com","Buffer")</f>
        <v>Buffer</v>
      </c>
      <c r="L930" s="15">
        <v>28614</v>
      </c>
      <c r="M930" s="15">
        <v>26399</v>
      </c>
      <c r="N930" s="15">
        <v>1647</v>
      </c>
      <c r="O930" s="9"/>
      <c r="P930" s="10">
        <v>42071.947187500002</v>
      </c>
      <c r="Q930" s="14" t="s">
        <v>3915</v>
      </c>
      <c r="R930" s="14" t="s">
        <v>3916</v>
      </c>
      <c r="S930" s="7" t="s">
        <v>3917</v>
      </c>
      <c r="T930" s="8"/>
      <c r="U930" s="11" t="str">
        <f>HYPERLINK("https://pbs.twimg.com/profile_images/767507322583199745/rpfbzBzg.jpg","View")</f>
        <v>View</v>
      </c>
      <c r="V930" s="8"/>
      <c r="W930" s="8"/>
      <c r="X930" s="8"/>
      <c r="Y930" s="8"/>
      <c r="Z930" s="8"/>
    </row>
    <row r="931" spans="1:26" ht="13.2">
      <c r="A931" s="13">
        <v>44250.566851851851</v>
      </c>
      <c r="B931" s="6" t="str">
        <f>HYPERLINK("https://twitter.com/iamBrianGraham","@iamBrianGraham")</f>
        <v>@iamBrianGraham</v>
      </c>
      <c r="C931" s="14" t="s">
        <v>4259</v>
      </c>
      <c r="D931" s="14" t="s">
        <v>4260</v>
      </c>
      <c r="E931" s="6" t="str">
        <f>HYPERLINK("https://twitter.com/iamBrianGraham/status/1364192350600388617","1364192350600388617")</f>
        <v>1364192350600388617</v>
      </c>
      <c r="F931" s="8"/>
      <c r="G931" s="7" t="s">
        <v>4261</v>
      </c>
      <c r="H931" s="8"/>
      <c r="I931" s="14">
        <v>8</v>
      </c>
      <c r="J931" s="14">
        <v>3</v>
      </c>
      <c r="K931" s="6" t="str">
        <f>HYPERLINK("https://bypeers.net","ByPeers Social CRM (1)")</f>
        <v>ByPeers Social CRM (1)</v>
      </c>
      <c r="L931" s="15">
        <v>5759</v>
      </c>
      <c r="M931" s="15">
        <v>4549</v>
      </c>
      <c r="N931" s="15">
        <v>211</v>
      </c>
      <c r="O931" s="9"/>
      <c r="P931" s="10">
        <v>42570.927037037036</v>
      </c>
      <c r="Q931" s="14" t="s">
        <v>4262</v>
      </c>
      <c r="R931" s="14" t="s">
        <v>4263</v>
      </c>
      <c r="S931" s="7" t="s">
        <v>4264</v>
      </c>
      <c r="T931" s="8"/>
      <c r="U931" s="11" t="str">
        <f>HYPERLINK("https://pbs.twimg.com/profile_images/1099684609703510017/zcsjRYt2.png","View")</f>
        <v>View</v>
      </c>
      <c r="V931" s="8"/>
      <c r="W931" s="8"/>
      <c r="X931" s="8"/>
      <c r="Y931" s="8"/>
      <c r="Z931" s="8"/>
    </row>
    <row r="932" spans="1:26" ht="13.2">
      <c r="A932" s="13">
        <v>44250.566770833335</v>
      </c>
      <c r="B932" s="6" t="str">
        <f>HYPERLINK("https://twitter.com/dtmgfx","@dtmgfx")</f>
        <v>@dtmgfx</v>
      </c>
      <c r="C932" s="14" t="s">
        <v>4265</v>
      </c>
      <c r="D932" s="14" t="s">
        <v>4266</v>
      </c>
      <c r="E932" s="6" t="str">
        <f>HYPERLINK("https://twitter.com/dtmgfx/status/1364192319692537859","1364192319692537859")</f>
        <v>1364192319692537859</v>
      </c>
      <c r="F932" s="8"/>
      <c r="G932" s="7" t="s">
        <v>4267</v>
      </c>
      <c r="H932" s="8"/>
      <c r="I932" s="14">
        <v>6</v>
      </c>
      <c r="J932" s="14">
        <v>1</v>
      </c>
      <c r="K932" s="6" t="str">
        <f t="shared" ref="K932:K933" si="147">HYPERLINK("http://twitter.com/download/android","Twitter for Android")</f>
        <v>Twitter for Android</v>
      </c>
      <c r="L932" s="15">
        <v>236</v>
      </c>
      <c r="M932" s="15">
        <v>431</v>
      </c>
      <c r="N932" s="15">
        <v>2</v>
      </c>
      <c r="O932" s="9"/>
      <c r="P932" s="10">
        <v>41650.101539351854</v>
      </c>
      <c r="Q932" s="14" t="s">
        <v>3574</v>
      </c>
      <c r="R932" s="14" t="s">
        <v>4268</v>
      </c>
      <c r="S932" s="7" t="s">
        <v>4269</v>
      </c>
      <c r="T932" s="8"/>
      <c r="U932" s="11" t="str">
        <f>HYPERLINK("https://pbs.twimg.com/profile_images/1326482967842205702/JW0GjNOM.jpg","View")</f>
        <v>View</v>
      </c>
      <c r="V932" s="8"/>
      <c r="W932" s="8"/>
      <c r="X932" s="8"/>
      <c r="Y932" s="8"/>
      <c r="Z932" s="8"/>
    </row>
    <row r="933" spans="1:26" ht="13.2">
      <c r="A933" s="13">
        <v>44250.56659722222</v>
      </c>
      <c r="B933" s="6" t="str">
        <f>HYPERLINK("https://twitter.com/EdvicerCourses","@EdvicerCourses")</f>
        <v>@EdvicerCourses</v>
      </c>
      <c r="C933" s="14" t="s">
        <v>4270</v>
      </c>
      <c r="D933" s="14" t="s">
        <v>4271</v>
      </c>
      <c r="E933" s="6" t="str">
        <f>HYPERLINK("https://twitter.com/EdvicerCourses/status/1364192257427918854","1364192257427918854")</f>
        <v>1364192257427918854</v>
      </c>
      <c r="F933" s="7" t="s">
        <v>4272</v>
      </c>
      <c r="G933" s="7" t="s">
        <v>4273</v>
      </c>
      <c r="H933" s="8"/>
      <c r="I933" s="14">
        <v>6</v>
      </c>
      <c r="J933" s="14">
        <v>6</v>
      </c>
      <c r="K933" s="6" t="str">
        <f t="shared" si="147"/>
        <v>Twitter for Android</v>
      </c>
      <c r="L933" s="15">
        <v>70</v>
      </c>
      <c r="M933" s="15">
        <v>45</v>
      </c>
      <c r="N933" s="15">
        <v>1</v>
      </c>
      <c r="O933" s="9"/>
      <c r="P933" s="10">
        <v>43980.669108796297</v>
      </c>
      <c r="Q933" s="14" t="s">
        <v>4274</v>
      </c>
      <c r="R933" s="14" t="s">
        <v>4275</v>
      </c>
      <c r="S933" s="7" t="s">
        <v>4276</v>
      </c>
      <c r="T933" s="8"/>
      <c r="U933" s="11" t="str">
        <f>HYPERLINK("https://pbs.twimg.com/profile_images/1266588960354111488/bszdVrvM.png","View")</f>
        <v>View</v>
      </c>
      <c r="V933" s="8"/>
      <c r="W933" s="8"/>
      <c r="X933" s="8"/>
      <c r="Y933" s="8"/>
      <c r="Z933" s="8"/>
    </row>
    <row r="934" spans="1:26" ht="13.2">
      <c r="A934" s="13">
        <v>44250.566504629634</v>
      </c>
      <c r="B934" s="6" t="str">
        <f>HYPERLINK("https://twitter.com/Superdigital9","@Superdigital9")</f>
        <v>@Superdigital9</v>
      </c>
      <c r="C934" s="14" t="s">
        <v>4132</v>
      </c>
      <c r="D934" s="14" t="s">
        <v>2481</v>
      </c>
      <c r="E934" s="6" t="str">
        <f>HYPERLINK("https://twitter.com/Superdigital9/status/1364192225685569545","1364192225685569545")</f>
        <v>1364192225685569545</v>
      </c>
      <c r="F934" s="14" t="s">
        <v>2482</v>
      </c>
      <c r="G934" s="8"/>
      <c r="H934" s="8"/>
      <c r="I934" s="14">
        <v>0</v>
      </c>
      <c r="J934" s="14">
        <v>0</v>
      </c>
      <c r="K934" s="6" t="str">
        <f t="shared" ref="K934:K936" si="148">HYPERLINK("http://twinybots.com","TwinyBots")</f>
        <v>TwinyBots</v>
      </c>
      <c r="L934" s="15">
        <v>796</v>
      </c>
      <c r="M934" s="15">
        <v>1112</v>
      </c>
      <c r="N934" s="15">
        <v>11</v>
      </c>
      <c r="O934" s="9"/>
      <c r="P934" s="10">
        <v>43821.75409722222</v>
      </c>
      <c r="Q934" s="14" t="s">
        <v>3176</v>
      </c>
      <c r="R934" s="14" t="s">
        <v>4135</v>
      </c>
      <c r="S934" s="7" t="s">
        <v>4136</v>
      </c>
      <c r="T934" s="8"/>
      <c r="U934" s="11" t="str">
        <f>HYPERLINK("https://pbs.twimg.com/profile_images/1208795846831067138/cpdkWTEq.jpg","View")</f>
        <v>View</v>
      </c>
      <c r="V934" s="8"/>
      <c r="W934" s="8"/>
      <c r="X934" s="8"/>
      <c r="Y934" s="8"/>
      <c r="Z934" s="8"/>
    </row>
    <row r="935" spans="1:26" ht="13.2">
      <c r="A935" s="13">
        <v>44250.566481481481</v>
      </c>
      <c r="B935" s="6" t="str">
        <f>HYPERLINK("https://twitter.com/corizance","@corizance")</f>
        <v>@corizance</v>
      </c>
      <c r="C935" s="14" t="s">
        <v>2550</v>
      </c>
      <c r="D935" s="14" t="s">
        <v>2458</v>
      </c>
      <c r="E935" s="6" t="str">
        <f>HYPERLINK("https://twitter.com/corizance/status/1364192214562312193","1364192214562312193")</f>
        <v>1364192214562312193</v>
      </c>
      <c r="F935" s="14" t="s">
        <v>2459</v>
      </c>
      <c r="G935" s="8"/>
      <c r="H935" s="8"/>
      <c r="I935" s="14">
        <v>0</v>
      </c>
      <c r="J935" s="14">
        <v>0</v>
      </c>
      <c r="K935" s="6" t="str">
        <f t="shared" si="148"/>
        <v>TwinyBots</v>
      </c>
      <c r="L935" s="15">
        <v>488</v>
      </c>
      <c r="M935" s="15">
        <v>434</v>
      </c>
      <c r="N935" s="15">
        <v>13</v>
      </c>
      <c r="O935" s="9"/>
      <c r="P935" s="10">
        <v>43789.49145833333</v>
      </c>
      <c r="Q935" s="14" t="s">
        <v>2551</v>
      </c>
      <c r="R935" s="14" t="s">
        <v>2552</v>
      </c>
      <c r="S935" s="7" t="s">
        <v>2553</v>
      </c>
      <c r="T935" s="8"/>
      <c r="U935" s="11" t="str">
        <f>HYPERLINK("https://pbs.twimg.com/profile_images/1223176339697565697/q38i7r9K.jpg","View")</f>
        <v>View</v>
      </c>
      <c r="V935" s="8"/>
      <c r="W935" s="8"/>
      <c r="X935" s="8"/>
      <c r="Y935" s="8"/>
      <c r="Z935" s="8"/>
    </row>
    <row r="936" spans="1:26" ht="13.2">
      <c r="A936" s="13">
        <v>44250.566469907411</v>
      </c>
      <c r="B936" s="6" t="str">
        <f>HYPERLINK("https://twitter.com/DecisionsSmart","@DecisionsSmart")</f>
        <v>@DecisionsSmart</v>
      </c>
      <c r="C936" s="14" t="s">
        <v>212</v>
      </c>
      <c r="D936" s="14" t="s">
        <v>4133</v>
      </c>
      <c r="E936" s="6" t="str">
        <f>HYPERLINK("https://twitter.com/DecisionsSmart/status/1364192211441750016","1364192211441750016")</f>
        <v>1364192211441750016</v>
      </c>
      <c r="F936" s="14" t="s">
        <v>4134</v>
      </c>
      <c r="G936" s="8"/>
      <c r="H936" s="8"/>
      <c r="I936" s="14">
        <v>4</v>
      </c>
      <c r="J936" s="14">
        <v>3</v>
      </c>
      <c r="K936" s="6" t="str">
        <f t="shared" si="148"/>
        <v>TwinyBots</v>
      </c>
      <c r="L936" s="15">
        <v>6690</v>
      </c>
      <c r="M936" s="15">
        <v>5126</v>
      </c>
      <c r="N936" s="15">
        <v>88</v>
      </c>
      <c r="O936" s="9"/>
      <c r="P936" s="10">
        <v>43282.143495370372</v>
      </c>
      <c r="Q936" s="14" t="s">
        <v>215</v>
      </c>
      <c r="R936" s="14" t="s">
        <v>216</v>
      </c>
      <c r="S936" s="8"/>
      <c r="T936" s="8"/>
      <c r="U936" s="11" t="str">
        <f>HYPERLINK("https://pbs.twimg.com/profile_images/1273753380373004289/crFq1msz.jpg","View")</f>
        <v>View</v>
      </c>
      <c r="V936" s="8"/>
      <c r="W936" s="8"/>
      <c r="X936" s="8"/>
      <c r="Y936" s="8"/>
      <c r="Z936" s="8"/>
    </row>
    <row r="937" spans="1:26" ht="13.2">
      <c r="A937" s="13">
        <v>44250.566377314812</v>
      </c>
      <c r="B937" s="6" t="str">
        <f>HYPERLINK("https://twitter.com/FrancMilburn","@FrancMilburn")</f>
        <v>@FrancMilburn</v>
      </c>
      <c r="C937" s="14" t="s">
        <v>4277</v>
      </c>
      <c r="D937" s="8"/>
      <c r="E937" s="6" t="str">
        <f>HYPERLINK("https://twitter.com/FrancMilburn/status/1364192176935174147","1364192176935174147")</f>
        <v>1364192176935174147</v>
      </c>
      <c r="F937" s="7" t="s">
        <v>4278</v>
      </c>
      <c r="G937" s="8"/>
      <c r="H937" s="8"/>
      <c r="I937" s="14">
        <v>0</v>
      </c>
      <c r="J937" s="14">
        <v>0</v>
      </c>
      <c r="K937" s="6" t="str">
        <f>HYPERLINK("http://twitter.com/download/android","Twitter for Android")</f>
        <v>Twitter for Android</v>
      </c>
      <c r="L937" s="15">
        <v>449</v>
      </c>
      <c r="M937" s="15">
        <v>199</v>
      </c>
      <c r="N937" s="15">
        <v>7</v>
      </c>
      <c r="O937" s="9"/>
      <c r="P937" s="10">
        <v>44006.393773148149</v>
      </c>
      <c r="Q937" s="8"/>
      <c r="R937" s="14" t="s">
        <v>4279</v>
      </c>
      <c r="S937" s="7" t="s">
        <v>4280</v>
      </c>
      <c r="T937" s="8"/>
      <c r="U937" s="11" t="str">
        <f>HYPERLINK("https://pbs.twimg.com/profile_images/1357139440335015937/bRbBVJBt.jpg","View")</f>
        <v>View</v>
      </c>
      <c r="V937" s="8"/>
      <c r="W937" s="8"/>
      <c r="X937" s="8"/>
      <c r="Y937" s="8"/>
      <c r="Z937" s="8"/>
    </row>
    <row r="938" spans="1:26" ht="13.2">
      <c r="A938" s="13">
        <v>44250.566030092596</v>
      </c>
      <c r="B938" s="6" t="str">
        <f>HYPERLINK("https://twitter.com/AI_PlainEnglish","@AI_PlainEnglish")</f>
        <v>@AI_PlainEnglish</v>
      </c>
      <c r="C938" s="14" t="s">
        <v>2282</v>
      </c>
      <c r="D938" s="14" t="s">
        <v>4281</v>
      </c>
      <c r="E938" s="6" t="str">
        <f>HYPERLINK("https://twitter.com/AI_PlainEnglish/status/1364192050732761089","1364192050732761089")</f>
        <v>1364192050732761089</v>
      </c>
      <c r="F938" s="7" t="s">
        <v>4282</v>
      </c>
      <c r="G938" s="8"/>
      <c r="H938" s="8"/>
      <c r="I938" s="14">
        <v>0</v>
      </c>
      <c r="J938" s="14">
        <v>0</v>
      </c>
      <c r="K938" s="8"/>
      <c r="L938" s="15">
        <v>32</v>
      </c>
      <c r="M938" s="15">
        <v>5</v>
      </c>
      <c r="N938" s="15">
        <v>0</v>
      </c>
      <c r="O938" s="9"/>
      <c r="P938" s="10">
        <v>44206.451215277775</v>
      </c>
      <c r="Q938" s="14" t="s">
        <v>2285</v>
      </c>
      <c r="R938" s="14" t="s">
        <v>2286</v>
      </c>
      <c r="S938" s="7" t="s">
        <v>2287</v>
      </c>
      <c r="T938" s="8"/>
      <c r="U938" s="11" t="str">
        <f>HYPERLINK("https://pbs.twimg.com/profile_images/1359444764098260999/C6-rgvq0.jpg","View")</f>
        <v>View</v>
      </c>
      <c r="V938" s="8"/>
      <c r="W938" s="8"/>
      <c r="X938" s="8"/>
      <c r="Y938" s="8"/>
      <c r="Z938" s="8"/>
    </row>
    <row r="939" spans="1:26" ht="13.2">
      <c r="A939" s="13">
        <v>44250.565833333334</v>
      </c>
      <c r="B939" s="6" t="str">
        <f>HYPERLINK("https://twitter.com/livescientists","@livescientists")</f>
        <v>@livescientists</v>
      </c>
      <c r="C939" s="14" t="s">
        <v>4283</v>
      </c>
      <c r="D939" s="14" t="s">
        <v>4284</v>
      </c>
      <c r="E939" s="6" t="str">
        <f>HYPERLINK("https://twitter.com/livescientists/status/1364191979773517830","1364191979773517830")</f>
        <v>1364191979773517830</v>
      </c>
      <c r="F939" s="14" t="s">
        <v>4285</v>
      </c>
      <c r="G939" s="8"/>
      <c r="H939" s="8"/>
      <c r="I939" s="14">
        <v>1</v>
      </c>
      <c r="J939" s="14">
        <v>4</v>
      </c>
      <c r="K939" s="6" t="str">
        <f>HYPERLINK("https://buffer.com","Buffer")</f>
        <v>Buffer</v>
      </c>
      <c r="L939" s="15">
        <v>265</v>
      </c>
      <c r="M939" s="15">
        <v>436</v>
      </c>
      <c r="N939" s="15">
        <v>3</v>
      </c>
      <c r="O939" s="9"/>
      <c r="P939" s="10">
        <v>43913.012870370367</v>
      </c>
      <c r="Q939" s="14" t="s">
        <v>4286</v>
      </c>
      <c r="R939" s="14" t="s">
        <v>4287</v>
      </c>
      <c r="S939" s="7" t="s">
        <v>4288</v>
      </c>
      <c r="T939" s="8"/>
      <c r="U939" s="11" t="str">
        <f>HYPERLINK("https://pbs.twimg.com/profile_images/1242925419944390659/yGRITa9P.jpg","View")</f>
        <v>View</v>
      </c>
      <c r="V939" s="8"/>
      <c r="W939" s="8"/>
      <c r="X939" s="8"/>
      <c r="Y939" s="8"/>
      <c r="Z939" s="8"/>
    </row>
    <row r="940" spans="1:26" ht="13.2">
      <c r="A940" s="13">
        <v>44250.565763888888</v>
      </c>
      <c r="B940" s="6" t="str">
        <f>HYPERLINK("https://twitter.com/crimacode","@crimacode")</f>
        <v>@crimacode</v>
      </c>
      <c r="C940" s="14" t="s">
        <v>4289</v>
      </c>
      <c r="D940" s="14" t="s">
        <v>4290</v>
      </c>
      <c r="E940" s="6" t="str">
        <f>HYPERLINK("https://twitter.com/crimacode/status/1364191956251906050","1364191956251906050")</f>
        <v>1364191956251906050</v>
      </c>
      <c r="F940" s="8"/>
      <c r="G940" s="8"/>
      <c r="H940" s="8"/>
      <c r="I940" s="14">
        <v>4</v>
      </c>
      <c r="J940" s="14">
        <v>6</v>
      </c>
      <c r="K940" s="6" t="str">
        <f>HYPERLINK("http://twitter.com/download/android","Twitter for Android")</f>
        <v>Twitter for Android</v>
      </c>
      <c r="L940" s="15">
        <v>3</v>
      </c>
      <c r="M940" s="15">
        <v>168</v>
      </c>
      <c r="N940" s="15">
        <v>0</v>
      </c>
      <c r="O940" s="9"/>
      <c r="P940" s="10">
        <v>44250.47761574074</v>
      </c>
      <c r="Q940" s="14" t="s">
        <v>4291</v>
      </c>
      <c r="R940" s="14" t="s">
        <v>4292</v>
      </c>
      <c r="S940" s="7" t="s">
        <v>4293</v>
      </c>
      <c r="T940" s="8"/>
      <c r="U940" s="11" t="str">
        <f>HYPERLINK("https://pbs.twimg.com/profile_images/1364160196268933124/9Z6_jrAP.jpg","View")</f>
        <v>View</v>
      </c>
      <c r="V940" s="8"/>
      <c r="W940" s="8"/>
      <c r="X940" s="8"/>
      <c r="Y940" s="8"/>
      <c r="Z940" s="8"/>
    </row>
    <row r="941" spans="1:26" ht="13.2">
      <c r="A941" s="13">
        <v>44250.565555555557</v>
      </c>
      <c r="B941" s="6" t="str">
        <f>HYPERLINK("https://twitter.com/uptecporto","@uptecporto")</f>
        <v>@uptecporto</v>
      </c>
      <c r="C941" s="14" t="s">
        <v>4294</v>
      </c>
      <c r="D941" s="14" t="s">
        <v>4295</v>
      </c>
      <c r="E941" s="6" t="str">
        <f>HYPERLINK("https://twitter.com/uptecporto/status/1364191880989310981","1364191880989310981")</f>
        <v>1364191880989310981</v>
      </c>
      <c r="F941" s="7" t="s">
        <v>4296</v>
      </c>
      <c r="G941" s="8"/>
      <c r="H941" s="8"/>
      <c r="I941" s="14">
        <v>0</v>
      </c>
      <c r="J941" s="14">
        <v>0</v>
      </c>
      <c r="K941" s="6" t="str">
        <f t="shared" ref="K941:K943" si="149">HYPERLINK("https://mobile.twitter.com","Twitter Web App")</f>
        <v>Twitter Web App</v>
      </c>
      <c r="L941" s="15">
        <v>3084</v>
      </c>
      <c r="M941" s="15">
        <v>453</v>
      </c>
      <c r="N941" s="15">
        <v>72</v>
      </c>
      <c r="O941" s="9"/>
      <c r="P941" s="10">
        <v>40164.851273148146</v>
      </c>
      <c r="Q941" s="14" t="s">
        <v>4297</v>
      </c>
      <c r="R941" s="14" t="s">
        <v>4298</v>
      </c>
      <c r="S941" s="7" t="s">
        <v>4299</v>
      </c>
      <c r="T941" s="8"/>
      <c r="U941" s="11" t="str">
        <f>HYPERLINK("https://pbs.twimg.com/profile_images/943535026020503555/GS1KHzb8.jpg","View")</f>
        <v>View</v>
      </c>
      <c r="V941" s="8"/>
      <c r="W941" s="8"/>
      <c r="X941" s="8"/>
      <c r="Y941" s="8"/>
      <c r="Z941" s="8"/>
    </row>
    <row r="942" spans="1:26" ht="13.2">
      <c r="A942" s="13">
        <v>44250.565127314811</v>
      </c>
      <c r="B942" s="6" t="str">
        <f>HYPERLINK("https://twitter.com/DelqnDobrew","@DelqnDobrew")</f>
        <v>@DelqnDobrew</v>
      </c>
      <c r="C942" s="14" t="s">
        <v>4300</v>
      </c>
      <c r="D942" s="14" t="s">
        <v>4301</v>
      </c>
      <c r="E942" s="6" t="str">
        <f>HYPERLINK("https://twitter.com/DelqnDobrew/status/1364191723694542849","1364191723694542849")</f>
        <v>1364191723694542849</v>
      </c>
      <c r="F942" s="7" t="s">
        <v>4302</v>
      </c>
      <c r="G942" s="7" t="s">
        <v>4303</v>
      </c>
      <c r="H942" s="8"/>
      <c r="I942" s="14">
        <v>0</v>
      </c>
      <c r="J942" s="14">
        <v>7</v>
      </c>
      <c r="K942" s="6" t="str">
        <f t="shared" si="149"/>
        <v>Twitter Web App</v>
      </c>
      <c r="L942" s="15">
        <v>4</v>
      </c>
      <c r="M942" s="15">
        <v>15</v>
      </c>
      <c r="N942" s="15">
        <v>0</v>
      </c>
      <c r="O942" s="9"/>
      <c r="P942" s="10">
        <v>44230.750034722223</v>
      </c>
      <c r="Q942" s="8"/>
      <c r="R942" s="14" t="s">
        <v>4304</v>
      </c>
      <c r="S942" s="7" t="s">
        <v>4302</v>
      </c>
      <c r="T942" s="8"/>
      <c r="U942" s="11" t="str">
        <f>HYPERLINK("https://pbs.twimg.com/profile_images/1364179257560342531/IYSmq_7l.png","View")</f>
        <v>View</v>
      </c>
      <c r="V942" s="8"/>
      <c r="W942" s="8"/>
      <c r="X942" s="8"/>
      <c r="Y942" s="8"/>
      <c r="Z942" s="8"/>
    </row>
    <row r="943" spans="1:26" ht="13.2">
      <c r="A943" s="13">
        <v>44250.564837962964</v>
      </c>
      <c r="B943" s="6" t="str">
        <f>HYPERLINK("https://twitter.com/LauraVet87","@LauraVet87")</f>
        <v>@LauraVet87</v>
      </c>
      <c r="C943" s="14" t="s">
        <v>4305</v>
      </c>
      <c r="D943" s="14" t="s">
        <v>4306</v>
      </c>
      <c r="E943" s="6" t="str">
        <f>HYPERLINK("https://twitter.com/LauraVet87/status/1364191622242717699","1364191622242717699")</f>
        <v>1364191622242717699</v>
      </c>
      <c r="F943" s="8"/>
      <c r="G943" s="7" t="s">
        <v>4307</v>
      </c>
      <c r="H943" s="8"/>
      <c r="I943" s="14">
        <v>2</v>
      </c>
      <c r="J943" s="14">
        <v>3</v>
      </c>
      <c r="K943" s="6" t="str">
        <f t="shared" si="149"/>
        <v>Twitter Web App</v>
      </c>
      <c r="L943" s="15">
        <v>150</v>
      </c>
      <c r="M943" s="15">
        <v>85</v>
      </c>
      <c r="N943" s="15">
        <v>10</v>
      </c>
      <c r="O943" s="15" t="s">
        <v>130</v>
      </c>
      <c r="P943" s="10">
        <v>41173.765520833331</v>
      </c>
      <c r="Q943" s="14" t="s">
        <v>4308</v>
      </c>
      <c r="R943" s="14" t="s">
        <v>4309</v>
      </c>
      <c r="S943" s="7" t="s">
        <v>4310</v>
      </c>
      <c r="T943" s="8"/>
      <c r="U943" s="11" t="str">
        <f>HYPERLINK("https://pbs.twimg.com/profile_images/378800000375599329/e21c26133940d5ca30173b5d4a14e605.jpeg","View")</f>
        <v>View</v>
      </c>
      <c r="V943" s="8"/>
      <c r="W943" s="8"/>
      <c r="X943" s="8"/>
      <c r="Y943" s="8"/>
      <c r="Z943" s="8"/>
    </row>
    <row r="944" spans="1:26" ht="13.2">
      <c r="A944" s="13">
        <v>44250.564513888894</v>
      </c>
      <c r="B944" s="6" t="str">
        <f>HYPERLINK("https://twitter.com/crimacode","@crimacode")</f>
        <v>@crimacode</v>
      </c>
      <c r="C944" s="14" t="s">
        <v>4289</v>
      </c>
      <c r="D944" s="14" t="s">
        <v>4311</v>
      </c>
      <c r="E944" s="6" t="str">
        <f>HYPERLINK("https://twitter.com/crimacode/status/1364191503409635329","1364191503409635329")</f>
        <v>1364191503409635329</v>
      </c>
      <c r="F944" s="8"/>
      <c r="G944" s="8"/>
      <c r="H944" s="8"/>
      <c r="I944" s="14">
        <v>2</v>
      </c>
      <c r="J944" s="14">
        <v>3</v>
      </c>
      <c r="K944" s="6" t="str">
        <f t="shared" ref="K944:K946" si="150">HYPERLINK("http://twitter.com/download/android","Twitter for Android")</f>
        <v>Twitter for Android</v>
      </c>
      <c r="L944" s="15">
        <v>3</v>
      </c>
      <c r="M944" s="15">
        <v>168</v>
      </c>
      <c r="N944" s="15">
        <v>0</v>
      </c>
      <c r="O944" s="9"/>
      <c r="P944" s="10">
        <v>44250.47761574074</v>
      </c>
      <c r="Q944" s="14" t="s">
        <v>4291</v>
      </c>
      <c r="R944" s="14" t="s">
        <v>4292</v>
      </c>
      <c r="S944" s="7" t="s">
        <v>4293</v>
      </c>
      <c r="T944" s="8"/>
      <c r="U944" s="11" t="str">
        <f>HYPERLINK("https://pbs.twimg.com/profile_images/1364160196268933124/9Z6_jrAP.jpg","View")</f>
        <v>View</v>
      </c>
      <c r="V944" s="8"/>
      <c r="W944" s="8"/>
      <c r="X944" s="8"/>
      <c r="Y944" s="8"/>
      <c r="Z944" s="8"/>
    </row>
    <row r="945" spans="1:26" ht="13.2">
      <c r="A945" s="13">
        <v>44250.564479166671</v>
      </c>
      <c r="B945" s="6" t="str">
        <f>HYPERLINK("https://twitter.com/sachinjainphd","@sachinjainphd")</f>
        <v>@sachinjainphd</v>
      </c>
      <c r="C945" s="14" t="s">
        <v>4312</v>
      </c>
      <c r="D945" s="14" t="s">
        <v>4313</v>
      </c>
      <c r="E945" s="6" t="str">
        <f>HYPERLINK("https://twitter.com/sachinjainphd/status/1364191490327662592","1364191490327662592")</f>
        <v>1364191490327662592</v>
      </c>
      <c r="F945" s="7" t="s">
        <v>4314</v>
      </c>
      <c r="G945" s="8"/>
      <c r="H945" s="8"/>
      <c r="I945" s="14">
        <v>10</v>
      </c>
      <c r="J945" s="14">
        <v>5</v>
      </c>
      <c r="K945" s="6" t="str">
        <f t="shared" si="150"/>
        <v>Twitter for Android</v>
      </c>
      <c r="L945" s="15">
        <v>151</v>
      </c>
      <c r="M945" s="15">
        <v>90</v>
      </c>
      <c r="N945" s="15">
        <v>1</v>
      </c>
      <c r="O945" s="9"/>
      <c r="P945" s="10">
        <v>40495.178032407406</v>
      </c>
      <c r="Q945" s="14" t="s">
        <v>221</v>
      </c>
      <c r="R945" s="14" t="s">
        <v>4315</v>
      </c>
      <c r="S945" s="8"/>
      <c r="T945" s="8"/>
      <c r="U945" s="11" t="str">
        <f>HYPERLINK("https://pbs.twimg.com/profile_images/1248474611202658304/JZtqih-r.jpg","View")</f>
        <v>View</v>
      </c>
      <c r="V945" s="8"/>
      <c r="W945" s="8"/>
      <c r="X945" s="8"/>
      <c r="Y945" s="8"/>
      <c r="Z945" s="8"/>
    </row>
    <row r="946" spans="1:26" ht="13.2">
      <c r="A946" s="13">
        <v>44250.56385416667</v>
      </c>
      <c r="B946" s="6" t="str">
        <f>HYPERLINK("https://twitter.com/ehuntober","@ehuntober")</f>
        <v>@ehuntober</v>
      </c>
      <c r="C946" s="14" t="s">
        <v>4190</v>
      </c>
      <c r="D946" s="14" t="s">
        <v>4316</v>
      </c>
      <c r="E946" s="6" t="str">
        <f>HYPERLINK("https://twitter.com/ehuntober/status/1364191262937673728","1364191262937673728")</f>
        <v>1364191262937673728</v>
      </c>
      <c r="F946" s="8"/>
      <c r="G946" s="7" t="s">
        <v>4317</v>
      </c>
      <c r="H946" s="8"/>
      <c r="I946" s="14">
        <v>1</v>
      </c>
      <c r="J946" s="14">
        <v>6</v>
      </c>
      <c r="K946" s="6" t="str">
        <f t="shared" si="150"/>
        <v>Twitter for Android</v>
      </c>
      <c r="L946" s="15">
        <v>118</v>
      </c>
      <c r="M946" s="15">
        <v>552</v>
      </c>
      <c r="N946" s="15">
        <v>1</v>
      </c>
      <c r="O946" s="9"/>
      <c r="P946" s="10">
        <v>44118.707048611112</v>
      </c>
      <c r="Q946" s="14" t="s">
        <v>4193</v>
      </c>
      <c r="R946" s="14" t="s">
        <v>4194</v>
      </c>
      <c r="S946" s="7" t="s">
        <v>4195</v>
      </c>
      <c r="T946" s="8"/>
      <c r="U946" s="11" t="str">
        <f>HYPERLINK("https://pbs.twimg.com/profile_images/1362421992864030721/U_F3kxt1.jpg","View")</f>
        <v>View</v>
      </c>
      <c r="V946" s="8"/>
      <c r="W946" s="8"/>
      <c r="X946" s="8"/>
      <c r="Y946" s="8"/>
      <c r="Z946" s="8"/>
    </row>
    <row r="947" spans="1:26" ht="13.2">
      <c r="A947" s="13">
        <v>44250.563252314816</v>
      </c>
      <c r="B947" s="6" t="str">
        <f>HYPERLINK("https://twitter.com/Innovat78455398","@Innovat78455398")</f>
        <v>@Innovat78455398</v>
      </c>
      <c r="C947" s="14" t="s">
        <v>4318</v>
      </c>
      <c r="D947" s="14" t="s">
        <v>4319</v>
      </c>
      <c r="E947" s="6" t="str">
        <f>HYPERLINK("https://twitter.com/Innovat78455398/status/1364191045383188489","1364191045383188489")</f>
        <v>1364191045383188489</v>
      </c>
      <c r="F947" s="7" t="s">
        <v>4320</v>
      </c>
      <c r="G947" s="7" t="s">
        <v>4321</v>
      </c>
      <c r="H947" s="8"/>
      <c r="I947" s="14">
        <v>11</v>
      </c>
      <c r="J947" s="14">
        <v>8</v>
      </c>
      <c r="K947" s="6" t="str">
        <f>HYPERLINK("https://mobile.twitter.com","Twitter Web App")</f>
        <v>Twitter Web App</v>
      </c>
      <c r="L947" s="15">
        <v>101</v>
      </c>
      <c r="M947" s="15">
        <v>142</v>
      </c>
      <c r="N947" s="15">
        <v>1</v>
      </c>
      <c r="O947" s="9"/>
      <c r="P947" s="10">
        <v>44075.047534722224</v>
      </c>
      <c r="Q947" s="14" t="s">
        <v>623</v>
      </c>
      <c r="R947" s="14" t="s">
        <v>4322</v>
      </c>
      <c r="S947" s="8"/>
      <c r="T947" s="8"/>
      <c r="U947" s="11" t="str">
        <f>HYPERLINK("https://pbs.twimg.com/profile_images/1300571380098850818/YjKI8L9l.jpg","View")</f>
        <v>View</v>
      </c>
      <c r="V947" s="8"/>
      <c r="W947" s="8"/>
      <c r="X947" s="8"/>
      <c r="Y947" s="8"/>
      <c r="Z947" s="8"/>
    </row>
    <row r="948" spans="1:26" ht="13.2">
      <c r="A948" s="13">
        <v>44250.563217592593</v>
      </c>
      <c r="B948" s="6" t="str">
        <f>HYPERLINK("https://twitter.com/ipfconline1","@ipfconline1")</f>
        <v>@ipfconline1</v>
      </c>
      <c r="C948" s="14" t="s">
        <v>65</v>
      </c>
      <c r="D948" s="14" t="s">
        <v>4323</v>
      </c>
      <c r="E948" s="6" t="str">
        <f>HYPERLINK("https://twitter.com/ipfconline1/status/1364191033219817472","1364191033219817472")</f>
        <v>1364191033219817472</v>
      </c>
      <c r="F948" s="7" t="s">
        <v>4324</v>
      </c>
      <c r="G948" s="7" t="s">
        <v>4325</v>
      </c>
      <c r="H948" s="8"/>
      <c r="I948" s="14">
        <v>14</v>
      </c>
      <c r="J948" s="14">
        <v>13</v>
      </c>
      <c r="K948" s="6" t="str">
        <f>HYPERLINK("https://twittimer.com","Twittimer")</f>
        <v>Twittimer</v>
      </c>
      <c r="L948" s="15">
        <v>112675</v>
      </c>
      <c r="M948" s="15">
        <v>107162</v>
      </c>
      <c r="N948" s="15">
        <v>7806</v>
      </c>
      <c r="O948" s="9"/>
      <c r="P948" s="10">
        <v>42433.031967592593</v>
      </c>
      <c r="Q948" s="14" t="s">
        <v>69</v>
      </c>
      <c r="R948" s="14" t="s">
        <v>70</v>
      </c>
      <c r="S948" s="7" t="s">
        <v>71</v>
      </c>
      <c r="T948" s="8"/>
      <c r="U948" s="11" t="str">
        <f>HYPERLINK("https://pbs.twimg.com/profile_images/729065804004769793/St2_Pum9.jpg","View")</f>
        <v>View</v>
      </c>
      <c r="V948" s="8"/>
      <c r="W948" s="8"/>
      <c r="X948" s="8"/>
      <c r="Y948" s="8"/>
      <c r="Z948" s="8"/>
    </row>
    <row r="949" spans="1:26" ht="13.2">
      <c r="A949" s="13">
        <v>44250.563194444447</v>
      </c>
      <c r="B949" s="6" t="str">
        <f>HYPERLINK("https://twitter.com/SKlausDev","@SKlausDev")</f>
        <v>@SKlausDev</v>
      </c>
      <c r="C949" s="14" t="s">
        <v>1404</v>
      </c>
      <c r="D949" s="14" t="s">
        <v>4326</v>
      </c>
      <c r="E949" s="6" t="str">
        <f>HYPERLINK("https://twitter.com/SKlausDev/status/1364191024176910336","1364191024176910336")</f>
        <v>1364191024176910336</v>
      </c>
      <c r="F949" s="7" t="s">
        <v>4327</v>
      </c>
      <c r="G949" s="8"/>
      <c r="H949" s="8"/>
      <c r="I949" s="14">
        <v>0</v>
      </c>
      <c r="J949" s="14">
        <v>1</v>
      </c>
      <c r="K949" s="6" t="str">
        <f>HYPERLINK("https://mobile.twitter.com","Twitter Web App")</f>
        <v>Twitter Web App</v>
      </c>
      <c r="L949" s="15">
        <v>1288</v>
      </c>
      <c r="M949" s="15">
        <v>910</v>
      </c>
      <c r="N949" s="15">
        <v>505</v>
      </c>
      <c r="O949" s="9"/>
      <c r="P949" s="10">
        <v>42492.59207175926</v>
      </c>
      <c r="Q949" s="14" t="s">
        <v>1407</v>
      </c>
      <c r="R949" s="14" t="s">
        <v>1408</v>
      </c>
      <c r="S949" s="8"/>
      <c r="T949" s="8"/>
      <c r="U949" s="11" t="str">
        <f>HYPERLINK("https://pbs.twimg.com/profile_images/727109083283726336/pMHGSHGB.jpg","View")</f>
        <v>View</v>
      </c>
      <c r="V949" s="8"/>
      <c r="W949" s="8"/>
      <c r="X949" s="8"/>
      <c r="Y949" s="8"/>
      <c r="Z949" s="8"/>
    </row>
    <row r="950" spans="1:26" ht="13.2">
      <c r="A950" s="13">
        <v>44250.562835648147</v>
      </c>
      <c r="B950" s="6" t="str">
        <f>HYPERLINK("https://twitter.com/ETHrWorld","@ETHrWorld")</f>
        <v>@ETHrWorld</v>
      </c>
      <c r="C950" s="14" t="s">
        <v>4328</v>
      </c>
      <c r="D950" s="14" t="s">
        <v>4329</v>
      </c>
      <c r="E950" s="6" t="str">
        <f>HYPERLINK("https://twitter.com/ETHrWorld/status/1364190893259902987","1364190893259902987")</f>
        <v>1364190893259902987</v>
      </c>
      <c r="F950" s="7" t="s">
        <v>4330</v>
      </c>
      <c r="G950" s="8"/>
      <c r="H950" s="8"/>
      <c r="I950" s="14">
        <v>3</v>
      </c>
      <c r="J950" s="14">
        <v>3</v>
      </c>
      <c r="K950" s="6" t="str">
        <f>HYPERLINK("https://retail.economictimes.indiatimes.com/","ETRetail.com")</f>
        <v>ETRetail.com</v>
      </c>
      <c r="L950" s="15">
        <v>2232</v>
      </c>
      <c r="M950" s="15">
        <v>4328</v>
      </c>
      <c r="N950" s="15">
        <v>7</v>
      </c>
      <c r="O950" s="9"/>
      <c r="P950" s="10">
        <v>43928.662037037036</v>
      </c>
      <c r="Q950" s="14" t="s">
        <v>364</v>
      </c>
      <c r="R950" s="14" t="s">
        <v>4331</v>
      </c>
      <c r="S950" s="7" t="s">
        <v>4332</v>
      </c>
      <c r="T950" s="8"/>
      <c r="U950" s="11" t="str">
        <f>HYPERLINK("https://pbs.twimg.com/profile_images/1308723036980301824/5gzHJz1B.jpg","View")</f>
        <v>View</v>
      </c>
      <c r="V950" s="8"/>
      <c r="W950" s="8"/>
      <c r="X950" s="8"/>
      <c r="Y950" s="8"/>
      <c r="Z950" s="8"/>
    </row>
    <row r="951" spans="1:26" ht="13.2">
      <c r="A951" s="13">
        <v>44250.562824074077</v>
      </c>
      <c r="B951" s="6" t="str">
        <f>HYPERLINK("https://twitter.com/p_ogonowski","@p_ogonowski")</f>
        <v>@p_ogonowski</v>
      </c>
      <c r="C951" s="14" t="s">
        <v>4333</v>
      </c>
      <c r="D951" s="14" t="s">
        <v>4334</v>
      </c>
      <c r="E951" s="6" t="str">
        <f>HYPERLINK("https://twitter.com/p_ogonowski/status/1364190892211515392","1364190892211515392")</f>
        <v>1364190892211515392</v>
      </c>
      <c r="F951" s="7" t="s">
        <v>4335</v>
      </c>
      <c r="G951" s="7" t="s">
        <v>4336</v>
      </c>
      <c r="H951" s="8"/>
      <c r="I951" s="14">
        <v>0</v>
      </c>
      <c r="J951" s="14">
        <v>1</v>
      </c>
      <c r="K951" s="6" t="str">
        <f>HYPERLINK("https://buffer.com","Buffer")</f>
        <v>Buffer</v>
      </c>
      <c r="L951" s="15">
        <v>2219</v>
      </c>
      <c r="M951" s="15">
        <v>2945</v>
      </c>
      <c r="N951" s="15">
        <v>120</v>
      </c>
      <c r="O951" s="9"/>
      <c r="P951" s="10">
        <v>39875.939976851849</v>
      </c>
      <c r="Q951" s="14" t="s">
        <v>390</v>
      </c>
      <c r="R951" s="14" t="s">
        <v>4337</v>
      </c>
      <c r="S951" s="7" t="s">
        <v>4338</v>
      </c>
      <c r="T951" s="8"/>
      <c r="U951" s="11" t="str">
        <f>HYPERLINK("https://pbs.twimg.com/profile_images/517073991727472641/RYhNsN2P.jpeg","View")</f>
        <v>View</v>
      </c>
      <c r="V951" s="8"/>
      <c r="W951" s="8"/>
      <c r="X951" s="8"/>
      <c r="Y951" s="8"/>
      <c r="Z951" s="8"/>
    </row>
    <row r="952" spans="1:26" ht="13.2">
      <c r="A952" s="13">
        <v>44250.5627662037</v>
      </c>
      <c r="B952" s="6" t="str">
        <f>HYPERLINK("https://twitter.com/botomation_io","@botomation_io")</f>
        <v>@botomation_io</v>
      </c>
      <c r="C952" s="14" t="s">
        <v>4339</v>
      </c>
      <c r="D952" s="14" t="s">
        <v>4340</v>
      </c>
      <c r="E952" s="6" t="str">
        <f>HYPERLINK("https://twitter.com/botomation_io/status/1364190869000245249","1364190869000245249")</f>
        <v>1364190869000245249</v>
      </c>
      <c r="F952" s="7" t="s">
        <v>4341</v>
      </c>
      <c r="G952" s="7" t="s">
        <v>4342</v>
      </c>
      <c r="H952" s="8"/>
      <c r="I952" s="14">
        <v>1</v>
      </c>
      <c r="J952" s="14">
        <v>1</v>
      </c>
      <c r="K952" s="6" t="str">
        <f>HYPERLINK("https://www.hootsuite.com","Hootsuite Inc.")</f>
        <v>Hootsuite Inc.</v>
      </c>
      <c r="L952" s="15">
        <v>80</v>
      </c>
      <c r="M952" s="15">
        <v>135</v>
      </c>
      <c r="N952" s="15">
        <v>0</v>
      </c>
      <c r="O952" s="9"/>
      <c r="P952" s="10">
        <v>43844.86210648148</v>
      </c>
      <c r="Q952" s="14" t="s">
        <v>4343</v>
      </c>
      <c r="R952" s="14" t="s">
        <v>4344</v>
      </c>
      <c r="S952" s="7" t="s">
        <v>4345</v>
      </c>
      <c r="T952" s="8"/>
      <c r="U952" s="11" t="str">
        <f>HYPERLINK("https://pbs.twimg.com/profile_images/1275768677107814400/mCs4QgcZ.png","View")</f>
        <v>View</v>
      </c>
      <c r="V952" s="8"/>
      <c r="W952" s="8"/>
      <c r="X952" s="8"/>
      <c r="Y952" s="8"/>
      <c r="Z952" s="8"/>
    </row>
    <row r="953" spans="1:26" ht="13.2">
      <c r="A953" s="13">
        <v>44250.562719907408</v>
      </c>
      <c r="B953" s="6" t="str">
        <f>HYPERLINK("https://twitter.com/DivergentCIO","@DivergentCIO")</f>
        <v>@DivergentCIO</v>
      </c>
      <c r="C953" s="14" t="s">
        <v>3912</v>
      </c>
      <c r="D953" s="14" t="s">
        <v>4346</v>
      </c>
      <c r="E953" s="6" t="str">
        <f>HYPERLINK("https://twitter.com/DivergentCIO/status/1364190854538285064","1364190854538285064")</f>
        <v>1364190854538285064</v>
      </c>
      <c r="F953" s="7" t="s">
        <v>4347</v>
      </c>
      <c r="G953" s="8"/>
      <c r="H953" s="8"/>
      <c r="I953" s="14">
        <v>1</v>
      </c>
      <c r="J953" s="14">
        <v>1</v>
      </c>
      <c r="K953" s="6" t="str">
        <f>HYPERLINK("https://buffer.com","Buffer")</f>
        <v>Buffer</v>
      </c>
      <c r="L953" s="15">
        <v>28614</v>
      </c>
      <c r="M953" s="15">
        <v>26399</v>
      </c>
      <c r="N953" s="15">
        <v>1647</v>
      </c>
      <c r="O953" s="9"/>
      <c r="P953" s="10">
        <v>42071.947187500002</v>
      </c>
      <c r="Q953" s="14" t="s">
        <v>3915</v>
      </c>
      <c r="R953" s="14" t="s">
        <v>3916</v>
      </c>
      <c r="S953" s="7" t="s">
        <v>3917</v>
      </c>
      <c r="T953" s="8"/>
      <c r="U953" s="11" t="str">
        <f>HYPERLINK("https://pbs.twimg.com/profile_images/767507322583199745/rpfbzBzg.jpg","View")</f>
        <v>View</v>
      </c>
      <c r="V953" s="8"/>
      <c r="W953" s="8"/>
      <c r="X953" s="8"/>
      <c r="Y953" s="8"/>
      <c r="Z953" s="8"/>
    </row>
    <row r="954" spans="1:26" ht="13.2">
      <c r="A954" s="13">
        <v>44250.56251157407</v>
      </c>
      <c r="B954" s="6" t="str">
        <f>HYPERLINK("https://twitter.com/WiselyWiseTweet","@WiselyWiseTweet")</f>
        <v>@WiselyWiseTweet</v>
      </c>
      <c r="C954" s="14" t="s">
        <v>4348</v>
      </c>
      <c r="D954" s="14" t="s">
        <v>4349</v>
      </c>
      <c r="E954" s="6" t="str">
        <f>HYPERLINK("https://twitter.com/WiselyWiseTweet/status/1364190778495365120","1364190778495365120")</f>
        <v>1364190778495365120</v>
      </c>
      <c r="F954" s="7" t="s">
        <v>4350</v>
      </c>
      <c r="G954" s="7" t="s">
        <v>4351</v>
      </c>
      <c r="H954" s="8"/>
      <c r="I954" s="14">
        <v>3</v>
      </c>
      <c r="J954" s="14">
        <v>1</v>
      </c>
      <c r="K954" s="6" t="str">
        <f>HYPERLINK("https://social.zoho.com","Zoho Social")</f>
        <v>Zoho Social</v>
      </c>
      <c r="L954" s="15">
        <v>76</v>
      </c>
      <c r="M954" s="15">
        <v>186</v>
      </c>
      <c r="N954" s="15">
        <v>36</v>
      </c>
      <c r="O954" s="9"/>
      <c r="P954" s="10">
        <v>41367.260011574072</v>
      </c>
      <c r="Q954" s="8"/>
      <c r="R954" s="8"/>
      <c r="S954" s="7" t="s">
        <v>4352</v>
      </c>
      <c r="T954" s="8"/>
      <c r="U954" s="11" t="str">
        <f>HYPERLINK("https://pbs.twimg.com/profile_images/822031461536542720/iolYyN7s.jpg","View")</f>
        <v>View</v>
      </c>
      <c r="V954" s="8"/>
      <c r="W954" s="8"/>
      <c r="X954" s="8"/>
      <c r="Y954" s="8"/>
      <c r="Z954" s="8"/>
    </row>
    <row r="955" spans="1:26" ht="13.2">
      <c r="A955" s="13">
        <v>44250.5625</v>
      </c>
      <c r="B955" s="6" t="str">
        <f>HYPERLINK("https://twitter.com/ThinkLBC","@ThinkLBC")</f>
        <v>@ThinkLBC</v>
      </c>
      <c r="C955" s="14" t="s">
        <v>3052</v>
      </c>
      <c r="D955" s="14" t="s">
        <v>4353</v>
      </c>
      <c r="E955" s="6" t="str">
        <f>HYPERLINK("https://twitter.com/ThinkLBC/status/1364190772363358210","1364190772363358210")</f>
        <v>1364190772363358210</v>
      </c>
      <c r="F955" s="8"/>
      <c r="G955" s="7" t="s">
        <v>4354</v>
      </c>
      <c r="H955" s="8"/>
      <c r="I955" s="14">
        <v>7</v>
      </c>
      <c r="J955" s="14">
        <v>7</v>
      </c>
      <c r="K955" s="6" t="str">
        <f>HYPERLINK("https://about.twitter.com/products/tweetdeck","TweetDeck")</f>
        <v>TweetDeck</v>
      </c>
      <c r="L955" s="15">
        <v>587</v>
      </c>
      <c r="M955" s="15">
        <v>637</v>
      </c>
      <c r="N955" s="15">
        <v>5</v>
      </c>
      <c r="O955" s="9"/>
      <c r="P955" s="10">
        <v>43969.237442129626</v>
      </c>
      <c r="Q955" s="8"/>
      <c r="R955" s="14" t="s">
        <v>3055</v>
      </c>
      <c r="S955" s="7" t="s">
        <v>3056</v>
      </c>
      <c r="T955" s="8"/>
      <c r="U955" s="11" t="str">
        <f>HYPERLINK("https://pbs.twimg.com/profile_images/1262226985264328704/zybINi_P.jpg","View")</f>
        <v>View</v>
      </c>
      <c r="V955" s="8"/>
      <c r="W955" s="8"/>
      <c r="X955" s="8"/>
      <c r="Y955" s="8"/>
      <c r="Z955" s="8"/>
    </row>
    <row r="956" spans="1:26" ht="13.2">
      <c r="A956" s="13">
        <v>44250.560787037037</v>
      </c>
      <c r="B956" s="6" t="str">
        <f>HYPERLINK("https://twitter.com/2021Machine","@2021Machine")</f>
        <v>@2021Machine</v>
      </c>
      <c r="C956" s="14" t="s">
        <v>4355</v>
      </c>
      <c r="D956" s="14" t="s">
        <v>4356</v>
      </c>
      <c r="E956" s="6" t="str">
        <f>HYPERLINK("https://twitter.com/2021Machine/status/1364190153888075777","1364190153888075777")</f>
        <v>1364190153888075777</v>
      </c>
      <c r="F956" s="7" t="s">
        <v>4357</v>
      </c>
      <c r="G956" s="7" t="s">
        <v>4358</v>
      </c>
      <c r="H956" s="8"/>
      <c r="I956" s="14">
        <v>0</v>
      </c>
      <c r="J956" s="14">
        <v>1</v>
      </c>
      <c r="K956" s="6" t="str">
        <f>HYPERLINK("https://mobile.twitter.com","Twitter Web App")</f>
        <v>Twitter Web App</v>
      </c>
      <c r="L956" s="15">
        <v>63</v>
      </c>
      <c r="M956" s="15">
        <v>167</v>
      </c>
      <c r="N956" s="15">
        <v>0</v>
      </c>
      <c r="O956" s="9"/>
      <c r="P956" s="10">
        <v>44179.193159722221</v>
      </c>
      <c r="Q956" s="8"/>
      <c r="R956" s="14" t="s">
        <v>4359</v>
      </c>
      <c r="S956" s="8"/>
      <c r="T956" s="8"/>
      <c r="U956" s="11" t="str">
        <f>HYPERLINK("https://pbs.twimg.com/profile_images/1362015606967390208/Ue8HbVL7.png","View")</f>
        <v>View</v>
      </c>
      <c r="V956" s="8"/>
      <c r="W956" s="8"/>
      <c r="X956" s="8"/>
      <c r="Y956" s="8"/>
      <c r="Z956" s="8"/>
    </row>
    <row r="957" spans="1:26" ht="13.2">
      <c r="A957" s="13">
        <v>44250.560578703706</v>
      </c>
      <c r="B957" s="6" t="str">
        <f>HYPERLINK("https://twitter.com/DS_Analytics","@DS_Analytics")</f>
        <v>@DS_Analytics</v>
      </c>
      <c r="C957" s="14" t="s">
        <v>2389</v>
      </c>
      <c r="D957" s="14" t="s">
        <v>4360</v>
      </c>
      <c r="E957" s="6" t="str">
        <f>HYPERLINK("https://twitter.com/DS_Analytics/status/1364190075974799363","1364190075974799363")</f>
        <v>1364190075974799363</v>
      </c>
      <c r="F957" s="7" t="s">
        <v>4361</v>
      </c>
      <c r="G957" s="8"/>
      <c r="H957" s="8"/>
      <c r="I957" s="14">
        <v>2</v>
      </c>
      <c r="J957" s="14">
        <v>1</v>
      </c>
      <c r="K957" s="6" t="str">
        <f>HYPERLINK("https://ifttt.com","IFTTT")</f>
        <v>IFTTT</v>
      </c>
      <c r="L957" s="15">
        <v>4945</v>
      </c>
      <c r="M957" s="15">
        <v>4504</v>
      </c>
      <c r="N957" s="15">
        <v>46</v>
      </c>
      <c r="O957" s="9"/>
      <c r="P957" s="10">
        <v>43019.662314814814</v>
      </c>
      <c r="Q957" s="8"/>
      <c r="R957" s="14" t="s">
        <v>2392</v>
      </c>
      <c r="S957" s="8"/>
      <c r="T957" s="8"/>
      <c r="U957" s="11" t="str">
        <f>HYPERLINK("https://pbs.twimg.com/profile_images/955817556635504640/FflsX454.jpg","View")</f>
        <v>View</v>
      </c>
      <c r="V957" s="8"/>
      <c r="W957" s="8"/>
      <c r="X957" s="8"/>
      <c r="Y957" s="8"/>
      <c r="Z957" s="8"/>
    </row>
    <row r="958" spans="1:26" ht="13.2">
      <c r="A958" s="13">
        <v>44250.560289351852</v>
      </c>
      <c r="B958" s="6" t="str">
        <f>HYPERLINK("https://twitter.com/rastrau","@rastrau")</f>
        <v>@rastrau</v>
      </c>
      <c r="C958" s="14" t="s">
        <v>4362</v>
      </c>
      <c r="D958" s="14" t="s">
        <v>4363</v>
      </c>
      <c r="E958" s="6" t="str">
        <f>HYPERLINK("https://twitter.com/rastrau/status/1364189972316774404","1364189972316774404")</f>
        <v>1364189972316774404</v>
      </c>
      <c r="F958" s="14" t="s">
        <v>4364</v>
      </c>
      <c r="G958" s="7" t="s">
        <v>4365</v>
      </c>
      <c r="H958" s="8"/>
      <c r="I958" s="14">
        <v>0</v>
      </c>
      <c r="J958" s="14">
        <v>1</v>
      </c>
      <c r="K958" s="6" t="str">
        <f>HYPERLINK("https://about.twitter.com/products/tweetdeck","TweetDeck")</f>
        <v>TweetDeck</v>
      </c>
      <c r="L958" s="15">
        <v>2019</v>
      </c>
      <c r="M958" s="15">
        <v>970</v>
      </c>
      <c r="N958" s="15">
        <v>187</v>
      </c>
      <c r="O958" s="9"/>
      <c r="P958" s="10">
        <v>40820.85429398148</v>
      </c>
      <c r="Q958" s="14" t="s">
        <v>4366</v>
      </c>
      <c r="R958" s="14" t="s">
        <v>4367</v>
      </c>
      <c r="S958" s="7" t="s">
        <v>4368</v>
      </c>
      <c r="T958" s="8"/>
      <c r="U958" s="11" t="str">
        <f>HYPERLINK("https://pbs.twimg.com/profile_images/1257340457711001601/Q2zEj47S.jpg","View")</f>
        <v>View</v>
      </c>
      <c r="V958" s="8"/>
      <c r="W958" s="8"/>
      <c r="X958" s="8"/>
      <c r="Y958" s="8"/>
      <c r="Z958" s="8"/>
    </row>
    <row r="959" spans="1:26" ht="13.2">
      <c r="A959" s="13">
        <v>44250.560266203705</v>
      </c>
      <c r="B959" s="6" t="str">
        <f>HYPERLINK("https://twitter.com/SwissUXNews","@SwissUXNews")</f>
        <v>@SwissUXNews</v>
      </c>
      <c r="C959" s="14" t="s">
        <v>4369</v>
      </c>
      <c r="D959" s="14" t="s">
        <v>4370</v>
      </c>
      <c r="E959" s="6" t="str">
        <f>HYPERLINK("https://twitter.com/SwissUXNews/status/1364189962946703365","1364189962946703365")</f>
        <v>1364189962946703365</v>
      </c>
      <c r="F959" s="7" t="s">
        <v>3166</v>
      </c>
      <c r="G959" s="8"/>
      <c r="H959" s="8"/>
      <c r="I959" s="14">
        <v>2</v>
      </c>
      <c r="J959" s="14">
        <v>4</v>
      </c>
      <c r="K959" s="6" t="str">
        <f>HYPERLINK("http://twinybots.com","TwinyBots")</f>
        <v>TwinyBots</v>
      </c>
      <c r="L959" s="15">
        <v>9042</v>
      </c>
      <c r="M959" s="15">
        <v>2918</v>
      </c>
      <c r="N959" s="15">
        <v>710</v>
      </c>
      <c r="O959" s="9"/>
      <c r="P959" s="10">
        <v>42478.727476851855</v>
      </c>
      <c r="Q959" s="14" t="s">
        <v>4074</v>
      </c>
      <c r="R959" s="14" t="s">
        <v>4371</v>
      </c>
      <c r="S959" s="7" t="s">
        <v>4372</v>
      </c>
      <c r="T959" s="8"/>
      <c r="U959" s="11" t="str">
        <f>HYPERLINK("https://pbs.twimg.com/profile_images/722089293896880129/Ah_MxpBe.jpg","View")</f>
        <v>View</v>
      </c>
      <c r="V959" s="8"/>
      <c r="W959" s="8"/>
      <c r="X959" s="8"/>
      <c r="Y959" s="8"/>
      <c r="Z959" s="8"/>
    </row>
    <row r="960" spans="1:26" ht="13.2">
      <c r="A960" s="13">
        <v>44250.560104166667</v>
      </c>
      <c r="B960" s="6" t="str">
        <f>HYPERLINK("https://twitter.com/Innovat78455398","@Innovat78455398")</f>
        <v>@Innovat78455398</v>
      </c>
      <c r="C960" s="14" t="s">
        <v>4318</v>
      </c>
      <c r="D960" s="14" t="s">
        <v>4373</v>
      </c>
      <c r="E960" s="6" t="str">
        <f>HYPERLINK("https://twitter.com/Innovat78455398/status/1364189904373129223","1364189904373129223")</f>
        <v>1364189904373129223</v>
      </c>
      <c r="F960" s="7" t="s">
        <v>4374</v>
      </c>
      <c r="G960" s="7" t="s">
        <v>4375</v>
      </c>
      <c r="H960" s="8"/>
      <c r="I960" s="14">
        <v>16</v>
      </c>
      <c r="J960" s="14">
        <v>11</v>
      </c>
      <c r="K960" s="6" t="str">
        <f>HYPERLINK("https://mobile.twitter.com","Twitter Web App")</f>
        <v>Twitter Web App</v>
      </c>
      <c r="L960" s="15">
        <v>101</v>
      </c>
      <c r="M960" s="15">
        <v>142</v>
      </c>
      <c r="N960" s="15">
        <v>1</v>
      </c>
      <c r="O960" s="9"/>
      <c r="P960" s="10">
        <v>44075.047534722224</v>
      </c>
      <c r="Q960" s="14" t="s">
        <v>623</v>
      </c>
      <c r="R960" s="14" t="s">
        <v>4322</v>
      </c>
      <c r="S960" s="8"/>
      <c r="T960" s="8"/>
      <c r="U960" s="11" t="str">
        <f>HYPERLINK("https://pbs.twimg.com/profile_images/1300571380098850818/YjKI8L9l.jpg","View")</f>
        <v>View</v>
      </c>
      <c r="V960" s="8"/>
      <c r="W960" s="8"/>
      <c r="X960" s="8"/>
      <c r="Y960" s="8"/>
      <c r="Z960" s="8"/>
    </row>
    <row r="961" spans="1:26" ht="13.2">
      <c r="A961" s="13">
        <v>44250.560092592597</v>
      </c>
      <c r="B961" s="6" t="str">
        <f>HYPERLINK("https://twitter.com/machinelearnflx","@machinelearnflx")</f>
        <v>@machinelearnflx</v>
      </c>
      <c r="C961" s="14" t="s">
        <v>279</v>
      </c>
      <c r="D961" s="14" t="s">
        <v>4376</v>
      </c>
      <c r="E961" s="6" t="str">
        <f>HYPERLINK("https://twitter.com/machinelearnflx/status/1364189900027924482","1364189900027924482")</f>
        <v>1364189900027924482</v>
      </c>
      <c r="F961" s="7" t="s">
        <v>4377</v>
      </c>
      <c r="G961" s="8"/>
      <c r="H961" s="8"/>
      <c r="I961" s="14">
        <v>4</v>
      </c>
      <c r="J961" s="14">
        <v>7</v>
      </c>
      <c r="K961" s="6" t="str">
        <f>HYPERLINK("https://twitter.com/pythonbot_","Postmatico")</f>
        <v>Postmatico</v>
      </c>
      <c r="L961" s="15">
        <v>90451</v>
      </c>
      <c r="M961" s="15">
        <v>35464</v>
      </c>
      <c r="N961" s="15">
        <v>2227</v>
      </c>
      <c r="O961" s="9"/>
      <c r="P961" s="10">
        <v>42386.538865740746</v>
      </c>
      <c r="Q961" s="8"/>
      <c r="R961" s="14" t="s">
        <v>282</v>
      </c>
      <c r="S961" s="7" t="s">
        <v>283</v>
      </c>
      <c r="T961" s="8"/>
      <c r="U961" s="11" t="str">
        <f>HYPERLINK("https://pbs.twimg.com/profile_images/688735459892195329/v8sHaWSG.jpg","View")</f>
        <v>View</v>
      </c>
      <c r="V961" s="8"/>
      <c r="W961" s="8"/>
      <c r="X961" s="8"/>
      <c r="Y961" s="8"/>
      <c r="Z961" s="8"/>
    </row>
    <row r="962" spans="1:26" ht="13.2">
      <c r="A962" s="13">
        <v>44250.559942129628</v>
      </c>
      <c r="B962" s="6" t="str">
        <f>HYPERLINK("https://twitter.com/ReformReality","@ReformReality")</f>
        <v>@ReformReality</v>
      </c>
      <c r="C962" s="14" t="s">
        <v>3735</v>
      </c>
      <c r="D962" s="14" t="s">
        <v>4378</v>
      </c>
      <c r="E962" s="6" t="str">
        <f>HYPERLINK("https://twitter.com/ReformReality/status/1364189847578152960","1364189847578152960")</f>
        <v>1364189847578152960</v>
      </c>
      <c r="F962" s="14" t="s">
        <v>4379</v>
      </c>
      <c r="G962" s="8"/>
      <c r="H962" s="8"/>
      <c r="I962" s="14">
        <v>0</v>
      </c>
      <c r="J962" s="14">
        <v>1</v>
      </c>
      <c r="K962" s="6" t="str">
        <f>HYPERLINK("http://twinybots.com","TwinyBots")</f>
        <v>TwinyBots</v>
      </c>
      <c r="L962" s="15">
        <v>203</v>
      </c>
      <c r="M962" s="15">
        <v>23</v>
      </c>
      <c r="N962" s="15">
        <v>4</v>
      </c>
      <c r="O962" s="9"/>
      <c r="P962" s="10">
        <v>43439.079861111109</v>
      </c>
      <c r="Q962" s="14" t="s">
        <v>1505</v>
      </c>
      <c r="R962" s="14" t="s">
        <v>3738</v>
      </c>
      <c r="S962" s="7" t="s">
        <v>3739</v>
      </c>
      <c r="T962" s="8"/>
      <c r="U962" s="11" t="str">
        <f>HYPERLINK("https://pbs.twimg.com/profile_images/1070119802314797056/lyCEoXtL.jpg","View")</f>
        <v>View</v>
      </c>
      <c r="V962" s="8"/>
      <c r="W962" s="8"/>
      <c r="X962" s="8"/>
      <c r="Y962" s="8"/>
      <c r="Z962" s="8"/>
    </row>
    <row r="963" spans="1:26" ht="13.2">
      <c r="A963" s="13">
        <v>44250.559895833328</v>
      </c>
      <c r="B963" s="6" t="str">
        <f>HYPERLINK("https://twitter.com/mahmud2040","@mahmud2040")</f>
        <v>@mahmud2040</v>
      </c>
      <c r="C963" s="14" t="s">
        <v>4380</v>
      </c>
      <c r="D963" s="14" t="s">
        <v>4381</v>
      </c>
      <c r="E963" s="6" t="str">
        <f>HYPERLINK("https://twitter.com/mahmud2040/status/1364189829299273732","1364189829299273732")</f>
        <v>1364189829299273732</v>
      </c>
      <c r="F963" s="7" t="s">
        <v>4382</v>
      </c>
      <c r="G963" s="7" t="s">
        <v>4383</v>
      </c>
      <c r="H963" s="8"/>
      <c r="I963" s="14">
        <v>22</v>
      </c>
      <c r="J963" s="14">
        <v>15</v>
      </c>
      <c r="K963" s="6" t="str">
        <f>HYPERLINK("http://twitter.com/download/android","Twitter for Android")</f>
        <v>Twitter for Android</v>
      </c>
      <c r="L963" s="15">
        <v>749</v>
      </c>
      <c r="M963" s="15">
        <v>3007</v>
      </c>
      <c r="N963" s="15">
        <v>2</v>
      </c>
      <c r="O963" s="9"/>
      <c r="P963" s="10">
        <v>43061.545682870375</v>
      </c>
      <c r="Q963" s="14" t="s">
        <v>322</v>
      </c>
      <c r="R963" s="14" t="s">
        <v>4384</v>
      </c>
      <c r="S963" s="7" t="s">
        <v>4385</v>
      </c>
      <c r="T963" s="8"/>
      <c r="U963" s="11" t="str">
        <f>HYPERLINK("https://pbs.twimg.com/profile_images/1279802053838028804/DxXT0idv.jpg","View")</f>
        <v>View</v>
      </c>
      <c r="V963" s="8"/>
      <c r="W963" s="8"/>
      <c r="X963" s="8"/>
      <c r="Y963" s="8"/>
      <c r="Z963" s="8"/>
    </row>
    <row r="964" spans="1:26" ht="13.2">
      <c r="A964" s="13">
        <v>44250.559849537036</v>
      </c>
      <c r="B964" s="6" t="str">
        <f>HYPERLINK("https://twitter.com/vpettorino","@vpettorino")</f>
        <v>@vpettorino</v>
      </c>
      <c r="C964" s="14" t="s">
        <v>4386</v>
      </c>
      <c r="D964" s="14" t="s">
        <v>4387</v>
      </c>
      <c r="E964" s="6" t="str">
        <f>HYPERLINK("https://twitter.com/vpettorino/status/1364189813075832833","1364189813075832833")</f>
        <v>1364189813075832833</v>
      </c>
      <c r="F964" s="14" t="s">
        <v>4388</v>
      </c>
      <c r="G964" s="7" t="s">
        <v>4389</v>
      </c>
      <c r="H964" s="8"/>
      <c r="I964" s="14">
        <v>2</v>
      </c>
      <c r="J964" s="14">
        <v>6</v>
      </c>
      <c r="K964" s="6" t="str">
        <f>HYPERLINK("http://twitter.com/download/iphone","Twitter for iPhone")</f>
        <v>Twitter for iPhone</v>
      </c>
      <c r="L964" s="15">
        <v>648</v>
      </c>
      <c r="M964" s="15">
        <v>862</v>
      </c>
      <c r="N964" s="15">
        <v>43</v>
      </c>
      <c r="O964" s="9"/>
      <c r="P964" s="10">
        <v>40321.930694444447</v>
      </c>
      <c r="Q964" s="14" t="s">
        <v>4390</v>
      </c>
      <c r="R964" s="14" t="s">
        <v>4391</v>
      </c>
      <c r="S964" s="7" t="s">
        <v>4392</v>
      </c>
      <c r="T964" s="8"/>
      <c r="U964" s="11" t="str">
        <f>HYPERLINK("https://pbs.twimg.com/profile_images/666630757411106816/E4qQPX7z.jpg","View")</f>
        <v>View</v>
      </c>
      <c r="V964" s="8"/>
      <c r="W964" s="8"/>
      <c r="X964" s="8"/>
      <c r="Y964" s="8"/>
      <c r="Z964" s="8"/>
    </row>
    <row r="965" spans="1:26" ht="13.2">
      <c r="A965" s="13">
        <v>44250.55972222222</v>
      </c>
      <c r="B965" s="6" t="str">
        <f>HYPERLINK("https://twitter.com/WhyYouGoGreen","@WhyYouGoGreen")</f>
        <v>@WhyYouGoGreen</v>
      </c>
      <c r="C965" s="14" t="s">
        <v>4393</v>
      </c>
      <c r="D965" s="14" t="s">
        <v>4394</v>
      </c>
      <c r="E965" s="6" t="str">
        <f>HYPERLINK("https://twitter.com/WhyYouGoGreen/status/1364189766560940037","1364189766560940037")</f>
        <v>1364189766560940037</v>
      </c>
      <c r="F965" s="7" t="s">
        <v>4395</v>
      </c>
      <c r="G965" s="8"/>
      <c r="H965" s="8"/>
      <c r="I965" s="14">
        <v>1</v>
      </c>
      <c r="J965" s="14">
        <v>2</v>
      </c>
      <c r="K965" s="6" t="str">
        <f>HYPERLINK("https://paper.li","Paper.li")</f>
        <v>Paper.li</v>
      </c>
      <c r="L965" s="15">
        <v>255</v>
      </c>
      <c r="M965" s="15">
        <v>429</v>
      </c>
      <c r="N965" s="15">
        <v>11</v>
      </c>
      <c r="O965" s="9"/>
      <c r="P965" s="10">
        <v>40859.764016203706</v>
      </c>
      <c r="Q965" s="14" t="s">
        <v>990</v>
      </c>
      <c r="R965" s="14" t="s">
        <v>4396</v>
      </c>
      <c r="S965" s="7" t="s">
        <v>4397</v>
      </c>
      <c r="T965" s="8"/>
      <c r="U965" s="11" t="str">
        <f>HYPERLINK("https://pbs.twimg.com/profile_images/439520534745731074/jNQNtvrq.jpeg","View")</f>
        <v>View</v>
      </c>
      <c r="V965" s="8"/>
      <c r="W965" s="8"/>
      <c r="X965" s="8"/>
      <c r="Y965" s="8"/>
      <c r="Z965" s="8"/>
    </row>
    <row r="966" spans="1:26" ht="13.2">
      <c r="A966" s="13">
        <v>44250.559629629628</v>
      </c>
      <c r="B966" s="6" t="str">
        <f>HYPERLINK("https://twitter.com/lovebeingageek","@lovebeingageek")</f>
        <v>@lovebeingageek</v>
      </c>
      <c r="C966" s="14" t="s">
        <v>4398</v>
      </c>
      <c r="D966" s="14" t="s">
        <v>4399</v>
      </c>
      <c r="E966" s="6" t="str">
        <f>HYPERLINK("https://twitter.com/lovebeingageek/status/1364189733920903168","1364189733920903168")</f>
        <v>1364189733920903168</v>
      </c>
      <c r="F966" s="7" t="s">
        <v>4400</v>
      </c>
      <c r="G966" s="8"/>
      <c r="H966" s="8"/>
      <c r="I966" s="14">
        <v>0</v>
      </c>
      <c r="J966" s="14">
        <v>1</v>
      </c>
      <c r="K966" s="6" t="str">
        <f>HYPERLINK("http://www.linkedin.com/","LinkedIn")</f>
        <v>LinkedIn</v>
      </c>
      <c r="L966" s="15">
        <v>143</v>
      </c>
      <c r="M966" s="15">
        <v>123</v>
      </c>
      <c r="N966" s="15">
        <v>14</v>
      </c>
      <c r="O966" s="9"/>
      <c r="P966" s="10">
        <v>41417.004699074074</v>
      </c>
      <c r="Q966" s="14" t="s">
        <v>599</v>
      </c>
      <c r="R966" s="14" t="s">
        <v>4401</v>
      </c>
      <c r="S966" s="7" t="s">
        <v>4402</v>
      </c>
      <c r="T966" s="8"/>
      <c r="U966" s="11" t="str">
        <f>HYPERLINK("https://pbs.twimg.com/profile_images/1080780156636147712/BmbKR9YZ.jpg","View")</f>
        <v>View</v>
      </c>
      <c r="V966" s="8"/>
      <c r="W966" s="8"/>
      <c r="X966" s="8"/>
      <c r="Y966" s="8"/>
      <c r="Z966" s="8"/>
    </row>
    <row r="967" spans="1:26" ht="13.2">
      <c r="A967" s="13">
        <v>44250.559178240743</v>
      </c>
      <c r="B967" s="6" t="str">
        <f>HYPERLINK("https://twitter.com/AlertTrade","@AlertTrade")</f>
        <v>@AlertTrade</v>
      </c>
      <c r="C967" s="14" t="s">
        <v>1043</v>
      </c>
      <c r="D967" s="14" t="s">
        <v>4403</v>
      </c>
      <c r="E967" s="6" t="str">
        <f>HYPERLINK("https://twitter.com/AlertTrade/status/1364189567927144449","1364189567927144449")</f>
        <v>1364189567927144449</v>
      </c>
      <c r="F967" s="7" t="s">
        <v>4404</v>
      </c>
      <c r="G967" s="7" t="s">
        <v>4405</v>
      </c>
      <c r="H967" s="8"/>
      <c r="I967" s="14">
        <v>1</v>
      </c>
      <c r="J967" s="14">
        <v>2</v>
      </c>
      <c r="K967" s="6" t="str">
        <f>HYPERLINK("https://recurpost.com","recurpost.com")</f>
        <v>recurpost.com</v>
      </c>
      <c r="L967" s="15">
        <v>147561</v>
      </c>
      <c r="M967" s="15">
        <v>149760</v>
      </c>
      <c r="N967" s="15">
        <v>2503</v>
      </c>
      <c r="O967" s="9"/>
      <c r="P967" s="10">
        <v>40245.718449074076</v>
      </c>
      <c r="Q967" s="8"/>
      <c r="R967" s="14" t="s">
        <v>1047</v>
      </c>
      <c r="S967" s="7" t="s">
        <v>1048</v>
      </c>
      <c r="T967" s="8"/>
      <c r="U967" s="11" t="str">
        <f>HYPERLINK("https://pbs.twimg.com/profile_images/909427952001146880/UoMAp4JA.jpg","View")</f>
        <v>View</v>
      </c>
      <c r="V967" s="8"/>
      <c r="W967" s="8"/>
      <c r="X967" s="8"/>
      <c r="Y967" s="8"/>
      <c r="Z967" s="8"/>
    </row>
    <row r="968" spans="1:26" ht="13.2">
      <c r="A968" s="13">
        <v>44250.559062500004</v>
      </c>
      <c r="B968" s="6" t="str">
        <f>HYPERLINK("https://twitter.com/Radiology_AI","@Radiology_AI")</f>
        <v>@Radiology_AI</v>
      </c>
      <c r="C968" s="14" t="s">
        <v>2729</v>
      </c>
      <c r="D968" s="14" t="s">
        <v>4406</v>
      </c>
      <c r="E968" s="6" t="str">
        <f>HYPERLINK("https://twitter.com/Radiology_AI/status/1364189527758147587","1364189527758147587")</f>
        <v>1364189527758147587</v>
      </c>
      <c r="F968" s="7" t="s">
        <v>4407</v>
      </c>
      <c r="G968" s="7" t="s">
        <v>4408</v>
      </c>
      <c r="H968" s="8"/>
      <c r="I968" s="14">
        <v>1</v>
      </c>
      <c r="J968" s="14">
        <v>6</v>
      </c>
      <c r="K968" s="6" t="str">
        <f>HYPERLINK("https://pubs.rsna.org/journal/ai","Radiology: AI app")</f>
        <v>Radiology: AI app</v>
      </c>
      <c r="L968" s="15">
        <v>7117</v>
      </c>
      <c r="M968" s="15">
        <v>18</v>
      </c>
      <c r="N968" s="15">
        <v>91</v>
      </c>
      <c r="O968" s="9"/>
      <c r="P968" s="10">
        <v>43412.634467592594</v>
      </c>
      <c r="Q968" s="14" t="s">
        <v>2733</v>
      </c>
      <c r="R968" s="14" t="s">
        <v>2734</v>
      </c>
      <c r="S968" s="7" t="s">
        <v>2735</v>
      </c>
      <c r="T968" s="8"/>
      <c r="U968" s="11" t="str">
        <f>HYPERLINK("https://pbs.twimg.com/profile_images/1088215563233579008/a69L4EZB.jpg","View")</f>
        <v>View</v>
      </c>
      <c r="V968" s="8"/>
      <c r="W968" s="8"/>
      <c r="X968" s="8"/>
      <c r="Y968" s="8"/>
      <c r="Z968" s="8"/>
    </row>
    <row r="969" spans="1:26" ht="13.2">
      <c r="A969" s="13">
        <v>44250.558761574073</v>
      </c>
      <c r="B969" s="6" t="str">
        <f>HYPERLINK("https://twitter.com/Innovat78455398","@Innovat78455398")</f>
        <v>@Innovat78455398</v>
      </c>
      <c r="C969" s="14" t="s">
        <v>4318</v>
      </c>
      <c r="D969" s="14" t="s">
        <v>4409</v>
      </c>
      <c r="E969" s="6" t="str">
        <f>HYPERLINK("https://twitter.com/Innovat78455398/status/1364189420174249991","1364189420174249991")</f>
        <v>1364189420174249991</v>
      </c>
      <c r="F969" s="7" t="s">
        <v>4410</v>
      </c>
      <c r="G969" s="7" t="s">
        <v>4411</v>
      </c>
      <c r="H969" s="8"/>
      <c r="I969" s="14">
        <v>4</v>
      </c>
      <c r="J969" s="14">
        <v>8</v>
      </c>
      <c r="K969" s="6" t="str">
        <f>HYPERLINK("https://mobile.twitter.com","Twitter Web App")</f>
        <v>Twitter Web App</v>
      </c>
      <c r="L969" s="15">
        <v>101</v>
      </c>
      <c r="M969" s="15">
        <v>142</v>
      </c>
      <c r="N969" s="15">
        <v>1</v>
      </c>
      <c r="O969" s="9"/>
      <c r="P969" s="10">
        <v>44075.047534722224</v>
      </c>
      <c r="Q969" s="14" t="s">
        <v>623</v>
      </c>
      <c r="R969" s="14" t="s">
        <v>4322</v>
      </c>
      <c r="S969" s="8"/>
      <c r="T969" s="8"/>
      <c r="U969" s="11" t="str">
        <f>HYPERLINK("https://pbs.twimg.com/profile_images/1300571380098850818/YjKI8L9l.jpg","View")</f>
        <v>View</v>
      </c>
      <c r="V969" s="8"/>
      <c r="W969" s="8"/>
      <c r="X969" s="8"/>
      <c r="Y969" s="8"/>
      <c r="Z969" s="8"/>
    </row>
    <row r="970" spans="1:26" ht="13.2">
      <c r="A970" s="13">
        <v>44250.558703703704</v>
      </c>
      <c r="B970" s="6" t="str">
        <f>HYPERLINK("https://twitter.com/AfricaDataSch","@AfricaDataSch")</f>
        <v>@AfricaDataSch</v>
      </c>
      <c r="C970" s="14" t="s">
        <v>4412</v>
      </c>
      <c r="D970" s="14" t="s">
        <v>4413</v>
      </c>
      <c r="E970" s="6" t="str">
        <f>HYPERLINK("https://twitter.com/AfricaDataSch/status/1364189397348974594","1364189397348974594")</f>
        <v>1364189397348974594</v>
      </c>
      <c r="F970" s="8"/>
      <c r="G970" s="7" t="s">
        <v>4414</v>
      </c>
      <c r="H970" s="8"/>
      <c r="I970" s="14">
        <v>0</v>
      </c>
      <c r="J970" s="14">
        <v>2</v>
      </c>
      <c r="K970" s="6" t="str">
        <f>HYPERLINK("http://twitter.com/download/android","Twitter for Android")</f>
        <v>Twitter for Android</v>
      </c>
      <c r="L970" s="15">
        <v>410</v>
      </c>
      <c r="M970" s="15">
        <v>187</v>
      </c>
      <c r="N970" s="15">
        <v>1</v>
      </c>
      <c r="O970" s="9"/>
      <c r="P970" s="10">
        <v>43419.523946759262</v>
      </c>
      <c r="Q970" s="14" t="s">
        <v>3574</v>
      </c>
      <c r="R970" s="14" t="s">
        <v>4415</v>
      </c>
      <c r="S970" s="7" t="s">
        <v>4416</v>
      </c>
      <c r="T970" s="8"/>
      <c r="U970" s="11" t="str">
        <f>HYPERLINK("https://pbs.twimg.com/profile_images/1348284297623568385/IXYxiUk-.jpg","View")</f>
        <v>View</v>
      </c>
      <c r="V970" s="8"/>
      <c r="W970" s="8"/>
      <c r="X970" s="8"/>
      <c r="Y970" s="8"/>
      <c r="Z970" s="8"/>
    </row>
    <row r="971" spans="1:26" ht="13.2">
      <c r="A971" s="13">
        <v>44250.556423611109</v>
      </c>
      <c r="B971" s="6" t="str">
        <f>HYPERLINK("https://twitter.com/BhartiRajpuroh3","@BhartiRajpuroh3")</f>
        <v>@BhartiRajpuroh3</v>
      </c>
      <c r="C971" s="14" t="s">
        <v>4417</v>
      </c>
      <c r="D971" s="14" t="s">
        <v>4418</v>
      </c>
      <c r="E971" s="6" t="str">
        <f>HYPERLINK("https://twitter.com/BhartiRajpuroh3/status/1364188572673187841","1364188572673187841")</f>
        <v>1364188572673187841</v>
      </c>
      <c r="F971" s="7" t="s">
        <v>4419</v>
      </c>
      <c r="G971" s="8"/>
      <c r="H971" s="8"/>
      <c r="I971" s="14">
        <v>10</v>
      </c>
      <c r="J971" s="14">
        <v>5</v>
      </c>
      <c r="K971" s="6" t="str">
        <f>HYPERLINK("https://mobile.twitter.com","Twitter Web App")</f>
        <v>Twitter Web App</v>
      </c>
      <c r="L971" s="15">
        <v>168</v>
      </c>
      <c r="M971" s="15">
        <v>441</v>
      </c>
      <c r="N971" s="15">
        <v>1</v>
      </c>
      <c r="O971" s="9"/>
      <c r="P971" s="10">
        <v>43965.59878472222</v>
      </c>
      <c r="Q971" s="8"/>
      <c r="R971" s="14" t="s">
        <v>4420</v>
      </c>
      <c r="S971" s="8"/>
      <c r="T971" s="8"/>
      <c r="U971" s="11" t="str">
        <f>HYPERLINK("https://pbs.twimg.com/profile_images/1260910408447275008/Rnd9M5a9.jpg","View")</f>
        <v>View</v>
      </c>
      <c r="V971" s="8"/>
      <c r="W971" s="8"/>
      <c r="X971" s="8"/>
      <c r="Y971" s="8"/>
      <c r="Z971" s="8"/>
    </row>
    <row r="972" spans="1:26" ht="13.2">
      <c r="A972" s="13">
        <v>44250.556261574078</v>
      </c>
      <c r="B972" s="6" t="str">
        <f>HYPERLINK("https://twitter.com/RichardEudes","@RichardEudes")</f>
        <v>@RichardEudes</v>
      </c>
      <c r="C972" s="14" t="s">
        <v>341</v>
      </c>
      <c r="D972" s="14" t="s">
        <v>4421</v>
      </c>
      <c r="E972" s="6" t="str">
        <f>HYPERLINK("https://twitter.com/RichardEudes/status/1364188511293878277","1364188511293878277")</f>
        <v>1364188511293878277</v>
      </c>
      <c r="F972" s="7" t="s">
        <v>4422</v>
      </c>
      <c r="G972" s="8"/>
      <c r="H972" s="8"/>
      <c r="I972" s="14">
        <v>1</v>
      </c>
      <c r="J972" s="14">
        <v>2</v>
      </c>
      <c r="K972" s="6" t="str">
        <f>HYPERLINK("https://buffer.com","Buffer")</f>
        <v>Buffer</v>
      </c>
      <c r="L972" s="15">
        <v>16960</v>
      </c>
      <c r="M972" s="15">
        <v>1979</v>
      </c>
      <c r="N972" s="15">
        <v>668</v>
      </c>
      <c r="O972" s="9"/>
      <c r="P972" s="10">
        <v>39985.961481481485</v>
      </c>
      <c r="Q972" s="14" t="s">
        <v>106</v>
      </c>
      <c r="R972" s="14" t="s">
        <v>344</v>
      </c>
      <c r="S972" s="7" t="s">
        <v>345</v>
      </c>
      <c r="T972" s="8"/>
      <c r="U972" s="11" t="str">
        <f>HYPERLINK("https://pbs.twimg.com/profile_images/1332753391886491648/I9fBm3kf.jpg","View")</f>
        <v>View</v>
      </c>
      <c r="V972" s="8"/>
      <c r="W972" s="8"/>
      <c r="X972" s="8"/>
      <c r="Y972" s="8"/>
      <c r="Z972" s="8"/>
    </row>
    <row r="973" spans="1:26" ht="13.2">
      <c r="A973" s="13">
        <v>44250.556238425925</v>
      </c>
      <c r="B973" s="6" t="str">
        <f>HYPERLINK("https://twitter.com/Prashanth_NS","@Prashanth_NS")</f>
        <v>@Prashanth_NS</v>
      </c>
      <c r="C973" s="14" t="s">
        <v>4423</v>
      </c>
      <c r="D973" s="14" t="s">
        <v>4424</v>
      </c>
      <c r="E973" s="6" t="str">
        <f>HYPERLINK("https://twitter.com/Prashanth_NS/status/1364188505253978115","1364188505253978115")</f>
        <v>1364188505253978115</v>
      </c>
      <c r="F973" s="7" t="s">
        <v>4425</v>
      </c>
      <c r="G973" s="8"/>
      <c r="H973" s="8"/>
      <c r="I973" s="14">
        <v>8</v>
      </c>
      <c r="J973" s="14">
        <v>3</v>
      </c>
      <c r="K973" s="6" t="str">
        <f t="shared" ref="K973:K975" si="151">HYPERLINK("http://twitter.com/download/android","Twitter for Android")</f>
        <v>Twitter for Android</v>
      </c>
      <c r="L973" s="15">
        <v>1167</v>
      </c>
      <c r="M973" s="15">
        <v>53</v>
      </c>
      <c r="N973" s="15">
        <v>140</v>
      </c>
      <c r="O973" s="9"/>
      <c r="P973" s="10">
        <v>42120.421909722223</v>
      </c>
      <c r="Q973" s="14" t="s">
        <v>1742</v>
      </c>
      <c r="R973" s="14" t="s">
        <v>4426</v>
      </c>
      <c r="S973" s="8"/>
      <c r="T973" s="8"/>
      <c r="U973" s="11" t="str">
        <f>HYPERLINK("https://pbs.twimg.com/profile_images/1301374040414674945/J38_bT2D.jpg","View")</f>
        <v>View</v>
      </c>
      <c r="V973" s="8"/>
      <c r="W973" s="8"/>
      <c r="X973" s="8"/>
      <c r="Y973" s="8"/>
      <c r="Z973" s="8"/>
    </row>
    <row r="974" spans="1:26" ht="13.2">
      <c r="A974" s="13">
        <v>44250.555810185186</v>
      </c>
      <c r="B974" s="6" t="str">
        <f t="shared" ref="B974:B975" si="152">HYPERLINK("https://twitter.com/Programming1Pro","@Programming1Pro")</f>
        <v>@Programming1Pro</v>
      </c>
      <c r="C974" s="14" t="s">
        <v>1452</v>
      </c>
      <c r="D974" s="14" t="s">
        <v>4427</v>
      </c>
      <c r="E974" s="6" t="str">
        <f>HYPERLINK("https://twitter.com/Programming1Pro/status/1364188349037113346","1364188349037113346")</f>
        <v>1364188349037113346</v>
      </c>
      <c r="F974" s="7" t="s">
        <v>4428</v>
      </c>
      <c r="G974" s="7" t="s">
        <v>4429</v>
      </c>
      <c r="H974" s="8"/>
      <c r="I974" s="14">
        <v>14</v>
      </c>
      <c r="J974" s="14">
        <v>9</v>
      </c>
      <c r="K974" s="6" t="str">
        <f t="shared" si="151"/>
        <v>Twitter for Android</v>
      </c>
      <c r="L974" s="15">
        <v>154</v>
      </c>
      <c r="M974" s="15">
        <v>101</v>
      </c>
      <c r="N974" s="15">
        <v>5</v>
      </c>
      <c r="O974" s="9"/>
      <c r="P974" s="10">
        <v>44051.923946759256</v>
      </c>
      <c r="Q974" s="8"/>
      <c r="R974" s="14" t="s">
        <v>1456</v>
      </c>
      <c r="S974" s="7" t="s">
        <v>1457</v>
      </c>
      <c r="T974" s="8"/>
      <c r="U974" s="11" t="str">
        <f t="shared" ref="U974:U975" si="153">HYPERLINK("https://pbs.twimg.com/profile_images/1296026445592973312/Us0pl5f6.jpg","View")</f>
        <v>View</v>
      </c>
      <c r="V974" s="8"/>
      <c r="W974" s="8"/>
      <c r="X974" s="8"/>
      <c r="Y974" s="8"/>
      <c r="Z974" s="8"/>
    </row>
    <row r="975" spans="1:26" ht="13.2">
      <c r="A975" s="13">
        <v>44250.55569444444</v>
      </c>
      <c r="B975" s="6" t="str">
        <f t="shared" si="152"/>
        <v>@Programming1Pro</v>
      </c>
      <c r="C975" s="14" t="s">
        <v>1452</v>
      </c>
      <c r="D975" s="14" t="s">
        <v>4430</v>
      </c>
      <c r="E975" s="6" t="str">
        <f>HYPERLINK("https://twitter.com/Programming1Pro/status/1364188306905333760","1364188306905333760")</f>
        <v>1364188306905333760</v>
      </c>
      <c r="F975" s="7" t="s">
        <v>4431</v>
      </c>
      <c r="G975" s="7" t="s">
        <v>4432</v>
      </c>
      <c r="H975" s="8"/>
      <c r="I975" s="14">
        <v>30</v>
      </c>
      <c r="J975" s="14">
        <v>12</v>
      </c>
      <c r="K975" s="6" t="str">
        <f t="shared" si="151"/>
        <v>Twitter for Android</v>
      </c>
      <c r="L975" s="15">
        <v>154</v>
      </c>
      <c r="M975" s="15">
        <v>101</v>
      </c>
      <c r="N975" s="15">
        <v>5</v>
      </c>
      <c r="O975" s="9"/>
      <c r="P975" s="10">
        <v>44051.923946759256</v>
      </c>
      <c r="Q975" s="8"/>
      <c r="R975" s="14" t="s">
        <v>1456</v>
      </c>
      <c r="S975" s="7" t="s">
        <v>1457</v>
      </c>
      <c r="T975" s="8"/>
      <c r="U975" s="11" t="str">
        <f t="shared" si="153"/>
        <v>View</v>
      </c>
      <c r="V975" s="8"/>
      <c r="W975" s="8"/>
      <c r="X975" s="8"/>
      <c r="Y975" s="8"/>
      <c r="Z975" s="8"/>
    </row>
    <row r="976" spans="1:26" ht="13.2">
      <c r="A976" s="13">
        <v>44250.555671296301</v>
      </c>
      <c r="B976" s="6" t="str">
        <f>HYPERLINK("https://twitter.com/NellisterC","@NellisterC")</f>
        <v>@NellisterC</v>
      </c>
      <c r="C976" s="14" t="s">
        <v>1694</v>
      </c>
      <c r="D976" s="14" t="s">
        <v>4433</v>
      </c>
      <c r="E976" s="6" t="str">
        <f>HYPERLINK("https://twitter.com/NellisterC/status/1364188298466500612","1364188298466500612")</f>
        <v>1364188298466500612</v>
      </c>
      <c r="F976" s="14" t="s">
        <v>4434</v>
      </c>
      <c r="G976" s="8"/>
      <c r="H976" s="8"/>
      <c r="I976" s="14">
        <v>0</v>
      </c>
      <c r="J976" s="14">
        <v>1</v>
      </c>
      <c r="K976" s="6" t="str">
        <f>HYPERLINK("http://twinybots.com","TwinyBots")</f>
        <v>TwinyBots</v>
      </c>
      <c r="L976" s="15">
        <v>198</v>
      </c>
      <c r="M976" s="15">
        <v>560</v>
      </c>
      <c r="N976" s="15">
        <v>10</v>
      </c>
      <c r="O976" s="9"/>
      <c r="P976" s="10">
        <v>43599.954525462963</v>
      </c>
      <c r="Q976" s="8"/>
      <c r="R976" s="8"/>
      <c r="S976" s="8"/>
      <c r="T976" s="8"/>
      <c r="U976" s="11" t="str">
        <f>HYPERLINK("https://pbs.twimg.com/profile_images/1203805530122313728/6wZUGRfP.jpg","View")</f>
        <v>View</v>
      </c>
      <c r="V976" s="8"/>
      <c r="W976" s="8"/>
      <c r="X976" s="8"/>
      <c r="Y976" s="8"/>
      <c r="Z976" s="8"/>
    </row>
    <row r="977" spans="1:26" ht="13.2">
      <c r="A977" s="13">
        <v>44250.555567129632</v>
      </c>
      <c r="B977" s="6" t="str">
        <f>HYPERLINK("https://twitter.com/DivergentCIO","@DivergentCIO")</f>
        <v>@DivergentCIO</v>
      </c>
      <c r="C977" s="14" t="s">
        <v>3912</v>
      </c>
      <c r="D977" s="14" t="s">
        <v>4435</v>
      </c>
      <c r="E977" s="6" t="str">
        <f>HYPERLINK("https://twitter.com/DivergentCIO/status/1364188260352864256","1364188260352864256")</f>
        <v>1364188260352864256</v>
      </c>
      <c r="F977" s="7" t="s">
        <v>4436</v>
      </c>
      <c r="G977" s="8"/>
      <c r="H977" s="8"/>
      <c r="I977" s="14">
        <v>3</v>
      </c>
      <c r="J977" s="14">
        <v>1</v>
      </c>
      <c r="K977" s="6" t="str">
        <f>HYPERLINK("https://buffer.com","Buffer")</f>
        <v>Buffer</v>
      </c>
      <c r="L977" s="15">
        <v>28614</v>
      </c>
      <c r="M977" s="15">
        <v>26399</v>
      </c>
      <c r="N977" s="15">
        <v>1647</v>
      </c>
      <c r="O977" s="9"/>
      <c r="P977" s="10">
        <v>42071.947187500002</v>
      </c>
      <c r="Q977" s="14" t="s">
        <v>3915</v>
      </c>
      <c r="R977" s="14" t="s">
        <v>3916</v>
      </c>
      <c r="S977" s="7" t="s">
        <v>3917</v>
      </c>
      <c r="T977" s="8"/>
      <c r="U977" s="11" t="str">
        <f>HYPERLINK("https://pbs.twimg.com/profile_images/767507322583199745/rpfbzBzg.jpg","View")</f>
        <v>View</v>
      </c>
      <c r="V977" s="8"/>
      <c r="W977" s="8"/>
      <c r="X977" s="8"/>
      <c r="Y977" s="8"/>
      <c r="Z977" s="8"/>
    </row>
    <row r="978" spans="1:26" ht="13.2">
      <c r="A978" s="13">
        <v>44250.555497685185</v>
      </c>
      <c r="B978" s="6" t="str">
        <f t="shared" ref="B978:B980" si="154">HYPERLINK("https://twitter.com/Programming1Pro","@Programming1Pro")</f>
        <v>@Programming1Pro</v>
      </c>
      <c r="C978" s="14" t="s">
        <v>1452</v>
      </c>
      <c r="D978" s="14" t="s">
        <v>4437</v>
      </c>
      <c r="E978" s="6" t="str">
        <f>HYPERLINK("https://twitter.com/Programming1Pro/status/1364188236088680450","1364188236088680450")</f>
        <v>1364188236088680450</v>
      </c>
      <c r="F978" s="7" t="s">
        <v>4438</v>
      </c>
      <c r="G978" s="7" t="s">
        <v>4439</v>
      </c>
      <c r="H978" s="8"/>
      <c r="I978" s="14">
        <v>18</v>
      </c>
      <c r="J978" s="14">
        <v>10</v>
      </c>
      <c r="K978" s="6" t="str">
        <f t="shared" ref="K978:K980" si="155">HYPERLINK("http://twitter.com/download/android","Twitter for Android")</f>
        <v>Twitter for Android</v>
      </c>
      <c r="L978" s="15">
        <v>154</v>
      </c>
      <c r="M978" s="15">
        <v>101</v>
      </c>
      <c r="N978" s="15">
        <v>5</v>
      </c>
      <c r="O978" s="9"/>
      <c r="P978" s="10">
        <v>44051.923946759256</v>
      </c>
      <c r="Q978" s="8"/>
      <c r="R978" s="14" t="s">
        <v>1456</v>
      </c>
      <c r="S978" s="7" t="s">
        <v>1457</v>
      </c>
      <c r="T978" s="8"/>
      <c r="U978" s="11" t="str">
        <f t="shared" ref="U978:U980" si="156">HYPERLINK("https://pbs.twimg.com/profile_images/1296026445592973312/Us0pl5f6.jpg","View")</f>
        <v>View</v>
      </c>
      <c r="V978" s="8"/>
      <c r="W978" s="8"/>
      <c r="X978" s="8"/>
      <c r="Y978" s="8"/>
      <c r="Z978" s="8"/>
    </row>
    <row r="979" spans="1:26" ht="13.2">
      <c r="A979" s="13">
        <v>44250.55537037037</v>
      </c>
      <c r="B979" s="6" t="str">
        <f t="shared" si="154"/>
        <v>@Programming1Pro</v>
      </c>
      <c r="C979" s="14" t="s">
        <v>1452</v>
      </c>
      <c r="D979" s="14" t="s">
        <v>4440</v>
      </c>
      <c r="E979" s="6" t="str">
        <f>HYPERLINK("https://twitter.com/Programming1Pro/status/1364188188592365574","1364188188592365574")</f>
        <v>1364188188592365574</v>
      </c>
      <c r="F979" s="7" t="s">
        <v>4441</v>
      </c>
      <c r="G979" s="7" t="s">
        <v>4442</v>
      </c>
      <c r="H979" s="8"/>
      <c r="I979" s="14">
        <v>16</v>
      </c>
      <c r="J979" s="14">
        <v>7</v>
      </c>
      <c r="K979" s="6" t="str">
        <f t="shared" si="155"/>
        <v>Twitter for Android</v>
      </c>
      <c r="L979" s="15">
        <v>154</v>
      </c>
      <c r="M979" s="15">
        <v>101</v>
      </c>
      <c r="N979" s="15">
        <v>5</v>
      </c>
      <c r="O979" s="9"/>
      <c r="P979" s="10">
        <v>44051.923946759256</v>
      </c>
      <c r="Q979" s="8"/>
      <c r="R979" s="14" t="s">
        <v>1456</v>
      </c>
      <c r="S979" s="7" t="s">
        <v>1457</v>
      </c>
      <c r="T979" s="8"/>
      <c r="U979" s="11" t="str">
        <f t="shared" si="156"/>
        <v>View</v>
      </c>
      <c r="V979" s="8"/>
      <c r="W979" s="8"/>
      <c r="X979" s="8"/>
      <c r="Y979" s="8"/>
      <c r="Z979" s="8"/>
    </row>
    <row r="980" spans="1:26" ht="13.2">
      <c r="A980" s="13">
        <v>44250.555104166662</v>
      </c>
      <c r="B980" s="6" t="str">
        <f t="shared" si="154"/>
        <v>@Programming1Pro</v>
      </c>
      <c r="C980" s="14" t="s">
        <v>1452</v>
      </c>
      <c r="D980" s="14" t="s">
        <v>4443</v>
      </c>
      <c r="E980" s="6" t="str">
        <f>HYPERLINK("https://twitter.com/Programming1Pro/status/1364188091997560833","1364188091997560833")</f>
        <v>1364188091997560833</v>
      </c>
      <c r="F980" s="7" t="s">
        <v>4444</v>
      </c>
      <c r="G980" s="7" t="s">
        <v>4445</v>
      </c>
      <c r="H980" s="8"/>
      <c r="I980" s="14">
        <v>16</v>
      </c>
      <c r="J980" s="14">
        <v>7</v>
      </c>
      <c r="K980" s="6" t="str">
        <f t="shared" si="155"/>
        <v>Twitter for Android</v>
      </c>
      <c r="L980" s="15">
        <v>154</v>
      </c>
      <c r="M980" s="15">
        <v>101</v>
      </c>
      <c r="N980" s="15">
        <v>5</v>
      </c>
      <c r="O980" s="9"/>
      <c r="P980" s="10">
        <v>44051.923946759256</v>
      </c>
      <c r="Q980" s="8"/>
      <c r="R980" s="14" t="s">
        <v>1456</v>
      </c>
      <c r="S980" s="7" t="s">
        <v>1457</v>
      </c>
      <c r="T980" s="8"/>
      <c r="U980" s="11" t="str">
        <f t="shared" si="156"/>
        <v>View</v>
      </c>
      <c r="V980" s="8"/>
      <c r="W980" s="8"/>
      <c r="X980" s="8"/>
      <c r="Y980" s="8"/>
      <c r="Z980" s="8"/>
    </row>
    <row r="981" spans="1:26" ht="13.2">
      <c r="A981" s="13">
        <v>44250.555104166662</v>
      </c>
      <c r="B981" s="6" t="str">
        <f>HYPERLINK("https://twitter.com/Davide__Cirillo","@Davide__Cirillo")</f>
        <v>@Davide__Cirillo</v>
      </c>
      <c r="C981" s="14" t="s">
        <v>4446</v>
      </c>
      <c r="D981" s="14" t="s">
        <v>4447</v>
      </c>
      <c r="E981" s="6" t="str">
        <f>HYPERLINK("https://twitter.com/Davide__Cirillo/status/1364188091725062146","1364188091725062146")</f>
        <v>1364188091725062146</v>
      </c>
      <c r="F981" s="7" t="s">
        <v>4448</v>
      </c>
      <c r="G981" s="7" t="s">
        <v>4449</v>
      </c>
      <c r="H981" s="8"/>
      <c r="I981" s="14">
        <v>15</v>
      </c>
      <c r="J981" s="14">
        <v>16</v>
      </c>
      <c r="K981" s="6" t="str">
        <f>HYPERLINK("https://mobile.twitter.com","Twitter Web App")</f>
        <v>Twitter Web App</v>
      </c>
      <c r="L981" s="15">
        <v>286</v>
      </c>
      <c r="M981" s="15">
        <v>281</v>
      </c>
      <c r="N981" s="15">
        <v>9</v>
      </c>
      <c r="O981" s="9"/>
      <c r="P981" s="10">
        <v>40139.012974537036</v>
      </c>
      <c r="Q981" s="14" t="s">
        <v>3925</v>
      </c>
      <c r="R981" s="14" t="s">
        <v>4450</v>
      </c>
      <c r="S981" s="8"/>
      <c r="T981" s="8"/>
      <c r="U981" s="11" t="str">
        <f>HYPERLINK("https://pbs.twimg.com/profile_images/537735546/tree.jpg","View")</f>
        <v>View</v>
      </c>
      <c r="V981" s="8"/>
      <c r="W981" s="8"/>
      <c r="X981" s="8"/>
      <c r="Y981" s="8"/>
      <c r="Z981" s="8"/>
    </row>
    <row r="982" spans="1:26" ht="13.2">
      <c r="A982" s="13">
        <v>44250.554872685185</v>
      </c>
      <c r="B982" s="6" t="str">
        <f>HYPERLINK("https://twitter.com/Programming1Pro","@Programming1Pro")</f>
        <v>@Programming1Pro</v>
      </c>
      <c r="C982" s="14" t="s">
        <v>1452</v>
      </c>
      <c r="D982" s="14" t="s">
        <v>4451</v>
      </c>
      <c r="E982" s="6" t="str">
        <f>HYPERLINK("https://twitter.com/Programming1Pro/status/1364188009143263232","1364188009143263232")</f>
        <v>1364188009143263232</v>
      </c>
      <c r="F982" s="7" t="s">
        <v>4452</v>
      </c>
      <c r="G982" s="7" t="s">
        <v>4453</v>
      </c>
      <c r="H982" s="8"/>
      <c r="I982" s="14">
        <v>20</v>
      </c>
      <c r="J982" s="14">
        <v>9</v>
      </c>
      <c r="K982" s="6" t="str">
        <f>HYPERLINK("http://twitter.com/download/android","Twitter for Android")</f>
        <v>Twitter for Android</v>
      </c>
      <c r="L982" s="15">
        <v>154</v>
      </c>
      <c r="M982" s="15">
        <v>101</v>
      </c>
      <c r="N982" s="15">
        <v>5</v>
      </c>
      <c r="O982" s="9"/>
      <c r="P982" s="10">
        <v>44051.923946759256</v>
      </c>
      <c r="Q982" s="8"/>
      <c r="R982" s="14" t="s">
        <v>1456</v>
      </c>
      <c r="S982" s="7" t="s">
        <v>1457</v>
      </c>
      <c r="T982" s="8"/>
      <c r="U982" s="11" t="str">
        <f>HYPERLINK("https://pbs.twimg.com/profile_images/1296026445592973312/Us0pl5f6.jpg","View")</f>
        <v>View</v>
      </c>
      <c r="V982" s="8"/>
      <c r="W982" s="8"/>
      <c r="X982" s="8"/>
      <c r="Y982" s="8"/>
      <c r="Z982" s="8"/>
    </row>
    <row r="983" spans="1:26" ht="13.2">
      <c r="A983" s="13">
        <v>44250.554189814815</v>
      </c>
      <c r="B983" s="6" t="str">
        <f>HYPERLINK("https://twitter.com/Datascience__","@Datascience__")</f>
        <v>@Datascience__</v>
      </c>
      <c r="C983" s="14" t="s">
        <v>1082</v>
      </c>
      <c r="D983" s="14" t="s">
        <v>4454</v>
      </c>
      <c r="E983" s="6" t="str">
        <f>HYPERLINK("https://twitter.com/Datascience__/status/1364187760660271106","1364187760660271106")</f>
        <v>1364187760660271106</v>
      </c>
      <c r="F983" s="7" t="s">
        <v>4455</v>
      </c>
      <c r="G983" s="8"/>
      <c r="H983" s="8"/>
      <c r="I983" s="14">
        <v>3</v>
      </c>
      <c r="J983" s="14">
        <v>1</v>
      </c>
      <c r="K983" s="6" t="str">
        <f>HYPERLINK("https://twitter.com/pythonbot_","Postmatico")</f>
        <v>Postmatico</v>
      </c>
      <c r="L983" s="15">
        <v>21499</v>
      </c>
      <c r="M983" s="15">
        <v>11071</v>
      </c>
      <c r="N983" s="15">
        <v>0</v>
      </c>
      <c r="O983" s="9"/>
      <c r="P983" s="10">
        <v>42735.551377314812</v>
      </c>
      <c r="Q983" s="8"/>
      <c r="R983" s="14" t="s">
        <v>1085</v>
      </c>
      <c r="S983" s="7" t="s">
        <v>1086</v>
      </c>
      <c r="T983" s="8"/>
      <c r="U983" s="11" t="str">
        <f>HYPERLINK("https://pbs.twimg.com/profile_images/989066461435097088/AQZSFyuk.jpg","View")</f>
        <v>View</v>
      </c>
      <c r="V983" s="8"/>
      <c r="W983" s="8"/>
      <c r="X983" s="8"/>
      <c r="Y983" s="8"/>
      <c r="Z983" s="8"/>
    </row>
    <row r="984" spans="1:26" ht="13.2">
      <c r="A984" s="13">
        <v>44250.55400462963</v>
      </c>
      <c r="B984" s="6" t="str">
        <f>HYPERLINK("https://twitter.com/ComputerworldES","@ComputerworldES")</f>
        <v>@ComputerworldES</v>
      </c>
      <c r="C984" s="14" t="s">
        <v>4456</v>
      </c>
      <c r="D984" s="14" t="s">
        <v>4457</v>
      </c>
      <c r="E984" s="6" t="str">
        <f>HYPERLINK("https://twitter.com/ComputerworldES/status/1364187693119332359","1364187693119332359")</f>
        <v>1364187693119332359</v>
      </c>
      <c r="F984" s="8"/>
      <c r="G984" s="7" t="s">
        <v>4458</v>
      </c>
      <c r="H984" s="8"/>
      <c r="I984" s="14">
        <v>3</v>
      </c>
      <c r="J984" s="14">
        <v>1</v>
      </c>
      <c r="K984" s="6" t="str">
        <f>HYPERLINK("https://about.twitter.com/products/tweetdeck","TweetDeck")</f>
        <v>TweetDeck</v>
      </c>
      <c r="L984" s="15">
        <v>24652</v>
      </c>
      <c r="M984" s="15">
        <v>855</v>
      </c>
      <c r="N984" s="15">
        <v>957</v>
      </c>
      <c r="O984" s="9"/>
      <c r="P984" s="10">
        <v>40148.452118055553</v>
      </c>
      <c r="Q984" s="14" t="s">
        <v>2396</v>
      </c>
      <c r="R984" s="14" t="s">
        <v>4459</v>
      </c>
      <c r="S984" s="7" t="s">
        <v>4460</v>
      </c>
      <c r="T984" s="8"/>
      <c r="U984" s="11" t="str">
        <f>HYPERLINK("https://pbs.twimg.com/profile_images/976774433451970560/2qUiz67A.jpg","View")</f>
        <v>View</v>
      </c>
      <c r="V984" s="8"/>
      <c r="W984" s="8"/>
      <c r="X984" s="8"/>
      <c r="Y984" s="8"/>
      <c r="Z984" s="8"/>
    </row>
    <row r="985" spans="1:26" ht="13.2">
      <c r="A985" s="13">
        <v>44250.553645833337</v>
      </c>
      <c r="B985" s="6" t="str">
        <f>HYPERLINK("https://twitter.com/awsusergroupsp","@awsusergroupsp")</f>
        <v>@awsusergroupsp</v>
      </c>
      <c r="C985" s="14" t="s">
        <v>4461</v>
      </c>
      <c r="D985" s="14" t="s">
        <v>4462</v>
      </c>
      <c r="E985" s="6" t="str">
        <f>HYPERLINK("https://twitter.com/awsusergroupsp/status/1364187566086492161","1364187566086492161")</f>
        <v>1364187566086492161</v>
      </c>
      <c r="F985" s="7" t="s">
        <v>4463</v>
      </c>
      <c r="G985" s="8"/>
      <c r="H985" s="8"/>
      <c r="I985" s="14">
        <v>3</v>
      </c>
      <c r="J985" s="14">
        <v>8</v>
      </c>
      <c r="K985" s="6" t="str">
        <f>HYPERLINK("https://mobile.twitter.com","Twitter Web App")</f>
        <v>Twitter Web App</v>
      </c>
      <c r="L985" s="15">
        <v>946</v>
      </c>
      <c r="M985" s="15">
        <v>1106</v>
      </c>
      <c r="N985" s="15">
        <v>10</v>
      </c>
      <c r="O985" s="9"/>
      <c r="P985" s="10">
        <v>42870.866203703699</v>
      </c>
      <c r="Q985" s="14" t="s">
        <v>2834</v>
      </c>
      <c r="R985" s="14" t="s">
        <v>4464</v>
      </c>
      <c r="S985" s="7" t="s">
        <v>4465</v>
      </c>
      <c r="T985" s="8"/>
      <c r="U985" s="11" t="str">
        <f>HYPERLINK("https://pbs.twimg.com/profile_images/1121179968522813440/_RPncrGC.png","View")</f>
        <v>View</v>
      </c>
      <c r="V985" s="8"/>
      <c r="W985" s="8"/>
      <c r="X985" s="8"/>
      <c r="Y985" s="8"/>
      <c r="Z985" s="8"/>
    </row>
    <row r="986" spans="1:26" ht="13.2">
      <c r="A986" s="13">
        <v>44250.553495370375</v>
      </c>
      <c r="B986" s="6" t="str">
        <f>HYPERLINK("https://twitter.com/BristowColin","@BristowColin")</f>
        <v>@BristowColin</v>
      </c>
      <c r="C986" s="14" t="s">
        <v>596</v>
      </c>
      <c r="D986" s="14" t="s">
        <v>4466</v>
      </c>
      <c r="E986" s="6" t="str">
        <f>HYPERLINK("https://twitter.com/BristowColin/status/1364187510998331396","1364187510998331396")</f>
        <v>1364187510998331396</v>
      </c>
      <c r="F986" s="7" t="s">
        <v>4467</v>
      </c>
      <c r="G986" s="7" t="s">
        <v>4468</v>
      </c>
      <c r="H986" s="8"/>
      <c r="I986" s="14">
        <v>17</v>
      </c>
      <c r="J986" s="14">
        <v>3</v>
      </c>
      <c r="K986" s="6" t="str">
        <f>HYPERLINK("http://dynamicsignal.com/","Dynamic Signal")</f>
        <v>Dynamic Signal</v>
      </c>
      <c r="L986" s="15">
        <v>12149</v>
      </c>
      <c r="M986" s="15">
        <v>9707</v>
      </c>
      <c r="N986" s="15">
        <v>155</v>
      </c>
      <c r="O986" s="9"/>
      <c r="P986" s="10">
        <v>40900.478090277778</v>
      </c>
      <c r="Q986" s="14" t="s">
        <v>599</v>
      </c>
      <c r="R986" s="14" t="s">
        <v>600</v>
      </c>
      <c r="S986" s="7" t="s">
        <v>601</v>
      </c>
      <c r="T986" s="8"/>
      <c r="U986" s="11" t="str">
        <f>HYPERLINK("https://pbs.twimg.com/profile_images/692994884270198784/jQX64C1s.jpg","View")</f>
        <v>View</v>
      </c>
      <c r="V986" s="8"/>
      <c r="W986" s="8"/>
      <c r="X986" s="8"/>
      <c r="Y986" s="8"/>
      <c r="Z986" s="8"/>
    </row>
    <row r="987" spans="1:26" ht="13.2">
      <c r="A987" s="13">
        <v>44250.553171296298</v>
      </c>
      <c r="B987" s="6" t="str">
        <f>HYPERLINK("https://twitter.com/LlcPandata","@LlcPandata")</f>
        <v>@LlcPandata</v>
      </c>
      <c r="C987" s="14" t="s">
        <v>4469</v>
      </c>
      <c r="D987" s="14" t="s">
        <v>4470</v>
      </c>
      <c r="E987" s="6" t="str">
        <f>HYPERLINK("https://twitter.com/LlcPandata/status/1364187393276989441","1364187393276989441")</f>
        <v>1364187393276989441</v>
      </c>
      <c r="F987" s="7" t="s">
        <v>4471</v>
      </c>
      <c r="G987" s="7" t="s">
        <v>4472</v>
      </c>
      <c r="H987" s="8"/>
      <c r="I987" s="14">
        <v>4</v>
      </c>
      <c r="J987" s="14">
        <v>0</v>
      </c>
      <c r="K987" s="6" t="str">
        <f t="shared" ref="K987:K988" si="157">HYPERLINK("https://mobile.twitter.com","Twitter Web App")</f>
        <v>Twitter Web App</v>
      </c>
      <c r="L987" s="15">
        <v>16</v>
      </c>
      <c r="M987" s="15">
        <v>45</v>
      </c>
      <c r="N987" s="15">
        <v>0</v>
      </c>
      <c r="O987" s="9"/>
      <c r="P987" s="10">
        <v>44039.6871875</v>
      </c>
      <c r="Q987" s="14" t="s">
        <v>4473</v>
      </c>
      <c r="R987" s="14" t="s">
        <v>4474</v>
      </c>
      <c r="S987" s="7" t="s">
        <v>4475</v>
      </c>
      <c r="T987" s="8"/>
      <c r="U987" s="11" t="str">
        <f>HYPERLINK("https://pbs.twimg.com/profile_images/1287757114170126336/X3im8lMq.jpg","View")</f>
        <v>View</v>
      </c>
      <c r="V987" s="8"/>
      <c r="W987" s="8"/>
      <c r="X987" s="8"/>
      <c r="Y987" s="8"/>
      <c r="Z987" s="8"/>
    </row>
    <row r="988" spans="1:26" ht="13.2">
      <c r="A988" s="13">
        <v>44250.552928240737</v>
      </c>
      <c r="B988" s="6" t="str">
        <f>HYPERLINK("https://twitter.com/Learnbay1","@Learnbay1")</f>
        <v>@Learnbay1</v>
      </c>
      <c r="C988" s="14" t="s">
        <v>4476</v>
      </c>
      <c r="D988" s="14" t="s">
        <v>4477</v>
      </c>
      <c r="E988" s="6" t="str">
        <f>HYPERLINK("https://twitter.com/Learnbay1/status/1364187302990282754","1364187302990282754")</f>
        <v>1364187302990282754</v>
      </c>
      <c r="F988" s="7" t="s">
        <v>4478</v>
      </c>
      <c r="G988" s="8"/>
      <c r="H988" s="8"/>
      <c r="I988" s="14">
        <v>2</v>
      </c>
      <c r="J988" s="14">
        <v>1</v>
      </c>
      <c r="K988" s="6" t="str">
        <f t="shared" si="157"/>
        <v>Twitter Web App</v>
      </c>
      <c r="L988" s="15">
        <v>447</v>
      </c>
      <c r="M988" s="15">
        <v>855</v>
      </c>
      <c r="N988" s="15">
        <v>3</v>
      </c>
      <c r="O988" s="9"/>
      <c r="P988" s="10">
        <v>42834.679722222223</v>
      </c>
      <c r="Q988" s="8"/>
      <c r="R988" s="14" t="s">
        <v>4479</v>
      </c>
      <c r="S988" s="7" t="s">
        <v>4480</v>
      </c>
      <c r="T988" s="8"/>
      <c r="U988" s="11" t="str">
        <f>HYPERLINK("https://pbs.twimg.com/profile_images/1197395041897107457/fklcyi96.jpg","View")</f>
        <v>View</v>
      </c>
      <c r="V988" s="8"/>
      <c r="W988" s="8"/>
      <c r="X988" s="8"/>
      <c r="Y988" s="8"/>
      <c r="Z988" s="8"/>
    </row>
    <row r="989" spans="1:26" ht="13.2">
      <c r="A989" s="13">
        <v>44250.552453703705</v>
      </c>
      <c r="B989" s="6" t="str">
        <f>HYPERLINK("https://twitter.com/KimPgch","@KimPgch")</f>
        <v>@KimPgch</v>
      </c>
      <c r="C989" s="14" t="s">
        <v>1311</v>
      </c>
      <c r="D989" s="14" t="s">
        <v>4481</v>
      </c>
      <c r="E989" s="6" t="str">
        <f>HYPERLINK("https://twitter.com/KimPgch/status/1364187131615322117","1364187131615322117")</f>
        <v>1364187131615322117</v>
      </c>
      <c r="F989" s="14" t="s">
        <v>2482</v>
      </c>
      <c r="G989" s="8"/>
      <c r="H989" s="8"/>
      <c r="I989" s="14">
        <v>2</v>
      </c>
      <c r="J989" s="14">
        <v>2</v>
      </c>
      <c r="K989" s="6" t="str">
        <f t="shared" ref="K989:K990" si="158">HYPERLINK("http://twinybots.com","TwinyBots")</f>
        <v>TwinyBots</v>
      </c>
      <c r="L989" s="15">
        <v>5717</v>
      </c>
      <c r="M989" s="15">
        <v>5802</v>
      </c>
      <c r="N989" s="15">
        <v>37</v>
      </c>
      <c r="O989" s="9"/>
      <c r="P989" s="10">
        <v>41926.214687500003</v>
      </c>
      <c r="Q989" s="14" t="s">
        <v>650</v>
      </c>
      <c r="R989" s="14" t="s">
        <v>1314</v>
      </c>
      <c r="S989" s="7" t="s">
        <v>1315</v>
      </c>
      <c r="T989" s="8"/>
      <c r="U989" s="11" t="str">
        <f>HYPERLINK("https://pbs.twimg.com/profile_images/525481353182072832/qd_bfvn9.jpeg","View")</f>
        <v>View</v>
      </c>
      <c r="V989" s="8"/>
      <c r="W989" s="8"/>
      <c r="X989" s="8"/>
      <c r="Y989" s="8"/>
      <c r="Z989" s="8"/>
    </row>
    <row r="990" spans="1:26" ht="13.2">
      <c r="A990" s="13">
        <v>44250.552407407406</v>
      </c>
      <c r="B990" s="6" t="str">
        <f>HYPERLINK("https://twitter.com/NellisterC","@NellisterC")</f>
        <v>@NellisterC</v>
      </c>
      <c r="C990" s="14" t="s">
        <v>1694</v>
      </c>
      <c r="D990" s="14" t="s">
        <v>4482</v>
      </c>
      <c r="E990" s="6" t="str">
        <f>HYPERLINK("https://twitter.com/NellisterC/status/1364187116725538820","1364187116725538820")</f>
        <v>1364187116725538820</v>
      </c>
      <c r="F990" s="14" t="s">
        <v>4483</v>
      </c>
      <c r="G990" s="8"/>
      <c r="H990" s="8"/>
      <c r="I990" s="14">
        <v>2</v>
      </c>
      <c r="J990" s="14">
        <v>1</v>
      </c>
      <c r="K990" s="6" t="str">
        <f t="shared" si="158"/>
        <v>TwinyBots</v>
      </c>
      <c r="L990" s="15">
        <v>198</v>
      </c>
      <c r="M990" s="15">
        <v>560</v>
      </c>
      <c r="N990" s="15">
        <v>10</v>
      </c>
      <c r="O990" s="9"/>
      <c r="P990" s="10">
        <v>43599.954525462963</v>
      </c>
      <c r="Q990" s="8"/>
      <c r="R990" s="8"/>
      <c r="S990" s="8"/>
      <c r="T990" s="8"/>
      <c r="U990" s="11" t="str">
        <f>HYPERLINK("https://pbs.twimg.com/profile_images/1203805530122313728/6wZUGRfP.jpg","View")</f>
        <v>View</v>
      </c>
      <c r="V990" s="8"/>
      <c r="W990" s="8"/>
      <c r="X990" s="8"/>
      <c r="Y990" s="8"/>
      <c r="Z990" s="8"/>
    </row>
    <row r="991" spans="1:26" ht="13.2">
      <c r="A991" s="13">
        <v>44250.552199074074</v>
      </c>
      <c r="B991" s="6" t="str">
        <f>HYPERLINK("https://twitter.com/andresvilarino","@andresvilarino")</f>
        <v>@andresvilarino</v>
      </c>
      <c r="C991" s="14" t="s">
        <v>72</v>
      </c>
      <c r="D991" s="14" t="s">
        <v>4484</v>
      </c>
      <c r="E991" s="6" t="str">
        <f>HYPERLINK("https://twitter.com/andresvilarino/status/1364187041995649025","1364187041995649025")</f>
        <v>1364187041995649025</v>
      </c>
      <c r="F991" s="7" t="s">
        <v>4485</v>
      </c>
      <c r="G991" s="8"/>
      <c r="H991" s="8"/>
      <c r="I991" s="14">
        <v>6</v>
      </c>
      <c r="J991" s="14">
        <v>4</v>
      </c>
      <c r="K991" s="6" t="str">
        <f t="shared" ref="K991:K992" si="159">HYPERLINK("https://www.hootsuite.com","Hootsuite Inc.")</f>
        <v>Hootsuite Inc.</v>
      </c>
      <c r="L991" s="15">
        <v>5136</v>
      </c>
      <c r="M991" s="15">
        <v>5043</v>
      </c>
      <c r="N991" s="15">
        <v>79</v>
      </c>
      <c r="O991" s="9"/>
      <c r="P991" s="10">
        <v>40346.43136574074</v>
      </c>
      <c r="Q991" s="14" t="s">
        <v>75</v>
      </c>
      <c r="R991" s="14" t="s">
        <v>76</v>
      </c>
      <c r="S991" s="7" t="s">
        <v>77</v>
      </c>
      <c r="T991" s="8"/>
      <c r="U991" s="11" t="str">
        <f>HYPERLINK("https://pbs.twimg.com/profile_images/1015329397929177088/9OR3sIzf.jpg","View")</f>
        <v>View</v>
      </c>
      <c r="V991" s="8"/>
      <c r="W991" s="8"/>
      <c r="X991" s="8"/>
      <c r="Y991" s="8"/>
      <c r="Z991" s="8"/>
    </row>
    <row r="992" spans="1:26" ht="13.2">
      <c r="A992" s="13">
        <v>44250.552164351851</v>
      </c>
      <c r="B992" s="6" t="str">
        <f>HYPERLINK("https://twitter.com/segmentive","@segmentive")</f>
        <v>@segmentive</v>
      </c>
      <c r="C992" s="7" t="s">
        <v>4486</v>
      </c>
      <c r="D992" s="14" t="s">
        <v>4487</v>
      </c>
      <c r="E992" s="6" t="str">
        <f>HYPERLINK("https://twitter.com/segmentive/status/1364187027747594243","1364187027747594243")</f>
        <v>1364187027747594243</v>
      </c>
      <c r="F992" s="7" t="s">
        <v>4488</v>
      </c>
      <c r="G992" s="7" t="s">
        <v>4489</v>
      </c>
      <c r="H992" s="8"/>
      <c r="I992" s="14">
        <v>2</v>
      </c>
      <c r="J992" s="14">
        <v>1</v>
      </c>
      <c r="K992" s="6" t="str">
        <f t="shared" si="159"/>
        <v>Hootsuite Inc.</v>
      </c>
      <c r="L992" s="15">
        <v>14</v>
      </c>
      <c r="M992" s="15">
        <v>18</v>
      </c>
      <c r="N992" s="15">
        <v>0</v>
      </c>
      <c r="O992" s="9"/>
      <c r="P992" s="10">
        <v>43742.676446759258</v>
      </c>
      <c r="Q992" s="14" t="s">
        <v>4490</v>
      </c>
      <c r="R992" s="14" t="s">
        <v>4491</v>
      </c>
      <c r="S992" s="7" t="s">
        <v>4492</v>
      </c>
      <c r="T992" s="8"/>
      <c r="U992" s="11" t="str">
        <f>HYPERLINK("https://pbs.twimg.com/profile_images/1201884562067992577/nTtXK1i-.png","View")</f>
        <v>View</v>
      </c>
      <c r="V992" s="8"/>
      <c r="W992" s="8"/>
      <c r="X992" s="8"/>
      <c r="Y992" s="8"/>
      <c r="Z992" s="8"/>
    </row>
    <row r="993" spans="1:26" ht="13.2">
      <c r="A993" s="13">
        <v>44250.552106481482</v>
      </c>
      <c r="B993" s="6" t="str">
        <f>HYPERLINK("https://twitter.com/milocamj","@milocamj")</f>
        <v>@milocamj</v>
      </c>
      <c r="C993" s="14" t="s">
        <v>1805</v>
      </c>
      <c r="D993" s="14" t="s">
        <v>4493</v>
      </c>
      <c r="E993" s="6" t="str">
        <f>HYPERLINK("https://twitter.com/milocamj/status/1364187006566195201","1364187006566195201")</f>
        <v>1364187006566195201</v>
      </c>
      <c r="F993" s="7" t="s">
        <v>4494</v>
      </c>
      <c r="G993" s="8"/>
      <c r="H993" s="8"/>
      <c r="I993" s="14">
        <v>2</v>
      </c>
      <c r="J993" s="14">
        <v>1</v>
      </c>
      <c r="K993" s="6" t="str">
        <f t="shared" ref="K993:K994" si="160">HYPERLINK("https://dlvrit.com/","dlvr.it")</f>
        <v>dlvr.it</v>
      </c>
      <c r="L993" s="15">
        <v>2595</v>
      </c>
      <c r="M993" s="15">
        <v>48</v>
      </c>
      <c r="N993" s="15">
        <v>1282</v>
      </c>
      <c r="O993" s="9"/>
      <c r="P993" s="10">
        <v>39904.699837962966</v>
      </c>
      <c r="Q993" s="14" t="s">
        <v>1809</v>
      </c>
      <c r="R993" s="14" t="s">
        <v>1810</v>
      </c>
      <c r="S993" s="7" t="s">
        <v>1811</v>
      </c>
      <c r="T993" s="8"/>
      <c r="U993" s="11" t="str">
        <f>HYPERLINK("https://pbs.twimg.com/profile_images/1108578778018709505/56I0aOhL.jpg","View")</f>
        <v>View</v>
      </c>
      <c r="V993" s="8"/>
      <c r="W993" s="8"/>
      <c r="X993" s="8"/>
      <c r="Y993" s="8"/>
      <c r="Z993" s="8"/>
    </row>
    <row r="994" spans="1:26" ht="13.2">
      <c r="A994" s="13">
        <v>44250.551759259259</v>
      </c>
      <c r="B994" s="6" t="str">
        <f>HYPERLINK("https://twitter.com/DrDataScientist","@DrDataScientist")</f>
        <v>@DrDataScientist</v>
      </c>
      <c r="C994" s="14" t="s">
        <v>4495</v>
      </c>
      <c r="D994" s="14" t="s">
        <v>4496</v>
      </c>
      <c r="E994" s="6" t="str">
        <f>HYPERLINK("https://twitter.com/DrDataScientist/status/1364186881953468416","1364186881953468416")</f>
        <v>1364186881953468416</v>
      </c>
      <c r="F994" s="7" t="s">
        <v>4497</v>
      </c>
      <c r="G994" s="7" t="s">
        <v>4498</v>
      </c>
      <c r="H994" s="8"/>
      <c r="I994" s="14">
        <v>3</v>
      </c>
      <c r="J994" s="14">
        <v>1</v>
      </c>
      <c r="K994" s="6" t="str">
        <f t="shared" si="160"/>
        <v>dlvr.it</v>
      </c>
      <c r="L994" s="15">
        <v>99655</v>
      </c>
      <c r="M994" s="15">
        <v>1426</v>
      </c>
      <c r="N994" s="15">
        <v>1332</v>
      </c>
      <c r="O994" s="9"/>
      <c r="P994" s="10">
        <v>39933.965081018519</v>
      </c>
      <c r="Q994" s="14" t="s">
        <v>509</v>
      </c>
      <c r="R994" s="14" t="s">
        <v>4499</v>
      </c>
      <c r="S994" s="7" t="s">
        <v>4500</v>
      </c>
      <c r="T994" s="8"/>
      <c r="U994" s="11" t="str">
        <f>HYPERLINK("https://pbs.twimg.com/profile_images/841454359682596864/4weAUbxO.jpg","View")</f>
        <v>View</v>
      </c>
      <c r="V994" s="8"/>
      <c r="W994" s="8"/>
      <c r="X994" s="8"/>
      <c r="Y994" s="8"/>
      <c r="Z994" s="8"/>
    </row>
    <row r="995" spans="1:26" ht="13.2">
      <c r="A995" s="13">
        <v>44250.551585648151</v>
      </c>
      <c r="B995" s="6" t="str">
        <f>HYPERLINK("https://twitter.com/Kelash89976308","@Kelash89976308")</f>
        <v>@Kelash89976308</v>
      </c>
      <c r="C995" s="14" t="s">
        <v>3726</v>
      </c>
      <c r="D995" s="14" t="s">
        <v>4501</v>
      </c>
      <c r="E995" s="6" t="str">
        <f>HYPERLINK("https://twitter.com/Kelash89976308/status/1364186818309017607","1364186818309017607")</f>
        <v>1364186818309017607</v>
      </c>
      <c r="F995" s="8"/>
      <c r="G995" s="7" t="s">
        <v>4502</v>
      </c>
      <c r="H995" s="8"/>
      <c r="I995" s="14">
        <v>2</v>
      </c>
      <c r="J995" s="14">
        <v>1</v>
      </c>
      <c r="K995" s="6" t="str">
        <f t="shared" ref="K995:K996" si="161">HYPERLINK("http://twitter.com/download/android","Twitter for Android")</f>
        <v>Twitter for Android</v>
      </c>
      <c r="L995" s="15">
        <v>3</v>
      </c>
      <c r="M995" s="15">
        <v>69</v>
      </c>
      <c r="N995" s="15">
        <v>0</v>
      </c>
      <c r="O995" s="9"/>
      <c r="P995" s="10">
        <v>44152.349942129629</v>
      </c>
      <c r="Q995" s="8"/>
      <c r="R995" s="14" t="s">
        <v>3729</v>
      </c>
      <c r="S995" s="8"/>
      <c r="T995" s="8"/>
      <c r="U995" s="11" t="str">
        <f>HYPERLINK("https://pbs.twimg.com/profile_images/1328600179524689921/1YthSR31.jpg","View")</f>
        <v>View</v>
      </c>
      <c r="V995" s="8"/>
      <c r="W995" s="8"/>
      <c r="X995" s="8"/>
      <c r="Y995" s="8"/>
      <c r="Z995" s="8"/>
    </row>
    <row r="996" spans="1:26" ht="13.2">
      <c r="A996" s="13">
        <v>44250.551388888889</v>
      </c>
      <c r="B996" s="6" t="str">
        <f>HYPERLINK("https://twitter.com/AfricaDataSch","@AfricaDataSch")</f>
        <v>@AfricaDataSch</v>
      </c>
      <c r="C996" s="14" t="s">
        <v>4412</v>
      </c>
      <c r="D996" s="14" t="s">
        <v>4503</v>
      </c>
      <c r="E996" s="6" t="str">
        <f>HYPERLINK("https://twitter.com/AfricaDataSch/status/1364186747798700033","1364186747798700033")</f>
        <v>1364186747798700033</v>
      </c>
      <c r="F996" s="8"/>
      <c r="G996" s="7" t="s">
        <v>4504</v>
      </c>
      <c r="H996" s="8"/>
      <c r="I996" s="14">
        <v>4</v>
      </c>
      <c r="J996" s="14">
        <v>2</v>
      </c>
      <c r="K996" s="6" t="str">
        <f t="shared" si="161"/>
        <v>Twitter for Android</v>
      </c>
      <c r="L996" s="15">
        <v>410</v>
      </c>
      <c r="M996" s="15">
        <v>187</v>
      </c>
      <c r="N996" s="15">
        <v>1</v>
      </c>
      <c r="O996" s="9"/>
      <c r="P996" s="10">
        <v>43419.523946759262</v>
      </c>
      <c r="Q996" s="14" t="s">
        <v>3574</v>
      </c>
      <c r="R996" s="14" t="s">
        <v>4415</v>
      </c>
      <c r="S996" s="7" t="s">
        <v>4416</v>
      </c>
      <c r="T996" s="8"/>
      <c r="U996" s="11" t="str">
        <f>HYPERLINK("https://pbs.twimg.com/profile_images/1348284297623568385/IXYxiUk-.jpg","View")</f>
        <v>View</v>
      </c>
      <c r="V996" s="8"/>
      <c r="W996" s="8"/>
      <c r="X996" s="8"/>
      <c r="Y996" s="8"/>
      <c r="Z996" s="8"/>
    </row>
    <row r="997" spans="1:26" ht="13.2">
      <c r="A997" s="13">
        <v>44250.551388888889</v>
      </c>
      <c r="B997" s="6" t="str">
        <f>HYPERLINK("https://twitter.com/Tanguy_lrx","@Tanguy_lrx")</f>
        <v>@Tanguy_lrx</v>
      </c>
      <c r="C997" s="14" t="s">
        <v>4505</v>
      </c>
      <c r="D997" s="14" t="s">
        <v>4506</v>
      </c>
      <c r="E997" s="6" t="str">
        <f>HYPERLINK("https://twitter.com/Tanguy_lrx/status/1364186746603372548","1364186746603372548")</f>
        <v>1364186746603372548</v>
      </c>
      <c r="F997" s="7" t="s">
        <v>4507</v>
      </c>
      <c r="G997" s="8"/>
      <c r="H997" s="8"/>
      <c r="I997" s="14">
        <v>23</v>
      </c>
      <c r="J997" s="14">
        <v>14</v>
      </c>
      <c r="K997" s="6" t="str">
        <f>HYPERLINK("https://socxopte.com/","SocxoPte")</f>
        <v>SocxoPte</v>
      </c>
      <c r="L997" s="15">
        <v>302</v>
      </c>
      <c r="M997" s="15">
        <v>129</v>
      </c>
      <c r="N997" s="15">
        <v>6</v>
      </c>
      <c r="O997" s="9"/>
      <c r="P997" s="10">
        <v>44022.449062500003</v>
      </c>
      <c r="Q997" s="14" t="s">
        <v>106</v>
      </c>
      <c r="R997" s="14" t="s">
        <v>4508</v>
      </c>
      <c r="S997" s="8"/>
      <c r="T997" s="8"/>
      <c r="U997" s="11" t="str">
        <f>HYPERLINK("https://pbs.twimg.com/profile_images/1281687432698658816/cEqJDj6D.jpg","View")</f>
        <v>View</v>
      </c>
      <c r="V997" s="8"/>
      <c r="W997" s="8"/>
      <c r="X997" s="8"/>
      <c r="Y997" s="8"/>
      <c r="Z997" s="8"/>
    </row>
    <row r="998" spans="1:26" ht="13.2">
      <c r="A998" s="13">
        <v>44250.551261574074</v>
      </c>
      <c r="B998" s="6" t="str">
        <f>HYPERLINK("https://twitter.com/FinAi_Cost","@FinAi_Cost")</f>
        <v>@FinAi_Cost</v>
      </c>
      <c r="C998" s="14" t="s">
        <v>4509</v>
      </c>
      <c r="D998" s="14" t="s">
        <v>4510</v>
      </c>
      <c r="E998" s="6" t="str">
        <f>HYPERLINK("https://twitter.com/FinAi_Cost/status/1364186701183254533","1364186701183254533")</f>
        <v>1364186701183254533</v>
      </c>
      <c r="F998" s="7" t="s">
        <v>4511</v>
      </c>
      <c r="G998" s="7" t="s">
        <v>4512</v>
      </c>
      <c r="H998" s="8"/>
      <c r="I998" s="14">
        <v>7</v>
      </c>
      <c r="J998" s="14">
        <v>5</v>
      </c>
      <c r="K998" s="6" t="str">
        <f>HYPERLINK("https://mobile.twitter.com","Twitter Web App")</f>
        <v>Twitter Web App</v>
      </c>
      <c r="L998" s="15">
        <v>64</v>
      </c>
      <c r="M998" s="15">
        <v>175</v>
      </c>
      <c r="N998" s="15">
        <v>0</v>
      </c>
      <c r="O998" s="9"/>
      <c r="P998" s="10">
        <v>44234.004432870366</v>
      </c>
      <c r="Q998" s="8"/>
      <c r="R998" s="14" t="s">
        <v>4513</v>
      </c>
      <c r="S998" s="7" t="s">
        <v>4514</v>
      </c>
      <c r="T998" s="8"/>
      <c r="U998" s="11" t="str">
        <f>HYPERLINK("https://pbs.twimg.com/profile_images/1358190891056431108/tGcDJp15.jpg","View")</f>
        <v>View</v>
      </c>
      <c r="V998" s="8"/>
      <c r="W998" s="8"/>
      <c r="X998" s="8"/>
      <c r="Y998" s="8"/>
      <c r="Z998" s="8"/>
    </row>
    <row r="999" spans="1:26" ht="13.2">
      <c r="A999" s="13">
        <v>44250.550381944442</v>
      </c>
      <c r="B999" s="6" t="str">
        <f>HYPERLINK("https://twitter.com/nigeriaabroad","@nigeriaabroad")</f>
        <v>@nigeriaabroad</v>
      </c>
      <c r="C999" s="14" t="s">
        <v>4515</v>
      </c>
      <c r="D999" s="14" t="s">
        <v>4516</v>
      </c>
      <c r="E999" s="6" t="str">
        <f>HYPERLINK("https://twitter.com/nigeriaabroad/status/1364186382978138115","1364186382978138115")</f>
        <v>1364186382978138115</v>
      </c>
      <c r="F999" s="8"/>
      <c r="G999" s="7" t="s">
        <v>4517</v>
      </c>
      <c r="H999" s="8"/>
      <c r="I999" s="14">
        <v>2</v>
      </c>
      <c r="J999" s="14">
        <v>1</v>
      </c>
      <c r="K999" s="6" t="str">
        <f>HYPERLINK("http://twitter.com/download/android","Twitter for Android")</f>
        <v>Twitter for Android</v>
      </c>
      <c r="L999" s="15">
        <v>7300</v>
      </c>
      <c r="M999" s="15">
        <v>9</v>
      </c>
      <c r="N999" s="15">
        <v>13</v>
      </c>
      <c r="O999" s="9"/>
      <c r="P999" s="10">
        <v>41951.885393518518</v>
      </c>
      <c r="Q999" s="14" t="s">
        <v>2285</v>
      </c>
      <c r="R999" s="14" t="s">
        <v>4518</v>
      </c>
      <c r="S999" s="7" t="s">
        <v>4519</v>
      </c>
      <c r="T999" s="8"/>
      <c r="U999" s="11" t="str">
        <f>HYPERLINK("https://pbs.twimg.com/profile_images/1357695049073590275/OS6t_A1f.jpg","View")</f>
        <v>View</v>
      </c>
      <c r="V999" s="8"/>
      <c r="W999" s="8"/>
      <c r="X999" s="8"/>
      <c r="Y999" s="8"/>
      <c r="Z999" s="8"/>
    </row>
    <row r="1000" spans="1:26" ht="13.2">
      <c r="A1000" s="13">
        <v>44250.550011574072</v>
      </c>
      <c r="B1000" s="6" t="str">
        <f>HYPERLINK("https://twitter.com/AI___Kernel","@AI___Kernel")</f>
        <v>@AI___Kernel</v>
      </c>
      <c r="C1000" s="14" t="s">
        <v>4520</v>
      </c>
      <c r="D1000" s="14" t="s">
        <v>4521</v>
      </c>
      <c r="E1000" s="6" t="str">
        <f>HYPERLINK("https://twitter.com/AI___Kernel/status/1364186246860390401","1364186246860390401")</f>
        <v>1364186246860390401</v>
      </c>
      <c r="F1000" s="8"/>
      <c r="G1000" s="7" t="s">
        <v>4522</v>
      </c>
      <c r="H1000" s="8"/>
      <c r="I1000" s="14">
        <v>4</v>
      </c>
      <c r="J1000" s="14">
        <v>5</v>
      </c>
      <c r="K1000" s="6" t="str">
        <f>HYPERLINK("https://mobile.twitter.com","Twitter Web App")</f>
        <v>Twitter Web App</v>
      </c>
      <c r="L1000" s="15">
        <v>70</v>
      </c>
      <c r="M1000" s="15">
        <v>199</v>
      </c>
      <c r="N1000" s="15">
        <v>1</v>
      </c>
      <c r="O1000" s="9"/>
      <c r="P1000" s="10">
        <v>44025.008530092593</v>
      </c>
      <c r="Q1000" s="14" t="s">
        <v>2649</v>
      </c>
      <c r="R1000" s="14" t="s">
        <v>4523</v>
      </c>
      <c r="S1000" s="7" t="s">
        <v>4524</v>
      </c>
      <c r="T1000" s="8"/>
      <c r="U1000" s="11" t="str">
        <f>HYPERLINK("https://pbs.twimg.com/profile_images/1287528207588220933/Sp1vV1Wr.jpg","View")</f>
        <v>View</v>
      </c>
      <c r="V1000" s="8"/>
      <c r="W1000" s="8"/>
      <c r="X1000" s="8"/>
      <c r="Y1000" s="8"/>
      <c r="Z1000" s="8"/>
    </row>
    <row r="1001" spans="1:26" ht="13.2">
      <c r="A1001" s="13">
        <v>44250.549583333333</v>
      </c>
      <c r="B1001" s="6" t="str">
        <f>HYPERLINK("https://twitter.com/Whats_AI","@Whats_AI")</f>
        <v>@Whats_AI</v>
      </c>
      <c r="C1001" s="14" t="s">
        <v>4525</v>
      </c>
      <c r="D1001" s="14" t="s">
        <v>4526</v>
      </c>
      <c r="E1001" s="6" t="str">
        <f>HYPERLINK("https://twitter.com/Whats_AI/status/1364186090572283904","1364186090572283904")</f>
        <v>1364186090572283904</v>
      </c>
      <c r="F1001" s="8"/>
      <c r="G1001" s="7" t="s">
        <v>4527</v>
      </c>
      <c r="H1001" s="8"/>
      <c r="I1001" s="14">
        <v>2</v>
      </c>
      <c r="J1001" s="14">
        <v>3</v>
      </c>
      <c r="K1001" s="6" t="str">
        <f>HYPERLINK("http://twitter.com/download/android","Twitter for Android")</f>
        <v>Twitter for Android</v>
      </c>
      <c r="L1001" s="15">
        <v>1606</v>
      </c>
      <c r="M1001" s="15">
        <v>3226</v>
      </c>
      <c r="N1001" s="15">
        <v>23</v>
      </c>
      <c r="O1001" s="9"/>
      <c r="P1001" s="10">
        <v>43474.609548611115</v>
      </c>
      <c r="Q1001" s="14" t="s">
        <v>4528</v>
      </c>
      <c r="R1001" s="14" t="s">
        <v>4529</v>
      </c>
      <c r="S1001" s="7" t="s">
        <v>4530</v>
      </c>
      <c r="T1001" s="8"/>
      <c r="U1001" s="11" t="str">
        <f>HYPERLINK("https://pbs.twimg.com/profile_images/1303784030882627585/kFE0d1X2.jpg","View")</f>
        <v>View</v>
      </c>
      <c r="V1001" s="8"/>
      <c r="W1001" s="8"/>
      <c r="X1001" s="8"/>
      <c r="Y1001" s="8"/>
      <c r="Z1001" s="8"/>
    </row>
    <row r="1002" spans="1:26" ht="13.2">
      <c r="A1002" s="13">
        <v>44250.549340277779</v>
      </c>
      <c r="B1002" s="6" t="str">
        <f>HYPERLINK("https://twitter.com/FinAi_Cost","@FinAi_Cost")</f>
        <v>@FinAi_Cost</v>
      </c>
      <c r="C1002" s="14" t="s">
        <v>4509</v>
      </c>
      <c r="D1002" s="14" t="s">
        <v>4531</v>
      </c>
      <c r="E1002" s="6" t="str">
        <f>HYPERLINK("https://twitter.com/FinAi_Cost/status/1364186003452407808","1364186003452407808")</f>
        <v>1364186003452407808</v>
      </c>
      <c r="F1002" s="7" t="s">
        <v>4532</v>
      </c>
      <c r="G1002" s="7" t="s">
        <v>4533</v>
      </c>
      <c r="H1002" s="8"/>
      <c r="I1002" s="14">
        <v>3</v>
      </c>
      <c r="J1002" s="14">
        <v>1</v>
      </c>
      <c r="K1002" s="6" t="str">
        <f>HYPERLINK("https://mobile.twitter.com","Twitter Web App")</f>
        <v>Twitter Web App</v>
      </c>
      <c r="L1002" s="15">
        <v>64</v>
      </c>
      <c r="M1002" s="15">
        <v>175</v>
      </c>
      <c r="N1002" s="15">
        <v>0</v>
      </c>
      <c r="O1002" s="9"/>
      <c r="P1002" s="10">
        <v>44234.004432870366</v>
      </c>
      <c r="Q1002" s="8"/>
      <c r="R1002" s="14" t="s">
        <v>4513</v>
      </c>
      <c r="S1002" s="7" t="s">
        <v>4514</v>
      </c>
      <c r="T1002" s="8"/>
      <c r="U1002" s="11" t="str">
        <f>HYPERLINK("https://pbs.twimg.com/profile_images/1358190891056431108/tGcDJp15.jpg","View")</f>
        <v>View</v>
      </c>
      <c r="V1002" s="8"/>
      <c r="W1002" s="8"/>
      <c r="X1002" s="8"/>
      <c r="Y1002" s="8"/>
      <c r="Z1002" s="8"/>
    </row>
    <row r="1003" spans="1:26" ht="13.2">
      <c r="A1003" s="13">
        <v>44250.549305555556</v>
      </c>
      <c r="B1003" s="6" t="str">
        <f>HYPERLINK("https://twitter.com/future_of_AI","@future_of_AI")</f>
        <v>@future_of_AI</v>
      </c>
      <c r="C1003" s="14" t="s">
        <v>284</v>
      </c>
      <c r="D1003" s="14" t="s">
        <v>4534</v>
      </c>
      <c r="E1003" s="6" t="str">
        <f>HYPERLINK("https://twitter.com/future_of_AI/status/1364185992618520579","1364185992618520579")</f>
        <v>1364185992618520579</v>
      </c>
      <c r="F1003" s="7" t="s">
        <v>4535</v>
      </c>
      <c r="G1003" s="8"/>
      <c r="H1003" s="8"/>
      <c r="I1003" s="14">
        <v>1</v>
      </c>
      <c r="J1003" s="14">
        <v>3</v>
      </c>
      <c r="K1003" s="6" t="str">
        <f>HYPERLINK("https://buffer.com","Buffer")</f>
        <v>Buffer</v>
      </c>
      <c r="L1003" s="15">
        <v>2893</v>
      </c>
      <c r="M1003" s="15">
        <v>1348</v>
      </c>
      <c r="N1003" s="15">
        <v>130</v>
      </c>
      <c r="O1003" s="9"/>
      <c r="P1003" s="10">
        <v>42816.80840277778</v>
      </c>
      <c r="Q1003" s="8"/>
      <c r="R1003" s="14" t="s">
        <v>287</v>
      </c>
      <c r="S1003" s="7" t="s">
        <v>288</v>
      </c>
      <c r="T1003" s="8"/>
      <c r="U1003" s="11" t="str">
        <f>HYPERLINK("https://pbs.twimg.com/profile_images/1047866034970140673/ZBhSks16.jpg","View")</f>
        <v>View</v>
      </c>
      <c r="V1003" s="8"/>
      <c r="W1003" s="8"/>
      <c r="X1003" s="8"/>
      <c r="Y1003" s="8"/>
      <c r="Z1003" s="8"/>
    </row>
    <row r="1004" spans="1:26" ht="13.2">
      <c r="A1004" s="13">
        <v>44250.549178240741</v>
      </c>
      <c r="B1004" s="6" t="str">
        <f>HYPERLINK("https://twitter.com/jblefevre60","@jblefevre60")</f>
        <v>@jblefevre60</v>
      </c>
      <c r="C1004" s="14" t="s">
        <v>464</v>
      </c>
      <c r="D1004" s="14" t="s">
        <v>4536</v>
      </c>
      <c r="E1004" s="6" t="str">
        <f>HYPERLINK("https://twitter.com/jblefevre60/status/1364185945835192323","1364185945835192323")</f>
        <v>1364185945835192323</v>
      </c>
      <c r="F1004" s="8"/>
      <c r="G1004" s="7" t="s">
        <v>4537</v>
      </c>
      <c r="H1004" s="8"/>
      <c r="I1004" s="14">
        <v>41</v>
      </c>
      <c r="J1004" s="14">
        <v>52</v>
      </c>
      <c r="K1004" s="6" t="str">
        <f t="shared" ref="K1004:K1006" si="162">HYPERLINK("http://twitter.com/download/android","Twitter for Android")</f>
        <v>Twitter for Android</v>
      </c>
      <c r="L1004" s="15">
        <v>80848</v>
      </c>
      <c r="M1004" s="15">
        <v>5582</v>
      </c>
      <c r="N1004" s="15">
        <v>5070</v>
      </c>
      <c r="O1004" s="9"/>
      <c r="P1004" s="10">
        <v>42342.801134259258</v>
      </c>
      <c r="Q1004" s="14" t="s">
        <v>106</v>
      </c>
      <c r="R1004" s="14" t="s">
        <v>467</v>
      </c>
      <c r="S1004" s="7" t="s">
        <v>468</v>
      </c>
      <c r="T1004" s="8"/>
      <c r="U1004" s="11" t="str">
        <f>HYPERLINK("https://pbs.twimg.com/profile_images/915247803248599040/GsF3avSn.jpg","View")</f>
        <v>View</v>
      </c>
      <c r="V1004" s="8"/>
      <c r="W1004" s="8"/>
      <c r="X1004" s="8"/>
      <c r="Y1004" s="8"/>
      <c r="Z1004" s="8"/>
    </row>
    <row r="1005" spans="1:26" ht="13.2">
      <c r="A1005" s="13">
        <v>44250.548726851848</v>
      </c>
      <c r="B1005" s="6" t="str">
        <f>HYPERLINK("https://twitter.com/guidaautonoma","@guidaautonoma")</f>
        <v>@guidaautonoma</v>
      </c>
      <c r="C1005" s="14" t="s">
        <v>2203</v>
      </c>
      <c r="D1005" s="14" t="s">
        <v>4538</v>
      </c>
      <c r="E1005" s="6" t="str">
        <f>HYPERLINK("https://twitter.com/guidaautonoma/status/1364185781464662016","1364185781464662016")</f>
        <v>1364185781464662016</v>
      </c>
      <c r="F1005" s="7" t="s">
        <v>4539</v>
      </c>
      <c r="G1005" s="7" t="s">
        <v>4540</v>
      </c>
      <c r="H1005" s="8"/>
      <c r="I1005" s="14">
        <v>6</v>
      </c>
      <c r="J1005" s="14">
        <v>1</v>
      </c>
      <c r="K1005" s="6" t="str">
        <f t="shared" si="162"/>
        <v>Twitter for Android</v>
      </c>
      <c r="L1005" s="15">
        <v>7074</v>
      </c>
      <c r="M1005" s="15">
        <v>6991</v>
      </c>
      <c r="N1005" s="15">
        <v>411</v>
      </c>
      <c r="O1005" s="9"/>
      <c r="P1005" s="10">
        <v>42496.270833333328</v>
      </c>
      <c r="Q1005" s="14" t="s">
        <v>2207</v>
      </c>
      <c r="R1005" s="14" t="s">
        <v>2208</v>
      </c>
      <c r="S1005" s="7" t="s">
        <v>2209</v>
      </c>
      <c r="T1005" s="8"/>
      <c r="U1005" s="11" t="str">
        <f>HYPERLINK("https://pbs.twimg.com/profile_images/728675456971583488/AVbaFxlK.jpg","View")</f>
        <v>View</v>
      </c>
      <c r="V1005" s="8"/>
      <c r="W1005" s="8"/>
      <c r="X1005" s="8"/>
      <c r="Y1005" s="8"/>
      <c r="Z1005" s="8"/>
    </row>
    <row r="1006" spans="1:26" ht="13.2">
      <c r="A1006" s="13">
        <v>44250.548136574071</v>
      </c>
      <c r="B1006" s="6" t="str">
        <f>HYPERLINK("https://twitter.com/asterisminfosof","@asterisminfosof")</f>
        <v>@asterisminfosof</v>
      </c>
      <c r="C1006" s="14" t="s">
        <v>4541</v>
      </c>
      <c r="D1006" s="14" t="s">
        <v>4542</v>
      </c>
      <c r="E1006" s="6" t="str">
        <f>HYPERLINK("https://twitter.com/asterisminfosof/status/1364185566942687232","1364185566942687232")</f>
        <v>1364185566942687232</v>
      </c>
      <c r="F1006" s="8"/>
      <c r="G1006" s="7" t="s">
        <v>4543</v>
      </c>
      <c r="H1006" s="8"/>
      <c r="I1006" s="14">
        <v>6</v>
      </c>
      <c r="J1006" s="14">
        <v>2</v>
      </c>
      <c r="K1006" s="6" t="str">
        <f t="shared" si="162"/>
        <v>Twitter for Android</v>
      </c>
      <c r="L1006" s="15">
        <v>153</v>
      </c>
      <c r="M1006" s="15">
        <v>758</v>
      </c>
      <c r="N1006" s="15">
        <v>1</v>
      </c>
      <c r="O1006" s="9"/>
      <c r="P1006" s="10">
        <v>43235.859178240746</v>
      </c>
      <c r="Q1006" s="14" t="s">
        <v>364</v>
      </c>
      <c r="R1006" s="14" t="s">
        <v>4544</v>
      </c>
      <c r="S1006" s="7" t="s">
        <v>4545</v>
      </c>
      <c r="T1006" s="8"/>
      <c r="U1006" s="11" t="str">
        <f>HYPERLINK("https://pbs.twimg.com/profile_images/999386355133108224/PUVwa5kU.jpg","View")</f>
        <v>View</v>
      </c>
      <c r="V1006" s="8"/>
      <c r="W1006" s="8"/>
      <c r="X1006" s="8"/>
      <c r="Y1006" s="8"/>
      <c r="Z1006" s="8"/>
    </row>
    <row r="1007" spans="1:26" ht="13.2">
      <c r="A1007" s="13">
        <v>44250.547916666663</v>
      </c>
      <c r="B1007" s="6" t="str">
        <f>HYPERLINK("https://twitter.com/DivergentCIO","@DivergentCIO")</f>
        <v>@DivergentCIO</v>
      </c>
      <c r="C1007" s="14" t="s">
        <v>3912</v>
      </c>
      <c r="D1007" s="14" t="s">
        <v>4546</v>
      </c>
      <c r="E1007" s="6" t="str">
        <f>HYPERLINK("https://twitter.com/DivergentCIO/status/1364185489436258306","1364185489436258306")</f>
        <v>1364185489436258306</v>
      </c>
      <c r="F1007" s="7" t="s">
        <v>4547</v>
      </c>
      <c r="G1007" s="8"/>
      <c r="H1007" s="8"/>
      <c r="I1007" s="14">
        <v>4</v>
      </c>
      <c r="J1007" s="14">
        <v>2</v>
      </c>
      <c r="K1007" s="6" t="str">
        <f>HYPERLINK("https://buffer.com","Buffer")</f>
        <v>Buffer</v>
      </c>
      <c r="L1007" s="15">
        <v>28614</v>
      </c>
      <c r="M1007" s="15">
        <v>26399</v>
      </c>
      <c r="N1007" s="15">
        <v>1647</v>
      </c>
      <c r="O1007" s="9"/>
      <c r="P1007" s="10">
        <v>42071.947187500002</v>
      </c>
      <c r="Q1007" s="14" t="s">
        <v>3915</v>
      </c>
      <c r="R1007" s="14" t="s">
        <v>3916</v>
      </c>
      <c r="S1007" s="7" t="s">
        <v>3917</v>
      </c>
      <c r="T1007" s="8"/>
      <c r="U1007" s="11" t="str">
        <f>HYPERLINK("https://pbs.twimg.com/profile_images/767507322583199745/rpfbzBzg.jpg","View")</f>
        <v>View</v>
      </c>
      <c r="V1007" s="8"/>
      <c r="W1007" s="8"/>
      <c r="X1007" s="8"/>
      <c r="Y1007" s="8"/>
      <c r="Z1007" s="8"/>
    </row>
    <row r="1008" spans="1:26" ht="13.2">
      <c r="A1008" s="13">
        <v>44250.547812500001</v>
      </c>
      <c r="B1008" s="6" t="str">
        <f>HYPERLINK("https://twitter.com/MLSTjournal","@MLSTjournal")</f>
        <v>@MLSTjournal</v>
      </c>
      <c r="C1008" s="14" t="s">
        <v>4548</v>
      </c>
      <c r="D1008" s="12" t="s">
        <v>4549</v>
      </c>
      <c r="E1008" s="6" t="str">
        <f>HYPERLINK("https://twitter.com/MLSTjournal/status/1364185449544171520","1364185449544171520")</f>
        <v>1364185449544171520</v>
      </c>
      <c r="F1008" s="7" t="s">
        <v>4550</v>
      </c>
      <c r="G1008" s="7" t="s">
        <v>4551</v>
      </c>
      <c r="H1008" s="8"/>
      <c r="I1008" s="14">
        <v>4</v>
      </c>
      <c r="J1008" s="14">
        <v>3</v>
      </c>
      <c r="K1008" s="6" t="str">
        <f>HYPERLINK("https://mobile.twitter.com","Twitter Web App")</f>
        <v>Twitter Web App</v>
      </c>
      <c r="L1008" s="15">
        <v>2890</v>
      </c>
      <c r="M1008" s="15">
        <v>1755</v>
      </c>
      <c r="N1008" s="15">
        <v>37</v>
      </c>
      <c r="O1008" s="9"/>
      <c r="P1008" s="10">
        <v>43741.796527777777</v>
      </c>
      <c r="Q1008" s="14" t="s">
        <v>4552</v>
      </c>
      <c r="R1008" s="14" t="s">
        <v>4553</v>
      </c>
      <c r="S1008" s="7" t="s">
        <v>4554</v>
      </c>
      <c r="T1008" s="8"/>
      <c r="U1008" s="11" t="str">
        <f>HYPERLINK("https://pbs.twimg.com/profile_images/1179805251634896898/KyjyzUQ2.jpg","View")</f>
        <v>View</v>
      </c>
      <c r="V1008" s="8"/>
      <c r="W1008" s="8"/>
      <c r="X1008" s="8"/>
      <c r="Y1008" s="8"/>
      <c r="Z1008" s="8"/>
    </row>
    <row r="1009" spans="1:26" ht="13.2">
      <c r="A1009" s="13">
        <v>44250.547025462962</v>
      </c>
      <c r="B1009" s="6" t="str">
        <f>HYPERLINK("https://twitter.com/Brainsonfire1","@Brainsonfire1")</f>
        <v>@Brainsonfire1</v>
      </c>
      <c r="C1009" s="14" t="s">
        <v>4555</v>
      </c>
      <c r="D1009" s="14" t="s">
        <v>4556</v>
      </c>
      <c r="E1009" s="6" t="str">
        <f>HYPERLINK("https://twitter.com/Brainsonfire1/status/1364185167800266754","1364185167800266754")</f>
        <v>1364185167800266754</v>
      </c>
      <c r="F1009" s="8"/>
      <c r="G1009" s="7" t="s">
        <v>4557</v>
      </c>
      <c r="H1009" s="8"/>
      <c r="I1009" s="14">
        <v>2</v>
      </c>
      <c r="J1009" s="14">
        <v>2</v>
      </c>
      <c r="K1009" s="6" t="str">
        <f>HYPERLINK("http://twitter.com/download/android","Twitter for Android")</f>
        <v>Twitter for Android</v>
      </c>
      <c r="L1009" s="15">
        <v>1</v>
      </c>
      <c r="M1009" s="15">
        <v>1</v>
      </c>
      <c r="N1009" s="15">
        <v>0</v>
      </c>
      <c r="O1009" s="9"/>
      <c r="P1009" s="10">
        <v>44232.622615740736</v>
      </c>
      <c r="Q1009" s="8"/>
      <c r="R1009" s="14" t="s">
        <v>4558</v>
      </c>
      <c r="S1009" s="8"/>
      <c r="T1009" s="8"/>
      <c r="U1009" s="11" t="str">
        <f>HYPERLINK("https://pbs.twimg.com/profile_images/1357691317342633990/Q6JJznY6.jpg","View")</f>
        <v>View</v>
      </c>
      <c r="V1009" s="8"/>
      <c r="W1009" s="8"/>
      <c r="X1009" s="8"/>
      <c r="Y1009" s="8"/>
      <c r="Z1009" s="8"/>
    </row>
    <row r="1010" spans="1:26" ht="13.2">
      <c r="A1010" s="13">
        <v>44250.546655092592</v>
      </c>
      <c r="B1010" s="6" t="str">
        <f>HYPERLINK("https://twitter.com/DecisionsSmart","@DecisionsSmart")</f>
        <v>@DecisionsSmart</v>
      </c>
      <c r="C1010" s="14" t="s">
        <v>212</v>
      </c>
      <c r="D1010" s="14" t="s">
        <v>2481</v>
      </c>
      <c r="E1010" s="6" t="str">
        <f>HYPERLINK("https://twitter.com/DecisionsSmart/status/1364185029895729154","1364185029895729154")</f>
        <v>1364185029895729154</v>
      </c>
      <c r="F1010" s="14" t="s">
        <v>2482</v>
      </c>
      <c r="G1010" s="8"/>
      <c r="H1010" s="8"/>
      <c r="I1010" s="14">
        <v>2</v>
      </c>
      <c r="J1010" s="14">
        <v>1</v>
      </c>
      <c r="K1010" s="6" t="str">
        <f>HYPERLINK("http://twinybots.com","TwinyBots")</f>
        <v>TwinyBots</v>
      </c>
      <c r="L1010" s="15">
        <v>6690</v>
      </c>
      <c r="M1010" s="15">
        <v>5126</v>
      </c>
      <c r="N1010" s="15">
        <v>88</v>
      </c>
      <c r="O1010" s="9"/>
      <c r="P1010" s="10">
        <v>43282.143495370372</v>
      </c>
      <c r="Q1010" s="14" t="s">
        <v>215</v>
      </c>
      <c r="R1010" s="14" t="s">
        <v>216</v>
      </c>
      <c r="S1010" s="8"/>
      <c r="T1010" s="8"/>
      <c r="U1010" s="11" t="str">
        <f>HYPERLINK("https://pbs.twimg.com/profile_images/1273753380373004289/crFq1msz.jpg","View")</f>
        <v>View</v>
      </c>
      <c r="V1010" s="8"/>
      <c r="W1010" s="8"/>
      <c r="X1010" s="8"/>
      <c r="Y1010" s="8"/>
      <c r="Z1010" s="8"/>
    </row>
    <row r="1011" spans="1:26" ht="13.2">
      <c r="A1011" s="13">
        <v>44250.546527777777</v>
      </c>
      <c r="B1011" s="6" t="str">
        <f>HYPERLINK("https://twitter.com/Flexgigzz_team","@Flexgigzz_team")</f>
        <v>@Flexgigzz_team</v>
      </c>
      <c r="C1011" s="14" t="s">
        <v>4559</v>
      </c>
      <c r="D1011" s="14" t="s">
        <v>4560</v>
      </c>
      <c r="E1011" s="6" t="str">
        <f>HYPERLINK("https://twitter.com/Flexgigzz_team/status/1364184984366555137","1364184984366555137")</f>
        <v>1364184984366555137</v>
      </c>
      <c r="F1011" s="7" t="s">
        <v>4561</v>
      </c>
      <c r="G1011" s="8"/>
      <c r="H1011" s="8"/>
      <c r="I1011" s="14">
        <v>2</v>
      </c>
      <c r="J1011" s="14">
        <v>1</v>
      </c>
      <c r="K1011" s="6" t="str">
        <f>HYPERLINK("https://mobile.twitter.com","Twitter Web App")</f>
        <v>Twitter Web App</v>
      </c>
      <c r="L1011" s="15">
        <v>1736</v>
      </c>
      <c r="M1011" s="15">
        <v>1883</v>
      </c>
      <c r="N1011" s="15">
        <v>2</v>
      </c>
      <c r="O1011" s="9"/>
      <c r="P1011" s="10">
        <v>43999.793310185181</v>
      </c>
      <c r="Q1011" s="8"/>
      <c r="R1011" s="14" t="s">
        <v>4562</v>
      </c>
      <c r="S1011" s="7" t="s">
        <v>4563</v>
      </c>
      <c r="T1011" s="8"/>
      <c r="U1011" s="11" t="str">
        <f>HYPERLINK("https://pbs.twimg.com/profile_images/1306131416522960897/EKYmESGP.jpg","View")</f>
        <v>View</v>
      </c>
      <c r="V1011" s="8"/>
      <c r="W1011" s="8"/>
      <c r="X1011" s="8"/>
      <c r="Y1011" s="8"/>
      <c r="Z1011" s="8"/>
    </row>
    <row r="1012" spans="1:26" ht="13.2">
      <c r="A1012" s="13">
        <v>44250.54619212963</v>
      </c>
      <c r="B1012" s="6" t="str">
        <f>HYPERLINK("https://twitter.com/machinelearnflx","@machinelearnflx")</f>
        <v>@machinelearnflx</v>
      </c>
      <c r="C1012" s="14" t="s">
        <v>279</v>
      </c>
      <c r="D1012" s="14" t="s">
        <v>4564</v>
      </c>
      <c r="E1012" s="6" t="str">
        <f>HYPERLINK("https://twitter.com/machinelearnflx/status/1364184864015196163","1364184864015196163")</f>
        <v>1364184864015196163</v>
      </c>
      <c r="F1012" s="7" t="s">
        <v>4565</v>
      </c>
      <c r="G1012" s="8"/>
      <c r="H1012" s="8"/>
      <c r="I1012" s="14">
        <v>3</v>
      </c>
      <c r="J1012" s="14">
        <v>3</v>
      </c>
      <c r="K1012" s="6" t="str">
        <f>HYPERLINK("https://twitter.com/pythonbot_","Postmatico")</f>
        <v>Postmatico</v>
      </c>
      <c r="L1012" s="15">
        <v>90451</v>
      </c>
      <c r="M1012" s="15">
        <v>35464</v>
      </c>
      <c r="N1012" s="15">
        <v>2227</v>
      </c>
      <c r="O1012" s="9"/>
      <c r="P1012" s="10">
        <v>42386.538865740746</v>
      </c>
      <c r="Q1012" s="8"/>
      <c r="R1012" s="14" t="s">
        <v>282</v>
      </c>
      <c r="S1012" s="7" t="s">
        <v>283</v>
      </c>
      <c r="T1012" s="8"/>
      <c r="U1012" s="11" t="str">
        <f>HYPERLINK("https://pbs.twimg.com/profile_images/688735459892195329/v8sHaWSG.jpg","View")</f>
        <v>View</v>
      </c>
      <c r="V1012" s="8"/>
      <c r="W1012" s="8"/>
      <c r="X1012" s="8"/>
      <c r="Y1012" s="8"/>
      <c r="Z1012" s="8"/>
    </row>
    <row r="1013" spans="1:26" ht="13.2">
      <c r="A1013" s="13">
        <v>44250.545208333337</v>
      </c>
      <c r="B1013" s="6" t="str">
        <f>HYPERLINK("https://twitter.com/talentingsocial","@talentingsocial")</f>
        <v>@talentingsocial</v>
      </c>
      <c r="C1013" s="14" t="s">
        <v>4566</v>
      </c>
      <c r="D1013" s="14" t="s">
        <v>4567</v>
      </c>
      <c r="E1013" s="6" t="str">
        <f>HYPERLINK("https://twitter.com/talentingsocial/status/1364184508581498881","1364184508581498881")</f>
        <v>1364184508581498881</v>
      </c>
      <c r="F1013" s="8"/>
      <c r="G1013" s="7" t="s">
        <v>4568</v>
      </c>
      <c r="H1013" s="8"/>
      <c r="I1013" s="14">
        <v>3</v>
      </c>
      <c r="J1013" s="14">
        <v>1</v>
      </c>
      <c r="K1013" s="6" t="str">
        <f>HYPERLINK("https://publer.io","Publer ")</f>
        <v xml:space="preserve">Publer </v>
      </c>
      <c r="L1013" s="15">
        <v>13</v>
      </c>
      <c r="M1013" s="15">
        <v>133</v>
      </c>
      <c r="N1013" s="15">
        <v>0</v>
      </c>
      <c r="O1013" s="9"/>
      <c r="P1013" s="10">
        <v>43766.855092592596</v>
      </c>
      <c r="Q1013" s="14" t="s">
        <v>4569</v>
      </c>
      <c r="R1013" s="8"/>
      <c r="S1013" s="8"/>
      <c r="T1013" s="8"/>
      <c r="U1013" s="11" t="str">
        <f>HYPERLINK("https://pbs.twimg.com/profile_images/1191650772859195393/b-5lrZUU.jpg","View")</f>
        <v>View</v>
      </c>
      <c r="V1013" s="8"/>
      <c r="W1013" s="8"/>
      <c r="X1013" s="8"/>
      <c r="Y1013" s="8"/>
      <c r="Z1013" s="8"/>
    </row>
    <row r="1014" spans="1:26" ht="13.2">
      <c r="A1014" s="13">
        <v>44250.545023148152</v>
      </c>
      <c r="B1014" s="6" t="str">
        <f>HYPERLINK("https://twitter.com/Eli_Krumova","@Eli_Krumova")</f>
        <v>@Eli_Krumova</v>
      </c>
      <c r="C1014" s="14" t="s">
        <v>947</v>
      </c>
      <c r="D1014" s="14" t="s">
        <v>4570</v>
      </c>
      <c r="E1014" s="6" t="str">
        <f>HYPERLINK("https://twitter.com/Eli_Krumova/status/1364184442114351104","1364184442114351104")</f>
        <v>1364184442114351104</v>
      </c>
      <c r="F1014" s="7" t="s">
        <v>4571</v>
      </c>
      <c r="G1014" s="7" t="s">
        <v>4572</v>
      </c>
      <c r="H1014" s="8"/>
      <c r="I1014" s="14">
        <v>2</v>
      </c>
      <c r="J1014" s="14">
        <v>4</v>
      </c>
      <c r="K1014" s="6" t="str">
        <f t="shared" ref="K1014:K1015" si="163">HYPERLINK("https://mobile.twitter.com","Twitter Web App")</f>
        <v>Twitter Web App</v>
      </c>
      <c r="L1014" s="15">
        <v>4471</v>
      </c>
      <c r="M1014" s="15">
        <v>5001</v>
      </c>
      <c r="N1014" s="15">
        <v>79</v>
      </c>
      <c r="O1014" s="9"/>
      <c r="P1014" s="10">
        <v>41346.597002314811</v>
      </c>
      <c r="Q1014" s="14" t="s">
        <v>951</v>
      </c>
      <c r="R1014" s="14" t="s">
        <v>952</v>
      </c>
      <c r="S1014" s="8"/>
      <c r="T1014" s="8"/>
      <c r="U1014" s="11" t="str">
        <f>HYPERLINK("https://pbs.twimg.com/profile_images/1361638888427683840/HqNlplM_.jpg","View")</f>
        <v>View</v>
      </c>
      <c r="V1014" s="8"/>
      <c r="W1014" s="8"/>
      <c r="X1014" s="8"/>
      <c r="Y1014" s="8"/>
      <c r="Z1014" s="8"/>
    </row>
    <row r="1015" spans="1:26" ht="13.2">
      <c r="A1015" s="13">
        <v>44250.544386574074</v>
      </c>
      <c r="B1015" s="6" t="str">
        <f>HYPERLINK("https://twitter.com/MLSTjournal","@MLSTjournal")</f>
        <v>@MLSTjournal</v>
      </c>
      <c r="C1015" s="14" t="s">
        <v>4548</v>
      </c>
      <c r="D1015" s="12" t="s">
        <v>4573</v>
      </c>
      <c r="E1015" s="6" t="str">
        <f>HYPERLINK("https://twitter.com/MLSTjournal/status/1364184210169344007","1364184210169344007")</f>
        <v>1364184210169344007</v>
      </c>
      <c r="F1015" s="7" t="s">
        <v>4574</v>
      </c>
      <c r="G1015" s="7" t="s">
        <v>4575</v>
      </c>
      <c r="H1015" s="8"/>
      <c r="I1015" s="14">
        <v>4</v>
      </c>
      <c r="J1015" s="14">
        <v>7</v>
      </c>
      <c r="K1015" s="6" t="str">
        <f t="shared" si="163"/>
        <v>Twitter Web App</v>
      </c>
      <c r="L1015" s="15">
        <v>2890</v>
      </c>
      <c r="M1015" s="15">
        <v>1755</v>
      </c>
      <c r="N1015" s="15">
        <v>37</v>
      </c>
      <c r="O1015" s="9"/>
      <c r="P1015" s="10">
        <v>43741.796527777777</v>
      </c>
      <c r="Q1015" s="14" t="s">
        <v>4552</v>
      </c>
      <c r="R1015" s="14" t="s">
        <v>4553</v>
      </c>
      <c r="S1015" s="7" t="s">
        <v>4554</v>
      </c>
      <c r="T1015" s="8"/>
      <c r="U1015" s="11" t="str">
        <f>HYPERLINK("https://pbs.twimg.com/profile_images/1179805251634896898/KyjyzUQ2.jpg","View")</f>
        <v>View</v>
      </c>
      <c r="V1015" s="8"/>
      <c r="W1015" s="8"/>
      <c r="X1015" s="8"/>
      <c r="Y1015" s="8"/>
      <c r="Z1015" s="8"/>
    </row>
    <row r="1016" spans="1:26" ht="13.2">
      <c r="A1016" s="13">
        <v>44250.544270833328</v>
      </c>
      <c r="B1016" s="6" t="str">
        <f>HYPERLINK("https://twitter.com/Sheraj99","@Sheraj99")</f>
        <v>@Sheraj99</v>
      </c>
      <c r="C1016" s="14" t="s">
        <v>4576</v>
      </c>
      <c r="D1016" s="14" t="s">
        <v>4577</v>
      </c>
      <c r="E1016" s="6" t="str">
        <f>HYPERLINK("https://twitter.com/Sheraj99/status/1364184166879932419","1364184166879932419")</f>
        <v>1364184166879932419</v>
      </c>
      <c r="F1016" s="7" t="s">
        <v>4578</v>
      </c>
      <c r="G1016" s="8"/>
      <c r="H1016" s="8"/>
      <c r="I1016" s="14">
        <v>35</v>
      </c>
      <c r="J1016" s="14">
        <v>21</v>
      </c>
      <c r="K1016" s="6" t="str">
        <f>HYPERLINK("http://twitter.com/download/iphone","Twitter for iPhone")</f>
        <v>Twitter for iPhone</v>
      </c>
      <c r="L1016" s="15">
        <v>288</v>
      </c>
      <c r="M1016" s="15">
        <v>92</v>
      </c>
      <c r="N1016" s="15">
        <v>3</v>
      </c>
      <c r="O1016" s="9"/>
      <c r="P1016" s="10">
        <v>40621.211805555555</v>
      </c>
      <c r="Q1016" s="14" t="s">
        <v>696</v>
      </c>
      <c r="R1016" s="14" t="s">
        <v>4579</v>
      </c>
      <c r="S1016" s="8"/>
      <c r="T1016" s="8"/>
      <c r="U1016" s="11" t="str">
        <f>HYPERLINK("https://pbs.twimg.com/profile_images/1258879283877105664/_UZhqUDu.jpg","View")</f>
        <v>View</v>
      </c>
      <c r="V1016" s="8"/>
      <c r="W1016" s="8"/>
      <c r="X1016" s="8"/>
      <c r="Y1016" s="8"/>
      <c r="Z1016" s="8"/>
    </row>
    <row r="1017" spans="1:26" ht="13.2">
      <c r="A1017" s="13">
        <v>44250.543773148151</v>
      </c>
      <c r="B1017" s="6" t="str">
        <f>HYPERLINK("https://twitter.com/SAPhightech","@SAPhightech")</f>
        <v>@SAPhightech</v>
      </c>
      <c r="C1017" s="14" t="s">
        <v>4580</v>
      </c>
      <c r="D1017" s="14" t="s">
        <v>4581</v>
      </c>
      <c r="E1017" s="6" t="str">
        <f>HYPERLINK("https://twitter.com/SAPhightech/status/1364183985497251843","1364183985497251843")</f>
        <v>1364183985497251843</v>
      </c>
      <c r="F1017" s="7" t="s">
        <v>4582</v>
      </c>
      <c r="G1017" s="7" t="s">
        <v>4583</v>
      </c>
      <c r="H1017" s="8"/>
      <c r="I1017" s="14">
        <v>2</v>
      </c>
      <c r="J1017" s="14">
        <v>2</v>
      </c>
      <c r="K1017" s="6" t="str">
        <f>HYPERLINK("https://www.sprinklr.com","Sprinklr")</f>
        <v>Sprinklr</v>
      </c>
      <c r="L1017" s="15">
        <v>12478</v>
      </c>
      <c r="M1017" s="15">
        <v>5712</v>
      </c>
      <c r="N1017" s="15">
        <v>511</v>
      </c>
      <c r="O1017" s="15" t="s">
        <v>130</v>
      </c>
      <c r="P1017" s="10">
        <v>41157.247708333336</v>
      </c>
      <c r="Q1017" s="8"/>
      <c r="R1017" s="14" t="s">
        <v>4584</v>
      </c>
      <c r="S1017" s="7" t="s">
        <v>4585</v>
      </c>
      <c r="T1017" s="8"/>
      <c r="U1017" s="11" t="str">
        <f>HYPERLINK("https://pbs.twimg.com/profile_images/3316943467/a366b339a51da01001a9a538bfd8e793.png","View")</f>
        <v>View</v>
      </c>
      <c r="V1017" s="8"/>
      <c r="W1017" s="8"/>
      <c r="X1017" s="8"/>
      <c r="Y1017" s="8"/>
      <c r="Z1017" s="8"/>
    </row>
    <row r="1018" spans="1:26" ht="13.2">
      <c r="A1018" s="13">
        <v>44250.54315972222</v>
      </c>
      <c r="B1018" s="6" t="str">
        <f>HYPERLINK("https://twitter.com/RemoteSens_MDPI","@RemoteSens_MDPI")</f>
        <v>@RemoteSens_MDPI</v>
      </c>
      <c r="C1018" s="14" t="s">
        <v>4586</v>
      </c>
      <c r="D1018" s="14" t="s">
        <v>4587</v>
      </c>
      <c r="E1018" s="6" t="str">
        <f>HYPERLINK("https://twitter.com/RemoteSens_MDPI/status/1364183766827065344","1364183766827065344")</f>
        <v>1364183766827065344</v>
      </c>
      <c r="F1018" s="7" t="s">
        <v>4588</v>
      </c>
      <c r="G1018" s="7" t="s">
        <v>4589</v>
      </c>
      <c r="H1018" s="8"/>
      <c r="I1018" s="14">
        <v>2</v>
      </c>
      <c r="J1018" s="14">
        <v>5</v>
      </c>
      <c r="K1018" s="6" t="str">
        <f t="shared" ref="K1018:K1019" si="164">HYPERLINK("https://mobile.twitter.com","Twitter Web App")</f>
        <v>Twitter Web App</v>
      </c>
      <c r="L1018" s="15">
        <v>6874</v>
      </c>
      <c r="M1018" s="15">
        <v>982</v>
      </c>
      <c r="N1018" s="15">
        <v>118</v>
      </c>
      <c r="O1018" s="9"/>
      <c r="P1018" s="10">
        <v>42200.299386574072</v>
      </c>
      <c r="Q1018" s="8"/>
      <c r="R1018" s="14" t="s">
        <v>4590</v>
      </c>
      <c r="S1018" s="7" t="s">
        <v>4591</v>
      </c>
      <c r="T1018" s="8"/>
      <c r="U1018" s="11" t="str">
        <f>HYPERLINK("https://pbs.twimg.com/profile_images/816893317308784645/DtD8AGac.jpg","View")</f>
        <v>View</v>
      </c>
      <c r="V1018" s="8"/>
      <c r="W1018" s="8"/>
      <c r="X1018" s="8"/>
      <c r="Y1018" s="8"/>
      <c r="Z1018" s="8"/>
    </row>
    <row r="1019" spans="1:26" ht="13.2">
      <c r="A1019" s="13">
        <v>44250.54305555555</v>
      </c>
      <c r="B1019" s="6" t="str">
        <f>HYPERLINK("https://twitter.com/josemiguelcacho","@josemiguelcacho")</f>
        <v>@josemiguelcacho</v>
      </c>
      <c r="C1019" s="14" t="s">
        <v>4592</v>
      </c>
      <c r="D1019" s="14" t="s">
        <v>4593</v>
      </c>
      <c r="E1019" s="6" t="str">
        <f>HYPERLINK("https://twitter.com/josemiguelcacho/status/1364183726276673537","1364183726276673537")</f>
        <v>1364183726276673537</v>
      </c>
      <c r="F1019" s="7" t="s">
        <v>4594</v>
      </c>
      <c r="G1019" s="8"/>
      <c r="H1019" s="8"/>
      <c r="I1019" s="14">
        <v>0</v>
      </c>
      <c r="J1019" s="14">
        <v>1</v>
      </c>
      <c r="K1019" s="6" t="str">
        <f t="shared" si="164"/>
        <v>Twitter Web App</v>
      </c>
      <c r="L1019" s="15">
        <v>2117</v>
      </c>
      <c r="M1019" s="15">
        <v>1704</v>
      </c>
      <c r="N1019" s="15">
        <v>365</v>
      </c>
      <c r="O1019" s="9"/>
      <c r="P1019" s="10">
        <v>40408.467326388891</v>
      </c>
      <c r="Q1019" s="14" t="s">
        <v>2396</v>
      </c>
      <c r="R1019" s="14" t="s">
        <v>4595</v>
      </c>
      <c r="S1019" s="7" t="s">
        <v>4596</v>
      </c>
      <c r="T1019" s="8"/>
      <c r="U1019" s="11" t="str">
        <f>HYPERLINK("https://pbs.twimg.com/profile_images/1013837348654714881/Jeu5STSv.jpg","View")</f>
        <v>View</v>
      </c>
      <c r="V1019" s="8"/>
      <c r="W1019" s="8"/>
      <c r="X1019" s="8"/>
      <c r="Y1019" s="8"/>
      <c r="Z1019" s="8"/>
    </row>
    <row r="1020" spans="1:26" ht="13.2">
      <c r="A1020" s="13">
        <v>44250.542743055557</v>
      </c>
      <c r="B1020" s="6" t="str">
        <f>HYPERLINK("https://twitter.com/Sheraj99","@Sheraj99")</f>
        <v>@Sheraj99</v>
      </c>
      <c r="C1020" s="14" t="s">
        <v>4576</v>
      </c>
      <c r="D1020" s="14" t="s">
        <v>4597</v>
      </c>
      <c r="E1020" s="6" t="str">
        <f>HYPERLINK("https://twitter.com/Sheraj99/status/1364183612925558785","1364183612925558785")</f>
        <v>1364183612925558785</v>
      </c>
      <c r="F1020" s="7" t="s">
        <v>4598</v>
      </c>
      <c r="G1020" s="8"/>
      <c r="H1020" s="8"/>
      <c r="I1020" s="14">
        <v>43</v>
      </c>
      <c r="J1020" s="14">
        <v>20</v>
      </c>
      <c r="K1020" s="6" t="str">
        <f>HYPERLINK("http://twitter.com/download/iphone","Twitter for iPhone")</f>
        <v>Twitter for iPhone</v>
      </c>
      <c r="L1020" s="15">
        <v>288</v>
      </c>
      <c r="M1020" s="15">
        <v>92</v>
      </c>
      <c r="N1020" s="15">
        <v>3</v>
      </c>
      <c r="O1020" s="9"/>
      <c r="P1020" s="10">
        <v>40621.211805555555</v>
      </c>
      <c r="Q1020" s="14" t="s">
        <v>696</v>
      </c>
      <c r="R1020" s="14" t="s">
        <v>4579</v>
      </c>
      <c r="S1020" s="8"/>
      <c r="T1020" s="8"/>
      <c r="U1020" s="11" t="str">
        <f>HYPERLINK("https://pbs.twimg.com/profile_images/1258879283877105664/_UZhqUDu.jpg","View")</f>
        <v>View</v>
      </c>
      <c r="V1020" s="8"/>
      <c r="W1020" s="8"/>
      <c r="X1020" s="8"/>
      <c r="Y1020" s="8"/>
      <c r="Z1020" s="8"/>
    </row>
    <row r="1021" spans="1:26" ht="13.2">
      <c r="A1021" s="13">
        <v>44250.542627314819</v>
      </c>
      <c r="B1021" s="6" t="str">
        <f>HYPERLINK("https://twitter.com/VerifyCommunity","@VerifyCommunity")</f>
        <v>@VerifyCommunity</v>
      </c>
      <c r="C1021" s="14" t="s">
        <v>4599</v>
      </c>
      <c r="D1021" s="14" t="s">
        <v>4600</v>
      </c>
      <c r="E1021" s="6" t="str">
        <f>HYPERLINK("https://twitter.com/VerifyCommunity/status/1364183572265992196","1364183572265992196")</f>
        <v>1364183572265992196</v>
      </c>
      <c r="F1021" s="7" t="s">
        <v>4601</v>
      </c>
      <c r="G1021" s="8"/>
      <c r="H1021" s="8"/>
      <c r="I1021" s="14">
        <v>2</v>
      </c>
      <c r="J1021" s="14">
        <v>2</v>
      </c>
      <c r="K1021" s="6" t="str">
        <f t="shared" ref="K1021:K1023" si="165">HYPERLINK("https://www.hootsuite.com","Hootsuite Inc.")</f>
        <v>Hootsuite Inc.</v>
      </c>
      <c r="L1021" s="15">
        <v>295</v>
      </c>
      <c r="M1021" s="15">
        <v>1319</v>
      </c>
      <c r="N1021" s="15">
        <v>44</v>
      </c>
      <c r="O1021" s="9"/>
      <c r="P1021" s="10">
        <v>42093.692013888889</v>
      </c>
      <c r="Q1021" s="14" t="s">
        <v>3149</v>
      </c>
      <c r="R1021" s="14" t="s">
        <v>4602</v>
      </c>
      <c r="S1021" s="7" t="s">
        <v>4603</v>
      </c>
      <c r="T1021" s="8"/>
      <c r="U1021" s="11" t="str">
        <f>HYPERLINK("https://pbs.twimg.com/profile_images/597776517649817600/IsNEBXgB.png","View")</f>
        <v>View</v>
      </c>
      <c r="V1021" s="8"/>
      <c r="W1021" s="8"/>
      <c r="X1021" s="8"/>
      <c r="Y1021" s="8"/>
      <c r="Z1021" s="8"/>
    </row>
    <row r="1022" spans="1:26" ht="13.2">
      <c r="A1022" s="13">
        <v>44250.542592592596</v>
      </c>
      <c r="B1022" s="6" t="str">
        <f>HYPERLINK("https://twitter.com/StreamAnalytix","@StreamAnalytix")</f>
        <v>@StreamAnalytix</v>
      </c>
      <c r="C1022" s="14" t="s">
        <v>4604</v>
      </c>
      <c r="D1022" s="14" t="s">
        <v>4605</v>
      </c>
      <c r="E1022" s="6" t="str">
        <f>HYPERLINK("https://twitter.com/StreamAnalytix/status/1364183558856847362","1364183558856847362")</f>
        <v>1364183558856847362</v>
      </c>
      <c r="F1022" s="7" t="s">
        <v>4606</v>
      </c>
      <c r="G1022" s="7" t="s">
        <v>4607</v>
      </c>
      <c r="H1022" s="8"/>
      <c r="I1022" s="14">
        <v>2</v>
      </c>
      <c r="J1022" s="14">
        <v>3</v>
      </c>
      <c r="K1022" s="6" t="str">
        <f t="shared" si="165"/>
        <v>Hootsuite Inc.</v>
      </c>
      <c r="L1022" s="15">
        <v>452</v>
      </c>
      <c r="M1022" s="15">
        <v>317</v>
      </c>
      <c r="N1022" s="15">
        <v>193</v>
      </c>
      <c r="O1022" s="9"/>
      <c r="P1022" s="10">
        <v>41831.438958333332</v>
      </c>
      <c r="Q1022" s="8"/>
      <c r="R1022" s="14" t="s">
        <v>4608</v>
      </c>
      <c r="S1022" s="7" t="s">
        <v>4609</v>
      </c>
      <c r="T1022" s="8"/>
      <c r="U1022" s="11" t="str">
        <f>HYPERLINK("https://pbs.twimg.com/profile_images/930380219613110272/Iw0L88mZ.jpg","View")</f>
        <v>View</v>
      </c>
      <c r="V1022" s="8"/>
      <c r="W1022" s="8"/>
      <c r="X1022" s="8"/>
      <c r="Y1022" s="8"/>
      <c r="Z1022" s="8"/>
    </row>
    <row r="1023" spans="1:26" ht="13.2">
      <c r="A1023" s="13">
        <v>44250.542581018519</v>
      </c>
      <c r="B1023" s="6" t="str">
        <f>HYPERLINK("https://twitter.com/sang_alertboot","@sang_alertboot")</f>
        <v>@sang_alertboot</v>
      </c>
      <c r="C1023" s="14" t="s">
        <v>4610</v>
      </c>
      <c r="D1023" s="14" t="s">
        <v>4611</v>
      </c>
      <c r="E1023" s="6" t="str">
        <f>HYPERLINK("https://twitter.com/sang_alertboot/status/1364183556860366848","1364183556860366848")</f>
        <v>1364183556860366848</v>
      </c>
      <c r="F1023" s="7" t="s">
        <v>4612</v>
      </c>
      <c r="G1023" s="8"/>
      <c r="H1023" s="8"/>
      <c r="I1023" s="14">
        <v>2</v>
      </c>
      <c r="J1023" s="14">
        <v>1</v>
      </c>
      <c r="K1023" s="6" t="str">
        <f t="shared" si="165"/>
        <v>Hootsuite Inc.</v>
      </c>
      <c r="L1023" s="15">
        <v>334</v>
      </c>
      <c r="M1023" s="15">
        <v>80</v>
      </c>
      <c r="N1023" s="15">
        <v>716</v>
      </c>
      <c r="O1023" s="9"/>
      <c r="P1023" s="10">
        <v>40471.297708333332</v>
      </c>
      <c r="Q1023" s="14" t="s">
        <v>4613</v>
      </c>
      <c r="R1023" s="14" t="s">
        <v>4614</v>
      </c>
      <c r="S1023" s="7" t="s">
        <v>4615</v>
      </c>
      <c r="T1023" s="8"/>
      <c r="U1023" s="11" t="str">
        <f>HYPERLINK("https://pbs.twimg.com/profile_images/1157854063/twitter_profile.jpg","View")</f>
        <v>View</v>
      </c>
      <c r="V1023" s="8"/>
      <c r="W1023" s="8"/>
      <c r="X1023" s="8"/>
      <c r="Y1023" s="8"/>
      <c r="Z1023" s="8"/>
    </row>
    <row r="1024" spans="1:26" ht="13.2">
      <c r="A1024" s="13">
        <v>44250.542268518519</v>
      </c>
      <c r="B1024" s="6" t="str">
        <f>HYPERLINK("https://twitter.com/bigmlcom","@bigmlcom")</f>
        <v>@bigmlcom</v>
      </c>
      <c r="C1024" s="14" t="s">
        <v>4616</v>
      </c>
      <c r="D1024" s="14" t="s">
        <v>4617</v>
      </c>
      <c r="E1024" s="6" t="str">
        <f>HYPERLINK("https://twitter.com/bigmlcom/status/1364183443203055617","1364183443203055617")</f>
        <v>1364183443203055617</v>
      </c>
      <c r="F1024" s="7" t="s">
        <v>4618</v>
      </c>
      <c r="G1024" s="8"/>
      <c r="H1024" s="8"/>
      <c r="I1024" s="14">
        <v>0</v>
      </c>
      <c r="J1024" s="14">
        <v>5</v>
      </c>
      <c r="K1024" s="6" t="str">
        <f>HYPERLINK("https://mobile.twitter.com","Twitter Web App")</f>
        <v>Twitter Web App</v>
      </c>
      <c r="L1024" s="15">
        <v>6725</v>
      </c>
      <c r="M1024" s="15">
        <v>43</v>
      </c>
      <c r="N1024" s="15">
        <v>492</v>
      </c>
      <c r="O1024" s="9"/>
      <c r="P1024" s="10">
        <v>40552.231423611112</v>
      </c>
      <c r="Q1024" s="14" t="s">
        <v>4619</v>
      </c>
      <c r="R1024" s="14" t="s">
        <v>4620</v>
      </c>
      <c r="S1024" s="7" t="s">
        <v>4621</v>
      </c>
      <c r="T1024" s="8"/>
      <c r="U1024" s="11" t="str">
        <f>HYPERLINK("https://pbs.twimg.com/profile_images/1053243999237087235/j87pTK0n.jpg","View")</f>
        <v>View</v>
      </c>
      <c r="V1024" s="8"/>
      <c r="W1024" s="8"/>
      <c r="X1024" s="8"/>
      <c r="Y1024" s="8"/>
      <c r="Z1024" s="8"/>
    </row>
    <row r="1025" spans="1:26" ht="13.2">
      <c r="A1025" s="13">
        <v>44250.542256944449</v>
      </c>
      <c r="B1025" s="6" t="str">
        <f>HYPERLINK("https://twitter.com/Sheraj99","@Sheraj99")</f>
        <v>@Sheraj99</v>
      </c>
      <c r="C1025" s="14" t="s">
        <v>4576</v>
      </c>
      <c r="D1025" s="14" t="s">
        <v>4622</v>
      </c>
      <c r="E1025" s="6" t="str">
        <f>HYPERLINK("https://twitter.com/Sheraj99/status/1364183435812745218","1364183435812745218")</f>
        <v>1364183435812745218</v>
      </c>
      <c r="F1025" s="7" t="s">
        <v>4623</v>
      </c>
      <c r="G1025" s="8"/>
      <c r="H1025" s="8"/>
      <c r="I1025" s="14">
        <v>21</v>
      </c>
      <c r="J1025" s="14">
        <v>9</v>
      </c>
      <c r="K1025" s="6" t="str">
        <f>HYPERLINK("http://twitter.com/download/iphone","Twitter for iPhone")</f>
        <v>Twitter for iPhone</v>
      </c>
      <c r="L1025" s="15">
        <v>288</v>
      </c>
      <c r="M1025" s="15">
        <v>92</v>
      </c>
      <c r="N1025" s="15">
        <v>3</v>
      </c>
      <c r="O1025" s="9"/>
      <c r="P1025" s="10">
        <v>40621.211805555555</v>
      </c>
      <c r="Q1025" s="14" t="s">
        <v>696</v>
      </c>
      <c r="R1025" s="14" t="s">
        <v>4579</v>
      </c>
      <c r="S1025" s="8"/>
      <c r="T1025" s="8"/>
      <c r="U1025" s="11" t="str">
        <f>HYPERLINK("https://pbs.twimg.com/profile_images/1258879283877105664/_UZhqUDu.jpg","View")</f>
        <v>View</v>
      </c>
      <c r="V1025" s="8"/>
      <c r="W1025" s="8"/>
      <c r="X1025" s="8"/>
      <c r="Y1025" s="8"/>
      <c r="Z1025" s="8"/>
    </row>
    <row r="1026" spans="1:26" ht="13.2">
      <c r="A1026" s="13">
        <v>44250.542037037041</v>
      </c>
      <c r="B1026" s="6" t="str">
        <f>HYPERLINK("https://twitter.com/Deep_In_Depth","@Deep_In_Depth")</f>
        <v>@Deep_In_Depth</v>
      </c>
      <c r="C1026" s="14" t="s">
        <v>312</v>
      </c>
      <c r="D1026" s="14" t="s">
        <v>4624</v>
      </c>
      <c r="E1026" s="6" t="str">
        <f>HYPERLINK("https://twitter.com/Deep_In_Depth/status/1364183359254114307","1364183359254114307")</f>
        <v>1364183359254114307</v>
      </c>
      <c r="F1026" s="7" t="s">
        <v>4625</v>
      </c>
      <c r="G1026" s="8"/>
      <c r="H1026" s="8"/>
      <c r="I1026" s="14">
        <v>3</v>
      </c>
      <c r="J1026" s="14">
        <v>6</v>
      </c>
      <c r="K1026" s="6" t="str">
        <f>HYPERLINK("https://buffer.com","Buffer")</f>
        <v>Buffer</v>
      </c>
      <c r="L1026" s="15">
        <v>10954</v>
      </c>
      <c r="M1026" s="15">
        <v>9176</v>
      </c>
      <c r="N1026" s="15">
        <v>159</v>
      </c>
      <c r="O1026" s="9"/>
      <c r="P1026" s="10">
        <v>42864.439525462964</v>
      </c>
      <c r="Q1026" s="14" t="s">
        <v>315</v>
      </c>
      <c r="R1026" s="14" t="s">
        <v>316</v>
      </c>
      <c r="S1026" s="7" t="s">
        <v>317</v>
      </c>
      <c r="T1026" s="8"/>
      <c r="U1026" s="11" t="str">
        <f>HYPERLINK("https://pbs.twimg.com/profile_images/861866967493431296/PIjaSD4g.jpg","View")</f>
        <v>View</v>
      </c>
      <c r="V1026" s="8"/>
      <c r="W1026" s="8"/>
      <c r="X1026" s="8"/>
      <c r="Y1026" s="8"/>
      <c r="Z1026" s="8"/>
    </row>
    <row r="1027" spans="1:26" ht="13.2">
      <c r="A1027" s="13">
        <v>44250.541932870372</v>
      </c>
      <c r="B1027" s="6" t="str">
        <f>HYPERLINK("https://twitter.com/AtticScientist","@AtticScientist")</f>
        <v>@AtticScientist</v>
      </c>
      <c r="C1027" s="14" t="s">
        <v>4626</v>
      </c>
      <c r="D1027" s="14" t="s">
        <v>4627</v>
      </c>
      <c r="E1027" s="6" t="str">
        <f>HYPERLINK("https://twitter.com/AtticScientist/status/1364183320679096325","1364183320679096325")</f>
        <v>1364183320679096325</v>
      </c>
      <c r="F1027" s="7" t="s">
        <v>4628</v>
      </c>
      <c r="G1027" s="8"/>
      <c r="H1027" s="8"/>
      <c r="I1027" s="14">
        <v>0</v>
      </c>
      <c r="J1027" s="14">
        <v>1</v>
      </c>
      <c r="K1027" s="6" t="str">
        <f>HYPERLINK("https://www.data-blogger.com/","TweetFeedDataBlogger")</f>
        <v>TweetFeedDataBlogger</v>
      </c>
      <c r="L1027" s="15">
        <v>591</v>
      </c>
      <c r="M1027" s="15">
        <v>53</v>
      </c>
      <c r="N1027" s="15">
        <v>16</v>
      </c>
      <c r="O1027" s="9"/>
      <c r="P1027" s="10">
        <v>43077.42586805555</v>
      </c>
      <c r="Q1027" s="14" t="s">
        <v>4629</v>
      </c>
      <c r="R1027" s="14" t="s">
        <v>4630</v>
      </c>
      <c r="S1027" s="7" t="s">
        <v>4631</v>
      </c>
      <c r="T1027" s="8"/>
      <c r="U1027" s="11" t="str">
        <f>HYPERLINK("https://pbs.twimg.com/profile_images/1323206624765448197/eqBniY_E.png","View")</f>
        <v>View</v>
      </c>
      <c r="V1027" s="8"/>
      <c r="W1027" s="8"/>
      <c r="X1027" s="8"/>
      <c r="Y1027" s="8"/>
      <c r="Z1027" s="8"/>
    </row>
    <row r="1028" spans="1:26" ht="13.2">
      <c r="A1028" s="13">
        <v>44250.541909722218</v>
      </c>
      <c r="B1028" s="6" t="str">
        <f>HYPERLINK("https://twitter.com/juanfdezortega","@juanfdezortega")</f>
        <v>@juanfdezortega</v>
      </c>
      <c r="C1028" s="14" t="s">
        <v>4632</v>
      </c>
      <c r="D1028" s="14" t="s">
        <v>4633</v>
      </c>
      <c r="E1028" s="6" t="str">
        <f>HYPERLINK("https://twitter.com/juanfdezortega/status/1364183309782290432","1364183309782290432")</f>
        <v>1364183309782290432</v>
      </c>
      <c r="F1028" s="7" t="s">
        <v>4634</v>
      </c>
      <c r="G1028" s="7" t="s">
        <v>4635</v>
      </c>
      <c r="H1028" s="8"/>
      <c r="I1028" s="14">
        <v>0</v>
      </c>
      <c r="J1028" s="14">
        <v>1</v>
      </c>
      <c r="K1028" s="6" t="str">
        <f>HYPERLINK("https://buffer.com","Buffer")</f>
        <v>Buffer</v>
      </c>
      <c r="L1028" s="15">
        <v>634</v>
      </c>
      <c r="M1028" s="15">
        <v>532</v>
      </c>
      <c r="N1028" s="15">
        <v>120</v>
      </c>
      <c r="O1028" s="9"/>
      <c r="P1028" s="10">
        <v>39950.059351851851</v>
      </c>
      <c r="Q1028" s="14" t="s">
        <v>75</v>
      </c>
      <c r="R1028" s="14" t="s">
        <v>4636</v>
      </c>
      <c r="S1028" s="7" t="s">
        <v>4637</v>
      </c>
      <c r="T1028" s="8"/>
      <c r="U1028" s="11" t="str">
        <f>HYPERLINK("https://pbs.twimg.com/profile_images/668914059148857345/Mh7xwFVT.jpg","View")</f>
        <v>View</v>
      </c>
      <c r="V1028" s="8"/>
      <c r="W1028" s="8"/>
      <c r="X1028" s="8"/>
      <c r="Y1028" s="8"/>
      <c r="Z1028" s="8"/>
    </row>
    <row r="1029" spans="1:26" ht="13.2">
      <c r="A1029" s="13">
        <v>44250.541851851856</v>
      </c>
      <c r="B1029" s="6" t="str">
        <f>HYPERLINK("https://twitter.com/IOTWORXHQ","@IOTWORXHQ")</f>
        <v>@IOTWORXHQ</v>
      </c>
      <c r="C1029" s="14" t="s">
        <v>4638</v>
      </c>
      <c r="D1029" s="14" t="s">
        <v>4639</v>
      </c>
      <c r="E1029" s="6" t="str">
        <f>HYPERLINK("https://twitter.com/IOTWORXHQ/status/1364183292598247433","1364183292598247433")</f>
        <v>1364183292598247433</v>
      </c>
      <c r="F1029" s="7" t="s">
        <v>4640</v>
      </c>
      <c r="G1029" s="8"/>
      <c r="H1029" s="8"/>
      <c r="I1029" s="14">
        <v>0</v>
      </c>
      <c r="J1029" s="14">
        <v>1</v>
      </c>
      <c r="K1029" s="6" t="str">
        <f>HYPERLINK("https://www.hootsuite.com","Hootsuite Inc.")</f>
        <v>Hootsuite Inc.</v>
      </c>
      <c r="L1029" s="15">
        <v>0</v>
      </c>
      <c r="M1029" s="15">
        <v>13</v>
      </c>
      <c r="N1029" s="15">
        <v>0</v>
      </c>
      <c r="O1029" s="9"/>
      <c r="P1029" s="10">
        <v>44244.664560185185</v>
      </c>
      <c r="Q1029" s="14" t="s">
        <v>4641</v>
      </c>
      <c r="R1029" s="14" t="s">
        <v>4642</v>
      </c>
      <c r="S1029" s="7" t="s">
        <v>4643</v>
      </c>
      <c r="T1029" s="8"/>
      <c r="U1029" s="11" t="str">
        <f>HYPERLINK("https://pbs.twimg.com/profile_images/1362321481963823107/sDNJagrk.jpg","View")</f>
        <v>View</v>
      </c>
      <c r="V1029" s="8"/>
      <c r="W1029" s="8"/>
      <c r="X1029" s="8"/>
      <c r="Y1029" s="8"/>
      <c r="Z1029" s="8"/>
    </row>
    <row r="1030" spans="1:26" ht="13.2">
      <c r="A1030" s="13">
        <v>44250.541747685187</v>
      </c>
      <c r="B1030" s="6" t="str">
        <f>HYPERLINK("https://twitter.com/ipfconline1","@ipfconline1")</f>
        <v>@ipfconline1</v>
      </c>
      <c r="C1030" s="14" t="s">
        <v>65</v>
      </c>
      <c r="D1030" s="14" t="s">
        <v>4644</v>
      </c>
      <c r="E1030" s="6" t="str">
        <f>HYPERLINK("https://twitter.com/ipfconline1/status/1364183251305299982","1364183251305299982")</f>
        <v>1364183251305299982</v>
      </c>
      <c r="F1030" s="7" t="s">
        <v>4645</v>
      </c>
      <c r="G1030" s="7" t="s">
        <v>4646</v>
      </c>
      <c r="H1030" s="8"/>
      <c r="I1030" s="14">
        <v>14</v>
      </c>
      <c r="J1030" s="14">
        <v>22</v>
      </c>
      <c r="K1030" s="6" t="str">
        <f>HYPERLINK("https://twittimer.com","Twittimer")</f>
        <v>Twittimer</v>
      </c>
      <c r="L1030" s="15">
        <v>112675</v>
      </c>
      <c r="M1030" s="15">
        <v>107162</v>
      </c>
      <c r="N1030" s="15">
        <v>7806</v>
      </c>
      <c r="O1030" s="9"/>
      <c r="P1030" s="10">
        <v>42433.031967592593</v>
      </c>
      <c r="Q1030" s="14" t="s">
        <v>69</v>
      </c>
      <c r="R1030" s="14" t="s">
        <v>70</v>
      </c>
      <c r="S1030" s="7" t="s">
        <v>71</v>
      </c>
      <c r="T1030" s="8"/>
      <c r="U1030" s="11" t="str">
        <f>HYPERLINK("https://pbs.twimg.com/profile_images/729065804004769793/St2_Pum9.jpg","View")</f>
        <v>View</v>
      </c>
      <c r="V1030" s="8"/>
      <c r="W1030" s="8"/>
      <c r="X1030" s="8"/>
      <c r="Y1030" s="8"/>
      <c r="Z1030" s="8"/>
    </row>
    <row r="1031" spans="1:26" ht="13.2">
      <c r="A1031" s="13">
        <v>44250.54173611111</v>
      </c>
      <c r="B1031" s="6" t="str">
        <f>HYPERLINK("https://twitter.com/HaroldSinnott","@HaroldSinnott")</f>
        <v>@HaroldSinnott</v>
      </c>
      <c r="C1031" s="14" t="s">
        <v>4015</v>
      </c>
      <c r="D1031" s="14" t="s">
        <v>4647</v>
      </c>
      <c r="E1031" s="6" t="str">
        <f>HYPERLINK("https://twitter.com/HaroldSinnott/status/1364183247777849344","1364183247777849344")</f>
        <v>1364183247777849344</v>
      </c>
      <c r="F1031" s="8"/>
      <c r="G1031" s="7" t="s">
        <v>4648</v>
      </c>
      <c r="H1031" s="8"/>
      <c r="I1031" s="14">
        <v>47</v>
      </c>
      <c r="J1031" s="14">
        <v>19</v>
      </c>
      <c r="K1031" s="6" t="str">
        <f>HYPERLINK("https://crowdfireapp.com","Crowdfire App")</f>
        <v>Crowdfire App</v>
      </c>
      <c r="L1031" s="15">
        <v>76726</v>
      </c>
      <c r="M1031" s="15">
        <v>46267</v>
      </c>
      <c r="N1031" s="15">
        <v>2484</v>
      </c>
      <c r="O1031" s="9"/>
      <c r="P1031" s="10">
        <v>40465.568553240737</v>
      </c>
      <c r="Q1031" s="14" t="s">
        <v>2904</v>
      </c>
      <c r="R1031" s="14" t="s">
        <v>4019</v>
      </c>
      <c r="S1031" s="7" t="s">
        <v>4020</v>
      </c>
      <c r="T1031" s="8"/>
      <c r="U1031" s="11" t="str">
        <f>HYPERLINK("https://pbs.twimg.com/profile_images/1214348334841901056/QSdqkzO-.jpg","View")</f>
        <v>View</v>
      </c>
      <c r="V1031" s="8"/>
      <c r="W1031" s="8"/>
      <c r="X1031" s="8"/>
      <c r="Y1031" s="8"/>
      <c r="Z1031" s="8"/>
    </row>
    <row r="1032" spans="1:26" ht="13.2">
      <c r="A1032" s="13">
        <v>44250.54173611111</v>
      </c>
      <c r="B1032" s="6" t="str">
        <f>HYPERLINK("https://twitter.com/ErinHillParks1","@ErinHillParks1")</f>
        <v>@ErinHillParks1</v>
      </c>
      <c r="C1032" s="14" t="s">
        <v>4649</v>
      </c>
      <c r="D1032" s="14" t="s">
        <v>4650</v>
      </c>
      <c r="E1032" s="6" t="str">
        <f>HYPERLINK("https://twitter.com/ErinHillParks1/status/1364183247475728390","1364183247475728390")</f>
        <v>1364183247475728390</v>
      </c>
      <c r="F1032" s="7" t="s">
        <v>4651</v>
      </c>
      <c r="G1032" s="8"/>
      <c r="H1032" s="8"/>
      <c r="I1032" s="14">
        <v>23</v>
      </c>
      <c r="J1032" s="14">
        <v>8</v>
      </c>
      <c r="K1032" s="6" t="str">
        <f>HYPERLINK("http://www.linkedin.com/","LinkedIn")</f>
        <v>LinkedIn</v>
      </c>
      <c r="L1032" s="15">
        <v>177</v>
      </c>
      <c r="M1032" s="15">
        <v>253</v>
      </c>
      <c r="N1032" s="15">
        <v>0</v>
      </c>
      <c r="O1032" s="9"/>
      <c r="P1032" s="10">
        <v>43669.516018518523</v>
      </c>
      <c r="Q1032" s="14" t="s">
        <v>2551</v>
      </c>
      <c r="R1032" s="14" t="s">
        <v>4652</v>
      </c>
      <c r="S1032" s="7" t="s">
        <v>4653</v>
      </c>
      <c r="T1032" s="8"/>
      <c r="U1032" s="11" t="str">
        <f>HYPERLINK("https://pbs.twimg.com/profile_images/1153613260039569408/2KiTsSLU.jpg","View")</f>
        <v>View</v>
      </c>
      <c r="V1032" s="8"/>
      <c r="W1032" s="8"/>
      <c r="X1032" s="8"/>
      <c r="Y1032" s="8"/>
      <c r="Z1032" s="8"/>
    </row>
    <row r="1033" spans="1:26" ht="13.2">
      <c r="A1033" s="13">
        <v>44250.541689814811</v>
      </c>
      <c r="B1033" s="6" t="str">
        <f>HYPERLINK("https://twitter.com/reddit_ml","@reddit_ml")</f>
        <v>@reddit_ml</v>
      </c>
      <c r="C1033" s="14" t="s">
        <v>2744</v>
      </c>
      <c r="D1033" s="14" t="s">
        <v>4654</v>
      </c>
      <c r="E1033" s="6" t="str">
        <f>HYPERLINK("https://twitter.com/reddit_ml/status/1364183231487238144","1364183231487238144")</f>
        <v>1364183231487238144</v>
      </c>
      <c r="F1033" s="7" t="s">
        <v>4655</v>
      </c>
      <c r="G1033" s="8"/>
      <c r="H1033" s="8"/>
      <c r="I1033" s="14">
        <v>0</v>
      </c>
      <c r="J1033" s="14">
        <v>0</v>
      </c>
      <c r="K1033" s="6" t="str">
        <f>HYPERLINK("https://www.reddit.com/r/MachineLearning/","reddit-ml-bot")</f>
        <v>reddit-ml-bot</v>
      </c>
      <c r="L1033" s="15">
        <v>411</v>
      </c>
      <c r="M1033" s="15">
        <v>93</v>
      </c>
      <c r="N1033" s="15">
        <v>35</v>
      </c>
      <c r="O1033" s="9"/>
      <c r="P1033" s="10">
        <v>42527.844641203701</v>
      </c>
      <c r="Q1033" s="8"/>
      <c r="R1033" s="8"/>
      <c r="S1033" s="7" t="s">
        <v>2746</v>
      </c>
      <c r="T1033" s="8"/>
      <c r="U1033" s="11" t="str">
        <f>HYPERLINK("https://pbs.twimg.com/profile_images/739887457206996992/9NUmKQvu.jpg","View")</f>
        <v>View</v>
      </c>
      <c r="V1033" s="8"/>
      <c r="W1033" s="8"/>
      <c r="X1033" s="8"/>
      <c r="Y1033" s="8"/>
      <c r="Z1033" s="8"/>
    </row>
    <row r="1034" spans="1:26" ht="13.2">
      <c r="A1034" s="13">
        <v>44250.541678240741</v>
      </c>
      <c r="B1034" s="6" t="str">
        <f>HYPERLINK("https://twitter.com/mekatronik_p","@mekatronik_p")</f>
        <v>@mekatronik_p</v>
      </c>
      <c r="C1034" s="14" t="s">
        <v>384</v>
      </c>
      <c r="D1034" s="14" t="s">
        <v>4656</v>
      </c>
      <c r="E1034" s="6" t="str">
        <f>HYPERLINK("https://twitter.com/mekatronik_p/status/1364183228983091203","1364183228983091203")</f>
        <v>1364183228983091203</v>
      </c>
      <c r="F1034" s="8"/>
      <c r="G1034" s="7" t="s">
        <v>4657</v>
      </c>
      <c r="H1034" s="8"/>
      <c r="I1034" s="14">
        <v>2</v>
      </c>
      <c r="J1034" s="14">
        <v>2</v>
      </c>
      <c r="K1034" s="6" t="str">
        <f t="shared" ref="K1034:K1035" si="166">HYPERLINK("https://mobile.twitter.com","Twitter Web App")</f>
        <v>Twitter Web App</v>
      </c>
      <c r="L1034" s="15">
        <v>67</v>
      </c>
      <c r="M1034" s="15">
        <v>1</v>
      </c>
      <c r="N1034" s="15">
        <v>0</v>
      </c>
      <c r="O1034" s="9"/>
      <c r="P1034" s="10">
        <v>44109.854756944449</v>
      </c>
      <c r="Q1034" s="8"/>
      <c r="R1034" s="14" t="s">
        <v>387</v>
      </c>
      <c r="S1034" s="8"/>
      <c r="T1034" s="8"/>
      <c r="U1034" s="11" t="str">
        <f>HYPERLINK("https://pbs.twimg.com/profile_images/1313188373624958976/SPe0w7x4.jpg","View")</f>
        <v>View</v>
      </c>
      <c r="V1034" s="8"/>
      <c r="W1034" s="8"/>
      <c r="X1034" s="8"/>
      <c r="Y1034" s="8"/>
      <c r="Z1034" s="8"/>
    </row>
    <row r="1035" spans="1:26" ht="13.2">
      <c r="A1035" s="13">
        <v>44250.541678240741</v>
      </c>
      <c r="B1035" s="6" t="str">
        <f>HYPERLINK("https://twitter.com/tallerdeinvers1","@tallerdeinvers1")</f>
        <v>@tallerdeinvers1</v>
      </c>
      <c r="C1035" s="14" t="s">
        <v>4658</v>
      </c>
      <c r="D1035" s="14" t="s">
        <v>4659</v>
      </c>
      <c r="E1035" s="6" t="str">
        <f>HYPERLINK("https://twitter.com/tallerdeinvers1/status/1364183227796135940","1364183227796135940")</f>
        <v>1364183227796135940</v>
      </c>
      <c r="F1035" s="14" t="s">
        <v>4660</v>
      </c>
      <c r="G1035" s="8"/>
      <c r="H1035" s="8"/>
      <c r="I1035" s="14">
        <v>0</v>
      </c>
      <c r="J1035" s="14">
        <v>1</v>
      </c>
      <c r="K1035" s="6" t="str">
        <f t="shared" si="166"/>
        <v>Twitter Web App</v>
      </c>
      <c r="L1035" s="15">
        <v>2806</v>
      </c>
      <c r="M1035" s="15">
        <v>22</v>
      </c>
      <c r="N1035" s="15">
        <v>89</v>
      </c>
      <c r="O1035" s="9"/>
      <c r="P1035" s="10">
        <v>42566.700185185182</v>
      </c>
      <c r="Q1035" s="8"/>
      <c r="R1035" s="8"/>
      <c r="S1035" s="8"/>
      <c r="T1035" s="8"/>
      <c r="U1035" s="11" t="str">
        <f>HYPERLINK("https://pbs.twimg.com/profile_images/817757705863593990/XBNgHhLD.jpg","View")</f>
        <v>View</v>
      </c>
      <c r="V1035" s="8"/>
      <c r="W1035" s="8"/>
      <c r="X1035" s="8"/>
      <c r="Y1035" s="8"/>
      <c r="Z1035" s="8"/>
    </row>
    <row r="1036" spans="1:26" ht="13.2">
      <c r="A1036" s="13">
        <v>44250.541180555556</v>
      </c>
      <c r="B1036" s="6" t="str">
        <f>HYPERLINK("https://twitter.com/NeurAutomata","@NeurAutomata")</f>
        <v>@NeurAutomata</v>
      </c>
      <c r="C1036" s="14" t="s">
        <v>400</v>
      </c>
      <c r="D1036" s="14" t="s">
        <v>401</v>
      </c>
      <c r="E1036" s="6" t="str">
        <f>HYPERLINK("https://twitter.com/NeurAutomata/status/1364183047420182529","1364183047420182529")</f>
        <v>1364183047420182529</v>
      </c>
      <c r="F1036" s="7" t="s">
        <v>4661</v>
      </c>
      <c r="G1036" s="8"/>
      <c r="H1036" s="8"/>
      <c r="I1036" s="14">
        <v>0</v>
      </c>
      <c r="J1036" s="14">
        <v>1</v>
      </c>
      <c r="K1036" s="6" t="str">
        <f>HYPERLINK("https://ifttt.com","IFTTT")</f>
        <v>IFTTT</v>
      </c>
      <c r="L1036" s="15">
        <v>83</v>
      </c>
      <c r="M1036" s="15">
        <v>14</v>
      </c>
      <c r="N1036" s="15">
        <v>3</v>
      </c>
      <c r="O1036" s="9"/>
      <c r="P1036" s="10">
        <v>42862.083414351851</v>
      </c>
      <c r="Q1036" s="14" t="s">
        <v>403</v>
      </c>
      <c r="R1036" s="14" t="s">
        <v>404</v>
      </c>
      <c r="S1036" s="8"/>
      <c r="T1036" s="8"/>
      <c r="U1036" s="11" t="str">
        <f>HYPERLINK("https://pbs.twimg.com/profile_images/861050448672718848/oHUlrvEK.jpg","View")</f>
        <v>View</v>
      </c>
      <c r="V1036" s="8"/>
      <c r="W1036" s="8"/>
      <c r="X1036" s="8"/>
      <c r="Y1036" s="8"/>
      <c r="Z1036" s="8"/>
    </row>
    <row r="1037" spans="1:26" ht="13.2">
      <c r="A1037" s="13">
        <v>44250.54105324074</v>
      </c>
      <c r="B1037" s="6" t="str">
        <f>HYPERLINK("https://twitter.com/sajidmirza","@sajidmirza")</f>
        <v>@sajidmirza</v>
      </c>
      <c r="C1037" s="14" t="s">
        <v>200</v>
      </c>
      <c r="D1037" s="14" t="s">
        <v>2458</v>
      </c>
      <c r="E1037" s="6" t="str">
        <f>HYPERLINK("https://twitter.com/sajidmirza/status/1364183002025234433","1364183002025234433")</f>
        <v>1364183002025234433</v>
      </c>
      <c r="F1037" s="14" t="s">
        <v>2459</v>
      </c>
      <c r="G1037" s="8"/>
      <c r="H1037" s="8"/>
      <c r="I1037" s="14">
        <v>0</v>
      </c>
      <c r="J1037" s="14">
        <v>1</v>
      </c>
      <c r="K1037" s="6" t="str">
        <f>HYPERLINK("http://twinybots.com","TwinyBots")</f>
        <v>TwinyBots</v>
      </c>
      <c r="L1037" s="15">
        <v>2160</v>
      </c>
      <c r="M1037" s="15">
        <v>1495</v>
      </c>
      <c r="N1037" s="15">
        <v>43</v>
      </c>
      <c r="O1037" s="9"/>
      <c r="P1037" s="10">
        <v>39986.264884259261</v>
      </c>
      <c r="Q1037" s="14" t="s">
        <v>203</v>
      </c>
      <c r="R1037" s="14" t="s">
        <v>204</v>
      </c>
      <c r="S1037" s="7" t="s">
        <v>205</v>
      </c>
      <c r="T1037" s="8"/>
      <c r="U1037" s="11" t="str">
        <f>HYPERLINK("https://pbs.twimg.com/profile_images/900709336309276672/M5XpdeQJ.jpg","View")</f>
        <v>View</v>
      </c>
      <c r="V1037" s="8"/>
      <c r="W1037" s="8"/>
      <c r="X1037" s="8"/>
      <c r="Y1037" s="8"/>
      <c r="Z1037" s="8"/>
    </row>
    <row r="1038" spans="1:26" ht="13.2">
      <c r="A1038" s="13">
        <v>44250.541041666671</v>
      </c>
      <c r="B1038" s="6" t="str">
        <f>HYPERLINK("https://twitter.com/MeaIps","@MeaIps")</f>
        <v>@MeaIps</v>
      </c>
      <c r="C1038" s="14" t="s">
        <v>4662</v>
      </c>
      <c r="D1038" s="14" t="s">
        <v>4663</v>
      </c>
      <c r="E1038" s="6" t="str">
        <f>HYPERLINK("https://twitter.com/MeaIps/status/1364182995503095809","1364182995503095809")</f>
        <v>1364182995503095809</v>
      </c>
      <c r="F1038" s="8"/>
      <c r="G1038" s="7" t="s">
        <v>4664</v>
      </c>
      <c r="H1038" s="8"/>
      <c r="I1038" s="14">
        <v>2</v>
      </c>
      <c r="J1038" s="14">
        <v>3</v>
      </c>
      <c r="K1038" s="6" t="str">
        <f>HYPERLINK("https://mobile.twitter.com","Twitter Web App")</f>
        <v>Twitter Web App</v>
      </c>
      <c r="L1038" s="15">
        <v>9</v>
      </c>
      <c r="M1038" s="15">
        <v>1</v>
      </c>
      <c r="N1038" s="15">
        <v>0</v>
      </c>
      <c r="O1038" s="9"/>
      <c r="P1038" s="10">
        <v>44197.467650462961</v>
      </c>
      <c r="Q1038" s="14" t="s">
        <v>4665</v>
      </c>
      <c r="R1038" s="14" t="s">
        <v>4666</v>
      </c>
      <c r="S1038" s="7" t="s">
        <v>4667</v>
      </c>
      <c r="T1038" s="8"/>
      <c r="U1038" s="11" t="str">
        <f>HYPERLINK("https://pbs.twimg.com/profile_images/1344949908244209666/Q5FRS8KP.jpg","View")</f>
        <v>View</v>
      </c>
      <c r="V1038" s="8"/>
      <c r="W1038" s="8"/>
      <c r="X1038" s="8"/>
      <c r="Y1038" s="8"/>
      <c r="Z1038" s="8"/>
    </row>
    <row r="1039" spans="1:26" ht="13.2">
      <c r="A1039" s="13">
        <v>44250.540972222225</v>
      </c>
      <c r="B1039" s="6" t="str">
        <f>HYPERLINK("https://twitter.com/campusbigdata","@campusbigdata")</f>
        <v>@campusbigdata</v>
      </c>
      <c r="C1039" s="14" t="s">
        <v>4668</v>
      </c>
      <c r="D1039" s="14" t="s">
        <v>4669</v>
      </c>
      <c r="E1039" s="6" t="str">
        <f>HYPERLINK("https://twitter.com/campusbigdata/status/1364182971008184333","1364182971008184333")</f>
        <v>1364182971008184333</v>
      </c>
      <c r="F1039" s="7" t="s">
        <v>4670</v>
      </c>
      <c r="G1039" s="8"/>
      <c r="H1039" s="8"/>
      <c r="I1039" s="14">
        <v>0</v>
      </c>
      <c r="J1039" s="14">
        <v>1</v>
      </c>
      <c r="K1039" s="6" t="str">
        <f>HYPERLINK("https://about.twitter.com/products/tweetdeck","TweetDeck")</f>
        <v>TweetDeck</v>
      </c>
      <c r="L1039" s="15">
        <v>2444</v>
      </c>
      <c r="M1039" s="15">
        <v>563</v>
      </c>
      <c r="N1039" s="15">
        <v>67</v>
      </c>
      <c r="O1039" s="9"/>
      <c r="P1039" s="10">
        <v>42559.493576388893</v>
      </c>
      <c r="Q1039" s="14" t="s">
        <v>4671</v>
      </c>
      <c r="R1039" s="14" t="s">
        <v>4672</v>
      </c>
      <c r="S1039" s="7" t="s">
        <v>4673</v>
      </c>
      <c r="T1039" s="8"/>
      <c r="U1039" s="11" t="str">
        <f>HYPERLINK("https://pbs.twimg.com/profile_images/950276430859993089/E6Gcu9ig.jpg","View")</f>
        <v>View</v>
      </c>
      <c r="V1039" s="8"/>
      <c r="W1039" s="8"/>
      <c r="X1039" s="8"/>
      <c r="Y1039" s="8"/>
      <c r="Z1039" s="8"/>
    </row>
    <row r="1040" spans="1:26" ht="13.2">
      <c r="A1040" s="13">
        <v>44250.539872685185</v>
      </c>
      <c r="B1040" s="6" t="str">
        <f>HYPERLINK("https://twitter.com/royhachache","@royhachache")</f>
        <v>@royhachache</v>
      </c>
      <c r="C1040" s="14" t="s">
        <v>4674</v>
      </c>
      <c r="D1040" s="14" t="s">
        <v>4675</v>
      </c>
      <c r="E1040" s="6" t="str">
        <f>HYPERLINK("https://twitter.com/royhachache/status/1364182572641775618","1364182572641775618")</f>
        <v>1364182572641775618</v>
      </c>
      <c r="F1040" s="7" t="s">
        <v>4676</v>
      </c>
      <c r="G1040" s="7" t="s">
        <v>4677</v>
      </c>
      <c r="H1040" s="8"/>
      <c r="I1040" s="14">
        <v>1</v>
      </c>
      <c r="J1040" s="14">
        <v>1</v>
      </c>
      <c r="K1040" s="6" t="str">
        <f>HYPERLINK("https://readyforsocial.com/","ReadyForSocial App")</f>
        <v>ReadyForSocial App</v>
      </c>
      <c r="L1040" s="15">
        <v>63</v>
      </c>
      <c r="M1040" s="15">
        <v>11</v>
      </c>
      <c r="N1040" s="15">
        <v>0</v>
      </c>
      <c r="O1040" s="9"/>
      <c r="P1040" s="10">
        <v>40895.908703703702</v>
      </c>
      <c r="Q1040" s="8"/>
      <c r="R1040" s="14" t="s">
        <v>4678</v>
      </c>
      <c r="S1040" s="8"/>
      <c r="T1040" s="8"/>
      <c r="U1040" s="11" t="str">
        <f>HYPERLINK("https://pbs.twimg.com/profile_images/1356211989517914117/LxB-fnh7.jpg","View")</f>
        <v>View</v>
      </c>
      <c r="V1040" s="8"/>
      <c r="W1040" s="8"/>
      <c r="X1040" s="8"/>
      <c r="Y1040" s="8"/>
      <c r="Z1040" s="8"/>
    </row>
    <row r="1041" spans="1:26" ht="13.2">
      <c r="A1041" s="13">
        <v>44250.539837962962</v>
      </c>
      <c r="B1041" s="6" t="str">
        <f>HYPERLINK("https://twitter.com/asterisminfosof","@asterisminfosof")</f>
        <v>@asterisminfosof</v>
      </c>
      <c r="C1041" s="14" t="s">
        <v>4541</v>
      </c>
      <c r="D1041" s="14" t="s">
        <v>4679</v>
      </c>
      <c r="E1041" s="6" t="str">
        <f>HYPERLINK("https://twitter.com/asterisminfosof/status/1364182559651885058","1364182559651885058")</f>
        <v>1364182559651885058</v>
      </c>
      <c r="F1041" s="8"/>
      <c r="G1041" s="7" t="s">
        <v>4680</v>
      </c>
      <c r="H1041" s="8"/>
      <c r="I1041" s="14">
        <v>2</v>
      </c>
      <c r="J1041" s="14">
        <v>2</v>
      </c>
      <c r="K1041" s="6" t="str">
        <f>HYPERLINK("http://twitter.com/download/android","Twitter for Android")</f>
        <v>Twitter for Android</v>
      </c>
      <c r="L1041" s="15">
        <v>153</v>
      </c>
      <c r="M1041" s="15">
        <v>758</v>
      </c>
      <c r="N1041" s="15">
        <v>1</v>
      </c>
      <c r="O1041" s="9"/>
      <c r="P1041" s="10">
        <v>43235.859178240746</v>
      </c>
      <c r="Q1041" s="14" t="s">
        <v>364</v>
      </c>
      <c r="R1041" s="14" t="s">
        <v>4544</v>
      </c>
      <c r="S1041" s="7" t="s">
        <v>4545</v>
      </c>
      <c r="T1041" s="8"/>
      <c r="U1041" s="11" t="str">
        <f>HYPERLINK("https://pbs.twimg.com/profile_images/999386355133108224/PUVwa5kU.jpg","View")</f>
        <v>View</v>
      </c>
      <c r="V1041" s="8"/>
      <c r="W1041" s="8"/>
      <c r="X1041" s="8"/>
      <c r="Y1041" s="8"/>
      <c r="Z1041" s="8"/>
    </row>
    <row r="1042" spans="1:26" ht="13.2">
      <c r="A1042" s="13">
        <v>44250.537638888884</v>
      </c>
      <c r="B1042" s="6" t="str">
        <f>HYPERLINK("https://twitter.com/coreonapp","@coreonapp")</f>
        <v>@coreonapp</v>
      </c>
      <c r="C1042" s="14" t="s">
        <v>4681</v>
      </c>
      <c r="D1042" s="14" t="s">
        <v>4682</v>
      </c>
      <c r="E1042" s="6" t="str">
        <f>HYPERLINK("https://twitter.com/coreonapp/status/1364181765531836420","1364181765531836420")</f>
        <v>1364181765531836420</v>
      </c>
      <c r="F1042" s="7" t="s">
        <v>4683</v>
      </c>
      <c r="G1042" s="8"/>
      <c r="H1042" s="8"/>
      <c r="I1042" s="14">
        <v>0</v>
      </c>
      <c r="J1042" s="14">
        <v>2</v>
      </c>
      <c r="K1042" s="6" t="str">
        <f>HYPERLINK("https://www.hootsuite.com","Hootsuite Inc.")</f>
        <v>Hootsuite Inc.</v>
      </c>
      <c r="L1042" s="15">
        <v>425</v>
      </c>
      <c r="M1042" s="15">
        <v>335</v>
      </c>
      <c r="N1042" s="15">
        <v>65</v>
      </c>
      <c r="O1042" s="9"/>
      <c r="P1042" s="10">
        <v>41191.457974537036</v>
      </c>
      <c r="Q1042" s="14" t="s">
        <v>4490</v>
      </c>
      <c r="R1042" s="14" t="s">
        <v>4684</v>
      </c>
      <c r="S1042" s="7" t="s">
        <v>4685</v>
      </c>
      <c r="T1042" s="8"/>
      <c r="U1042" s="11" t="str">
        <f>HYPERLINK("https://pbs.twimg.com/profile_images/418681145874599939/C6_-9ysp.png","View")</f>
        <v>View</v>
      </c>
      <c r="V1042" s="8"/>
      <c r="W1042" s="8"/>
      <c r="X1042" s="8"/>
      <c r="Y1042" s="8"/>
      <c r="Z1042" s="8"/>
    </row>
    <row r="1043" spans="1:26" ht="13.2">
      <c r="A1043" s="13">
        <v>44250.537187499998</v>
      </c>
      <c r="B1043" s="6" t="str">
        <f>HYPERLINK("https://twitter.com/IainLJBrown","@IainLJBrown")</f>
        <v>@IainLJBrown</v>
      </c>
      <c r="C1043" s="14" t="s">
        <v>2776</v>
      </c>
      <c r="D1043" s="14" t="s">
        <v>4686</v>
      </c>
      <c r="E1043" s="6" t="str">
        <f>HYPERLINK("https://twitter.com/IainLJBrown/status/1364181600527929348","1364181600527929348")</f>
        <v>1364181600527929348</v>
      </c>
      <c r="F1043" s="7" t="s">
        <v>4687</v>
      </c>
      <c r="G1043" s="8"/>
      <c r="H1043" s="8"/>
      <c r="I1043" s="14">
        <v>24</v>
      </c>
      <c r="J1043" s="14">
        <v>13</v>
      </c>
      <c r="K1043" s="6" t="str">
        <f>HYPERLINK("https://ifttt.com","IFTTT")</f>
        <v>IFTTT</v>
      </c>
      <c r="L1043" s="15">
        <v>115543</v>
      </c>
      <c r="M1043" s="15">
        <v>98727</v>
      </c>
      <c r="N1043" s="15">
        <v>423</v>
      </c>
      <c r="O1043" s="9"/>
      <c r="P1043" s="10">
        <v>40926.673900462964</v>
      </c>
      <c r="Q1043" s="14" t="s">
        <v>753</v>
      </c>
      <c r="R1043" s="14" t="s">
        <v>2779</v>
      </c>
      <c r="S1043" s="7" t="s">
        <v>2780</v>
      </c>
      <c r="T1043" s="8"/>
      <c r="U1043" s="11" t="str">
        <f>HYPERLINK("https://pbs.twimg.com/profile_images/1352606177352364032/jQ7AI0vG.jpg","View")</f>
        <v>View</v>
      </c>
      <c r="V1043" s="8"/>
      <c r="W1043" s="8"/>
      <c r="X1043" s="8"/>
      <c r="Y1043" s="8"/>
      <c r="Z1043" s="8"/>
    </row>
    <row r="1044" spans="1:26" ht="13.2">
      <c r="A1044" s="13">
        <v>44250.537187499998</v>
      </c>
      <c r="B1044" s="6" t="str">
        <f>HYPERLINK("https://twitter.com/RemoteSens_MDPI","@RemoteSens_MDPI")</f>
        <v>@RemoteSens_MDPI</v>
      </c>
      <c r="C1044" s="14" t="s">
        <v>4586</v>
      </c>
      <c r="D1044" s="14" t="s">
        <v>4688</v>
      </c>
      <c r="E1044" s="6" t="str">
        <f>HYPERLINK("https://twitter.com/RemoteSens_MDPI/status/1364181599496007682","1364181599496007682")</f>
        <v>1364181599496007682</v>
      </c>
      <c r="F1044" s="7" t="s">
        <v>4689</v>
      </c>
      <c r="G1044" s="7" t="s">
        <v>4690</v>
      </c>
      <c r="H1044" s="8"/>
      <c r="I1044" s="14">
        <v>0</v>
      </c>
      <c r="J1044" s="14">
        <v>4</v>
      </c>
      <c r="K1044" s="6" t="str">
        <f>HYPERLINK("https://mobile.twitter.com","Twitter Web App")</f>
        <v>Twitter Web App</v>
      </c>
      <c r="L1044" s="15">
        <v>6874</v>
      </c>
      <c r="M1044" s="15">
        <v>982</v>
      </c>
      <c r="N1044" s="15">
        <v>118</v>
      </c>
      <c r="O1044" s="9"/>
      <c r="P1044" s="10">
        <v>42200.299386574072</v>
      </c>
      <c r="Q1044" s="8"/>
      <c r="R1044" s="14" t="s">
        <v>4590</v>
      </c>
      <c r="S1044" s="7" t="s">
        <v>4591</v>
      </c>
      <c r="T1044" s="8"/>
      <c r="U1044" s="11" t="str">
        <f>HYPERLINK("https://pbs.twimg.com/profile_images/816893317308784645/DtD8AGac.jpg","View")</f>
        <v>View</v>
      </c>
      <c r="V1044" s="8"/>
      <c r="W1044" s="8"/>
      <c r="X1044" s="8"/>
      <c r="Y1044" s="8"/>
      <c r="Z1044" s="8"/>
    </row>
    <row r="1045" spans="1:26" ht="13.2">
      <c r="A1045" s="13">
        <v>44250.536898148144</v>
      </c>
      <c r="B1045" s="6" t="str">
        <f>HYPERLINK("https://twitter.com/GroschStefan","@GroschStefan")</f>
        <v>@GroschStefan</v>
      </c>
      <c r="C1045" s="14" t="s">
        <v>4691</v>
      </c>
      <c r="D1045" s="14" t="s">
        <v>90</v>
      </c>
      <c r="E1045" s="6" t="str">
        <f>HYPERLINK("https://twitter.com/GroschStefan/status/1364181493715787779","1364181493715787779")</f>
        <v>1364181493715787779</v>
      </c>
      <c r="F1045" s="7" t="s">
        <v>4692</v>
      </c>
      <c r="G1045" s="8"/>
      <c r="H1045" s="8"/>
      <c r="I1045" s="14">
        <v>1</v>
      </c>
      <c r="J1045" s="14">
        <v>4</v>
      </c>
      <c r="K1045" s="6" t="str">
        <f>HYPERLINK("http://smarp.com","Smarp.")</f>
        <v>Smarp.</v>
      </c>
      <c r="L1045" s="15">
        <v>48</v>
      </c>
      <c r="M1045" s="15">
        <v>52</v>
      </c>
      <c r="N1045" s="15">
        <v>5</v>
      </c>
      <c r="O1045" s="9"/>
      <c r="P1045" s="10">
        <v>40030.408391203702</v>
      </c>
      <c r="Q1045" s="14" t="s">
        <v>4693</v>
      </c>
      <c r="R1045" s="8"/>
      <c r="S1045" s="7" t="s">
        <v>4694</v>
      </c>
      <c r="T1045" s="8"/>
      <c r="U1045" s="11" t="str">
        <f>HYPERLINK("https://pbs.twimg.com/profile_images/740524564455784448/6MPUZzOT.jpg","View")</f>
        <v>View</v>
      </c>
      <c r="V1045" s="8"/>
      <c r="W1045" s="8"/>
      <c r="X1045" s="8"/>
      <c r="Y1045" s="8"/>
      <c r="Z1045" s="8"/>
    </row>
    <row r="1046" spans="1:26" ht="13.2">
      <c r="A1046" s="13">
        <v>44250.536458333328</v>
      </c>
      <c r="B1046" s="6" t="str">
        <f>HYPERLINK("https://twitter.com/OdiaKagan","@OdiaKagan")</f>
        <v>@OdiaKagan</v>
      </c>
      <c r="C1046" s="14" t="s">
        <v>4695</v>
      </c>
      <c r="D1046" s="14" t="s">
        <v>4696</v>
      </c>
      <c r="E1046" s="6" t="str">
        <f>HYPERLINK("https://twitter.com/OdiaKagan/status/1364181336219660290","1364181336219660290")</f>
        <v>1364181336219660290</v>
      </c>
      <c r="F1046" s="7" t="s">
        <v>4697</v>
      </c>
      <c r="G1046" s="8"/>
      <c r="H1046" s="8"/>
      <c r="I1046" s="14">
        <v>2</v>
      </c>
      <c r="J1046" s="14">
        <v>2</v>
      </c>
      <c r="K1046" s="6" t="str">
        <f t="shared" ref="K1046:K1047" si="167">HYPERLINK("https://mobile.twitter.com","Twitter Web App")</f>
        <v>Twitter Web App</v>
      </c>
      <c r="L1046" s="15">
        <v>122</v>
      </c>
      <c r="M1046" s="15">
        <v>128</v>
      </c>
      <c r="N1046" s="15">
        <v>1</v>
      </c>
      <c r="O1046" s="9"/>
      <c r="P1046" s="10">
        <v>42406.740706018521</v>
      </c>
      <c r="Q1046" s="8"/>
      <c r="R1046" s="14" t="s">
        <v>4698</v>
      </c>
      <c r="S1046" s="8"/>
      <c r="T1046" s="8"/>
      <c r="U1046" s="11" t="str">
        <f>HYPERLINK("https://pbs.twimg.com/profile_images/696013321909235713/hR8gQ0jE.jpg","View")</f>
        <v>View</v>
      </c>
      <c r="V1046" s="8"/>
      <c r="W1046" s="8"/>
      <c r="X1046" s="8"/>
      <c r="Y1046" s="8"/>
      <c r="Z1046" s="8"/>
    </row>
    <row r="1047" spans="1:26" ht="13.2">
      <c r="A1047" s="13">
        <v>44250.535763888889</v>
      </c>
      <c r="B1047" s="6" t="str">
        <f>HYPERLINK("https://twitter.com/MotorcycleTwitt","@MotorcycleTwitt")</f>
        <v>@MotorcycleTwitt</v>
      </c>
      <c r="C1047" s="14" t="s">
        <v>4699</v>
      </c>
      <c r="D1047" s="14" t="s">
        <v>4700</v>
      </c>
      <c r="E1047" s="6" t="str">
        <f>HYPERLINK("https://twitter.com/MotorcycleTwitt/status/1364181085051965443","1364181085051965443")</f>
        <v>1364181085051965443</v>
      </c>
      <c r="F1047" s="7" t="s">
        <v>4701</v>
      </c>
      <c r="G1047" s="7" t="s">
        <v>4702</v>
      </c>
      <c r="H1047" s="8"/>
      <c r="I1047" s="14">
        <v>5</v>
      </c>
      <c r="J1047" s="14">
        <v>2</v>
      </c>
      <c r="K1047" s="6" t="str">
        <f t="shared" si="167"/>
        <v>Twitter Web App</v>
      </c>
      <c r="L1047" s="15">
        <v>19217</v>
      </c>
      <c r="M1047" s="15">
        <v>11790</v>
      </c>
      <c r="N1047" s="15">
        <v>1483</v>
      </c>
      <c r="O1047" s="9"/>
      <c r="P1047" s="10">
        <v>41657.304791666669</v>
      </c>
      <c r="Q1047" s="14" t="s">
        <v>390</v>
      </c>
      <c r="R1047" s="14" t="s">
        <v>4703</v>
      </c>
      <c r="S1047" s="7" t="s">
        <v>4704</v>
      </c>
      <c r="T1047" s="8"/>
      <c r="U1047" s="11" t="str">
        <f>HYPERLINK("https://pbs.twimg.com/profile_images/976706803533725698/-B5y-7mI.jpg","View")</f>
        <v>View</v>
      </c>
      <c r="V1047" s="8"/>
      <c r="W1047" s="8"/>
      <c r="X1047" s="8"/>
      <c r="Y1047" s="8"/>
      <c r="Z1047" s="8"/>
    </row>
    <row r="1048" spans="1:26" ht="13.2">
      <c r="A1048" s="13">
        <v>44250.535694444443</v>
      </c>
      <c r="B1048" s="6" t="str">
        <f>HYPERLINK("https://twitter.com/JourneyHeroTech","@JourneyHeroTech")</f>
        <v>@JourneyHeroTech</v>
      </c>
      <c r="C1048" s="14" t="s">
        <v>1061</v>
      </c>
      <c r="D1048" s="14" t="s">
        <v>4705</v>
      </c>
      <c r="E1048" s="6" t="str">
        <f>HYPERLINK("https://twitter.com/JourneyHeroTech/status/1364181060360282112","1364181060360282112")</f>
        <v>1364181060360282112</v>
      </c>
      <c r="F1048" s="14" t="s">
        <v>4706</v>
      </c>
      <c r="G1048" s="7" t="s">
        <v>4707</v>
      </c>
      <c r="H1048" s="8"/>
      <c r="I1048" s="14">
        <v>32</v>
      </c>
      <c r="J1048" s="14">
        <v>18</v>
      </c>
      <c r="K1048" s="6" t="str">
        <f>HYPERLINK("http://twitter.com/download/iphone","Twitter for iPhone")</f>
        <v>Twitter for iPhone</v>
      </c>
      <c r="L1048" s="15">
        <v>418</v>
      </c>
      <c r="M1048" s="15">
        <v>1469</v>
      </c>
      <c r="N1048" s="15">
        <v>4</v>
      </c>
      <c r="O1048" s="9"/>
      <c r="P1048" s="10">
        <v>43958.737557870365</v>
      </c>
      <c r="Q1048" s="8"/>
      <c r="R1048" s="14" t="s">
        <v>1065</v>
      </c>
      <c r="S1048" s="7" t="s">
        <v>1066</v>
      </c>
      <c r="T1048" s="8"/>
      <c r="U1048" s="11" t="str">
        <f>HYPERLINK("https://pbs.twimg.com/profile_images/1258421949493100544/99J8Ehfn.jpg","View")</f>
        <v>View</v>
      </c>
      <c r="V1048" s="8"/>
      <c r="W1048" s="8"/>
      <c r="X1048" s="8"/>
      <c r="Y1048" s="8"/>
      <c r="Z1048" s="8"/>
    </row>
    <row r="1049" spans="1:26" ht="13.2">
      <c r="A1049" s="13">
        <v>44250.534386574072</v>
      </c>
      <c r="B1049" s="6" t="str">
        <f>HYPERLINK("https://twitter.com/machinelearnflx","@machinelearnflx")</f>
        <v>@machinelearnflx</v>
      </c>
      <c r="C1049" s="14" t="s">
        <v>279</v>
      </c>
      <c r="D1049" s="14" t="s">
        <v>4708</v>
      </c>
      <c r="E1049" s="6" t="str">
        <f>HYPERLINK("https://twitter.com/machinelearnflx/status/1364180583799209991","1364180583799209991")</f>
        <v>1364180583799209991</v>
      </c>
      <c r="F1049" s="7" t="s">
        <v>4709</v>
      </c>
      <c r="G1049" s="8"/>
      <c r="H1049" s="8"/>
      <c r="I1049" s="14">
        <v>1</v>
      </c>
      <c r="J1049" s="14">
        <v>4</v>
      </c>
      <c r="K1049" s="6" t="str">
        <f>HYPERLINK("https://twitter.com/pythonbot_","Postmatico")</f>
        <v>Postmatico</v>
      </c>
      <c r="L1049" s="15">
        <v>90451</v>
      </c>
      <c r="M1049" s="15">
        <v>35464</v>
      </c>
      <c r="N1049" s="15">
        <v>2227</v>
      </c>
      <c r="O1049" s="9"/>
      <c r="P1049" s="10">
        <v>42386.538865740746</v>
      </c>
      <c r="Q1049" s="8"/>
      <c r="R1049" s="14" t="s">
        <v>282</v>
      </c>
      <c r="S1049" s="7" t="s">
        <v>283</v>
      </c>
      <c r="T1049" s="8"/>
      <c r="U1049" s="11" t="str">
        <f>HYPERLINK("https://pbs.twimg.com/profile_images/688735459892195329/v8sHaWSG.jpg","View")</f>
        <v>View</v>
      </c>
      <c r="V1049" s="8"/>
      <c r="W1049" s="8"/>
      <c r="X1049" s="8"/>
      <c r="Y1049" s="8"/>
      <c r="Z1049" s="8"/>
    </row>
    <row r="1050" spans="1:26" ht="13.2">
      <c r="A1050" s="13">
        <v>44250.534270833334</v>
      </c>
      <c r="B1050" s="6" t="str">
        <f>HYPERLINK("https://twitter.com/ItGrafx","@ItGrafx")</f>
        <v>@ItGrafx</v>
      </c>
      <c r="C1050" s="14" t="s">
        <v>4710</v>
      </c>
      <c r="D1050" s="14" t="s">
        <v>4711</v>
      </c>
      <c r="E1050" s="6" t="str">
        <f>HYPERLINK("https://twitter.com/ItGrafx/status/1364180542120333316","1364180542120333316")</f>
        <v>1364180542120333316</v>
      </c>
      <c r="F1050" s="8"/>
      <c r="G1050" s="7" t="s">
        <v>4712</v>
      </c>
      <c r="H1050" s="8"/>
      <c r="I1050" s="14">
        <v>3</v>
      </c>
      <c r="J1050" s="14">
        <v>0</v>
      </c>
      <c r="K1050" s="6" t="str">
        <f>HYPERLINK("https://mobile.twitter.com","Twitter Web App")</f>
        <v>Twitter Web App</v>
      </c>
      <c r="L1050" s="15">
        <v>10</v>
      </c>
      <c r="M1050" s="15">
        <v>0</v>
      </c>
      <c r="N1050" s="15">
        <v>0</v>
      </c>
      <c r="O1050" s="9"/>
      <c r="P1050" s="10">
        <v>44137.296770833331</v>
      </c>
      <c r="Q1050" s="8"/>
      <c r="R1050" s="14" t="s">
        <v>4713</v>
      </c>
      <c r="S1050" s="8"/>
      <c r="T1050" s="8"/>
      <c r="U1050" s="11" t="str">
        <f>HYPERLINK("https://pbs.twimg.com/profile_images/1323145171525984257/rY-ErN8Q.jpg","View")</f>
        <v>View</v>
      </c>
      <c r="V1050" s="8"/>
      <c r="W1050" s="8"/>
      <c r="X1050" s="8"/>
      <c r="Y1050" s="8"/>
      <c r="Z1050" s="8"/>
    </row>
    <row r="1051" spans="1:26" ht="13.2">
      <c r="A1051" s="13">
        <v>44250.534212962964</v>
      </c>
      <c r="B1051" s="6" t="str">
        <f>HYPERLINK("https://twitter.com/Robofied","@Robofied")</f>
        <v>@Robofied</v>
      </c>
      <c r="C1051" s="14" t="s">
        <v>2099</v>
      </c>
      <c r="D1051" s="14" t="s">
        <v>4714</v>
      </c>
      <c r="E1051" s="6" t="str">
        <f>HYPERLINK("https://twitter.com/Robofied/status/1364180524516872195","1364180524516872195")</f>
        <v>1364180524516872195</v>
      </c>
      <c r="F1051" s="8"/>
      <c r="G1051" s="8"/>
      <c r="H1051" s="8"/>
      <c r="I1051" s="14">
        <v>4</v>
      </c>
      <c r="J1051" s="14">
        <v>2</v>
      </c>
      <c r="K1051" s="6" t="str">
        <f>HYPERLINK("http://twitter.com/download/android","Twitter for Android")</f>
        <v>Twitter for Android</v>
      </c>
      <c r="L1051" s="15">
        <v>231</v>
      </c>
      <c r="M1051" s="15">
        <v>116</v>
      </c>
      <c r="N1051" s="15">
        <v>8</v>
      </c>
      <c r="O1051" s="9"/>
      <c r="P1051" s="10">
        <v>43198.393437499995</v>
      </c>
      <c r="Q1051" s="14" t="s">
        <v>2102</v>
      </c>
      <c r="R1051" s="14" t="s">
        <v>2103</v>
      </c>
      <c r="S1051" s="7" t="s">
        <v>2104</v>
      </c>
      <c r="T1051" s="8"/>
      <c r="U1051" s="11" t="str">
        <f>HYPERLINK("https://pbs.twimg.com/profile_images/1139982196540764160/2tahzdY4.png","View")</f>
        <v>View</v>
      </c>
      <c r="V1051" s="8"/>
      <c r="W1051" s="8"/>
      <c r="X1051" s="8"/>
      <c r="Y1051" s="8"/>
      <c r="Z1051" s="8"/>
    </row>
    <row r="1052" spans="1:26" ht="13.2">
      <c r="A1052" s="13">
        <v>44250.53398148148</v>
      </c>
      <c r="B1052" s="6" t="str">
        <f>HYPERLINK("https://twitter.com/MetiaFintech","@MetiaFintech")</f>
        <v>@MetiaFintech</v>
      </c>
      <c r="C1052" s="14" t="s">
        <v>4715</v>
      </c>
      <c r="D1052" s="14" t="s">
        <v>4716</v>
      </c>
      <c r="E1052" s="6" t="str">
        <f>HYPERLINK("https://twitter.com/MetiaFintech/status/1364180438147862532","1364180438147862532")</f>
        <v>1364180438147862532</v>
      </c>
      <c r="F1052" s="7" t="s">
        <v>4717</v>
      </c>
      <c r="G1052" s="8"/>
      <c r="H1052" s="8"/>
      <c r="I1052" s="14">
        <v>0</v>
      </c>
      <c r="J1052" s="14">
        <v>1</v>
      </c>
      <c r="K1052" s="6" t="str">
        <f t="shared" ref="K1052:K1053" si="168">HYPERLINK("https://mobile.twitter.com","Twitter Web App")</f>
        <v>Twitter Web App</v>
      </c>
      <c r="L1052" s="15">
        <v>2465</v>
      </c>
      <c r="M1052" s="15">
        <v>2336</v>
      </c>
      <c r="N1052" s="15">
        <v>392</v>
      </c>
      <c r="O1052" s="9"/>
      <c r="P1052" s="10">
        <v>39832.768900462965</v>
      </c>
      <c r="Q1052" s="14" t="s">
        <v>650</v>
      </c>
      <c r="R1052" s="14" t="s">
        <v>4718</v>
      </c>
      <c r="S1052" s="7" t="s">
        <v>4719</v>
      </c>
      <c r="T1052" s="8"/>
      <c r="U1052" s="11" t="str">
        <f>HYPERLINK("https://pbs.twimg.com/profile_images/834816444848304128/sBTs0vXr.jpg","View")</f>
        <v>View</v>
      </c>
      <c r="V1052" s="8"/>
      <c r="W1052" s="8"/>
      <c r="X1052" s="8"/>
      <c r="Y1052" s="8"/>
      <c r="Z1052" s="8"/>
    </row>
    <row r="1053" spans="1:26" ht="13.2">
      <c r="A1053" s="13">
        <v>44250.532870370371</v>
      </c>
      <c r="B1053" s="6" t="str">
        <f>HYPERLINK("https://twitter.com/ajayram198","@ajayram198")</f>
        <v>@ajayram198</v>
      </c>
      <c r="C1053" s="14" t="s">
        <v>4720</v>
      </c>
      <c r="D1053" s="14" t="s">
        <v>4721</v>
      </c>
      <c r="E1053" s="6" t="str">
        <f>HYPERLINK("https://twitter.com/ajayram198/status/1364180034114609155","1364180034114609155")</f>
        <v>1364180034114609155</v>
      </c>
      <c r="F1053" s="7" t="s">
        <v>4722</v>
      </c>
      <c r="G1053" s="8"/>
      <c r="H1053" s="8"/>
      <c r="I1053" s="14">
        <v>2</v>
      </c>
      <c r="J1053" s="14">
        <v>2</v>
      </c>
      <c r="K1053" s="6" t="str">
        <f t="shared" si="168"/>
        <v>Twitter Web App</v>
      </c>
      <c r="L1053" s="15">
        <v>332</v>
      </c>
      <c r="M1053" s="15">
        <v>1140</v>
      </c>
      <c r="N1053" s="15">
        <v>12</v>
      </c>
      <c r="O1053" s="9"/>
      <c r="P1053" s="10">
        <v>41655.395821759259</v>
      </c>
      <c r="Q1053" s="14" t="s">
        <v>3685</v>
      </c>
      <c r="R1053" s="14" t="s">
        <v>4723</v>
      </c>
      <c r="S1053" s="7" t="s">
        <v>4724</v>
      </c>
      <c r="T1053" s="8"/>
      <c r="U1053" s="11" t="str">
        <f>HYPERLINK("https://pbs.twimg.com/profile_images/423752957595623424/msdzJRlv.jpeg","View")</f>
        <v>View</v>
      </c>
      <c r="V1053" s="8"/>
      <c r="W1053" s="8"/>
      <c r="X1053" s="8"/>
      <c r="Y1053" s="8"/>
      <c r="Z1053" s="8"/>
    </row>
    <row r="1054" spans="1:26" ht="13.2">
      <c r="A1054" s="13">
        <v>44250.532824074078</v>
      </c>
      <c r="B1054" s="6" t="str">
        <f>HYPERLINK("https://twitter.com/DataAugmented","@DataAugmented")</f>
        <v>@DataAugmented</v>
      </c>
      <c r="C1054" s="14" t="s">
        <v>1067</v>
      </c>
      <c r="D1054" s="14" t="s">
        <v>4725</v>
      </c>
      <c r="E1054" s="6" t="str">
        <f>HYPERLINK("https://twitter.com/DataAugmented/status/1364180018507620353","1364180018507620353")</f>
        <v>1364180018507620353</v>
      </c>
      <c r="F1054" s="7" t="s">
        <v>302</v>
      </c>
      <c r="G1054" s="8"/>
      <c r="H1054" s="8"/>
      <c r="I1054" s="14">
        <v>1</v>
      </c>
      <c r="J1054" s="14">
        <v>2</v>
      </c>
      <c r="K1054" s="6" t="str">
        <f>HYPERLINK("https://gamer-geek-news.com","DataScienceInfo")</f>
        <v>DataScienceInfo</v>
      </c>
      <c r="L1054" s="15">
        <v>6506</v>
      </c>
      <c r="M1054" s="15">
        <v>6648</v>
      </c>
      <c r="N1054" s="15">
        <v>85</v>
      </c>
      <c r="O1054" s="9"/>
      <c r="P1054" s="10">
        <v>43798.394791666666</v>
      </c>
      <c r="Q1054" s="8"/>
      <c r="R1054" s="14" t="s">
        <v>1069</v>
      </c>
      <c r="S1054" s="7" t="s">
        <v>1070</v>
      </c>
      <c r="T1054" s="8"/>
      <c r="U1054" s="11" t="str">
        <f>HYPERLINK("https://pbs.twimg.com/profile_images/1302170997328621568/kxZYcsFI.jpg","View")</f>
        <v>View</v>
      </c>
      <c r="V1054" s="8"/>
      <c r="W1054" s="8"/>
      <c r="X1054" s="8"/>
      <c r="Y1054" s="8"/>
      <c r="Z1054" s="8"/>
    </row>
    <row r="1055" spans="1:26" ht="13.2">
      <c r="A1055" s="13">
        <v>44250.532650462963</v>
      </c>
      <c r="B1055" s="6" t="str">
        <f t="shared" ref="B1055:B1059" si="169">HYPERLINK("https://twitter.com/jf_transcendent","@jf_transcendent")</f>
        <v>@jf_transcendent</v>
      </c>
      <c r="C1055" s="14" t="s">
        <v>4726</v>
      </c>
      <c r="D1055" s="14" t="s">
        <v>4727</v>
      </c>
      <c r="E1055" s="6" t="str">
        <f>HYPERLINK("https://twitter.com/jf_transcendent/status/1364179957685964804","1364179957685964804")</f>
        <v>1364179957685964804</v>
      </c>
      <c r="F1055" s="7" t="s">
        <v>4728</v>
      </c>
      <c r="G1055" s="8"/>
      <c r="H1055" s="8"/>
      <c r="I1055" s="14">
        <v>3</v>
      </c>
      <c r="J1055" s="14">
        <v>3</v>
      </c>
      <c r="K1055" s="6" t="str">
        <f t="shared" ref="K1055:K1060" si="170">HYPERLINK("https://mobile.twitter.com","Twitter Web App")</f>
        <v>Twitter Web App</v>
      </c>
      <c r="L1055" s="15">
        <v>39</v>
      </c>
      <c r="M1055" s="15">
        <v>58</v>
      </c>
      <c r="N1055" s="15">
        <v>5</v>
      </c>
      <c r="O1055" s="9"/>
      <c r="P1055" s="10">
        <v>40446.024363425924</v>
      </c>
      <c r="Q1055" s="8"/>
      <c r="R1055" s="14" t="s">
        <v>4729</v>
      </c>
      <c r="S1055" s="8"/>
      <c r="T1055" s="8"/>
      <c r="U1055" s="11" t="str">
        <f t="shared" ref="U1055:U1059" si="171">HYPERLINK("https://pbs.twimg.com/profile_images/1175185698/Picture_001.jpg","View")</f>
        <v>View</v>
      </c>
      <c r="V1055" s="8"/>
      <c r="W1055" s="8"/>
      <c r="X1055" s="8"/>
      <c r="Y1055" s="8"/>
      <c r="Z1055" s="8"/>
    </row>
    <row r="1056" spans="1:26" ht="13.2">
      <c r="A1056" s="13">
        <v>44250.532592592594</v>
      </c>
      <c r="B1056" s="6" t="str">
        <f t="shared" si="169"/>
        <v>@jf_transcendent</v>
      </c>
      <c r="C1056" s="14" t="s">
        <v>4726</v>
      </c>
      <c r="D1056" s="14" t="s">
        <v>4730</v>
      </c>
      <c r="E1056" s="6" t="str">
        <f>HYPERLINK("https://twitter.com/jf_transcendent/status/1364179934839668738","1364179934839668738")</f>
        <v>1364179934839668738</v>
      </c>
      <c r="F1056" s="7" t="s">
        <v>4731</v>
      </c>
      <c r="G1056" s="8"/>
      <c r="H1056" s="8"/>
      <c r="I1056" s="14">
        <v>6</v>
      </c>
      <c r="J1056" s="14">
        <v>5</v>
      </c>
      <c r="K1056" s="6" t="str">
        <f t="shared" si="170"/>
        <v>Twitter Web App</v>
      </c>
      <c r="L1056" s="15">
        <v>39</v>
      </c>
      <c r="M1056" s="15">
        <v>58</v>
      </c>
      <c r="N1056" s="15">
        <v>5</v>
      </c>
      <c r="O1056" s="9"/>
      <c r="P1056" s="10">
        <v>40446.024363425924</v>
      </c>
      <c r="Q1056" s="8"/>
      <c r="R1056" s="14" t="s">
        <v>4729</v>
      </c>
      <c r="S1056" s="8"/>
      <c r="T1056" s="8"/>
      <c r="U1056" s="11" t="str">
        <f t="shared" si="171"/>
        <v>View</v>
      </c>
      <c r="V1056" s="8"/>
      <c r="W1056" s="8"/>
      <c r="X1056" s="8"/>
      <c r="Y1056" s="8"/>
      <c r="Z1056" s="8"/>
    </row>
    <row r="1057" spans="1:26" ht="13.2">
      <c r="A1057" s="13">
        <v>44250.532523148147</v>
      </c>
      <c r="B1057" s="6" t="str">
        <f t="shared" si="169"/>
        <v>@jf_transcendent</v>
      </c>
      <c r="C1057" s="14" t="s">
        <v>4726</v>
      </c>
      <c r="D1057" s="14" t="s">
        <v>4732</v>
      </c>
      <c r="E1057" s="6" t="str">
        <f>HYPERLINK("https://twitter.com/jf_transcendent/status/1364179909946470403","1364179909946470403")</f>
        <v>1364179909946470403</v>
      </c>
      <c r="F1057" s="7" t="s">
        <v>4733</v>
      </c>
      <c r="G1057" s="8"/>
      <c r="H1057" s="8"/>
      <c r="I1057" s="14">
        <v>1</v>
      </c>
      <c r="J1057" s="14">
        <v>3</v>
      </c>
      <c r="K1057" s="6" t="str">
        <f t="shared" si="170"/>
        <v>Twitter Web App</v>
      </c>
      <c r="L1057" s="15">
        <v>39</v>
      </c>
      <c r="M1057" s="15">
        <v>58</v>
      </c>
      <c r="N1057" s="15">
        <v>5</v>
      </c>
      <c r="O1057" s="9"/>
      <c r="P1057" s="10">
        <v>40446.024363425924</v>
      </c>
      <c r="Q1057" s="8"/>
      <c r="R1057" s="14" t="s">
        <v>4729</v>
      </c>
      <c r="S1057" s="8"/>
      <c r="T1057" s="8"/>
      <c r="U1057" s="11" t="str">
        <f t="shared" si="171"/>
        <v>View</v>
      </c>
      <c r="V1057" s="8"/>
      <c r="W1057" s="8"/>
      <c r="X1057" s="8"/>
      <c r="Y1057" s="8"/>
      <c r="Z1057" s="8"/>
    </row>
    <row r="1058" spans="1:26" ht="13.2">
      <c r="A1058" s="13">
        <v>44250.532453703709</v>
      </c>
      <c r="B1058" s="6" t="str">
        <f t="shared" si="169"/>
        <v>@jf_transcendent</v>
      </c>
      <c r="C1058" s="14" t="s">
        <v>4726</v>
      </c>
      <c r="D1058" s="14" t="s">
        <v>4734</v>
      </c>
      <c r="E1058" s="6" t="str">
        <f>HYPERLINK("https://twitter.com/jf_transcendent/status/1364179886118559753","1364179886118559753")</f>
        <v>1364179886118559753</v>
      </c>
      <c r="F1058" s="7" t="s">
        <v>4735</v>
      </c>
      <c r="G1058" s="8"/>
      <c r="H1058" s="8"/>
      <c r="I1058" s="14">
        <v>3</v>
      </c>
      <c r="J1058" s="14">
        <v>3</v>
      </c>
      <c r="K1058" s="6" t="str">
        <f t="shared" si="170"/>
        <v>Twitter Web App</v>
      </c>
      <c r="L1058" s="15">
        <v>39</v>
      </c>
      <c r="M1058" s="15">
        <v>58</v>
      </c>
      <c r="N1058" s="15">
        <v>5</v>
      </c>
      <c r="O1058" s="9"/>
      <c r="P1058" s="10">
        <v>40446.024363425924</v>
      </c>
      <c r="Q1058" s="8"/>
      <c r="R1058" s="14" t="s">
        <v>4729</v>
      </c>
      <c r="S1058" s="8"/>
      <c r="T1058" s="8"/>
      <c r="U1058" s="11" t="str">
        <f t="shared" si="171"/>
        <v>View</v>
      </c>
      <c r="V1058" s="8"/>
      <c r="W1058" s="8"/>
      <c r="X1058" s="8"/>
      <c r="Y1058" s="8"/>
      <c r="Z1058" s="8"/>
    </row>
    <row r="1059" spans="1:26" ht="13.2">
      <c r="A1059" s="13">
        <v>44250.532384259262</v>
      </c>
      <c r="B1059" s="6" t="str">
        <f t="shared" si="169"/>
        <v>@jf_transcendent</v>
      </c>
      <c r="C1059" s="14" t="s">
        <v>4726</v>
      </c>
      <c r="D1059" s="14" t="s">
        <v>4736</v>
      </c>
      <c r="E1059" s="6" t="str">
        <f>HYPERLINK("https://twitter.com/jf_transcendent/status/1364179858784280578","1364179858784280578")</f>
        <v>1364179858784280578</v>
      </c>
      <c r="F1059" s="7" t="s">
        <v>4737</v>
      </c>
      <c r="G1059" s="8"/>
      <c r="H1059" s="8"/>
      <c r="I1059" s="14">
        <v>1</v>
      </c>
      <c r="J1059" s="14">
        <v>2</v>
      </c>
      <c r="K1059" s="6" t="str">
        <f t="shared" si="170"/>
        <v>Twitter Web App</v>
      </c>
      <c r="L1059" s="15">
        <v>39</v>
      </c>
      <c r="M1059" s="15">
        <v>58</v>
      </c>
      <c r="N1059" s="15">
        <v>5</v>
      </c>
      <c r="O1059" s="9"/>
      <c r="P1059" s="10">
        <v>40446.024363425924</v>
      </c>
      <c r="Q1059" s="8"/>
      <c r="R1059" s="14" t="s">
        <v>4729</v>
      </c>
      <c r="S1059" s="8"/>
      <c r="T1059" s="8"/>
      <c r="U1059" s="11" t="str">
        <f t="shared" si="171"/>
        <v>View</v>
      </c>
      <c r="V1059" s="8"/>
      <c r="W1059" s="8"/>
      <c r="X1059" s="8"/>
      <c r="Y1059" s="8"/>
      <c r="Z1059" s="8"/>
    </row>
    <row r="1060" spans="1:26" ht="13.2">
      <c r="A1060" s="13">
        <v>44250.532210648147</v>
      </c>
      <c r="B1060" s="6" t="str">
        <f>HYPERLINK("https://twitter.com/Social_Molly","@Social_Molly")</f>
        <v>@Social_Molly</v>
      </c>
      <c r="C1060" s="14" t="s">
        <v>3631</v>
      </c>
      <c r="D1060" s="14" t="s">
        <v>4738</v>
      </c>
      <c r="E1060" s="6" t="str">
        <f>HYPERLINK("https://twitter.com/Social_Molly/status/1364179795144179721","1364179795144179721")</f>
        <v>1364179795144179721</v>
      </c>
      <c r="F1060" s="7" t="s">
        <v>4739</v>
      </c>
      <c r="G1060" s="7" t="s">
        <v>4740</v>
      </c>
      <c r="H1060" s="8"/>
      <c r="I1060" s="14">
        <v>3</v>
      </c>
      <c r="J1060" s="14">
        <v>6</v>
      </c>
      <c r="K1060" s="6" t="str">
        <f t="shared" si="170"/>
        <v>Twitter Web App</v>
      </c>
      <c r="L1060" s="15">
        <v>12130</v>
      </c>
      <c r="M1060" s="15">
        <v>6463</v>
      </c>
      <c r="N1060" s="15">
        <v>103</v>
      </c>
      <c r="O1060" s="9"/>
      <c r="P1060" s="10">
        <v>43174.238796296297</v>
      </c>
      <c r="Q1060" s="14" t="s">
        <v>3635</v>
      </c>
      <c r="R1060" s="14" t="s">
        <v>3636</v>
      </c>
      <c r="S1060" s="8"/>
      <c r="T1060" s="8"/>
      <c r="U1060" s="11" t="str">
        <f>HYPERLINK("https://pbs.twimg.com/profile_images/981743224749408256/OTsOfujW.jpg","View")</f>
        <v>View</v>
      </c>
      <c r="V1060" s="8"/>
      <c r="W1060" s="8"/>
      <c r="X1060" s="8"/>
      <c r="Y1060" s="8"/>
      <c r="Z1060" s="8"/>
    </row>
    <row r="1061" spans="1:26" ht="13.2">
      <c r="A1061" s="13">
        <v>44250.531817129631</v>
      </c>
      <c r="B1061" s="6" t="str">
        <f>HYPERLINK("https://twitter.com/BrainkeyAI","@BrainkeyAI")</f>
        <v>@BrainkeyAI</v>
      </c>
      <c r="C1061" s="14" t="s">
        <v>4741</v>
      </c>
      <c r="D1061" s="14" t="s">
        <v>4742</v>
      </c>
      <c r="E1061" s="6" t="str">
        <f>HYPERLINK("https://twitter.com/BrainkeyAI/status/1364179652823162883","1364179652823162883")</f>
        <v>1364179652823162883</v>
      </c>
      <c r="F1061" s="7" t="s">
        <v>4743</v>
      </c>
      <c r="G1061" s="7" t="s">
        <v>4744</v>
      </c>
      <c r="H1061" s="8"/>
      <c r="I1061" s="14">
        <v>0</v>
      </c>
      <c r="J1061" s="14">
        <v>2</v>
      </c>
      <c r="K1061" s="6" t="str">
        <f>HYPERLINK("https://www.hootsuite.com","Hootsuite Inc.")</f>
        <v>Hootsuite Inc.</v>
      </c>
      <c r="L1061" s="15">
        <v>64</v>
      </c>
      <c r="M1061" s="15">
        <v>40</v>
      </c>
      <c r="N1061" s="15">
        <v>3</v>
      </c>
      <c r="O1061" s="9"/>
      <c r="P1061" s="10">
        <v>43370.859652777777</v>
      </c>
      <c r="Q1061" s="14" t="s">
        <v>390</v>
      </c>
      <c r="R1061" s="14" t="s">
        <v>4745</v>
      </c>
      <c r="S1061" s="7" t="s">
        <v>4746</v>
      </c>
      <c r="T1061" s="8"/>
      <c r="U1061" s="11" t="str">
        <f>HYPERLINK("https://pbs.twimg.com/profile_images/1152325203092881408/RkZk3rGa.png","View")</f>
        <v>View</v>
      </c>
      <c r="V1061" s="8"/>
      <c r="W1061" s="8"/>
      <c r="X1061" s="8"/>
      <c r="Y1061" s="8"/>
      <c r="Z1061" s="8"/>
    </row>
    <row r="1062" spans="1:26" ht="13.2">
      <c r="A1062" s="13">
        <v>44250.531793981485</v>
      </c>
      <c r="B1062" s="6" t="str">
        <f>HYPERLINK("https://twitter.com/Harry_Robots","@Harry_Robots")</f>
        <v>@Harry_Robots</v>
      </c>
      <c r="C1062" s="14" t="s">
        <v>3592</v>
      </c>
      <c r="D1062" s="14" t="s">
        <v>4747</v>
      </c>
      <c r="E1062" s="6" t="str">
        <f>HYPERLINK("https://twitter.com/Harry_Robots/status/1364179645516697600","1364179645516697600")</f>
        <v>1364179645516697600</v>
      </c>
      <c r="F1062" s="7" t="s">
        <v>4748</v>
      </c>
      <c r="G1062" s="7" t="s">
        <v>4749</v>
      </c>
      <c r="H1062" s="8"/>
      <c r="I1062" s="14">
        <v>2</v>
      </c>
      <c r="J1062" s="14">
        <v>3</v>
      </c>
      <c r="K1062" s="6" t="str">
        <f>HYPERLINK("https://mobile.twitter.com","Twitter Web App")</f>
        <v>Twitter Web App</v>
      </c>
      <c r="L1062" s="15">
        <v>14305</v>
      </c>
      <c r="M1062" s="15">
        <v>6985</v>
      </c>
      <c r="N1062" s="15">
        <v>126</v>
      </c>
      <c r="O1062" s="9"/>
      <c r="P1062" s="10">
        <v>43173.544861111106</v>
      </c>
      <c r="Q1062" s="14" t="s">
        <v>3596</v>
      </c>
      <c r="R1062" s="14" t="s">
        <v>3597</v>
      </c>
      <c r="S1062" s="7" t="s">
        <v>3598</v>
      </c>
      <c r="T1062" s="8"/>
      <c r="U1062" s="11" t="str">
        <f>HYPERLINK("https://pbs.twimg.com/profile_images/980134048214409216/9hzujrdU.jpg","View")</f>
        <v>View</v>
      </c>
      <c r="V1062" s="8"/>
      <c r="W1062" s="8"/>
      <c r="X1062" s="8"/>
      <c r="Y1062" s="8"/>
      <c r="Z1062" s="8"/>
    </row>
    <row r="1063" spans="1:26" ht="13.2">
      <c r="A1063" s="13">
        <v>44250.531678240739</v>
      </c>
      <c r="B1063" s="6" t="str">
        <f>HYPERLINK("https://twitter.com/ai_summary","@ai_summary")</f>
        <v>@ai_summary</v>
      </c>
      <c r="C1063" s="14" t="s">
        <v>528</v>
      </c>
      <c r="D1063" s="14" t="s">
        <v>4750</v>
      </c>
      <c r="E1063" s="6" t="str">
        <f>HYPERLINK("https://twitter.com/ai_summary/status/1364179604915818497","1364179604915818497")</f>
        <v>1364179604915818497</v>
      </c>
      <c r="F1063" s="7" t="s">
        <v>4751</v>
      </c>
      <c r="G1063" s="8"/>
      <c r="H1063" s="8"/>
      <c r="I1063" s="14">
        <v>11</v>
      </c>
      <c r="J1063" s="14">
        <v>4</v>
      </c>
      <c r="K1063" s="8"/>
      <c r="L1063" s="15">
        <v>47</v>
      </c>
      <c r="M1063" s="15">
        <v>7</v>
      </c>
      <c r="N1063" s="15">
        <v>2</v>
      </c>
      <c r="O1063" s="9"/>
      <c r="P1063" s="10">
        <v>44039.504699074074</v>
      </c>
      <c r="Q1063" s="8"/>
      <c r="R1063" s="14" t="s">
        <v>531</v>
      </c>
      <c r="S1063" s="8"/>
      <c r="T1063" s="8"/>
      <c r="U1063" s="11" t="str">
        <f>HYPERLINK("https://pbs.twimg.com/profile_images/1315240281206382592/-i10o6Yg.jpg","View")</f>
        <v>View</v>
      </c>
      <c r="V1063" s="8"/>
      <c r="W1063" s="8"/>
      <c r="X1063" s="8"/>
      <c r="Y1063" s="8"/>
      <c r="Z1063" s="8"/>
    </row>
    <row r="1064" spans="1:26" ht="13.2">
      <c r="A1064" s="13">
        <v>44250.531331018516</v>
      </c>
      <c r="B1064" s="6" t="str">
        <f>HYPERLINK("https://twitter.com/Prashanth_NS","@Prashanth_NS")</f>
        <v>@Prashanth_NS</v>
      </c>
      <c r="C1064" s="14" t="s">
        <v>4423</v>
      </c>
      <c r="D1064" s="14" t="s">
        <v>4752</v>
      </c>
      <c r="E1064" s="6" t="str">
        <f>HYPERLINK("https://twitter.com/Prashanth_NS/status/1364179479464091649","1364179479464091649")</f>
        <v>1364179479464091649</v>
      </c>
      <c r="F1064" s="7" t="s">
        <v>4425</v>
      </c>
      <c r="G1064" s="8"/>
      <c r="H1064" s="8"/>
      <c r="I1064" s="14">
        <v>19</v>
      </c>
      <c r="J1064" s="14">
        <v>5</v>
      </c>
      <c r="K1064" s="6" t="str">
        <f>HYPERLINK("http://twitter.com/download/android","Twitter for Android")</f>
        <v>Twitter for Android</v>
      </c>
      <c r="L1064" s="15">
        <v>1167</v>
      </c>
      <c r="M1064" s="15">
        <v>53</v>
      </c>
      <c r="N1064" s="15">
        <v>140</v>
      </c>
      <c r="O1064" s="9"/>
      <c r="P1064" s="10">
        <v>42120.421909722223</v>
      </c>
      <c r="Q1064" s="14" t="s">
        <v>1742</v>
      </c>
      <c r="R1064" s="14" t="s">
        <v>4426</v>
      </c>
      <c r="S1064" s="8"/>
      <c r="T1064" s="8"/>
      <c r="U1064" s="11" t="str">
        <f>HYPERLINK("https://pbs.twimg.com/profile_images/1301374040414674945/J38_bT2D.jpg","View")</f>
        <v>View</v>
      </c>
      <c r="V1064" s="8"/>
      <c r="W1064" s="8"/>
      <c r="X1064" s="8"/>
      <c r="Y1064" s="8"/>
      <c r="Z1064" s="8"/>
    </row>
    <row r="1065" spans="1:26" ht="13.2">
      <c r="A1065" s="13">
        <v>44250.531134259261</v>
      </c>
      <c r="B1065" s="6" t="str">
        <f>HYPERLINK("https://twitter.com/AdrianMargin","@AdrianMargin")</f>
        <v>@AdrianMargin</v>
      </c>
      <c r="C1065" s="14" t="s">
        <v>4753</v>
      </c>
      <c r="D1065" s="14" t="s">
        <v>4754</v>
      </c>
      <c r="E1065" s="6" t="str">
        <f>HYPERLINK("https://twitter.com/AdrianMargin/status/1364179406650925056","1364179406650925056")</f>
        <v>1364179406650925056</v>
      </c>
      <c r="F1065" s="14" t="s">
        <v>4755</v>
      </c>
      <c r="G1065" s="8"/>
      <c r="H1065" s="8"/>
      <c r="I1065" s="14">
        <v>0</v>
      </c>
      <c r="J1065" s="14">
        <v>0</v>
      </c>
      <c r="K1065" s="6" t="str">
        <f>HYPERLINK("http://www.linkedin.com/","LinkedIn")</f>
        <v>LinkedIn</v>
      </c>
      <c r="L1065" s="15">
        <v>126</v>
      </c>
      <c r="M1065" s="15">
        <v>144</v>
      </c>
      <c r="N1065" s="15">
        <v>1</v>
      </c>
      <c r="O1065" s="9"/>
      <c r="P1065" s="10">
        <v>41025.674641203703</v>
      </c>
      <c r="Q1065" s="8"/>
      <c r="R1065" s="8"/>
      <c r="S1065" s="8"/>
      <c r="T1065" s="8"/>
      <c r="U1065" s="11" t="str">
        <f>HYPERLINK("https://pbs.twimg.com/profile_images/1031956900307456001/B40Du8A3.jpg","View")</f>
        <v>View</v>
      </c>
      <c r="V1065" s="8"/>
      <c r="W1065" s="8"/>
      <c r="X1065" s="8"/>
      <c r="Y1065" s="8"/>
      <c r="Z1065" s="8"/>
    </row>
    <row r="1066" spans="1:26" ht="13.2">
      <c r="A1066" s="13">
        <v>44250.531030092592</v>
      </c>
      <c r="B1066" s="6" t="str">
        <f>HYPERLINK("https://twitter.com/PandhareSidhesh","@PandhareSidhesh")</f>
        <v>@PandhareSidhesh</v>
      </c>
      <c r="C1066" s="14" t="s">
        <v>2399</v>
      </c>
      <c r="D1066" s="14" t="s">
        <v>3629</v>
      </c>
      <c r="E1066" s="6" t="str">
        <f>HYPERLINK("https://twitter.com/PandhareSidhesh/status/1364179368482865154","1364179368482865154")</f>
        <v>1364179368482865154</v>
      </c>
      <c r="F1066" s="14" t="s">
        <v>3630</v>
      </c>
      <c r="G1066" s="8"/>
      <c r="H1066" s="8"/>
      <c r="I1066" s="14">
        <v>1</v>
      </c>
      <c r="J1066" s="14">
        <v>1</v>
      </c>
      <c r="K1066" s="6" t="str">
        <f t="shared" ref="K1066:K1068" si="172">HYPERLINK("http://twinybots.com","TwinyBots")</f>
        <v>TwinyBots</v>
      </c>
      <c r="L1066" s="15">
        <v>811</v>
      </c>
      <c r="M1066" s="15">
        <v>965</v>
      </c>
      <c r="N1066" s="15">
        <v>17</v>
      </c>
      <c r="O1066" s="9"/>
      <c r="P1066" s="10">
        <v>41917.38753472222</v>
      </c>
      <c r="Q1066" s="14" t="s">
        <v>2167</v>
      </c>
      <c r="R1066" s="14" t="s">
        <v>2400</v>
      </c>
      <c r="S1066" s="7" t="s">
        <v>2401</v>
      </c>
      <c r="T1066" s="8"/>
      <c r="U1066" s="11" t="str">
        <f>HYPERLINK("https://pbs.twimg.com/profile_images/1089412063355637761/6l3zV4bs.jpg","View")</f>
        <v>View</v>
      </c>
      <c r="V1066" s="8"/>
      <c r="W1066" s="8"/>
      <c r="X1066" s="8"/>
      <c r="Y1066" s="8"/>
      <c r="Z1066" s="8"/>
    </row>
    <row r="1067" spans="1:26" ht="13.2">
      <c r="A1067" s="13">
        <v>44250.531030092592</v>
      </c>
      <c r="B1067" s="6" t="str">
        <f>HYPERLINK("https://twitter.com/cornichecorp","@cornichecorp")</f>
        <v>@cornichecorp</v>
      </c>
      <c r="C1067" s="14" t="s">
        <v>2271</v>
      </c>
      <c r="D1067" s="14" t="s">
        <v>3629</v>
      </c>
      <c r="E1067" s="6" t="str">
        <f>HYPERLINK("https://twitter.com/cornichecorp/status/1364179368470323202","1364179368470323202")</f>
        <v>1364179368470323202</v>
      </c>
      <c r="F1067" s="14" t="s">
        <v>3630</v>
      </c>
      <c r="G1067" s="8"/>
      <c r="H1067" s="8"/>
      <c r="I1067" s="14">
        <v>1</v>
      </c>
      <c r="J1067" s="14">
        <v>1</v>
      </c>
      <c r="K1067" s="6" t="str">
        <f t="shared" si="172"/>
        <v>TwinyBots</v>
      </c>
      <c r="L1067" s="15">
        <v>2349</v>
      </c>
      <c r="M1067" s="15">
        <v>2163</v>
      </c>
      <c r="N1067" s="15">
        <v>30</v>
      </c>
      <c r="O1067" s="9"/>
      <c r="P1067" s="10">
        <v>42246.917499999996</v>
      </c>
      <c r="Q1067" s="14" t="s">
        <v>2274</v>
      </c>
      <c r="R1067" s="14" t="s">
        <v>2275</v>
      </c>
      <c r="S1067" s="8"/>
      <c r="T1067" s="8"/>
      <c r="U1067" s="11" t="str">
        <f>HYPERLINK("https://pbs.twimg.com/profile_images/1135863200396775424/vPe8Htor.png","View")</f>
        <v>View</v>
      </c>
      <c r="V1067" s="8"/>
      <c r="W1067" s="8"/>
      <c r="X1067" s="8"/>
      <c r="Y1067" s="8"/>
      <c r="Z1067" s="8"/>
    </row>
    <row r="1068" spans="1:26" ht="13.2">
      <c r="A1068" s="13">
        <v>44250.530960648146</v>
      </c>
      <c r="B1068" s="6" t="str">
        <f>HYPERLINK("https://twitter.com/corizance","@corizance")</f>
        <v>@corizance</v>
      </c>
      <c r="C1068" s="14" t="s">
        <v>2550</v>
      </c>
      <c r="D1068" s="14" t="s">
        <v>4756</v>
      </c>
      <c r="E1068" s="6" t="str">
        <f>HYPERLINK("https://twitter.com/corizance/status/1364179345930149889","1364179345930149889")</f>
        <v>1364179345930149889</v>
      </c>
      <c r="F1068" s="14" t="s">
        <v>4757</v>
      </c>
      <c r="G1068" s="8"/>
      <c r="H1068" s="8"/>
      <c r="I1068" s="14">
        <v>0</v>
      </c>
      <c r="J1068" s="14">
        <v>1</v>
      </c>
      <c r="K1068" s="6" t="str">
        <f t="shared" si="172"/>
        <v>TwinyBots</v>
      </c>
      <c r="L1068" s="15">
        <v>488</v>
      </c>
      <c r="M1068" s="15">
        <v>434</v>
      </c>
      <c r="N1068" s="15">
        <v>13</v>
      </c>
      <c r="O1068" s="9"/>
      <c r="P1068" s="10">
        <v>43789.49145833333</v>
      </c>
      <c r="Q1068" s="14" t="s">
        <v>2551</v>
      </c>
      <c r="R1068" s="14" t="s">
        <v>2552</v>
      </c>
      <c r="S1068" s="7" t="s">
        <v>2553</v>
      </c>
      <c r="T1068" s="8"/>
      <c r="U1068" s="11" t="str">
        <f>HYPERLINK("https://pbs.twimg.com/profile_images/1223176339697565697/q38i7r9K.jpg","View")</f>
        <v>View</v>
      </c>
      <c r="V1068" s="8"/>
      <c r="W1068" s="8"/>
      <c r="X1068" s="8"/>
      <c r="Y1068" s="8"/>
      <c r="Z1068" s="8"/>
    </row>
    <row r="1069" spans="1:26" ht="13.2">
      <c r="A1069" s="13">
        <v>44250.529722222222</v>
      </c>
      <c r="B1069" s="6" t="str">
        <f t="shared" ref="B1069:B1071" si="173">HYPERLINK("https://twitter.com/into_AI","@into_AI")</f>
        <v>@into_AI</v>
      </c>
      <c r="C1069" s="14" t="s">
        <v>2021</v>
      </c>
      <c r="D1069" s="14" t="s">
        <v>4758</v>
      </c>
      <c r="E1069" s="6" t="str">
        <f>HYPERLINK("https://twitter.com/into_AI/status/1364178895776456704","1364178895776456704")</f>
        <v>1364178895776456704</v>
      </c>
      <c r="F1069" s="7" t="s">
        <v>4759</v>
      </c>
      <c r="G1069" s="8"/>
      <c r="H1069" s="8"/>
      <c r="I1069" s="14">
        <v>0</v>
      </c>
      <c r="J1069" s="14">
        <v>1</v>
      </c>
      <c r="K1069" s="6" t="str">
        <f t="shared" ref="K1069:K1071" si="174">HYPERLINK("http://into.AI","into.AI")</f>
        <v>into.AI</v>
      </c>
      <c r="L1069" s="15">
        <v>19374</v>
      </c>
      <c r="M1069" s="15">
        <v>1707</v>
      </c>
      <c r="N1069" s="15">
        <v>3164</v>
      </c>
      <c r="O1069" s="9"/>
      <c r="P1069" s="10">
        <v>42133.721620370372</v>
      </c>
      <c r="Q1069" s="14" t="s">
        <v>2024</v>
      </c>
      <c r="R1069" s="14" t="s">
        <v>2025</v>
      </c>
      <c r="S1069" s="7" t="s">
        <v>2026</v>
      </c>
      <c r="T1069" s="8"/>
      <c r="U1069" s="11" t="str">
        <f t="shared" ref="U1069:U1071" si="175">HYPERLINK("https://pbs.twimg.com/profile_images/967341160124608512/LM2Y5Q5m.jpg","View")</f>
        <v>View</v>
      </c>
      <c r="V1069" s="8"/>
      <c r="W1069" s="8"/>
      <c r="X1069" s="8"/>
      <c r="Y1069" s="8"/>
      <c r="Z1069" s="8"/>
    </row>
    <row r="1070" spans="1:26" ht="13.2">
      <c r="A1070" s="13">
        <v>44250.529594907406</v>
      </c>
      <c r="B1070" s="6" t="str">
        <f t="shared" si="173"/>
        <v>@into_AI</v>
      </c>
      <c r="C1070" s="14" t="s">
        <v>2021</v>
      </c>
      <c r="D1070" s="14" t="s">
        <v>4760</v>
      </c>
      <c r="E1070" s="6" t="str">
        <f>HYPERLINK("https://twitter.com/into_AI/status/1364178847521005571","1364178847521005571")</f>
        <v>1364178847521005571</v>
      </c>
      <c r="F1070" s="7" t="s">
        <v>4761</v>
      </c>
      <c r="G1070" s="8"/>
      <c r="H1070" s="8"/>
      <c r="I1070" s="14">
        <v>0</v>
      </c>
      <c r="J1070" s="14">
        <v>1</v>
      </c>
      <c r="K1070" s="6" t="str">
        <f t="shared" si="174"/>
        <v>into.AI</v>
      </c>
      <c r="L1070" s="15">
        <v>19374</v>
      </c>
      <c r="M1070" s="15">
        <v>1707</v>
      </c>
      <c r="N1070" s="15">
        <v>3164</v>
      </c>
      <c r="O1070" s="9"/>
      <c r="P1070" s="10">
        <v>42133.721620370372</v>
      </c>
      <c r="Q1070" s="14" t="s">
        <v>2024</v>
      </c>
      <c r="R1070" s="14" t="s">
        <v>2025</v>
      </c>
      <c r="S1070" s="7" t="s">
        <v>2026</v>
      </c>
      <c r="T1070" s="8"/>
      <c r="U1070" s="11" t="str">
        <f t="shared" si="175"/>
        <v>View</v>
      </c>
      <c r="V1070" s="8"/>
      <c r="W1070" s="8"/>
      <c r="X1070" s="8"/>
      <c r="Y1070" s="8"/>
      <c r="Z1070" s="8"/>
    </row>
    <row r="1071" spans="1:26" ht="13.2">
      <c r="A1071" s="13">
        <v>44250.529537037037</v>
      </c>
      <c r="B1071" s="6" t="str">
        <f t="shared" si="173"/>
        <v>@into_AI</v>
      </c>
      <c r="C1071" s="14" t="s">
        <v>2021</v>
      </c>
      <c r="D1071" s="14" t="s">
        <v>4762</v>
      </c>
      <c r="E1071" s="6" t="str">
        <f>HYPERLINK("https://twitter.com/into_AI/status/1364178826721439746","1364178826721439746")</f>
        <v>1364178826721439746</v>
      </c>
      <c r="F1071" s="7" t="s">
        <v>4763</v>
      </c>
      <c r="G1071" s="8"/>
      <c r="H1071" s="8"/>
      <c r="I1071" s="14">
        <v>0</v>
      </c>
      <c r="J1071" s="14">
        <v>1</v>
      </c>
      <c r="K1071" s="6" t="str">
        <f t="shared" si="174"/>
        <v>into.AI</v>
      </c>
      <c r="L1071" s="15">
        <v>19374</v>
      </c>
      <c r="M1071" s="15">
        <v>1707</v>
      </c>
      <c r="N1071" s="15">
        <v>3164</v>
      </c>
      <c r="O1071" s="9"/>
      <c r="P1071" s="10">
        <v>42133.721620370372</v>
      </c>
      <c r="Q1071" s="14" t="s">
        <v>2024</v>
      </c>
      <c r="R1071" s="14" t="s">
        <v>2025</v>
      </c>
      <c r="S1071" s="7" t="s">
        <v>2026</v>
      </c>
      <c r="T1071" s="8"/>
      <c r="U1071" s="11" t="str">
        <f t="shared" si="175"/>
        <v>View</v>
      </c>
      <c r="V1071" s="8"/>
      <c r="W1071" s="8"/>
      <c r="X1071" s="8"/>
      <c r="Y1071" s="8"/>
      <c r="Z1071" s="8"/>
    </row>
    <row r="1072" spans="1:26" ht="13.2">
      <c r="A1072" s="13">
        <v>44250.529282407406</v>
      </c>
      <c r="B1072" s="6" t="str">
        <f>HYPERLINK("https://twitter.com/UntergrundmannG","@UntergrundmannG")</f>
        <v>@UntergrundmannG</v>
      </c>
      <c r="C1072" s="14" t="s">
        <v>4764</v>
      </c>
      <c r="D1072" s="14" t="s">
        <v>4765</v>
      </c>
      <c r="E1072" s="6" t="str">
        <f>HYPERLINK("https://twitter.com/UntergrundmannG/status/1364178736539607042","1364178736539607042")</f>
        <v>1364178736539607042</v>
      </c>
      <c r="F1072" s="8"/>
      <c r="G1072" s="7" t="s">
        <v>4766</v>
      </c>
      <c r="H1072" s="8"/>
      <c r="I1072" s="14">
        <v>2</v>
      </c>
      <c r="J1072" s="14">
        <v>4</v>
      </c>
      <c r="K1072" s="6" t="str">
        <f>HYPERLINK("https://mobile.twitter.com","Twitter Web App")</f>
        <v>Twitter Web App</v>
      </c>
      <c r="L1072" s="15">
        <v>1934</v>
      </c>
      <c r="M1072" s="15">
        <v>539</v>
      </c>
      <c r="N1072" s="15">
        <v>34</v>
      </c>
      <c r="O1072" s="9"/>
      <c r="P1072" s="10">
        <v>43649.279907407406</v>
      </c>
      <c r="Q1072" s="14" t="s">
        <v>4767</v>
      </c>
      <c r="R1072" s="14" t="s">
        <v>4768</v>
      </c>
      <c r="S1072" s="8"/>
      <c r="T1072" s="8"/>
      <c r="U1072" s="11" t="str">
        <f>HYPERLINK("https://pbs.twimg.com/profile_images/1337016410736771072/yUgvRGyU.jpg","View")</f>
        <v>View</v>
      </c>
      <c r="V1072" s="8"/>
      <c r="W1072" s="8"/>
      <c r="X1072" s="8"/>
      <c r="Y1072" s="8"/>
      <c r="Z1072" s="8"/>
    </row>
    <row r="1073" spans="1:26" ht="13.2">
      <c r="A1073" s="13">
        <v>44250.529189814813</v>
      </c>
      <c r="B1073" s="6" t="str">
        <f>HYPERLINK("https://twitter.com/jobhunt_ai","@jobhunt_ai")</f>
        <v>@jobhunt_ai</v>
      </c>
      <c r="C1073" s="7" t="s">
        <v>4769</v>
      </c>
      <c r="D1073" s="14" t="s">
        <v>4770</v>
      </c>
      <c r="E1073" s="6" t="str">
        <f>HYPERLINK("https://twitter.com/jobhunt_ai/status/1364178700984606722","1364178700984606722")</f>
        <v>1364178700984606722</v>
      </c>
      <c r="F1073" s="7" t="s">
        <v>4771</v>
      </c>
      <c r="G1073" s="8"/>
      <c r="H1073" s="8"/>
      <c r="I1073" s="14">
        <v>0</v>
      </c>
      <c r="J1073" s="14">
        <v>3</v>
      </c>
      <c r="K1073" s="6" t="str">
        <f>HYPERLINK("https://jobhunt.ai/","Jobhunt.ai")</f>
        <v>Jobhunt.ai</v>
      </c>
      <c r="L1073" s="15">
        <v>184</v>
      </c>
      <c r="M1073" s="15">
        <v>400</v>
      </c>
      <c r="N1073" s="15">
        <v>7</v>
      </c>
      <c r="O1073" s="9"/>
      <c r="P1073" s="10">
        <v>43253.826724537037</v>
      </c>
      <c r="Q1073" s="8"/>
      <c r="R1073" s="14" t="s">
        <v>4772</v>
      </c>
      <c r="S1073" s="7" t="s">
        <v>4773</v>
      </c>
      <c r="T1073" s="8"/>
      <c r="U1073" s="11" t="str">
        <f>HYPERLINK("https://pbs.twimg.com/profile_images/1009761698608238592/b4Hxf8Mm.jpg","View")</f>
        <v>View</v>
      </c>
      <c r="V1073" s="8"/>
      <c r="W1073" s="8"/>
      <c r="X1073" s="8"/>
      <c r="Y1073" s="8"/>
      <c r="Z1073" s="8"/>
    </row>
    <row r="1074" spans="1:26" ht="13.2">
      <c r="A1074" s="13">
        <v>44250.528773148151</v>
      </c>
      <c r="B1074" s="6" t="str">
        <f>HYPERLINK("https://twitter.com/Slainstitute","@Slainstitute")</f>
        <v>@Slainstitute</v>
      </c>
      <c r="C1074" s="14" t="s">
        <v>4774</v>
      </c>
      <c r="D1074" s="14" t="s">
        <v>4775</v>
      </c>
      <c r="E1074" s="6" t="str">
        <f>HYPERLINK("https://twitter.com/Slainstitute/status/1364178552996814850","1364178552996814850")</f>
        <v>1364178552996814850</v>
      </c>
      <c r="F1074" s="8"/>
      <c r="G1074" s="7" t="s">
        <v>4776</v>
      </c>
      <c r="H1074" s="8"/>
      <c r="I1074" s="14">
        <v>8</v>
      </c>
      <c r="J1074" s="14">
        <v>1</v>
      </c>
      <c r="K1074" s="6" t="str">
        <f t="shared" ref="K1074:K1075" si="176">HYPERLINK("https://mobile.twitter.com","Twitter Web App")</f>
        <v>Twitter Web App</v>
      </c>
      <c r="L1074" s="15">
        <v>18</v>
      </c>
      <c r="M1074" s="15">
        <v>8</v>
      </c>
      <c r="N1074" s="15">
        <v>0</v>
      </c>
      <c r="O1074" s="9"/>
      <c r="P1074" s="10">
        <v>43508.568842592591</v>
      </c>
      <c r="Q1074" s="14" t="s">
        <v>4777</v>
      </c>
      <c r="R1074" s="14" t="s">
        <v>4778</v>
      </c>
      <c r="S1074" s="7" t="s">
        <v>4779</v>
      </c>
      <c r="T1074" s="8"/>
      <c r="U1074" s="11" t="str">
        <f>HYPERLINK("https://pbs.twimg.com/profile_images/1095306743767158785/zQ1Q771u.jpg","View")</f>
        <v>View</v>
      </c>
      <c r="V1074" s="8"/>
      <c r="W1074" s="8"/>
      <c r="X1074" s="8"/>
      <c r="Y1074" s="8"/>
      <c r="Z1074" s="8"/>
    </row>
    <row r="1075" spans="1:26" ht="13.2">
      <c r="A1075" s="13">
        <v>44250.528738425928</v>
      </c>
      <c r="B1075" s="6" t="str">
        <f>HYPERLINK("https://twitter.com/hadelin2p","@hadelin2p")</f>
        <v>@hadelin2p</v>
      </c>
      <c r="C1075" s="14" t="s">
        <v>4780</v>
      </c>
      <c r="D1075" s="14" t="s">
        <v>4781</v>
      </c>
      <c r="E1075" s="6" t="str">
        <f>HYPERLINK("https://twitter.com/hadelin2p/status/1364178537100500992","1364178537100500992")</f>
        <v>1364178537100500992</v>
      </c>
      <c r="F1075" s="7" t="s">
        <v>4782</v>
      </c>
      <c r="G1075" s="8"/>
      <c r="H1075" s="8"/>
      <c r="I1075" s="14">
        <v>2</v>
      </c>
      <c r="J1075" s="14">
        <v>2</v>
      </c>
      <c r="K1075" s="6" t="str">
        <f t="shared" si="176"/>
        <v>Twitter Web App</v>
      </c>
      <c r="L1075" s="15">
        <v>994</v>
      </c>
      <c r="M1075" s="15">
        <v>9</v>
      </c>
      <c r="N1075" s="15">
        <v>12</v>
      </c>
      <c r="O1075" s="9"/>
      <c r="P1075" s="10">
        <v>43077.173761574071</v>
      </c>
      <c r="Q1075" s="8"/>
      <c r="R1075" s="8"/>
      <c r="S1075" s="8"/>
      <c r="T1075" s="8"/>
      <c r="U1075" s="11" t="str">
        <f>HYPERLINK("https://pbs.twimg.com/profile_images/938973440408682496/filQTM-j.jpg","View")</f>
        <v>View</v>
      </c>
      <c r="V1075" s="8"/>
      <c r="W1075" s="8"/>
      <c r="X1075" s="8"/>
      <c r="Y1075" s="8"/>
      <c r="Z1075" s="8"/>
    </row>
    <row r="1076" spans="1:26" ht="13.2">
      <c r="A1076" s="13">
        <v>44250.528553240743</v>
      </c>
      <c r="B1076" s="6" t="str">
        <f>HYPERLINK("https://twitter.com/PMProuk","@PMProuk")</f>
        <v>@PMProuk</v>
      </c>
      <c r="C1076" s="14" t="s">
        <v>150</v>
      </c>
      <c r="D1076" s="14" t="s">
        <v>3165</v>
      </c>
      <c r="E1076" s="6" t="str">
        <f>HYPERLINK("https://twitter.com/PMProuk/status/1364178471707172870","1364178471707172870")</f>
        <v>1364178471707172870</v>
      </c>
      <c r="F1076" s="7" t="s">
        <v>3166</v>
      </c>
      <c r="G1076" s="8"/>
      <c r="H1076" s="8"/>
      <c r="I1076" s="14">
        <v>0</v>
      </c>
      <c r="J1076" s="14">
        <v>1</v>
      </c>
      <c r="K1076" s="6" t="str">
        <f>HYPERLINK("http://twinybots.com","TwinyBots")</f>
        <v>TwinyBots</v>
      </c>
      <c r="L1076" s="15">
        <v>1439</v>
      </c>
      <c r="M1076" s="15">
        <v>3697</v>
      </c>
      <c r="N1076" s="15">
        <v>73</v>
      </c>
      <c r="O1076" s="9"/>
      <c r="P1076" s="10">
        <v>40577.810150462959</v>
      </c>
      <c r="Q1076" s="14" t="s">
        <v>153</v>
      </c>
      <c r="R1076" s="14" t="s">
        <v>154</v>
      </c>
      <c r="S1076" s="8"/>
      <c r="T1076" s="8"/>
      <c r="U1076" s="11" t="str">
        <f>HYPERLINK("https://pbs.twimg.com/profile_images/1257339284027314177/AhbOFVVY.jpg","View")</f>
        <v>View</v>
      </c>
      <c r="V1076" s="8"/>
      <c r="W1076" s="8"/>
      <c r="X1076" s="8"/>
      <c r="Y1076" s="8"/>
      <c r="Z1076" s="8"/>
    </row>
    <row r="1077" spans="1:26" ht="13.2">
      <c r="A1077" s="13">
        <v>44250.528240740736</v>
      </c>
      <c r="B1077" s="6" t="str">
        <f>HYPERLINK("https://twitter.com/_Sivasai","@_Sivasai")</f>
        <v>@_Sivasai</v>
      </c>
      <c r="C1077" s="14" t="s">
        <v>4783</v>
      </c>
      <c r="D1077" s="14" t="s">
        <v>4784</v>
      </c>
      <c r="E1077" s="6" t="str">
        <f>HYPERLINK("https://twitter.com/_Sivasai/status/1364178357072654336","1364178357072654336")</f>
        <v>1364178357072654336</v>
      </c>
      <c r="F1077" s="14" t="s">
        <v>4785</v>
      </c>
      <c r="G1077" s="8"/>
      <c r="H1077" s="8"/>
      <c r="I1077" s="14">
        <v>1</v>
      </c>
      <c r="J1077" s="14">
        <v>3</v>
      </c>
      <c r="K1077" s="6" t="str">
        <f>HYPERLINK("http://twitter.com/download/android","Twitter for Android")</f>
        <v>Twitter for Android</v>
      </c>
      <c r="L1077" s="15">
        <v>17</v>
      </c>
      <c r="M1077" s="15">
        <v>138</v>
      </c>
      <c r="N1077" s="15">
        <v>1</v>
      </c>
      <c r="O1077" s="9"/>
      <c r="P1077" s="10">
        <v>44151.138344907406</v>
      </c>
      <c r="Q1077" s="8"/>
      <c r="R1077" s="8"/>
      <c r="S1077" s="8"/>
      <c r="T1077" s="8"/>
      <c r="U1077" s="15" t="s">
        <v>1879</v>
      </c>
      <c r="V1077" s="8"/>
      <c r="W1077" s="8"/>
      <c r="X1077" s="8"/>
      <c r="Y1077" s="8"/>
      <c r="Z1077" s="8"/>
    </row>
    <row r="1078" spans="1:26" ht="13.2">
      <c r="A1078" s="13">
        <v>44250.52752314815</v>
      </c>
      <c r="B1078" s="6" t="str">
        <f>HYPERLINK("https://twitter.com/tfcertification","@tfcertification")</f>
        <v>@tfcertification</v>
      </c>
      <c r="C1078" s="14" t="s">
        <v>4786</v>
      </c>
      <c r="D1078" s="14" t="s">
        <v>4787</v>
      </c>
      <c r="E1078" s="6" t="str">
        <f>HYPERLINK("https://twitter.com/tfcertification/status/1364178097227071490","1364178097227071490")</f>
        <v>1364178097227071490</v>
      </c>
      <c r="F1078" s="8"/>
      <c r="G1078" s="7" t="s">
        <v>4788</v>
      </c>
      <c r="H1078" s="8"/>
      <c r="I1078" s="14">
        <v>0</v>
      </c>
      <c r="J1078" s="14">
        <v>3</v>
      </c>
      <c r="K1078" s="6" t="str">
        <f t="shared" ref="K1078:K1079" si="177">HYPERLINK("https://mobile.twitter.com","Twitter Web App")</f>
        <v>Twitter Web App</v>
      </c>
      <c r="L1078" s="15">
        <v>13</v>
      </c>
      <c r="M1078" s="15">
        <v>73</v>
      </c>
      <c r="N1078" s="15">
        <v>0</v>
      </c>
      <c r="O1078" s="9"/>
      <c r="P1078" s="10">
        <v>44214.474293981482</v>
      </c>
      <c r="Q1078" s="14" t="s">
        <v>1890</v>
      </c>
      <c r="R1078" s="14" t="s">
        <v>4789</v>
      </c>
      <c r="S1078" s="7" t="s">
        <v>4790</v>
      </c>
      <c r="T1078" s="8"/>
      <c r="U1078" s="11" t="str">
        <f>HYPERLINK("https://pbs.twimg.com/profile_images/1351112882579243015/K8DFZp_c.jpg","View")</f>
        <v>View</v>
      </c>
      <c r="V1078" s="8"/>
      <c r="W1078" s="8"/>
      <c r="X1078" s="8"/>
      <c r="Y1078" s="8"/>
      <c r="Z1078" s="8"/>
    </row>
    <row r="1079" spans="1:26" ht="13.2">
      <c r="A1079" s="13">
        <v>44250.527418981481</v>
      </c>
      <c r="B1079" s="6" t="str">
        <f>HYPERLINK("https://twitter.com/BristowColin","@BristowColin")</f>
        <v>@BristowColin</v>
      </c>
      <c r="C1079" s="14" t="s">
        <v>596</v>
      </c>
      <c r="D1079" s="14" t="s">
        <v>4791</v>
      </c>
      <c r="E1079" s="6" t="str">
        <f>HYPERLINK("https://twitter.com/BristowColin/status/1364178059117678594","1364178059117678594")</f>
        <v>1364178059117678594</v>
      </c>
      <c r="F1079" s="7" t="s">
        <v>4792</v>
      </c>
      <c r="G1079" s="7" t="s">
        <v>4793</v>
      </c>
      <c r="H1079" s="8"/>
      <c r="I1079" s="14">
        <v>21</v>
      </c>
      <c r="J1079" s="14">
        <v>20</v>
      </c>
      <c r="K1079" s="6" t="str">
        <f t="shared" si="177"/>
        <v>Twitter Web App</v>
      </c>
      <c r="L1079" s="15">
        <v>12149</v>
      </c>
      <c r="M1079" s="15">
        <v>9707</v>
      </c>
      <c r="N1079" s="15">
        <v>155</v>
      </c>
      <c r="O1079" s="9"/>
      <c r="P1079" s="10">
        <v>40900.478090277778</v>
      </c>
      <c r="Q1079" s="14" t="s">
        <v>599</v>
      </c>
      <c r="R1079" s="14" t="s">
        <v>600</v>
      </c>
      <c r="S1079" s="7" t="s">
        <v>601</v>
      </c>
      <c r="T1079" s="8"/>
      <c r="U1079" s="11" t="str">
        <f>HYPERLINK("https://pbs.twimg.com/profile_images/692994884270198784/jQX64C1s.jpg","View")</f>
        <v>View</v>
      </c>
      <c r="V1079" s="8"/>
      <c r="W1079" s="8"/>
      <c r="X1079" s="8"/>
      <c r="Y1079" s="8"/>
      <c r="Z1079" s="8"/>
    </row>
    <row r="1080" spans="1:26" ht="13.2">
      <c r="A1080" s="13">
        <v>44250.527280092589</v>
      </c>
      <c r="B1080" s="6" t="str">
        <f>HYPERLINK("https://twitter.com/cciauri","@cciauri")</f>
        <v>@cciauri</v>
      </c>
      <c r="C1080" s="14" t="s">
        <v>4794</v>
      </c>
      <c r="D1080" s="14" t="s">
        <v>4795</v>
      </c>
      <c r="E1080" s="6" t="str">
        <f>HYPERLINK("https://twitter.com/cciauri/status/1364178011445202953","1364178011445202953")</f>
        <v>1364178011445202953</v>
      </c>
      <c r="F1080" s="7" t="s">
        <v>4796</v>
      </c>
      <c r="G1080" s="8"/>
      <c r="H1080" s="8"/>
      <c r="I1080" s="14">
        <v>3</v>
      </c>
      <c r="J1080" s="14">
        <v>11</v>
      </c>
      <c r="K1080" s="6" t="str">
        <f>HYPERLINK("http://itunes.apple.com/us/app/twitter/id409789998?mt=12","Twitter for Mac")</f>
        <v>Twitter for Mac</v>
      </c>
      <c r="L1080" s="15">
        <v>1911</v>
      </c>
      <c r="M1080" s="15">
        <v>715</v>
      </c>
      <c r="N1080" s="15">
        <v>27</v>
      </c>
      <c r="O1080" s="9"/>
      <c r="P1080" s="10">
        <v>40156.777002314819</v>
      </c>
      <c r="Q1080" s="14" t="s">
        <v>2551</v>
      </c>
      <c r="R1080" s="14" t="s">
        <v>4797</v>
      </c>
      <c r="S1080" s="7" t="s">
        <v>4798</v>
      </c>
      <c r="T1080" s="8"/>
      <c r="U1080" s="11" t="str">
        <f>HYPERLINK("https://pbs.twimg.com/profile_images/1235241156478472193/puObAa6J.jpg","View")</f>
        <v>View</v>
      </c>
      <c r="V1080" s="8"/>
      <c r="W1080" s="8"/>
      <c r="X1080" s="8"/>
      <c r="Y1080" s="8"/>
      <c r="Z1080" s="8"/>
    </row>
    <row r="1081" spans="1:26" ht="13.2">
      <c r="A1081" s="13">
        <v>44250.526944444442</v>
      </c>
      <c r="B1081" s="6" t="str">
        <f>HYPERLINK("https://twitter.com/SuccessAnalytiX","@SuccessAnalytiX")</f>
        <v>@SuccessAnalytiX</v>
      </c>
      <c r="C1081" s="14" t="s">
        <v>1149</v>
      </c>
      <c r="D1081" s="14" t="s">
        <v>4799</v>
      </c>
      <c r="E1081" s="6" t="str">
        <f>HYPERLINK("https://twitter.com/SuccessAnalytiX/status/1364177890187898880","1364177890187898880")</f>
        <v>1364177890187898880</v>
      </c>
      <c r="F1081" s="7" t="s">
        <v>1154</v>
      </c>
      <c r="G1081" s="8"/>
      <c r="H1081" s="8"/>
      <c r="I1081" s="14">
        <v>27</v>
      </c>
      <c r="J1081" s="14">
        <v>12</v>
      </c>
      <c r="K1081" s="6" t="str">
        <f>HYPERLINK("http://twitter.com/download/iphone","Twitter for iPhone")</f>
        <v>Twitter for iPhone</v>
      </c>
      <c r="L1081" s="15">
        <v>2744</v>
      </c>
      <c r="M1081" s="15">
        <v>2908</v>
      </c>
      <c r="N1081" s="15">
        <v>11</v>
      </c>
      <c r="O1081" s="9"/>
      <c r="P1081" s="10">
        <v>43149.839606481481</v>
      </c>
      <c r="Q1081" s="14" t="s">
        <v>1152</v>
      </c>
      <c r="R1081" s="14" t="s">
        <v>1153</v>
      </c>
      <c r="S1081" s="7" t="s">
        <v>1154</v>
      </c>
      <c r="T1081" s="8"/>
      <c r="U1081" s="11" t="str">
        <f>HYPERLINK("https://pbs.twimg.com/profile_images/1154058190545391616/pOYyXv3r.jpg","View")</f>
        <v>View</v>
      </c>
      <c r="V1081" s="8"/>
      <c r="W1081" s="8"/>
      <c r="X1081" s="8"/>
      <c r="Y1081" s="8"/>
      <c r="Z1081" s="8"/>
    </row>
    <row r="1082" spans="1:26" ht="13.2">
      <c r="A1082" s="13">
        <v>44250.526678240742</v>
      </c>
      <c r="B1082" s="6" t="str">
        <f>HYPERLINK("https://twitter.com/masoudshafaghi","@masoudshafaghi")</f>
        <v>@masoudshafaghi</v>
      </c>
      <c r="C1082" s="14" t="s">
        <v>4800</v>
      </c>
      <c r="D1082" s="14" t="s">
        <v>4801</v>
      </c>
      <c r="E1082" s="6" t="str">
        <f>HYPERLINK("https://twitter.com/masoudshafaghi/status/1364177792590577665","1364177792590577665")</f>
        <v>1364177792590577665</v>
      </c>
      <c r="F1082" s="8"/>
      <c r="G1082" s="7" t="s">
        <v>4802</v>
      </c>
      <c r="H1082" s="8"/>
      <c r="I1082" s="14">
        <v>1</v>
      </c>
      <c r="J1082" s="14">
        <v>1</v>
      </c>
      <c r="K1082" s="6" t="str">
        <f t="shared" ref="K1082:K1088" si="178">HYPERLINK("https://mobile.twitter.com","Twitter Web App")</f>
        <v>Twitter Web App</v>
      </c>
      <c r="L1082" s="15">
        <v>93</v>
      </c>
      <c r="M1082" s="15">
        <v>114</v>
      </c>
      <c r="N1082" s="15">
        <v>1</v>
      </c>
      <c r="O1082" s="9"/>
      <c r="P1082" s="10">
        <v>41504.608541666668</v>
      </c>
      <c r="Q1082" s="14" t="s">
        <v>1319</v>
      </c>
      <c r="R1082" s="14" t="s">
        <v>4803</v>
      </c>
      <c r="S1082" s="7" t="s">
        <v>4804</v>
      </c>
      <c r="T1082" s="8"/>
      <c r="U1082" s="11" t="str">
        <f>HYPERLINK("https://pbs.twimg.com/profile_images/879858224018501632/NSQ8GetJ.jpg","View")</f>
        <v>View</v>
      </c>
      <c r="V1082" s="8"/>
      <c r="W1082" s="8"/>
      <c r="X1082" s="8"/>
      <c r="Y1082" s="8"/>
      <c r="Z1082" s="8"/>
    </row>
    <row r="1083" spans="1:26" ht="13.2">
      <c r="A1083" s="13">
        <v>44250.526631944449</v>
      </c>
      <c r="B1083" s="6" t="str">
        <f>HYPERLINK("https://twitter.com/robertSPD","@robertSPD")</f>
        <v>@robertSPD</v>
      </c>
      <c r="C1083" s="14" t="s">
        <v>4805</v>
      </c>
      <c r="D1083" s="14" t="s">
        <v>4806</v>
      </c>
      <c r="E1083" s="6" t="str">
        <f>HYPERLINK("https://twitter.com/robertSPD/status/1364177776400625670","1364177776400625670")</f>
        <v>1364177776400625670</v>
      </c>
      <c r="F1083" s="8"/>
      <c r="G1083" s="8"/>
      <c r="H1083" s="8"/>
      <c r="I1083" s="14">
        <v>0</v>
      </c>
      <c r="J1083" s="14">
        <v>1</v>
      </c>
      <c r="K1083" s="6" t="str">
        <f t="shared" si="178"/>
        <v>Twitter Web App</v>
      </c>
      <c r="L1083" s="15">
        <v>2052</v>
      </c>
      <c r="M1083" s="15">
        <v>3167</v>
      </c>
      <c r="N1083" s="15">
        <v>90</v>
      </c>
      <c r="O1083" s="9"/>
      <c r="P1083" s="10">
        <v>39936.453287037039</v>
      </c>
      <c r="Q1083" s="14" t="s">
        <v>4490</v>
      </c>
      <c r="R1083" s="14" t="s">
        <v>4807</v>
      </c>
      <c r="S1083" s="8"/>
      <c r="T1083" s="8"/>
      <c r="U1083" s="11" t="str">
        <f>HYPERLINK("https://pbs.twimg.com/profile_images/1269289483549184002/aHCZKiVi.jpg","View")</f>
        <v>View</v>
      </c>
      <c r="V1083" s="8"/>
      <c r="W1083" s="8"/>
      <c r="X1083" s="8"/>
      <c r="Y1083" s="8"/>
      <c r="Z1083" s="8"/>
    </row>
    <row r="1084" spans="1:26" ht="13.2">
      <c r="A1084" s="13">
        <v>44250.525648148148</v>
      </c>
      <c r="B1084" s="6" t="str">
        <f>HYPERLINK("https://twitter.com/machinelearnTec","@machinelearnTec")</f>
        <v>@machinelearnTec</v>
      </c>
      <c r="C1084" s="14" t="s">
        <v>279</v>
      </c>
      <c r="D1084" s="14" t="s">
        <v>4808</v>
      </c>
      <c r="E1084" s="6" t="str">
        <f>HYPERLINK("https://twitter.com/machinelearnTec/status/1364177420501192705","1364177420501192705")</f>
        <v>1364177420501192705</v>
      </c>
      <c r="F1084" s="7" t="s">
        <v>4809</v>
      </c>
      <c r="G1084" s="8"/>
      <c r="H1084" s="8"/>
      <c r="I1084" s="14">
        <v>40</v>
      </c>
      <c r="J1084" s="14">
        <v>24</v>
      </c>
      <c r="K1084" s="6" t="str">
        <f t="shared" si="178"/>
        <v>Twitter Web App</v>
      </c>
      <c r="L1084" s="15">
        <v>3980</v>
      </c>
      <c r="M1084" s="15">
        <v>904</v>
      </c>
      <c r="N1084" s="15">
        <v>66</v>
      </c>
      <c r="O1084" s="9"/>
      <c r="P1084" s="10">
        <v>43304.468055555553</v>
      </c>
      <c r="Q1084" s="14" t="s">
        <v>914</v>
      </c>
      <c r="R1084" s="14" t="s">
        <v>4810</v>
      </c>
      <c r="S1084" s="8"/>
      <c r="T1084" s="8"/>
      <c r="U1084" s="11" t="str">
        <f>HYPERLINK("https://pbs.twimg.com/profile_images/1293471801041977344/YORI_3ro.jpg","View")</f>
        <v>View</v>
      </c>
      <c r="V1084" s="8"/>
      <c r="W1084" s="8"/>
      <c r="X1084" s="8"/>
      <c r="Y1084" s="8"/>
      <c r="Z1084" s="8"/>
    </row>
    <row r="1085" spans="1:26" ht="13.2">
      <c r="A1085" s="13">
        <v>44250.525254629625</v>
      </c>
      <c r="B1085" s="6" t="str">
        <f>HYPERLINK("https://twitter.com/inria_paris","@inria_paris")</f>
        <v>@inria_paris</v>
      </c>
      <c r="C1085" s="14" t="s">
        <v>4811</v>
      </c>
      <c r="D1085" s="14" t="s">
        <v>4812</v>
      </c>
      <c r="E1085" s="6" t="str">
        <f>HYPERLINK("https://twitter.com/inria_paris/status/1364177277941141506","1364177277941141506")</f>
        <v>1364177277941141506</v>
      </c>
      <c r="F1085" s="7" t="s">
        <v>4813</v>
      </c>
      <c r="G1085" s="8"/>
      <c r="H1085" s="8"/>
      <c r="I1085" s="14">
        <v>3</v>
      </c>
      <c r="J1085" s="14">
        <v>6</v>
      </c>
      <c r="K1085" s="6" t="str">
        <f t="shared" si="178"/>
        <v>Twitter Web App</v>
      </c>
      <c r="L1085" s="15">
        <v>2907</v>
      </c>
      <c r="M1085" s="15">
        <v>731</v>
      </c>
      <c r="N1085" s="15">
        <v>128</v>
      </c>
      <c r="O1085" s="9"/>
      <c r="P1085" s="10">
        <v>40927.728587962964</v>
      </c>
      <c r="Q1085" s="14" t="s">
        <v>106</v>
      </c>
      <c r="R1085" s="14" t="s">
        <v>4814</v>
      </c>
      <c r="S1085" s="7" t="s">
        <v>4815</v>
      </c>
      <c r="T1085" s="8"/>
      <c r="U1085" s="11" t="str">
        <f>HYPERLINK("https://pbs.twimg.com/profile_images/1097423795596525568/519P3Buo.png","View")</f>
        <v>View</v>
      </c>
      <c r="V1085" s="8"/>
      <c r="W1085" s="8"/>
      <c r="X1085" s="8"/>
      <c r="Y1085" s="8"/>
      <c r="Z1085" s="8"/>
    </row>
    <row r="1086" spans="1:26" ht="13.2">
      <c r="A1086" s="13">
        <v>44250.524965277778</v>
      </c>
      <c r="B1086" s="6" t="str">
        <f>HYPERLINK("https://twitter.com/machinelearnTec","@machinelearnTec")</f>
        <v>@machinelearnTec</v>
      </c>
      <c r="C1086" s="14" t="s">
        <v>279</v>
      </c>
      <c r="D1086" s="14" t="s">
        <v>4816</v>
      </c>
      <c r="E1086" s="6" t="str">
        <f>HYPERLINK("https://twitter.com/machinelearnTec/status/1364177172148015110","1364177172148015110")</f>
        <v>1364177172148015110</v>
      </c>
      <c r="F1086" s="7" t="s">
        <v>4817</v>
      </c>
      <c r="G1086" s="8"/>
      <c r="H1086" s="8"/>
      <c r="I1086" s="14">
        <v>14</v>
      </c>
      <c r="J1086" s="14">
        <v>5</v>
      </c>
      <c r="K1086" s="6" t="str">
        <f t="shared" si="178"/>
        <v>Twitter Web App</v>
      </c>
      <c r="L1086" s="15">
        <v>3980</v>
      </c>
      <c r="M1086" s="15">
        <v>904</v>
      </c>
      <c r="N1086" s="15">
        <v>66</v>
      </c>
      <c r="O1086" s="9"/>
      <c r="P1086" s="10">
        <v>43304.468055555553</v>
      </c>
      <c r="Q1086" s="14" t="s">
        <v>914</v>
      </c>
      <c r="R1086" s="14" t="s">
        <v>4810</v>
      </c>
      <c r="S1086" s="8"/>
      <c r="T1086" s="8"/>
      <c r="U1086" s="11" t="str">
        <f>HYPERLINK("https://pbs.twimg.com/profile_images/1293471801041977344/YORI_3ro.jpg","View")</f>
        <v>View</v>
      </c>
      <c r="V1086" s="8"/>
      <c r="W1086" s="8"/>
      <c r="X1086" s="8"/>
      <c r="Y1086" s="8"/>
      <c r="Z1086" s="8"/>
    </row>
    <row r="1087" spans="1:26" ht="13.2">
      <c r="A1087" s="13">
        <v>44250.524745370371</v>
      </c>
      <c r="B1087" s="6" t="str">
        <f>HYPERLINK("https://twitter.com/SimonPerera","@SimonPerera")</f>
        <v>@SimonPerera</v>
      </c>
      <c r="C1087" s="14" t="s">
        <v>4818</v>
      </c>
      <c r="D1087" s="14" t="s">
        <v>4819</v>
      </c>
      <c r="E1087" s="6" t="str">
        <f>HYPERLINK("https://twitter.com/SimonPerera/status/1364177090615136259","1364177090615136259")</f>
        <v>1364177090615136259</v>
      </c>
      <c r="F1087" s="7" t="s">
        <v>4820</v>
      </c>
      <c r="G1087" s="8"/>
      <c r="H1087" s="8"/>
      <c r="I1087" s="14">
        <v>0</v>
      </c>
      <c r="J1087" s="14">
        <v>2</v>
      </c>
      <c r="K1087" s="6" t="str">
        <f t="shared" si="178"/>
        <v>Twitter Web App</v>
      </c>
      <c r="L1087" s="15">
        <v>5020</v>
      </c>
      <c r="M1087" s="15">
        <v>2483</v>
      </c>
      <c r="N1087" s="15">
        <v>118</v>
      </c>
      <c r="O1087" s="9"/>
      <c r="P1087" s="10">
        <v>40057.15252314815</v>
      </c>
      <c r="Q1087" s="14" t="s">
        <v>3925</v>
      </c>
      <c r="R1087" s="14" t="s">
        <v>4821</v>
      </c>
      <c r="S1087" s="7" t="s">
        <v>4822</v>
      </c>
      <c r="T1087" s="8"/>
      <c r="U1087" s="11" t="str">
        <f>HYPERLINK("https://pbs.twimg.com/profile_images/1260284412547272711/Y5NCRZFU.jpg","View")</f>
        <v>View</v>
      </c>
      <c r="V1087" s="8"/>
      <c r="W1087" s="8"/>
      <c r="X1087" s="8"/>
      <c r="Y1087" s="8"/>
      <c r="Z1087" s="8"/>
    </row>
    <row r="1088" spans="1:26" ht="13.2">
      <c r="A1088" s="13">
        <v>44250.524699074071</v>
      </c>
      <c r="B1088" s="6" t="str">
        <f>HYPERLINK("https://twitter.com/machinelearnTec","@machinelearnTec")</f>
        <v>@machinelearnTec</v>
      </c>
      <c r="C1088" s="14" t="s">
        <v>279</v>
      </c>
      <c r="D1088" s="14" t="s">
        <v>4823</v>
      </c>
      <c r="E1088" s="6" t="str">
        <f>HYPERLINK("https://twitter.com/machinelearnTec/status/1364177075888791556","1364177075888791556")</f>
        <v>1364177075888791556</v>
      </c>
      <c r="F1088" s="7" t="s">
        <v>4824</v>
      </c>
      <c r="G1088" s="8"/>
      <c r="H1088" s="8"/>
      <c r="I1088" s="14">
        <v>15</v>
      </c>
      <c r="J1088" s="14">
        <v>12</v>
      </c>
      <c r="K1088" s="6" t="str">
        <f t="shared" si="178"/>
        <v>Twitter Web App</v>
      </c>
      <c r="L1088" s="15">
        <v>3980</v>
      </c>
      <c r="M1088" s="15">
        <v>904</v>
      </c>
      <c r="N1088" s="15">
        <v>66</v>
      </c>
      <c r="O1088" s="9"/>
      <c r="P1088" s="10">
        <v>43304.468055555553</v>
      </c>
      <c r="Q1088" s="14" t="s">
        <v>914</v>
      </c>
      <c r="R1088" s="14" t="s">
        <v>4810</v>
      </c>
      <c r="S1088" s="8"/>
      <c r="T1088" s="8"/>
      <c r="U1088" s="11" t="str">
        <f>HYPERLINK("https://pbs.twimg.com/profile_images/1293471801041977344/YORI_3ro.jpg","View")</f>
        <v>View</v>
      </c>
      <c r="V1088" s="8"/>
      <c r="W1088" s="8"/>
      <c r="X1088" s="8"/>
      <c r="Y1088" s="8"/>
      <c r="Z1088" s="8"/>
    </row>
    <row r="1089" spans="1:26" ht="13.2">
      <c r="A1089" s="13">
        <v>44250.524537037039</v>
      </c>
      <c r="B1089" s="6" t="str">
        <f>HYPERLINK("https://twitter.com/lulstrup","@lulstrup")</f>
        <v>@lulstrup</v>
      </c>
      <c r="C1089" s="14" t="s">
        <v>4825</v>
      </c>
      <c r="D1089" s="14" t="s">
        <v>4826</v>
      </c>
      <c r="E1089" s="6" t="str">
        <f>HYPERLINK("https://twitter.com/lulstrup/status/1364177015876714502","1364177015876714502")</f>
        <v>1364177015876714502</v>
      </c>
      <c r="F1089" s="7" t="s">
        <v>4827</v>
      </c>
      <c r="G1089" s="8"/>
      <c r="H1089" s="8"/>
      <c r="I1089" s="14">
        <v>0</v>
      </c>
      <c r="J1089" s="14">
        <v>2</v>
      </c>
      <c r="K1089" s="6" t="str">
        <f>HYPERLINK("http://www.linkedin.com/","LinkedIn")</f>
        <v>LinkedIn</v>
      </c>
      <c r="L1089" s="15">
        <v>1179</v>
      </c>
      <c r="M1089" s="15">
        <v>5000</v>
      </c>
      <c r="N1089" s="15">
        <v>111</v>
      </c>
      <c r="O1089" s="9"/>
      <c r="P1089" s="10">
        <v>39885.809224537035</v>
      </c>
      <c r="Q1089" s="14" t="s">
        <v>191</v>
      </c>
      <c r="R1089" s="14" t="s">
        <v>4828</v>
      </c>
      <c r="S1089" s="7" t="s">
        <v>4829</v>
      </c>
      <c r="T1089" s="8"/>
      <c r="U1089" s="11" t="str">
        <f>HYPERLINK("https://pbs.twimg.com/profile_images/1210049124/4398_11LeifTOC.jpg","View")</f>
        <v>View</v>
      </c>
      <c r="V1089" s="8"/>
      <c r="W1089" s="8"/>
      <c r="X1089" s="8"/>
      <c r="Y1089" s="8"/>
      <c r="Z1089" s="8"/>
    </row>
    <row r="1090" spans="1:26" ht="13.2">
      <c r="A1090" s="13">
        <v>44250.524328703701</v>
      </c>
      <c r="B1090" s="6" t="str">
        <f>HYPERLINK("https://twitter.com/machinelearnTec","@machinelearnTec")</f>
        <v>@machinelearnTec</v>
      </c>
      <c r="C1090" s="14" t="s">
        <v>279</v>
      </c>
      <c r="D1090" s="14" t="s">
        <v>4830</v>
      </c>
      <c r="E1090" s="6" t="str">
        <f>HYPERLINK("https://twitter.com/machinelearnTec/status/1364176941822083073","1364176941822083073")</f>
        <v>1364176941822083073</v>
      </c>
      <c r="F1090" s="7" t="s">
        <v>4831</v>
      </c>
      <c r="G1090" s="8"/>
      <c r="H1090" s="8"/>
      <c r="I1090" s="14">
        <v>2</v>
      </c>
      <c r="J1090" s="14">
        <v>4</v>
      </c>
      <c r="K1090" s="6" t="str">
        <f>HYPERLINK("https://mobile.twitter.com","Twitter Web App")</f>
        <v>Twitter Web App</v>
      </c>
      <c r="L1090" s="15">
        <v>3980</v>
      </c>
      <c r="M1090" s="15">
        <v>904</v>
      </c>
      <c r="N1090" s="15">
        <v>66</v>
      </c>
      <c r="O1090" s="9"/>
      <c r="P1090" s="10">
        <v>43304.468055555553</v>
      </c>
      <c r="Q1090" s="14" t="s">
        <v>914</v>
      </c>
      <c r="R1090" s="14" t="s">
        <v>4810</v>
      </c>
      <c r="S1090" s="8"/>
      <c r="T1090" s="8"/>
      <c r="U1090" s="11" t="str">
        <f>HYPERLINK("https://pbs.twimg.com/profile_images/1293471801041977344/YORI_3ro.jpg","View")</f>
        <v>View</v>
      </c>
      <c r="V1090" s="8"/>
      <c r="W1090" s="8"/>
      <c r="X1090" s="8"/>
      <c r="Y1090" s="8"/>
      <c r="Z1090" s="8"/>
    </row>
    <row r="1091" spans="1:26" ht="13.2">
      <c r="A1091" s="13">
        <v>44250.524039351847</v>
      </c>
      <c r="B1091" s="6" t="str">
        <f>HYPERLINK("https://twitter.com/Roboticsindia_","@Roboticsindia_")</f>
        <v>@Roboticsindia_</v>
      </c>
      <c r="C1091" s="14" t="s">
        <v>4832</v>
      </c>
      <c r="D1091" s="14" t="s">
        <v>4833</v>
      </c>
      <c r="E1091" s="6" t="str">
        <f>HYPERLINK("https://twitter.com/Roboticsindia_/status/1364176837341900803","1364176837341900803")</f>
        <v>1364176837341900803</v>
      </c>
      <c r="F1091" s="8"/>
      <c r="G1091" s="7" t="s">
        <v>4834</v>
      </c>
      <c r="H1091" s="8"/>
      <c r="I1091" s="14">
        <v>6</v>
      </c>
      <c r="J1091" s="14">
        <v>10</v>
      </c>
      <c r="K1091" s="6" t="str">
        <f t="shared" ref="K1091:K1093" si="179">HYPERLINK("http://twitter.com/download/android","Twitter for Android")</f>
        <v>Twitter for Android</v>
      </c>
      <c r="L1091" s="15">
        <v>21</v>
      </c>
      <c r="M1091" s="15">
        <v>57</v>
      </c>
      <c r="N1091" s="15">
        <v>0</v>
      </c>
      <c r="O1091" s="9"/>
      <c r="P1091" s="10">
        <v>44189.445810185185</v>
      </c>
      <c r="Q1091" s="14" t="s">
        <v>364</v>
      </c>
      <c r="R1091" s="14" t="s">
        <v>4835</v>
      </c>
      <c r="S1091" s="7" t="s">
        <v>4836</v>
      </c>
      <c r="T1091" s="8"/>
      <c r="U1091" s="11" t="str">
        <f>HYPERLINK("https://pbs.twimg.com/profile_images/1363775015146164224/-AsLTiwM.jpg","View")</f>
        <v>View</v>
      </c>
      <c r="V1091" s="8"/>
      <c r="W1091" s="8"/>
      <c r="X1091" s="8"/>
      <c r="Y1091" s="8"/>
      <c r="Z1091" s="8"/>
    </row>
    <row r="1092" spans="1:26" ht="13.2">
      <c r="A1092" s="13">
        <v>44250.523946759262</v>
      </c>
      <c r="B1092" s="6" t="str">
        <f>HYPERLINK("https://twitter.com/max_jr","@max_jr")</f>
        <v>@max_jr</v>
      </c>
      <c r="C1092" s="14" t="s">
        <v>4837</v>
      </c>
      <c r="D1092" s="14" t="s">
        <v>4838</v>
      </c>
      <c r="E1092" s="6" t="str">
        <f>HYPERLINK("https://twitter.com/max_jr/status/1364176804127404035","1364176804127404035")</f>
        <v>1364176804127404035</v>
      </c>
      <c r="F1092" s="14" t="s">
        <v>4839</v>
      </c>
      <c r="G1092" s="8"/>
      <c r="H1092" s="8"/>
      <c r="I1092" s="14">
        <v>0</v>
      </c>
      <c r="J1092" s="14">
        <v>1</v>
      </c>
      <c r="K1092" s="6" t="str">
        <f t="shared" si="179"/>
        <v>Twitter for Android</v>
      </c>
      <c r="L1092" s="15">
        <v>172</v>
      </c>
      <c r="M1092" s="15">
        <v>352</v>
      </c>
      <c r="N1092" s="15">
        <v>0</v>
      </c>
      <c r="O1092" s="9"/>
      <c r="P1092" s="10">
        <v>39932.205914351856</v>
      </c>
      <c r="Q1092" s="14" t="s">
        <v>69</v>
      </c>
      <c r="R1092" s="14" t="s">
        <v>4840</v>
      </c>
      <c r="S1092" s="8"/>
      <c r="T1092" s="8"/>
      <c r="U1092" s="11" t="str">
        <f>HYPERLINK("https://pbs.twimg.com/profile_images/1249833371804602368/DDGcJWtQ.jpg","View")</f>
        <v>View</v>
      </c>
      <c r="V1092" s="8"/>
      <c r="W1092" s="8"/>
      <c r="X1092" s="8"/>
      <c r="Y1092" s="8"/>
      <c r="Z1092" s="8"/>
    </row>
    <row r="1093" spans="1:26" ht="13.2">
      <c r="A1093" s="13">
        <v>44250.52270833333</v>
      </c>
      <c r="B1093" s="6" t="str">
        <f>HYPERLINK("https://twitter.com/Prashanth_NS","@Prashanth_NS")</f>
        <v>@Prashanth_NS</v>
      </c>
      <c r="C1093" s="14" t="s">
        <v>4423</v>
      </c>
      <c r="D1093" s="14" t="s">
        <v>4841</v>
      </c>
      <c r="E1093" s="6" t="str">
        <f>HYPERLINK("https://twitter.com/Prashanth_NS/status/1364176351863787523","1364176351863787523")</f>
        <v>1364176351863787523</v>
      </c>
      <c r="F1093" s="7" t="s">
        <v>4425</v>
      </c>
      <c r="G1093" s="8"/>
      <c r="H1093" s="8"/>
      <c r="I1093" s="14">
        <v>11</v>
      </c>
      <c r="J1093" s="14">
        <v>5</v>
      </c>
      <c r="K1093" s="6" t="str">
        <f t="shared" si="179"/>
        <v>Twitter for Android</v>
      </c>
      <c r="L1093" s="15">
        <v>1167</v>
      </c>
      <c r="M1093" s="15">
        <v>53</v>
      </c>
      <c r="N1093" s="15">
        <v>140</v>
      </c>
      <c r="O1093" s="9"/>
      <c r="P1093" s="10">
        <v>42120.421909722223</v>
      </c>
      <c r="Q1093" s="14" t="s">
        <v>1742</v>
      </c>
      <c r="R1093" s="14" t="s">
        <v>4426</v>
      </c>
      <c r="S1093" s="8"/>
      <c r="T1093" s="8"/>
      <c r="U1093" s="11" t="str">
        <f>HYPERLINK("https://pbs.twimg.com/profile_images/1301374040414674945/J38_bT2D.jpg","View")</f>
        <v>View</v>
      </c>
      <c r="V1093" s="8"/>
      <c r="W1093" s="8"/>
      <c r="X1093" s="8"/>
      <c r="Y1093" s="8"/>
      <c r="Z1093" s="8"/>
    </row>
    <row r="1094" spans="1:26" ht="13.2">
      <c r="A1094" s="13">
        <v>44250.522395833337</v>
      </c>
      <c r="B1094" s="6" t="str">
        <f>HYPERLINK("https://twitter.com/h2cGmbH","@h2cGmbH")</f>
        <v>@h2cGmbH</v>
      </c>
      <c r="C1094" s="14" t="s">
        <v>4842</v>
      </c>
      <c r="D1094" s="14" t="s">
        <v>4843</v>
      </c>
      <c r="E1094" s="6" t="str">
        <f>HYPERLINK("https://twitter.com/h2cGmbH/status/1364176241918640133","1364176241918640133")</f>
        <v>1364176241918640133</v>
      </c>
      <c r="F1094" s="7" t="s">
        <v>4844</v>
      </c>
      <c r="G1094" s="7" t="s">
        <v>4845</v>
      </c>
      <c r="H1094" s="8"/>
      <c r="I1094" s="14">
        <v>0</v>
      </c>
      <c r="J1094" s="14">
        <v>0</v>
      </c>
      <c r="K1094" s="6" t="str">
        <f>HYPERLINK("https://mobile.twitter.com","Twitter Web App")</f>
        <v>Twitter Web App</v>
      </c>
      <c r="L1094" s="15">
        <v>245</v>
      </c>
      <c r="M1094" s="15">
        <v>81</v>
      </c>
      <c r="N1094" s="15">
        <v>22</v>
      </c>
      <c r="O1094" s="9"/>
      <c r="P1094" s="10">
        <v>39932.539247685185</v>
      </c>
      <c r="Q1094" s="14" t="s">
        <v>4846</v>
      </c>
      <c r="R1094" s="14" t="s">
        <v>4847</v>
      </c>
      <c r="S1094" s="7" t="s">
        <v>4848</v>
      </c>
      <c r="T1094" s="8"/>
      <c r="U1094" s="11" t="str">
        <f>HYPERLINK("https://pbs.twimg.com/profile_images/1240215243575476225/hBklaybX.png","View")</f>
        <v>View</v>
      </c>
      <c r="V1094" s="8"/>
      <c r="W1094" s="8"/>
      <c r="X1094" s="8"/>
      <c r="Y1094" s="8"/>
      <c r="Z1094" s="8"/>
    </row>
    <row r="1095" spans="1:26" ht="13.2">
      <c r="A1095" s="13">
        <v>44250.522222222222</v>
      </c>
      <c r="B1095" s="6" t="str">
        <f>HYPERLINK("https://twitter.com/TechNative","@TechNative")</f>
        <v>@TechNative</v>
      </c>
      <c r="C1095" s="14" t="s">
        <v>866</v>
      </c>
      <c r="D1095" s="14" t="s">
        <v>4849</v>
      </c>
      <c r="E1095" s="6" t="str">
        <f>HYPERLINK("https://twitter.com/TechNative/status/1364176178748284929","1364176178748284929")</f>
        <v>1364176178748284929</v>
      </c>
      <c r="F1095" s="7" t="s">
        <v>4850</v>
      </c>
      <c r="G1095" s="8"/>
      <c r="H1095" s="8"/>
      <c r="I1095" s="14">
        <v>6</v>
      </c>
      <c r="J1095" s="14">
        <v>5</v>
      </c>
      <c r="K1095" s="6" t="str">
        <f t="shared" ref="K1095:K1096" si="180">HYPERLINK("https://sproutsocial.com","Sprout Social")</f>
        <v>Sprout Social</v>
      </c>
      <c r="L1095" s="15">
        <v>84850</v>
      </c>
      <c r="M1095" s="15">
        <v>60575</v>
      </c>
      <c r="N1095" s="15">
        <v>2623</v>
      </c>
      <c r="O1095" s="9"/>
      <c r="P1095" s="10">
        <v>42289.695833333331</v>
      </c>
      <c r="Q1095" s="14" t="s">
        <v>869</v>
      </c>
      <c r="R1095" s="14" t="s">
        <v>870</v>
      </c>
      <c r="S1095" s="7" t="s">
        <v>871</v>
      </c>
      <c r="T1095" s="8"/>
      <c r="U1095" s="11" t="str">
        <f>HYPERLINK("https://pbs.twimg.com/profile_images/877265193818103808/uriy-gaK.jpg","View")</f>
        <v>View</v>
      </c>
      <c r="V1095" s="8"/>
      <c r="W1095" s="8"/>
      <c r="X1095" s="8"/>
      <c r="Y1095" s="8"/>
      <c r="Z1095" s="8"/>
    </row>
    <row r="1096" spans="1:26" ht="13.2">
      <c r="A1096" s="13">
        <v>44250.521539351852</v>
      </c>
      <c r="B1096" s="6" t="str">
        <f>HYPERLINK("https://twitter.com/Dicedotcom","@Dicedotcom")</f>
        <v>@Dicedotcom</v>
      </c>
      <c r="C1096" s="7" t="s">
        <v>4851</v>
      </c>
      <c r="D1096" s="14" t="s">
        <v>4852</v>
      </c>
      <c r="E1096" s="6" t="str">
        <f>HYPERLINK("https://twitter.com/Dicedotcom/status/1364175929631727616","1364175929631727616")</f>
        <v>1364175929631727616</v>
      </c>
      <c r="F1096" s="7" t="s">
        <v>4853</v>
      </c>
      <c r="G1096" s="7" t="s">
        <v>4854</v>
      </c>
      <c r="H1096" s="8"/>
      <c r="I1096" s="14">
        <v>1</v>
      </c>
      <c r="J1096" s="14">
        <v>5</v>
      </c>
      <c r="K1096" s="6" t="str">
        <f t="shared" si="180"/>
        <v>Sprout Social</v>
      </c>
      <c r="L1096" s="15">
        <v>30047</v>
      </c>
      <c r="M1096" s="15">
        <v>18326</v>
      </c>
      <c r="N1096" s="15">
        <v>1194</v>
      </c>
      <c r="O1096" s="15" t="s">
        <v>130</v>
      </c>
      <c r="P1096" s="10">
        <v>39890.53833333333</v>
      </c>
      <c r="Q1096" s="14" t="s">
        <v>4855</v>
      </c>
      <c r="R1096" s="14" t="s">
        <v>4856</v>
      </c>
      <c r="S1096" s="7" t="s">
        <v>4857</v>
      </c>
      <c r="T1096" s="8"/>
      <c r="U1096" s="11" t="str">
        <f>HYPERLINK("https://pbs.twimg.com/profile_images/1270772805244727298/umnQiz8K.png","View")</f>
        <v>View</v>
      </c>
      <c r="V1096" s="8"/>
      <c r="W1096" s="8"/>
      <c r="X1096" s="8"/>
      <c r="Y1096" s="8"/>
      <c r="Z1096" s="8"/>
    </row>
    <row r="1097" spans="1:26" ht="13.2">
      <c r="A1097" s="13">
        <v>44250.521504629629</v>
      </c>
      <c r="B1097" s="6" t="str">
        <f>HYPERLINK("https://twitter.com/Prashanth_NS","@Prashanth_NS")</f>
        <v>@Prashanth_NS</v>
      </c>
      <c r="C1097" s="14" t="s">
        <v>4423</v>
      </c>
      <c r="D1097" s="14" t="s">
        <v>4858</v>
      </c>
      <c r="E1097" s="6" t="str">
        <f>HYPERLINK("https://twitter.com/Prashanth_NS/status/1364175917807853576","1364175917807853576")</f>
        <v>1364175917807853576</v>
      </c>
      <c r="F1097" s="7" t="s">
        <v>4425</v>
      </c>
      <c r="G1097" s="8"/>
      <c r="H1097" s="8"/>
      <c r="I1097" s="14">
        <v>10</v>
      </c>
      <c r="J1097" s="14">
        <v>5</v>
      </c>
      <c r="K1097" s="6" t="str">
        <f>HYPERLINK("http://twitter.com/download/android","Twitter for Android")</f>
        <v>Twitter for Android</v>
      </c>
      <c r="L1097" s="15">
        <v>1167</v>
      </c>
      <c r="M1097" s="15">
        <v>53</v>
      </c>
      <c r="N1097" s="15">
        <v>140</v>
      </c>
      <c r="O1097" s="9"/>
      <c r="P1097" s="10">
        <v>42120.421909722223</v>
      </c>
      <c r="Q1097" s="14" t="s">
        <v>1742</v>
      </c>
      <c r="R1097" s="14" t="s">
        <v>4426</v>
      </c>
      <c r="S1097" s="8"/>
      <c r="T1097" s="8"/>
      <c r="U1097" s="11" t="str">
        <f>HYPERLINK("https://pbs.twimg.com/profile_images/1301374040414674945/J38_bT2D.jpg","View")</f>
        <v>View</v>
      </c>
      <c r="V1097" s="8"/>
      <c r="W1097" s="8"/>
      <c r="X1097" s="8"/>
      <c r="Y1097" s="8"/>
      <c r="Z1097" s="8"/>
    </row>
    <row r="1098" spans="1:26" ht="13.2">
      <c r="A1098" s="13">
        <v>44250.521284722221</v>
      </c>
      <c r="B1098" s="6" t="str">
        <f>HYPERLINK("https://twitter.com/latentview","@latentview")</f>
        <v>@latentview</v>
      </c>
      <c r="C1098" s="14" t="s">
        <v>4859</v>
      </c>
      <c r="D1098" s="14" t="s">
        <v>4860</v>
      </c>
      <c r="E1098" s="6" t="str">
        <f>HYPERLINK("https://twitter.com/latentview/status/1364175839617683456","1364175839617683456")</f>
        <v>1364175839617683456</v>
      </c>
      <c r="F1098" s="7" t="s">
        <v>4861</v>
      </c>
      <c r="G1098" s="7" t="s">
        <v>4862</v>
      </c>
      <c r="H1098" s="8"/>
      <c r="I1098" s="14">
        <v>0</v>
      </c>
      <c r="J1098" s="14">
        <v>3</v>
      </c>
      <c r="K1098" s="6" t="str">
        <f t="shared" ref="K1098:K1099" si="181">HYPERLINK("https://mobile.twitter.com","Twitter Web App")</f>
        <v>Twitter Web App</v>
      </c>
      <c r="L1098" s="15">
        <v>3905</v>
      </c>
      <c r="M1098" s="15">
        <v>557</v>
      </c>
      <c r="N1098" s="15">
        <v>582</v>
      </c>
      <c r="O1098" s="9"/>
      <c r="P1098" s="10">
        <v>40053.602731481486</v>
      </c>
      <c r="Q1098" s="14" t="s">
        <v>2679</v>
      </c>
      <c r="R1098" s="14" t="s">
        <v>4863</v>
      </c>
      <c r="S1098" s="7" t="s">
        <v>4864</v>
      </c>
      <c r="T1098" s="8"/>
      <c r="U1098" s="11" t="str">
        <f>HYPERLINK("https://pbs.twimg.com/profile_images/749814119625203712/6Dn9dBVF.jpg","View")</f>
        <v>View</v>
      </c>
      <c r="V1098" s="8"/>
      <c r="W1098" s="8"/>
      <c r="X1098" s="8"/>
      <c r="Y1098" s="8"/>
      <c r="Z1098" s="8"/>
    </row>
    <row r="1099" spans="1:26" ht="13.2">
      <c r="A1099" s="13">
        <v>44250.521284722221</v>
      </c>
      <c r="B1099" s="6" t="str">
        <f>HYPERLINK("https://twitter.com/urmacht","@urmacht")</f>
        <v>@urmacht</v>
      </c>
      <c r="C1099" s="14" t="s">
        <v>4865</v>
      </c>
      <c r="D1099" s="14" t="s">
        <v>4866</v>
      </c>
      <c r="E1099" s="6" t="str">
        <f>HYPERLINK("https://twitter.com/urmacht/status/1364175839550705669","1364175839550705669")</f>
        <v>1364175839550705669</v>
      </c>
      <c r="F1099" s="14" t="s">
        <v>4867</v>
      </c>
      <c r="G1099" s="7" t="s">
        <v>4868</v>
      </c>
      <c r="H1099" s="8"/>
      <c r="I1099" s="14">
        <v>0</v>
      </c>
      <c r="J1099" s="14">
        <v>3</v>
      </c>
      <c r="K1099" s="6" t="str">
        <f t="shared" si="181"/>
        <v>Twitter Web App</v>
      </c>
      <c r="L1099" s="15">
        <v>47196</v>
      </c>
      <c r="M1099" s="15">
        <v>3173</v>
      </c>
      <c r="N1099" s="15">
        <v>23</v>
      </c>
      <c r="O1099" s="9"/>
      <c r="P1099" s="10">
        <v>41982.50068287037</v>
      </c>
      <c r="Q1099" s="14" t="s">
        <v>4869</v>
      </c>
      <c r="R1099" s="14" t="s">
        <v>4870</v>
      </c>
      <c r="S1099" s="7" t="s">
        <v>4871</v>
      </c>
      <c r="T1099" s="8"/>
      <c r="U1099" s="11" t="str">
        <f>HYPERLINK("https://pbs.twimg.com/profile_images/1280464486743375873/WreJ4oUD.jpg","View")</f>
        <v>View</v>
      </c>
      <c r="V1099" s="8"/>
      <c r="W1099" s="8"/>
      <c r="X1099" s="8"/>
      <c r="Y1099" s="8"/>
      <c r="Z1099" s="8"/>
    </row>
    <row r="1100" spans="1:26" ht="13.2">
      <c r="A1100" s="13">
        <v>44250.521041666667</v>
      </c>
      <c r="B1100" s="6" t="str">
        <f>HYPERLINK("https://twitter.com/SMEBOOK_","@SMEBOOK_")</f>
        <v>@SMEBOOK_</v>
      </c>
      <c r="C1100" s="14" t="s">
        <v>4872</v>
      </c>
      <c r="D1100" s="14" t="s">
        <v>4873</v>
      </c>
      <c r="E1100" s="6" t="str">
        <f>HYPERLINK("https://twitter.com/SMEBOOK_/status/1364175751231201284","1364175751231201284")</f>
        <v>1364175751231201284</v>
      </c>
      <c r="F1100" s="7" t="s">
        <v>4874</v>
      </c>
      <c r="G1100" s="8"/>
      <c r="H1100" s="8"/>
      <c r="I1100" s="14">
        <v>0</v>
      </c>
      <c r="J1100" s="14">
        <v>0</v>
      </c>
      <c r="K1100" s="6" t="str">
        <f>HYPERLINK("https://www.hootsuite.com","Hootsuite Inc.")</f>
        <v>Hootsuite Inc.</v>
      </c>
      <c r="L1100" s="15">
        <v>168</v>
      </c>
      <c r="M1100" s="15">
        <v>158</v>
      </c>
      <c r="N1100" s="15">
        <v>12</v>
      </c>
      <c r="O1100" s="9"/>
      <c r="P1100" s="10">
        <v>41692.667939814812</v>
      </c>
      <c r="Q1100" s="14" t="s">
        <v>2396</v>
      </c>
      <c r="R1100" s="14" t="s">
        <v>4875</v>
      </c>
      <c r="S1100" s="7" t="s">
        <v>4876</v>
      </c>
      <c r="T1100" s="8"/>
      <c r="U1100" s="11" t="str">
        <f>HYPERLINK("https://pbs.twimg.com/profile_images/1175510589143224328/EXuYDoqP.jpg","View")</f>
        <v>View</v>
      </c>
      <c r="V1100" s="8"/>
      <c r="W1100" s="8"/>
      <c r="X1100" s="8"/>
      <c r="Y1100" s="8"/>
      <c r="Z1100" s="8"/>
    </row>
    <row r="1101" spans="1:26" ht="13.2">
      <c r="A1101" s="13">
        <v>44250.521018518513</v>
      </c>
      <c r="B1101" s="6" t="str">
        <f>HYPERLINK("https://twitter.com/JustTwi","@JustTwi")</f>
        <v>@JustTwi</v>
      </c>
      <c r="C1101" s="14" t="s">
        <v>4877</v>
      </c>
      <c r="D1101" s="14" t="s">
        <v>4878</v>
      </c>
      <c r="E1101" s="6" t="str">
        <f>HYPERLINK("https://twitter.com/JustTwi/status/1364175742674874368","1364175742674874368")</f>
        <v>1364175742674874368</v>
      </c>
      <c r="F1101" s="8"/>
      <c r="G1101" s="8"/>
      <c r="H1101" s="8"/>
      <c r="I1101" s="14">
        <v>1</v>
      </c>
      <c r="J1101" s="14">
        <v>1</v>
      </c>
      <c r="K1101" s="6" t="str">
        <f>HYPERLINK("https://buffer.com","Buffer")</f>
        <v>Buffer</v>
      </c>
      <c r="L1101" s="15">
        <v>1436</v>
      </c>
      <c r="M1101" s="15">
        <v>1119</v>
      </c>
      <c r="N1101" s="15">
        <v>258</v>
      </c>
      <c r="O1101" s="9"/>
      <c r="P1101" s="10">
        <v>39981.248993055553</v>
      </c>
      <c r="Q1101" s="14" t="s">
        <v>2167</v>
      </c>
      <c r="R1101" s="14" t="s">
        <v>4879</v>
      </c>
      <c r="S1101" s="7" t="s">
        <v>4880</v>
      </c>
      <c r="T1101" s="8"/>
      <c r="U1101" s="11" t="str">
        <f>HYPERLINK("https://pbs.twimg.com/profile_images/1283637567603130368/A5RQ8_xh.jpg","View")</f>
        <v>View</v>
      </c>
      <c r="V1101" s="8"/>
      <c r="W1101" s="8"/>
      <c r="X1101" s="8"/>
      <c r="Y1101" s="8"/>
      <c r="Z1101" s="8"/>
    </row>
    <row r="1102" spans="1:26" ht="13.2">
      <c r="A1102" s="13">
        <v>44250.520983796298</v>
      </c>
      <c r="B1102" s="6" t="str">
        <f>HYPERLINK("https://twitter.com/BluePi_In","@BluePi_In")</f>
        <v>@BluePi_In</v>
      </c>
      <c r="C1102" s="14" t="s">
        <v>4881</v>
      </c>
      <c r="D1102" s="14" t="s">
        <v>4882</v>
      </c>
      <c r="E1102" s="6" t="str">
        <f>HYPERLINK("https://twitter.com/BluePi_In/status/1364175728380633090","1364175728380633090")</f>
        <v>1364175728380633090</v>
      </c>
      <c r="F1102" s="7" t="s">
        <v>4883</v>
      </c>
      <c r="G1102" s="7" t="s">
        <v>4884</v>
      </c>
      <c r="H1102" s="8"/>
      <c r="I1102" s="14">
        <v>1</v>
      </c>
      <c r="J1102" s="14">
        <v>2</v>
      </c>
      <c r="K1102" s="6" t="str">
        <f t="shared" ref="K1102:K1103" si="182">HYPERLINK("https://www.hootsuite.com","Hootsuite Inc.")</f>
        <v>Hootsuite Inc.</v>
      </c>
      <c r="L1102" s="15">
        <v>1580</v>
      </c>
      <c r="M1102" s="15">
        <v>1577</v>
      </c>
      <c r="N1102" s="15">
        <v>730</v>
      </c>
      <c r="O1102" s="9"/>
      <c r="P1102" s="10">
        <v>41332.308333333334</v>
      </c>
      <c r="Q1102" s="14" t="s">
        <v>2102</v>
      </c>
      <c r="R1102" s="14" t="s">
        <v>4885</v>
      </c>
      <c r="S1102" s="7" t="s">
        <v>4886</v>
      </c>
      <c r="T1102" s="8"/>
      <c r="U1102" s="11" t="str">
        <f>HYPERLINK("https://pbs.twimg.com/profile_images/1214427688905003009/XFVLhGUU.png","View")</f>
        <v>View</v>
      </c>
      <c r="V1102" s="8"/>
      <c r="W1102" s="8"/>
      <c r="X1102" s="8"/>
      <c r="Y1102" s="8"/>
      <c r="Z1102" s="8"/>
    </row>
    <row r="1103" spans="1:26" ht="13.2">
      <c r="A1103" s="13">
        <v>44250.520925925928</v>
      </c>
      <c r="B1103" s="6" t="str">
        <f>HYPERLINK("https://twitter.com/designnation20","@designnation20")</f>
        <v>@designnation20</v>
      </c>
      <c r="C1103" s="14" t="s">
        <v>4887</v>
      </c>
      <c r="D1103" s="14" t="s">
        <v>4888</v>
      </c>
      <c r="E1103" s="6" t="str">
        <f>HYPERLINK("https://twitter.com/designnation20/status/1364175707354632193","1364175707354632193")</f>
        <v>1364175707354632193</v>
      </c>
      <c r="F1103" s="7" t="s">
        <v>4889</v>
      </c>
      <c r="G1103" s="8"/>
      <c r="H1103" s="8"/>
      <c r="I1103" s="14">
        <v>7</v>
      </c>
      <c r="J1103" s="14">
        <v>6</v>
      </c>
      <c r="K1103" s="6" t="str">
        <f t="shared" si="182"/>
        <v>Hootsuite Inc.</v>
      </c>
      <c r="L1103" s="15">
        <v>94</v>
      </c>
      <c r="M1103" s="15">
        <v>161</v>
      </c>
      <c r="N1103" s="15">
        <v>0</v>
      </c>
      <c r="O1103" s="9"/>
      <c r="P1103" s="10">
        <v>43936.451412037037</v>
      </c>
      <c r="Q1103" s="14" t="s">
        <v>4890</v>
      </c>
      <c r="R1103" s="14" t="s">
        <v>4891</v>
      </c>
      <c r="S1103" s="7" t="s">
        <v>4892</v>
      </c>
      <c r="T1103" s="8"/>
      <c r="U1103" s="11" t="str">
        <f>HYPERLINK("https://pbs.twimg.com/profile_images/1285972465571647489/OoVAc2X9.jpg","View")</f>
        <v>View</v>
      </c>
      <c r="V1103" s="8"/>
      <c r="W1103" s="8"/>
      <c r="X1103" s="8"/>
      <c r="Y1103" s="8"/>
      <c r="Z1103" s="8"/>
    </row>
    <row r="1104" spans="1:26" ht="13.2">
      <c r="A1104" s="13">
        <v>44250.520833333328</v>
      </c>
      <c r="B1104" s="6" t="str">
        <f>HYPERLINK("https://twitter.com/enricomolinari","@enricomolinari")</f>
        <v>@enricomolinari</v>
      </c>
      <c r="C1104" s="14" t="s">
        <v>4893</v>
      </c>
      <c r="D1104" s="14" t="s">
        <v>4894</v>
      </c>
      <c r="E1104" s="6" t="str">
        <f>HYPERLINK("https://twitter.com/enricomolinari/status/1364175675599560708","1364175675599560708")</f>
        <v>1364175675599560708</v>
      </c>
      <c r="F1104" s="7" t="s">
        <v>4895</v>
      </c>
      <c r="G1104" s="7" t="s">
        <v>4896</v>
      </c>
      <c r="H1104" s="8"/>
      <c r="I1104" s="14">
        <v>6</v>
      </c>
      <c r="J1104" s="14">
        <v>13</v>
      </c>
      <c r="K1104" s="6" t="str">
        <f>HYPERLINK("https://mobile.twitter.com","Twitter Web App")</f>
        <v>Twitter Web App</v>
      </c>
      <c r="L1104" s="15">
        <v>32104</v>
      </c>
      <c r="M1104" s="15">
        <v>6049</v>
      </c>
      <c r="N1104" s="15">
        <v>468</v>
      </c>
      <c r="O1104" s="9"/>
      <c r="P1104" s="10">
        <v>40076.080335648148</v>
      </c>
      <c r="Q1104" s="14" t="s">
        <v>4897</v>
      </c>
      <c r="R1104" s="14" t="s">
        <v>4898</v>
      </c>
      <c r="S1104" s="7" t="s">
        <v>4899</v>
      </c>
      <c r="T1104" s="8"/>
      <c r="U1104" s="11" t="str">
        <f>HYPERLINK("https://pbs.twimg.com/profile_images/1089894324001742848/rBFMek1N.jpg","View")</f>
        <v>View</v>
      </c>
      <c r="V1104" s="8"/>
      <c r="W1104" s="8"/>
      <c r="X1104" s="8"/>
      <c r="Y1104" s="8"/>
      <c r="Z1104" s="8"/>
    </row>
    <row r="1105" spans="1:26" ht="13.2">
      <c r="A1105" s="13">
        <v>44250.520104166666</v>
      </c>
      <c r="B1105" s="6" t="str">
        <f>HYPERLINK("https://twitter.com/R_Demidchuk","@R_Demidchuk")</f>
        <v>@R_Demidchuk</v>
      </c>
      <c r="C1105" s="14" t="s">
        <v>4900</v>
      </c>
      <c r="D1105" s="14" t="s">
        <v>4901</v>
      </c>
      <c r="E1105" s="6" t="str">
        <f>HYPERLINK("https://twitter.com/R_Demidchuk/status/1364175411060613120","1364175411060613120")</f>
        <v>1364175411060613120</v>
      </c>
      <c r="F1105" s="7" t="s">
        <v>4902</v>
      </c>
      <c r="G1105" s="7" t="s">
        <v>4903</v>
      </c>
      <c r="H1105" s="8"/>
      <c r="I1105" s="14">
        <v>20</v>
      </c>
      <c r="J1105" s="14">
        <v>17</v>
      </c>
      <c r="K1105" s="6" t="str">
        <f>HYPERLINK("http://twitter.com/download/iphone","Twitter for iPhone")</f>
        <v>Twitter for iPhone</v>
      </c>
      <c r="L1105" s="15">
        <v>2850</v>
      </c>
      <c r="M1105" s="15">
        <v>150</v>
      </c>
      <c r="N1105" s="15">
        <v>50</v>
      </c>
      <c r="O1105" s="9"/>
      <c r="P1105" s="10">
        <v>42628.930127314816</v>
      </c>
      <c r="Q1105" s="8"/>
      <c r="R1105" s="14" t="s">
        <v>4904</v>
      </c>
      <c r="S1105" s="8"/>
      <c r="T1105" s="8"/>
      <c r="U1105" s="11" t="str">
        <f>HYPERLINK("https://pbs.twimg.com/profile_images/1191327481778855942/ofxyww5Y.jpg","View")</f>
        <v>View</v>
      </c>
      <c r="V1105" s="8"/>
      <c r="W1105" s="8"/>
      <c r="X1105" s="8"/>
      <c r="Y1105" s="8"/>
      <c r="Z1105" s="8"/>
    </row>
    <row r="1106" spans="1:26" ht="13.2">
      <c r="A1106" s="13">
        <v>44250.52008101852</v>
      </c>
      <c r="B1106" s="6" t="str">
        <f>HYPERLINK("https://twitter.com/FrRonconi","@FrRonconi")</f>
        <v>@FrRonconi</v>
      </c>
      <c r="C1106" s="14" t="s">
        <v>1513</v>
      </c>
      <c r="D1106" s="14" t="s">
        <v>4905</v>
      </c>
      <c r="E1106" s="6" t="str">
        <f>HYPERLINK("https://twitter.com/FrRonconi/status/1364175402835587074","1364175402835587074")</f>
        <v>1364175402835587074</v>
      </c>
      <c r="F1106" s="8"/>
      <c r="G1106" s="7" t="s">
        <v>4906</v>
      </c>
      <c r="H1106" s="8"/>
      <c r="I1106" s="14">
        <v>11</v>
      </c>
      <c r="J1106" s="14">
        <v>11</v>
      </c>
      <c r="K1106" s="6" t="str">
        <f t="shared" ref="K1106:K1108" si="183">HYPERLINK("https://mobile.twitter.com","Twitter Web App")</f>
        <v>Twitter Web App</v>
      </c>
      <c r="L1106" s="15">
        <v>27982</v>
      </c>
      <c r="M1106" s="15">
        <v>2430</v>
      </c>
      <c r="N1106" s="15">
        <v>712</v>
      </c>
      <c r="O1106" s="9"/>
      <c r="P1106" s="10">
        <v>41401.436574074076</v>
      </c>
      <c r="Q1106" s="14" t="s">
        <v>1516</v>
      </c>
      <c r="R1106" s="14" t="s">
        <v>1517</v>
      </c>
      <c r="S1106" s="7" t="s">
        <v>1518</v>
      </c>
      <c r="T1106" s="8"/>
      <c r="U1106" s="11" t="str">
        <f>HYPERLINK("https://pbs.twimg.com/profile_images/1271860204775276547/JPkzj0EM.jpg","View")</f>
        <v>View</v>
      </c>
      <c r="V1106" s="8"/>
      <c r="W1106" s="8"/>
      <c r="X1106" s="8"/>
      <c r="Y1106" s="8"/>
      <c r="Z1106" s="8"/>
    </row>
    <row r="1107" spans="1:26" ht="13.2">
      <c r="A1107" s="13">
        <v>44250.519421296296</v>
      </c>
      <c r="B1107" s="6" t="str">
        <f>HYPERLINK("https://twitter.com/AllaKos_Dev","@AllaKos_Dev")</f>
        <v>@AllaKos_Dev</v>
      </c>
      <c r="C1107" s="14" t="s">
        <v>4907</v>
      </c>
      <c r="D1107" s="14" t="s">
        <v>4908</v>
      </c>
      <c r="E1107" s="6" t="str">
        <f>HYPERLINK("https://twitter.com/AllaKos_Dev/status/1364175161835089921","1364175161835089921")</f>
        <v>1364175161835089921</v>
      </c>
      <c r="F1107" s="7" t="s">
        <v>4909</v>
      </c>
      <c r="G1107" s="7" t="s">
        <v>4910</v>
      </c>
      <c r="H1107" s="8"/>
      <c r="I1107" s="14">
        <v>0</v>
      </c>
      <c r="J1107" s="14">
        <v>2</v>
      </c>
      <c r="K1107" s="6" t="str">
        <f t="shared" si="183"/>
        <v>Twitter Web App</v>
      </c>
      <c r="L1107" s="15">
        <v>3192</v>
      </c>
      <c r="M1107" s="15">
        <v>2221</v>
      </c>
      <c r="N1107" s="15">
        <v>196</v>
      </c>
      <c r="O1107" s="9"/>
      <c r="P1107" s="10">
        <v>42260.03743055556</v>
      </c>
      <c r="Q1107" s="14" t="s">
        <v>1104</v>
      </c>
      <c r="R1107" s="14" t="s">
        <v>4911</v>
      </c>
      <c r="S1107" s="7" t="s">
        <v>4912</v>
      </c>
      <c r="T1107" s="8"/>
      <c r="U1107" s="11" t="str">
        <f>HYPERLINK("https://pbs.twimg.com/profile_images/989573094623842304/ACTAsGCZ.jpg","View")</f>
        <v>View</v>
      </c>
      <c r="V1107" s="8"/>
      <c r="W1107" s="8"/>
      <c r="X1107" s="8"/>
      <c r="Y1107" s="8"/>
      <c r="Z1107" s="8"/>
    </row>
    <row r="1108" spans="1:26" ht="13.2">
      <c r="A1108" s="13">
        <v>44250.519363425927</v>
      </c>
      <c r="B1108" s="6" t="str">
        <f>HYPERLINK("https://twitter.com/BlackWomenInAI","@BlackWomenInAI")</f>
        <v>@BlackWomenInAI</v>
      </c>
      <c r="C1108" s="14" t="s">
        <v>4913</v>
      </c>
      <c r="D1108" s="14" t="s">
        <v>4914</v>
      </c>
      <c r="E1108" s="6" t="str">
        <f>HYPERLINK("https://twitter.com/BlackWomenInAI/status/1364175142784438273","1364175142784438273")</f>
        <v>1364175142784438273</v>
      </c>
      <c r="F1108" s="8"/>
      <c r="G1108" s="7" t="s">
        <v>4915</v>
      </c>
      <c r="H1108" s="8"/>
      <c r="I1108" s="14">
        <v>17</v>
      </c>
      <c r="J1108" s="14">
        <v>11</v>
      </c>
      <c r="K1108" s="6" t="str">
        <f t="shared" si="183"/>
        <v>Twitter Web App</v>
      </c>
      <c r="L1108" s="15">
        <v>2602</v>
      </c>
      <c r="M1108" s="15">
        <v>561</v>
      </c>
      <c r="N1108" s="15">
        <v>62</v>
      </c>
      <c r="O1108" s="9"/>
      <c r="P1108" s="10">
        <v>43093.338275462964</v>
      </c>
      <c r="Q1108" s="14" t="s">
        <v>1815</v>
      </c>
      <c r="R1108" s="14" t="s">
        <v>4916</v>
      </c>
      <c r="S1108" s="7" t="s">
        <v>4917</v>
      </c>
      <c r="T1108" s="8"/>
      <c r="U1108" s="11" t="str">
        <f>HYPERLINK("https://pbs.twimg.com/profile_images/1128561130857742336/HEk8TZ7g.png","View")</f>
        <v>View</v>
      </c>
      <c r="V1108" s="8"/>
      <c r="W1108" s="8"/>
      <c r="X1108" s="8"/>
      <c r="Y1108" s="8"/>
      <c r="Z1108" s="8"/>
    </row>
    <row r="1109" spans="1:26" ht="13.2">
      <c r="A1109" s="13">
        <v>44250.519328703704</v>
      </c>
      <c r="B1109" s="6" t="str">
        <f>HYPERLINK("https://twitter.com/MinuteArticle","@MinuteArticle")</f>
        <v>@MinuteArticle</v>
      </c>
      <c r="C1109" s="14" t="s">
        <v>4918</v>
      </c>
      <c r="D1109" s="14" t="s">
        <v>4919</v>
      </c>
      <c r="E1109" s="6" t="str">
        <f>HYPERLINK("https://twitter.com/MinuteArticle/status/1364175127005589506","1364175127005589506")</f>
        <v>1364175127005589506</v>
      </c>
      <c r="F1109" s="8"/>
      <c r="G1109" s="8"/>
      <c r="H1109" s="8"/>
      <c r="I1109" s="14">
        <v>6</v>
      </c>
      <c r="J1109" s="14">
        <v>3</v>
      </c>
      <c r="K1109" s="6" t="str">
        <f>HYPERLINK("http://twitter.com/#!/download/ipad","Twitter for iPad")</f>
        <v>Twitter for iPad</v>
      </c>
      <c r="L1109" s="15">
        <v>289</v>
      </c>
      <c r="M1109" s="15">
        <v>278</v>
      </c>
      <c r="N1109" s="15">
        <v>1</v>
      </c>
      <c r="O1109" s="9"/>
      <c r="P1109" s="10">
        <v>43982.79487268519</v>
      </c>
      <c r="Q1109" s="8"/>
      <c r="R1109" s="14" t="s">
        <v>4920</v>
      </c>
      <c r="S1109" s="7" t="s">
        <v>4921</v>
      </c>
      <c r="T1109" s="8"/>
      <c r="U1109" s="11" t="str">
        <f>HYPERLINK("https://pbs.twimg.com/profile_images/1278405211250360326/kirhwi-C.jpg","View")</f>
        <v>View</v>
      </c>
      <c r="V1109" s="8"/>
      <c r="W1109" s="8"/>
      <c r="X1109" s="8"/>
      <c r="Y1109" s="8"/>
      <c r="Z1109" s="8"/>
    </row>
    <row r="1110" spans="1:26" ht="13.2">
      <c r="A1110" s="13">
        <v>44250.519201388888</v>
      </c>
      <c r="B1110" s="6" t="str">
        <f>HYPERLINK("https://twitter.com/DS_Analytics","@DS_Analytics")</f>
        <v>@DS_Analytics</v>
      </c>
      <c r="C1110" s="14" t="s">
        <v>2389</v>
      </c>
      <c r="D1110" s="14" t="s">
        <v>4922</v>
      </c>
      <c r="E1110" s="6" t="str">
        <f>HYPERLINK("https://twitter.com/DS_Analytics/status/1364175081333796867","1364175081333796867")</f>
        <v>1364175081333796867</v>
      </c>
      <c r="F1110" s="7" t="s">
        <v>4923</v>
      </c>
      <c r="G1110" s="8"/>
      <c r="H1110" s="8"/>
      <c r="I1110" s="14">
        <v>3</v>
      </c>
      <c r="J1110" s="14">
        <v>3</v>
      </c>
      <c r="K1110" s="6" t="str">
        <f>HYPERLINK("https://ifttt.com","IFTTT")</f>
        <v>IFTTT</v>
      </c>
      <c r="L1110" s="15">
        <v>4945</v>
      </c>
      <c r="M1110" s="15">
        <v>4504</v>
      </c>
      <c r="N1110" s="15">
        <v>46</v>
      </c>
      <c r="O1110" s="9"/>
      <c r="P1110" s="10">
        <v>43019.662314814814</v>
      </c>
      <c r="Q1110" s="8"/>
      <c r="R1110" s="14" t="s">
        <v>2392</v>
      </c>
      <c r="S1110" s="8"/>
      <c r="T1110" s="8"/>
      <c r="U1110" s="11" t="str">
        <f>HYPERLINK("https://pbs.twimg.com/profile_images/955817556635504640/FflsX454.jpg","View")</f>
        <v>View</v>
      </c>
      <c r="V1110" s="8"/>
      <c r="W1110" s="8"/>
      <c r="X1110" s="8"/>
      <c r="Y1110" s="8"/>
      <c r="Z1110" s="8"/>
    </row>
    <row r="1111" spans="1:26" ht="13.2">
      <c r="A1111" s="13">
        <v>44250.519085648149</v>
      </c>
      <c r="B1111" s="6" t="str">
        <f>HYPERLINK("https://twitter.com/max_jr","@max_jr")</f>
        <v>@max_jr</v>
      </c>
      <c r="C1111" s="14" t="s">
        <v>4837</v>
      </c>
      <c r="D1111" s="14" t="s">
        <v>4924</v>
      </c>
      <c r="E1111" s="6" t="str">
        <f>HYPERLINK("https://twitter.com/max_jr/status/1364175039092957186","1364175039092957186")</f>
        <v>1364175039092957186</v>
      </c>
      <c r="F1111" s="14" t="s">
        <v>4925</v>
      </c>
      <c r="G1111" s="7" t="s">
        <v>4926</v>
      </c>
      <c r="H1111" s="8"/>
      <c r="I1111" s="14">
        <v>0</v>
      </c>
      <c r="J1111" s="14">
        <v>0</v>
      </c>
      <c r="K1111" s="6" t="str">
        <f>HYPERLINK("http://twitter.com/download/android","Twitter for Android")</f>
        <v>Twitter for Android</v>
      </c>
      <c r="L1111" s="15">
        <v>172</v>
      </c>
      <c r="M1111" s="15">
        <v>352</v>
      </c>
      <c r="N1111" s="15">
        <v>0</v>
      </c>
      <c r="O1111" s="9"/>
      <c r="P1111" s="10">
        <v>39932.205914351856</v>
      </c>
      <c r="Q1111" s="14" t="s">
        <v>69</v>
      </c>
      <c r="R1111" s="14" t="s">
        <v>4840</v>
      </c>
      <c r="S1111" s="8"/>
      <c r="T1111" s="8"/>
      <c r="U1111" s="11" t="str">
        <f>HYPERLINK("https://pbs.twimg.com/profile_images/1249833371804602368/DDGcJWtQ.jpg","View")</f>
        <v>View</v>
      </c>
      <c r="V1111" s="8"/>
      <c r="W1111" s="8"/>
      <c r="X1111" s="8"/>
      <c r="Y1111" s="8"/>
      <c r="Z1111" s="8"/>
    </row>
    <row r="1112" spans="1:26" ht="13.2">
      <c r="A1112" s="13">
        <v>44250.518842592588</v>
      </c>
      <c r="B1112" s="6" t="str">
        <f>HYPERLINK("https://twitter.com/KimPgch","@KimPgch")</f>
        <v>@KimPgch</v>
      </c>
      <c r="C1112" s="14" t="s">
        <v>1311</v>
      </c>
      <c r="D1112" s="14" t="s">
        <v>4927</v>
      </c>
      <c r="E1112" s="6" t="str">
        <f>HYPERLINK("https://twitter.com/KimPgch/status/1364174952736452614","1364174952736452614")</f>
        <v>1364174952736452614</v>
      </c>
      <c r="F1112" s="14" t="s">
        <v>4928</v>
      </c>
      <c r="G1112" s="8"/>
      <c r="H1112" s="8"/>
      <c r="I1112" s="14">
        <v>3</v>
      </c>
      <c r="J1112" s="14">
        <v>3</v>
      </c>
      <c r="K1112" s="6" t="str">
        <f t="shared" ref="K1112:K1113" si="184">HYPERLINK("http://twinybots.com","TwinyBots")</f>
        <v>TwinyBots</v>
      </c>
      <c r="L1112" s="15">
        <v>5717</v>
      </c>
      <c r="M1112" s="15">
        <v>5802</v>
      </c>
      <c r="N1112" s="15">
        <v>37</v>
      </c>
      <c r="O1112" s="9"/>
      <c r="P1112" s="10">
        <v>41926.214687500003</v>
      </c>
      <c r="Q1112" s="14" t="s">
        <v>650</v>
      </c>
      <c r="R1112" s="14" t="s">
        <v>1314</v>
      </c>
      <c r="S1112" s="7" t="s">
        <v>1315</v>
      </c>
      <c r="T1112" s="8"/>
      <c r="U1112" s="11" t="str">
        <f>HYPERLINK("https://pbs.twimg.com/profile_images/525481353182072832/qd_bfvn9.jpeg","View")</f>
        <v>View</v>
      </c>
      <c r="V1112" s="8"/>
      <c r="W1112" s="8"/>
      <c r="X1112" s="8"/>
      <c r="Y1112" s="8"/>
      <c r="Z1112" s="8"/>
    </row>
    <row r="1113" spans="1:26" ht="13.2">
      <c r="A1113" s="13">
        <v>44250.518842592588</v>
      </c>
      <c r="B1113" s="6" t="str">
        <f>HYPERLINK("https://twitter.com/DigiTogether","@DigiTogether")</f>
        <v>@DigiTogether</v>
      </c>
      <c r="C1113" s="14" t="s">
        <v>4929</v>
      </c>
      <c r="D1113" s="14" t="s">
        <v>3165</v>
      </c>
      <c r="E1113" s="6" t="str">
        <f>HYPERLINK("https://twitter.com/DigiTogether/status/1364174951813681152","1364174951813681152")</f>
        <v>1364174951813681152</v>
      </c>
      <c r="F1113" s="7" t="s">
        <v>3166</v>
      </c>
      <c r="G1113" s="8"/>
      <c r="H1113" s="8"/>
      <c r="I1113" s="14">
        <v>1</v>
      </c>
      <c r="J1113" s="14">
        <v>2</v>
      </c>
      <c r="K1113" s="6" t="str">
        <f t="shared" si="184"/>
        <v>TwinyBots</v>
      </c>
      <c r="L1113" s="15">
        <v>1315</v>
      </c>
      <c r="M1113" s="15">
        <v>1065</v>
      </c>
      <c r="N1113" s="15">
        <v>32</v>
      </c>
      <c r="O1113" s="9"/>
      <c r="P1113" s="10">
        <v>43235.471435185187</v>
      </c>
      <c r="Q1113" s="14" t="s">
        <v>4930</v>
      </c>
      <c r="R1113" s="14" t="s">
        <v>4931</v>
      </c>
      <c r="S1113" s="8"/>
      <c r="T1113" s="8"/>
      <c r="U1113" s="11" t="str">
        <f>HYPERLINK("https://pbs.twimg.com/profile_images/1009625260008718336/9dsSgvwL.jpg","View")</f>
        <v>View</v>
      </c>
      <c r="V1113" s="8"/>
      <c r="W1113" s="8"/>
      <c r="X1113" s="8"/>
      <c r="Y1113" s="8"/>
      <c r="Z1113" s="8"/>
    </row>
    <row r="1114" spans="1:26" ht="13.2">
      <c r="A1114" s="13">
        <v>44250.518229166672</v>
      </c>
      <c r="B1114" s="6" t="str">
        <f>HYPERLINK("https://twitter.com/fenilmaisuria","@fenilmaisuria")</f>
        <v>@fenilmaisuria</v>
      </c>
      <c r="C1114" s="14" t="s">
        <v>4932</v>
      </c>
      <c r="D1114" s="14" t="s">
        <v>4933</v>
      </c>
      <c r="E1114" s="6" t="str">
        <f>HYPERLINK("https://twitter.com/fenilmaisuria/status/1364174728642977801","1364174728642977801")</f>
        <v>1364174728642977801</v>
      </c>
      <c r="F1114" s="8"/>
      <c r="G1114" s="7" t="s">
        <v>4934</v>
      </c>
      <c r="H1114" s="8"/>
      <c r="I1114" s="14">
        <v>1</v>
      </c>
      <c r="J1114" s="14">
        <v>3</v>
      </c>
      <c r="K1114" s="6" t="str">
        <f t="shared" ref="K1114:K1117" si="185">HYPERLINK("https://mobile.twitter.com","Twitter Web App")</f>
        <v>Twitter Web App</v>
      </c>
      <c r="L1114" s="15">
        <v>39</v>
      </c>
      <c r="M1114" s="15">
        <v>241</v>
      </c>
      <c r="N1114" s="15">
        <v>0</v>
      </c>
      <c r="O1114" s="9"/>
      <c r="P1114" s="10">
        <v>40656.406377314815</v>
      </c>
      <c r="Q1114" s="14" t="s">
        <v>4935</v>
      </c>
      <c r="R1114" s="14" t="s">
        <v>4936</v>
      </c>
      <c r="S1114" s="8"/>
      <c r="T1114" s="8"/>
      <c r="U1114" s="11" t="str">
        <f>HYPERLINK("https://pbs.twimg.com/profile_images/781110536968794112/7rbtV5Qk.jpg","View")</f>
        <v>View</v>
      </c>
      <c r="V1114" s="8"/>
      <c r="W1114" s="8"/>
      <c r="X1114" s="8"/>
      <c r="Y1114" s="8"/>
      <c r="Z1114" s="8"/>
    </row>
    <row r="1115" spans="1:26" ht="13.2">
      <c r="A1115" s="13">
        <v>44250.517476851848</v>
      </c>
      <c r="B1115" s="6" t="str">
        <f>HYPERLINK("https://twitter.com/HubPrefer","@HubPrefer")</f>
        <v>@HubPrefer</v>
      </c>
      <c r="C1115" s="14" t="s">
        <v>4937</v>
      </c>
      <c r="D1115" s="14" t="s">
        <v>4938</v>
      </c>
      <c r="E1115" s="6" t="str">
        <f>HYPERLINK("https://twitter.com/HubPrefer/status/1364174459297435656","1364174459297435656")</f>
        <v>1364174459297435656</v>
      </c>
      <c r="F1115" s="7" t="s">
        <v>4939</v>
      </c>
      <c r="G1115" s="8"/>
      <c r="H1115" s="8"/>
      <c r="I1115" s="14">
        <v>1</v>
      </c>
      <c r="J1115" s="14">
        <v>2</v>
      </c>
      <c r="K1115" s="6" t="str">
        <f t="shared" si="185"/>
        <v>Twitter Web App</v>
      </c>
      <c r="L1115" s="15">
        <v>16</v>
      </c>
      <c r="M1115" s="15">
        <v>0</v>
      </c>
      <c r="N1115" s="15">
        <v>0</v>
      </c>
      <c r="O1115" s="9"/>
      <c r="P1115" s="10">
        <v>43728.568113425921</v>
      </c>
      <c r="Q1115" s="8"/>
      <c r="R1115" s="8"/>
      <c r="S1115" s="8"/>
      <c r="T1115" s="8"/>
      <c r="U1115" s="11" t="str">
        <f>HYPERLINK("https://pbs.twimg.com/profile_images/1175011320749416453/XknGFPU5.png","View")</f>
        <v>View</v>
      </c>
      <c r="V1115" s="8"/>
      <c r="W1115" s="8"/>
      <c r="X1115" s="8"/>
      <c r="Y1115" s="8"/>
      <c r="Z1115" s="8"/>
    </row>
    <row r="1116" spans="1:26" ht="13.2">
      <c r="A1116" s="13">
        <v>44250.51734953704</v>
      </c>
      <c r="B1116" s="6" t="str">
        <f>HYPERLINK("https://twitter.com/ujjal95371221","@ujjal95371221")</f>
        <v>@ujjal95371221</v>
      </c>
      <c r="C1116" s="14" t="s">
        <v>4940</v>
      </c>
      <c r="D1116" s="14" t="s">
        <v>4941</v>
      </c>
      <c r="E1116" s="6" t="str">
        <f>HYPERLINK("https://twitter.com/ujjal95371221/status/1364174410228244488","1364174410228244488")</f>
        <v>1364174410228244488</v>
      </c>
      <c r="F1116" s="7" t="s">
        <v>4942</v>
      </c>
      <c r="G1116" s="7" t="s">
        <v>4943</v>
      </c>
      <c r="H1116" s="8"/>
      <c r="I1116" s="14">
        <v>27</v>
      </c>
      <c r="J1116" s="14">
        <v>15</v>
      </c>
      <c r="K1116" s="6" t="str">
        <f t="shared" si="185"/>
        <v>Twitter Web App</v>
      </c>
      <c r="L1116" s="15">
        <v>362</v>
      </c>
      <c r="M1116" s="15">
        <v>3677</v>
      </c>
      <c r="N1116" s="15">
        <v>1</v>
      </c>
      <c r="O1116" s="9"/>
      <c r="P1116" s="10">
        <v>42977.765381944446</v>
      </c>
      <c r="Q1116" s="8"/>
      <c r="R1116" s="14" t="s">
        <v>4944</v>
      </c>
      <c r="S1116" s="7" t="s">
        <v>4945</v>
      </c>
      <c r="T1116" s="8"/>
      <c r="U1116" s="11" t="str">
        <f>HYPERLINK("https://pbs.twimg.com/profile_images/1211649146429378560/Km5ZMQbf.jpg","View")</f>
        <v>View</v>
      </c>
      <c r="V1116" s="8"/>
      <c r="W1116" s="8"/>
      <c r="X1116" s="8"/>
      <c r="Y1116" s="8"/>
      <c r="Z1116" s="8"/>
    </row>
    <row r="1117" spans="1:26" ht="13.2">
      <c r="A1117" s="13">
        <v>44250.517106481479</v>
      </c>
      <c r="B1117" s="6" t="str">
        <f>HYPERLINK("https://twitter.com/getzegami","@getzegami")</f>
        <v>@getzegami</v>
      </c>
      <c r="C1117" s="14" t="s">
        <v>4946</v>
      </c>
      <c r="D1117" s="14" t="s">
        <v>4947</v>
      </c>
      <c r="E1117" s="6" t="str">
        <f>HYPERLINK("https://twitter.com/getzegami/status/1364174323477606405","1364174323477606405")</f>
        <v>1364174323477606405</v>
      </c>
      <c r="F1117" s="7" t="s">
        <v>4948</v>
      </c>
      <c r="G1117" s="7" t="s">
        <v>4949</v>
      </c>
      <c r="H1117" s="8"/>
      <c r="I1117" s="14">
        <v>1</v>
      </c>
      <c r="J1117" s="14">
        <v>2</v>
      </c>
      <c r="K1117" s="6" t="str">
        <f t="shared" si="185"/>
        <v>Twitter Web App</v>
      </c>
      <c r="L1117" s="15">
        <v>1042</v>
      </c>
      <c r="M1117" s="15">
        <v>787</v>
      </c>
      <c r="N1117" s="15">
        <v>96</v>
      </c>
      <c r="O1117" s="9"/>
      <c r="P1117" s="10">
        <v>41949.721122685187</v>
      </c>
      <c r="Q1117" s="14" t="s">
        <v>3679</v>
      </c>
      <c r="R1117" s="14" t="s">
        <v>4950</v>
      </c>
      <c r="S1117" s="7" t="s">
        <v>4951</v>
      </c>
      <c r="T1117" s="8"/>
      <c r="U1117" s="11" t="str">
        <f>HYPERLINK("https://pbs.twimg.com/profile_images/1041659497662607361/XfDv-Lej.jpg","View")</f>
        <v>View</v>
      </c>
      <c r="V1117" s="8"/>
      <c r="W1117" s="8"/>
      <c r="X1117" s="8"/>
      <c r="Y1117" s="8"/>
      <c r="Z1117" s="8"/>
    </row>
    <row r="1118" spans="1:26" ht="13.2">
      <c r="A1118" s="13">
        <v>44250.51697916667</v>
      </c>
      <c r="B1118" s="6" t="str">
        <f>HYPERLINK("https://twitter.com/onesaitplatform","@onesaitplatform")</f>
        <v>@onesaitplatform</v>
      </c>
      <c r="C1118" s="14" t="s">
        <v>4952</v>
      </c>
      <c r="D1118" s="14" t="s">
        <v>4953</v>
      </c>
      <c r="E1118" s="6" t="str">
        <f>HYPERLINK("https://twitter.com/onesaitplatform/status/1364174279345115141","1364174279345115141")</f>
        <v>1364174279345115141</v>
      </c>
      <c r="F1118" s="14" t="s">
        <v>4954</v>
      </c>
      <c r="G1118" s="7" t="s">
        <v>4955</v>
      </c>
      <c r="H1118" s="8"/>
      <c r="I1118" s="14">
        <v>0</v>
      </c>
      <c r="J1118" s="14">
        <v>0</v>
      </c>
      <c r="K1118" s="6" t="str">
        <f>HYPERLINK("http://twitter.com/download/android","Twitter for Android")</f>
        <v>Twitter for Android</v>
      </c>
      <c r="L1118" s="15">
        <v>275</v>
      </c>
      <c r="M1118" s="15">
        <v>13</v>
      </c>
      <c r="N1118" s="15">
        <v>0</v>
      </c>
      <c r="O1118" s="9"/>
      <c r="P1118" s="10">
        <v>43375.031759259262</v>
      </c>
      <c r="Q1118" s="14" t="s">
        <v>2931</v>
      </c>
      <c r="R1118" s="14" t="s">
        <v>4956</v>
      </c>
      <c r="S1118" s="7" t="s">
        <v>4957</v>
      </c>
      <c r="T1118" s="8"/>
      <c r="U1118" s="11" t="str">
        <f>HYPERLINK("https://pbs.twimg.com/profile_images/1169542192576245761/7I-7yI-u.png","View")</f>
        <v>View</v>
      </c>
      <c r="V1118" s="8"/>
      <c r="W1118" s="8"/>
      <c r="X1118" s="8"/>
      <c r="Y1118" s="8"/>
      <c r="Z1118" s="8"/>
    </row>
    <row r="1119" spans="1:26" ht="13.2">
      <c r="A1119" s="13">
        <v>44250.516886574071</v>
      </c>
      <c r="B1119" s="6" t="str">
        <f>HYPERLINK("https://twitter.com/annebonnerdata","@annebonnerdata")</f>
        <v>@annebonnerdata</v>
      </c>
      <c r="C1119" s="14" t="s">
        <v>4958</v>
      </c>
      <c r="D1119" s="14" t="s">
        <v>4959</v>
      </c>
      <c r="E1119" s="6" t="str">
        <f>HYPERLINK("https://twitter.com/annebonnerdata/status/1364174242619736072","1364174242619736072")</f>
        <v>1364174242619736072</v>
      </c>
      <c r="F1119" s="7" t="s">
        <v>4960</v>
      </c>
      <c r="G1119" s="8"/>
      <c r="H1119" s="8"/>
      <c r="I1119" s="14">
        <v>1</v>
      </c>
      <c r="J1119" s="14">
        <v>2</v>
      </c>
      <c r="K1119" s="6" t="str">
        <f>HYPERLINK("https://www.smedian.com","Penname")</f>
        <v>Penname</v>
      </c>
      <c r="L1119" s="15">
        <v>1852</v>
      </c>
      <c r="M1119" s="15">
        <v>1355</v>
      </c>
      <c r="N1119" s="15">
        <v>79</v>
      </c>
      <c r="O1119" s="9"/>
      <c r="P1119" s="10">
        <v>42208.21030092593</v>
      </c>
      <c r="Q1119" s="14" t="s">
        <v>4961</v>
      </c>
      <c r="R1119" s="14" t="s">
        <v>4962</v>
      </c>
      <c r="S1119" s="7" t="s">
        <v>4963</v>
      </c>
      <c r="T1119" s="8"/>
      <c r="U1119" s="11" t="str">
        <f>HYPERLINK("https://pbs.twimg.com/profile_images/1026960582430228481/qYrz9cyx.jpg","View")</f>
        <v>View</v>
      </c>
      <c r="V1119" s="8"/>
      <c r="W1119" s="8"/>
      <c r="X1119" s="8"/>
      <c r="Y1119" s="8"/>
      <c r="Z1119" s="8"/>
    </row>
    <row r="1120" spans="1:26" ht="13.2">
      <c r="A1120" s="13">
        <v>44250.515335648146</v>
      </c>
      <c r="B1120" s="6" t="str">
        <f>HYPERLINK("https://twitter.com/SpeedieCons","@SpeedieCons")</f>
        <v>@SpeedieCons</v>
      </c>
      <c r="C1120" s="14" t="s">
        <v>4964</v>
      </c>
      <c r="D1120" s="14" t="s">
        <v>4965</v>
      </c>
      <c r="E1120" s="6" t="str">
        <f>HYPERLINK("https://twitter.com/SpeedieCons/status/1364173682998935552","1364173682998935552")</f>
        <v>1364173682998935552</v>
      </c>
      <c r="F1120" s="7" t="s">
        <v>4966</v>
      </c>
      <c r="G1120" s="8"/>
      <c r="H1120" s="8"/>
      <c r="I1120" s="14">
        <v>4</v>
      </c>
      <c r="J1120" s="14">
        <v>5</v>
      </c>
      <c r="K1120" s="6" t="str">
        <f>HYPERLINK("https://mobile.twitter.com","Twitter Web App")</f>
        <v>Twitter Web App</v>
      </c>
      <c r="L1120" s="15">
        <v>3131</v>
      </c>
      <c r="M1120" s="15">
        <v>4722</v>
      </c>
      <c r="N1120" s="15">
        <v>59</v>
      </c>
      <c r="O1120" s="9"/>
      <c r="P1120" s="10">
        <v>40694.646840277775</v>
      </c>
      <c r="Q1120" s="14" t="s">
        <v>4967</v>
      </c>
      <c r="R1120" s="14" t="s">
        <v>4968</v>
      </c>
      <c r="S1120" s="7" t="s">
        <v>4969</v>
      </c>
      <c r="T1120" s="8"/>
      <c r="U1120" s="11" t="str">
        <f>HYPERLINK("https://pbs.twimg.com/profile_images/648597565554991104/UDOcyRjq.png","View")</f>
        <v>View</v>
      </c>
      <c r="V1120" s="8"/>
      <c r="W1120" s="8"/>
      <c r="X1120" s="8"/>
      <c r="Y1120" s="8"/>
      <c r="Z1120" s="8"/>
    </row>
    <row r="1121" spans="1:26" ht="13.2">
      <c r="A1121" s="13">
        <v>44250.514699074076</v>
      </c>
      <c r="B1121" s="6" t="str">
        <f>HYPERLINK("https://twitter.com/vivek_0026","@vivek_0026")</f>
        <v>@vivek_0026</v>
      </c>
      <c r="C1121" s="14" t="s">
        <v>4970</v>
      </c>
      <c r="D1121" s="14" t="s">
        <v>4971</v>
      </c>
      <c r="E1121" s="6" t="str">
        <f>HYPERLINK("https://twitter.com/vivek_0026/status/1364173449749438464","1364173449749438464")</f>
        <v>1364173449749438464</v>
      </c>
      <c r="F1121" s="8"/>
      <c r="G1121" s="8"/>
      <c r="H1121" s="8"/>
      <c r="I1121" s="14">
        <v>2</v>
      </c>
      <c r="J1121" s="14">
        <v>3</v>
      </c>
      <c r="K1121" s="6" t="str">
        <f>HYPERLINK("http://twitter.com/download/iphone","Twitter for iPhone")</f>
        <v>Twitter for iPhone</v>
      </c>
      <c r="L1121" s="15">
        <v>112</v>
      </c>
      <c r="M1121" s="15">
        <v>554</v>
      </c>
      <c r="N1121" s="15">
        <v>1</v>
      </c>
      <c r="O1121" s="9"/>
      <c r="P1121" s="10">
        <v>40660.71365740741</v>
      </c>
      <c r="Q1121" s="14" t="s">
        <v>901</v>
      </c>
      <c r="R1121" s="14" t="s">
        <v>4972</v>
      </c>
      <c r="S1121" s="8"/>
      <c r="T1121" s="8"/>
      <c r="U1121" s="11" t="str">
        <f>HYPERLINK("https://pbs.twimg.com/profile_images/1363428364724277254/iqsKkHzZ.jpg","View")</f>
        <v>View</v>
      </c>
      <c r="V1121" s="8"/>
      <c r="W1121" s="8"/>
      <c r="X1121" s="8"/>
      <c r="Y1121" s="8"/>
      <c r="Z1121" s="8"/>
    </row>
    <row r="1122" spans="1:26" ht="13.2">
      <c r="A1122" s="13">
        <v>44250.514583333337</v>
      </c>
      <c r="B1122" s="6" t="str">
        <f>HYPERLINK("https://twitter.com/RichardEudes","@RichardEudes")</f>
        <v>@RichardEudes</v>
      </c>
      <c r="C1122" s="14" t="s">
        <v>341</v>
      </c>
      <c r="D1122" s="14" t="s">
        <v>4973</v>
      </c>
      <c r="E1122" s="6" t="str">
        <f>HYPERLINK("https://twitter.com/RichardEudes/status/1364173410209845255","1364173410209845255")</f>
        <v>1364173410209845255</v>
      </c>
      <c r="F1122" s="7" t="s">
        <v>4974</v>
      </c>
      <c r="G1122" s="8"/>
      <c r="H1122" s="8"/>
      <c r="I1122" s="14">
        <v>3</v>
      </c>
      <c r="J1122" s="14">
        <v>7</v>
      </c>
      <c r="K1122" s="6" t="str">
        <f>HYPERLINK("https://buffer.com","Buffer")</f>
        <v>Buffer</v>
      </c>
      <c r="L1122" s="15">
        <v>16960</v>
      </c>
      <c r="M1122" s="15">
        <v>1979</v>
      </c>
      <c r="N1122" s="15">
        <v>668</v>
      </c>
      <c r="O1122" s="9"/>
      <c r="P1122" s="10">
        <v>39985.961481481485</v>
      </c>
      <c r="Q1122" s="14" t="s">
        <v>106</v>
      </c>
      <c r="R1122" s="14" t="s">
        <v>344</v>
      </c>
      <c r="S1122" s="7" t="s">
        <v>345</v>
      </c>
      <c r="T1122" s="8"/>
      <c r="U1122" s="11" t="str">
        <f>HYPERLINK("https://pbs.twimg.com/profile_images/1332753391886491648/I9fBm3kf.jpg","View")</f>
        <v>View</v>
      </c>
      <c r="V1122" s="8"/>
      <c r="W1122" s="8"/>
      <c r="X1122" s="8"/>
      <c r="Y1122" s="8"/>
      <c r="Z1122" s="8"/>
    </row>
    <row r="1123" spans="1:26" ht="13.2">
      <c r="A1123" s="13">
        <v>44250.512997685189</v>
      </c>
      <c r="B1123" s="6" t="str">
        <f>HYPERLINK("https://twitter.com/imjetlu","@imjetlu")</f>
        <v>@imjetlu</v>
      </c>
      <c r="C1123" s="14" t="s">
        <v>4975</v>
      </c>
      <c r="D1123" s="14" t="s">
        <v>4976</v>
      </c>
      <c r="E1123" s="6" t="str">
        <f>HYPERLINK("https://twitter.com/imjetlu/status/1364172834768052224","1364172834768052224")</f>
        <v>1364172834768052224</v>
      </c>
      <c r="F1123" s="7" t="s">
        <v>4977</v>
      </c>
      <c r="G1123" s="8"/>
      <c r="H1123" s="8"/>
      <c r="I1123" s="14">
        <v>2</v>
      </c>
      <c r="J1123" s="14">
        <v>3</v>
      </c>
      <c r="K1123" s="6" t="str">
        <f>HYPERLINK("https://paper.li","Paper.li")</f>
        <v>Paper.li</v>
      </c>
      <c r="L1123" s="15">
        <v>167</v>
      </c>
      <c r="M1123" s="15">
        <v>441</v>
      </c>
      <c r="N1123" s="15">
        <v>1</v>
      </c>
      <c r="O1123" s="9"/>
      <c r="P1123" s="10">
        <v>42065.728541666671</v>
      </c>
      <c r="Q1123" s="14" t="s">
        <v>990</v>
      </c>
      <c r="R1123" s="14" t="s">
        <v>4978</v>
      </c>
      <c r="S1123" s="8"/>
      <c r="T1123" s="8"/>
      <c r="U1123" s="11" t="str">
        <f>HYPERLINK("https://pbs.twimg.com/profile_images/1222713308299526144/9MRVNWFJ.jpg","View")</f>
        <v>View</v>
      </c>
      <c r="V1123" s="8"/>
      <c r="W1123" s="8"/>
      <c r="X1123" s="8"/>
      <c r="Y1123" s="8"/>
      <c r="Z1123" s="8"/>
    </row>
    <row r="1124" spans="1:26" ht="13.2">
      <c r="A1124" s="13">
        <v>44250.512916666667</v>
      </c>
      <c r="B1124" s="6" t="str">
        <f>HYPERLINK("https://twitter.com/Serchs3D","@Serchs3D")</f>
        <v>@Serchs3D</v>
      </c>
      <c r="C1124" s="14" t="s">
        <v>1488</v>
      </c>
      <c r="D1124" s="14" t="s">
        <v>4979</v>
      </c>
      <c r="E1124" s="6" t="str">
        <f>HYPERLINK("https://twitter.com/Serchs3D/status/1364172805663825921","1364172805663825921")</f>
        <v>1364172805663825921</v>
      </c>
      <c r="F1124" s="7" t="s">
        <v>4980</v>
      </c>
      <c r="G1124" s="8"/>
      <c r="H1124" s="8"/>
      <c r="I1124" s="14">
        <v>0</v>
      </c>
      <c r="J1124" s="14">
        <v>0</v>
      </c>
      <c r="K1124" s="6" t="str">
        <f>HYPERLINK("http://twitter.com/download/android","Twitter for Android")</f>
        <v>Twitter for Android</v>
      </c>
      <c r="L1124" s="15">
        <v>532</v>
      </c>
      <c r="M1124" s="15">
        <v>991</v>
      </c>
      <c r="N1124" s="15">
        <v>1</v>
      </c>
      <c r="O1124" s="9"/>
      <c r="P1124" s="10">
        <v>42412.792615740742</v>
      </c>
      <c r="Q1124" s="14" t="s">
        <v>1492</v>
      </c>
      <c r="R1124" s="14" t="s">
        <v>1493</v>
      </c>
      <c r="S1124" s="8"/>
      <c r="T1124" s="8"/>
      <c r="U1124" s="11" t="str">
        <f>HYPERLINK("https://pbs.twimg.com/profile_images/1339315699395792901/CiCPqd8t.jpg","View")</f>
        <v>View</v>
      </c>
      <c r="V1124" s="8"/>
      <c r="W1124" s="8"/>
      <c r="X1124" s="8"/>
      <c r="Y1124" s="8"/>
      <c r="Z1124" s="8"/>
    </row>
    <row r="1125" spans="1:26" ht="13.2">
      <c r="A1125" s="13">
        <v>44250.51290509259</v>
      </c>
      <c r="B1125" s="6" t="str">
        <f>HYPERLINK("https://twitter.com/HamoyeHQ","@HamoyeHQ")</f>
        <v>@HamoyeHQ</v>
      </c>
      <c r="C1125" s="14" t="s">
        <v>4981</v>
      </c>
      <c r="D1125" s="14" t="s">
        <v>4982</v>
      </c>
      <c r="E1125" s="6" t="str">
        <f>HYPERLINK("https://twitter.com/HamoyeHQ/status/1364172801578594305","1364172801578594305")</f>
        <v>1364172801578594305</v>
      </c>
      <c r="F1125" s="7" t="s">
        <v>4983</v>
      </c>
      <c r="G1125" s="7" t="s">
        <v>4984</v>
      </c>
      <c r="H1125" s="8"/>
      <c r="I1125" s="14">
        <v>3</v>
      </c>
      <c r="J1125" s="14">
        <v>4</v>
      </c>
      <c r="K1125" s="6" t="str">
        <f>HYPERLINK("https://about.twitter.com/products/tweetdeck","TweetDeck")</f>
        <v>TweetDeck</v>
      </c>
      <c r="L1125" s="15">
        <v>548</v>
      </c>
      <c r="M1125" s="15">
        <v>20</v>
      </c>
      <c r="N1125" s="15">
        <v>2</v>
      </c>
      <c r="O1125" s="9"/>
      <c r="P1125" s="10">
        <v>41797.225416666668</v>
      </c>
      <c r="Q1125" s="14" t="s">
        <v>4217</v>
      </c>
      <c r="R1125" s="14" t="s">
        <v>4985</v>
      </c>
      <c r="S1125" s="7" t="s">
        <v>4986</v>
      </c>
      <c r="T1125" s="8"/>
      <c r="U1125" s="11" t="str">
        <f>HYPERLINK("https://pbs.twimg.com/profile_images/1237755810144497673/wwwMsSSW.png","View")</f>
        <v>View</v>
      </c>
      <c r="V1125" s="8"/>
      <c r="W1125" s="8"/>
      <c r="X1125" s="8"/>
      <c r="Y1125" s="8"/>
      <c r="Z1125" s="8"/>
    </row>
    <row r="1126" spans="1:26" ht="13.2">
      <c r="A1126" s="13">
        <v>44250.512673611112</v>
      </c>
      <c r="B1126" s="6" t="str">
        <f>HYPERLINK("https://twitter.com/guidaautonoma","@guidaautonoma")</f>
        <v>@guidaautonoma</v>
      </c>
      <c r="C1126" s="14" t="s">
        <v>2203</v>
      </c>
      <c r="D1126" s="14" t="s">
        <v>4987</v>
      </c>
      <c r="E1126" s="6" t="str">
        <f>HYPERLINK("https://twitter.com/guidaautonoma/status/1364172716853575680","1364172716853575680")</f>
        <v>1364172716853575680</v>
      </c>
      <c r="F1126" s="7" t="s">
        <v>4988</v>
      </c>
      <c r="G1126" s="8"/>
      <c r="H1126" s="8"/>
      <c r="I1126" s="14">
        <v>4</v>
      </c>
      <c r="J1126" s="14">
        <v>3</v>
      </c>
      <c r="K1126" s="6" t="str">
        <f>HYPERLINK("http://twitter.com/download/android","Twitter for Android")</f>
        <v>Twitter for Android</v>
      </c>
      <c r="L1126" s="15">
        <v>7074</v>
      </c>
      <c r="M1126" s="15">
        <v>6991</v>
      </c>
      <c r="N1126" s="15">
        <v>411</v>
      </c>
      <c r="O1126" s="9"/>
      <c r="P1126" s="10">
        <v>42496.270833333328</v>
      </c>
      <c r="Q1126" s="14" t="s">
        <v>2207</v>
      </c>
      <c r="R1126" s="14" t="s">
        <v>2208</v>
      </c>
      <c r="S1126" s="7" t="s">
        <v>2209</v>
      </c>
      <c r="T1126" s="8"/>
      <c r="U1126" s="11" t="str">
        <f>HYPERLINK("https://pbs.twimg.com/profile_images/728675456971583488/AVbaFxlK.jpg","View")</f>
        <v>View</v>
      </c>
      <c r="V1126" s="8"/>
      <c r="W1126" s="8"/>
      <c r="X1126" s="8"/>
      <c r="Y1126" s="8"/>
      <c r="Z1126" s="8"/>
    </row>
    <row r="1127" spans="1:26" ht="13.2">
      <c r="A1127" s="13">
        <v>44250.512604166666</v>
      </c>
      <c r="B1127" s="6" t="str">
        <f>HYPERLINK("https://twitter.com/ReneeLivsey","@ReneeLivsey")</f>
        <v>@ReneeLivsey</v>
      </c>
      <c r="C1127" s="14" t="s">
        <v>4989</v>
      </c>
      <c r="D1127" s="14" t="s">
        <v>4990</v>
      </c>
      <c r="E1127" s="6" t="str">
        <f>HYPERLINK("https://twitter.com/ReneeLivsey/status/1364172692358766594","1364172692358766594")</f>
        <v>1364172692358766594</v>
      </c>
      <c r="F1127" s="7" t="s">
        <v>4991</v>
      </c>
      <c r="G1127" s="8"/>
      <c r="H1127" s="8"/>
      <c r="I1127" s="14">
        <v>4</v>
      </c>
      <c r="J1127" s="14">
        <v>5</v>
      </c>
      <c r="K1127" s="6" t="str">
        <f>HYPERLINK("http://www.linkedin.com/","LinkedIn")</f>
        <v>LinkedIn</v>
      </c>
      <c r="L1127" s="15">
        <v>424</v>
      </c>
      <c r="M1127" s="15">
        <v>1780</v>
      </c>
      <c r="N1127" s="15">
        <v>20</v>
      </c>
      <c r="O1127" s="9"/>
      <c r="P1127" s="10">
        <v>40556.073333333334</v>
      </c>
      <c r="Q1127" s="14" t="s">
        <v>3487</v>
      </c>
      <c r="R1127" s="14" t="s">
        <v>4992</v>
      </c>
      <c r="S1127" s="8"/>
      <c r="T1127" s="8"/>
      <c r="U1127" s="11" t="str">
        <f>HYPERLINK("https://pbs.twimg.com/profile_images/707581472450813953/MWiCWEH6.jpg","View")</f>
        <v>View</v>
      </c>
      <c r="V1127" s="8"/>
      <c r="W1127" s="8"/>
      <c r="X1127" s="8"/>
      <c r="Y1127" s="8"/>
      <c r="Z1127" s="8"/>
    </row>
    <row r="1128" spans="1:26" ht="13.2">
      <c r="A1128" s="13">
        <v>44250.512511574074</v>
      </c>
      <c r="B1128" s="6" t="str">
        <f>HYPERLINK("https://twitter.com/Provectus_inc","@Provectus_inc")</f>
        <v>@Provectus_inc</v>
      </c>
      <c r="C1128" s="14" t="s">
        <v>4993</v>
      </c>
      <c r="D1128" s="14" t="s">
        <v>4994</v>
      </c>
      <c r="E1128" s="6" t="str">
        <f>HYPERLINK("https://twitter.com/Provectus_inc/status/1364172659932692483","1364172659932692483")</f>
        <v>1364172659932692483</v>
      </c>
      <c r="F1128" s="7" t="s">
        <v>4995</v>
      </c>
      <c r="G1128" s="8"/>
      <c r="H1128" s="8"/>
      <c r="I1128" s="14">
        <v>2</v>
      </c>
      <c r="J1128" s="14">
        <v>2</v>
      </c>
      <c r="K1128" s="6" t="str">
        <f>HYPERLINK("https://mobile.twitter.com","Twitter Web App")</f>
        <v>Twitter Web App</v>
      </c>
      <c r="L1128" s="15">
        <v>347</v>
      </c>
      <c r="M1128" s="15">
        <v>191</v>
      </c>
      <c r="N1128" s="15">
        <v>22</v>
      </c>
      <c r="O1128" s="9"/>
      <c r="P1128" s="10">
        <v>40617.697939814811</v>
      </c>
      <c r="Q1128" s="14" t="s">
        <v>4996</v>
      </c>
      <c r="R1128" s="14" t="s">
        <v>4997</v>
      </c>
      <c r="S1128" s="7" t="s">
        <v>4998</v>
      </c>
      <c r="T1128" s="8"/>
      <c r="U1128" s="11" t="str">
        <f>HYPERLINK("https://pbs.twimg.com/profile_images/1090915236109012992/Ojg2LhRW.jpg","View")</f>
        <v>View</v>
      </c>
      <c r="V1128" s="8"/>
      <c r="W1128" s="8"/>
      <c r="X1128" s="8"/>
      <c r="Y1128" s="8"/>
      <c r="Z1128" s="8"/>
    </row>
    <row r="1129" spans="1:26" ht="13.2">
      <c r="A1129" s="13">
        <v>44250.512222222227</v>
      </c>
      <c r="B1129" s="6" t="str">
        <f>HYPERLINK("https://twitter.com/TheAIBook","@TheAIBook")</f>
        <v>@TheAIBook</v>
      </c>
      <c r="C1129" s="14" t="s">
        <v>4999</v>
      </c>
      <c r="D1129" s="14" t="s">
        <v>5000</v>
      </c>
      <c r="E1129" s="6" t="str">
        <f>HYPERLINK("https://twitter.com/TheAIBook/status/1364172551447076867","1364172551447076867")</f>
        <v>1364172551447076867</v>
      </c>
      <c r="F1129" s="7" t="s">
        <v>3690</v>
      </c>
      <c r="G1129" s="8"/>
      <c r="H1129" s="8"/>
      <c r="I1129" s="14">
        <v>10</v>
      </c>
      <c r="J1129" s="14">
        <v>6</v>
      </c>
      <c r="K1129" s="6" t="str">
        <f>HYPERLINK("https://about.twitter.com/products/tweetdeck","TweetDeck")</f>
        <v>TweetDeck</v>
      </c>
      <c r="L1129" s="15">
        <v>628</v>
      </c>
      <c r="M1129" s="15">
        <v>658</v>
      </c>
      <c r="N1129" s="15">
        <v>26</v>
      </c>
      <c r="O1129" s="9"/>
      <c r="P1129" s="10">
        <v>43284.440509259264</v>
      </c>
      <c r="Q1129" s="14" t="s">
        <v>599</v>
      </c>
      <c r="R1129" s="14" t="s">
        <v>5001</v>
      </c>
      <c r="S1129" s="7" t="s">
        <v>5002</v>
      </c>
      <c r="T1129" s="8"/>
      <c r="U1129" s="11" t="str">
        <f>HYPERLINK("https://pbs.twimg.com/profile_images/1093876793642233863/q-g2pd2T.jpg","View")</f>
        <v>View</v>
      </c>
      <c r="V1129" s="8"/>
      <c r="W1129" s="8"/>
      <c r="X1129" s="8"/>
      <c r="Y1129" s="8"/>
      <c r="Z1129" s="8"/>
    </row>
    <row r="1130" spans="1:26" ht="13.2">
      <c r="A1130" s="13">
        <v>44250.512175925927</v>
      </c>
      <c r="B1130" s="6" t="str">
        <f>HYPERLINK("https://twitter.com/Bilplug32","@Bilplug32")</f>
        <v>@Bilplug32</v>
      </c>
      <c r="C1130" s="14" t="s">
        <v>5003</v>
      </c>
      <c r="D1130" s="14" t="s">
        <v>5004</v>
      </c>
      <c r="E1130" s="6" t="str">
        <f>HYPERLINK("https://twitter.com/Bilplug32/status/1364172535106052096","1364172535106052096")</f>
        <v>1364172535106052096</v>
      </c>
      <c r="F1130" s="8"/>
      <c r="G1130" s="7" t="s">
        <v>5005</v>
      </c>
      <c r="H1130" s="8"/>
      <c r="I1130" s="14">
        <v>15</v>
      </c>
      <c r="J1130" s="14">
        <v>4</v>
      </c>
      <c r="K1130" s="6" t="str">
        <f>HYPERLINK("http://twitter.com/download/android","Twitter for Android")</f>
        <v>Twitter for Android</v>
      </c>
      <c r="L1130" s="15">
        <v>3</v>
      </c>
      <c r="M1130" s="15">
        <v>7</v>
      </c>
      <c r="N1130" s="15">
        <v>0</v>
      </c>
      <c r="O1130" s="9"/>
      <c r="P1130" s="10">
        <v>44243.902696759258</v>
      </c>
      <c r="Q1130" s="8"/>
      <c r="R1130" s="8"/>
      <c r="S1130" s="8"/>
      <c r="T1130" s="8"/>
      <c r="U1130" s="11" t="str">
        <f>HYPERLINK("https://pbs.twimg.com/profile_images/1361777605310038021/6dGPLuAj.jpg","View")</f>
        <v>View</v>
      </c>
      <c r="V1130" s="8"/>
      <c r="W1130" s="8"/>
      <c r="X1130" s="8"/>
      <c r="Y1130" s="8"/>
      <c r="Z1130" s="8"/>
    </row>
    <row r="1131" spans="1:26" ht="13.2">
      <c r="A1131" s="13">
        <v>44250.511956018519</v>
      </c>
      <c r="B1131" s="6" t="str">
        <f>HYPERLINK("https://twitter.com/Meaning_2_Life","@Meaning_2_Life")</f>
        <v>@Meaning_2_Life</v>
      </c>
      <c r="C1131" s="14" t="s">
        <v>5006</v>
      </c>
      <c r="D1131" s="14" t="s">
        <v>5007</v>
      </c>
      <c r="E1131" s="6" t="str">
        <f>HYPERLINK("https://twitter.com/Meaning_2_Life/status/1364172455825260544","1364172455825260544")</f>
        <v>1364172455825260544</v>
      </c>
      <c r="F1131" s="7" t="s">
        <v>5008</v>
      </c>
      <c r="G1131" s="8"/>
      <c r="H1131" s="8"/>
      <c r="I1131" s="14">
        <v>1</v>
      </c>
      <c r="J1131" s="14">
        <v>2</v>
      </c>
      <c r="K1131" s="6" t="str">
        <f>HYPERLINK("http://twinybots.com","TwinyBots")</f>
        <v>TwinyBots</v>
      </c>
      <c r="L1131" s="15">
        <v>5786</v>
      </c>
      <c r="M1131" s="15">
        <v>4145</v>
      </c>
      <c r="N1131" s="15">
        <v>24</v>
      </c>
      <c r="O1131" s="9"/>
      <c r="P1131" s="10">
        <v>42839.264849537038</v>
      </c>
      <c r="Q1131" s="14" t="s">
        <v>650</v>
      </c>
      <c r="R1131" s="14" t="s">
        <v>5009</v>
      </c>
      <c r="S1131" s="7" t="s">
        <v>5010</v>
      </c>
      <c r="T1131" s="8"/>
      <c r="U1131" s="11" t="str">
        <f>HYPERLINK("https://pbs.twimg.com/profile_images/864121379221897216/i3B1Z8Ag.jpg","View")</f>
        <v>View</v>
      </c>
      <c r="V1131" s="8"/>
      <c r="W1131" s="8"/>
      <c r="X1131" s="8"/>
      <c r="Y1131" s="8"/>
      <c r="Z1131" s="8"/>
    </row>
    <row r="1132" spans="1:26" ht="13.2">
      <c r="A1132" s="13">
        <v>44250.51163194445</v>
      </c>
      <c r="B1132" s="6" t="str">
        <f>HYPERLINK("https://twitter.com/ClarkMalcolm","@ClarkMalcolm")</f>
        <v>@ClarkMalcolm</v>
      </c>
      <c r="C1132" s="14" t="s">
        <v>5011</v>
      </c>
      <c r="D1132" s="14" t="s">
        <v>2087</v>
      </c>
      <c r="E1132" s="6" t="str">
        <f>HYPERLINK("https://twitter.com/ClarkMalcolm/status/1364172339655700482","1364172339655700482")</f>
        <v>1364172339655700482</v>
      </c>
      <c r="F1132" s="7" t="s">
        <v>5012</v>
      </c>
      <c r="G1132" s="7" t="s">
        <v>5013</v>
      </c>
      <c r="H1132" s="8"/>
      <c r="I1132" s="14">
        <v>1</v>
      </c>
      <c r="J1132" s="14">
        <v>2</v>
      </c>
      <c r="K1132" s="6" t="str">
        <f>HYPERLINK("http://www.everyonesocial.com","EveryoneSocial")</f>
        <v>EveryoneSocial</v>
      </c>
      <c r="L1132" s="15">
        <v>84</v>
      </c>
      <c r="M1132" s="15">
        <v>366</v>
      </c>
      <c r="N1132" s="15">
        <v>0</v>
      </c>
      <c r="O1132" s="9"/>
      <c r="P1132" s="10">
        <v>40697.418946759259</v>
      </c>
      <c r="Q1132" s="14" t="s">
        <v>5014</v>
      </c>
      <c r="R1132" s="14" t="s">
        <v>5015</v>
      </c>
      <c r="S1132" s="7" t="s">
        <v>5016</v>
      </c>
      <c r="T1132" s="8"/>
      <c r="U1132" s="11" t="str">
        <f>HYPERLINK("https://pbs.twimg.com/profile_images/431720858009088000/UtRqAtwA.jpeg","View")</f>
        <v>View</v>
      </c>
      <c r="V1132" s="8"/>
      <c r="W1132" s="8"/>
      <c r="X1132" s="8"/>
      <c r="Y1132" s="8"/>
      <c r="Z1132" s="8"/>
    </row>
    <row r="1133" spans="1:26" ht="13.2">
      <c r="A1133" s="13">
        <v>44250.511284722219</v>
      </c>
      <c r="B1133" s="6" t="str">
        <f>HYPERLINK("https://twitter.com/iamBrianGraham","@iamBrianGraham")</f>
        <v>@iamBrianGraham</v>
      </c>
      <c r="C1133" s="14" t="s">
        <v>4259</v>
      </c>
      <c r="D1133" s="14" t="s">
        <v>5017</v>
      </c>
      <c r="E1133" s="6" t="str">
        <f>HYPERLINK("https://twitter.com/iamBrianGraham/status/1364172215290363906","1364172215290363906")</f>
        <v>1364172215290363906</v>
      </c>
      <c r="F1133" s="8"/>
      <c r="G1133" s="7" t="s">
        <v>5018</v>
      </c>
      <c r="H1133" s="8"/>
      <c r="I1133" s="14">
        <v>12</v>
      </c>
      <c r="J1133" s="14">
        <v>19</v>
      </c>
      <c r="K1133" s="6" t="str">
        <f>HYPERLINK("https://bypeers.net","ByPeers Social CRM (1)")</f>
        <v>ByPeers Social CRM (1)</v>
      </c>
      <c r="L1133" s="15">
        <v>5759</v>
      </c>
      <c r="M1133" s="15">
        <v>4549</v>
      </c>
      <c r="N1133" s="15">
        <v>211</v>
      </c>
      <c r="O1133" s="9"/>
      <c r="P1133" s="10">
        <v>42570.927037037036</v>
      </c>
      <c r="Q1133" s="14" t="s">
        <v>4262</v>
      </c>
      <c r="R1133" s="14" t="s">
        <v>4263</v>
      </c>
      <c r="S1133" s="7" t="s">
        <v>4264</v>
      </c>
      <c r="T1133" s="8"/>
      <c r="U1133" s="11" t="str">
        <f>HYPERLINK("https://pbs.twimg.com/profile_images/1099684609703510017/zcsjRYt2.png","View")</f>
        <v>View</v>
      </c>
      <c r="V1133" s="8"/>
      <c r="W1133" s="8"/>
      <c r="X1133" s="8"/>
      <c r="Y1133" s="8"/>
      <c r="Z1133" s="8"/>
    </row>
    <row r="1134" spans="1:26" ht="13.2">
      <c r="A1134" s="13">
        <v>44250.511284722219</v>
      </c>
      <c r="B1134" s="6" t="str">
        <f>HYPERLINK("https://twitter.com/Bilplug32","@Bilplug32")</f>
        <v>@Bilplug32</v>
      </c>
      <c r="C1134" s="14" t="s">
        <v>5003</v>
      </c>
      <c r="D1134" s="14" t="s">
        <v>5019</v>
      </c>
      <c r="E1134" s="6" t="str">
        <f>HYPERLINK("https://twitter.com/Bilplug32/status/1364172215034540032","1364172215034540032")</f>
        <v>1364172215034540032</v>
      </c>
      <c r="F1134" s="8"/>
      <c r="G1134" s="7" t="s">
        <v>5020</v>
      </c>
      <c r="H1134" s="8"/>
      <c r="I1134" s="14">
        <v>6</v>
      </c>
      <c r="J1134" s="14">
        <v>4</v>
      </c>
      <c r="K1134" s="6" t="str">
        <f>HYPERLINK("http://twitter.com/download/android","Twitter for Android")</f>
        <v>Twitter for Android</v>
      </c>
      <c r="L1134" s="15">
        <v>3</v>
      </c>
      <c r="M1134" s="15">
        <v>7</v>
      </c>
      <c r="N1134" s="15">
        <v>0</v>
      </c>
      <c r="O1134" s="9"/>
      <c r="P1134" s="10">
        <v>44243.902696759258</v>
      </c>
      <c r="Q1134" s="8"/>
      <c r="R1134" s="8"/>
      <c r="S1134" s="8"/>
      <c r="T1134" s="8"/>
      <c r="U1134" s="11" t="str">
        <f>HYPERLINK("https://pbs.twimg.com/profile_images/1361777605310038021/6dGPLuAj.jpg","View")</f>
        <v>View</v>
      </c>
      <c r="V1134" s="8"/>
      <c r="W1134" s="8"/>
      <c r="X1134" s="8"/>
      <c r="Y1134" s="8"/>
      <c r="Z1134" s="8"/>
    </row>
    <row r="1135" spans="1:26" ht="13.2">
      <c r="A1135" s="13">
        <v>44250.511215277773</v>
      </c>
      <c r="B1135" s="6" t="str">
        <f>HYPERLINK("https://twitter.com/DecisionsSmart","@DecisionsSmart")</f>
        <v>@DecisionsSmart</v>
      </c>
      <c r="C1135" s="14" t="s">
        <v>212</v>
      </c>
      <c r="D1135" s="14" t="s">
        <v>5021</v>
      </c>
      <c r="E1135" s="6" t="str">
        <f>HYPERLINK("https://twitter.com/DecisionsSmart/status/1364172189415710720","1364172189415710720")</f>
        <v>1364172189415710720</v>
      </c>
      <c r="F1135" s="14" t="s">
        <v>4928</v>
      </c>
      <c r="G1135" s="8"/>
      <c r="H1135" s="8"/>
      <c r="I1135" s="14">
        <v>3</v>
      </c>
      <c r="J1135" s="14">
        <v>7</v>
      </c>
      <c r="K1135" s="6" t="str">
        <f>HYPERLINK("http://twinybots.com","TwinyBots")</f>
        <v>TwinyBots</v>
      </c>
      <c r="L1135" s="15">
        <v>6690</v>
      </c>
      <c r="M1135" s="15">
        <v>5126</v>
      </c>
      <c r="N1135" s="15">
        <v>88</v>
      </c>
      <c r="O1135" s="9"/>
      <c r="P1135" s="10">
        <v>43282.143495370372</v>
      </c>
      <c r="Q1135" s="14" t="s">
        <v>215</v>
      </c>
      <c r="R1135" s="14" t="s">
        <v>216</v>
      </c>
      <c r="S1135" s="8"/>
      <c r="T1135" s="8"/>
      <c r="U1135" s="11" t="str">
        <f>HYPERLINK("https://pbs.twimg.com/profile_images/1273753380373004289/crFq1msz.jpg","View")</f>
        <v>View</v>
      </c>
      <c r="V1135" s="8"/>
      <c r="W1135" s="8"/>
      <c r="X1135" s="8"/>
      <c r="Y1135" s="8"/>
      <c r="Z1135" s="8"/>
    </row>
    <row r="1136" spans="1:26" ht="13.2">
      <c r="A1136" s="13">
        <v>44250.511064814811</v>
      </c>
      <c r="B1136" s="6" t="str">
        <f>HYPERLINK("https://twitter.com/pauline_francoi","@pauline_francoi")</f>
        <v>@pauline_francoi</v>
      </c>
      <c r="C1136" s="14" t="s">
        <v>5022</v>
      </c>
      <c r="D1136" s="14" t="s">
        <v>90</v>
      </c>
      <c r="E1136" s="6" t="str">
        <f>HYPERLINK("https://twitter.com/pauline_francoi/status/1364172132691959809","1364172132691959809")</f>
        <v>1364172132691959809</v>
      </c>
      <c r="F1136" s="7" t="s">
        <v>5023</v>
      </c>
      <c r="G1136" s="8"/>
      <c r="H1136" s="8"/>
      <c r="I1136" s="14">
        <v>1</v>
      </c>
      <c r="J1136" s="14">
        <v>2</v>
      </c>
      <c r="K1136" s="6" t="str">
        <f>HYPERLINK("http://smarp.com","Smarp.")</f>
        <v>Smarp.</v>
      </c>
      <c r="L1136" s="15">
        <v>290</v>
      </c>
      <c r="M1136" s="15">
        <v>222</v>
      </c>
      <c r="N1136" s="15">
        <v>39</v>
      </c>
      <c r="O1136" s="9"/>
      <c r="P1136" s="10">
        <v>40596.087557870371</v>
      </c>
      <c r="Q1136" s="14" t="s">
        <v>408</v>
      </c>
      <c r="R1136" s="14" t="s">
        <v>5024</v>
      </c>
      <c r="S1136" s="7" t="s">
        <v>5025</v>
      </c>
      <c r="T1136" s="8"/>
      <c r="U1136" s="11" t="str">
        <f>HYPERLINK("https://pbs.twimg.com/profile_images/1169230694205263872/Pa8IuOEI.jpg","View")</f>
        <v>View</v>
      </c>
      <c r="V1136" s="8"/>
      <c r="W1136" s="8"/>
      <c r="X1136" s="8"/>
      <c r="Y1136" s="8"/>
      <c r="Z1136" s="8"/>
    </row>
    <row r="1137" spans="1:26" ht="13.2">
      <c r="A1137" s="13">
        <v>44250.510462962964</v>
      </c>
      <c r="B1137" s="6" t="str">
        <f>HYPERLINK("https://twitter.com/ipfconline1","@ipfconline1")</f>
        <v>@ipfconline1</v>
      </c>
      <c r="C1137" s="14" t="s">
        <v>65</v>
      </c>
      <c r="D1137" s="14" t="s">
        <v>5026</v>
      </c>
      <c r="E1137" s="6" t="str">
        <f>HYPERLINK("https://twitter.com/ipfconline1/status/1364171916332969988","1364171916332969988")</f>
        <v>1364171916332969988</v>
      </c>
      <c r="F1137" s="7" t="s">
        <v>5027</v>
      </c>
      <c r="G1137" s="7" t="s">
        <v>5028</v>
      </c>
      <c r="H1137" s="8"/>
      <c r="I1137" s="14">
        <v>17</v>
      </c>
      <c r="J1137" s="14">
        <v>16</v>
      </c>
      <c r="K1137" s="6" t="str">
        <f>HYPERLINK("https://twittimer.com","Twittimer")</f>
        <v>Twittimer</v>
      </c>
      <c r="L1137" s="15">
        <v>112675</v>
      </c>
      <c r="M1137" s="15">
        <v>107162</v>
      </c>
      <c r="N1137" s="15">
        <v>7806</v>
      </c>
      <c r="O1137" s="9"/>
      <c r="P1137" s="10">
        <v>42433.031967592593</v>
      </c>
      <c r="Q1137" s="14" t="s">
        <v>69</v>
      </c>
      <c r="R1137" s="14" t="s">
        <v>70</v>
      </c>
      <c r="S1137" s="7" t="s">
        <v>71</v>
      </c>
      <c r="T1137" s="8"/>
      <c r="U1137" s="11" t="str">
        <f>HYPERLINK("https://pbs.twimg.com/profile_images/729065804004769793/St2_Pum9.jpg","View")</f>
        <v>View</v>
      </c>
      <c r="V1137" s="8"/>
      <c r="W1137" s="8"/>
      <c r="X1137" s="8"/>
      <c r="Y1137" s="8"/>
      <c r="Z1137" s="8"/>
    </row>
    <row r="1138" spans="1:26" ht="13.2">
      <c r="A1138" s="13">
        <v>44250.510451388887</v>
      </c>
      <c r="B1138" s="6" t="str">
        <f>HYPERLINK("https://twitter.com/Bilplug32","@Bilplug32")</f>
        <v>@Bilplug32</v>
      </c>
      <c r="C1138" s="14" t="s">
        <v>5003</v>
      </c>
      <c r="D1138" s="14" t="s">
        <v>5029</v>
      </c>
      <c r="E1138" s="6" t="str">
        <f>HYPERLINK("https://twitter.com/Bilplug32/status/1364171913791229953","1364171913791229953")</f>
        <v>1364171913791229953</v>
      </c>
      <c r="F1138" s="8"/>
      <c r="G1138" s="8"/>
      <c r="H1138" s="8"/>
      <c r="I1138" s="14">
        <v>9</v>
      </c>
      <c r="J1138" s="14">
        <v>1</v>
      </c>
      <c r="K1138" s="6" t="str">
        <f>HYPERLINK("http://twitter.com/download/android","Twitter for Android")</f>
        <v>Twitter for Android</v>
      </c>
      <c r="L1138" s="15">
        <v>3</v>
      </c>
      <c r="M1138" s="15">
        <v>7</v>
      </c>
      <c r="N1138" s="15">
        <v>0</v>
      </c>
      <c r="O1138" s="9"/>
      <c r="P1138" s="10">
        <v>44243.902696759258</v>
      </c>
      <c r="Q1138" s="8"/>
      <c r="R1138" s="8"/>
      <c r="S1138" s="8"/>
      <c r="T1138" s="8"/>
      <c r="U1138" s="11" t="str">
        <f>HYPERLINK("https://pbs.twimg.com/profile_images/1361777605310038021/6dGPLuAj.jpg","View")</f>
        <v>View</v>
      </c>
      <c r="V1138" s="8"/>
      <c r="W1138" s="8"/>
      <c r="X1138" s="8"/>
      <c r="Y1138" s="8"/>
      <c r="Z1138" s="8"/>
    </row>
    <row r="1139" spans="1:26" ht="13.2">
      <c r="A1139" s="13">
        <v>44250.510405092587</v>
      </c>
      <c r="B1139" s="6" t="str">
        <f>HYPERLINK("https://twitter.com/Radwell_Int_Ltd","@Radwell_Int_Ltd")</f>
        <v>@Radwell_Int_Ltd</v>
      </c>
      <c r="C1139" s="14" t="s">
        <v>5030</v>
      </c>
      <c r="D1139" s="14" t="s">
        <v>5031</v>
      </c>
      <c r="E1139" s="6" t="str">
        <f>HYPERLINK("https://twitter.com/Radwell_Int_Ltd/status/1364171896409964545","1364171896409964545")</f>
        <v>1364171896409964545</v>
      </c>
      <c r="F1139" s="7" t="s">
        <v>5032</v>
      </c>
      <c r="G1139" s="8"/>
      <c r="H1139" s="8"/>
      <c r="I1139" s="14">
        <v>8</v>
      </c>
      <c r="J1139" s="14">
        <v>5</v>
      </c>
      <c r="K1139" s="6" t="str">
        <f>HYPERLINK("http://www.hubspot.com/","HubSpot")</f>
        <v>HubSpot</v>
      </c>
      <c r="L1139" s="15">
        <v>2978</v>
      </c>
      <c r="M1139" s="15">
        <v>2798</v>
      </c>
      <c r="N1139" s="15">
        <v>20</v>
      </c>
      <c r="O1139" s="9"/>
      <c r="P1139" s="10">
        <v>42079.387557870374</v>
      </c>
      <c r="Q1139" s="14" t="s">
        <v>5033</v>
      </c>
      <c r="R1139" s="14" t="s">
        <v>5034</v>
      </c>
      <c r="S1139" s="7" t="s">
        <v>5035</v>
      </c>
      <c r="T1139" s="8"/>
      <c r="U1139" s="11" t="str">
        <f>HYPERLINK("https://pbs.twimg.com/profile_images/895992132573507584/UrFfDNCq.jpg","View")</f>
        <v>View</v>
      </c>
      <c r="V1139" s="8"/>
      <c r="W1139" s="8"/>
      <c r="X1139" s="8"/>
      <c r="Y1139" s="8"/>
      <c r="Z1139" s="8"/>
    </row>
    <row r="1140" spans="1:26" ht="13.2">
      <c r="A1140" s="13">
        <v>44250.510185185187</v>
      </c>
      <c r="B1140" s="6" t="str">
        <f>HYPERLINK("https://twitter.com/GeekInc_","@GeekInc_")</f>
        <v>@GeekInc_</v>
      </c>
      <c r="C1140" s="14" t="s">
        <v>5036</v>
      </c>
      <c r="D1140" s="14" t="s">
        <v>5037</v>
      </c>
      <c r="E1140" s="6" t="str">
        <f>HYPERLINK("https://twitter.com/GeekInc_/status/1364171816890028036","1364171816890028036")</f>
        <v>1364171816890028036</v>
      </c>
      <c r="F1140" s="7" t="s">
        <v>5038</v>
      </c>
      <c r="G1140" s="8"/>
      <c r="H1140" s="8"/>
      <c r="I1140" s="14">
        <v>1</v>
      </c>
      <c r="J1140" s="14">
        <v>0</v>
      </c>
      <c r="K1140" s="6" t="str">
        <f>HYPERLINK("https://www.contentmx.com","ContentMX")</f>
        <v>ContentMX</v>
      </c>
      <c r="L1140" s="15">
        <v>67</v>
      </c>
      <c r="M1140" s="15">
        <v>226</v>
      </c>
      <c r="N1140" s="15">
        <v>5</v>
      </c>
      <c r="O1140" s="9"/>
      <c r="P1140" s="10">
        <v>41792.684756944444</v>
      </c>
      <c r="Q1140" s="14" t="s">
        <v>5039</v>
      </c>
      <c r="R1140" s="14" t="s">
        <v>5040</v>
      </c>
      <c r="S1140" s="7" t="s">
        <v>5041</v>
      </c>
      <c r="T1140" s="8"/>
      <c r="U1140" s="11" t="str">
        <f>HYPERLINK("https://pbs.twimg.com/profile_images/1350113771398848516/m0aCGzUi.jpg","View")</f>
        <v>View</v>
      </c>
      <c r="V1140" s="8"/>
      <c r="W1140" s="8"/>
      <c r="X1140" s="8"/>
      <c r="Y1140" s="8"/>
      <c r="Z1140" s="8"/>
    </row>
    <row r="1141" spans="1:26" ht="13.2">
      <c r="A1141" s="13">
        <v>44250.510115740741</v>
      </c>
      <c r="B1141" s="6" t="str">
        <f>HYPERLINK("https://twitter.com/it_numeric","@it_numeric")</f>
        <v>@it_numeric</v>
      </c>
      <c r="C1141" s="14" t="s">
        <v>405</v>
      </c>
      <c r="D1141" s="14" t="s">
        <v>5042</v>
      </c>
      <c r="E1141" s="6" t="str">
        <f>HYPERLINK("https://twitter.com/it_numeric/status/1364171790440951810","1364171790440951810")</f>
        <v>1364171790440951810</v>
      </c>
      <c r="F1141" s="7" t="s">
        <v>5043</v>
      </c>
      <c r="G1141" s="8"/>
      <c r="H1141" s="8"/>
      <c r="I1141" s="14">
        <v>1</v>
      </c>
      <c r="J1141" s="14">
        <v>2</v>
      </c>
      <c r="K1141" s="6" t="str">
        <f>HYPERLINK("https://mobile.twitter.com","Twitter Web App")</f>
        <v>Twitter Web App</v>
      </c>
      <c r="L1141" s="15">
        <v>539</v>
      </c>
      <c r="M1141" s="15">
        <v>882</v>
      </c>
      <c r="N1141" s="15">
        <v>9</v>
      </c>
      <c r="O1141" s="9"/>
      <c r="P1141" s="10">
        <v>42515.564513888894</v>
      </c>
      <c r="Q1141" s="14" t="s">
        <v>408</v>
      </c>
      <c r="R1141" s="14" t="s">
        <v>409</v>
      </c>
      <c r="S1141" s="7" t="s">
        <v>410</v>
      </c>
      <c r="T1141" s="8"/>
      <c r="U1141" s="11" t="str">
        <f>HYPERLINK("https://pbs.twimg.com/profile_images/735442514665181185/3cfSKZAn.jpg","View")</f>
        <v>View</v>
      </c>
      <c r="V1141" s="8"/>
      <c r="W1141" s="8"/>
      <c r="X1141" s="8"/>
      <c r="Y1141" s="8"/>
      <c r="Z1141" s="8"/>
    </row>
    <row r="1142" spans="1:26" ht="13.2">
      <c r="A1142" s="13">
        <v>44250.509849537033</v>
      </c>
      <c r="B1142" s="6" t="str">
        <f>HYPERLINK("https://twitter.com/Bilplug32","@Bilplug32")</f>
        <v>@Bilplug32</v>
      </c>
      <c r="C1142" s="14" t="s">
        <v>5003</v>
      </c>
      <c r="D1142" s="14" t="s">
        <v>5044</v>
      </c>
      <c r="E1142" s="6" t="str">
        <f>HYPERLINK("https://twitter.com/Bilplug32/status/1364171694139703300","1364171694139703300")</f>
        <v>1364171694139703300</v>
      </c>
      <c r="F1142" s="8"/>
      <c r="G1142" s="7" t="s">
        <v>5045</v>
      </c>
      <c r="H1142" s="8"/>
      <c r="I1142" s="14">
        <v>13</v>
      </c>
      <c r="J1142" s="14">
        <v>0</v>
      </c>
      <c r="K1142" s="6" t="str">
        <f>HYPERLINK("http://twitter.com/download/android","Twitter for Android")</f>
        <v>Twitter for Android</v>
      </c>
      <c r="L1142" s="15">
        <v>3</v>
      </c>
      <c r="M1142" s="15">
        <v>7</v>
      </c>
      <c r="N1142" s="15">
        <v>0</v>
      </c>
      <c r="O1142" s="9"/>
      <c r="P1142" s="10">
        <v>44243.902696759258</v>
      </c>
      <c r="Q1142" s="8"/>
      <c r="R1142" s="8"/>
      <c r="S1142" s="8"/>
      <c r="T1142" s="8"/>
      <c r="U1142" s="11" t="str">
        <f>HYPERLINK("https://pbs.twimg.com/profile_images/1361777605310038021/6dGPLuAj.jpg","View")</f>
        <v>View</v>
      </c>
      <c r="V1142" s="8"/>
      <c r="W1142" s="8"/>
      <c r="X1142" s="8"/>
      <c r="Y1142" s="8"/>
      <c r="Z1142" s="8"/>
    </row>
    <row r="1143" spans="1:26" ht="13.2">
      <c r="A1143" s="13">
        <v>44250.509467592594</v>
      </c>
      <c r="B1143" s="6" t="str">
        <f>HYPERLINK("https://twitter.com/LutechGroup","@LutechGroup")</f>
        <v>@LutechGroup</v>
      </c>
      <c r="C1143" s="14" t="s">
        <v>5046</v>
      </c>
      <c r="D1143" s="14" t="s">
        <v>5047</v>
      </c>
      <c r="E1143" s="6" t="str">
        <f>HYPERLINK("https://twitter.com/LutechGroup/status/1364171555257933824","1364171555257933824")</f>
        <v>1364171555257933824</v>
      </c>
      <c r="F1143" s="7" t="s">
        <v>5048</v>
      </c>
      <c r="G1143" s="7" t="s">
        <v>5049</v>
      </c>
      <c r="H1143" s="8"/>
      <c r="I1143" s="14">
        <v>0</v>
      </c>
      <c r="J1143" s="14">
        <v>0</v>
      </c>
      <c r="K1143" s="6" t="str">
        <f>HYPERLINK("https://mobile.twitter.com","Twitter Web App")</f>
        <v>Twitter Web App</v>
      </c>
      <c r="L1143" s="15">
        <v>914</v>
      </c>
      <c r="M1143" s="15">
        <v>354</v>
      </c>
      <c r="N1143" s="15">
        <v>114</v>
      </c>
      <c r="O1143" s="9"/>
      <c r="P1143" s="10">
        <v>41570.915069444447</v>
      </c>
      <c r="Q1143" s="14" t="s">
        <v>5050</v>
      </c>
      <c r="R1143" s="14" t="s">
        <v>5051</v>
      </c>
      <c r="S1143" s="7" t="s">
        <v>5052</v>
      </c>
      <c r="T1143" s="8"/>
      <c r="U1143" s="11" t="str">
        <f>HYPERLINK("https://pbs.twimg.com/profile_images/1215235584219893765/1Pr1N1BX.png","View")</f>
        <v>View</v>
      </c>
      <c r="V1143" s="8"/>
      <c r="W1143" s="8"/>
      <c r="X1143" s="8"/>
      <c r="Y1143" s="8"/>
      <c r="Z1143" s="8"/>
    </row>
    <row r="1144" spans="1:26" ht="13.2">
      <c r="A1144" s="13">
        <v>44250.509328703702</v>
      </c>
      <c r="B1144" s="6" t="str">
        <f>HYPERLINK("https://twitter.com/Ronald_vanLoon","@Ronald_vanLoon")</f>
        <v>@Ronald_vanLoon</v>
      </c>
      <c r="C1144" s="14" t="s">
        <v>2433</v>
      </c>
      <c r="D1144" s="14" t="s">
        <v>5053</v>
      </c>
      <c r="E1144" s="6" t="str">
        <f>HYPERLINK("https://twitter.com/Ronald_vanLoon/status/1364171503563137024","1364171503563137024")</f>
        <v>1364171503563137024</v>
      </c>
      <c r="F1144" s="7" t="s">
        <v>5054</v>
      </c>
      <c r="G1144" s="7" t="s">
        <v>5055</v>
      </c>
      <c r="H1144" s="8"/>
      <c r="I1144" s="14">
        <v>16</v>
      </c>
      <c r="J1144" s="14">
        <v>8</v>
      </c>
      <c r="K1144" s="6" t="str">
        <f>HYPERLINK("https://about.twitter.com/products/tweetdeck","TweetDeck")</f>
        <v>TweetDeck</v>
      </c>
      <c r="L1144" s="15">
        <v>239362</v>
      </c>
      <c r="M1144" s="15">
        <v>180517</v>
      </c>
      <c r="N1144" s="15">
        <v>5589</v>
      </c>
      <c r="O1144" s="9"/>
      <c r="P1144" s="10">
        <v>41015.413553240738</v>
      </c>
      <c r="Q1144" s="14" t="s">
        <v>1141</v>
      </c>
      <c r="R1144" s="14" t="s">
        <v>2437</v>
      </c>
      <c r="S1144" s="7" t="s">
        <v>2438</v>
      </c>
      <c r="T1144" s="8"/>
      <c r="U1144" s="11" t="str">
        <f>HYPERLINK("https://pbs.twimg.com/profile_images/1107936345769607169/sJKWJd7g.png","View")</f>
        <v>View</v>
      </c>
      <c r="V1144" s="8"/>
      <c r="W1144" s="8"/>
      <c r="X1144" s="8"/>
      <c r="Y1144" s="8"/>
      <c r="Z1144" s="8"/>
    </row>
    <row r="1145" spans="1:26" ht="13.2">
      <c r="A1145" s="13">
        <v>44250.509131944447</v>
      </c>
      <c r="B1145" s="6" t="str">
        <f>HYPERLINK("https://twitter.com/gsoflog","@gsoflog")</f>
        <v>@gsoflog</v>
      </c>
      <c r="C1145" s="14" t="s">
        <v>5056</v>
      </c>
      <c r="D1145" s="14" t="s">
        <v>5057</v>
      </c>
      <c r="E1145" s="6" t="str">
        <f>HYPERLINK("https://twitter.com/gsoflog/status/1364171435632132096","1364171435632132096")</f>
        <v>1364171435632132096</v>
      </c>
      <c r="F1145" s="7" t="s">
        <v>5058</v>
      </c>
      <c r="G1145" s="7" t="s">
        <v>5059</v>
      </c>
      <c r="H1145" s="8"/>
      <c r="I1145" s="14">
        <v>1</v>
      </c>
      <c r="J1145" s="14">
        <v>4</v>
      </c>
      <c r="K1145" s="6" t="str">
        <f>HYPERLINK("https://mobile.twitter.com","Twitter Web App")</f>
        <v>Twitter Web App</v>
      </c>
      <c r="L1145" s="15">
        <v>122</v>
      </c>
      <c r="M1145" s="15">
        <v>53</v>
      </c>
      <c r="N1145" s="15">
        <v>2</v>
      </c>
      <c r="O1145" s="9"/>
      <c r="P1145" s="10">
        <v>43552.475057870368</v>
      </c>
      <c r="Q1145" s="14" t="s">
        <v>5060</v>
      </c>
      <c r="R1145" s="14" t="s">
        <v>5061</v>
      </c>
      <c r="S1145" s="7" t="s">
        <v>5062</v>
      </c>
      <c r="T1145" s="8"/>
      <c r="U1145" s="11" t="str">
        <f>HYPERLINK("https://pbs.twimg.com/profile_images/1111213477664833537/fvCLTvXz.jpg","View")</f>
        <v>View</v>
      </c>
      <c r="V1145" s="8"/>
      <c r="W1145" s="8"/>
      <c r="X1145" s="8"/>
      <c r="Y1145" s="8"/>
      <c r="Z1145" s="8"/>
    </row>
    <row r="1146" spans="1:26" ht="13.2">
      <c r="A1146" s="13">
        <v>44250.509027777778</v>
      </c>
      <c r="B1146" s="6" t="str">
        <f>HYPERLINK("https://twitter.com/campusbigdata","@campusbigdata")</f>
        <v>@campusbigdata</v>
      </c>
      <c r="C1146" s="14" t="s">
        <v>4668</v>
      </c>
      <c r="D1146" s="14" t="s">
        <v>5063</v>
      </c>
      <c r="E1146" s="6" t="str">
        <f>HYPERLINK("https://twitter.com/campusbigdata/status/1364171394951487488","1364171394951487488")</f>
        <v>1364171394951487488</v>
      </c>
      <c r="F1146" s="7" t="s">
        <v>5064</v>
      </c>
      <c r="G1146" s="7" t="s">
        <v>5065</v>
      </c>
      <c r="H1146" s="8"/>
      <c r="I1146" s="14">
        <v>1</v>
      </c>
      <c r="J1146" s="14">
        <v>0</v>
      </c>
      <c r="K1146" s="6" t="str">
        <f>HYPERLINK("https://about.twitter.com/products/tweetdeck","TweetDeck")</f>
        <v>TweetDeck</v>
      </c>
      <c r="L1146" s="15">
        <v>2444</v>
      </c>
      <c r="M1146" s="15">
        <v>563</v>
      </c>
      <c r="N1146" s="15">
        <v>67</v>
      </c>
      <c r="O1146" s="9"/>
      <c r="P1146" s="10">
        <v>42559.493576388893</v>
      </c>
      <c r="Q1146" s="14" t="s">
        <v>4671</v>
      </c>
      <c r="R1146" s="14" t="s">
        <v>4672</v>
      </c>
      <c r="S1146" s="7" t="s">
        <v>4673</v>
      </c>
      <c r="T1146" s="8"/>
      <c r="U1146" s="11" t="str">
        <f>HYPERLINK("https://pbs.twimg.com/profile_images/950276430859993089/E6Gcu9ig.jpg","View")</f>
        <v>View</v>
      </c>
      <c r="V1146" s="8"/>
      <c r="W1146" s="8"/>
      <c r="X1146" s="8"/>
      <c r="Y1146" s="8"/>
      <c r="Z1146" s="8"/>
    </row>
    <row r="1147" spans="1:26" ht="13.2">
      <c r="A1147" s="13">
        <v>44250.508217592593</v>
      </c>
      <c r="B1147" s="6" t="str">
        <f t="shared" ref="B1147:B1148" si="186">HYPERLINK("https://twitter.com/PrasadVenkate11","@PrasadVenkate11")</f>
        <v>@PrasadVenkate11</v>
      </c>
      <c r="C1147" s="14" t="s">
        <v>5066</v>
      </c>
      <c r="D1147" s="14" t="s">
        <v>5067</v>
      </c>
      <c r="E1147" s="6" t="str">
        <f>HYPERLINK("https://twitter.com/PrasadVenkate11/status/1364171101618663428","1364171101618663428")</f>
        <v>1364171101618663428</v>
      </c>
      <c r="F1147" s="7" t="s">
        <v>5068</v>
      </c>
      <c r="G1147" s="7" t="s">
        <v>5069</v>
      </c>
      <c r="H1147" s="8"/>
      <c r="I1147" s="14">
        <v>2</v>
      </c>
      <c r="J1147" s="14">
        <v>1</v>
      </c>
      <c r="K1147" s="6" t="str">
        <f t="shared" ref="K1147:K1148" si="187">HYPERLINK("http://dynamicsignal.com/","Dynamic Signal")</f>
        <v>Dynamic Signal</v>
      </c>
      <c r="L1147" s="15">
        <v>25</v>
      </c>
      <c r="M1147" s="15">
        <v>63</v>
      </c>
      <c r="N1147" s="15">
        <v>0</v>
      </c>
      <c r="O1147" s="9"/>
      <c r="P1147" s="10">
        <v>43560.281805555554</v>
      </c>
      <c r="Q1147" s="8"/>
      <c r="R1147" s="8"/>
      <c r="S1147" s="8"/>
      <c r="T1147" s="8"/>
      <c r="U1147" s="11" t="str">
        <f t="shared" ref="U1147:U1148" si="188">HYPERLINK("https://pbs.twimg.com/profile_images/1198138307932114945/5hUZOnc7.jpg","View")</f>
        <v>View</v>
      </c>
      <c r="V1147" s="8"/>
      <c r="W1147" s="8"/>
      <c r="X1147" s="8"/>
      <c r="Y1147" s="8"/>
      <c r="Z1147" s="8"/>
    </row>
    <row r="1148" spans="1:26" ht="13.2">
      <c r="A1148" s="13">
        <v>44250.507708333331</v>
      </c>
      <c r="B1148" s="6" t="str">
        <f t="shared" si="186"/>
        <v>@PrasadVenkate11</v>
      </c>
      <c r="C1148" s="14" t="s">
        <v>5066</v>
      </c>
      <c r="D1148" s="14" t="s">
        <v>5070</v>
      </c>
      <c r="E1148" s="6" t="str">
        <f>HYPERLINK("https://twitter.com/PrasadVenkate11/status/1364170918000386048","1364170918000386048")</f>
        <v>1364170918000386048</v>
      </c>
      <c r="F1148" s="7" t="s">
        <v>5071</v>
      </c>
      <c r="G1148" s="7" t="s">
        <v>5072</v>
      </c>
      <c r="H1148" s="8"/>
      <c r="I1148" s="14">
        <v>1</v>
      </c>
      <c r="J1148" s="14">
        <v>1</v>
      </c>
      <c r="K1148" s="6" t="str">
        <f t="shared" si="187"/>
        <v>Dynamic Signal</v>
      </c>
      <c r="L1148" s="15">
        <v>25</v>
      </c>
      <c r="M1148" s="15">
        <v>63</v>
      </c>
      <c r="N1148" s="15">
        <v>0</v>
      </c>
      <c r="O1148" s="9"/>
      <c r="P1148" s="10">
        <v>43560.281805555554</v>
      </c>
      <c r="Q1148" s="8"/>
      <c r="R1148" s="8"/>
      <c r="S1148" s="8"/>
      <c r="T1148" s="8"/>
      <c r="U1148" s="11" t="str">
        <f t="shared" si="188"/>
        <v>View</v>
      </c>
      <c r="V1148" s="8"/>
      <c r="W1148" s="8"/>
      <c r="X1148" s="8"/>
      <c r="Y1148" s="8"/>
      <c r="Z1148" s="8"/>
    </row>
    <row r="1149" spans="1:26" ht="13.2">
      <c r="A1149" s="13">
        <v>44250.506747685184</v>
      </c>
      <c r="B1149" s="6" t="str">
        <f>HYPERLINK("https://twitter.com/UAdvisor4","@UAdvisor4")</f>
        <v>@UAdvisor4</v>
      </c>
      <c r="C1149" s="14" t="s">
        <v>5073</v>
      </c>
      <c r="D1149" s="14" t="s">
        <v>5074</v>
      </c>
      <c r="E1149" s="6" t="str">
        <f>HYPERLINK("https://twitter.com/UAdvisor4/status/1364170571211304964","1364170571211304964")</f>
        <v>1364170571211304964</v>
      </c>
      <c r="F1149" s="8"/>
      <c r="G1149" s="7" t="s">
        <v>5075</v>
      </c>
      <c r="H1149" s="8"/>
      <c r="I1149" s="14">
        <v>1</v>
      </c>
      <c r="J1149" s="14">
        <v>1</v>
      </c>
      <c r="K1149" s="6" t="str">
        <f>HYPERLINK("http://twitter.com/download/iphone","Twitter for iPhone")</f>
        <v>Twitter for iPhone</v>
      </c>
      <c r="L1149" s="15">
        <v>24</v>
      </c>
      <c r="M1149" s="15">
        <v>127</v>
      </c>
      <c r="N1149" s="15">
        <v>0</v>
      </c>
      <c r="O1149" s="9"/>
      <c r="P1149" s="10">
        <v>43589.030046296291</v>
      </c>
      <c r="Q1149" s="14" t="s">
        <v>4297</v>
      </c>
      <c r="R1149" s="14" t="s">
        <v>5076</v>
      </c>
      <c r="S1149" s="7" t="s">
        <v>5077</v>
      </c>
      <c r="T1149" s="8"/>
      <c r="U1149" s="11" t="str">
        <f>HYPERLINK("https://pbs.twimg.com/profile_images/1165639191759400960/8kAQDsKL.jpg","View")</f>
        <v>View</v>
      </c>
      <c r="V1149" s="8"/>
      <c r="W1149" s="8"/>
      <c r="X1149" s="8"/>
      <c r="Y1149" s="8"/>
      <c r="Z1149" s="8"/>
    </row>
    <row r="1150" spans="1:26" ht="13.2">
      <c r="A1150" s="13">
        <v>44250.506562499999</v>
      </c>
      <c r="B1150" s="6" t="str">
        <f>HYPERLINK("https://twitter.com/speedymentors","@speedymentors")</f>
        <v>@speedymentors</v>
      </c>
      <c r="C1150" s="14" t="s">
        <v>5078</v>
      </c>
      <c r="D1150" s="14" t="s">
        <v>5079</v>
      </c>
      <c r="E1150" s="6" t="str">
        <f>HYPERLINK("https://twitter.com/speedymentors/status/1364170501329850369","1364170501329850369")</f>
        <v>1364170501329850369</v>
      </c>
      <c r="F1150" s="7" t="s">
        <v>5080</v>
      </c>
      <c r="G1150" s="7" t="s">
        <v>5081</v>
      </c>
      <c r="H1150" s="8"/>
      <c r="I1150" s="14">
        <v>1</v>
      </c>
      <c r="J1150" s="14">
        <v>1</v>
      </c>
      <c r="K1150" s="6" t="str">
        <f>HYPERLINK("https://mobile.twitter.com","Twitter Web App")</f>
        <v>Twitter Web App</v>
      </c>
      <c r="L1150" s="15">
        <v>7</v>
      </c>
      <c r="M1150" s="15">
        <v>1</v>
      </c>
      <c r="N1150" s="15">
        <v>0</v>
      </c>
      <c r="O1150" s="9"/>
      <c r="P1150" s="10">
        <v>43933.812824074077</v>
      </c>
      <c r="Q1150" s="8"/>
      <c r="R1150" s="14" t="s">
        <v>5082</v>
      </c>
      <c r="S1150" s="8"/>
      <c r="T1150" s="8"/>
      <c r="U1150" s="11" t="str">
        <f>HYPERLINK("https://pbs.twimg.com/profile_images/1288896105241927683/B6pvAj5A.png","View")</f>
        <v>View</v>
      </c>
      <c r="V1150" s="8"/>
      <c r="W1150" s="8"/>
      <c r="X1150" s="8"/>
      <c r="Y1150" s="8"/>
      <c r="Z1150" s="8"/>
    </row>
    <row r="1151" spans="1:26" ht="13.2">
      <c r="A1151" s="13">
        <v>44250.506550925929</v>
      </c>
      <c r="B1151" s="6" t="str">
        <f>HYPERLINK("https://twitter.com/UAdvisor4","@UAdvisor4")</f>
        <v>@UAdvisor4</v>
      </c>
      <c r="C1151" s="14" t="s">
        <v>5073</v>
      </c>
      <c r="D1151" s="14" t="s">
        <v>5083</v>
      </c>
      <c r="E1151" s="6" t="str">
        <f>HYPERLINK("https://twitter.com/UAdvisor4/status/1364170499094413315","1364170499094413315")</f>
        <v>1364170499094413315</v>
      </c>
      <c r="F1151" s="8"/>
      <c r="G1151" s="7" t="s">
        <v>5084</v>
      </c>
      <c r="H1151" s="8"/>
      <c r="I1151" s="14">
        <v>1</v>
      </c>
      <c r="J1151" s="14">
        <v>2</v>
      </c>
      <c r="K1151" s="6" t="str">
        <f>HYPERLINK("http://twitter.com/download/iphone","Twitter for iPhone")</f>
        <v>Twitter for iPhone</v>
      </c>
      <c r="L1151" s="15">
        <v>24</v>
      </c>
      <c r="M1151" s="15">
        <v>127</v>
      </c>
      <c r="N1151" s="15">
        <v>0</v>
      </c>
      <c r="O1151" s="9"/>
      <c r="P1151" s="10">
        <v>43589.030046296291</v>
      </c>
      <c r="Q1151" s="14" t="s">
        <v>4297</v>
      </c>
      <c r="R1151" s="14" t="s">
        <v>5076</v>
      </c>
      <c r="S1151" s="7" t="s">
        <v>5077</v>
      </c>
      <c r="T1151" s="8"/>
      <c r="U1151" s="11" t="str">
        <f>HYPERLINK("https://pbs.twimg.com/profile_images/1165639191759400960/8kAQDsKL.jpg","View")</f>
        <v>View</v>
      </c>
      <c r="V1151" s="8"/>
      <c r="W1151" s="8"/>
      <c r="X1151" s="8"/>
      <c r="Y1151" s="8"/>
      <c r="Z1151" s="8"/>
    </row>
    <row r="1152" spans="1:26" ht="13.2">
      <c r="A1152" s="13">
        <v>44250.506412037037</v>
      </c>
      <c r="B1152" s="6" t="str">
        <f>HYPERLINK("https://twitter.com/saqibali_ca","@saqibali_ca")</f>
        <v>@saqibali_ca</v>
      </c>
      <c r="C1152" s="14" t="s">
        <v>965</v>
      </c>
      <c r="D1152" s="14" t="s">
        <v>5085</v>
      </c>
      <c r="E1152" s="6" t="str">
        <f>HYPERLINK("https://twitter.com/saqibali_ca/status/1364170447533658122","1364170447533658122")</f>
        <v>1364170447533658122</v>
      </c>
      <c r="F1152" s="7" t="s">
        <v>5086</v>
      </c>
      <c r="G1152" s="8"/>
      <c r="H1152" s="8"/>
      <c r="I1152" s="14">
        <v>2</v>
      </c>
      <c r="J1152" s="14">
        <v>1</v>
      </c>
      <c r="K1152" s="8"/>
      <c r="L1152" s="15">
        <v>270</v>
      </c>
      <c r="M1152" s="15">
        <v>0</v>
      </c>
      <c r="N1152" s="15">
        <v>3</v>
      </c>
      <c r="O1152" s="9"/>
      <c r="P1152" s="10">
        <v>43119.848680555559</v>
      </c>
      <c r="Q1152" s="14" t="s">
        <v>968</v>
      </c>
      <c r="R1152" s="14" t="s">
        <v>969</v>
      </c>
      <c r="S1152" s="7" t="s">
        <v>970</v>
      </c>
      <c r="T1152" s="8"/>
      <c r="U1152" s="11" t="str">
        <f>HYPERLINK("https://pbs.twimg.com/profile_images/1142963749285855233/c6NRGCvi.jpg","View")</f>
        <v>View</v>
      </c>
      <c r="V1152" s="8"/>
      <c r="W1152" s="8"/>
      <c r="X1152" s="8"/>
      <c r="Y1152" s="8"/>
      <c r="Z1152" s="8"/>
    </row>
    <row r="1153" spans="1:26" ht="13.2">
      <c r="A1153" s="13">
        <v>44250.504560185189</v>
      </c>
      <c r="B1153" s="6" t="str">
        <f>HYPERLINK("https://twitter.com/alveotechnology","@alveotechnology")</f>
        <v>@alveotechnology</v>
      </c>
      <c r="C1153" s="14" t="s">
        <v>5087</v>
      </c>
      <c r="D1153" s="14" t="s">
        <v>5088</v>
      </c>
      <c r="E1153" s="6" t="str">
        <f>HYPERLINK("https://twitter.com/alveotechnology/status/1364169778710069250","1364169778710069250")</f>
        <v>1364169778710069250</v>
      </c>
      <c r="F1153" s="7" t="s">
        <v>5089</v>
      </c>
      <c r="G1153" s="8"/>
      <c r="H1153" s="8"/>
      <c r="I1153" s="14">
        <v>2</v>
      </c>
      <c r="J1153" s="14">
        <v>3</v>
      </c>
      <c r="K1153" s="6" t="str">
        <f t="shared" ref="K1153:K1154" si="189">HYPERLINK("http://www.hubspot.com/","HubSpot")</f>
        <v>HubSpot</v>
      </c>
      <c r="L1153" s="15">
        <v>2168</v>
      </c>
      <c r="M1153" s="15">
        <v>1827</v>
      </c>
      <c r="N1153" s="15">
        <v>99</v>
      </c>
      <c r="O1153" s="9"/>
      <c r="P1153" s="10">
        <v>40716.780775462961</v>
      </c>
      <c r="Q1153" s="14" t="s">
        <v>1815</v>
      </c>
      <c r="R1153" s="14" t="s">
        <v>5090</v>
      </c>
      <c r="S1153" s="7" t="s">
        <v>5091</v>
      </c>
      <c r="T1153" s="8"/>
      <c r="U1153" s="11" t="str">
        <f>HYPERLINK("https://pbs.twimg.com/profile_images/1334415863324225536/NzJG-Azp.jpg","View")</f>
        <v>View</v>
      </c>
      <c r="V1153" s="8"/>
      <c r="W1153" s="8"/>
      <c r="X1153" s="8"/>
      <c r="Y1153" s="8"/>
      <c r="Z1153" s="8"/>
    </row>
    <row r="1154" spans="1:26" ht="13.2">
      <c r="A1154" s="13">
        <v>44250.504212962958</v>
      </c>
      <c r="B1154" s="6" t="str">
        <f>HYPERLINK("https://twitter.com/AQ_AI_","@AQ_AI_")</f>
        <v>@AQ_AI_</v>
      </c>
      <c r="C1154" s="14" t="s">
        <v>5092</v>
      </c>
      <c r="D1154" s="14" t="s">
        <v>5093</v>
      </c>
      <c r="E1154" s="6" t="str">
        <f>HYPERLINK("https://twitter.com/AQ_AI_/status/1364169650251137025","1364169650251137025")</f>
        <v>1364169650251137025</v>
      </c>
      <c r="F1154" s="7" t="s">
        <v>5094</v>
      </c>
      <c r="G1154" s="8"/>
      <c r="H1154" s="8"/>
      <c r="I1154" s="14">
        <v>4</v>
      </c>
      <c r="J1154" s="14">
        <v>2</v>
      </c>
      <c r="K1154" s="6" t="str">
        <f t="shared" si="189"/>
        <v>HubSpot</v>
      </c>
      <c r="L1154" s="15">
        <v>670</v>
      </c>
      <c r="M1154" s="15">
        <v>163</v>
      </c>
      <c r="N1154" s="15">
        <v>2</v>
      </c>
      <c r="O1154" s="9"/>
      <c r="P1154" s="10">
        <v>43801.941157407404</v>
      </c>
      <c r="Q1154" s="14" t="s">
        <v>753</v>
      </c>
      <c r="R1154" s="14" t="s">
        <v>5095</v>
      </c>
      <c r="S1154" s="7" t="s">
        <v>5096</v>
      </c>
      <c r="T1154" s="8"/>
      <c r="U1154" s="11" t="str">
        <f>HYPERLINK("https://pbs.twimg.com/profile_images/1203440695442325504/DquHO687.jpg","View")</f>
        <v>View</v>
      </c>
      <c r="V1154" s="8"/>
      <c r="W1154" s="8"/>
      <c r="X1154" s="8"/>
      <c r="Y1154" s="8"/>
      <c r="Z1154" s="8"/>
    </row>
    <row r="1155" spans="1:26" ht="13.2">
      <c r="A1155" s="13">
        <v>44250.503564814819</v>
      </c>
      <c r="B1155" s="6" t="str">
        <f>HYPERLINK("https://twitter.com/MiriamAsensi","@MiriamAsensi")</f>
        <v>@MiriamAsensi</v>
      </c>
      <c r="C1155" s="14" t="s">
        <v>2634</v>
      </c>
      <c r="D1155" s="14" t="s">
        <v>5097</v>
      </c>
      <c r="E1155" s="6" t="str">
        <f>HYPERLINK("https://twitter.com/MiriamAsensi/status/1364169418134196226","1364169418134196226")</f>
        <v>1364169418134196226</v>
      </c>
      <c r="F1155" s="7" t="s">
        <v>5098</v>
      </c>
      <c r="G1155" s="8"/>
      <c r="H1155" s="8"/>
      <c r="I1155" s="14">
        <v>24</v>
      </c>
      <c r="J1155" s="14">
        <v>12</v>
      </c>
      <c r="K1155" s="6" t="str">
        <f>HYPERLINK("https://socxopte.com/","SocxoPte")</f>
        <v>SocxoPte</v>
      </c>
      <c r="L1155" s="15">
        <v>746</v>
      </c>
      <c r="M1155" s="15">
        <v>882</v>
      </c>
      <c r="N1155" s="15">
        <v>5</v>
      </c>
      <c r="O1155" s="9"/>
      <c r="P1155" s="10">
        <v>43995.357581018514</v>
      </c>
      <c r="Q1155" s="14" t="s">
        <v>599</v>
      </c>
      <c r="R1155" s="14" t="s">
        <v>2637</v>
      </c>
      <c r="S1155" s="7" t="s">
        <v>2638</v>
      </c>
      <c r="T1155" s="8"/>
      <c r="U1155" s="11" t="str">
        <f>HYPERLINK("https://pbs.twimg.com/profile_images/1271692933683699712/Y4d_WLK4.jpg","View")</f>
        <v>View</v>
      </c>
      <c r="V1155" s="8"/>
      <c r="W1155" s="8"/>
      <c r="X1155" s="8"/>
      <c r="Y1155" s="8"/>
      <c r="Z1155" s="8"/>
    </row>
    <row r="1156" spans="1:26" ht="13.2">
      <c r="A1156" s="13">
        <v>44250.503530092596</v>
      </c>
      <c r="B1156" s="6" t="str">
        <f>HYPERLINK("https://twitter.com/BirkbeckBEI","@BirkbeckBEI")</f>
        <v>@BirkbeckBEI</v>
      </c>
      <c r="C1156" s="14" t="s">
        <v>5099</v>
      </c>
      <c r="D1156" s="14" t="s">
        <v>5100</v>
      </c>
      <c r="E1156" s="6" t="str">
        <f>HYPERLINK("https://twitter.com/BirkbeckBEI/status/1364169404045545475","1364169404045545475")</f>
        <v>1364169404045545475</v>
      </c>
      <c r="F1156" s="7" t="s">
        <v>5101</v>
      </c>
      <c r="G1156" s="7" t="s">
        <v>5102</v>
      </c>
      <c r="H1156" s="8"/>
      <c r="I1156" s="14">
        <v>9</v>
      </c>
      <c r="J1156" s="14">
        <v>7</v>
      </c>
      <c r="K1156" s="6" t="str">
        <f>HYPERLINK("https://www.hootsuite.com","Hootsuite Inc.")</f>
        <v>Hootsuite Inc.</v>
      </c>
      <c r="L1156" s="15">
        <v>3369</v>
      </c>
      <c r="M1156" s="15">
        <v>888</v>
      </c>
      <c r="N1156" s="15">
        <v>137</v>
      </c>
      <c r="O1156" s="9"/>
      <c r="P1156" s="10">
        <v>41256.631689814814</v>
      </c>
      <c r="Q1156" s="14" t="s">
        <v>753</v>
      </c>
      <c r="R1156" s="14" t="s">
        <v>5103</v>
      </c>
      <c r="S1156" s="7" t="s">
        <v>5104</v>
      </c>
      <c r="T1156" s="8"/>
      <c r="U1156" s="11" t="str">
        <f>HYPERLINK("https://pbs.twimg.com/profile_images/877183824307814400/seIF7SEy.jpg","View")</f>
        <v>View</v>
      </c>
      <c r="V1156" s="8"/>
      <c r="W1156" s="8"/>
      <c r="X1156" s="8"/>
      <c r="Y1156" s="8"/>
      <c r="Z1156" s="8"/>
    </row>
    <row r="1157" spans="1:26" ht="13.2">
      <c r="A1157" s="13">
        <v>44250.503333333334</v>
      </c>
      <c r="B1157" s="6" t="str">
        <f>HYPERLINK("https://twitter.com/UAdvisor4","@UAdvisor4")</f>
        <v>@UAdvisor4</v>
      </c>
      <c r="C1157" s="14" t="s">
        <v>5073</v>
      </c>
      <c r="D1157" s="14" t="s">
        <v>5105</v>
      </c>
      <c r="E1157" s="6" t="str">
        <f>HYPERLINK("https://twitter.com/UAdvisor4/status/1364169331718950913","1364169331718950913")</f>
        <v>1364169331718950913</v>
      </c>
      <c r="F1157" s="8"/>
      <c r="G1157" s="7" t="s">
        <v>5106</v>
      </c>
      <c r="H1157" s="8"/>
      <c r="I1157" s="14">
        <v>0</v>
      </c>
      <c r="J1157" s="14">
        <v>1</v>
      </c>
      <c r="K1157" s="6" t="str">
        <f>HYPERLINK("http://twitter.com/download/iphone","Twitter for iPhone")</f>
        <v>Twitter for iPhone</v>
      </c>
      <c r="L1157" s="15">
        <v>24</v>
      </c>
      <c r="M1157" s="15">
        <v>127</v>
      </c>
      <c r="N1157" s="15">
        <v>0</v>
      </c>
      <c r="O1157" s="9"/>
      <c r="P1157" s="10">
        <v>43589.030046296291</v>
      </c>
      <c r="Q1157" s="14" t="s">
        <v>4297</v>
      </c>
      <c r="R1157" s="14" t="s">
        <v>5076</v>
      </c>
      <c r="S1157" s="7" t="s">
        <v>5077</v>
      </c>
      <c r="T1157" s="8"/>
      <c r="U1157" s="11" t="str">
        <f>HYPERLINK("https://pbs.twimg.com/profile_images/1165639191759400960/8kAQDsKL.jpg","View")</f>
        <v>View</v>
      </c>
      <c r="V1157" s="8"/>
      <c r="W1157" s="8"/>
      <c r="X1157" s="8"/>
      <c r="Y1157" s="8"/>
      <c r="Z1157" s="8"/>
    </row>
    <row r="1158" spans="1:26" ht="13.2">
      <c r="A1158" s="13">
        <v>44250.503275462965</v>
      </c>
      <c r="B1158" s="6" t="str">
        <f>HYPERLINK("https://twitter.com/Thomas_Harrer","@Thomas_Harrer")</f>
        <v>@Thomas_Harrer</v>
      </c>
      <c r="C1158" s="14" t="s">
        <v>5107</v>
      </c>
      <c r="D1158" s="14" t="s">
        <v>5108</v>
      </c>
      <c r="E1158" s="6" t="str">
        <f>HYPERLINK("https://twitter.com/Thomas_Harrer/status/1364169309803532292","1364169309803532292")</f>
        <v>1364169309803532292</v>
      </c>
      <c r="F1158" s="7" t="s">
        <v>5109</v>
      </c>
      <c r="G1158" s="14" t="s">
        <v>5110</v>
      </c>
      <c r="H1158" s="8"/>
      <c r="I1158" s="14">
        <v>4</v>
      </c>
      <c r="J1158" s="14">
        <v>4</v>
      </c>
      <c r="K1158" s="6" t="str">
        <f>HYPERLINK("https://about.twitter.com/products/tweetdeck","TweetDeck")</f>
        <v>TweetDeck</v>
      </c>
      <c r="L1158" s="15">
        <v>5079</v>
      </c>
      <c r="M1158" s="15">
        <v>969</v>
      </c>
      <c r="N1158" s="15">
        <v>170</v>
      </c>
      <c r="O1158" s="9"/>
      <c r="P1158" s="10">
        <v>41376.789618055554</v>
      </c>
      <c r="Q1158" s="14" t="s">
        <v>3324</v>
      </c>
      <c r="R1158" s="14" t="s">
        <v>5111</v>
      </c>
      <c r="S1158" s="7" t="s">
        <v>5112</v>
      </c>
      <c r="T1158" s="8"/>
      <c r="U1158" s="11" t="str">
        <f>HYPERLINK("https://pbs.twimg.com/profile_images/1313823712395898880/CPEAUxsr.jpg","View")</f>
        <v>View</v>
      </c>
      <c r="V1158" s="8"/>
      <c r="W1158" s="8"/>
      <c r="X1158" s="8"/>
      <c r="Y1158" s="8"/>
      <c r="Z1158" s="8"/>
    </row>
    <row r="1159" spans="1:26" ht="13.2">
      <c r="A1159" s="13">
        <v>44250.502800925926</v>
      </c>
      <c r="B1159" s="6" t="str">
        <f>HYPERLINK("https://twitter.com/FrankVullers","@FrankVullers")</f>
        <v>@FrankVullers</v>
      </c>
      <c r="C1159" s="14" t="s">
        <v>5113</v>
      </c>
      <c r="D1159" s="14" t="s">
        <v>5070</v>
      </c>
      <c r="E1159" s="6" t="str">
        <f>HYPERLINK("https://twitter.com/FrankVullers/status/1364169139586146304","1364169139586146304")</f>
        <v>1364169139586146304</v>
      </c>
      <c r="F1159" s="7" t="s">
        <v>5114</v>
      </c>
      <c r="G1159" s="7" t="s">
        <v>5115</v>
      </c>
      <c r="H1159" s="8"/>
      <c r="I1159" s="14">
        <v>2</v>
      </c>
      <c r="J1159" s="14">
        <v>1</v>
      </c>
      <c r="K1159" s="6" t="str">
        <f>HYPERLINK("http://dynamicsignal.com/","Dynamic Signal")</f>
        <v>Dynamic Signal</v>
      </c>
      <c r="L1159" s="15">
        <v>249</v>
      </c>
      <c r="M1159" s="15">
        <v>302</v>
      </c>
      <c r="N1159" s="15">
        <v>36</v>
      </c>
      <c r="O1159" s="9"/>
      <c r="P1159" s="10">
        <v>39994.911886574075</v>
      </c>
      <c r="Q1159" s="12" t="s">
        <v>5116</v>
      </c>
      <c r="R1159" s="14" t="s">
        <v>5117</v>
      </c>
      <c r="S1159" s="7" t="s">
        <v>5118</v>
      </c>
      <c r="T1159" s="8"/>
      <c r="U1159" s="11" t="str">
        <f>HYPERLINK("https://pbs.twimg.com/profile_images/758566700384223232/8MhgwQYM.jpg","View")</f>
        <v>View</v>
      </c>
      <c r="V1159" s="8"/>
      <c r="W1159" s="8"/>
      <c r="X1159" s="8"/>
      <c r="Y1159" s="8"/>
      <c r="Z1159" s="8"/>
    </row>
    <row r="1160" spans="1:26" ht="13.2">
      <c r="A1160" s="13">
        <v>44250.502662037034</v>
      </c>
      <c r="B1160" s="6" t="str">
        <f>HYPERLINK("https://twitter.com/Inno3news","@Inno3news")</f>
        <v>@Inno3news</v>
      </c>
      <c r="C1160" s="14" t="s">
        <v>5119</v>
      </c>
      <c r="D1160" s="14" t="s">
        <v>5120</v>
      </c>
      <c r="E1160" s="6" t="str">
        <f>HYPERLINK("https://twitter.com/Inno3news/status/1364169087455268864","1364169087455268864")</f>
        <v>1364169087455268864</v>
      </c>
      <c r="F1160" s="7" t="s">
        <v>5121</v>
      </c>
      <c r="G1160" s="8"/>
      <c r="H1160" s="8"/>
      <c r="I1160" s="14">
        <v>1</v>
      </c>
      <c r="J1160" s="14">
        <v>1</v>
      </c>
      <c r="K1160" s="6" t="str">
        <f t="shared" ref="K1160:K1161" si="190">HYPERLINK("https://mobile.twitter.com","Twitter Web App")</f>
        <v>Twitter Web App</v>
      </c>
      <c r="L1160" s="15">
        <v>486</v>
      </c>
      <c r="M1160" s="15">
        <v>109</v>
      </c>
      <c r="N1160" s="15">
        <v>15</v>
      </c>
      <c r="O1160" s="9"/>
      <c r="P1160" s="10">
        <v>43074.416041666671</v>
      </c>
      <c r="Q1160" s="14" t="s">
        <v>5122</v>
      </c>
      <c r="R1160" s="14" t="s">
        <v>5123</v>
      </c>
      <c r="S1160" s="7" t="s">
        <v>5124</v>
      </c>
      <c r="T1160" s="8"/>
      <c r="U1160" s="11" t="str">
        <f>HYPERLINK("https://pbs.twimg.com/profile_images/937971222394097664/h769Wj2y.jpg","View")</f>
        <v>View</v>
      </c>
      <c r="V1160" s="8"/>
      <c r="W1160" s="8"/>
      <c r="X1160" s="8"/>
      <c r="Y1160" s="8"/>
      <c r="Z1160" s="8"/>
    </row>
    <row r="1161" spans="1:26" ht="13.2">
      <c r="A1161" s="13">
        <v>44250.502476851849</v>
      </c>
      <c r="B1161" s="6" t="str">
        <f>HYPERLINK("https://twitter.com/viso_ai","@viso_ai")</f>
        <v>@viso_ai</v>
      </c>
      <c r="C1161" s="7" t="s">
        <v>5125</v>
      </c>
      <c r="D1161" s="14" t="s">
        <v>5126</v>
      </c>
      <c r="E1161" s="6" t="str">
        <f>HYPERLINK("https://twitter.com/viso_ai/status/1364169021411758087","1364169021411758087")</f>
        <v>1364169021411758087</v>
      </c>
      <c r="F1161" s="7" t="s">
        <v>5127</v>
      </c>
      <c r="G1161" s="7" t="s">
        <v>5128</v>
      </c>
      <c r="H1161" s="8"/>
      <c r="I1161" s="14">
        <v>3</v>
      </c>
      <c r="J1161" s="14">
        <v>1</v>
      </c>
      <c r="K1161" s="6" t="str">
        <f t="shared" si="190"/>
        <v>Twitter Web App</v>
      </c>
      <c r="L1161" s="15">
        <v>5</v>
      </c>
      <c r="M1161" s="15">
        <v>0</v>
      </c>
      <c r="N1161" s="15">
        <v>0</v>
      </c>
      <c r="O1161" s="9"/>
      <c r="P1161" s="10">
        <v>44092.940775462965</v>
      </c>
      <c r="Q1161" s="14" t="s">
        <v>2424</v>
      </c>
      <c r="R1161" s="14" t="s">
        <v>5129</v>
      </c>
      <c r="S1161" s="7" t="s">
        <v>5130</v>
      </c>
      <c r="T1161" s="8"/>
      <c r="U1161" s="11" t="str">
        <f>HYPERLINK("https://pbs.twimg.com/profile_images/1307055582130720768/BRTkLNbG.png","View")</f>
        <v>View</v>
      </c>
      <c r="V1161" s="8"/>
      <c r="W1161" s="8"/>
      <c r="X1161" s="8"/>
      <c r="Y1161" s="8"/>
      <c r="Z1161" s="8"/>
    </row>
    <row r="1162" spans="1:26" ht="13.2">
      <c r="A1162" s="13">
        <v>44250.502442129626</v>
      </c>
      <c r="B1162" s="6" t="str">
        <f>HYPERLINK("https://twitter.com/cornichecorp","@cornichecorp")</f>
        <v>@cornichecorp</v>
      </c>
      <c r="C1162" s="14" t="s">
        <v>2271</v>
      </c>
      <c r="D1162" s="14" t="s">
        <v>2481</v>
      </c>
      <c r="E1162" s="6" t="str">
        <f>HYPERLINK("https://twitter.com/cornichecorp/status/1364169011248975873","1364169011248975873")</f>
        <v>1364169011248975873</v>
      </c>
      <c r="F1162" s="14" t="s">
        <v>2482</v>
      </c>
      <c r="G1162" s="8"/>
      <c r="H1162" s="8"/>
      <c r="I1162" s="14">
        <v>1</v>
      </c>
      <c r="J1162" s="14">
        <v>1</v>
      </c>
      <c r="K1162" s="6" t="str">
        <f>HYPERLINK("http://twinybots.com","TwinyBots")</f>
        <v>TwinyBots</v>
      </c>
      <c r="L1162" s="15">
        <v>2349</v>
      </c>
      <c r="M1162" s="15">
        <v>2163</v>
      </c>
      <c r="N1162" s="15">
        <v>30</v>
      </c>
      <c r="O1162" s="9"/>
      <c r="P1162" s="10">
        <v>42246.917499999996</v>
      </c>
      <c r="Q1162" s="14" t="s">
        <v>2274</v>
      </c>
      <c r="R1162" s="14" t="s">
        <v>2275</v>
      </c>
      <c r="S1162" s="8"/>
      <c r="T1162" s="8"/>
      <c r="U1162" s="11" t="str">
        <f>HYPERLINK("https://pbs.twimg.com/profile_images/1135863200396775424/vPe8Htor.png","View")</f>
        <v>View</v>
      </c>
      <c r="V1162" s="8"/>
      <c r="W1162" s="8"/>
      <c r="X1162" s="8"/>
      <c r="Y1162" s="8"/>
      <c r="Z1162" s="8"/>
    </row>
    <row r="1163" spans="1:26" ht="13.2">
      <c r="A1163" s="13">
        <v>44250.502129629633</v>
      </c>
      <c r="B1163" s="6" t="str">
        <f>HYPERLINK("https://twitter.com/lopezunwired","@lopezunwired")</f>
        <v>@lopezunwired</v>
      </c>
      <c r="C1163" s="14" t="s">
        <v>224</v>
      </c>
      <c r="D1163" s="14" t="s">
        <v>5131</v>
      </c>
      <c r="E1163" s="6" t="str">
        <f>HYPERLINK("https://twitter.com/lopezunwired/status/1364168894454243330","1364168894454243330")</f>
        <v>1364168894454243330</v>
      </c>
      <c r="F1163" s="7" t="s">
        <v>5132</v>
      </c>
      <c r="G1163" s="7" t="s">
        <v>5133</v>
      </c>
      <c r="H1163" s="8"/>
      <c r="I1163" s="14">
        <v>1</v>
      </c>
      <c r="J1163" s="14">
        <v>1</v>
      </c>
      <c r="K1163" s="6" t="str">
        <f>HYPERLINK("https://dlvrit.com/","dlvr.it")</f>
        <v>dlvr.it</v>
      </c>
      <c r="L1163" s="15">
        <v>1803</v>
      </c>
      <c r="M1163" s="15">
        <v>800</v>
      </c>
      <c r="N1163" s="15">
        <v>586</v>
      </c>
      <c r="O1163" s="9"/>
      <c r="P1163" s="10">
        <v>39831.947152777779</v>
      </c>
      <c r="Q1163" s="14" t="s">
        <v>228</v>
      </c>
      <c r="R1163" s="14" t="s">
        <v>229</v>
      </c>
      <c r="S1163" s="7" t="s">
        <v>230</v>
      </c>
      <c r="T1163" s="8"/>
      <c r="U1163" s="11" t="str">
        <f>HYPERLINK("https://pbs.twimg.com/profile_images/3326137784/c6c1c2570fc7b9711dd8de812b996a66.jpeg","View")</f>
        <v>View</v>
      </c>
      <c r="V1163" s="8"/>
      <c r="W1163" s="8"/>
      <c r="X1163" s="8"/>
      <c r="Y1163" s="8"/>
      <c r="Z1163" s="8"/>
    </row>
    <row r="1164" spans="1:26" ht="13.2">
      <c r="A1164" s="13">
        <v>44250.501828703702</v>
      </c>
      <c r="B1164" s="6" t="str">
        <f>HYPERLINK("https://twitter.com/TopCyberNews","@TopCyberNews")</f>
        <v>@TopCyberNews</v>
      </c>
      <c r="C1164" s="14" t="s">
        <v>5134</v>
      </c>
      <c r="D1164" s="14" t="s">
        <v>5108</v>
      </c>
      <c r="E1164" s="6" t="str">
        <f>HYPERLINK("https://twitter.com/TopCyberNews/status/1364168788413997056","1364168788413997056")</f>
        <v>1364168788413997056</v>
      </c>
      <c r="F1164" s="7" t="s">
        <v>5109</v>
      </c>
      <c r="G1164" s="7" t="s">
        <v>5135</v>
      </c>
      <c r="H1164" s="8"/>
      <c r="I1164" s="14">
        <v>1</v>
      </c>
      <c r="J1164" s="14">
        <v>2</v>
      </c>
      <c r="K1164" s="6" t="str">
        <f>HYPERLINK("http://twitter.com/download/android","Twitter for Android")</f>
        <v>Twitter for Android</v>
      </c>
      <c r="L1164" s="15">
        <v>29586</v>
      </c>
      <c r="M1164" s="15">
        <v>3443</v>
      </c>
      <c r="N1164" s="15">
        <v>4422</v>
      </c>
      <c r="O1164" s="9"/>
      <c r="P1164" s="10">
        <v>40113.298888888887</v>
      </c>
      <c r="Q1164" s="14" t="s">
        <v>5136</v>
      </c>
      <c r="R1164" s="14" t="s">
        <v>5137</v>
      </c>
      <c r="S1164" s="7" t="s">
        <v>5138</v>
      </c>
      <c r="T1164" s="8"/>
      <c r="U1164" s="11" t="str">
        <f>HYPERLINK("https://pbs.twimg.com/profile_images/1307663222653231104/OFg7I-fj.jpg","View")</f>
        <v>View</v>
      </c>
      <c r="V1164" s="8"/>
      <c r="W1164" s="8"/>
      <c r="X1164" s="8"/>
      <c r="Y1164" s="8"/>
      <c r="Z1164" s="8"/>
    </row>
    <row r="1165" spans="1:26" ht="13.2">
      <c r="A1165" s="13">
        <v>44250.501111111109</v>
      </c>
      <c r="B1165" s="6" t="str">
        <f>HYPERLINK("https://twitter.com/MyrestAi","@MyrestAi")</f>
        <v>@MyrestAi</v>
      </c>
      <c r="C1165" s="7" t="s">
        <v>5139</v>
      </c>
      <c r="D1165" s="14" t="s">
        <v>5140</v>
      </c>
      <c r="E1165" s="6" t="str">
        <f>HYPERLINK("https://twitter.com/MyrestAi/status/1364168528224522245","1364168528224522245")</f>
        <v>1364168528224522245</v>
      </c>
      <c r="F1165" s="8"/>
      <c r="G1165" s="7" t="s">
        <v>5141</v>
      </c>
      <c r="H1165" s="8"/>
      <c r="I1165" s="14">
        <v>0</v>
      </c>
      <c r="J1165" s="14">
        <v>1</v>
      </c>
      <c r="K1165" s="6" t="str">
        <f>HYPERLINK("https://www.later.com","LaterMedia")</f>
        <v>LaterMedia</v>
      </c>
      <c r="L1165" s="15">
        <v>19</v>
      </c>
      <c r="M1165" s="15">
        <v>63</v>
      </c>
      <c r="N1165" s="15">
        <v>0</v>
      </c>
      <c r="O1165" s="9"/>
      <c r="P1165" s="10">
        <v>44244.53087962963</v>
      </c>
      <c r="Q1165" s="14" t="s">
        <v>5142</v>
      </c>
      <c r="R1165" s="14" t="s">
        <v>5143</v>
      </c>
      <c r="S1165" s="7" t="s">
        <v>5144</v>
      </c>
      <c r="T1165" s="8"/>
      <c r="U1165" s="11" t="str">
        <f>HYPERLINK("https://pbs.twimg.com/profile_images/1362005127633268737/JdaBDWbl.jpg","View")</f>
        <v>View</v>
      </c>
      <c r="V1165" s="8"/>
      <c r="W1165" s="8"/>
      <c r="X1165" s="8"/>
      <c r="Y1165" s="8"/>
      <c r="Z1165" s="8"/>
    </row>
    <row r="1166" spans="1:26" ht="13.2">
      <c r="A1166" s="13">
        <v>44250.501030092593</v>
      </c>
      <c r="B1166" s="6" t="str">
        <f>HYPERLINK("https://twitter.com/pythonwebconf","@pythonwebconf")</f>
        <v>@pythonwebconf</v>
      </c>
      <c r="C1166" s="14" t="s">
        <v>5145</v>
      </c>
      <c r="D1166" s="14" t="s">
        <v>5146</v>
      </c>
      <c r="E1166" s="6" t="str">
        <f>HYPERLINK("https://twitter.com/pythonwebconf/status/1364168496851128321","1364168496851128321")</f>
        <v>1364168496851128321</v>
      </c>
      <c r="F1166" s="7" t="s">
        <v>5147</v>
      </c>
      <c r="G1166" s="7" t="s">
        <v>5148</v>
      </c>
      <c r="H1166" s="8"/>
      <c r="I1166" s="14">
        <v>11</v>
      </c>
      <c r="J1166" s="14">
        <v>7</v>
      </c>
      <c r="K1166" s="6" t="str">
        <f>HYPERLINK("https://www.loomly.com/","Loomly")</f>
        <v>Loomly</v>
      </c>
      <c r="L1166" s="15">
        <v>111</v>
      </c>
      <c r="M1166" s="15">
        <v>145</v>
      </c>
      <c r="N1166" s="15">
        <v>3</v>
      </c>
      <c r="O1166" s="9"/>
      <c r="P1166" s="10">
        <v>44099.711886574078</v>
      </c>
      <c r="Q1166" s="14" t="s">
        <v>179</v>
      </c>
      <c r="R1166" s="14" t="s">
        <v>5149</v>
      </c>
      <c r="S1166" s="7" t="s">
        <v>5150</v>
      </c>
      <c r="T1166" s="8"/>
      <c r="U1166" s="11" t="str">
        <f>HYPERLINK("https://pbs.twimg.com/profile_images/1341147078328770563/5DE7iPIB.jpg","View")</f>
        <v>View</v>
      </c>
      <c r="V1166" s="8"/>
      <c r="W1166" s="8"/>
      <c r="X1166" s="8"/>
      <c r="Y1166" s="8"/>
      <c r="Z1166" s="8"/>
    </row>
    <row r="1167" spans="1:26" ht="13.2">
      <c r="A1167" s="13">
        <v>44250.500949074078</v>
      </c>
      <c r="B1167" s="6" t="str">
        <f>HYPERLINK("https://twitter.com/yashdeshpande95","@yashdeshpande95")</f>
        <v>@yashdeshpande95</v>
      </c>
      <c r="C1167" s="14" t="s">
        <v>5151</v>
      </c>
      <c r="D1167" s="14" t="s">
        <v>5152</v>
      </c>
      <c r="E1167" s="6" t="str">
        <f>HYPERLINK("https://twitter.com/yashdeshpande95/status/1364168469835485186","1364168469835485186")</f>
        <v>1364168469835485186</v>
      </c>
      <c r="F1167" s="7" t="s">
        <v>5153</v>
      </c>
      <c r="G1167" s="7" t="s">
        <v>5154</v>
      </c>
      <c r="H1167" s="8"/>
      <c r="I1167" s="14">
        <v>1</v>
      </c>
      <c r="J1167" s="14">
        <v>1</v>
      </c>
      <c r="K1167" s="6" t="str">
        <f>HYPERLINK("http://twitter.com/download/android","Twitter for Android")</f>
        <v>Twitter for Android</v>
      </c>
      <c r="L1167" s="15">
        <v>105</v>
      </c>
      <c r="M1167" s="15">
        <v>663</v>
      </c>
      <c r="N1167" s="15">
        <v>0</v>
      </c>
      <c r="O1167" s="9"/>
      <c r="P1167" s="10">
        <v>41154.732893518521</v>
      </c>
      <c r="Q1167" s="14" t="s">
        <v>5155</v>
      </c>
      <c r="R1167" s="14" t="s">
        <v>5156</v>
      </c>
      <c r="S1167" s="7" t="s">
        <v>5157</v>
      </c>
      <c r="T1167" s="8"/>
      <c r="U1167" s="11" t="str">
        <f>HYPERLINK("https://pbs.twimg.com/profile_images/1206194994861625346/sOr3X3Wk.jpg","View")</f>
        <v>View</v>
      </c>
      <c r="V1167" s="8"/>
      <c r="W1167" s="8"/>
      <c r="X1167" s="8"/>
      <c r="Y1167" s="8"/>
      <c r="Z1167" s="8"/>
    </row>
    <row r="1168" spans="1:26" ht="13.2">
      <c r="A1168" s="13">
        <v>44250.500775462962</v>
      </c>
      <c r="B1168" s="6" t="str">
        <f>HYPERLINK("https://twitter.com/RoyalStatSoc","@RoyalStatSoc")</f>
        <v>@RoyalStatSoc</v>
      </c>
      <c r="C1168" s="14" t="s">
        <v>5158</v>
      </c>
      <c r="D1168" s="14" t="s">
        <v>5159</v>
      </c>
      <c r="E1168" s="6" t="str">
        <f>HYPERLINK("https://twitter.com/RoyalStatSoc/status/1364168404245110784","1364168404245110784")</f>
        <v>1364168404245110784</v>
      </c>
      <c r="F1168" s="7" t="s">
        <v>5160</v>
      </c>
      <c r="G1168" s="7" t="s">
        <v>5161</v>
      </c>
      <c r="H1168" s="8"/>
      <c r="I1168" s="14">
        <v>2</v>
      </c>
      <c r="J1168" s="14">
        <v>5</v>
      </c>
      <c r="K1168" s="6" t="str">
        <f>HYPERLINK("https://www.hootsuite.com","Hootsuite Inc.")</f>
        <v>Hootsuite Inc.</v>
      </c>
      <c r="L1168" s="15">
        <v>29683</v>
      </c>
      <c r="M1168" s="15">
        <v>1007</v>
      </c>
      <c r="N1168" s="15">
        <v>614</v>
      </c>
      <c r="O1168" s="15" t="s">
        <v>130</v>
      </c>
      <c r="P1168" s="10">
        <v>40255.635393518518</v>
      </c>
      <c r="Q1168" s="14" t="s">
        <v>1890</v>
      </c>
      <c r="R1168" s="14" t="s">
        <v>5162</v>
      </c>
      <c r="S1168" s="7" t="s">
        <v>5163</v>
      </c>
      <c r="T1168" s="8"/>
      <c r="U1168" s="11" t="str">
        <f>HYPERLINK("https://pbs.twimg.com/profile_images/1063403685483560960/dVxGKnl8.jpg","View")</f>
        <v>View</v>
      </c>
      <c r="V1168" s="8"/>
      <c r="W1168" s="8"/>
      <c r="X1168" s="8"/>
      <c r="Y1168" s="8"/>
      <c r="Z1168" s="8"/>
    </row>
    <row r="1169" spans="1:26" ht="13.2">
      <c r="A1169" s="13">
        <v>44250.500706018516</v>
      </c>
      <c r="B1169" s="6" t="str">
        <f>HYPERLINK("https://twitter.com/_SanjayDas","@_SanjayDas")</f>
        <v>@_SanjayDas</v>
      </c>
      <c r="C1169" s="14" t="s">
        <v>5164</v>
      </c>
      <c r="D1169" s="14" t="s">
        <v>5165</v>
      </c>
      <c r="E1169" s="6" t="str">
        <f>HYPERLINK("https://twitter.com/_SanjayDas/status/1364168379628724225","1364168379628724225")</f>
        <v>1364168379628724225</v>
      </c>
      <c r="F1169" s="7" t="s">
        <v>5166</v>
      </c>
      <c r="G1169" s="7" t="s">
        <v>5167</v>
      </c>
      <c r="H1169" s="8"/>
      <c r="I1169" s="14">
        <v>1</v>
      </c>
      <c r="J1169" s="14">
        <v>3</v>
      </c>
      <c r="K1169" s="6" t="str">
        <f>HYPERLINK("https://buffer.com","Buffer")</f>
        <v>Buffer</v>
      </c>
      <c r="L1169" s="15">
        <v>1205</v>
      </c>
      <c r="M1169" s="15">
        <v>1409</v>
      </c>
      <c r="N1169" s="15">
        <v>31</v>
      </c>
      <c r="O1169" s="9"/>
      <c r="P1169" s="10">
        <v>42901.267060185186</v>
      </c>
      <c r="Q1169" s="14" t="s">
        <v>5168</v>
      </c>
      <c r="R1169" s="14" t="s">
        <v>5169</v>
      </c>
      <c r="S1169" s="7" t="s">
        <v>5170</v>
      </c>
      <c r="T1169" s="8"/>
      <c r="U1169" s="11" t="str">
        <f>HYPERLINK("https://pbs.twimg.com/profile_images/1324260655675793408/MpciYhRj.jpg","View")</f>
        <v>View</v>
      </c>
      <c r="V1169" s="8"/>
      <c r="W1169" s="8"/>
      <c r="X1169" s="8"/>
      <c r="Y1169" s="8"/>
      <c r="Z1169" s="8"/>
    </row>
    <row r="1170" spans="1:26" ht="13.2">
      <c r="A1170" s="13">
        <v>44250.500555555554</v>
      </c>
      <c r="B1170" s="6" t="str">
        <f>HYPERLINK("https://twitter.com/GroupArray","@GroupArray")</f>
        <v>@GroupArray</v>
      </c>
      <c r="C1170" s="14" t="s">
        <v>5171</v>
      </c>
      <c r="D1170" s="14" t="s">
        <v>5172</v>
      </c>
      <c r="E1170" s="6" t="str">
        <f>HYPERLINK("https://twitter.com/GroupArray/status/1364168324926570499","1364168324926570499")</f>
        <v>1364168324926570499</v>
      </c>
      <c r="F1170" s="7" t="s">
        <v>5173</v>
      </c>
      <c r="G1170" s="8"/>
      <c r="H1170" s="8"/>
      <c r="I1170" s="14">
        <v>1</v>
      </c>
      <c r="J1170" s="14">
        <v>1</v>
      </c>
      <c r="K1170" s="6" t="str">
        <f t="shared" ref="K1170:K1171" si="191">HYPERLINK("https://www.hootsuite.com","Hootsuite Inc.")</f>
        <v>Hootsuite Inc.</v>
      </c>
      <c r="L1170" s="15">
        <v>17</v>
      </c>
      <c r="M1170" s="15">
        <v>70</v>
      </c>
      <c r="N1170" s="15">
        <v>0</v>
      </c>
      <c r="O1170" s="9"/>
      <c r="P1170" s="10">
        <v>43864.911736111113</v>
      </c>
      <c r="Q1170" s="14" t="s">
        <v>5174</v>
      </c>
      <c r="R1170" s="14" t="s">
        <v>5175</v>
      </c>
      <c r="S1170" s="7" t="s">
        <v>5176</v>
      </c>
      <c r="T1170" s="8"/>
      <c r="U1170" s="11" t="str">
        <f>HYPERLINK("https://pbs.twimg.com/profile_images/1224435708695179264/MjPPSyuG.jpg","View")</f>
        <v>View</v>
      </c>
      <c r="V1170" s="8"/>
      <c r="W1170" s="8"/>
      <c r="X1170" s="8"/>
      <c r="Y1170" s="8"/>
      <c r="Z1170" s="8"/>
    </row>
    <row r="1171" spans="1:26" ht="13.2">
      <c r="A1171" s="13">
        <v>44250.500196759254</v>
      </c>
      <c r="B1171" s="6" t="str">
        <f>HYPERLINK("https://twitter.com/TeldatCorp","@TeldatCorp")</f>
        <v>@TeldatCorp</v>
      </c>
      <c r="C1171" s="14" t="s">
        <v>3188</v>
      </c>
      <c r="D1171" s="14" t="s">
        <v>5177</v>
      </c>
      <c r="E1171" s="6" t="str">
        <f>HYPERLINK("https://twitter.com/TeldatCorp/status/1364168197109407746","1364168197109407746")</f>
        <v>1364168197109407746</v>
      </c>
      <c r="F1171" s="7" t="s">
        <v>5178</v>
      </c>
      <c r="G1171" s="7" t="s">
        <v>5179</v>
      </c>
      <c r="H1171" s="8"/>
      <c r="I1171" s="14">
        <v>9</v>
      </c>
      <c r="J1171" s="14">
        <v>1</v>
      </c>
      <c r="K1171" s="6" t="str">
        <f t="shared" si="191"/>
        <v>Hootsuite Inc.</v>
      </c>
      <c r="L1171" s="15">
        <v>2037</v>
      </c>
      <c r="M1171" s="15">
        <v>1491</v>
      </c>
      <c r="N1171" s="15">
        <v>321</v>
      </c>
      <c r="O1171" s="9"/>
      <c r="P1171" s="10">
        <v>41457.489386574074</v>
      </c>
      <c r="Q1171" s="14" t="s">
        <v>75</v>
      </c>
      <c r="R1171" s="14" t="s">
        <v>3192</v>
      </c>
      <c r="S1171" s="7" t="s">
        <v>3193</v>
      </c>
      <c r="T1171" s="8"/>
      <c r="U1171" s="11" t="str">
        <f>HYPERLINK("https://pbs.twimg.com/profile_images/976387744422416384/ECvPSB0l.jpg","View")</f>
        <v>View</v>
      </c>
      <c r="V1171" s="8"/>
      <c r="W1171" s="8"/>
      <c r="X1171" s="8"/>
      <c r="Y1171" s="8"/>
      <c r="Z1171" s="8"/>
    </row>
    <row r="1172" spans="1:26" ht="13.2">
      <c r="A1172" s="13">
        <v>44250.500115740739</v>
      </c>
      <c r="B1172" s="6" t="str">
        <f>HYPERLINK("https://twitter.com/dataartisan1","@dataartisan1")</f>
        <v>@dataartisan1</v>
      </c>
      <c r="C1172" s="14" t="s">
        <v>5180</v>
      </c>
      <c r="D1172" s="14" t="s">
        <v>5181</v>
      </c>
      <c r="E1172" s="6" t="str">
        <f>HYPERLINK("https://twitter.com/dataartisan1/status/1364168166172094467","1364168166172094467")</f>
        <v>1364168166172094467</v>
      </c>
      <c r="F1172" s="8"/>
      <c r="G1172" s="8"/>
      <c r="H1172" s="8"/>
      <c r="I1172" s="14">
        <v>7</v>
      </c>
      <c r="J1172" s="14">
        <v>5</v>
      </c>
      <c r="K1172" s="8"/>
      <c r="L1172" s="15">
        <v>1424</v>
      </c>
      <c r="M1172" s="15">
        <v>245</v>
      </c>
      <c r="N1172" s="15">
        <v>13</v>
      </c>
      <c r="O1172" s="9"/>
      <c r="P1172" s="10">
        <v>43959.967418981483</v>
      </c>
      <c r="Q1172" s="8"/>
      <c r="R1172" s="14" t="s">
        <v>5182</v>
      </c>
      <c r="S1172" s="8"/>
      <c r="T1172" s="8"/>
      <c r="U1172" s="11" t="str">
        <f>HYPERLINK("https://pbs.twimg.com/profile_images/1258867763487166464/cEn_-Uu5.jpg","View")</f>
        <v>View</v>
      </c>
      <c r="V1172" s="8"/>
      <c r="W1172" s="8"/>
      <c r="X1172" s="8"/>
      <c r="Y1172" s="8"/>
      <c r="Z1172" s="8"/>
    </row>
    <row r="1173" spans="1:26" ht="13.2">
      <c r="A1173" s="13">
        <v>44250.500081018516</v>
      </c>
      <c r="B1173" s="6" t="str">
        <f>HYPERLINK("https://twitter.com/couponed_code","@couponed_code")</f>
        <v>@couponed_code</v>
      </c>
      <c r="C1173" s="14" t="s">
        <v>2605</v>
      </c>
      <c r="D1173" s="14" t="s">
        <v>5183</v>
      </c>
      <c r="E1173" s="6" t="str">
        <f>HYPERLINK("https://twitter.com/couponed_code/status/1364168152708313093","1364168152708313093")</f>
        <v>1364168152708313093</v>
      </c>
      <c r="F1173" s="7" t="s">
        <v>5184</v>
      </c>
      <c r="G1173" s="7" t="s">
        <v>5185</v>
      </c>
      <c r="H1173" s="8"/>
      <c r="I1173" s="14">
        <v>17</v>
      </c>
      <c r="J1173" s="14">
        <v>11</v>
      </c>
      <c r="K1173" s="6" t="str">
        <f>HYPERLINK("https://mobile.twitter.com","Twitter Web App")</f>
        <v>Twitter Web App</v>
      </c>
      <c r="L1173" s="15">
        <v>411</v>
      </c>
      <c r="M1173" s="15">
        <v>189</v>
      </c>
      <c r="N1173" s="15">
        <v>12</v>
      </c>
      <c r="O1173" s="9"/>
      <c r="P1173" s="10">
        <v>43795.697094907402</v>
      </c>
      <c r="Q1173" s="8"/>
      <c r="R1173" s="14" t="s">
        <v>2609</v>
      </c>
      <c r="S1173" s="7" t="s">
        <v>249</v>
      </c>
      <c r="T1173" s="8"/>
      <c r="U1173" s="11" t="str">
        <f>HYPERLINK("https://pbs.twimg.com/profile_images/1199354488051515392/yHRbpMAp.jpg","View")</f>
        <v>View</v>
      </c>
      <c r="V1173" s="8"/>
      <c r="W1173" s="8"/>
      <c r="X1173" s="8"/>
      <c r="Y1173" s="8"/>
      <c r="Z1173" s="8"/>
    </row>
    <row r="1174" spans="1:26" ht="13.2">
      <c r="A1174" s="13">
        <v>44250.500034722223</v>
      </c>
      <c r="B1174" s="6" t="str">
        <f>HYPERLINK("https://twitter.com/AnnePordon","@AnnePordon")</f>
        <v>@AnnePordon</v>
      </c>
      <c r="C1174" s="14" t="s">
        <v>1138</v>
      </c>
      <c r="D1174" s="14" t="s">
        <v>5186</v>
      </c>
      <c r="E1174" s="6" t="str">
        <f>HYPERLINK("https://twitter.com/AnnePordon/status/1364168136883200002","1364168136883200002")</f>
        <v>1364168136883200002</v>
      </c>
      <c r="F1174" s="7" t="s">
        <v>5187</v>
      </c>
      <c r="G1174" s="8"/>
      <c r="H1174" s="8"/>
      <c r="I1174" s="14">
        <v>32</v>
      </c>
      <c r="J1174" s="14">
        <v>15</v>
      </c>
      <c r="K1174" s="6" t="str">
        <f>HYPERLINK("http://www.linkedin.com/","LinkedIn")</f>
        <v>LinkedIn</v>
      </c>
      <c r="L1174" s="15">
        <v>265</v>
      </c>
      <c r="M1174" s="15">
        <v>565</v>
      </c>
      <c r="N1174" s="15">
        <v>5</v>
      </c>
      <c r="O1174" s="9"/>
      <c r="P1174" s="10">
        <v>43714.793321759258</v>
      </c>
      <c r="Q1174" s="14" t="s">
        <v>1141</v>
      </c>
      <c r="R1174" s="14" t="s">
        <v>1142</v>
      </c>
      <c r="S1174" s="8"/>
      <c r="T1174" s="8"/>
      <c r="U1174" s="11" t="str">
        <f>HYPERLINK("https://pbs.twimg.com/profile_images/1170020149455462401/KK9I4zZR.jpg","View")</f>
        <v>View</v>
      </c>
      <c r="V1174" s="8"/>
      <c r="W1174" s="8"/>
      <c r="X1174" s="8"/>
      <c r="Y1174" s="8"/>
      <c r="Z1174" s="8"/>
    </row>
    <row r="1175" spans="1:26" ht="13.2">
      <c r="A1175" s="13">
        <v>44250.500023148154</v>
      </c>
      <c r="B1175" s="6" t="str">
        <f>HYPERLINK("https://twitter.com/yywwy3","@yywwy3")</f>
        <v>@yywwy3</v>
      </c>
      <c r="C1175" s="14" t="s">
        <v>3899</v>
      </c>
      <c r="D1175" s="14" t="s">
        <v>5188</v>
      </c>
      <c r="E1175" s="6" t="str">
        <f>HYPERLINK("https://twitter.com/yywwy3/status/1364168132928020485","1364168132928020485")</f>
        <v>1364168132928020485</v>
      </c>
      <c r="F1175" s="8"/>
      <c r="G1175" s="7" t="s">
        <v>5189</v>
      </c>
      <c r="H1175" s="8"/>
      <c r="I1175" s="14">
        <v>15</v>
      </c>
      <c r="J1175" s="14">
        <v>9</v>
      </c>
      <c r="K1175" s="6" t="str">
        <f>HYPERLINK("https://mobile.twitter.com","Twitter Web App")</f>
        <v>Twitter Web App</v>
      </c>
      <c r="L1175" s="15">
        <v>1168</v>
      </c>
      <c r="M1175" s="15">
        <v>1444</v>
      </c>
      <c r="N1175" s="15">
        <v>4</v>
      </c>
      <c r="O1175" s="9"/>
      <c r="P1175" s="10">
        <v>44127.356435185182</v>
      </c>
      <c r="Q1175" s="14" t="s">
        <v>2501</v>
      </c>
      <c r="R1175" s="14" t="s">
        <v>3902</v>
      </c>
      <c r="S1175" s="8"/>
      <c r="T1175" s="8"/>
      <c r="U1175" s="11" t="str">
        <f>HYPERLINK("https://pbs.twimg.com/profile_images/1319539085661200384/VSgFxaju.jpg","View")</f>
        <v>View</v>
      </c>
      <c r="V1175" s="8"/>
      <c r="W1175" s="8"/>
      <c r="X1175" s="8"/>
      <c r="Y1175" s="8"/>
      <c r="Z1175" s="8"/>
    </row>
    <row r="1176" spans="1:26" ht="13.2">
      <c r="A1176" s="13">
        <v>44250.49998842593</v>
      </c>
      <c r="B1176" s="6" t="str">
        <f>HYPERLINK("https://twitter.com/WeAreIntellis","@WeAreIntellis")</f>
        <v>@WeAreIntellis</v>
      </c>
      <c r="C1176" s="14" t="s">
        <v>5190</v>
      </c>
      <c r="D1176" s="14" t="s">
        <v>5191</v>
      </c>
      <c r="E1176" s="6" t="str">
        <f>HYPERLINK("https://twitter.com/WeAreIntellis/status/1364168119745449984","1364168119745449984")</f>
        <v>1364168119745449984</v>
      </c>
      <c r="F1176" s="7" t="s">
        <v>5192</v>
      </c>
      <c r="G1176" s="8"/>
      <c r="H1176" s="8"/>
      <c r="I1176" s="14">
        <v>4</v>
      </c>
      <c r="J1176" s="14">
        <v>3</v>
      </c>
      <c r="K1176" s="6" t="str">
        <f>HYPERLINK("http://www.hubspot.com/","HubSpot")</f>
        <v>HubSpot</v>
      </c>
      <c r="L1176" s="15">
        <v>386</v>
      </c>
      <c r="M1176" s="15">
        <v>772</v>
      </c>
      <c r="N1176" s="15">
        <v>6</v>
      </c>
      <c r="O1176" s="9"/>
      <c r="P1176" s="10">
        <v>40449.747013888889</v>
      </c>
      <c r="Q1176" s="14" t="s">
        <v>215</v>
      </c>
      <c r="R1176" s="14" t="s">
        <v>5193</v>
      </c>
      <c r="S1176" s="7" t="s">
        <v>5194</v>
      </c>
      <c r="T1176" s="8"/>
      <c r="U1176" s="11" t="str">
        <f>HYPERLINK("https://pbs.twimg.com/profile_images/1318978036235177987/gqU30pxJ.jpg","View")</f>
        <v>View</v>
      </c>
      <c r="V1176" s="8"/>
      <c r="W1176" s="8"/>
      <c r="X1176" s="8"/>
      <c r="Y1176" s="8"/>
      <c r="Z1176" s="8"/>
    </row>
    <row r="1177" spans="1:26" ht="13.2">
      <c r="A1177" s="13">
        <v>44250.499791666662</v>
      </c>
      <c r="B1177" s="6" t="str">
        <f>HYPERLINK("https://twitter.com/BAUMEISTERCONS1","@BAUMEISTERCONS1")</f>
        <v>@BAUMEISTERCONS1</v>
      </c>
      <c r="C1177" s="14" t="s">
        <v>5195</v>
      </c>
      <c r="D1177" s="14" t="s">
        <v>5196</v>
      </c>
      <c r="E1177" s="6" t="str">
        <f>HYPERLINK("https://twitter.com/BAUMEISTERCONS1/status/1364168047792168961","1364168047792168961")</f>
        <v>1364168047792168961</v>
      </c>
      <c r="F1177" s="7" t="s">
        <v>5197</v>
      </c>
      <c r="G1177" s="7" t="s">
        <v>5198</v>
      </c>
      <c r="H1177" s="8"/>
      <c r="I1177" s="14">
        <v>3</v>
      </c>
      <c r="J1177" s="14">
        <v>0</v>
      </c>
      <c r="K1177" s="6" t="str">
        <f>HYPERLINK("https://mobile.twitter.com","Twitter Web App")</f>
        <v>Twitter Web App</v>
      </c>
      <c r="L1177" s="15">
        <v>199</v>
      </c>
      <c r="M1177" s="15">
        <v>257</v>
      </c>
      <c r="N1177" s="15">
        <v>0</v>
      </c>
      <c r="O1177" s="9"/>
      <c r="P1177" s="10">
        <v>44236.569803240738</v>
      </c>
      <c r="Q1177" s="14" t="s">
        <v>5199</v>
      </c>
      <c r="R1177" s="14" t="s">
        <v>5200</v>
      </c>
      <c r="S1177" s="7" t="s">
        <v>5201</v>
      </c>
      <c r="T1177" s="8"/>
      <c r="U1177" s="11" t="str">
        <f>HYPERLINK("https://pbs.twimg.com/profile_images/1359123505539866626/tZ-gtCMC.jpg","View")</f>
        <v>View</v>
      </c>
      <c r="V1177" s="8"/>
      <c r="W1177" s="8"/>
      <c r="X1177" s="8"/>
      <c r="Y1177" s="8"/>
      <c r="Z1177" s="8"/>
    </row>
    <row r="1178" spans="1:26" ht="13.2">
      <c r="A1178" s="13">
        <v>44250.499108796299</v>
      </c>
      <c r="B1178" s="6" t="str">
        <f>HYPERLINK("https://twitter.com/niellypie","@niellypie")</f>
        <v>@niellypie</v>
      </c>
      <c r="C1178" s="14" t="s">
        <v>5202</v>
      </c>
      <c r="D1178" s="14" t="s">
        <v>2087</v>
      </c>
      <c r="E1178" s="6" t="str">
        <f>HYPERLINK("https://twitter.com/niellypie/status/1364167801636798464","1364167801636798464")</f>
        <v>1364167801636798464</v>
      </c>
      <c r="F1178" s="7" t="s">
        <v>5203</v>
      </c>
      <c r="G1178" s="7" t="s">
        <v>5204</v>
      </c>
      <c r="H1178" s="8"/>
      <c r="I1178" s="14">
        <v>1</v>
      </c>
      <c r="J1178" s="14">
        <v>1</v>
      </c>
      <c r="K1178" s="6" t="str">
        <f>HYPERLINK("http://www.everyonesocial.com","EveryoneSocial")</f>
        <v>EveryoneSocial</v>
      </c>
      <c r="L1178" s="15">
        <v>147</v>
      </c>
      <c r="M1178" s="15">
        <v>154</v>
      </c>
      <c r="N1178" s="15">
        <v>3</v>
      </c>
      <c r="O1178" s="9"/>
      <c r="P1178" s="10">
        <v>40588.59138888889</v>
      </c>
      <c r="Q1178" s="14" t="s">
        <v>4035</v>
      </c>
      <c r="R1178" s="14" t="s">
        <v>5205</v>
      </c>
      <c r="S1178" s="8"/>
      <c r="T1178" s="8"/>
      <c r="U1178" s="11" t="str">
        <f>HYPERLINK("https://pbs.twimg.com/profile_images/968840652875288581/g4jUSok4.jpg","View")</f>
        <v>View</v>
      </c>
      <c r="V1178" s="8"/>
      <c r="W1178" s="8"/>
      <c r="X1178" s="8"/>
      <c r="Y1178" s="8"/>
      <c r="Z1178" s="8"/>
    </row>
    <row r="1179" spans="1:26" ht="13.2">
      <c r="A1179" s="13">
        <v>44250.498657407406</v>
      </c>
      <c r="B1179" s="6" t="str">
        <f>HYPERLINK("https://twitter.com/Innovat78455398","@Innovat78455398")</f>
        <v>@Innovat78455398</v>
      </c>
      <c r="C1179" s="14" t="s">
        <v>4318</v>
      </c>
      <c r="D1179" s="14" t="s">
        <v>5206</v>
      </c>
      <c r="E1179" s="6" t="str">
        <f>HYPERLINK("https://twitter.com/Innovat78455398/status/1364167638742487042","1364167638742487042")</f>
        <v>1364167638742487042</v>
      </c>
      <c r="F1179" s="7" t="s">
        <v>5207</v>
      </c>
      <c r="G1179" s="7" t="s">
        <v>5208</v>
      </c>
      <c r="H1179" s="8"/>
      <c r="I1179" s="14">
        <v>7</v>
      </c>
      <c r="J1179" s="14">
        <v>6</v>
      </c>
      <c r="K1179" s="6" t="str">
        <f t="shared" ref="K1179:K1190" si="192">HYPERLINK("https://mobile.twitter.com","Twitter Web App")</f>
        <v>Twitter Web App</v>
      </c>
      <c r="L1179" s="15">
        <v>101</v>
      </c>
      <c r="M1179" s="15">
        <v>142</v>
      </c>
      <c r="N1179" s="15">
        <v>1</v>
      </c>
      <c r="O1179" s="9"/>
      <c r="P1179" s="10">
        <v>44075.047534722224</v>
      </c>
      <c r="Q1179" s="14" t="s">
        <v>623</v>
      </c>
      <c r="R1179" s="14" t="s">
        <v>4322</v>
      </c>
      <c r="S1179" s="8"/>
      <c r="T1179" s="8"/>
      <c r="U1179" s="11" t="str">
        <f>HYPERLINK("https://pbs.twimg.com/profile_images/1300571380098850818/YjKI8L9l.jpg","View")</f>
        <v>View</v>
      </c>
      <c r="V1179" s="8"/>
      <c r="W1179" s="8"/>
      <c r="X1179" s="8"/>
      <c r="Y1179" s="8"/>
      <c r="Z1179" s="8"/>
    </row>
    <row r="1180" spans="1:26" ht="13.2">
      <c r="A1180" s="13">
        <v>44250.49836805556</v>
      </c>
      <c r="B1180" s="6" t="str">
        <f>HYPERLINK("https://twitter.com/Eli_Krumova","@Eli_Krumova")</f>
        <v>@Eli_Krumova</v>
      </c>
      <c r="C1180" s="14" t="s">
        <v>947</v>
      </c>
      <c r="D1180" s="14" t="s">
        <v>5209</v>
      </c>
      <c r="E1180" s="6" t="str">
        <f>HYPERLINK("https://twitter.com/Eli_Krumova/status/1364167534400974848","1364167534400974848")</f>
        <v>1364167534400974848</v>
      </c>
      <c r="F1180" s="14" t="s">
        <v>5210</v>
      </c>
      <c r="G1180" s="14" t="s">
        <v>5211</v>
      </c>
      <c r="H1180" s="8"/>
      <c r="I1180" s="14">
        <v>6</v>
      </c>
      <c r="J1180" s="14">
        <v>4</v>
      </c>
      <c r="K1180" s="6" t="str">
        <f t="shared" si="192"/>
        <v>Twitter Web App</v>
      </c>
      <c r="L1180" s="15">
        <v>4471</v>
      </c>
      <c r="M1180" s="15">
        <v>5001</v>
      </c>
      <c r="N1180" s="15">
        <v>79</v>
      </c>
      <c r="O1180" s="9"/>
      <c r="P1180" s="10">
        <v>41346.597002314811</v>
      </c>
      <c r="Q1180" s="14" t="s">
        <v>951</v>
      </c>
      <c r="R1180" s="14" t="s">
        <v>952</v>
      </c>
      <c r="S1180" s="8"/>
      <c r="T1180" s="8"/>
      <c r="U1180" s="11" t="str">
        <f>HYPERLINK("https://pbs.twimg.com/profile_images/1361638888427683840/HqNlplM_.jpg","View")</f>
        <v>View</v>
      </c>
      <c r="V1180" s="8"/>
      <c r="W1180" s="8"/>
      <c r="X1180" s="8"/>
      <c r="Y1180" s="8"/>
      <c r="Z1180" s="8"/>
    </row>
    <row r="1181" spans="1:26" ht="13.2">
      <c r="A1181" s="13">
        <v>44250.497962962967</v>
      </c>
      <c r="B1181" s="6" t="str">
        <f>HYPERLINK("https://twitter.com/TheBrainalytics","@TheBrainalytics")</f>
        <v>@TheBrainalytics</v>
      </c>
      <c r="C1181" s="14" t="s">
        <v>5212</v>
      </c>
      <c r="D1181" s="14" t="s">
        <v>5213</v>
      </c>
      <c r="E1181" s="6" t="str">
        <f>HYPERLINK("https://twitter.com/TheBrainalytics/status/1364167385922506753","1364167385922506753")</f>
        <v>1364167385922506753</v>
      </c>
      <c r="F1181" s="7" t="s">
        <v>5214</v>
      </c>
      <c r="G1181" s="7" t="s">
        <v>5215</v>
      </c>
      <c r="H1181" s="8"/>
      <c r="I1181" s="14">
        <v>1</v>
      </c>
      <c r="J1181" s="14">
        <v>1</v>
      </c>
      <c r="K1181" s="6" t="str">
        <f t="shared" si="192"/>
        <v>Twitter Web App</v>
      </c>
      <c r="L1181" s="15">
        <v>443</v>
      </c>
      <c r="M1181" s="15">
        <v>32</v>
      </c>
      <c r="N1181" s="15">
        <v>0</v>
      </c>
      <c r="O1181" s="9"/>
      <c r="P1181" s="10">
        <v>43985.50680555556</v>
      </c>
      <c r="Q1181" s="8"/>
      <c r="R1181" s="14" t="s">
        <v>5216</v>
      </c>
      <c r="S1181" s="8"/>
      <c r="T1181" s="8"/>
      <c r="U1181" s="11" t="str">
        <f>HYPERLINK("https://pbs.twimg.com/profile_images/1268583237921771522/ZerxTnnh.jpg","View")</f>
        <v>View</v>
      </c>
      <c r="V1181" s="8"/>
      <c r="W1181" s="8"/>
      <c r="X1181" s="8"/>
      <c r="Y1181" s="8"/>
      <c r="Z1181" s="8"/>
    </row>
    <row r="1182" spans="1:26" ht="13.2">
      <c r="A1182" s="13">
        <v>44250.497789351852</v>
      </c>
      <c r="B1182" s="6" t="str">
        <f>HYPERLINK("https://twitter.com/Fisheyebox","@Fisheyebox")</f>
        <v>@Fisheyebox</v>
      </c>
      <c r="C1182" s="14" t="s">
        <v>5217</v>
      </c>
      <c r="D1182" s="14" t="s">
        <v>5218</v>
      </c>
      <c r="E1182" s="6" t="str">
        <f>HYPERLINK("https://twitter.com/Fisheyebox/status/1364167323179835393","1364167323179835393")</f>
        <v>1364167323179835393</v>
      </c>
      <c r="F1182" s="8"/>
      <c r="G1182" s="7" t="s">
        <v>5198</v>
      </c>
      <c r="H1182" s="8"/>
      <c r="I1182" s="14">
        <v>32</v>
      </c>
      <c r="J1182" s="14">
        <v>15</v>
      </c>
      <c r="K1182" s="6" t="str">
        <f t="shared" si="192"/>
        <v>Twitter Web App</v>
      </c>
      <c r="L1182" s="15">
        <v>2143</v>
      </c>
      <c r="M1182" s="15">
        <v>1473</v>
      </c>
      <c r="N1182" s="15">
        <v>42</v>
      </c>
      <c r="O1182" s="9"/>
      <c r="P1182" s="10">
        <v>40722.444189814814</v>
      </c>
      <c r="Q1182" s="14" t="s">
        <v>364</v>
      </c>
      <c r="R1182" s="14" t="s">
        <v>5219</v>
      </c>
      <c r="S1182" s="7" t="s">
        <v>5220</v>
      </c>
      <c r="T1182" s="8"/>
      <c r="U1182" s="11" t="str">
        <f>HYPERLINK("https://pbs.twimg.com/profile_images/1206092231800549376/XVZ2BlIM.jpg","View")</f>
        <v>View</v>
      </c>
      <c r="V1182" s="8"/>
      <c r="W1182" s="8"/>
      <c r="X1182" s="8"/>
      <c r="Y1182" s="8"/>
      <c r="Z1182" s="8"/>
    </row>
    <row r="1183" spans="1:26" ht="13.2">
      <c r="A1183" s="13">
        <v>44250.497523148151</v>
      </c>
      <c r="B1183" s="6" t="str">
        <f>HYPERLINK("https://twitter.com/geniSIGHTS","@geniSIGHTS")</f>
        <v>@geniSIGHTS</v>
      </c>
      <c r="C1183" s="14" t="s">
        <v>5221</v>
      </c>
      <c r="D1183" s="14" t="s">
        <v>5222</v>
      </c>
      <c r="E1183" s="6" t="str">
        <f>HYPERLINK("https://twitter.com/geniSIGHTS/status/1364167225469403138","1364167225469403138")</f>
        <v>1364167225469403138</v>
      </c>
      <c r="F1183" s="8"/>
      <c r="G1183" s="7" t="s">
        <v>5223</v>
      </c>
      <c r="H1183" s="8"/>
      <c r="I1183" s="14">
        <v>1</v>
      </c>
      <c r="J1183" s="14">
        <v>1</v>
      </c>
      <c r="K1183" s="6" t="str">
        <f t="shared" si="192"/>
        <v>Twitter Web App</v>
      </c>
      <c r="L1183" s="15">
        <v>599</v>
      </c>
      <c r="M1183" s="15">
        <v>559</v>
      </c>
      <c r="N1183" s="15">
        <v>3</v>
      </c>
      <c r="O1183" s="9"/>
      <c r="P1183" s="10">
        <v>42583.601689814815</v>
      </c>
      <c r="Q1183" s="14" t="s">
        <v>2759</v>
      </c>
      <c r="R1183" s="14" t="s">
        <v>5224</v>
      </c>
      <c r="S1183" s="7" t="s">
        <v>5225</v>
      </c>
      <c r="T1183" s="8"/>
      <c r="U1183" s="11" t="str">
        <f>HYPERLINK("https://pbs.twimg.com/profile_images/760095436279390209/CYYZKXl2.jpg","View")</f>
        <v>View</v>
      </c>
      <c r="V1183" s="8"/>
      <c r="W1183" s="8"/>
      <c r="X1183" s="8"/>
      <c r="Y1183" s="8"/>
      <c r="Z1183" s="8"/>
    </row>
    <row r="1184" spans="1:26" ht="13.2">
      <c r="A1184" s="13">
        <v>44250.49722222222</v>
      </c>
      <c r="B1184" s="6" t="str">
        <f>HYPERLINK("https://twitter.com/xors","@xors")</f>
        <v>@xors</v>
      </c>
      <c r="C1184" s="14" t="s">
        <v>5226</v>
      </c>
      <c r="D1184" s="14" t="s">
        <v>5227</v>
      </c>
      <c r="E1184" s="6" t="str">
        <f>HYPERLINK("https://twitter.com/xors/status/1364167116564398080","1364167116564398080")</f>
        <v>1364167116564398080</v>
      </c>
      <c r="F1184" s="7" t="s">
        <v>5228</v>
      </c>
      <c r="G1184" s="7" t="s">
        <v>5229</v>
      </c>
      <c r="H1184" s="8"/>
      <c r="I1184" s="14">
        <v>1</v>
      </c>
      <c r="J1184" s="14">
        <v>1</v>
      </c>
      <c r="K1184" s="6" t="str">
        <f t="shared" si="192"/>
        <v>Twitter Web App</v>
      </c>
      <c r="L1184" s="15">
        <v>513</v>
      </c>
      <c r="M1184" s="15">
        <v>1066</v>
      </c>
      <c r="N1184" s="15">
        <v>11</v>
      </c>
      <c r="O1184" s="9"/>
      <c r="P1184" s="10">
        <v>39854.916620370372</v>
      </c>
      <c r="Q1184" s="14" t="s">
        <v>5230</v>
      </c>
      <c r="R1184" s="14" t="s">
        <v>5231</v>
      </c>
      <c r="S1184" s="7" t="s">
        <v>5232</v>
      </c>
      <c r="T1184" s="8"/>
      <c r="U1184" s="11" t="str">
        <f>HYPERLINK("https://pbs.twimg.com/profile_images/699229225346342912/Yibw2TT1.jpg","View")</f>
        <v>View</v>
      </c>
      <c r="V1184" s="8"/>
      <c r="W1184" s="8"/>
      <c r="X1184" s="8"/>
      <c r="Y1184" s="8"/>
      <c r="Z1184" s="8"/>
    </row>
    <row r="1185" spans="1:26" ht="13.2">
      <c r="A1185" s="13">
        <v>44250.497094907405</v>
      </c>
      <c r="B1185" s="6" t="str">
        <f>HYPERLINK("https://twitter.com/AlexRachnog","@AlexRachnog")</f>
        <v>@AlexRachnog</v>
      </c>
      <c r="C1185" s="14" t="s">
        <v>5233</v>
      </c>
      <c r="D1185" s="14" t="s">
        <v>5234</v>
      </c>
      <c r="E1185" s="6" t="str">
        <f>HYPERLINK("https://twitter.com/AlexRachnog/status/1364167070255099905","1364167070255099905")</f>
        <v>1364167070255099905</v>
      </c>
      <c r="F1185" s="14" t="s">
        <v>5235</v>
      </c>
      <c r="G1185" s="7" t="s">
        <v>5236</v>
      </c>
      <c r="H1185" s="8"/>
      <c r="I1185" s="14">
        <v>1</v>
      </c>
      <c r="J1185" s="14">
        <v>2</v>
      </c>
      <c r="K1185" s="6" t="str">
        <f t="shared" si="192"/>
        <v>Twitter Web App</v>
      </c>
      <c r="L1185" s="15">
        <v>543</v>
      </c>
      <c r="M1185" s="15">
        <v>207</v>
      </c>
      <c r="N1185" s="15">
        <v>13</v>
      </c>
      <c r="O1185" s="9"/>
      <c r="P1185" s="10">
        <v>41350.416493055556</v>
      </c>
      <c r="Q1185" s="14" t="s">
        <v>5237</v>
      </c>
      <c r="R1185" s="14" t="s">
        <v>5238</v>
      </c>
      <c r="S1185" s="7" t="s">
        <v>5239</v>
      </c>
      <c r="T1185" s="8"/>
      <c r="U1185" s="11" t="str">
        <f>HYPERLINK("https://pbs.twimg.com/profile_images/1176143167327997952/dHXFgtew.jpg","View")</f>
        <v>View</v>
      </c>
      <c r="V1185" s="8"/>
      <c r="W1185" s="8"/>
      <c r="X1185" s="8"/>
      <c r="Y1185" s="8"/>
      <c r="Z1185" s="8"/>
    </row>
    <row r="1186" spans="1:26" ht="13.2">
      <c r="A1186" s="13">
        <v>44250.496979166666</v>
      </c>
      <c r="B1186" s="6" t="str">
        <f>HYPERLINK("https://twitter.com/Eli_Krumova","@Eli_Krumova")</f>
        <v>@Eli_Krumova</v>
      </c>
      <c r="C1186" s="14" t="s">
        <v>947</v>
      </c>
      <c r="D1186" s="14" t="s">
        <v>5240</v>
      </c>
      <c r="E1186" s="6" t="str">
        <f>HYPERLINK("https://twitter.com/Eli_Krumova/status/1364167029880717314","1364167029880717314")</f>
        <v>1364167029880717314</v>
      </c>
      <c r="F1186" s="8"/>
      <c r="G1186" s="8"/>
      <c r="H1186" s="8"/>
      <c r="I1186" s="14">
        <v>1</v>
      </c>
      <c r="J1186" s="14">
        <v>2</v>
      </c>
      <c r="K1186" s="6" t="str">
        <f t="shared" si="192"/>
        <v>Twitter Web App</v>
      </c>
      <c r="L1186" s="15">
        <v>4471</v>
      </c>
      <c r="M1186" s="15">
        <v>5001</v>
      </c>
      <c r="N1186" s="15">
        <v>79</v>
      </c>
      <c r="O1186" s="9"/>
      <c r="P1186" s="10">
        <v>41346.597002314811</v>
      </c>
      <c r="Q1186" s="14" t="s">
        <v>951</v>
      </c>
      <c r="R1186" s="14" t="s">
        <v>952</v>
      </c>
      <c r="S1186" s="8"/>
      <c r="T1186" s="8"/>
      <c r="U1186" s="11" t="str">
        <f>HYPERLINK("https://pbs.twimg.com/profile_images/1361638888427683840/HqNlplM_.jpg","View")</f>
        <v>View</v>
      </c>
      <c r="V1186" s="8"/>
      <c r="W1186" s="8"/>
      <c r="X1186" s="8"/>
      <c r="Y1186" s="8"/>
      <c r="Z1186" s="8"/>
    </row>
    <row r="1187" spans="1:26" ht="13.2">
      <c r="A1187" s="13">
        <v>44250.496817129635</v>
      </c>
      <c r="B1187" s="6" t="str">
        <f>HYPERLINK("https://twitter.com/Fisheyebox","@Fisheyebox")</f>
        <v>@Fisheyebox</v>
      </c>
      <c r="C1187" s="14" t="s">
        <v>5217</v>
      </c>
      <c r="D1187" s="14" t="s">
        <v>5241</v>
      </c>
      <c r="E1187" s="6" t="str">
        <f>HYPERLINK("https://twitter.com/Fisheyebox/status/1364166971508449282","1364166971508449282")</f>
        <v>1364166971508449282</v>
      </c>
      <c r="F1187" s="7" t="s">
        <v>5242</v>
      </c>
      <c r="G1187" s="8"/>
      <c r="H1187" s="8"/>
      <c r="I1187" s="14">
        <v>4</v>
      </c>
      <c r="J1187" s="14">
        <v>8</v>
      </c>
      <c r="K1187" s="6" t="str">
        <f t="shared" si="192"/>
        <v>Twitter Web App</v>
      </c>
      <c r="L1187" s="15">
        <v>2143</v>
      </c>
      <c r="M1187" s="15">
        <v>1473</v>
      </c>
      <c r="N1187" s="15">
        <v>42</v>
      </c>
      <c r="O1187" s="9"/>
      <c r="P1187" s="10">
        <v>40722.444189814814</v>
      </c>
      <c r="Q1187" s="14" t="s">
        <v>364</v>
      </c>
      <c r="R1187" s="14" t="s">
        <v>5219</v>
      </c>
      <c r="S1187" s="7" t="s">
        <v>5220</v>
      </c>
      <c r="T1187" s="8"/>
      <c r="U1187" s="11" t="str">
        <f>HYPERLINK("https://pbs.twimg.com/profile_images/1206092231800549376/XVZ2BlIM.jpg","View")</f>
        <v>View</v>
      </c>
      <c r="V1187" s="8"/>
      <c r="W1187" s="8"/>
      <c r="X1187" s="8"/>
      <c r="Y1187" s="8"/>
      <c r="Z1187" s="8"/>
    </row>
    <row r="1188" spans="1:26" ht="13.2">
      <c r="A1188" s="13">
        <v>44250.496307870373</v>
      </c>
      <c r="B1188" s="6" t="str">
        <f>HYPERLINK("https://twitter.com/CALLISTO_H2020","@CALLISTO_H2020")</f>
        <v>@CALLISTO_H2020</v>
      </c>
      <c r="C1188" s="14" t="s">
        <v>5243</v>
      </c>
      <c r="D1188" s="14" t="s">
        <v>5244</v>
      </c>
      <c r="E1188" s="6" t="str">
        <f>HYPERLINK("https://twitter.com/CALLISTO_H2020/status/1364166785621233671","1364166785621233671")</f>
        <v>1364166785621233671</v>
      </c>
      <c r="F1188" s="7" t="s">
        <v>5245</v>
      </c>
      <c r="G1188" s="8"/>
      <c r="H1188" s="8"/>
      <c r="I1188" s="14">
        <v>3</v>
      </c>
      <c r="J1188" s="14">
        <v>7</v>
      </c>
      <c r="K1188" s="6" t="str">
        <f t="shared" si="192"/>
        <v>Twitter Web App</v>
      </c>
      <c r="L1188" s="15">
        <v>70</v>
      </c>
      <c r="M1188" s="15">
        <v>159</v>
      </c>
      <c r="N1188" s="15">
        <v>0</v>
      </c>
      <c r="O1188" s="9"/>
      <c r="P1188" s="10">
        <v>44203.355416666665</v>
      </c>
      <c r="Q1188" s="8"/>
      <c r="R1188" s="14" t="s">
        <v>5246</v>
      </c>
      <c r="S1188" s="8"/>
      <c r="T1188" s="8"/>
      <c r="U1188" s="11" t="str">
        <f>HYPERLINK("https://pbs.twimg.com/profile_images/1351148455981428738/9yizbGqW.png","View")</f>
        <v>View</v>
      </c>
      <c r="V1188" s="8"/>
      <c r="W1188" s="8"/>
      <c r="X1188" s="8"/>
      <c r="Y1188" s="8"/>
      <c r="Z1188" s="8"/>
    </row>
    <row r="1189" spans="1:26" ht="13.2">
      <c r="A1189" s="13">
        <v>44250.496261574073</v>
      </c>
      <c r="B1189" s="6" t="str">
        <f>HYPERLINK("https://twitter.com/EXTENTIA","@EXTENTIA")</f>
        <v>@EXTENTIA</v>
      </c>
      <c r="C1189" s="14" t="s">
        <v>5247</v>
      </c>
      <c r="D1189" s="14" t="s">
        <v>5248</v>
      </c>
      <c r="E1189" s="6" t="str">
        <f>HYPERLINK("https://twitter.com/EXTENTIA/status/1364166770777415690","1364166770777415690")</f>
        <v>1364166770777415690</v>
      </c>
      <c r="F1189" s="7" t="s">
        <v>5249</v>
      </c>
      <c r="G1189" s="8"/>
      <c r="H1189" s="8"/>
      <c r="I1189" s="14">
        <v>1</v>
      </c>
      <c r="J1189" s="14">
        <v>1</v>
      </c>
      <c r="K1189" s="6" t="str">
        <f t="shared" si="192"/>
        <v>Twitter Web App</v>
      </c>
      <c r="L1189" s="15">
        <v>2122</v>
      </c>
      <c r="M1189" s="15">
        <v>1755</v>
      </c>
      <c r="N1189" s="15">
        <v>710</v>
      </c>
      <c r="O1189" s="9"/>
      <c r="P1189" s="10">
        <v>40198.58252314815</v>
      </c>
      <c r="Q1189" s="14" t="s">
        <v>364</v>
      </c>
      <c r="R1189" s="14" t="s">
        <v>5250</v>
      </c>
      <c r="S1189" s="7" t="s">
        <v>5251</v>
      </c>
      <c r="T1189" s="8"/>
      <c r="U1189" s="11" t="str">
        <f>HYPERLINK("https://pbs.twimg.com/profile_images/1214149597943123968/A50qec6g.jpg","View")</f>
        <v>View</v>
      </c>
      <c r="V1189" s="8"/>
      <c r="W1189" s="8"/>
      <c r="X1189" s="8"/>
      <c r="Y1189" s="8"/>
      <c r="Z1189" s="8"/>
    </row>
    <row r="1190" spans="1:26" ht="13.2">
      <c r="A1190" s="13">
        <v>44250.495636574073</v>
      </c>
      <c r="B1190" s="6" t="str">
        <f>HYPERLINK("https://twitter.com/Vaarst1","@Vaarst1")</f>
        <v>@Vaarst1</v>
      </c>
      <c r="C1190" s="14" t="s">
        <v>5252</v>
      </c>
      <c r="D1190" s="14" t="s">
        <v>5253</v>
      </c>
      <c r="E1190" s="6" t="str">
        <f>HYPERLINK("https://twitter.com/Vaarst1/status/1364166542720696320","1364166542720696320")</f>
        <v>1364166542720696320</v>
      </c>
      <c r="F1190" s="7" t="s">
        <v>5254</v>
      </c>
      <c r="G1190" s="7" t="s">
        <v>5255</v>
      </c>
      <c r="H1190" s="8"/>
      <c r="I1190" s="14">
        <v>4</v>
      </c>
      <c r="J1190" s="14">
        <v>4</v>
      </c>
      <c r="K1190" s="6" t="str">
        <f t="shared" si="192"/>
        <v>Twitter Web App</v>
      </c>
      <c r="L1190" s="15">
        <v>11</v>
      </c>
      <c r="M1190" s="15">
        <v>3</v>
      </c>
      <c r="N1190" s="15">
        <v>0</v>
      </c>
      <c r="O1190" s="9"/>
      <c r="P1190" s="10">
        <v>44174.776192129633</v>
      </c>
      <c r="Q1190" s="14" t="s">
        <v>5256</v>
      </c>
      <c r="R1190" s="14" t="s">
        <v>5257</v>
      </c>
      <c r="S1190" s="7" t="s">
        <v>5254</v>
      </c>
      <c r="T1190" s="8"/>
      <c r="U1190" s="11" t="str">
        <f>HYPERLINK("https://pbs.twimg.com/profile_images/1336729476345032705/dddYAwZR.jpg","View")</f>
        <v>View</v>
      </c>
      <c r="V1190" s="8"/>
      <c r="W1190" s="8"/>
      <c r="X1190" s="8"/>
      <c r="Y1190" s="8"/>
      <c r="Z1190" s="8"/>
    </row>
    <row r="1191" spans="1:26" ht="13.2">
      <c r="A1191" s="13">
        <v>44250.495428240742</v>
      </c>
      <c r="B1191" s="6" t="str">
        <f>HYPERLINK("https://twitter.com/Isantosian","@Isantosian")</f>
        <v>@Isantosian</v>
      </c>
      <c r="C1191" s="14" t="s">
        <v>5258</v>
      </c>
      <c r="D1191" s="14" t="s">
        <v>5259</v>
      </c>
      <c r="E1191" s="6" t="str">
        <f>HYPERLINK("https://twitter.com/Isantosian/status/1364166466484994051","1364166466484994051")</f>
        <v>1364166466484994051</v>
      </c>
      <c r="F1191" s="8"/>
      <c r="G1191" s="7" t="s">
        <v>5260</v>
      </c>
      <c r="H1191" s="8"/>
      <c r="I1191" s="14">
        <v>20</v>
      </c>
      <c r="J1191" s="14">
        <v>7</v>
      </c>
      <c r="K1191" s="6" t="str">
        <f>HYPERLINK("http://twitter.com/download/android","Twitter for Android")</f>
        <v>Twitter for Android</v>
      </c>
      <c r="L1191" s="15">
        <v>448</v>
      </c>
      <c r="M1191" s="15">
        <v>382</v>
      </c>
      <c r="N1191" s="15">
        <v>6</v>
      </c>
      <c r="O1191" s="9"/>
      <c r="P1191" s="10">
        <v>40737.343634259261</v>
      </c>
      <c r="Q1191" s="14" t="s">
        <v>5261</v>
      </c>
      <c r="R1191" s="14" t="s">
        <v>5262</v>
      </c>
      <c r="S1191" s="8"/>
      <c r="T1191" s="8"/>
      <c r="U1191" s="11" t="str">
        <f>HYPERLINK("https://pbs.twimg.com/profile_images/1332192381203075072/2_xzj3AW.jpg","View")</f>
        <v>View</v>
      </c>
      <c r="V1191" s="8"/>
      <c r="W1191" s="8"/>
      <c r="X1191" s="8"/>
      <c r="Y1191" s="8"/>
      <c r="Z1191" s="8"/>
    </row>
    <row r="1192" spans="1:26" ht="13.2">
      <c r="A1192" s="13">
        <v>44250.495358796295</v>
      </c>
      <c r="B1192" s="6" t="str">
        <f>HYPERLINK("https://twitter.com/Innovat78455398","@Innovat78455398")</f>
        <v>@Innovat78455398</v>
      </c>
      <c r="C1192" s="14" t="s">
        <v>4318</v>
      </c>
      <c r="D1192" s="14" t="s">
        <v>5263</v>
      </c>
      <c r="E1192" s="6" t="str">
        <f>HYPERLINK("https://twitter.com/Innovat78455398/status/1364166444401840132","1364166444401840132")</f>
        <v>1364166444401840132</v>
      </c>
      <c r="F1192" s="7" t="s">
        <v>5264</v>
      </c>
      <c r="G1192" s="7" t="s">
        <v>5265</v>
      </c>
      <c r="H1192" s="8"/>
      <c r="I1192" s="14">
        <v>10</v>
      </c>
      <c r="J1192" s="14">
        <v>8</v>
      </c>
      <c r="K1192" s="6" t="str">
        <f>HYPERLINK("https://mobile.twitter.com","Twitter Web App")</f>
        <v>Twitter Web App</v>
      </c>
      <c r="L1192" s="15">
        <v>101</v>
      </c>
      <c r="M1192" s="15">
        <v>142</v>
      </c>
      <c r="N1192" s="15">
        <v>1</v>
      </c>
      <c r="O1192" s="9"/>
      <c r="P1192" s="10">
        <v>44075.047534722224</v>
      </c>
      <c r="Q1192" s="14" t="s">
        <v>623</v>
      </c>
      <c r="R1192" s="14" t="s">
        <v>4322</v>
      </c>
      <c r="S1192" s="8"/>
      <c r="T1192" s="8"/>
      <c r="U1192" s="11" t="str">
        <f>HYPERLINK("https://pbs.twimg.com/profile_images/1300571380098850818/YjKI8L9l.jpg","View")</f>
        <v>View</v>
      </c>
      <c r="V1192" s="8"/>
      <c r="W1192" s="8"/>
      <c r="X1192" s="8"/>
      <c r="Y1192" s="8"/>
      <c r="Z1192" s="8"/>
    </row>
    <row r="1193" spans="1:26" ht="13.2">
      <c r="A1193" s="13">
        <v>44250.495196759264</v>
      </c>
      <c r="B1193" s="6" t="str">
        <f t="shared" ref="B1193:B1194" si="193">HYPERLINK("https://twitter.com/IainLJBrown","@IainLJBrown")</f>
        <v>@IainLJBrown</v>
      </c>
      <c r="C1193" s="14" t="s">
        <v>2776</v>
      </c>
      <c r="D1193" s="14" t="s">
        <v>5266</v>
      </c>
      <c r="E1193" s="6" t="str">
        <f>HYPERLINK("https://twitter.com/IainLJBrown/status/1364166383702052865","1364166383702052865")</f>
        <v>1364166383702052865</v>
      </c>
      <c r="F1193" s="7" t="s">
        <v>5267</v>
      </c>
      <c r="G1193" s="8"/>
      <c r="H1193" s="8"/>
      <c r="I1193" s="14">
        <v>17</v>
      </c>
      <c r="J1193" s="14">
        <v>11</v>
      </c>
      <c r="K1193" s="6" t="str">
        <f t="shared" ref="K1193:K1194" si="194">HYPERLINK("https://ifttt.com","IFTTT")</f>
        <v>IFTTT</v>
      </c>
      <c r="L1193" s="15">
        <v>115543</v>
      </c>
      <c r="M1193" s="15">
        <v>98727</v>
      </c>
      <c r="N1193" s="15">
        <v>423</v>
      </c>
      <c r="O1193" s="9"/>
      <c r="P1193" s="10">
        <v>40926.673900462964</v>
      </c>
      <c r="Q1193" s="14" t="s">
        <v>753</v>
      </c>
      <c r="R1193" s="14" t="s">
        <v>2779</v>
      </c>
      <c r="S1193" s="7" t="s">
        <v>2780</v>
      </c>
      <c r="T1193" s="8"/>
      <c r="U1193" s="11" t="str">
        <f t="shared" ref="U1193:U1194" si="195">HYPERLINK("https://pbs.twimg.com/profile_images/1352606177352364032/jQ7AI0vG.jpg","View")</f>
        <v>View</v>
      </c>
      <c r="V1193" s="8"/>
      <c r="W1193" s="8"/>
      <c r="X1193" s="8"/>
      <c r="Y1193" s="8"/>
      <c r="Z1193" s="8"/>
    </row>
    <row r="1194" spans="1:26" ht="13.2">
      <c r="A1194" s="13">
        <v>44250.49518518518</v>
      </c>
      <c r="B1194" s="6" t="str">
        <f t="shared" si="193"/>
        <v>@IainLJBrown</v>
      </c>
      <c r="C1194" s="14" t="s">
        <v>2776</v>
      </c>
      <c r="D1194" s="14" t="s">
        <v>5268</v>
      </c>
      <c r="E1194" s="6" t="str">
        <f>HYPERLINK("https://twitter.com/IainLJBrown/status/1364166381520969728","1364166381520969728")</f>
        <v>1364166381520969728</v>
      </c>
      <c r="F1194" s="7" t="s">
        <v>5269</v>
      </c>
      <c r="G1194" s="8"/>
      <c r="H1194" s="8"/>
      <c r="I1194" s="14">
        <v>21</v>
      </c>
      <c r="J1194" s="14">
        <v>12</v>
      </c>
      <c r="K1194" s="6" t="str">
        <f t="shared" si="194"/>
        <v>IFTTT</v>
      </c>
      <c r="L1194" s="15">
        <v>115543</v>
      </c>
      <c r="M1194" s="15">
        <v>98727</v>
      </c>
      <c r="N1194" s="15">
        <v>423</v>
      </c>
      <c r="O1194" s="9"/>
      <c r="P1194" s="10">
        <v>40926.673900462964</v>
      </c>
      <c r="Q1194" s="14" t="s">
        <v>753</v>
      </c>
      <c r="R1194" s="14" t="s">
        <v>2779</v>
      </c>
      <c r="S1194" s="7" t="s">
        <v>2780</v>
      </c>
      <c r="T1194" s="8"/>
      <c r="U1194" s="11" t="str">
        <f t="shared" si="195"/>
        <v>View</v>
      </c>
      <c r="V1194" s="8"/>
      <c r="W1194" s="8"/>
      <c r="X1194" s="8"/>
      <c r="Y1194" s="8"/>
      <c r="Z1194" s="8"/>
    </row>
    <row r="1195" spans="1:26" ht="13.2">
      <c r="A1195" s="13">
        <v>44250.494803240741</v>
      </c>
      <c r="B1195" s="6" t="str">
        <f>HYPERLINK("https://twitter.com/TheBrainalytics","@TheBrainalytics")</f>
        <v>@TheBrainalytics</v>
      </c>
      <c r="C1195" s="14" t="s">
        <v>5212</v>
      </c>
      <c r="D1195" s="14" t="s">
        <v>5270</v>
      </c>
      <c r="E1195" s="6" t="str">
        <f>HYPERLINK("https://twitter.com/TheBrainalytics/status/1364166238994272256","1364166238994272256")</f>
        <v>1364166238994272256</v>
      </c>
      <c r="F1195" s="7" t="s">
        <v>5214</v>
      </c>
      <c r="G1195" s="7" t="s">
        <v>5271</v>
      </c>
      <c r="H1195" s="8"/>
      <c r="I1195" s="14">
        <v>1</v>
      </c>
      <c r="J1195" s="14">
        <v>1</v>
      </c>
      <c r="K1195" s="6" t="str">
        <f t="shared" ref="K1195:K1196" si="196">HYPERLINK("https://mobile.twitter.com","Twitter Web App")</f>
        <v>Twitter Web App</v>
      </c>
      <c r="L1195" s="15">
        <v>443</v>
      </c>
      <c r="M1195" s="15">
        <v>32</v>
      </c>
      <c r="N1195" s="15">
        <v>0</v>
      </c>
      <c r="O1195" s="9"/>
      <c r="P1195" s="10">
        <v>43985.50680555556</v>
      </c>
      <c r="Q1195" s="8"/>
      <c r="R1195" s="14" t="s">
        <v>5216</v>
      </c>
      <c r="S1195" s="8"/>
      <c r="T1195" s="8"/>
      <c r="U1195" s="11" t="str">
        <f>HYPERLINK("https://pbs.twimg.com/profile_images/1268583237921771522/ZerxTnnh.jpg","View")</f>
        <v>View</v>
      </c>
      <c r="V1195" s="8"/>
      <c r="W1195" s="8"/>
      <c r="X1195" s="8"/>
      <c r="Y1195" s="8"/>
      <c r="Z1195" s="8"/>
    </row>
    <row r="1196" spans="1:26" ht="13.2">
      <c r="A1196" s="13">
        <v>44250.494444444441</v>
      </c>
      <c r="B1196" s="6" t="str">
        <f>HYPERLINK("https://twitter.com/FSecure_IT","@FSecure_IT")</f>
        <v>@FSecure_IT</v>
      </c>
      <c r="C1196" s="14" t="s">
        <v>5272</v>
      </c>
      <c r="D1196" s="14" t="s">
        <v>5273</v>
      </c>
      <c r="E1196" s="6" t="str">
        <f>HYPERLINK("https://twitter.com/FSecure_IT/status/1364166110078062597","1364166110078062597")</f>
        <v>1364166110078062597</v>
      </c>
      <c r="F1196" s="7" t="s">
        <v>5274</v>
      </c>
      <c r="G1196" s="8"/>
      <c r="H1196" s="8"/>
      <c r="I1196" s="14">
        <v>2</v>
      </c>
      <c r="J1196" s="14">
        <v>1</v>
      </c>
      <c r="K1196" s="6" t="str">
        <f t="shared" si="196"/>
        <v>Twitter Web App</v>
      </c>
      <c r="L1196" s="15">
        <v>849</v>
      </c>
      <c r="M1196" s="15">
        <v>528</v>
      </c>
      <c r="N1196" s="15">
        <v>145</v>
      </c>
      <c r="O1196" s="9"/>
      <c r="P1196" s="10">
        <v>42307.451828703706</v>
      </c>
      <c r="Q1196" s="14" t="s">
        <v>1685</v>
      </c>
      <c r="R1196" s="14" t="s">
        <v>5275</v>
      </c>
      <c r="S1196" s="7" t="s">
        <v>5276</v>
      </c>
      <c r="T1196" s="8"/>
      <c r="U1196" s="11" t="str">
        <f>HYPERLINK("https://pbs.twimg.com/profile_images/1130446551569129472/SvJdPTPt.jpg","View")</f>
        <v>View</v>
      </c>
      <c r="V1196" s="8"/>
      <c r="W1196" s="8"/>
      <c r="X1196" s="8"/>
      <c r="Y1196" s="8"/>
      <c r="Z1196" s="8"/>
    </row>
    <row r="1197" spans="1:26" ht="13.2">
      <c r="A1197" s="13">
        <v>44250.494050925925</v>
      </c>
      <c r="B1197" s="6" t="str">
        <f>HYPERLINK("https://twitter.com/Aditics2","@Aditics2")</f>
        <v>@Aditics2</v>
      </c>
      <c r="C1197" s="14" t="s">
        <v>5277</v>
      </c>
      <c r="D1197" s="14" t="s">
        <v>5278</v>
      </c>
      <c r="E1197" s="6" t="str">
        <f>HYPERLINK("https://twitter.com/Aditics2/status/1364165967606149121","1364165967606149121")</f>
        <v>1364165967606149121</v>
      </c>
      <c r="F1197" s="14" t="s">
        <v>3456</v>
      </c>
      <c r="G1197" s="8"/>
      <c r="H1197" s="8"/>
      <c r="I1197" s="14">
        <v>1</v>
      </c>
      <c r="J1197" s="14">
        <v>1</v>
      </c>
      <c r="K1197" s="6" t="str">
        <f>HYPERLINK("http://twinybots.com","TwinyBots")</f>
        <v>TwinyBots</v>
      </c>
      <c r="L1197" s="15">
        <v>223</v>
      </c>
      <c r="M1197" s="15">
        <v>245</v>
      </c>
      <c r="N1197" s="15">
        <v>4</v>
      </c>
      <c r="O1197" s="9"/>
      <c r="P1197" s="10">
        <v>43756.425138888888</v>
      </c>
      <c r="Q1197" s="14" t="s">
        <v>5279</v>
      </c>
      <c r="R1197" s="14" t="s">
        <v>5280</v>
      </c>
      <c r="S1197" s="7" t="s">
        <v>5281</v>
      </c>
      <c r="T1197" s="8"/>
      <c r="U1197" s="11" t="str">
        <f>HYPERLINK("https://pbs.twimg.com/profile_images/1185106494653513728/tTN_r8EY.jpg","View")</f>
        <v>View</v>
      </c>
      <c r="V1197" s="8"/>
      <c r="W1197" s="8"/>
      <c r="X1197" s="8"/>
      <c r="Y1197" s="8"/>
      <c r="Z1197" s="8"/>
    </row>
    <row r="1198" spans="1:26" ht="13.2">
      <c r="A1198" s="13">
        <v>44250.494004629625</v>
      </c>
      <c r="B1198" s="6" t="str">
        <f t="shared" ref="B1198:B1199" si="197">HYPERLINK("https://twitter.com/arXiv__ml","@arXiv__ml")</f>
        <v>@arXiv__ml</v>
      </c>
      <c r="C1198" s="14" t="s">
        <v>2812</v>
      </c>
      <c r="D1198" s="14" t="s">
        <v>5282</v>
      </c>
      <c r="E1198" s="6" t="str">
        <f>HYPERLINK("https://twitter.com/arXiv__ml/status/1364165951059591170","1364165951059591170")</f>
        <v>1364165951059591170</v>
      </c>
      <c r="F1198" s="7" t="s">
        <v>5283</v>
      </c>
      <c r="G1198" s="8"/>
      <c r="H1198" s="8"/>
      <c r="I1198" s="14">
        <v>1</v>
      </c>
      <c r="J1198" s="14">
        <v>2</v>
      </c>
      <c r="K1198" s="6" t="str">
        <f t="shared" ref="K1198:K1199" si="198">HYPERLINK("https://ifttt.com","IFTTT")</f>
        <v>IFTTT</v>
      </c>
      <c r="L1198" s="15">
        <v>2542</v>
      </c>
      <c r="M1198" s="15">
        <v>1470</v>
      </c>
      <c r="N1198" s="15">
        <v>73</v>
      </c>
      <c r="O1198" s="9"/>
      <c r="P1198" s="10">
        <v>43387.731759259259</v>
      </c>
      <c r="Q1198" s="14" t="s">
        <v>1036</v>
      </c>
      <c r="R1198" s="14" t="s">
        <v>2815</v>
      </c>
      <c r="S1198" s="7" t="s">
        <v>2816</v>
      </c>
      <c r="T1198" s="8"/>
      <c r="U1198" s="11" t="str">
        <f t="shared" ref="U1198:U1199" si="199">HYPERLINK("https://pbs.twimg.com/profile_images/1067085474131394560/QOHl5dzN.jpg","View")</f>
        <v>View</v>
      </c>
      <c r="V1198" s="8"/>
      <c r="W1198" s="8"/>
      <c r="X1198" s="8"/>
      <c r="Y1198" s="8"/>
      <c r="Z1198" s="8"/>
    </row>
    <row r="1199" spans="1:26" ht="13.2">
      <c r="A1199" s="13">
        <v>44250.493981481486</v>
      </c>
      <c r="B1199" s="6" t="str">
        <f t="shared" si="197"/>
        <v>@arXiv__ml</v>
      </c>
      <c r="C1199" s="14" t="s">
        <v>2812</v>
      </c>
      <c r="D1199" s="14" t="s">
        <v>5284</v>
      </c>
      <c r="E1199" s="6" t="str">
        <f>HYPERLINK("https://twitter.com/arXiv__ml/status/1364165944189349889","1364165944189349889")</f>
        <v>1364165944189349889</v>
      </c>
      <c r="F1199" s="7" t="s">
        <v>5285</v>
      </c>
      <c r="G1199" s="8"/>
      <c r="H1199" s="8"/>
      <c r="I1199" s="14">
        <v>1</v>
      </c>
      <c r="J1199" s="14">
        <v>3</v>
      </c>
      <c r="K1199" s="6" t="str">
        <f t="shared" si="198"/>
        <v>IFTTT</v>
      </c>
      <c r="L1199" s="15">
        <v>2542</v>
      </c>
      <c r="M1199" s="15">
        <v>1470</v>
      </c>
      <c r="N1199" s="15">
        <v>73</v>
      </c>
      <c r="O1199" s="9"/>
      <c r="P1199" s="10">
        <v>43387.731759259259</v>
      </c>
      <c r="Q1199" s="14" t="s">
        <v>1036</v>
      </c>
      <c r="R1199" s="14" t="s">
        <v>2815</v>
      </c>
      <c r="S1199" s="7" t="s">
        <v>2816</v>
      </c>
      <c r="T1199" s="8"/>
      <c r="U1199" s="11" t="str">
        <f t="shared" si="199"/>
        <v>View</v>
      </c>
      <c r="V1199" s="8"/>
      <c r="W1199" s="8"/>
      <c r="X1199" s="8"/>
      <c r="Y1199" s="8"/>
      <c r="Z1199" s="8"/>
    </row>
    <row r="1200" spans="1:26" ht="13.2">
      <c r="A1200" s="13">
        <v>44250.493368055555</v>
      </c>
      <c r="B1200" s="6" t="str">
        <f>HYPERLINK("https://twitter.com/Innovat78455398","@Innovat78455398")</f>
        <v>@Innovat78455398</v>
      </c>
      <c r="C1200" s="14" t="s">
        <v>4318</v>
      </c>
      <c r="D1200" s="14" t="s">
        <v>5286</v>
      </c>
      <c r="E1200" s="6" t="str">
        <f>HYPERLINK("https://twitter.com/Innovat78455398/status/1364165719957508098","1364165719957508098")</f>
        <v>1364165719957508098</v>
      </c>
      <c r="F1200" s="7" t="s">
        <v>5287</v>
      </c>
      <c r="G1200" s="7" t="s">
        <v>5288</v>
      </c>
      <c r="H1200" s="8"/>
      <c r="I1200" s="14">
        <v>3</v>
      </c>
      <c r="J1200" s="14">
        <v>3</v>
      </c>
      <c r="K1200" s="6" t="str">
        <f>HYPERLINK("https://mobile.twitter.com","Twitter Web App")</f>
        <v>Twitter Web App</v>
      </c>
      <c r="L1200" s="15">
        <v>101</v>
      </c>
      <c r="M1200" s="15">
        <v>142</v>
      </c>
      <c r="N1200" s="15">
        <v>1</v>
      </c>
      <c r="O1200" s="9"/>
      <c r="P1200" s="10">
        <v>44075.047534722224</v>
      </c>
      <c r="Q1200" s="14" t="s">
        <v>623</v>
      </c>
      <c r="R1200" s="14" t="s">
        <v>4322</v>
      </c>
      <c r="S1200" s="8"/>
      <c r="T1200" s="8"/>
      <c r="U1200" s="11" t="str">
        <f>HYPERLINK("https://pbs.twimg.com/profile_images/1300571380098850818/YjKI8L9l.jpg","View")</f>
        <v>View</v>
      </c>
      <c r="V1200" s="8"/>
      <c r="W1200" s="8"/>
      <c r="X1200" s="8"/>
      <c r="Y1200" s="8"/>
      <c r="Z1200" s="8"/>
    </row>
    <row r="1201" spans="1:26" ht="13.2">
      <c r="A1201" s="13">
        <v>44250.493148148147</v>
      </c>
      <c r="B1201" s="6" t="str">
        <f>HYPERLINK("https://twitter.com/TesseractAcade1","@TesseractAcade1")</f>
        <v>@TesseractAcade1</v>
      </c>
      <c r="C1201" s="14" t="s">
        <v>750</v>
      </c>
      <c r="D1201" s="14" t="s">
        <v>5289</v>
      </c>
      <c r="E1201" s="6" t="str">
        <f>HYPERLINK("https://twitter.com/TesseractAcade1/status/1364165641612189702","1364165641612189702")</f>
        <v>1364165641612189702</v>
      </c>
      <c r="F1201" s="7" t="s">
        <v>5290</v>
      </c>
      <c r="G1201" s="8"/>
      <c r="H1201" s="8"/>
      <c r="I1201" s="14">
        <v>0</v>
      </c>
      <c r="J1201" s="14">
        <v>1</v>
      </c>
      <c r="K1201" s="6" t="str">
        <f>HYPERLINK("https://crowdfireapp.com","Crowdfire App")</f>
        <v>Crowdfire App</v>
      </c>
      <c r="L1201" s="15">
        <v>678</v>
      </c>
      <c r="M1201" s="15">
        <v>796</v>
      </c>
      <c r="N1201" s="15">
        <v>14</v>
      </c>
      <c r="O1201" s="9"/>
      <c r="P1201" s="10">
        <v>43371.73810185185</v>
      </c>
      <c r="Q1201" s="14" t="s">
        <v>753</v>
      </c>
      <c r="R1201" s="14" t="s">
        <v>754</v>
      </c>
      <c r="S1201" s="7" t="s">
        <v>755</v>
      </c>
      <c r="T1201" s="8"/>
      <c r="U1201" s="11" t="str">
        <f>HYPERLINK("https://pbs.twimg.com/profile_images/1045702404187066368/KvYhTAxM.jpg","View")</f>
        <v>View</v>
      </c>
      <c r="V1201" s="8"/>
      <c r="W1201" s="8"/>
      <c r="X1201" s="8"/>
      <c r="Y1201" s="8"/>
      <c r="Z1201" s="8"/>
    </row>
    <row r="1202" spans="1:26" ht="13.2">
      <c r="A1202" s="13">
        <v>44250.492523148147</v>
      </c>
      <c r="B1202" s="6" t="str">
        <f>HYPERLINK("https://twitter.com/RovcoSubsea","@RovcoSubsea")</f>
        <v>@RovcoSubsea</v>
      </c>
      <c r="C1202" s="14" t="s">
        <v>5291</v>
      </c>
      <c r="D1202" s="14" t="s">
        <v>5292</v>
      </c>
      <c r="E1202" s="6" t="str">
        <f>HYPERLINK("https://twitter.com/RovcoSubsea/status/1364165414532636673","1364165414532636673")</f>
        <v>1364165414532636673</v>
      </c>
      <c r="F1202" s="8"/>
      <c r="G1202" s="7" t="s">
        <v>5293</v>
      </c>
      <c r="H1202" s="8"/>
      <c r="I1202" s="14">
        <v>0</v>
      </c>
      <c r="J1202" s="14">
        <v>2</v>
      </c>
      <c r="K1202" s="6" t="str">
        <f>HYPERLINK("https://mobile.twitter.com","Twitter Web App")</f>
        <v>Twitter Web App</v>
      </c>
      <c r="L1202" s="15">
        <v>619</v>
      </c>
      <c r="M1202" s="15">
        <v>179</v>
      </c>
      <c r="N1202" s="15">
        <v>15</v>
      </c>
      <c r="O1202" s="9"/>
      <c r="P1202" s="10">
        <v>42586.428726851853</v>
      </c>
      <c r="Q1202" s="14" t="s">
        <v>5230</v>
      </c>
      <c r="R1202" s="14" t="s">
        <v>5294</v>
      </c>
      <c r="S1202" s="7" t="s">
        <v>5295</v>
      </c>
      <c r="T1202" s="8"/>
      <c r="U1202" s="11" t="str">
        <f>HYPERLINK("https://pbs.twimg.com/profile_images/1156191194470342657/wdBLKu1P.jpg","View")</f>
        <v>View</v>
      </c>
      <c r="V1202" s="8"/>
      <c r="W1202" s="8"/>
      <c r="X1202" s="8"/>
      <c r="Y1202" s="8"/>
      <c r="Z1202" s="8"/>
    </row>
    <row r="1203" spans="1:26" ht="13.2">
      <c r="A1203" s="13">
        <v>44250.492511574077</v>
      </c>
      <c r="B1203" s="6" t="str">
        <f>HYPERLINK("https://twitter.com/socialpathZA","@socialpathZA")</f>
        <v>@socialpathZA</v>
      </c>
      <c r="C1203" s="14" t="s">
        <v>5296</v>
      </c>
      <c r="D1203" s="14" t="s">
        <v>5297</v>
      </c>
      <c r="E1203" s="6" t="str">
        <f>HYPERLINK("https://twitter.com/socialpathZA/status/1364165411210747904","1364165411210747904")</f>
        <v>1364165411210747904</v>
      </c>
      <c r="F1203" s="7" t="s">
        <v>5298</v>
      </c>
      <c r="G1203" s="8"/>
      <c r="H1203" s="8"/>
      <c r="I1203" s="14">
        <v>0</v>
      </c>
      <c r="J1203" s="14">
        <v>0</v>
      </c>
      <c r="K1203" s="6" t="str">
        <f>HYPERLINK("https://paper.li","Paper.li")</f>
        <v>Paper.li</v>
      </c>
      <c r="L1203" s="15">
        <v>251</v>
      </c>
      <c r="M1203" s="15">
        <v>191</v>
      </c>
      <c r="N1203" s="15">
        <v>52</v>
      </c>
      <c r="O1203" s="9"/>
      <c r="P1203" s="10">
        <v>42701.470451388886</v>
      </c>
      <c r="Q1203" s="14" t="s">
        <v>1152</v>
      </c>
      <c r="R1203" s="14" t="s">
        <v>5299</v>
      </c>
      <c r="S1203" s="7" t="s">
        <v>5300</v>
      </c>
      <c r="T1203" s="8"/>
      <c r="U1203" s="11" t="str">
        <f>HYPERLINK("https://pbs.twimg.com/profile_images/1178633259808362497/0HeQxEvK.jpg","View")</f>
        <v>View</v>
      </c>
      <c r="V1203" s="8"/>
      <c r="W1203" s="8"/>
      <c r="X1203" s="8"/>
      <c r="Y1203" s="8"/>
      <c r="Z1203" s="8"/>
    </row>
    <row r="1204" spans="1:26" ht="13.2">
      <c r="A1204" s="13">
        <v>44250.492418981477</v>
      </c>
      <c r="B1204" s="6" t="str">
        <f>HYPERLINK("https://twitter.com/ConvitGmbH","@ConvitGmbH")</f>
        <v>@ConvitGmbH</v>
      </c>
      <c r="C1204" s="14" t="s">
        <v>5301</v>
      </c>
      <c r="D1204" s="14" t="s">
        <v>5302</v>
      </c>
      <c r="E1204" s="6" t="str">
        <f>HYPERLINK("https://twitter.com/ConvitGmbH/status/1364165378377732096","1364165378377732096")</f>
        <v>1364165378377732096</v>
      </c>
      <c r="F1204" s="7" t="s">
        <v>5303</v>
      </c>
      <c r="G1204" s="7" t="s">
        <v>5304</v>
      </c>
      <c r="H1204" s="8"/>
      <c r="I1204" s="14">
        <v>1</v>
      </c>
      <c r="J1204" s="14">
        <v>1</v>
      </c>
      <c r="K1204" s="6" t="str">
        <f>HYPERLINK("https://mobile.twitter.com","Twitter Web App")</f>
        <v>Twitter Web App</v>
      </c>
      <c r="L1204" s="15">
        <v>56</v>
      </c>
      <c r="M1204" s="15">
        <v>229</v>
      </c>
      <c r="N1204" s="15">
        <v>2</v>
      </c>
      <c r="O1204" s="9"/>
      <c r="P1204" s="10">
        <v>43573.637453703705</v>
      </c>
      <c r="Q1204" s="14" t="s">
        <v>5305</v>
      </c>
      <c r="R1204" s="14" t="s">
        <v>5306</v>
      </c>
      <c r="S1204" s="7" t="s">
        <v>5307</v>
      </c>
      <c r="T1204" s="8"/>
      <c r="U1204" s="11" t="str">
        <f>HYPERLINK("https://pbs.twimg.com/profile_images/1276501854034235394/361qAcAA.png","View")</f>
        <v>View</v>
      </c>
      <c r="V1204" s="8"/>
      <c r="W1204" s="8"/>
      <c r="X1204" s="8"/>
      <c r="Y1204" s="8"/>
      <c r="Z1204" s="8"/>
    </row>
    <row r="1205" spans="1:26" ht="13.2">
      <c r="A1205" s="13">
        <v>44250.491689814815</v>
      </c>
      <c r="B1205" s="6" t="str">
        <f>HYPERLINK("https://twitter.com/Arnold_Haine","@Arnold_Haine")</f>
        <v>@Arnold_Haine</v>
      </c>
      <c r="C1205" s="14" t="s">
        <v>2128</v>
      </c>
      <c r="D1205" s="14" t="s">
        <v>5308</v>
      </c>
      <c r="E1205" s="6" t="str">
        <f>HYPERLINK("https://twitter.com/Arnold_Haine/status/1364165113297666049","1364165113297666049")</f>
        <v>1364165113297666049</v>
      </c>
      <c r="F1205" s="7" t="s">
        <v>5309</v>
      </c>
      <c r="G1205" s="7" t="s">
        <v>5310</v>
      </c>
      <c r="H1205" s="8"/>
      <c r="I1205" s="14">
        <v>1</v>
      </c>
      <c r="J1205" s="14">
        <v>1</v>
      </c>
      <c r="K1205" s="6" t="str">
        <f>HYPERLINK("https://buffer.com","Buffer")</f>
        <v>Buffer</v>
      </c>
      <c r="L1205" s="15">
        <v>8235</v>
      </c>
      <c r="M1205" s="15">
        <v>3987</v>
      </c>
      <c r="N1205" s="15">
        <v>3414</v>
      </c>
      <c r="O1205" s="9"/>
      <c r="P1205" s="10">
        <v>39883.2815162037</v>
      </c>
      <c r="Q1205" s="14" t="s">
        <v>1446</v>
      </c>
      <c r="R1205" s="14" t="s">
        <v>2132</v>
      </c>
      <c r="S1205" s="7" t="s">
        <v>2133</v>
      </c>
      <c r="T1205" s="8"/>
      <c r="U1205" s="11" t="str">
        <f>HYPERLINK("https://pbs.twimg.com/profile_images/788408495452393473/J53k5sL8.jpg","View")</f>
        <v>View</v>
      </c>
      <c r="V1205" s="8"/>
      <c r="W1205" s="8"/>
      <c r="X1205" s="8"/>
      <c r="Y1205" s="8"/>
      <c r="Z1205" s="8"/>
    </row>
    <row r="1206" spans="1:26" ht="13.2">
      <c r="A1206" s="13">
        <v>44250.491319444445</v>
      </c>
      <c r="B1206" s="6" t="str">
        <f>HYPERLINK("https://twitter.com/machinelearnflx","@machinelearnflx")</f>
        <v>@machinelearnflx</v>
      </c>
      <c r="C1206" s="14" t="s">
        <v>279</v>
      </c>
      <c r="D1206" s="14" t="s">
        <v>5311</v>
      </c>
      <c r="E1206" s="6" t="str">
        <f>HYPERLINK("https://twitter.com/machinelearnflx/status/1364164979369398272","1364164979369398272")</f>
        <v>1364164979369398272</v>
      </c>
      <c r="F1206" s="7" t="s">
        <v>5312</v>
      </c>
      <c r="G1206" s="8"/>
      <c r="H1206" s="8"/>
      <c r="I1206" s="14">
        <v>3</v>
      </c>
      <c r="J1206" s="14">
        <v>6</v>
      </c>
      <c r="K1206" s="6" t="str">
        <f>HYPERLINK("https://twitter.com/pythonbot_","Postmatico")</f>
        <v>Postmatico</v>
      </c>
      <c r="L1206" s="15">
        <v>90451</v>
      </c>
      <c r="M1206" s="15">
        <v>35464</v>
      </c>
      <c r="N1206" s="15">
        <v>2227</v>
      </c>
      <c r="O1206" s="9"/>
      <c r="P1206" s="10">
        <v>42386.538865740746</v>
      </c>
      <c r="Q1206" s="8"/>
      <c r="R1206" s="14" t="s">
        <v>282</v>
      </c>
      <c r="S1206" s="7" t="s">
        <v>283</v>
      </c>
      <c r="T1206" s="8"/>
      <c r="U1206" s="11" t="str">
        <f>HYPERLINK("https://pbs.twimg.com/profile_images/688735459892195329/v8sHaWSG.jpg","View")</f>
        <v>View</v>
      </c>
      <c r="V1206" s="8"/>
      <c r="W1206" s="8"/>
      <c r="X1206" s="8"/>
      <c r="Y1206" s="8"/>
      <c r="Z1206" s="8"/>
    </row>
    <row r="1207" spans="1:26" ht="13.2">
      <c r="A1207" s="13">
        <v>44250.491087962961</v>
      </c>
      <c r="B1207" s="6" t="str">
        <f>HYPERLINK("https://twitter.com/StanleyEpstein","@StanleyEpstein")</f>
        <v>@StanleyEpstein</v>
      </c>
      <c r="C1207" s="14" t="s">
        <v>4226</v>
      </c>
      <c r="D1207" s="14" t="s">
        <v>5313</v>
      </c>
      <c r="E1207" s="6" t="str">
        <f>HYPERLINK("https://twitter.com/StanleyEpstein/status/1364164896343138312","1364164896343138312")</f>
        <v>1364164896343138312</v>
      </c>
      <c r="F1207" s="14" t="s">
        <v>5314</v>
      </c>
      <c r="G1207" s="8"/>
      <c r="H1207" s="8"/>
      <c r="I1207" s="14">
        <v>0</v>
      </c>
      <c r="J1207" s="14">
        <v>0</v>
      </c>
      <c r="K1207" s="6" t="str">
        <f>HYPERLINK("http://twinybots.com","TwinyBots")</f>
        <v>TwinyBots</v>
      </c>
      <c r="L1207" s="15">
        <v>4627</v>
      </c>
      <c r="M1207" s="15">
        <v>209</v>
      </c>
      <c r="N1207" s="15">
        <v>1099</v>
      </c>
      <c r="O1207" s="9"/>
      <c r="P1207" s="10">
        <v>39959.662395833337</v>
      </c>
      <c r="Q1207" s="8"/>
      <c r="R1207" s="14" t="s">
        <v>4230</v>
      </c>
      <c r="S1207" s="7" t="s">
        <v>4231</v>
      </c>
      <c r="T1207" s="8"/>
      <c r="U1207" s="11" t="str">
        <f>HYPERLINK("https://pbs.twimg.com/profile_images/1029382278399631362/IFzuMwnm.jpg","View")</f>
        <v>View</v>
      </c>
      <c r="V1207" s="8"/>
      <c r="W1207" s="8"/>
      <c r="X1207" s="8"/>
      <c r="Y1207" s="8"/>
      <c r="Z1207" s="8"/>
    </row>
    <row r="1208" spans="1:26" ht="13.2">
      <c r="A1208" s="13">
        <v>44250.490972222222</v>
      </c>
      <c r="B1208" s="6" t="str">
        <f>HYPERLINK("https://twitter.com/QAValley","@QAValley")</f>
        <v>@QAValley</v>
      </c>
      <c r="C1208" s="14" t="s">
        <v>5315</v>
      </c>
      <c r="D1208" s="14" t="s">
        <v>5316</v>
      </c>
      <c r="E1208" s="6" t="str">
        <f>HYPERLINK("https://twitter.com/QAValley/status/1364164851728142340","1364164851728142340")</f>
        <v>1364164851728142340</v>
      </c>
      <c r="F1208" s="7" t="s">
        <v>5317</v>
      </c>
      <c r="G1208" s="7" t="s">
        <v>5318</v>
      </c>
      <c r="H1208" s="8"/>
      <c r="I1208" s="14">
        <v>1</v>
      </c>
      <c r="J1208" s="14">
        <v>0</v>
      </c>
      <c r="K1208" s="6" t="str">
        <f t="shared" ref="K1208:K1210" si="200">HYPERLINK("https://mobile.twitter.com","Twitter Web App")</f>
        <v>Twitter Web App</v>
      </c>
      <c r="L1208" s="15">
        <v>6419</v>
      </c>
      <c r="M1208" s="15">
        <v>7053</v>
      </c>
      <c r="N1208" s="15">
        <v>15</v>
      </c>
      <c r="O1208" s="9"/>
      <c r="P1208" s="10">
        <v>42058.749386574069</v>
      </c>
      <c r="Q1208" s="14" t="s">
        <v>191</v>
      </c>
      <c r="R1208" s="14" t="s">
        <v>5319</v>
      </c>
      <c r="S1208" s="7" t="s">
        <v>5320</v>
      </c>
      <c r="T1208" s="8"/>
      <c r="U1208" s="11" t="str">
        <f>HYPERLINK("https://pbs.twimg.com/profile_images/976909546240307200/3Gy-rd2X.jpg","View")</f>
        <v>View</v>
      </c>
      <c r="V1208" s="8"/>
      <c r="W1208" s="8"/>
      <c r="X1208" s="8"/>
      <c r="Y1208" s="8"/>
      <c r="Z1208" s="8"/>
    </row>
    <row r="1209" spans="1:26" ht="13.2">
      <c r="A1209" s="13">
        <v>44250.490891203706</v>
      </c>
      <c r="B1209" s="6" t="str">
        <f>HYPERLINK("https://twitter.com/ishika_tailor","@ishika_tailor")</f>
        <v>@ishika_tailor</v>
      </c>
      <c r="C1209" s="14" t="s">
        <v>5321</v>
      </c>
      <c r="D1209" s="14" t="s">
        <v>5322</v>
      </c>
      <c r="E1209" s="6" t="str">
        <f>HYPERLINK("https://twitter.com/ishika_tailor/status/1364164823647326209","1364164823647326209")</f>
        <v>1364164823647326209</v>
      </c>
      <c r="F1209" s="8"/>
      <c r="G1209" s="7" t="s">
        <v>5323</v>
      </c>
      <c r="H1209" s="8"/>
      <c r="I1209" s="14">
        <v>1</v>
      </c>
      <c r="J1209" s="14">
        <v>4</v>
      </c>
      <c r="K1209" s="6" t="str">
        <f t="shared" si="200"/>
        <v>Twitter Web App</v>
      </c>
      <c r="L1209" s="15">
        <v>292</v>
      </c>
      <c r="M1209" s="15">
        <v>304</v>
      </c>
      <c r="N1209" s="15">
        <v>0</v>
      </c>
      <c r="O1209" s="9"/>
      <c r="P1209" s="10">
        <v>43555.295127314814</v>
      </c>
      <c r="Q1209" s="14" t="s">
        <v>5324</v>
      </c>
      <c r="R1209" s="14" t="s">
        <v>5325</v>
      </c>
      <c r="S1209" s="8"/>
      <c r="T1209" s="8"/>
      <c r="U1209" s="11" t="str">
        <f>HYPERLINK("https://pbs.twimg.com/profile_images/1293092310754811905/lw3h_C0e.jpg","View")</f>
        <v>View</v>
      </c>
      <c r="V1209" s="8"/>
      <c r="W1209" s="8"/>
      <c r="X1209" s="8"/>
      <c r="Y1209" s="8"/>
      <c r="Z1209" s="8"/>
    </row>
    <row r="1210" spans="1:26" ht="13.2">
      <c r="A1210" s="13">
        <v>44250.490752314814</v>
      </c>
      <c r="B1210" s="6" t="str">
        <f>HYPERLINK("https://twitter.com/Innovat78455398","@Innovat78455398")</f>
        <v>@Innovat78455398</v>
      </c>
      <c r="C1210" s="14" t="s">
        <v>4318</v>
      </c>
      <c r="D1210" s="14" t="s">
        <v>5326</v>
      </c>
      <c r="E1210" s="6" t="str">
        <f>HYPERLINK("https://twitter.com/Innovat78455398/status/1364164774536179713","1364164774536179713")</f>
        <v>1364164774536179713</v>
      </c>
      <c r="F1210" s="7" t="s">
        <v>5327</v>
      </c>
      <c r="G1210" s="7" t="s">
        <v>5328</v>
      </c>
      <c r="H1210" s="8"/>
      <c r="I1210" s="14">
        <v>6</v>
      </c>
      <c r="J1210" s="14">
        <v>2</v>
      </c>
      <c r="K1210" s="6" t="str">
        <f t="shared" si="200"/>
        <v>Twitter Web App</v>
      </c>
      <c r="L1210" s="15">
        <v>101</v>
      </c>
      <c r="M1210" s="15">
        <v>142</v>
      </c>
      <c r="N1210" s="15">
        <v>1</v>
      </c>
      <c r="O1210" s="9"/>
      <c r="P1210" s="10">
        <v>44075.047534722224</v>
      </c>
      <c r="Q1210" s="14" t="s">
        <v>623</v>
      </c>
      <c r="R1210" s="14" t="s">
        <v>4322</v>
      </c>
      <c r="S1210" s="8"/>
      <c r="T1210" s="8"/>
      <c r="U1210" s="11" t="str">
        <f>HYPERLINK("https://pbs.twimg.com/profile_images/1300571380098850818/YjKI8L9l.jpg","View")</f>
        <v>View</v>
      </c>
      <c r="V1210" s="8"/>
      <c r="W1210" s="8"/>
      <c r="X1210" s="8"/>
      <c r="Y1210" s="8"/>
      <c r="Z1210" s="8"/>
    </row>
    <row r="1211" spans="1:26" ht="13.2">
      <c r="A1211" s="13">
        <v>44250.489629629628</v>
      </c>
      <c r="B1211" s="6" t="str">
        <f>HYPERLINK("https://twitter.com/CoDiSLabGraz","@CoDiSLabGraz")</f>
        <v>@CoDiSLabGraz</v>
      </c>
      <c r="C1211" s="14" t="s">
        <v>5329</v>
      </c>
      <c r="D1211" s="14" t="s">
        <v>5330</v>
      </c>
      <c r="E1211" s="6" t="str">
        <f>HYPERLINK("https://twitter.com/CoDiSLabGraz/status/1364164367344885765","1364164367344885765")</f>
        <v>1364164367344885765</v>
      </c>
      <c r="F1211" s="8"/>
      <c r="G1211" s="7" t="s">
        <v>5331</v>
      </c>
      <c r="H1211" s="8"/>
      <c r="I1211" s="14">
        <v>2</v>
      </c>
      <c r="J1211" s="14">
        <v>3</v>
      </c>
      <c r="K1211" s="6" t="str">
        <f t="shared" ref="K1211:K1213" si="201">HYPERLINK("https://www.hootsuite.com","Hootsuite Inc.")</f>
        <v>Hootsuite Inc.</v>
      </c>
      <c r="L1211" s="15">
        <v>41</v>
      </c>
      <c r="M1211" s="15">
        <v>39</v>
      </c>
      <c r="N1211" s="15">
        <v>0</v>
      </c>
      <c r="O1211" s="9"/>
      <c r="P1211" s="10">
        <v>44067.377326388887</v>
      </c>
      <c r="Q1211" s="14" t="s">
        <v>5332</v>
      </c>
      <c r="R1211" s="14" t="s">
        <v>5333</v>
      </c>
      <c r="S1211" s="7" t="s">
        <v>5334</v>
      </c>
      <c r="T1211" s="8"/>
      <c r="U1211" s="11" t="str">
        <f>HYPERLINK("https://pbs.twimg.com/profile_images/1297791648949309440/CtlMbR7H.png","View")</f>
        <v>View</v>
      </c>
      <c r="V1211" s="8"/>
      <c r="W1211" s="8"/>
      <c r="X1211" s="8"/>
      <c r="Y1211" s="8"/>
      <c r="Z1211" s="8"/>
    </row>
    <row r="1212" spans="1:26" ht="13.2">
      <c r="A1212" s="13">
        <v>44250.489629629628</v>
      </c>
      <c r="B1212" s="6" t="str">
        <f>HYPERLINK("https://twitter.com/rvhooijdonk","@rvhooijdonk")</f>
        <v>@rvhooijdonk</v>
      </c>
      <c r="C1212" s="14" t="s">
        <v>5335</v>
      </c>
      <c r="D1212" s="14" t="s">
        <v>5336</v>
      </c>
      <c r="E1212" s="6" t="str">
        <f>HYPERLINK("https://twitter.com/rvhooijdonk/status/1364164365998514176","1364164365998514176")</f>
        <v>1364164365998514176</v>
      </c>
      <c r="F1212" s="7" t="s">
        <v>5337</v>
      </c>
      <c r="G1212" s="7" t="s">
        <v>5338</v>
      </c>
      <c r="H1212" s="8"/>
      <c r="I1212" s="14">
        <v>1</v>
      </c>
      <c r="J1212" s="14">
        <v>0</v>
      </c>
      <c r="K1212" s="6" t="str">
        <f t="shared" si="201"/>
        <v>Hootsuite Inc.</v>
      </c>
      <c r="L1212" s="15">
        <v>13465</v>
      </c>
      <c r="M1212" s="15">
        <v>1549</v>
      </c>
      <c r="N1212" s="15">
        <v>644</v>
      </c>
      <c r="O1212" s="9"/>
      <c r="P1212" s="10">
        <v>39162.843657407408</v>
      </c>
      <c r="Q1212" s="14" t="s">
        <v>5339</v>
      </c>
      <c r="R1212" s="14" t="s">
        <v>5340</v>
      </c>
      <c r="S1212" s="7" t="s">
        <v>5341</v>
      </c>
      <c r="T1212" s="8"/>
      <c r="U1212" s="11" t="str">
        <f>HYPERLINK("https://pbs.twimg.com/profile_images/698088212850466816/xNPRyN3k.jpg","View")</f>
        <v>View</v>
      </c>
      <c r="V1212" s="8"/>
      <c r="W1212" s="8"/>
      <c r="X1212" s="8"/>
      <c r="Y1212" s="8"/>
      <c r="Z1212" s="8"/>
    </row>
    <row r="1213" spans="1:26" ht="13.2">
      <c r="A1213" s="13">
        <v>44250.489618055552</v>
      </c>
      <c r="B1213" s="6" t="str">
        <f>HYPERLINK("https://twitter.com/Agenda_Empresa","@Agenda_Empresa")</f>
        <v>@Agenda_Empresa</v>
      </c>
      <c r="C1213" s="14" t="s">
        <v>5342</v>
      </c>
      <c r="D1213" s="14" t="s">
        <v>5343</v>
      </c>
      <c r="E1213" s="6" t="str">
        <f>HYPERLINK("https://twitter.com/Agenda_Empresa/status/1364164360835395590","1364164360835395590")</f>
        <v>1364164360835395590</v>
      </c>
      <c r="F1213" s="7" t="s">
        <v>5344</v>
      </c>
      <c r="G1213" s="7" t="s">
        <v>5345</v>
      </c>
      <c r="H1213" s="8"/>
      <c r="I1213" s="14">
        <v>1</v>
      </c>
      <c r="J1213" s="14">
        <v>0</v>
      </c>
      <c r="K1213" s="6" t="str">
        <f t="shared" si="201"/>
        <v>Hootsuite Inc.</v>
      </c>
      <c r="L1213" s="15">
        <v>2908</v>
      </c>
      <c r="M1213" s="15">
        <v>927</v>
      </c>
      <c r="N1213" s="15">
        <v>124</v>
      </c>
      <c r="O1213" s="9"/>
      <c r="P1213" s="10">
        <v>41155.582048611112</v>
      </c>
      <c r="Q1213" s="14" t="s">
        <v>5346</v>
      </c>
      <c r="R1213" s="14" t="s">
        <v>5347</v>
      </c>
      <c r="S1213" s="7" t="s">
        <v>5348</v>
      </c>
      <c r="T1213" s="8"/>
      <c r="U1213" s="11" t="str">
        <f>HYPERLINK("https://pbs.twimg.com/profile_images/921345666772799489/DattJ65l.jpg","View")</f>
        <v>View</v>
      </c>
      <c r="V1213" s="8"/>
      <c r="W1213" s="8"/>
      <c r="X1213" s="8"/>
      <c r="Y1213" s="8"/>
      <c r="Z1213" s="8"/>
    </row>
    <row r="1214" spans="1:26" ht="13.2">
      <c r="A1214" s="13">
        <v>44250.488576388889</v>
      </c>
      <c r="B1214" s="6" t="str">
        <f>HYPERLINK("https://twitter.com/datamining_24","@datamining_24")</f>
        <v>@datamining_24</v>
      </c>
      <c r="C1214" s="14" t="s">
        <v>5349</v>
      </c>
      <c r="D1214" s="14" t="s">
        <v>156</v>
      </c>
      <c r="E1214" s="6" t="str">
        <f>HYPERLINK("https://twitter.com/datamining_24/status/1364163984245555202","1364163984245555202")</f>
        <v>1364163984245555202</v>
      </c>
      <c r="F1214" s="7" t="s">
        <v>157</v>
      </c>
      <c r="G1214" s="8"/>
      <c r="H1214" s="8"/>
      <c r="I1214" s="14">
        <v>0</v>
      </c>
      <c r="J1214" s="14">
        <v>3</v>
      </c>
      <c r="K1214" s="6" t="str">
        <f>HYPERLINK("http://twitter.com/download/android","Twitter for Android")</f>
        <v>Twitter for Android</v>
      </c>
      <c r="L1214" s="15">
        <v>10</v>
      </c>
      <c r="M1214" s="15">
        <v>64</v>
      </c>
      <c r="N1214" s="15">
        <v>0</v>
      </c>
      <c r="O1214" s="9"/>
      <c r="P1214" s="10">
        <v>44077.727986111116</v>
      </c>
      <c r="Q1214" s="8"/>
      <c r="R1214" s="14" t="s">
        <v>5350</v>
      </c>
      <c r="S1214" s="7" t="s">
        <v>5351</v>
      </c>
      <c r="T1214" s="8"/>
      <c r="U1214" s="11" t="str">
        <f>HYPERLINK("https://pbs.twimg.com/profile_images/1359662871639171072/-0MK8SxD.jpg","View")</f>
        <v>View</v>
      </c>
      <c r="V1214" s="8"/>
      <c r="W1214" s="8"/>
      <c r="X1214" s="8"/>
      <c r="Y1214" s="8"/>
      <c r="Z1214" s="8"/>
    </row>
    <row r="1215" spans="1:26" ht="13.2">
      <c r="A1215" s="13">
        <v>44250.487777777773</v>
      </c>
      <c r="B1215" s="6" t="str">
        <f>HYPERLINK("https://twitter.com/BrankoBoro","@BrankoBoro")</f>
        <v>@BrankoBoro</v>
      </c>
      <c r="C1215" s="14" t="s">
        <v>3146</v>
      </c>
      <c r="D1215" s="14" t="s">
        <v>5352</v>
      </c>
      <c r="E1215" s="6" t="str">
        <f>HYPERLINK("https://twitter.com/BrankoBoro/status/1364163693836177410","1364163693836177410")</f>
        <v>1364163693836177410</v>
      </c>
      <c r="F1215" s="14" t="s">
        <v>5353</v>
      </c>
      <c r="G1215" s="8"/>
      <c r="H1215" s="8"/>
      <c r="I1215" s="14">
        <v>2</v>
      </c>
      <c r="J1215" s="14">
        <v>0</v>
      </c>
      <c r="K1215" s="6" t="str">
        <f>HYPERLINK("http://twinybots.com","TwinyBots")</f>
        <v>TwinyBots</v>
      </c>
      <c r="L1215" s="15">
        <v>1564</v>
      </c>
      <c r="M1215" s="15">
        <v>1414</v>
      </c>
      <c r="N1215" s="15">
        <v>16</v>
      </c>
      <c r="O1215" s="9"/>
      <c r="P1215" s="10">
        <v>41758.65792824074</v>
      </c>
      <c r="Q1215" s="14" t="s">
        <v>3149</v>
      </c>
      <c r="R1215" s="14" t="s">
        <v>3150</v>
      </c>
      <c r="S1215" s="7" t="s">
        <v>3151</v>
      </c>
      <c r="T1215" s="8"/>
      <c r="U1215" s="11" t="str">
        <f>HYPERLINK("https://pbs.twimg.com/profile_images/1137048121459060739/c9tNcG8J.png","View")</f>
        <v>View</v>
      </c>
      <c r="V1215" s="8"/>
      <c r="W1215" s="8"/>
      <c r="X1215" s="8"/>
      <c r="Y1215" s="8"/>
      <c r="Z1215" s="8"/>
    </row>
    <row r="1216" spans="1:26" ht="13.2">
      <c r="A1216" s="13">
        <v>44250.487407407403</v>
      </c>
      <c r="B1216" s="6" t="str">
        <f>HYPERLINK("https://twitter.com/CoastData","@CoastData")</f>
        <v>@CoastData</v>
      </c>
      <c r="C1216" s="14" t="s">
        <v>5354</v>
      </c>
      <c r="D1216" s="14" t="s">
        <v>5355</v>
      </c>
      <c r="E1216" s="6" t="str">
        <f>HYPERLINK("https://twitter.com/CoastData/status/1364163559320608770","1364163559320608770")</f>
        <v>1364163559320608770</v>
      </c>
      <c r="F1216" s="7" t="s">
        <v>5356</v>
      </c>
      <c r="G1216" s="8"/>
      <c r="H1216" s="8"/>
      <c r="I1216" s="14">
        <v>0</v>
      </c>
      <c r="J1216" s="14">
        <v>1</v>
      </c>
      <c r="K1216" s="6" t="str">
        <f>HYPERLINK("https://www.hootsuite.com","Hootsuite Inc.")</f>
        <v>Hootsuite Inc.</v>
      </c>
      <c r="L1216" s="15">
        <v>79</v>
      </c>
      <c r="M1216" s="15">
        <v>172</v>
      </c>
      <c r="N1216" s="15">
        <v>0</v>
      </c>
      <c r="O1216" s="9"/>
      <c r="P1216" s="10">
        <v>44053.590578703705</v>
      </c>
      <c r="Q1216" s="14" t="s">
        <v>5357</v>
      </c>
      <c r="R1216" s="14" t="s">
        <v>5358</v>
      </c>
      <c r="S1216" s="7" t="s">
        <v>5359</v>
      </c>
      <c r="T1216" s="8"/>
      <c r="U1216" s="11" t="str">
        <f>HYPERLINK("https://pbs.twimg.com/profile_images/1292795510462402563/BqY3kiqa.jpg","View")</f>
        <v>View</v>
      </c>
      <c r="V1216" s="8"/>
      <c r="W1216" s="8"/>
      <c r="X1216" s="8"/>
      <c r="Y1216" s="8"/>
      <c r="Z1216" s="8"/>
    </row>
    <row r="1217" spans="1:26" ht="13.2">
      <c r="A1217" s="13">
        <v>44250.485798611116</v>
      </c>
      <c r="B1217" s="6" t="str">
        <f>HYPERLINK("https://twitter.com/saqibali_ca","@saqibali_ca")</f>
        <v>@saqibali_ca</v>
      </c>
      <c r="C1217" s="14" t="s">
        <v>965</v>
      </c>
      <c r="D1217" s="14" t="s">
        <v>5360</v>
      </c>
      <c r="E1217" s="6" t="str">
        <f>HYPERLINK("https://twitter.com/saqibali_ca/status/1364162976215756802","1364162976215756802")</f>
        <v>1364162976215756802</v>
      </c>
      <c r="F1217" s="7" t="s">
        <v>5361</v>
      </c>
      <c r="G1217" s="8"/>
      <c r="H1217" s="8"/>
      <c r="I1217" s="14">
        <v>0</v>
      </c>
      <c r="J1217" s="14">
        <v>0</v>
      </c>
      <c r="K1217" s="8"/>
      <c r="L1217" s="15">
        <v>270</v>
      </c>
      <c r="M1217" s="15">
        <v>0</v>
      </c>
      <c r="N1217" s="15">
        <v>3</v>
      </c>
      <c r="O1217" s="9"/>
      <c r="P1217" s="10">
        <v>43119.848680555559</v>
      </c>
      <c r="Q1217" s="14" t="s">
        <v>968</v>
      </c>
      <c r="R1217" s="14" t="s">
        <v>969</v>
      </c>
      <c r="S1217" s="7" t="s">
        <v>970</v>
      </c>
      <c r="T1217" s="8"/>
      <c r="U1217" s="11" t="str">
        <f>HYPERLINK("https://pbs.twimg.com/profile_images/1142963749285855233/c6NRGCvi.jpg","View")</f>
        <v>View</v>
      </c>
      <c r="V1217" s="8"/>
      <c r="W1217" s="8"/>
      <c r="X1217" s="8"/>
      <c r="Y1217" s="8"/>
      <c r="Z1217" s="8"/>
    </row>
    <row r="1218" spans="1:26" ht="13.2">
      <c r="A1218" s="13">
        <v>44250.485196759255</v>
      </c>
      <c r="B1218" s="6" t="str">
        <f>HYPERLINK("https://twitter.com/CoastData","@CoastData")</f>
        <v>@CoastData</v>
      </c>
      <c r="C1218" s="14" t="s">
        <v>5354</v>
      </c>
      <c r="D1218" s="14" t="s">
        <v>5362</v>
      </c>
      <c r="E1218" s="6" t="str">
        <f>HYPERLINK("https://twitter.com/CoastData/status/1364162761677303811","1364162761677303811")</f>
        <v>1364162761677303811</v>
      </c>
      <c r="F1218" s="7" t="s">
        <v>5363</v>
      </c>
      <c r="G1218" s="8"/>
      <c r="H1218" s="8"/>
      <c r="I1218" s="14">
        <v>1</v>
      </c>
      <c r="J1218" s="14">
        <v>0</v>
      </c>
      <c r="K1218" s="6" t="str">
        <f>HYPERLINK("https://www.hootsuite.com","Hootsuite Inc.")</f>
        <v>Hootsuite Inc.</v>
      </c>
      <c r="L1218" s="15">
        <v>79</v>
      </c>
      <c r="M1218" s="15">
        <v>172</v>
      </c>
      <c r="N1218" s="15">
        <v>0</v>
      </c>
      <c r="O1218" s="9"/>
      <c r="P1218" s="10">
        <v>44053.590578703705</v>
      </c>
      <c r="Q1218" s="14" t="s">
        <v>5357</v>
      </c>
      <c r="R1218" s="14" t="s">
        <v>5358</v>
      </c>
      <c r="S1218" s="7" t="s">
        <v>5359</v>
      </c>
      <c r="T1218" s="8"/>
      <c r="U1218" s="11" t="str">
        <f>HYPERLINK("https://pbs.twimg.com/profile_images/1292795510462402563/BqY3kiqa.jpg","View")</f>
        <v>View</v>
      </c>
      <c r="V1218" s="8"/>
      <c r="W1218" s="8"/>
      <c r="X1218" s="8"/>
      <c r="Y1218" s="8"/>
      <c r="Z1218" s="8"/>
    </row>
    <row r="1219" spans="1:26" ht="13.2">
      <c r="A1219" s="13">
        <v>44250.484317129631</v>
      </c>
      <c r="B1219" s="6" t="str">
        <f>HYPERLINK("https://twitter.com/native_stack","@native_stack")</f>
        <v>@native_stack</v>
      </c>
      <c r="C1219" s="14" t="s">
        <v>5364</v>
      </c>
      <c r="D1219" s="14" t="s">
        <v>5365</v>
      </c>
      <c r="E1219" s="6" t="str">
        <f>HYPERLINK("https://twitter.com/native_stack/status/1364162441999839232","1364162441999839232")</f>
        <v>1364162441999839232</v>
      </c>
      <c r="F1219" s="7" t="s">
        <v>5366</v>
      </c>
      <c r="G1219" s="8"/>
      <c r="H1219" s="8"/>
      <c r="I1219" s="14">
        <v>1</v>
      </c>
      <c r="J1219" s="14">
        <v>1</v>
      </c>
      <c r="K1219" s="6" t="str">
        <f>HYPERLINK("https://www.cloudnativestack.io","CloudNativeStack")</f>
        <v>CloudNativeStack</v>
      </c>
      <c r="L1219" s="15">
        <v>118</v>
      </c>
      <c r="M1219" s="15">
        <v>84</v>
      </c>
      <c r="N1219" s="15">
        <v>3</v>
      </c>
      <c r="O1219" s="9"/>
      <c r="P1219" s="10">
        <v>43961.584606481483</v>
      </c>
      <c r="Q1219" s="8"/>
      <c r="R1219" s="14" t="s">
        <v>5367</v>
      </c>
      <c r="S1219" s="8"/>
      <c r="T1219" s="8"/>
      <c r="U1219" s="11" t="str">
        <f>HYPERLINK("https://pbs.twimg.com/profile_images/1363016278596722691/CZnOW4HN.jpg","View")</f>
        <v>View</v>
      </c>
      <c r="V1219" s="8"/>
      <c r="W1219" s="8"/>
      <c r="X1219" s="8"/>
      <c r="Y1219" s="8"/>
      <c r="Z1219" s="8"/>
    </row>
    <row r="1220" spans="1:26" ht="13.2">
      <c r="A1220" s="13">
        <v>44250.484317129631</v>
      </c>
      <c r="B1220" s="6" t="str">
        <f>HYPERLINK("https://twitter.com/Tutor_Eduonix","@Tutor_Eduonix")</f>
        <v>@Tutor_Eduonix</v>
      </c>
      <c r="C1220" s="14" t="s">
        <v>5368</v>
      </c>
      <c r="D1220" s="14" t="s">
        <v>5369</v>
      </c>
      <c r="E1220" s="6" t="str">
        <f>HYPERLINK("https://twitter.com/Tutor_Eduonix/status/1364162441727389697","1364162441727389697")</f>
        <v>1364162441727389697</v>
      </c>
      <c r="F1220" s="7" t="s">
        <v>5370</v>
      </c>
      <c r="G1220" s="8"/>
      <c r="H1220" s="8"/>
      <c r="I1220" s="14">
        <v>4</v>
      </c>
      <c r="J1220" s="14">
        <v>5</v>
      </c>
      <c r="K1220" s="6" t="str">
        <f>HYPERLINK("https://www.hootsuite.com","Hootsuite Inc.")</f>
        <v>Hootsuite Inc.</v>
      </c>
      <c r="L1220" s="15">
        <v>4181</v>
      </c>
      <c r="M1220" s="15">
        <v>149</v>
      </c>
      <c r="N1220" s="15">
        <v>82</v>
      </c>
      <c r="O1220" s="9"/>
      <c r="P1220" s="10">
        <v>41260.802511574075</v>
      </c>
      <c r="Q1220" s="14" t="s">
        <v>364</v>
      </c>
      <c r="R1220" s="14" t="s">
        <v>5371</v>
      </c>
      <c r="S1220" s="7" t="s">
        <v>5372</v>
      </c>
      <c r="T1220" s="8"/>
      <c r="U1220" s="11" t="str">
        <f>HYPERLINK("https://pbs.twimg.com/profile_images/1069862229921722373/a1PPTME2.jpg","View")</f>
        <v>View</v>
      </c>
      <c r="V1220" s="8"/>
      <c r="W1220" s="8"/>
      <c r="X1220" s="8"/>
      <c r="Y1220" s="8"/>
      <c r="Z1220" s="8"/>
    </row>
    <row r="1221" spans="1:26" ht="13.2">
      <c r="A1221" s="13">
        <v>44250.483842592592</v>
      </c>
      <c r="B1221" s="6" t="str">
        <f>HYPERLINK("https://twitter.com/couponed_code","@couponed_code")</f>
        <v>@couponed_code</v>
      </c>
      <c r="C1221" s="14" t="s">
        <v>2605</v>
      </c>
      <c r="D1221" s="14" t="s">
        <v>5373</v>
      </c>
      <c r="E1221" s="6" t="str">
        <f>HYPERLINK("https://twitter.com/couponed_code/status/1364162269106475010","1364162269106475010")</f>
        <v>1364162269106475010</v>
      </c>
      <c r="F1221" s="7" t="s">
        <v>5374</v>
      </c>
      <c r="G1221" s="7" t="s">
        <v>5375</v>
      </c>
      <c r="H1221" s="8"/>
      <c r="I1221" s="14">
        <v>43</v>
      </c>
      <c r="J1221" s="14">
        <v>19</v>
      </c>
      <c r="K1221" s="6" t="str">
        <f t="shared" ref="K1221:K1222" si="202">HYPERLINK("https://mobile.twitter.com","Twitter Web App")</f>
        <v>Twitter Web App</v>
      </c>
      <c r="L1221" s="15">
        <v>411</v>
      </c>
      <c r="M1221" s="15">
        <v>189</v>
      </c>
      <c r="N1221" s="15">
        <v>12</v>
      </c>
      <c r="O1221" s="9"/>
      <c r="P1221" s="10">
        <v>43795.697094907402</v>
      </c>
      <c r="Q1221" s="8"/>
      <c r="R1221" s="14" t="s">
        <v>2609</v>
      </c>
      <c r="S1221" s="7" t="s">
        <v>249</v>
      </c>
      <c r="T1221" s="8"/>
      <c r="U1221" s="11" t="str">
        <f>HYPERLINK("https://pbs.twimg.com/profile_images/1199354488051515392/yHRbpMAp.jpg","View")</f>
        <v>View</v>
      </c>
      <c r="V1221" s="8"/>
      <c r="W1221" s="8"/>
      <c r="X1221" s="8"/>
      <c r="Y1221" s="8"/>
      <c r="Z1221" s="8"/>
    </row>
    <row r="1222" spans="1:26" ht="13.2">
      <c r="A1222" s="13">
        <v>44250.483541666668</v>
      </c>
      <c r="B1222" s="6" t="str">
        <f>HYPERLINK("https://twitter.com/7PeaksSoftware","@7PeaksSoftware")</f>
        <v>@7PeaksSoftware</v>
      </c>
      <c r="C1222" s="14" t="s">
        <v>5376</v>
      </c>
      <c r="D1222" s="14" t="s">
        <v>5377</v>
      </c>
      <c r="E1222" s="6" t="str">
        <f>HYPERLINK("https://twitter.com/7PeaksSoftware/status/1364162158217465856","1364162158217465856")</f>
        <v>1364162158217465856</v>
      </c>
      <c r="F1222" s="8"/>
      <c r="G1222" s="7" t="s">
        <v>5378</v>
      </c>
      <c r="H1222" s="8"/>
      <c r="I1222" s="14">
        <v>3</v>
      </c>
      <c r="J1222" s="14">
        <v>1</v>
      </c>
      <c r="K1222" s="6" t="str">
        <f t="shared" si="202"/>
        <v>Twitter Web App</v>
      </c>
      <c r="L1222" s="15">
        <v>58</v>
      </c>
      <c r="M1222" s="15">
        <v>56</v>
      </c>
      <c r="N1222" s="15">
        <v>0</v>
      </c>
      <c r="O1222" s="9"/>
      <c r="P1222" s="10">
        <v>41814.225590277776</v>
      </c>
      <c r="Q1222" s="14" t="s">
        <v>5379</v>
      </c>
      <c r="R1222" s="14" t="s">
        <v>5380</v>
      </c>
      <c r="S1222" s="7" t="s">
        <v>5381</v>
      </c>
      <c r="T1222" s="8"/>
      <c r="U1222" s="11" t="str">
        <f>HYPERLINK("https://pbs.twimg.com/profile_images/1290144033772199936/WF7lvI2-.jpg","View")</f>
        <v>View</v>
      </c>
      <c r="V1222" s="8"/>
      <c r="W1222" s="8"/>
      <c r="X1222" s="8"/>
      <c r="Y1222" s="8"/>
      <c r="Z1222" s="8"/>
    </row>
    <row r="1223" spans="1:26" ht="13.2">
      <c r="A1223" s="13">
        <v>44250.483437499999</v>
      </c>
      <c r="B1223" s="6" t="str">
        <f>HYPERLINK("https://twitter.com/CoastData","@CoastData")</f>
        <v>@CoastData</v>
      </c>
      <c r="C1223" s="14" t="s">
        <v>5354</v>
      </c>
      <c r="D1223" s="14" t="s">
        <v>5382</v>
      </c>
      <c r="E1223" s="6" t="str">
        <f>HYPERLINK("https://twitter.com/CoastData/status/1364162121328648208","1364162121328648208")</f>
        <v>1364162121328648208</v>
      </c>
      <c r="F1223" s="7" t="s">
        <v>5383</v>
      </c>
      <c r="G1223" s="8"/>
      <c r="H1223" s="8"/>
      <c r="I1223" s="14">
        <v>0</v>
      </c>
      <c r="J1223" s="14">
        <v>0</v>
      </c>
      <c r="K1223" s="6" t="str">
        <f>HYPERLINK("https://www.hootsuite.com","Hootsuite Inc.")</f>
        <v>Hootsuite Inc.</v>
      </c>
      <c r="L1223" s="15">
        <v>79</v>
      </c>
      <c r="M1223" s="15">
        <v>172</v>
      </c>
      <c r="N1223" s="15">
        <v>0</v>
      </c>
      <c r="O1223" s="9"/>
      <c r="P1223" s="10">
        <v>44053.590578703705</v>
      </c>
      <c r="Q1223" s="14" t="s">
        <v>5357</v>
      </c>
      <c r="R1223" s="14" t="s">
        <v>5358</v>
      </c>
      <c r="S1223" s="7" t="s">
        <v>5359</v>
      </c>
      <c r="T1223" s="8"/>
      <c r="U1223" s="11" t="str">
        <f>HYPERLINK("https://pbs.twimg.com/profile_images/1292795510462402563/BqY3kiqa.jpg","View")</f>
        <v>View</v>
      </c>
      <c r="V1223" s="8"/>
      <c r="W1223" s="8"/>
      <c r="X1223" s="8"/>
      <c r="Y1223" s="8"/>
      <c r="Z1223" s="8"/>
    </row>
    <row r="1224" spans="1:26" ht="13.2">
      <c r="A1224" s="13">
        <v>44250.483333333337</v>
      </c>
      <c r="B1224" s="6" t="str">
        <f>HYPERLINK("https://twitter.com/SKlausDev","@SKlausDev")</f>
        <v>@SKlausDev</v>
      </c>
      <c r="C1224" s="14" t="s">
        <v>1404</v>
      </c>
      <c r="D1224" s="14" t="s">
        <v>5384</v>
      </c>
      <c r="E1224" s="6" t="str">
        <f>HYPERLINK("https://twitter.com/SKlausDev/status/1364162083441373186","1364162083441373186")</f>
        <v>1364162083441373186</v>
      </c>
      <c r="F1224" s="7" t="s">
        <v>5385</v>
      </c>
      <c r="G1224" s="8"/>
      <c r="H1224" s="8"/>
      <c r="I1224" s="14">
        <v>8</v>
      </c>
      <c r="J1224" s="14">
        <v>6</v>
      </c>
      <c r="K1224" s="6" t="str">
        <f>HYPERLINK("https://mobile.twitter.com","Twitter Web App")</f>
        <v>Twitter Web App</v>
      </c>
      <c r="L1224" s="15">
        <v>1288</v>
      </c>
      <c r="M1224" s="15">
        <v>910</v>
      </c>
      <c r="N1224" s="15">
        <v>505</v>
      </c>
      <c r="O1224" s="9"/>
      <c r="P1224" s="10">
        <v>42492.59207175926</v>
      </c>
      <c r="Q1224" s="14" t="s">
        <v>1407</v>
      </c>
      <c r="R1224" s="14" t="s">
        <v>1408</v>
      </c>
      <c r="S1224" s="8"/>
      <c r="T1224" s="8"/>
      <c r="U1224" s="11" t="str">
        <f>HYPERLINK("https://pbs.twimg.com/profile_images/727109083283726336/pMHGSHGB.jpg","View")</f>
        <v>View</v>
      </c>
      <c r="V1224" s="8"/>
      <c r="W1224" s="8"/>
      <c r="X1224" s="8"/>
      <c r="Y1224" s="8"/>
      <c r="Z1224" s="8"/>
    </row>
    <row r="1225" spans="1:26" ht="13.2">
      <c r="A1225" s="13">
        <v>44250.482685185183</v>
      </c>
      <c r="B1225" s="6" t="str">
        <f>HYPERLINK("https://twitter.com/RadiologyGamuts","@RadiologyGamuts")</f>
        <v>@RadiologyGamuts</v>
      </c>
      <c r="C1225" s="14" t="s">
        <v>1481</v>
      </c>
      <c r="D1225" s="14" t="s">
        <v>5386</v>
      </c>
      <c r="E1225" s="6" t="str">
        <f>HYPERLINK("https://twitter.com/RadiologyGamuts/status/1364161849025961986","1364161849025961986")</f>
        <v>1364161849025961986</v>
      </c>
      <c r="F1225" s="7" t="s">
        <v>5387</v>
      </c>
      <c r="G1225" s="7" t="s">
        <v>5388</v>
      </c>
      <c r="H1225" s="8"/>
      <c r="I1225" s="14">
        <v>0</v>
      </c>
      <c r="J1225" s="14">
        <v>3</v>
      </c>
      <c r="K1225" s="6" t="str">
        <f>HYPERLINK("https://www.gamuts.net","RadiologyGamuts")</f>
        <v>RadiologyGamuts</v>
      </c>
      <c r="L1225" s="15">
        <v>4633</v>
      </c>
      <c r="M1225" s="15">
        <v>3528</v>
      </c>
      <c r="N1225" s="15">
        <v>62</v>
      </c>
      <c r="O1225" s="9"/>
      <c r="P1225" s="10">
        <v>41019.020555555559</v>
      </c>
      <c r="Q1225" s="14" t="s">
        <v>1485</v>
      </c>
      <c r="R1225" s="14" t="s">
        <v>1486</v>
      </c>
      <c r="S1225" s="7" t="s">
        <v>1487</v>
      </c>
      <c r="T1225" s="8"/>
      <c r="U1225" s="11" t="str">
        <f>HYPERLINK("https://pbs.twimg.com/profile_images/2148080535/color-wheel.jpg","View")</f>
        <v>View</v>
      </c>
      <c r="V1225" s="8"/>
      <c r="W1225" s="8"/>
      <c r="X1225" s="8"/>
      <c r="Y1225" s="8"/>
      <c r="Z1225" s="8"/>
    </row>
    <row r="1226" spans="1:26" ht="13.2">
      <c r="A1226" s="13">
        <v>44250.482581018514</v>
      </c>
      <c r="B1226" s="6" t="str">
        <f>HYPERLINK("https://twitter.com/chiradio","@chiradio")</f>
        <v>@chiradio</v>
      </c>
      <c r="C1226" s="14" t="s">
        <v>5389</v>
      </c>
      <c r="D1226" s="14" t="s">
        <v>5390</v>
      </c>
      <c r="E1226" s="6" t="str">
        <f>HYPERLINK("https://twitter.com/chiradio/status/1364161811336089600","1364161811336089600")</f>
        <v>1364161811336089600</v>
      </c>
      <c r="F1226" s="14" t="s">
        <v>5391</v>
      </c>
      <c r="G1226" s="8"/>
      <c r="H1226" s="8"/>
      <c r="I1226" s="14">
        <v>0</v>
      </c>
      <c r="J1226" s="14">
        <v>0</v>
      </c>
      <c r="K1226" s="6" t="str">
        <f>HYPERLINK("https://paper.li","Paper.li")</f>
        <v>Paper.li</v>
      </c>
      <c r="L1226" s="15">
        <v>1405</v>
      </c>
      <c r="M1226" s="15">
        <v>1072</v>
      </c>
      <c r="N1226" s="15">
        <v>44</v>
      </c>
      <c r="O1226" s="9"/>
      <c r="P1226" s="10">
        <v>39219.54210648148</v>
      </c>
      <c r="Q1226" s="14" t="s">
        <v>5392</v>
      </c>
      <c r="R1226" s="14" t="s">
        <v>5393</v>
      </c>
      <c r="S1226" s="7" t="s">
        <v>5394</v>
      </c>
      <c r="T1226" s="8"/>
      <c r="U1226" s="11" t="str">
        <f>HYPERLINK("https://pbs.twimg.com/profile_images/567991692/chiradio_circle.jpg","View")</f>
        <v>View</v>
      </c>
      <c r="V1226" s="8"/>
      <c r="W1226" s="8"/>
      <c r="X1226" s="8"/>
      <c r="Y1226" s="8"/>
      <c r="Z1226" s="8"/>
    </row>
    <row r="1227" spans="1:26" ht="13.2">
      <c r="A1227" s="13">
        <v>44250.481666666667</v>
      </c>
      <c r="B1227" s="6" t="str">
        <f>HYPERLINK("https://twitter.com/MENTOR_EID","@MENTOR_EID")</f>
        <v>@MENTOR_EID</v>
      </c>
      <c r="C1227" s="14" t="s">
        <v>5395</v>
      </c>
      <c r="D1227" s="14" t="s">
        <v>5396</v>
      </c>
      <c r="E1227" s="6" t="str">
        <f>HYPERLINK("https://twitter.com/MENTOR_EID/status/1364161480845889536","1364161480845889536")</f>
        <v>1364161480845889536</v>
      </c>
      <c r="F1227" s="7" t="s">
        <v>5397</v>
      </c>
      <c r="G1227" s="7" t="s">
        <v>5398</v>
      </c>
      <c r="H1227" s="8"/>
      <c r="I1227" s="14">
        <v>9</v>
      </c>
      <c r="J1227" s="14">
        <v>15</v>
      </c>
      <c r="K1227" s="6" t="str">
        <f t="shared" ref="K1227:K1228" si="203">HYPERLINK("https://mobile.twitter.com","Twitter Web App")</f>
        <v>Twitter Web App</v>
      </c>
      <c r="L1227" s="15">
        <v>84</v>
      </c>
      <c r="M1227" s="15">
        <v>143</v>
      </c>
      <c r="N1227" s="15">
        <v>0</v>
      </c>
      <c r="O1227" s="9"/>
      <c r="P1227" s="10">
        <v>44183.451412037037</v>
      </c>
      <c r="Q1227" s="14" t="s">
        <v>5399</v>
      </c>
      <c r="R1227" s="14" t="s">
        <v>5400</v>
      </c>
      <c r="S1227" s="7" t="s">
        <v>5401</v>
      </c>
      <c r="T1227" s="8"/>
      <c r="U1227" s="11" t="str">
        <f>HYPERLINK("https://pbs.twimg.com/profile_images/1339987639076868098/NfJfDb7v.jpg","View")</f>
        <v>View</v>
      </c>
      <c r="V1227" s="8"/>
      <c r="W1227" s="8"/>
      <c r="X1227" s="8"/>
      <c r="Y1227" s="8"/>
      <c r="Z1227" s="8"/>
    </row>
    <row r="1228" spans="1:26" ht="13.2">
      <c r="A1228" s="13">
        <v>44250.481249999997</v>
      </c>
      <c r="B1228" s="6" t="str">
        <f>HYPERLINK("https://twitter.com/Nicochan33","@Nicochan33")</f>
        <v>@Nicochan33</v>
      </c>
      <c r="C1228" s="14" t="s">
        <v>2244</v>
      </c>
      <c r="D1228" s="14" t="s">
        <v>5402</v>
      </c>
      <c r="E1228" s="6" t="str">
        <f>HYPERLINK("https://twitter.com/Nicochan33/status/1364161328504582145","1364161328504582145")</f>
        <v>1364161328504582145</v>
      </c>
      <c r="F1228" s="7" t="s">
        <v>5403</v>
      </c>
      <c r="G1228" s="8"/>
      <c r="H1228" s="8"/>
      <c r="I1228" s="14">
        <v>1</v>
      </c>
      <c r="J1228" s="14">
        <v>1</v>
      </c>
      <c r="K1228" s="6" t="str">
        <f t="shared" si="203"/>
        <v>Twitter Web App</v>
      </c>
      <c r="L1228" s="15">
        <v>86054</v>
      </c>
      <c r="M1228" s="15">
        <v>78930</v>
      </c>
      <c r="N1228" s="15">
        <v>3711</v>
      </c>
      <c r="O1228" s="9"/>
      <c r="P1228" s="10">
        <v>39834.541168981479</v>
      </c>
      <c r="Q1228" s="14" t="s">
        <v>1468</v>
      </c>
      <c r="R1228" s="14" t="s">
        <v>2247</v>
      </c>
      <c r="S1228" s="7" t="s">
        <v>2248</v>
      </c>
      <c r="T1228" s="8"/>
      <c r="U1228" s="11" t="str">
        <f>HYPERLINK("https://pbs.twimg.com/profile_images/773909130352402432/XKlKwdPG.jpg","View")</f>
        <v>View</v>
      </c>
      <c r="V1228" s="8"/>
      <c r="W1228" s="8"/>
      <c r="X1228" s="8"/>
      <c r="Y1228" s="8"/>
      <c r="Z1228" s="8"/>
    </row>
    <row r="1229" spans="1:26" ht="13.2">
      <c r="A1229" s="13">
        <v>44250.480138888888</v>
      </c>
      <c r="B1229" s="6" t="str">
        <f>HYPERLINK("https://twitter.com/Jadirectivestwt","@Jadirectivestwt")</f>
        <v>@Jadirectivestwt</v>
      </c>
      <c r="C1229" s="14" t="s">
        <v>5404</v>
      </c>
      <c r="D1229" s="14" t="s">
        <v>5405</v>
      </c>
      <c r="E1229" s="6" t="str">
        <f>HYPERLINK("https://twitter.com/Jadirectivestwt/status/1364160927738834949","1364160927738834949")</f>
        <v>1364160927738834949</v>
      </c>
      <c r="F1229" s="7" t="s">
        <v>5406</v>
      </c>
      <c r="G1229" s="8"/>
      <c r="H1229" s="8"/>
      <c r="I1229" s="14">
        <v>0</v>
      </c>
      <c r="J1229" s="14">
        <v>0</v>
      </c>
      <c r="K1229" s="6" t="str">
        <f>HYPERLINK("https://app.socialpilot.co/","SocialPilot.co")</f>
        <v>SocialPilot.co</v>
      </c>
      <c r="L1229" s="15">
        <v>5733</v>
      </c>
      <c r="M1229" s="15">
        <v>5891</v>
      </c>
      <c r="N1229" s="15">
        <v>849</v>
      </c>
      <c r="O1229" s="9"/>
      <c r="P1229" s="10">
        <v>42216.877835648149</v>
      </c>
      <c r="Q1229" s="8"/>
      <c r="R1229" s="14" t="s">
        <v>5407</v>
      </c>
      <c r="S1229" s="7" t="s">
        <v>5408</v>
      </c>
      <c r="T1229" s="8"/>
      <c r="U1229" s="11" t="str">
        <f>HYPERLINK("https://pbs.twimg.com/profile_images/1292933771977617410/Tf1ixrZG.jpg","View")</f>
        <v>View</v>
      </c>
      <c r="V1229" s="8"/>
      <c r="W1229" s="8"/>
      <c r="X1229" s="8"/>
      <c r="Y1229" s="8"/>
      <c r="Z1229" s="8"/>
    </row>
    <row r="1230" spans="1:26" ht="13.2">
      <c r="A1230" s="13">
        <v>44250.480046296296</v>
      </c>
      <c r="B1230" s="6" t="str">
        <f>HYPERLINK("https://twitter.com/OlivierMi5","@OlivierMi5")</f>
        <v>@OlivierMi5</v>
      </c>
      <c r="C1230" s="14" t="s">
        <v>5409</v>
      </c>
      <c r="D1230" s="14" t="s">
        <v>5410</v>
      </c>
      <c r="E1230" s="6" t="str">
        <f>HYPERLINK("https://twitter.com/OlivierMi5/status/1364160892003360769","1364160892003360769")</f>
        <v>1364160892003360769</v>
      </c>
      <c r="F1230" s="14" t="s">
        <v>5411</v>
      </c>
      <c r="G1230" s="8"/>
      <c r="H1230" s="8"/>
      <c r="I1230" s="14">
        <v>0</v>
      </c>
      <c r="J1230" s="14">
        <v>0</v>
      </c>
      <c r="K1230" s="6" t="str">
        <f>HYPERLINK("http://smarp.com","Smarp.")</f>
        <v>Smarp.</v>
      </c>
      <c r="L1230" s="15">
        <v>77</v>
      </c>
      <c r="M1230" s="15">
        <v>126</v>
      </c>
      <c r="N1230" s="15">
        <v>0</v>
      </c>
      <c r="O1230" s="9"/>
      <c r="P1230" s="10">
        <v>41676.779629629629</v>
      </c>
      <c r="Q1230" s="8"/>
      <c r="R1230" s="8"/>
      <c r="S1230" s="8"/>
      <c r="T1230" s="8"/>
      <c r="U1230" s="11" t="str">
        <f>HYPERLINK("https://pbs.twimg.com/profile_images/880717476778135553/EzXlSoIy.jpg","View")</f>
        <v>View</v>
      </c>
      <c r="V1230" s="8"/>
      <c r="W1230" s="8"/>
      <c r="X1230" s="8"/>
      <c r="Y1230" s="8"/>
      <c r="Z1230" s="8"/>
    </row>
    <row r="1231" spans="1:26" ht="13.2">
      <c r="A1231" s="13">
        <v>44250.479895833334</v>
      </c>
      <c r="B1231" s="6" t="str">
        <f>HYPERLINK("https://twitter.com/ipfconline1","@ipfconline1")</f>
        <v>@ipfconline1</v>
      </c>
      <c r="C1231" s="14" t="s">
        <v>65</v>
      </c>
      <c r="D1231" s="14" t="s">
        <v>5412</v>
      </c>
      <c r="E1231" s="6" t="str">
        <f>HYPERLINK("https://twitter.com/ipfconline1/status/1364160837821333504","1364160837821333504")</f>
        <v>1364160837821333504</v>
      </c>
      <c r="F1231" s="7" t="s">
        <v>5413</v>
      </c>
      <c r="G1231" s="7" t="s">
        <v>5414</v>
      </c>
      <c r="H1231" s="8"/>
      <c r="I1231" s="14">
        <v>16</v>
      </c>
      <c r="J1231" s="14">
        <v>19</v>
      </c>
      <c r="K1231" s="6" t="str">
        <f>HYPERLINK("https://twittimer.com","Twittimer")</f>
        <v>Twittimer</v>
      </c>
      <c r="L1231" s="15">
        <v>112675</v>
      </c>
      <c r="M1231" s="15">
        <v>107162</v>
      </c>
      <c r="N1231" s="15">
        <v>7806</v>
      </c>
      <c r="O1231" s="9"/>
      <c r="P1231" s="10">
        <v>42433.031967592593</v>
      </c>
      <c r="Q1231" s="14" t="s">
        <v>69</v>
      </c>
      <c r="R1231" s="14" t="s">
        <v>70</v>
      </c>
      <c r="S1231" s="7" t="s">
        <v>71</v>
      </c>
      <c r="T1231" s="8"/>
      <c r="U1231" s="11" t="str">
        <f>HYPERLINK("https://pbs.twimg.com/profile_images/729065804004769793/St2_Pum9.jpg","View")</f>
        <v>View</v>
      </c>
      <c r="V1231" s="8"/>
      <c r="W1231" s="8"/>
      <c r="X1231" s="8"/>
      <c r="Y1231" s="8"/>
      <c r="Z1231" s="8"/>
    </row>
    <row r="1232" spans="1:26" ht="13.2">
      <c r="A1232" s="13">
        <v>44250.479861111111</v>
      </c>
      <c r="B1232" s="6" t="str">
        <f>HYPERLINK("https://twitter.com/RichardEudes","@RichardEudes")</f>
        <v>@RichardEudes</v>
      </c>
      <c r="C1232" s="14" t="s">
        <v>341</v>
      </c>
      <c r="D1232" s="14" t="s">
        <v>5415</v>
      </c>
      <c r="E1232" s="6" t="str">
        <f>HYPERLINK("https://twitter.com/RichardEudes/status/1364160827775975428","1364160827775975428")</f>
        <v>1364160827775975428</v>
      </c>
      <c r="F1232" s="7" t="s">
        <v>5416</v>
      </c>
      <c r="G1232" s="8"/>
      <c r="H1232" s="8"/>
      <c r="I1232" s="14">
        <v>1</v>
      </c>
      <c r="J1232" s="14">
        <v>0</v>
      </c>
      <c r="K1232" s="6" t="str">
        <f>HYPERLINK("https://buffer.com","Buffer")</f>
        <v>Buffer</v>
      </c>
      <c r="L1232" s="15">
        <v>16960</v>
      </c>
      <c r="M1232" s="15">
        <v>1979</v>
      </c>
      <c r="N1232" s="15">
        <v>668</v>
      </c>
      <c r="O1232" s="9"/>
      <c r="P1232" s="10">
        <v>39985.961481481485</v>
      </c>
      <c r="Q1232" s="14" t="s">
        <v>106</v>
      </c>
      <c r="R1232" s="14" t="s">
        <v>344</v>
      </c>
      <c r="S1232" s="7" t="s">
        <v>345</v>
      </c>
      <c r="T1232" s="8"/>
      <c r="U1232" s="11" t="str">
        <f>HYPERLINK("https://pbs.twimg.com/profile_images/1332753391886491648/I9fBm3kf.jpg","View")</f>
        <v>View</v>
      </c>
      <c r="V1232" s="8"/>
      <c r="W1232" s="8"/>
      <c r="X1232" s="8"/>
      <c r="Y1232" s="8"/>
      <c r="Z1232" s="8"/>
    </row>
    <row r="1233" spans="1:26" ht="13.2">
      <c r="A1233" s="13">
        <v>44250.479780092588</v>
      </c>
      <c r="B1233" s="6" t="str">
        <f>HYPERLINK("https://twitter.com/michaelm_info","@michaelm_info")</f>
        <v>@michaelm_info</v>
      </c>
      <c r="C1233" s="14" t="s">
        <v>5417</v>
      </c>
      <c r="D1233" s="14" t="s">
        <v>2087</v>
      </c>
      <c r="E1233" s="6" t="str">
        <f>HYPERLINK("https://twitter.com/michaelm_info/status/1364160797308575744","1364160797308575744")</f>
        <v>1364160797308575744</v>
      </c>
      <c r="F1233" s="7" t="s">
        <v>5418</v>
      </c>
      <c r="G1233" s="7" t="s">
        <v>5419</v>
      </c>
      <c r="H1233" s="8"/>
      <c r="I1233" s="14">
        <v>0</v>
      </c>
      <c r="J1233" s="14">
        <v>0</v>
      </c>
      <c r="K1233" s="6" t="str">
        <f>HYPERLINK("http://www.everyonesocial.com","EveryoneSocial")</f>
        <v>EveryoneSocial</v>
      </c>
      <c r="L1233" s="15">
        <v>54</v>
      </c>
      <c r="M1233" s="15">
        <v>27</v>
      </c>
      <c r="N1233" s="15">
        <v>2</v>
      </c>
      <c r="O1233" s="9"/>
      <c r="P1233" s="10">
        <v>39927.621076388888</v>
      </c>
      <c r="Q1233" s="14" t="s">
        <v>5420</v>
      </c>
      <c r="R1233" s="14" t="s">
        <v>5421</v>
      </c>
      <c r="S1233" s="8"/>
      <c r="T1233" s="8"/>
      <c r="U1233" s="11" t="str">
        <f>HYPERLINK("https://pbs.twimg.com/profile_images/1499762071/Mike_1311509462806.jpg","View")</f>
        <v>View</v>
      </c>
      <c r="V1233" s="8"/>
      <c r="W1233" s="8"/>
      <c r="X1233" s="8"/>
      <c r="Y1233" s="8"/>
      <c r="Z1233" s="8"/>
    </row>
    <row r="1234" spans="1:26" ht="13.2">
      <c r="A1234" s="13">
        <v>44250.479398148149</v>
      </c>
      <c r="B1234" s="6" t="str">
        <f>HYPERLINK("https://twitter.com/royhachache","@royhachache")</f>
        <v>@royhachache</v>
      </c>
      <c r="C1234" s="14" t="s">
        <v>4674</v>
      </c>
      <c r="D1234" s="14" t="s">
        <v>4675</v>
      </c>
      <c r="E1234" s="6" t="str">
        <f>HYPERLINK("https://twitter.com/royhachache/status/1364160657323659267","1364160657323659267")</f>
        <v>1364160657323659267</v>
      </c>
      <c r="F1234" s="7" t="s">
        <v>4676</v>
      </c>
      <c r="G1234" s="7" t="s">
        <v>5422</v>
      </c>
      <c r="H1234" s="8"/>
      <c r="I1234" s="14">
        <v>0</v>
      </c>
      <c r="J1234" s="14">
        <v>0</v>
      </c>
      <c r="K1234" s="6" t="str">
        <f>HYPERLINK("https://readyforsocial.com/","ReadyForSocial App")</f>
        <v>ReadyForSocial App</v>
      </c>
      <c r="L1234" s="15">
        <v>63</v>
      </c>
      <c r="M1234" s="15">
        <v>11</v>
      </c>
      <c r="N1234" s="15">
        <v>0</v>
      </c>
      <c r="O1234" s="9"/>
      <c r="P1234" s="10">
        <v>40895.908703703702</v>
      </c>
      <c r="Q1234" s="8"/>
      <c r="R1234" s="14" t="s">
        <v>4678</v>
      </c>
      <c r="S1234" s="8"/>
      <c r="T1234" s="8"/>
      <c r="U1234" s="11" t="str">
        <f>HYPERLINK("https://pbs.twimg.com/profile_images/1356211989517914117/LxB-fnh7.jpg","View")</f>
        <v>View</v>
      </c>
      <c r="V1234" s="8"/>
      <c r="W1234" s="8"/>
      <c r="X1234" s="8"/>
      <c r="Y1234" s="8"/>
      <c r="Z1234" s="8"/>
    </row>
    <row r="1235" spans="1:26" ht="13.2">
      <c r="A1235" s="13">
        <v>44250.47923611111</v>
      </c>
      <c r="B1235" s="6" t="str">
        <f>HYPERLINK("https://twitter.com/henry_education","@henry_education")</f>
        <v>@henry_education</v>
      </c>
      <c r="C1235" s="14" t="s">
        <v>5423</v>
      </c>
      <c r="D1235" s="14" t="s">
        <v>5424</v>
      </c>
      <c r="E1235" s="6" t="str">
        <f>HYPERLINK("https://twitter.com/henry_education/status/1364160598385315840","1364160598385315840")</f>
        <v>1364160598385315840</v>
      </c>
      <c r="F1235" s="8"/>
      <c r="G1235" s="7" t="s">
        <v>5425</v>
      </c>
      <c r="H1235" s="8"/>
      <c r="I1235" s="14">
        <v>1</v>
      </c>
      <c r="J1235" s="14">
        <v>1</v>
      </c>
      <c r="K1235" s="6" t="str">
        <f>HYPERLINK("https://buffer.com","Buffer")</f>
        <v>Buffer</v>
      </c>
      <c r="L1235" s="15">
        <v>25</v>
      </c>
      <c r="M1235" s="15">
        <v>3</v>
      </c>
      <c r="N1235" s="15">
        <v>0</v>
      </c>
      <c r="O1235" s="9"/>
      <c r="P1235" s="10">
        <v>43973.601597222223</v>
      </c>
      <c r="Q1235" s="14" t="s">
        <v>5426</v>
      </c>
      <c r="R1235" s="14" t="s">
        <v>5427</v>
      </c>
      <c r="S1235" s="7" t="s">
        <v>5428</v>
      </c>
      <c r="T1235" s="8"/>
      <c r="U1235" s="11" t="str">
        <f>HYPERLINK("https://pbs.twimg.com/profile_images/1264068748710801409/xjp42EEi.jpg","View")</f>
        <v>View</v>
      </c>
      <c r="V1235" s="8"/>
      <c r="W1235" s="8"/>
      <c r="X1235" s="8"/>
      <c r="Y1235" s="8"/>
      <c r="Z1235" s="8"/>
    </row>
    <row r="1236" spans="1:26" ht="13.2">
      <c r="A1236" s="13">
        <v>44250.479166666672</v>
      </c>
      <c r="B1236" s="6" t="str">
        <f>HYPERLINK("https://twitter.com/VisiveAI","@VisiveAI")</f>
        <v>@VisiveAI</v>
      </c>
      <c r="C1236" s="14" t="s">
        <v>1586</v>
      </c>
      <c r="D1236" s="14" t="s">
        <v>5429</v>
      </c>
      <c r="E1236" s="6" t="str">
        <f>HYPERLINK("https://twitter.com/VisiveAI/status/1364160574758789120","1364160574758789120")</f>
        <v>1364160574758789120</v>
      </c>
      <c r="F1236" s="8"/>
      <c r="G1236" s="7" t="s">
        <v>5430</v>
      </c>
      <c r="H1236" s="8"/>
      <c r="I1236" s="14">
        <v>6</v>
      </c>
      <c r="J1236" s="14">
        <v>7</v>
      </c>
      <c r="K1236" s="6" t="str">
        <f>HYPERLINK("https://about.twitter.com/products/tweetdeck","TweetDeck")</f>
        <v>TweetDeck</v>
      </c>
      <c r="L1236" s="15">
        <v>1370</v>
      </c>
      <c r="M1236" s="15">
        <v>722</v>
      </c>
      <c r="N1236" s="15">
        <v>19</v>
      </c>
      <c r="O1236" s="9"/>
      <c r="P1236" s="10">
        <v>44020.318541666667</v>
      </c>
      <c r="Q1236" s="14" t="s">
        <v>914</v>
      </c>
      <c r="R1236" s="14" t="s">
        <v>1589</v>
      </c>
      <c r="S1236" s="7" t="s">
        <v>1590</v>
      </c>
      <c r="T1236" s="8"/>
      <c r="U1236" s="11" t="str">
        <f>HYPERLINK("https://pbs.twimg.com/profile_images/1280742386784546816/yppKuStA.jpg","View")</f>
        <v>View</v>
      </c>
      <c r="V1236" s="8"/>
      <c r="W1236" s="8"/>
      <c r="X1236" s="8"/>
      <c r="Y1236" s="8"/>
      <c r="Z1236" s="8"/>
    </row>
    <row r="1237" spans="1:26" ht="13.2">
      <c r="A1237" s="13">
        <v>44250.479166666672</v>
      </c>
      <c r="B1237" s="6" t="str">
        <f>HYPERLINK("https://twitter.com/audioanalytic","@audioanalytic")</f>
        <v>@audioanalytic</v>
      </c>
      <c r="C1237" s="14" t="s">
        <v>5431</v>
      </c>
      <c r="D1237" s="14" t="s">
        <v>5432</v>
      </c>
      <c r="E1237" s="6" t="str">
        <f>HYPERLINK("https://twitter.com/audioanalytic/status/1364160573232005121","1364160573232005121")</f>
        <v>1364160573232005121</v>
      </c>
      <c r="F1237" s="7" t="s">
        <v>5433</v>
      </c>
      <c r="G1237" s="8"/>
      <c r="H1237" s="8"/>
      <c r="I1237" s="14">
        <v>4</v>
      </c>
      <c r="J1237" s="14">
        <v>0</v>
      </c>
      <c r="K1237" s="6" t="str">
        <f>HYPERLINK("http://www.hubspot.com/","HubSpot")</f>
        <v>HubSpot</v>
      </c>
      <c r="L1237" s="15">
        <v>6192</v>
      </c>
      <c r="M1237" s="15">
        <v>3550</v>
      </c>
      <c r="N1237" s="15">
        <v>201</v>
      </c>
      <c r="O1237" s="9"/>
      <c r="P1237" s="10">
        <v>40706.660879629628</v>
      </c>
      <c r="Q1237" s="14" t="s">
        <v>5434</v>
      </c>
      <c r="R1237" s="14" t="s">
        <v>5435</v>
      </c>
      <c r="S1237" s="7" t="s">
        <v>5436</v>
      </c>
      <c r="T1237" s="8"/>
      <c r="U1237" s="11" t="str">
        <f>HYPERLINK("https://pbs.twimg.com/profile_images/1356993621841559554/0Mr6Rver.jpg","View")</f>
        <v>View</v>
      </c>
      <c r="V1237" s="8"/>
      <c r="W1237" s="8"/>
      <c r="X1237" s="8"/>
      <c r="Y1237" s="8"/>
      <c r="Z1237" s="8"/>
    </row>
    <row r="1238" spans="1:26" ht="13.2">
      <c r="A1238" s="13">
        <v>44250.479027777779</v>
      </c>
      <c r="B1238" s="6" t="str">
        <f>HYPERLINK("https://twitter.com/rasangarocks","@rasangarocks")</f>
        <v>@rasangarocks</v>
      </c>
      <c r="C1238" s="14" t="s">
        <v>5437</v>
      </c>
      <c r="D1238" s="14" t="s">
        <v>5438</v>
      </c>
      <c r="E1238" s="6" t="str">
        <f>HYPERLINK("https://twitter.com/rasangarocks/status/1364160522803847168","1364160522803847168")</f>
        <v>1364160522803847168</v>
      </c>
      <c r="F1238" s="7" t="s">
        <v>5439</v>
      </c>
      <c r="G1238" s="8"/>
      <c r="H1238" s="8"/>
      <c r="I1238" s="14">
        <v>10</v>
      </c>
      <c r="J1238" s="14">
        <v>5</v>
      </c>
      <c r="K1238" s="6" t="str">
        <f t="shared" ref="K1238:K1241" si="204">HYPERLINK("https://mobile.twitter.com","Twitter Web App")</f>
        <v>Twitter Web App</v>
      </c>
      <c r="L1238" s="15">
        <v>50654</v>
      </c>
      <c r="M1238" s="15">
        <v>49987</v>
      </c>
      <c r="N1238" s="15">
        <v>624</v>
      </c>
      <c r="O1238" s="9"/>
      <c r="P1238" s="10">
        <v>42071.75949074074</v>
      </c>
      <c r="Q1238" s="8"/>
      <c r="R1238" s="14" t="s">
        <v>5440</v>
      </c>
      <c r="S1238" s="7" t="s">
        <v>5441</v>
      </c>
      <c r="T1238" s="8"/>
      <c r="U1238" s="11" t="str">
        <f>HYPERLINK("https://pbs.twimg.com/profile_images/771872242300956672/j1H-OInO.jpg","View")</f>
        <v>View</v>
      </c>
      <c r="V1238" s="8"/>
      <c r="W1238" s="8"/>
      <c r="X1238" s="8"/>
      <c r="Y1238" s="8"/>
      <c r="Z1238" s="8"/>
    </row>
    <row r="1239" spans="1:26" ht="13.2">
      <c r="A1239" s="13">
        <v>44250.478506944448</v>
      </c>
      <c r="B1239" s="6" t="str">
        <f>HYPERLINK("https://twitter.com/decide4AI","@decide4AI")</f>
        <v>@decide4AI</v>
      </c>
      <c r="C1239" s="14" t="s">
        <v>5442</v>
      </c>
      <c r="D1239" s="14" t="s">
        <v>5443</v>
      </c>
      <c r="E1239" s="6" t="str">
        <f>HYPERLINK("https://twitter.com/decide4AI/status/1364160334169276418","1364160334169276418")</f>
        <v>1364160334169276418</v>
      </c>
      <c r="F1239" s="7" t="s">
        <v>5444</v>
      </c>
      <c r="G1239" s="8"/>
      <c r="H1239" s="8"/>
      <c r="I1239" s="14">
        <v>2</v>
      </c>
      <c r="J1239" s="14">
        <v>1</v>
      </c>
      <c r="K1239" s="6" t="str">
        <f t="shared" si="204"/>
        <v>Twitter Web App</v>
      </c>
      <c r="L1239" s="15">
        <v>779</v>
      </c>
      <c r="M1239" s="15">
        <v>736</v>
      </c>
      <c r="N1239" s="15">
        <v>56</v>
      </c>
      <c r="O1239" s="9"/>
      <c r="P1239" s="10">
        <v>40472.461261574077</v>
      </c>
      <c r="Q1239" s="14" t="s">
        <v>5445</v>
      </c>
      <c r="R1239" s="14" t="s">
        <v>5446</v>
      </c>
      <c r="S1239" s="7" t="s">
        <v>5447</v>
      </c>
      <c r="T1239" s="8"/>
      <c r="U1239" s="11" t="str">
        <f>HYPERLINK("https://pbs.twimg.com/profile_images/1347173966813790211/ANaxWa2p.jpg","View")</f>
        <v>View</v>
      </c>
      <c r="V1239" s="8"/>
      <c r="W1239" s="8"/>
      <c r="X1239" s="8"/>
      <c r="Y1239" s="8"/>
      <c r="Z1239" s="8"/>
    </row>
    <row r="1240" spans="1:26" ht="13.2">
      <c r="A1240" s="13">
        <v>44250.477962962963</v>
      </c>
      <c r="B1240" s="6" t="str">
        <f>HYPERLINK("https://twitter.com/marketsmarkets","@marketsmarkets")</f>
        <v>@marketsmarkets</v>
      </c>
      <c r="C1240" s="14" t="s">
        <v>5448</v>
      </c>
      <c r="D1240" s="14" t="s">
        <v>5449</v>
      </c>
      <c r="E1240" s="6" t="str">
        <f>HYPERLINK("https://twitter.com/marketsmarkets/status/1364160137628246016","1364160137628246016")</f>
        <v>1364160137628246016</v>
      </c>
      <c r="F1240" s="7" t="s">
        <v>5450</v>
      </c>
      <c r="G1240" s="7" t="s">
        <v>5451</v>
      </c>
      <c r="H1240" s="8"/>
      <c r="I1240" s="14">
        <v>3</v>
      </c>
      <c r="J1240" s="14">
        <v>1</v>
      </c>
      <c r="K1240" s="6" t="str">
        <f t="shared" si="204"/>
        <v>Twitter Web App</v>
      </c>
      <c r="L1240" s="15">
        <v>4772</v>
      </c>
      <c r="M1240" s="15">
        <v>2671</v>
      </c>
      <c r="N1240" s="15">
        <v>211</v>
      </c>
      <c r="O1240" s="9"/>
      <c r="P1240" s="10">
        <v>39920.609710648147</v>
      </c>
      <c r="Q1240" s="14" t="s">
        <v>5452</v>
      </c>
      <c r="R1240" s="14" t="s">
        <v>5453</v>
      </c>
      <c r="S1240" s="7" t="s">
        <v>5454</v>
      </c>
      <c r="T1240" s="8"/>
      <c r="U1240" s="11" t="str">
        <f>HYPERLINK("https://pbs.twimg.com/profile_images/1034042190375215105/-PIzaRmQ.jpg","View")</f>
        <v>View</v>
      </c>
      <c r="V1240" s="8"/>
      <c r="W1240" s="8"/>
      <c r="X1240" s="8"/>
      <c r="Y1240" s="8"/>
      <c r="Z1240" s="8"/>
    </row>
    <row r="1241" spans="1:26" ht="13.2">
      <c r="A1241" s="13">
        <v>44250.477777777778</v>
      </c>
      <c r="B1241" s="6" t="str">
        <f>HYPERLINK("https://twitter.com/KatherineAMunro","@KatherineAMunro")</f>
        <v>@KatherineAMunro</v>
      </c>
      <c r="C1241" s="14" t="s">
        <v>5455</v>
      </c>
      <c r="D1241" s="14" t="s">
        <v>5456</v>
      </c>
      <c r="E1241" s="6" t="str">
        <f>HYPERLINK("https://twitter.com/KatherineAMunro/status/1364160070058209284","1364160070058209284")</f>
        <v>1364160070058209284</v>
      </c>
      <c r="F1241" s="7" t="s">
        <v>5457</v>
      </c>
      <c r="G1241" s="7" t="s">
        <v>5458</v>
      </c>
      <c r="H1241" s="8"/>
      <c r="I1241" s="14">
        <v>3</v>
      </c>
      <c r="J1241" s="14">
        <v>5</v>
      </c>
      <c r="K1241" s="6" t="str">
        <f t="shared" si="204"/>
        <v>Twitter Web App</v>
      </c>
      <c r="L1241" s="15">
        <v>365</v>
      </c>
      <c r="M1241" s="15">
        <v>807</v>
      </c>
      <c r="N1241" s="15">
        <v>8</v>
      </c>
      <c r="O1241" s="9"/>
      <c r="P1241" s="10">
        <v>44014.767384259263</v>
      </c>
      <c r="Q1241" s="14" t="s">
        <v>5459</v>
      </c>
      <c r="R1241" s="14" t="s">
        <v>5460</v>
      </c>
      <c r="S1241" s="7" t="s">
        <v>5461</v>
      </c>
      <c r="T1241" s="8"/>
      <c r="U1241" s="11" t="str">
        <f>HYPERLINK("https://pbs.twimg.com/profile_images/1317402764675252226/0Mz_JiO3.jpg","View")</f>
        <v>View</v>
      </c>
      <c r="V1241" s="8"/>
      <c r="W1241" s="8"/>
      <c r="X1241" s="8"/>
      <c r="Y1241" s="8"/>
      <c r="Z1241" s="8"/>
    </row>
    <row r="1242" spans="1:26" ht="13.2">
      <c r="A1242" s="13">
        <v>44250.477754629625</v>
      </c>
      <c r="B1242" s="6" t="str">
        <f>HYPERLINK("https://twitter.com/theshankaransh","@theshankaransh")</f>
        <v>@theshankaransh</v>
      </c>
      <c r="C1242" s="14" t="s">
        <v>5462</v>
      </c>
      <c r="D1242" s="14" t="s">
        <v>5463</v>
      </c>
      <c r="E1242" s="6" t="str">
        <f>HYPERLINK("https://twitter.com/theshankaransh/status/1364160061442940937","1364160061442940937")</f>
        <v>1364160061442940937</v>
      </c>
      <c r="F1242" s="7" t="s">
        <v>5464</v>
      </c>
      <c r="G1242" s="7" t="s">
        <v>5465</v>
      </c>
      <c r="H1242" s="8"/>
      <c r="I1242" s="14">
        <v>0</v>
      </c>
      <c r="J1242" s="14">
        <v>2</v>
      </c>
      <c r="K1242" s="6" t="str">
        <f>HYPERLINK("http://twitter.com/download/android","Twitter for Android")</f>
        <v>Twitter for Android</v>
      </c>
      <c r="L1242" s="15">
        <v>77</v>
      </c>
      <c r="M1242" s="15">
        <v>438</v>
      </c>
      <c r="N1242" s="15">
        <v>0</v>
      </c>
      <c r="O1242" s="9"/>
      <c r="P1242" s="10">
        <v>43515.489803240736</v>
      </c>
      <c r="Q1242" s="8"/>
      <c r="R1242" s="14" t="s">
        <v>5466</v>
      </c>
      <c r="S1242" s="8"/>
      <c r="T1242" s="8"/>
      <c r="U1242" s="11" t="str">
        <f>HYPERLINK("https://pbs.twimg.com/profile_images/1097809763239247874/bDJLW6sM.jpg","View")</f>
        <v>View</v>
      </c>
      <c r="V1242" s="8"/>
      <c r="W1242" s="8"/>
      <c r="X1242" s="8"/>
      <c r="Y1242" s="8"/>
      <c r="Z1242" s="8"/>
    </row>
    <row r="1243" spans="1:26" ht="13.2">
      <c r="A1243" s="13">
        <v>44250.477372685185</v>
      </c>
      <c r="B1243" s="6" t="str">
        <f>HYPERLINK("https://twitter.com/JourneyHeroTech","@JourneyHeroTech")</f>
        <v>@JourneyHeroTech</v>
      </c>
      <c r="C1243" s="14" t="s">
        <v>1061</v>
      </c>
      <c r="D1243" s="14" t="s">
        <v>5467</v>
      </c>
      <c r="E1243" s="6" t="str">
        <f>HYPERLINK("https://twitter.com/JourneyHeroTech/status/1364159925929320448","1364159925929320448")</f>
        <v>1364159925929320448</v>
      </c>
      <c r="F1243" s="14" t="s">
        <v>5468</v>
      </c>
      <c r="G1243" s="7" t="s">
        <v>5469</v>
      </c>
      <c r="H1243" s="8"/>
      <c r="I1243" s="14">
        <v>13</v>
      </c>
      <c r="J1243" s="14">
        <v>5</v>
      </c>
      <c r="K1243" s="6" t="str">
        <f>HYPERLINK("http://twitter.com/download/iphone","Twitter for iPhone")</f>
        <v>Twitter for iPhone</v>
      </c>
      <c r="L1243" s="15">
        <v>418</v>
      </c>
      <c r="M1243" s="15">
        <v>1469</v>
      </c>
      <c r="N1243" s="15">
        <v>4</v>
      </c>
      <c r="O1243" s="9"/>
      <c r="P1243" s="10">
        <v>43958.737557870365</v>
      </c>
      <c r="Q1243" s="8"/>
      <c r="R1243" s="14" t="s">
        <v>1065</v>
      </c>
      <c r="S1243" s="7" t="s">
        <v>1066</v>
      </c>
      <c r="T1243" s="8"/>
      <c r="U1243" s="11" t="str">
        <f>HYPERLINK("https://pbs.twimg.com/profile_images/1258421949493100544/99J8Ehfn.jpg","View")</f>
        <v>View</v>
      </c>
      <c r="V1243" s="8"/>
      <c r="W1243" s="8"/>
      <c r="X1243" s="8"/>
      <c r="Y1243" s="8"/>
      <c r="Z1243" s="8"/>
    </row>
    <row r="1244" spans="1:26" ht="13.2">
      <c r="A1244" s="13">
        <v>44250.477314814816</v>
      </c>
      <c r="B1244" s="6" t="str">
        <f t="shared" ref="B1244:B1245" si="205">HYPERLINK("https://twitter.com/DS_Analytics","@DS_Analytics")</f>
        <v>@DS_Analytics</v>
      </c>
      <c r="C1244" s="14" t="s">
        <v>2389</v>
      </c>
      <c r="D1244" s="14" t="s">
        <v>5470</v>
      </c>
      <c r="E1244" s="6" t="str">
        <f>HYPERLINK("https://twitter.com/DS_Analytics/status/1364159902223106050","1364159902223106050")</f>
        <v>1364159902223106050</v>
      </c>
      <c r="F1244" s="7" t="s">
        <v>5471</v>
      </c>
      <c r="G1244" s="8"/>
      <c r="H1244" s="8"/>
      <c r="I1244" s="14">
        <v>0</v>
      </c>
      <c r="J1244" s="14">
        <v>1</v>
      </c>
      <c r="K1244" s="6" t="str">
        <f t="shared" ref="K1244:K1245" si="206">HYPERLINK("https://ifttt.com","IFTTT")</f>
        <v>IFTTT</v>
      </c>
      <c r="L1244" s="15">
        <v>4945</v>
      </c>
      <c r="M1244" s="15">
        <v>4504</v>
      </c>
      <c r="N1244" s="15">
        <v>46</v>
      </c>
      <c r="O1244" s="9"/>
      <c r="P1244" s="10">
        <v>43019.662314814814</v>
      </c>
      <c r="Q1244" s="8"/>
      <c r="R1244" s="14" t="s">
        <v>2392</v>
      </c>
      <c r="S1244" s="8"/>
      <c r="T1244" s="8"/>
      <c r="U1244" s="11" t="str">
        <f t="shared" ref="U1244:U1245" si="207">HYPERLINK("https://pbs.twimg.com/profile_images/955817556635504640/FflsX454.jpg","View")</f>
        <v>View</v>
      </c>
      <c r="V1244" s="8"/>
      <c r="W1244" s="8"/>
      <c r="X1244" s="8"/>
      <c r="Y1244" s="8"/>
      <c r="Z1244" s="8"/>
    </row>
    <row r="1245" spans="1:26" ht="13.2">
      <c r="A1245" s="13">
        <v>44250.477303240739</v>
      </c>
      <c r="B1245" s="6" t="str">
        <f t="shared" si="205"/>
        <v>@DS_Analytics</v>
      </c>
      <c r="C1245" s="14" t="s">
        <v>2389</v>
      </c>
      <c r="D1245" s="14" t="s">
        <v>5472</v>
      </c>
      <c r="E1245" s="6" t="str">
        <f>HYPERLINK("https://twitter.com/DS_Analytics/status/1364159897722617857","1364159897722617857")</f>
        <v>1364159897722617857</v>
      </c>
      <c r="F1245" s="7" t="s">
        <v>5473</v>
      </c>
      <c r="G1245" s="8"/>
      <c r="H1245" s="8"/>
      <c r="I1245" s="14">
        <v>0</v>
      </c>
      <c r="J1245" s="14">
        <v>1</v>
      </c>
      <c r="K1245" s="6" t="str">
        <f t="shared" si="206"/>
        <v>IFTTT</v>
      </c>
      <c r="L1245" s="15">
        <v>4945</v>
      </c>
      <c r="M1245" s="15">
        <v>4504</v>
      </c>
      <c r="N1245" s="15">
        <v>46</v>
      </c>
      <c r="O1245" s="9"/>
      <c r="P1245" s="10">
        <v>43019.662314814814</v>
      </c>
      <c r="Q1245" s="8"/>
      <c r="R1245" s="14" t="s">
        <v>2392</v>
      </c>
      <c r="S1245" s="8"/>
      <c r="T1245" s="8"/>
      <c r="U1245" s="11" t="str">
        <f t="shared" si="207"/>
        <v>View</v>
      </c>
      <c r="V1245" s="8"/>
      <c r="W1245" s="8"/>
      <c r="X1245" s="8"/>
      <c r="Y1245" s="8"/>
      <c r="Z1245" s="8"/>
    </row>
    <row r="1246" spans="1:26" ht="13.2">
      <c r="A1246" s="13">
        <v>44250.47719907407</v>
      </c>
      <c r="B1246" s="6" t="str">
        <f>HYPERLINK("https://twitter.com/ground_limo","@ground_limo")</f>
        <v>@ground_limo</v>
      </c>
      <c r="C1246" s="14" t="s">
        <v>5474</v>
      </c>
      <c r="D1246" s="14" t="s">
        <v>5475</v>
      </c>
      <c r="E1246" s="6" t="str">
        <f>HYPERLINK("https://twitter.com/ground_limo/status/1364159859600494595","1364159859600494595")</f>
        <v>1364159859600494595</v>
      </c>
      <c r="F1246" s="7" t="s">
        <v>5476</v>
      </c>
      <c r="G1246" s="7" t="s">
        <v>5477</v>
      </c>
      <c r="H1246" s="8"/>
      <c r="I1246" s="14">
        <v>8</v>
      </c>
      <c r="J1246" s="14">
        <v>5</v>
      </c>
      <c r="K1246" s="6" t="str">
        <f>HYPERLINK("https://mobile.twitter.com","Twitter Web App")</f>
        <v>Twitter Web App</v>
      </c>
      <c r="L1246" s="15">
        <v>450</v>
      </c>
      <c r="M1246" s="15">
        <v>691</v>
      </c>
      <c r="N1246" s="15">
        <v>0</v>
      </c>
      <c r="O1246" s="9"/>
      <c r="P1246" s="10">
        <v>44201.36440972222</v>
      </c>
      <c r="Q1246" s="14" t="s">
        <v>5478</v>
      </c>
      <c r="R1246" s="14" t="s">
        <v>5479</v>
      </c>
      <c r="S1246" s="7" t="s">
        <v>5476</v>
      </c>
      <c r="T1246" s="8"/>
      <c r="U1246" s="11" t="str">
        <f>HYPERLINK("https://pbs.twimg.com/profile_images/1346362028592668672/TJcMfhuZ.jpg","View")</f>
        <v>View</v>
      </c>
      <c r="V1246" s="8"/>
      <c r="W1246" s="8"/>
      <c r="X1246" s="8"/>
      <c r="Y1246" s="8"/>
      <c r="Z1246" s="8"/>
    </row>
    <row r="1247" spans="1:26" ht="13.2">
      <c r="A1247" s="13">
        <v>44250.476979166662</v>
      </c>
      <c r="B1247" s="6" t="str">
        <f>HYPERLINK("https://twitter.com/WriteX12","@WriteX12")</f>
        <v>@WriteX12</v>
      </c>
      <c r="C1247" s="14" t="s">
        <v>5480</v>
      </c>
      <c r="D1247" s="14" t="s">
        <v>5481</v>
      </c>
      <c r="E1247" s="6" t="str">
        <f>HYPERLINK("https://twitter.com/WriteX12/status/1364159783624794112","1364159783624794112")</f>
        <v>1364159783624794112</v>
      </c>
      <c r="F1247" s="7" t="s">
        <v>5482</v>
      </c>
      <c r="G1247" s="8"/>
      <c r="H1247" s="8"/>
      <c r="I1247" s="14">
        <v>1</v>
      </c>
      <c r="J1247" s="14">
        <v>2</v>
      </c>
      <c r="K1247" s="6" t="str">
        <f t="shared" ref="K1247:K1248" si="208">HYPERLINK("http://twitter.com/download/android","Twitter for Android")</f>
        <v>Twitter for Android</v>
      </c>
      <c r="L1247" s="15">
        <v>21</v>
      </c>
      <c r="M1247" s="15">
        <v>178</v>
      </c>
      <c r="N1247" s="15">
        <v>0</v>
      </c>
      <c r="O1247" s="9"/>
      <c r="P1247" s="10">
        <v>44118.455312499995</v>
      </c>
      <c r="Q1247" s="8"/>
      <c r="R1247" s="14" t="s">
        <v>5483</v>
      </c>
      <c r="S1247" s="7" t="s">
        <v>5484</v>
      </c>
      <c r="T1247" s="8"/>
      <c r="U1247" s="11" t="str">
        <f>HYPERLINK("https://pbs.twimg.com/profile_images/1316301767731109888/kmWlNQMs.jpg","View")</f>
        <v>View</v>
      </c>
      <c r="V1247" s="8"/>
      <c r="W1247" s="8"/>
      <c r="X1247" s="8"/>
      <c r="Y1247" s="8"/>
      <c r="Z1247" s="8"/>
    </row>
    <row r="1248" spans="1:26" ht="13.2">
      <c r="A1248" s="13">
        <v>44250.476238425923</v>
      </c>
      <c r="B1248" s="6" t="str">
        <f>HYPERLINK("https://twitter.com/guidaautonoma","@guidaautonoma")</f>
        <v>@guidaautonoma</v>
      </c>
      <c r="C1248" s="14" t="s">
        <v>2203</v>
      </c>
      <c r="D1248" s="14" t="s">
        <v>5485</v>
      </c>
      <c r="E1248" s="6" t="str">
        <f>HYPERLINK("https://twitter.com/guidaautonoma/status/1364159515059499010","1364159515059499010")</f>
        <v>1364159515059499010</v>
      </c>
      <c r="F1248" s="7" t="s">
        <v>5486</v>
      </c>
      <c r="G1248" s="8"/>
      <c r="H1248" s="8"/>
      <c r="I1248" s="14">
        <v>2</v>
      </c>
      <c r="J1248" s="14">
        <v>2</v>
      </c>
      <c r="K1248" s="6" t="str">
        <f t="shared" si="208"/>
        <v>Twitter for Android</v>
      </c>
      <c r="L1248" s="15">
        <v>7074</v>
      </c>
      <c r="M1248" s="15">
        <v>6991</v>
      </c>
      <c r="N1248" s="15">
        <v>411</v>
      </c>
      <c r="O1248" s="9"/>
      <c r="P1248" s="10">
        <v>42496.270833333328</v>
      </c>
      <c r="Q1248" s="14" t="s">
        <v>2207</v>
      </c>
      <c r="R1248" s="14" t="s">
        <v>2208</v>
      </c>
      <c r="S1248" s="7" t="s">
        <v>2209</v>
      </c>
      <c r="T1248" s="8"/>
      <c r="U1248" s="11" t="str">
        <f>HYPERLINK("https://pbs.twimg.com/profile_images/728675456971583488/AVbaFxlK.jpg","View")</f>
        <v>View</v>
      </c>
      <c r="V1248" s="8"/>
      <c r="W1248" s="8"/>
      <c r="X1248" s="8"/>
      <c r="Y1248" s="8"/>
      <c r="Z1248" s="8"/>
    </row>
    <row r="1249" spans="1:26" ht="13.2">
      <c r="A1249" s="13">
        <v>44250.475729166668</v>
      </c>
      <c r="B1249" s="6" t="str">
        <f>HYPERLINK("https://twitter.com/UKRobotics","@UKRobotics")</f>
        <v>@UKRobotics</v>
      </c>
      <c r="C1249" s="14" t="s">
        <v>5487</v>
      </c>
      <c r="D1249" s="14" t="s">
        <v>5488</v>
      </c>
      <c r="E1249" s="6" t="str">
        <f>HYPERLINK("https://twitter.com/UKRobotics/status/1364159326772985856","1364159326772985856")</f>
        <v>1364159326772985856</v>
      </c>
      <c r="F1249" s="7" t="s">
        <v>5489</v>
      </c>
      <c r="G1249" s="8"/>
      <c r="H1249" s="8"/>
      <c r="I1249" s="14">
        <v>0</v>
      </c>
      <c r="J1249" s="14">
        <v>0</v>
      </c>
      <c r="K1249" s="6" t="str">
        <f>HYPERLINK("https://www.hootsuite.com","Hootsuite Inc.")</f>
        <v>Hootsuite Inc.</v>
      </c>
      <c r="L1249" s="15">
        <v>6770</v>
      </c>
      <c r="M1249" s="15">
        <v>5618</v>
      </c>
      <c r="N1249" s="15">
        <v>145</v>
      </c>
      <c r="O1249" s="9"/>
      <c r="P1249" s="10">
        <v>41733.701099537036</v>
      </c>
      <c r="Q1249" s="14" t="s">
        <v>203</v>
      </c>
      <c r="R1249" s="14" t="s">
        <v>5490</v>
      </c>
      <c r="S1249" s="7" t="s">
        <v>5491</v>
      </c>
      <c r="T1249" s="8"/>
      <c r="U1249" s="11" t="str">
        <f>HYPERLINK("https://pbs.twimg.com/profile_images/1356672453695701001/ypPMr24R.jpg","View")</f>
        <v>View</v>
      </c>
      <c r="V1249" s="8"/>
      <c r="W1249" s="8"/>
      <c r="X1249" s="8"/>
      <c r="Y1249" s="8"/>
      <c r="Z1249" s="8"/>
    </row>
    <row r="1250" spans="1:26" ht="13.2">
      <c r="A1250" s="13">
        <v>44250.475590277776</v>
      </c>
      <c r="B1250" s="6" t="str">
        <f>HYPERLINK("https://twitter.com/josejuhala","@josejuhala")</f>
        <v>@josejuhala</v>
      </c>
      <c r="C1250" s="14" t="s">
        <v>5492</v>
      </c>
      <c r="D1250" s="14" t="s">
        <v>2087</v>
      </c>
      <c r="E1250" s="6" t="str">
        <f>HYPERLINK("https://twitter.com/josejuhala/status/1364159279784226817","1364159279784226817")</f>
        <v>1364159279784226817</v>
      </c>
      <c r="F1250" s="7" t="s">
        <v>5493</v>
      </c>
      <c r="G1250" s="7" t="s">
        <v>5494</v>
      </c>
      <c r="H1250" s="8"/>
      <c r="I1250" s="14">
        <v>0</v>
      </c>
      <c r="J1250" s="14">
        <v>1</v>
      </c>
      <c r="K1250" s="6" t="str">
        <f>HYPERLINK("http://www.everyonesocial.com","EveryoneSocial")</f>
        <v>EveryoneSocial</v>
      </c>
      <c r="L1250" s="15">
        <v>109</v>
      </c>
      <c r="M1250" s="15">
        <v>153</v>
      </c>
      <c r="N1250" s="15">
        <v>6</v>
      </c>
      <c r="O1250" s="9"/>
      <c r="P1250" s="10">
        <v>40309.550810185188</v>
      </c>
      <c r="Q1250" s="8"/>
      <c r="R1250" s="14" t="s">
        <v>5495</v>
      </c>
      <c r="S1250" s="8"/>
      <c r="T1250" s="8"/>
      <c r="U1250" s="11" t="str">
        <f>HYPERLINK("https://pbs.twimg.com/profile_images/1321721035713105920/SeFCSg0t.jpg","View")</f>
        <v>View</v>
      </c>
      <c r="V1250" s="8"/>
      <c r="W1250" s="8"/>
      <c r="X1250" s="8"/>
      <c r="Y1250" s="8"/>
      <c r="Z1250" s="8"/>
    </row>
    <row r="1251" spans="1:26" ht="13.2">
      <c r="A1251" s="13">
        <v>44250.475219907406</v>
      </c>
      <c r="B1251" s="6" t="str">
        <f>HYPERLINK("https://twitter.com/LetsTalkB2B","@LetsTalkB2B")</f>
        <v>@LetsTalkB2B</v>
      </c>
      <c r="C1251" s="14" t="s">
        <v>5496</v>
      </c>
      <c r="D1251" s="14" t="s">
        <v>5497</v>
      </c>
      <c r="E1251" s="6" t="str">
        <f>HYPERLINK("https://twitter.com/LetsTalkB2B/status/1364159144370991114","1364159144370991114")</f>
        <v>1364159144370991114</v>
      </c>
      <c r="F1251" s="7" t="s">
        <v>5498</v>
      </c>
      <c r="G1251" s="7" t="s">
        <v>5499</v>
      </c>
      <c r="H1251" s="8"/>
      <c r="I1251" s="14">
        <v>0</v>
      </c>
      <c r="J1251" s="14">
        <v>1</v>
      </c>
      <c r="K1251" s="6" t="str">
        <f>HYPERLINK("https://mobile.twitter.com","Twitter Web App")</f>
        <v>Twitter Web App</v>
      </c>
      <c r="L1251" s="15">
        <v>237</v>
      </c>
      <c r="M1251" s="15">
        <v>2022</v>
      </c>
      <c r="N1251" s="15">
        <v>0</v>
      </c>
      <c r="O1251" s="9"/>
      <c r="P1251" s="10">
        <v>43259.431273148148</v>
      </c>
      <c r="Q1251" s="14" t="s">
        <v>1742</v>
      </c>
      <c r="R1251" s="14" t="s">
        <v>5500</v>
      </c>
      <c r="S1251" s="7" t="s">
        <v>5501</v>
      </c>
      <c r="T1251" s="8"/>
      <c r="U1251" s="11" t="str">
        <f>HYPERLINK("https://pbs.twimg.com/profile_images/1351098185217880065/FC-gU2HN.png","View")</f>
        <v>View</v>
      </c>
      <c r="V1251" s="8"/>
      <c r="W1251" s="8"/>
      <c r="X1251" s="8"/>
      <c r="Y1251" s="8"/>
      <c r="Z1251" s="8"/>
    </row>
    <row r="1252" spans="1:26" ht="13.2">
      <c r="A1252" s="13">
        <v>44250.474259259259</v>
      </c>
      <c r="B1252" s="6" t="str">
        <f>HYPERLINK("https://twitter.com/dopamineharvest","@dopamineharvest")</f>
        <v>@dopamineharvest</v>
      </c>
      <c r="C1252" s="14" t="s">
        <v>1288</v>
      </c>
      <c r="D1252" s="14" t="s">
        <v>5502</v>
      </c>
      <c r="E1252" s="6" t="str">
        <f>HYPERLINK("https://twitter.com/dopamineharvest/status/1364158795539185667","1364158795539185667")</f>
        <v>1364158795539185667</v>
      </c>
      <c r="F1252" s="8"/>
      <c r="G1252" s="7" t="s">
        <v>5503</v>
      </c>
      <c r="H1252" s="8"/>
      <c r="I1252" s="14">
        <v>0</v>
      </c>
      <c r="J1252" s="14">
        <v>9</v>
      </c>
      <c r="K1252" s="6" t="str">
        <f>HYPERLINK("http://pascal.cc/blog/glitches","GlitchDemon")</f>
        <v>GlitchDemon</v>
      </c>
      <c r="L1252" s="15">
        <v>2199</v>
      </c>
      <c r="M1252" s="15">
        <v>269</v>
      </c>
      <c r="N1252" s="15">
        <v>25</v>
      </c>
      <c r="O1252" s="9"/>
      <c r="P1252" s="10">
        <v>43004.538657407407</v>
      </c>
      <c r="Q1252" s="14" t="s">
        <v>1291</v>
      </c>
      <c r="R1252" s="14" t="s">
        <v>1292</v>
      </c>
      <c r="S1252" s="7" t="s">
        <v>1293</v>
      </c>
      <c r="T1252" s="8"/>
      <c r="U1252" s="11" t="str">
        <f>HYPERLINK("https://pbs.twimg.com/profile_images/931549616268627968/t0seYJqQ.jpg","View")</f>
        <v>View</v>
      </c>
      <c r="V1252" s="8"/>
      <c r="W1252" s="8"/>
      <c r="X1252" s="8"/>
      <c r="Y1252" s="8"/>
      <c r="Z1252" s="8"/>
    </row>
    <row r="1253" spans="1:26" ht="13.2">
      <c r="A1253" s="13">
        <v>44250.474247685182</v>
      </c>
      <c r="B1253" s="6" t="str">
        <f t="shared" ref="B1253:B1258" si="209">HYPERLINK("https://twitter.com/into_AI","@into_AI")</f>
        <v>@into_AI</v>
      </c>
      <c r="C1253" s="14" t="s">
        <v>2021</v>
      </c>
      <c r="D1253" s="14" t="s">
        <v>5504</v>
      </c>
      <c r="E1253" s="6" t="str">
        <f>HYPERLINK("https://twitter.com/into_AI/status/1364158793345622016","1364158793345622016")</f>
        <v>1364158793345622016</v>
      </c>
      <c r="F1253" s="7" t="s">
        <v>5505</v>
      </c>
      <c r="G1253" s="8"/>
      <c r="H1253" s="8"/>
      <c r="I1253" s="14">
        <v>0</v>
      </c>
      <c r="J1253" s="14">
        <v>0</v>
      </c>
      <c r="K1253" s="6" t="str">
        <f t="shared" ref="K1253:K1258" si="210">HYPERLINK("http://into.AI","into.AI")</f>
        <v>into.AI</v>
      </c>
      <c r="L1253" s="15">
        <v>19374</v>
      </c>
      <c r="M1253" s="15">
        <v>1707</v>
      </c>
      <c r="N1253" s="15">
        <v>3164</v>
      </c>
      <c r="O1253" s="9"/>
      <c r="P1253" s="10">
        <v>42133.721620370372</v>
      </c>
      <c r="Q1253" s="14" t="s">
        <v>2024</v>
      </c>
      <c r="R1253" s="14" t="s">
        <v>2025</v>
      </c>
      <c r="S1253" s="7" t="s">
        <v>2026</v>
      </c>
      <c r="T1253" s="8"/>
      <c r="U1253" s="11" t="str">
        <f t="shared" ref="U1253:U1258" si="211">HYPERLINK("https://pbs.twimg.com/profile_images/967341160124608512/LM2Y5Q5m.jpg","View")</f>
        <v>View</v>
      </c>
      <c r="V1253" s="8"/>
      <c r="W1253" s="8"/>
      <c r="X1253" s="8"/>
      <c r="Y1253" s="8"/>
      <c r="Z1253" s="8"/>
    </row>
    <row r="1254" spans="1:26" ht="13.2">
      <c r="A1254" s="13">
        <v>44250.474166666667</v>
      </c>
      <c r="B1254" s="6" t="str">
        <f t="shared" si="209"/>
        <v>@into_AI</v>
      </c>
      <c r="C1254" s="14" t="s">
        <v>2021</v>
      </c>
      <c r="D1254" s="14" t="s">
        <v>5506</v>
      </c>
      <c r="E1254" s="6" t="str">
        <f>HYPERLINK("https://twitter.com/into_AI/status/1364158762962059265","1364158762962059265")</f>
        <v>1364158762962059265</v>
      </c>
      <c r="F1254" s="7" t="s">
        <v>5507</v>
      </c>
      <c r="G1254" s="8"/>
      <c r="H1254" s="8"/>
      <c r="I1254" s="14">
        <v>0</v>
      </c>
      <c r="J1254" s="14">
        <v>1</v>
      </c>
      <c r="K1254" s="6" t="str">
        <f t="shared" si="210"/>
        <v>into.AI</v>
      </c>
      <c r="L1254" s="15">
        <v>19374</v>
      </c>
      <c r="M1254" s="15">
        <v>1707</v>
      </c>
      <c r="N1254" s="15">
        <v>3164</v>
      </c>
      <c r="O1254" s="9"/>
      <c r="P1254" s="10">
        <v>42133.721620370372</v>
      </c>
      <c r="Q1254" s="14" t="s">
        <v>2024</v>
      </c>
      <c r="R1254" s="14" t="s">
        <v>2025</v>
      </c>
      <c r="S1254" s="7" t="s">
        <v>2026</v>
      </c>
      <c r="T1254" s="8"/>
      <c r="U1254" s="11" t="str">
        <f t="shared" si="211"/>
        <v>View</v>
      </c>
      <c r="V1254" s="8"/>
      <c r="W1254" s="8"/>
      <c r="X1254" s="8"/>
      <c r="Y1254" s="8"/>
      <c r="Z1254" s="8"/>
    </row>
    <row r="1255" spans="1:26" ht="13.2">
      <c r="A1255" s="13">
        <v>44250.474085648151</v>
      </c>
      <c r="B1255" s="6" t="str">
        <f t="shared" si="209"/>
        <v>@into_AI</v>
      </c>
      <c r="C1255" s="14" t="s">
        <v>2021</v>
      </c>
      <c r="D1255" s="14" t="s">
        <v>5508</v>
      </c>
      <c r="E1255" s="6" t="str">
        <f>HYPERLINK("https://twitter.com/into_AI/status/1364158733190914049","1364158733190914049")</f>
        <v>1364158733190914049</v>
      </c>
      <c r="F1255" s="7" t="s">
        <v>5509</v>
      </c>
      <c r="G1255" s="8"/>
      <c r="H1255" s="8"/>
      <c r="I1255" s="14">
        <v>0</v>
      </c>
      <c r="J1255" s="14">
        <v>1</v>
      </c>
      <c r="K1255" s="6" t="str">
        <f t="shared" si="210"/>
        <v>into.AI</v>
      </c>
      <c r="L1255" s="15">
        <v>19374</v>
      </c>
      <c r="M1255" s="15">
        <v>1707</v>
      </c>
      <c r="N1255" s="15">
        <v>3164</v>
      </c>
      <c r="O1255" s="9"/>
      <c r="P1255" s="10">
        <v>42133.721620370372</v>
      </c>
      <c r="Q1255" s="14" t="s">
        <v>2024</v>
      </c>
      <c r="R1255" s="14" t="s">
        <v>2025</v>
      </c>
      <c r="S1255" s="7" t="s">
        <v>2026</v>
      </c>
      <c r="T1255" s="8"/>
      <c r="U1255" s="11" t="str">
        <f t="shared" si="211"/>
        <v>View</v>
      </c>
      <c r="V1255" s="8"/>
      <c r="W1255" s="8"/>
      <c r="X1255" s="8"/>
      <c r="Y1255" s="8"/>
      <c r="Z1255" s="8"/>
    </row>
    <row r="1256" spans="1:26" ht="13.2">
      <c r="A1256" s="13">
        <v>44250.473993055552</v>
      </c>
      <c r="B1256" s="6" t="str">
        <f t="shared" si="209"/>
        <v>@into_AI</v>
      </c>
      <c r="C1256" s="14" t="s">
        <v>2021</v>
      </c>
      <c r="D1256" s="14" t="s">
        <v>5510</v>
      </c>
      <c r="E1256" s="6" t="str">
        <f>HYPERLINK("https://twitter.com/into_AI/status/1364158698667532293","1364158698667532293")</f>
        <v>1364158698667532293</v>
      </c>
      <c r="F1256" s="7" t="s">
        <v>5511</v>
      </c>
      <c r="G1256" s="8"/>
      <c r="H1256" s="8"/>
      <c r="I1256" s="14">
        <v>0</v>
      </c>
      <c r="J1256" s="14">
        <v>0</v>
      </c>
      <c r="K1256" s="6" t="str">
        <f t="shared" si="210"/>
        <v>into.AI</v>
      </c>
      <c r="L1256" s="15">
        <v>19374</v>
      </c>
      <c r="M1256" s="15">
        <v>1707</v>
      </c>
      <c r="N1256" s="15">
        <v>3164</v>
      </c>
      <c r="O1256" s="9"/>
      <c r="P1256" s="10">
        <v>42133.721620370372</v>
      </c>
      <c r="Q1256" s="14" t="s">
        <v>2024</v>
      </c>
      <c r="R1256" s="14" t="s">
        <v>2025</v>
      </c>
      <c r="S1256" s="7" t="s">
        <v>2026</v>
      </c>
      <c r="T1256" s="8"/>
      <c r="U1256" s="11" t="str">
        <f t="shared" si="211"/>
        <v>View</v>
      </c>
      <c r="V1256" s="8"/>
      <c r="W1256" s="8"/>
      <c r="X1256" s="8"/>
      <c r="Y1256" s="8"/>
      <c r="Z1256" s="8"/>
    </row>
    <row r="1257" spans="1:26" ht="13.2">
      <c r="A1257" s="13">
        <v>44250.47388888889</v>
      </c>
      <c r="B1257" s="6" t="str">
        <f t="shared" si="209"/>
        <v>@into_AI</v>
      </c>
      <c r="C1257" s="14" t="s">
        <v>2021</v>
      </c>
      <c r="D1257" s="14" t="s">
        <v>5512</v>
      </c>
      <c r="E1257" s="6" t="str">
        <f>HYPERLINK("https://twitter.com/into_AI/status/1364158663854858240","1364158663854858240")</f>
        <v>1364158663854858240</v>
      </c>
      <c r="F1257" s="7" t="s">
        <v>5513</v>
      </c>
      <c r="G1257" s="8"/>
      <c r="H1257" s="8"/>
      <c r="I1257" s="14">
        <v>0</v>
      </c>
      <c r="J1257" s="14">
        <v>0</v>
      </c>
      <c r="K1257" s="6" t="str">
        <f t="shared" si="210"/>
        <v>into.AI</v>
      </c>
      <c r="L1257" s="15">
        <v>19374</v>
      </c>
      <c r="M1257" s="15">
        <v>1707</v>
      </c>
      <c r="N1257" s="15">
        <v>3164</v>
      </c>
      <c r="O1257" s="9"/>
      <c r="P1257" s="10">
        <v>42133.721620370372</v>
      </c>
      <c r="Q1257" s="14" t="s">
        <v>2024</v>
      </c>
      <c r="R1257" s="14" t="s">
        <v>2025</v>
      </c>
      <c r="S1257" s="7" t="s">
        <v>2026</v>
      </c>
      <c r="T1257" s="8"/>
      <c r="U1257" s="11" t="str">
        <f t="shared" si="211"/>
        <v>View</v>
      </c>
      <c r="V1257" s="8"/>
      <c r="W1257" s="8"/>
      <c r="X1257" s="8"/>
      <c r="Y1257" s="8"/>
      <c r="Z1257" s="8"/>
    </row>
    <row r="1258" spans="1:26" ht="13.2">
      <c r="A1258" s="13">
        <v>44250.473796296297</v>
      </c>
      <c r="B1258" s="6" t="str">
        <f t="shared" si="209"/>
        <v>@into_AI</v>
      </c>
      <c r="C1258" s="14" t="s">
        <v>2021</v>
      </c>
      <c r="D1258" s="14" t="s">
        <v>5514</v>
      </c>
      <c r="E1258" s="6" t="str">
        <f>HYPERLINK("https://twitter.com/into_AI/status/1364158629419614209","1364158629419614209")</f>
        <v>1364158629419614209</v>
      </c>
      <c r="F1258" s="7" t="s">
        <v>5515</v>
      </c>
      <c r="G1258" s="8"/>
      <c r="H1258" s="8"/>
      <c r="I1258" s="14">
        <v>0</v>
      </c>
      <c r="J1258" s="14">
        <v>1</v>
      </c>
      <c r="K1258" s="6" t="str">
        <f t="shared" si="210"/>
        <v>into.AI</v>
      </c>
      <c r="L1258" s="15">
        <v>19374</v>
      </c>
      <c r="M1258" s="15">
        <v>1707</v>
      </c>
      <c r="N1258" s="15">
        <v>3164</v>
      </c>
      <c r="O1258" s="9"/>
      <c r="P1258" s="10">
        <v>42133.721620370372</v>
      </c>
      <c r="Q1258" s="14" t="s">
        <v>2024</v>
      </c>
      <c r="R1258" s="14" t="s">
        <v>2025</v>
      </c>
      <c r="S1258" s="7" t="s">
        <v>2026</v>
      </c>
      <c r="T1258" s="8"/>
      <c r="U1258" s="11" t="str">
        <f t="shared" si="211"/>
        <v>View</v>
      </c>
      <c r="V1258" s="8"/>
      <c r="W1258" s="8"/>
      <c r="X1258" s="8"/>
      <c r="Y1258" s="8"/>
      <c r="Z1258" s="8"/>
    </row>
    <row r="1259" spans="1:26" ht="13.2">
      <c r="A1259" s="13">
        <v>44250.473622685182</v>
      </c>
      <c r="B1259" s="6" t="str">
        <f>HYPERLINK("https://twitter.com/MicroFocusSec","@MicroFocusSec")</f>
        <v>@MicroFocusSec</v>
      </c>
      <c r="C1259" s="14" t="s">
        <v>5516</v>
      </c>
      <c r="D1259" s="14" t="s">
        <v>5517</v>
      </c>
      <c r="E1259" s="6" t="str">
        <f>HYPERLINK("https://twitter.com/MicroFocusSec/status/1364158563967467522","1364158563967467522")</f>
        <v>1364158563967467522</v>
      </c>
      <c r="F1259" s="7" t="s">
        <v>5518</v>
      </c>
      <c r="G1259" s="7" t="s">
        <v>5519</v>
      </c>
      <c r="H1259" s="8"/>
      <c r="I1259" s="14">
        <v>0</v>
      </c>
      <c r="J1259" s="14">
        <v>0</v>
      </c>
      <c r="K1259" s="6" t="str">
        <f>HYPERLINK("https://prod1.sprinklr.com","Sprinklr Publishing")</f>
        <v>Sprinklr Publishing</v>
      </c>
      <c r="L1259" s="15">
        <v>16556</v>
      </c>
      <c r="M1259" s="15">
        <v>1324</v>
      </c>
      <c r="N1259" s="15">
        <v>617</v>
      </c>
      <c r="O1259" s="9"/>
      <c r="P1259" s="10">
        <v>40772.844918981486</v>
      </c>
      <c r="Q1259" s="14" t="s">
        <v>1815</v>
      </c>
      <c r="R1259" s="14" t="s">
        <v>5520</v>
      </c>
      <c r="S1259" s="7" t="s">
        <v>5521</v>
      </c>
      <c r="T1259" s="8"/>
      <c r="U1259" s="11" t="str">
        <f>HYPERLINK("https://pbs.twimg.com/profile_images/1322653615509495810/I6No6rNf.jpg","View")</f>
        <v>View</v>
      </c>
      <c r="V1259" s="8"/>
      <c r="W1259" s="8"/>
      <c r="X1259" s="8"/>
      <c r="Y1259" s="8"/>
      <c r="Z1259" s="8"/>
    </row>
    <row r="1260" spans="1:26" ht="13.2">
      <c r="A1260" s="13">
        <v>44250.472326388888</v>
      </c>
      <c r="B1260" s="6" t="str">
        <f>HYPERLINK("https://twitter.com/HarbRimah","@HarbRimah")</f>
        <v>@HarbRimah</v>
      </c>
      <c r="C1260" s="14" t="s">
        <v>2837</v>
      </c>
      <c r="D1260" s="14" t="s">
        <v>5522</v>
      </c>
      <c r="E1260" s="6" t="str">
        <f>HYPERLINK("https://twitter.com/HarbRimah/status/1364158096290029573","1364158096290029573")</f>
        <v>1364158096290029573</v>
      </c>
      <c r="F1260" s="7" t="s">
        <v>4029</v>
      </c>
      <c r="G1260" s="8"/>
      <c r="H1260" s="8"/>
      <c r="I1260" s="14">
        <v>43</v>
      </c>
      <c r="J1260" s="14">
        <v>19</v>
      </c>
      <c r="K1260" s="6" t="str">
        <f>HYPERLINK("https://mobile.twitter.com","Twitter Web App")</f>
        <v>Twitter Web App</v>
      </c>
      <c r="L1260" s="15">
        <v>8983</v>
      </c>
      <c r="M1260" s="15">
        <v>4886</v>
      </c>
      <c r="N1260" s="15">
        <v>675</v>
      </c>
      <c r="O1260" s="9"/>
      <c r="P1260" s="10">
        <v>41198.440601851849</v>
      </c>
      <c r="Q1260" s="8"/>
      <c r="R1260" s="14" t="s">
        <v>2838</v>
      </c>
      <c r="S1260" s="8"/>
      <c r="T1260" s="8"/>
      <c r="U1260" s="11" t="str">
        <f>HYPERLINK("https://pbs.twimg.com/profile_images/909317895355863040/ls7cAjxm.jpg","View")</f>
        <v>View</v>
      </c>
      <c r="V1260" s="8"/>
      <c r="W1260" s="8"/>
      <c r="X1260" s="8"/>
      <c r="Y1260" s="8"/>
      <c r="Z1260" s="8"/>
    </row>
    <row r="1261" spans="1:26" ht="13.2">
      <c r="A1261" s="13">
        <v>44250.471006944441</v>
      </c>
      <c r="B1261" s="6" t="str">
        <f>HYPERLINK("https://twitter.com/Actomedia","@Actomedia")</f>
        <v>@Actomedia</v>
      </c>
      <c r="C1261" s="14" t="s">
        <v>5523</v>
      </c>
      <c r="D1261" s="14" t="s">
        <v>5524</v>
      </c>
      <c r="E1261" s="6" t="str">
        <f>HYPERLINK("https://twitter.com/Actomedia/status/1364157617178890240","1364157617178890240")</f>
        <v>1364157617178890240</v>
      </c>
      <c r="F1261" s="7" t="s">
        <v>5525</v>
      </c>
      <c r="G1261" s="8"/>
      <c r="H1261" s="8"/>
      <c r="I1261" s="14">
        <v>4</v>
      </c>
      <c r="J1261" s="14">
        <v>0</v>
      </c>
      <c r="K1261" s="6" t="str">
        <f>HYPERLINK("https://www.postpickr.com","PostPickr")</f>
        <v>PostPickr</v>
      </c>
      <c r="L1261" s="15">
        <v>208</v>
      </c>
      <c r="M1261" s="15">
        <v>313</v>
      </c>
      <c r="N1261" s="15">
        <v>9</v>
      </c>
      <c r="O1261" s="9"/>
      <c r="P1261" s="10">
        <v>41246.705729166664</v>
      </c>
      <c r="Q1261" s="14" t="s">
        <v>5526</v>
      </c>
      <c r="R1261" s="14" t="s">
        <v>5527</v>
      </c>
      <c r="S1261" s="7" t="s">
        <v>5528</v>
      </c>
      <c r="T1261" s="8"/>
      <c r="U1261" s="11" t="str">
        <f>HYPERLINK("https://pbs.twimg.com/profile_images/1205822491417088005/zChqxrFL.jpg","View")</f>
        <v>View</v>
      </c>
      <c r="V1261" s="8"/>
      <c r="W1261" s="8"/>
      <c r="X1261" s="8"/>
      <c r="Y1261" s="8"/>
      <c r="Z1261" s="8"/>
    </row>
    <row r="1262" spans="1:26" ht="13.2">
      <c r="A1262" s="13">
        <v>44250.470995370371</v>
      </c>
      <c r="B1262" s="6" t="str">
        <f>HYPERLINK("https://twitter.com/pierrepinna","@pierrepinna")</f>
        <v>@pierrepinna</v>
      </c>
      <c r="C1262" s="14" t="s">
        <v>5529</v>
      </c>
      <c r="D1262" s="14" t="s">
        <v>5530</v>
      </c>
      <c r="E1262" s="6" t="str">
        <f>HYPERLINK("https://twitter.com/pierrepinna/status/1364157613710200833","1364157613710200833")</f>
        <v>1364157613710200833</v>
      </c>
      <c r="F1262" s="7" t="s">
        <v>5531</v>
      </c>
      <c r="G1262" s="7" t="s">
        <v>5532</v>
      </c>
      <c r="H1262" s="8"/>
      <c r="I1262" s="14">
        <v>22</v>
      </c>
      <c r="J1262" s="14">
        <v>18</v>
      </c>
      <c r="K1262" s="6" t="str">
        <f t="shared" ref="K1262:K1263" si="212">HYPERLINK("http://twitter.com/download/android","Twitter for Android")</f>
        <v>Twitter for Android</v>
      </c>
      <c r="L1262" s="15">
        <v>53153</v>
      </c>
      <c r="M1262" s="15">
        <v>50390</v>
      </c>
      <c r="N1262" s="15">
        <v>3609</v>
      </c>
      <c r="O1262" s="9"/>
      <c r="P1262" s="10">
        <v>41673.717303240745</v>
      </c>
      <c r="Q1262" s="14" t="s">
        <v>69</v>
      </c>
      <c r="R1262" s="14" t="s">
        <v>5533</v>
      </c>
      <c r="S1262" s="7" t="s">
        <v>5534</v>
      </c>
      <c r="T1262" s="8"/>
      <c r="U1262" s="11" t="str">
        <f>HYPERLINK("https://pbs.twimg.com/profile_images/783316835135549440/3s8jGlBb.jpg","View")</f>
        <v>View</v>
      </c>
      <c r="V1262" s="8"/>
      <c r="W1262" s="8"/>
      <c r="X1262" s="8"/>
      <c r="Y1262" s="8"/>
      <c r="Z1262" s="8"/>
    </row>
    <row r="1263" spans="1:26" ht="13.2">
      <c r="A1263" s="13">
        <v>44250.470717592594</v>
      </c>
      <c r="B1263" s="6" t="str">
        <f>HYPERLINK("https://twitter.com/AmeliaS26018837","@AmeliaS26018837")</f>
        <v>@AmeliaS26018837</v>
      </c>
      <c r="C1263" s="14" t="s">
        <v>5535</v>
      </c>
      <c r="D1263" s="14" t="s">
        <v>5536</v>
      </c>
      <c r="E1263" s="6" t="str">
        <f>HYPERLINK("https://twitter.com/AmeliaS26018837/status/1364157513965268995","1364157513965268995")</f>
        <v>1364157513965268995</v>
      </c>
      <c r="F1263" s="7" t="s">
        <v>4419</v>
      </c>
      <c r="G1263" s="8"/>
      <c r="H1263" s="8"/>
      <c r="I1263" s="14">
        <v>1</v>
      </c>
      <c r="J1263" s="14">
        <v>4</v>
      </c>
      <c r="K1263" s="6" t="str">
        <f t="shared" si="212"/>
        <v>Twitter for Android</v>
      </c>
      <c r="L1263" s="15">
        <v>24</v>
      </c>
      <c r="M1263" s="15">
        <v>124</v>
      </c>
      <c r="N1263" s="15">
        <v>0</v>
      </c>
      <c r="O1263" s="9"/>
      <c r="P1263" s="10">
        <v>44196.243113425924</v>
      </c>
      <c r="Q1263" s="14" t="s">
        <v>5537</v>
      </c>
      <c r="R1263" s="14" t="s">
        <v>5538</v>
      </c>
      <c r="S1263" s="8"/>
      <c r="T1263" s="8"/>
      <c r="U1263" s="11" t="str">
        <f>HYPERLINK("https://pbs.twimg.com/profile_images/1346310768329781249/d-czbKE0.jpg","View")</f>
        <v>View</v>
      </c>
      <c r="V1263" s="8"/>
      <c r="W1263" s="8"/>
      <c r="X1263" s="8"/>
      <c r="Y1263" s="8"/>
      <c r="Z1263" s="8"/>
    </row>
    <row r="1264" spans="1:26" ht="13.2">
      <c r="A1264" s="13">
        <v>44250.470590277779</v>
      </c>
      <c r="B1264" s="6" t="str">
        <f>HYPERLINK("https://twitter.com/HarbRimah","@HarbRimah")</f>
        <v>@HarbRimah</v>
      </c>
      <c r="C1264" s="14" t="s">
        <v>2837</v>
      </c>
      <c r="D1264" s="14" t="s">
        <v>5539</v>
      </c>
      <c r="E1264" s="6" t="str">
        <f>HYPERLINK("https://twitter.com/HarbRimah/status/1364157466687242240","1364157466687242240")</f>
        <v>1364157466687242240</v>
      </c>
      <c r="F1264" s="7" t="s">
        <v>5540</v>
      </c>
      <c r="G1264" s="8"/>
      <c r="H1264" s="8"/>
      <c r="I1264" s="14">
        <v>17</v>
      </c>
      <c r="J1264" s="14">
        <v>7</v>
      </c>
      <c r="K1264" s="6" t="str">
        <f>HYPERLINK("https://mobile.twitter.com","Twitter Web App")</f>
        <v>Twitter Web App</v>
      </c>
      <c r="L1264" s="15">
        <v>8983</v>
      </c>
      <c r="M1264" s="15">
        <v>4886</v>
      </c>
      <c r="N1264" s="15">
        <v>675</v>
      </c>
      <c r="O1264" s="9"/>
      <c r="P1264" s="10">
        <v>41198.440601851849</v>
      </c>
      <c r="Q1264" s="8"/>
      <c r="R1264" s="14" t="s">
        <v>2838</v>
      </c>
      <c r="S1264" s="8"/>
      <c r="T1264" s="8"/>
      <c r="U1264" s="11" t="str">
        <f>HYPERLINK("https://pbs.twimg.com/profile_images/909317895355863040/ls7cAjxm.jpg","View")</f>
        <v>View</v>
      </c>
      <c r="V1264" s="8"/>
      <c r="W1264" s="8"/>
      <c r="X1264" s="8"/>
      <c r="Y1264" s="8"/>
      <c r="Z1264" s="8"/>
    </row>
    <row r="1265" spans="1:26" ht="13.2">
      <c r="A1265" s="13">
        <v>44250.470335648148</v>
      </c>
      <c r="B1265" s="6" t="str">
        <f>HYPERLINK("https://twitter.com/GowriShankr_GS","@GowriShankr_GS")</f>
        <v>@GowriShankr_GS</v>
      </c>
      <c r="C1265" s="14" t="s">
        <v>5541</v>
      </c>
      <c r="D1265" s="14" t="s">
        <v>5542</v>
      </c>
      <c r="E1265" s="6" t="str">
        <f>HYPERLINK("https://twitter.com/GowriShankr_GS/status/1364157374886469637","1364157374886469637")</f>
        <v>1364157374886469637</v>
      </c>
      <c r="F1265" s="14" t="s">
        <v>5543</v>
      </c>
      <c r="G1265" s="8"/>
      <c r="H1265" s="8"/>
      <c r="I1265" s="14">
        <v>0</v>
      </c>
      <c r="J1265" s="14">
        <v>0</v>
      </c>
      <c r="K1265" s="6" t="str">
        <f>HYPERLINK("http://twinybots.com","TwinyBots")</f>
        <v>TwinyBots</v>
      </c>
      <c r="L1265" s="15">
        <v>295</v>
      </c>
      <c r="M1265" s="15">
        <v>359</v>
      </c>
      <c r="N1265" s="15">
        <v>12</v>
      </c>
      <c r="O1265" s="9"/>
      <c r="P1265" s="10">
        <v>40489.134305555555</v>
      </c>
      <c r="Q1265" s="14" t="s">
        <v>3826</v>
      </c>
      <c r="R1265" s="14" t="s">
        <v>5544</v>
      </c>
      <c r="S1265" s="7" t="s">
        <v>5545</v>
      </c>
      <c r="T1265" s="8"/>
      <c r="U1265" s="11" t="str">
        <f>HYPERLINK("https://pbs.twimg.com/profile_images/1351087432217858050/TSd6vEJJ.jpg","View")</f>
        <v>View</v>
      </c>
      <c r="V1265" s="8"/>
      <c r="W1265" s="8"/>
      <c r="X1265" s="8"/>
      <c r="Y1265" s="8"/>
      <c r="Z1265" s="8"/>
    </row>
    <row r="1266" spans="1:26" ht="13.2">
      <c r="A1266" s="13">
        <v>44250.470300925925</v>
      </c>
      <c r="B1266" s="6" t="str">
        <f>HYPERLINK("https://twitter.com/sp6hunna","@sp6hunna")</f>
        <v>@sp6hunna</v>
      </c>
      <c r="C1266" s="14" t="s">
        <v>5546</v>
      </c>
      <c r="D1266" s="14" t="s">
        <v>5547</v>
      </c>
      <c r="E1266" s="6" t="str">
        <f>HYPERLINK("https://twitter.com/sp6hunna/status/1364157359803822082","1364157359803822082")</f>
        <v>1364157359803822082</v>
      </c>
      <c r="F1266" s="8"/>
      <c r="G1266" s="7" t="s">
        <v>5548</v>
      </c>
      <c r="H1266" s="8"/>
      <c r="I1266" s="14">
        <v>10</v>
      </c>
      <c r="J1266" s="14">
        <v>3</v>
      </c>
      <c r="K1266" s="6" t="str">
        <f>HYPERLINK("http://twitter.com/download/iphone","Twitter for iPhone")</f>
        <v>Twitter for iPhone</v>
      </c>
      <c r="L1266" s="15">
        <v>3</v>
      </c>
      <c r="M1266" s="15">
        <v>16</v>
      </c>
      <c r="N1266" s="15">
        <v>0</v>
      </c>
      <c r="O1266" s="9"/>
      <c r="P1266" s="10">
        <v>44246.819490740745</v>
      </c>
      <c r="Q1266" s="8"/>
      <c r="R1266" s="14" t="s">
        <v>5549</v>
      </c>
      <c r="S1266" s="8"/>
      <c r="T1266" s="8"/>
      <c r="U1266" s="11" t="str">
        <f>HYPERLINK("https://pbs.twimg.com/profile_images/1362834483934863366/7LrFTrXJ.jpg","View")</f>
        <v>View</v>
      </c>
      <c r="V1266" s="8"/>
      <c r="W1266" s="8"/>
      <c r="X1266" s="8"/>
      <c r="Y1266" s="8"/>
      <c r="Z1266" s="8"/>
    </row>
    <row r="1267" spans="1:26" ht="13.2">
      <c r="A1267" s="13">
        <v>44250.469039351854</v>
      </c>
      <c r="B1267" s="6" t="str">
        <f>HYPERLINK("https://twitter.com/native_stack","@native_stack")</f>
        <v>@native_stack</v>
      </c>
      <c r="C1267" s="14" t="s">
        <v>5364</v>
      </c>
      <c r="D1267" s="14" t="s">
        <v>5550</v>
      </c>
      <c r="E1267" s="6" t="str">
        <f>HYPERLINK("https://twitter.com/native_stack/status/1364156905925451781","1364156905925451781")</f>
        <v>1364156905925451781</v>
      </c>
      <c r="F1267" s="7" t="s">
        <v>5551</v>
      </c>
      <c r="G1267" s="8"/>
      <c r="H1267" s="8"/>
      <c r="I1267" s="14">
        <v>0</v>
      </c>
      <c r="J1267" s="14">
        <v>0</v>
      </c>
      <c r="K1267" s="6" t="str">
        <f>HYPERLINK("https://www.cloudnativestack.io","CloudNativeStack")</f>
        <v>CloudNativeStack</v>
      </c>
      <c r="L1267" s="15">
        <v>118</v>
      </c>
      <c r="M1267" s="15">
        <v>84</v>
      </c>
      <c r="N1267" s="15">
        <v>3</v>
      </c>
      <c r="O1267" s="9"/>
      <c r="P1267" s="10">
        <v>43961.584606481483</v>
      </c>
      <c r="Q1267" s="8"/>
      <c r="R1267" s="14" t="s">
        <v>5367</v>
      </c>
      <c r="S1267" s="8"/>
      <c r="T1267" s="8"/>
      <c r="U1267" s="11" t="str">
        <f>HYPERLINK("https://pbs.twimg.com/profile_images/1363016278596722691/CZnOW4HN.jpg","View")</f>
        <v>View</v>
      </c>
      <c r="V1267" s="8"/>
      <c r="W1267" s="8"/>
      <c r="X1267" s="8"/>
      <c r="Y1267" s="8"/>
      <c r="Z1267" s="8"/>
    </row>
    <row r="1268" spans="1:26" ht="13.2">
      <c r="A1268" s="13">
        <v>44250.469027777777</v>
      </c>
      <c r="B1268" s="6" t="str">
        <f>HYPERLINK("https://twitter.com/cornichecorp","@cornichecorp")</f>
        <v>@cornichecorp</v>
      </c>
      <c r="C1268" s="14" t="s">
        <v>2271</v>
      </c>
      <c r="D1268" s="14" t="s">
        <v>5552</v>
      </c>
      <c r="E1268" s="6" t="str">
        <f>HYPERLINK("https://twitter.com/cornichecorp/status/1364156898317066241","1364156898317066241")</f>
        <v>1364156898317066241</v>
      </c>
      <c r="F1268" s="14" t="s">
        <v>5553</v>
      </c>
      <c r="G1268" s="8"/>
      <c r="H1268" s="8"/>
      <c r="I1268" s="14">
        <v>0</v>
      </c>
      <c r="J1268" s="14">
        <v>0</v>
      </c>
      <c r="K1268" s="6" t="str">
        <f>HYPERLINK("http://twinybots.com","TwinyBots")</f>
        <v>TwinyBots</v>
      </c>
      <c r="L1268" s="15">
        <v>2349</v>
      </c>
      <c r="M1268" s="15">
        <v>2163</v>
      </c>
      <c r="N1268" s="15">
        <v>30</v>
      </c>
      <c r="O1268" s="9"/>
      <c r="P1268" s="10">
        <v>42246.917499999996</v>
      </c>
      <c r="Q1268" s="14" t="s">
        <v>2274</v>
      </c>
      <c r="R1268" s="14" t="s">
        <v>2275</v>
      </c>
      <c r="S1268" s="8"/>
      <c r="T1268" s="8"/>
      <c r="U1268" s="11" t="str">
        <f>HYPERLINK("https://pbs.twimg.com/profile_images/1135863200396775424/vPe8Htor.png","View")</f>
        <v>View</v>
      </c>
      <c r="V1268" s="8"/>
      <c r="W1268" s="8"/>
      <c r="X1268" s="8"/>
      <c r="Y1268" s="8"/>
      <c r="Z1268" s="8"/>
    </row>
    <row r="1269" spans="1:26" ht="13.2">
      <c r="A1269" s="13">
        <v>44250.467534722222</v>
      </c>
      <c r="B1269" s="6" t="str">
        <f>HYPERLINK("https://twitter.com/HarbRimah","@HarbRimah")</f>
        <v>@HarbRimah</v>
      </c>
      <c r="C1269" s="14" t="s">
        <v>2837</v>
      </c>
      <c r="D1269" s="14" t="s">
        <v>5554</v>
      </c>
      <c r="E1269" s="6" t="str">
        <f>HYPERLINK("https://twitter.com/HarbRimah/status/1364156360364089346","1364156360364089346")</f>
        <v>1364156360364089346</v>
      </c>
      <c r="F1269" s="7" t="s">
        <v>302</v>
      </c>
      <c r="G1269" s="8"/>
      <c r="H1269" s="8"/>
      <c r="I1269" s="14">
        <v>24</v>
      </c>
      <c r="J1269" s="14">
        <v>10</v>
      </c>
      <c r="K1269" s="6" t="str">
        <f t="shared" ref="K1269:K1270" si="213">HYPERLINK("https://mobile.twitter.com","Twitter Web App")</f>
        <v>Twitter Web App</v>
      </c>
      <c r="L1269" s="15">
        <v>8983</v>
      </c>
      <c r="M1269" s="15">
        <v>4886</v>
      </c>
      <c r="N1269" s="15">
        <v>675</v>
      </c>
      <c r="O1269" s="9"/>
      <c r="P1269" s="10">
        <v>41198.440601851849</v>
      </c>
      <c r="Q1269" s="8"/>
      <c r="R1269" s="14" t="s">
        <v>2838</v>
      </c>
      <c r="S1269" s="8"/>
      <c r="T1269" s="8"/>
      <c r="U1269" s="11" t="str">
        <f>HYPERLINK("https://pbs.twimg.com/profile_images/909317895355863040/ls7cAjxm.jpg","View")</f>
        <v>View</v>
      </c>
      <c r="V1269" s="8"/>
      <c r="W1269" s="8"/>
      <c r="X1269" s="8"/>
      <c r="Y1269" s="8"/>
      <c r="Z1269" s="8"/>
    </row>
    <row r="1270" spans="1:26" ht="13.2">
      <c r="A1270" s="13">
        <v>44250.467523148152</v>
      </c>
      <c r="B1270" s="6" t="str">
        <f>HYPERLINK("https://twitter.com/salhaj","@salhaj")</f>
        <v>@salhaj</v>
      </c>
      <c r="C1270" s="14" t="s">
        <v>5555</v>
      </c>
      <c r="D1270" s="14" t="s">
        <v>5556</v>
      </c>
      <c r="E1270" s="6" t="str">
        <f>HYPERLINK("https://twitter.com/salhaj/status/1364156355632848896","1364156355632848896")</f>
        <v>1364156355632848896</v>
      </c>
      <c r="F1270" s="7" t="s">
        <v>5557</v>
      </c>
      <c r="G1270" s="8"/>
      <c r="H1270" s="8"/>
      <c r="I1270" s="14">
        <v>4</v>
      </c>
      <c r="J1270" s="14">
        <v>7</v>
      </c>
      <c r="K1270" s="6" t="str">
        <f t="shared" si="213"/>
        <v>Twitter Web App</v>
      </c>
      <c r="L1270" s="15">
        <v>5457</v>
      </c>
      <c r="M1270" s="15">
        <v>6005</v>
      </c>
      <c r="N1270" s="15">
        <v>27</v>
      </c>
      <c r="O1270" s="9"/>
      <c r="P1270" s="10">
        <v>39987.919502314813</v>
      </c>
      <c r="Q1270" s="14" t="s">
        <v>5558</v>
      </c>
      <c r="R1270" s="14" t="s">
        <v>5559</v>
      </c>
      <c r="S1270" s="7" t="s">
        <v>5560</v>
      </c>
      <c r="T1270" s="8"/>
      <c r="U1270" s="11" t="str">
        <f>HYPERLINK("https://pbs.twimg.com/profile_images/1333792545780875265/99muTjiu.jpg","View")</f>
        <v>View</v>
      </c>
      <c r="V1270" s="8"/>
      <c r="W1270" s="8"/>
      <c r="X1270" s="8"/>
      <c r="Y1270" s="8"/>
      <c r="Z1270" s="8"/>
    </row>
    <row r="1271" spans="1:26" ht="13.2">
      <c r="A1271" s="13">
        <v>44250.467453703706</v>
      </c>
      <c r="B1271" s="6" t="str">
        <f>HYPERLINK("https://twitter.com/CNRIAC","@CNRIAC")</f>
        <v>@CNRIAC</v>
      </c>
      <c r="C1271" s="14" t="s">
        <v>3610</v>
      </c>
      <c r="D1271" s="14" t="s">
        <v>5561</v>
      </c>
      <c r="E1271" s="6" t="str">
        <f>HYPERLINK("https://twitter.com/CNRIAC/status/1364156329015795713","1364156329015795713")</f>
        <v>1364156329015795713</v>
      </c>
      <c r="F1271" s="7" t="s">
        <v>5562</v>
      </c>
      <c r="G1271" s="7" t="s">
        <v>5563</v>
      </c>
      <c r="H1271" s="8"/>
      <c r="I1271" s="14">
        <v>1</v>
      </c>
      <c r="J1271" s="14">
        <v>1</v>
      </c>
      <c r="K1271" s="6" t="str">
        <f>HYPERLINK("https://www.canva.com","Canva")</f>
        <v>Canva</v>
      </c>
      <c r="L1271" s="15">
        <v>146</v>
      </c>
      <c r="M1271" s="15">
        <v>221</v>
      </c>
      <c r="N1271" s="15">
        <v>1</v>
      </c>
      <c r="O1271" s="9"/>
      <c r="P1271" s="10">
        <v>44123.418611111112</v>
      </c>
      <c r="Q1271" s="14" t="s">
        <v>3614</v>
      </c>
      <c r="R1271" s="14" t="s">
        <v>3615</v>
      </c>
      <c r="S1271" s="7" t="s">
        <v>3616</v>
      </c>
      <c r="T1271" s="8"/>
      <c r="U1271" s="11" t="str">
        <f>HYPERLINK("https://pbs.twimg.com/profile_images/1318100461724012545/iF-IEgN1.jpg","View")</f>
        <v>View</v>
      </c>
      <c r="V1271" s="8"/>
      <c r="W1271" s="8"/>
      <c r="X1271" s="8"/>
      <c r="Y1271" s="8"/>
      <c r="Z1271" s="8"/>
    </row>
    <row r="1272" spans="1:26" ht="13.2">
      <c r="A1272" s="13">
        <v>44250.466979166667</v>
      </c>
      <c r="B1272" s="6" t="str">
        <f>HYPERLINK("https://twitter.com/botosynthesis","@botosynthesis")</f>
        <v>@botosynthesis</v>
      </c>
      <c r="C1272" s="14" t="s">
        <v>1563</v>
      </c>
      <c r="D1272" s="14" t="s">
        <v>5564</v>
      </c>
      <c r="E1272" s="6" t="str">
        <f>HYPERLINK("https://twitter.com/botosynthesis/status/1364156156680282120","1364156156680282120")</f>
        <v>1364156156680282120</v>
      </c>
      <c r="F1272" s="7" t="s">
        <v>5565</v>
      </c>
      <c r="G1272" s="7" t="s">
        <v>5566</v>
      </c>
      <c r="H1272" s="8"/>
      <c r="I1272" s="14">
        <v>0</v>
      </c>
      <c r="J1272" s="14">
        <v>2</v>
      </c>
      <c r="K1272" s="6" t="str">
        <f>HYPERLINK("https://publer.io","Publer ")</f>
        <v xml:space="preserve">Publer </v>
      </c>
      <c r="L1272" s="15">
        <v>10052</v>
      </c>
      <c r="M1272" s="15">
        <v>9639</v>
      </c>
      <c r="N1272" s="15">
        <v>42</v>
      </c>
      <c r="O1272" s="9"/>
      <c r="P1272" s="10">
        <v>43806.763773148152</v>
      </c>
      <c r="Q1272" s="14" t="s">
        <v>1566</v>
      </c>
      <c r="R1272" s="14" t="s">
        <v>1567</v>
      </c>
      <c r="S1272" s="7" t="s">
        <v>1568</v>
      </c>
      <c r="T1272" s="8"/>
      <c r="U1272" s="11" t="str">
        <f>HYPERLINK("https://pbs.twimg.com/profile_images/1212680524600242176/-88PCrRa.jpg","View")</f>
        <v>View</v>
      </c>
      <c r="V1272" s="8"/>
      <c r="W1272" s="8"/>
      <c r="X1272" s="8"/>
      <c r="Y1272" s="8"/>
      <c r="Z1272" s="8"/>
    </row>
    <row r="1273" spans="1:26" ht="13.2">
      <c r="A1273" s="13">
        <v>44250.466863425929</v>
      </c>
      <c r="B1273" s="6" t="str">
        <f>HYPERLINK("https://twitter.com/HarbRimah","@HarbRimah")</f>
        <v>@HarbRimah</v>
      </c>
      <c r="C1273" s="14" t="s">
        <v>2837</v>
      </c>
      <c r="D1273" s="14" t="s">
        <v>5567</v>
      </c>
      <c r="E1273" s="6" t="str">
        <f>HYPERLINK("https://twitter.com/HarbRimah/status/1364156114225496065","1364156114225496065")</f>
        <v>1364156114225496065</v>
      </c>
      <c r="F1273" s="7" t="s">
        <v>5568</v>
      </c>
      <c r="G1273" s="8"/>
      <c r="H1273" s="8"/>
      <c r="I1273" s="14">
        <v>31</v>
      </c>
      <c r="J1273" s="14">
        <v>11</v>
      </c>
      <c r="K1273" s="6" t="str">
        <f t="shared" ref="K1273:K1276" si="214">HYPERLINK("https://mobile.twitter.com","Twitter Web App")</f>
        <v>Twitter Web App</v>
      </c>
      <c r="L1273" s="15">
        <v>8983</v>
      </c>
      <c r="M1273" s="15">
        <v>4886</v>
      </c>
      <c r="N1273" s="15">
        <v>675</v>
      </c>
      <c r="O1273" s="9"/>
      <c r="P1273" s="10">
        <v>41198.440601851849</v>
      </c>
      <c r="Q1273" s="8"/>
      <c r="R1273" s="14" t="s">
        <v>2838</v>
      </c>
      <c r="S1273" s="8"/>
      <c r="T1273" s="8"/>
      <c r="U1273" s="11" t="str">
        <f>HYPERLINK("https://pbs.twimg.com/profile_images/909317895355863040/ls7cAjxm.jpg","View")</f>
        <v>View</v>
      </c>
      <c r="V1273" s="8"/>
      <c r="W1273" s="8"/>
      <c r="X1273" s="8"/>
      <c r="Y1273" s="8"/>
      <c r="Z1273" s="8"/>
    </row>
    <row r="1274" spans="1:26" ht="13.2">
      <c r="A1274" s="13">
        <v>44250.466099537036</v>
      </c>
      <c r="B1274" s="6" t="str">
        <f>HYPERLINK("https://twitter.com/DivyeshArdeshan","@DivyeshArdeshan")</f>
        <v>@DivyeshArdeshan</v>
      </c>
      <c r="C1274" s="14" t="s">
        <v>5569</v>
      </c>
      <c r="D1274" s="14" t="s">
        <v>5570</v>
      </c>
      <c r="E1274" s="6" t="str">
        <f>HYPERLINK("https://twitter.com/DivyeshArdeshan/status/1364155837791436801","1364155837791436801")</f>
        <v>1364155837791436801</v>
      </c>
      <c r="F1274" s="14" t="s">
        <v>5571</v>
      </c>
      <c r="G1274" s="8"/>
      <c r="H1274" s="8"/>
      <c r="I1274" s="14">
        <v>0</v>
      </c>
      <c r="J1274" s="14">
        <v>0</v>
      </c>
      <c r="K1274" s="6" t="str">
        <f t="shared" si="214"/>
        <v>Twitter Web App</v>
      </c>
      <c r="L1274" s="15">
        <v>978</v>
      </c>
      <c r="M1274" s="15">
        <v>728</v>
      </c>
      <c r="N1274" s="15">
        <v>43</v>
      </c>
      <c r="O1274" s="9"/>
      <c r="P1274" s="10">
        <v>41253.552129629628</v>
      </c>
      <c r="Q1274" s="14" t="s">
        <v>5572</v>
      </c>
      <c r="R1274" s="14" t="s">
        <v>5573</v>
      </c>
      <c r="S1274" s="7" t="s">
        <v>5574</v>
      </c>
      <c r="T1274" s="8"/>
      <c r="U1274" s="11" t="str">
        <f>HYPERLINK("https://pbs.twimg.com/profile_images/1185586762950815745/9t7vwYWb.jpg","View")</f>
        <v>View</v>
      </c>
      <c r="V1274" s="8"/>
      <c r="W1274" s="8"/>
      <c r="X1274" s="8"/>
      <c r="Y1274" s="8"/>
      <c r="Z1274" s="8"/>
    </row>
    <row r="1275" spans="1:26" ht="13.2">
      <c r="A1275" s="13">
        <v>44250.465555555551</v>
      </c>
      <c r="B1275" s="6" t="str">
        <f>HYPERLINK("https://twitter.com/AISciNet","@AISciNet")</f>
        <v>@AISciNet</v>
      </c>
      <c r="C1275" s="14" t="s">
        <v>3646</v>
      </c>
      <c r="D1275" s="14" t="s">
        <v>5575</v>
      </c>
      <c r="E1275" s="6" t="str">
        <f>HYPERLINK("https://twitter.com/AISciNet/status/1364155641707843585","1364155641707843585")</f>
        <v>1364155641707843585</v>
      </c>
      <c r="F1275" s="14" t="s">
        <v>5576</v>
      </c>
      <c r="G1275" s="8"/>
      <c r="H1275" s="8"/>
      <c r="I1275" s="14">
        <v>0</v>
      </c>
      <c r="J1275" s="14">
        <v>0</v>
      </c>
      <c r="K1275" s="6" t="str">
        <f t="shared" si="214"/>
        <v>Twitter Web App</v>
      </c>
      <c r="L1275" s="15">
        <v>573</v>
      </c>
      <c r="M1275" s="15">
        <v>291</v>
      </c>
      <c r="N1275" s="15">
        <v>10</v>
      </c>
      <c r="O1275" s="9"/>
      <c r="P1275" s="10">
        <v>43285.630162037036</v>
      </c>
      <c r="Q1275" s="14" t="s">
        <v>3650</v>
      </c>
      <c r="R1275" s="14" t="s">
        <v>3651</v>
      </c>
      <c r="S1275" s="7" t="s">
        <v>3652</v>
      </c>
      <c r="T1275" s="8"/>
      <c r="U1275" s="11" t="str">
        <f>HYPERLINK("https://pbs.twimg.com/profile_images/1014529603040358401/QSvRJkdk.jpg","View")</f>
        <v>View</v>
      </c>
      <c r="V1275" s="8"/>
      <c r="W1275" s="8"/>
      <c r="X1275" s="8"/>
      <c r="Y1275" s="8"/>
      <c r="Z1275" s="8"/>
    </row>
    <row r="1276" spans="1:26" ht="13.2">
      <c r="A1276" s="13">
        <v>44250.46539351852</v>
      </c>
      <c r="B1276" s="6" t="str">
        <f>HYPERLINK("https://twitter.com/HarbRimah","@HarbRimah")</f>
        <v>@HarbRimah</v>
      </c>
      <c r="C1276" s="14" t="s">
        <v>2837</v>
      </c>
      <c r="D1276" s="14" t="s">
        <v>5577</v>
      </c>
      <c r="E1276" s="6" t="str">
        <f>HYPERLINK("https://twitter.com/HarbRimah/status/1364155584283627523","1364155584283627523")</f>
        <v>1364155584283627523</v>
      </c>
      <c r="F1276" s="7" t="s">
        <v>5578</v>
      </c>
      <c r="G1276" s="8"/>
      <c r="H1276" s="8"/>
      <c r="I1276" s="14">
        <v>26</v>
      </c>
      <c r="J1276" s="14">
        <v>10</v>
      </c>
      <c r="K1276" s="6" t="str">
        <f t="shared" si="214"/>
        <v>Twitter Web App</v>
      </c>
      <c r="L1276" s="15">
        <v>8983</v>
      </c>
      <c r="M1276" s="15">
        <v>4886</v>
      </c>
      <c r="N1276" s="15">
        <v>675</v>
      </c>
      <c r="O1276" s="9"/>
      <c r="P1276" s="10">
        <v>41198.440601851849</v>
      </c>
      <c r="Q1276" s="8"/>
      <c r="R1276" s="14" t="s">
        <v>2838</v>
      </c>
      <c r="S1276" s="8"/>
      <c r="T1276" s="8"/>
      <c r="U1276" s="11" t="str">
        <f>HYPERLINK("https://pbs.twimg.com/profile_images/909317895355863040/ls7cAjxm.jpg","View")</f>
        <v>View</v>
      </c>
      <c r="V1276" s="8"/>
      <c r="W1276" s="8"/>
      <c r="X1276" s="8"/>
      <c r="Y1276" s="8"/>
      <c r="Z1276" s="8"/>
    </row>
    <row r="1277" spans="1:26" ht="13.2">
      <c r="A1277" s="13">
        <v>44250.465300925927</v>
      </c>
      <c r="B1277" s="6" t="str">
        <f>HYPERLINK("https://twitter.com/OliviaS97037757","@OliviaS97037757")</f>
        <v>@OliviaS97037757</v>
      </c>
      <c r="C1277" s="14" t="s">
        <v>5579</v>
      </c>
      <c r="D1277" s="14" t="s">
        <v>5580</v>
      </c>
      <c r="E1277" s="6" t="str">
        <f>HYPERLINK("https://twitter.com/OliviaS97037757/status/1364155549491884036","1364155549491884036")</f>
        <v>1364155549491884036</v>
      </c>
      <c r="F1277" s="7" t="s">
        <v>5581</v>
      </c>
      <c r="G1277" s="8"/>
      <c r="H1277" s="8"/>
      <c r="I1277" s="14">
        <v>2</v>
      </c>
      <c r="J1277" s="14">
        <v>2</v>
      </c>
      <c r="K1277" s="6" t="str">
        <f>HYPERLINK("https://www.hootsuite.com","Hootsuite Inc.")</f>
        <v>Hootsuite Inc.</v>
      </c>
      <c r="L1277" s="15">
        <v>4124</v>
      </c>
      <c r="M1277" s="15">
        <v>4534</v>
      </c>
      <c r="N1277" s="15">
        <v>12</v>
      </c>
      <c r="O1277" s="9"/>
      <c r="P1277" s="10">
        <v>43257.405416666668</v>
      </c>
      <c r="Q1277" s="14" t="s">
        <v>322</v>
      </c>
      <c r="R1277" s="14" t="s">
        <v>5582</v>
      </c>
      <c r="S1277" s="7" t="s">
        <v>5583</v>
      </c>
      <c r="T1277" s="8"/>
      <c r="U1277" s="11" t="str">
        <f>HYPERLINK("https://pbs.twimg.com/profile_images/1004271434426920960/w-GBQLJZ.jpg","View")</f>
        <v>View</v>
      </c>
      <c r="V1277" s="8"/>
      <c r="W1277" s="8"/>
      <c r="X1277" s="8"/>
      <c r="Y1277" s="8"/>
      <c r="Z1277" s="8"/>
    </row>
    <row r="1278" spans="1:26" ht="13.2">
      <c r="A1278" s="13">
        <v>44250.465277777781</v>
      </c>
      <c r="B1278" s="6" t="str">
        <f>HYPERLINK("https://twitter.com/BotPoetsSociety","@BotPoetsSociety")</f>
        <v>@BotPoetsSociety</v>
      </c>
      <c r="C1278" s="14" t="s">
        <v>27</v>
      </c>
      <c r="D1278" s="14" t="s">
        <v>5584</v>
      </c>
      <c r="E1278" s="6" t="str">
        <f>HYPERLINK("https://twitter.com/BotPoetsSociety/status/1364155540302139392","1364155540302139392")</f>
        <v>1364155540302139392</v>
      </c>
      <c r="F1278" s="8"/>
      <c r="G1278" s="7" t="s">
        <v>5585</v>
      </c>
      <c r="H1278" s="8"/>
      <c r="I1278" s="14">
        <v>7</v>
      </c>
      <c r="J1278" s="14">
        <v>2</v>
      </c>
      <c r="K1278" s="6" t="str">
        <f>HYPERLINK("https://mobile.twitter.com","Twitter Web App")</f>
        <v>Twitter Web App</v>
      </c>
      <c r="L1278" s="15">
        <v>28</v>
      </c>
      <c r="M1278" s="15">
        <v>49</v>
      </c>
      <c r="N1278" s="15">
        <v>1</v>
      </c>
      <c r="O1278" s="9"/>
      <c r="P1278" s="10">
        <v>44130.486342592594</v>
      </c>
      <c r="Q1278" s="8"/>
      <c r="R1278" s="14" t="s">
        <v>30</v>
      </c>
      <c r="S1278" s="7" t="s">
        <v>31</v>
      </c>
      <c r="T1278" s="8"/>
      <c r="U1278" s="11" t="str">
        <f>HYPERLINK("https://pbs.twimg.com/profile_images/1320676707683258368/Ne9-DmuD.jpg","View")</f>
        <v>View</v>
      </c>
      <c r="V1278" s="8"/>
      <c r="W1278" s="8"/>
      <c r="X1278" s="8"/>
      <c r="Y1278" s="8"/>
      <c r="Z1278" s="8"/>
    </row>
    <row r="1279" spans="1:26" ht="13.2">
      <c r="A1279" s="13">
        <v>44250.465277777781</v>
      </c>
      <c r="B1279" s="6" t="str">
        <f>HYPERLINK("https://twitter.com/VisageTech","@VisageTech")</f>
        <v>@VisageTech</v>
      </c>
      <c r="C1279" s="14" t="s">
        <v>5586</v>
      </c>
      <c r="D1279" s="14" t="s">
        <v>5587</v>
      </c>
      <c r="E1279" s="6" t="str">
        <f>HYPERLINK("https://twitter.com/VisageTech/status/1364155539983327236","1364155539983327236")</f>
        <v>1364155539983327236</v>
      </c>
      <c r="F1279" s="7" t="s">
        <v>5588</v>
      </c>
      <c r="G1279" s="7" t="s">
        <v>5589</v>
      </c>
      <c r="H1279" s="8"/>
      <c r="I1279" s="14">
        <v>0</v>
      </c>
      <c r="J1279" s="14">
        <v>0</v>
      </c>
      <c r="K1279" s="6" t="str">
        <f>HYPERLINK("https://www.semrush.com/","SEMrush Social Media Tool")</f>
        <v>SEMrush Social Media Tool</v>
      </c>
      <c r="L1279" s="15">
        <v>647</v>
      </c>
      <c r="M1279" s="15">
        <v>705</v>
      </c>
      <c r="N1279" s="15">
        <v>176</v>
      </c>
      <c r="O1279" s="9"/>
      <c r="P1279" s="10">
        <v>42228.581550925926</v>
      </c>
      <c r="Q1279" s="8"/>
      <c r="R1279" s="14" t="s">
        <v>5590</v>
      </c>
      <c r="S1279" s="7" t="s">
        <v>5591</v>
      </c>
      <c r="T1279" s="8"/>
      <c r="U1279" s="11" t="str">
        <f>HYPERLINK("https://pbs.twimg.com/profile_images/1196774854206410752/VomCJXjz.jpg","View")</f>
        <v>View</v>
      </c>
      <c r="V1279" s="8"/>
      <c r="W1279" s="8"/>
      <c r="X1279" s="8"/>
      <c r="Y1279" s="8"/>
      <c r="Z1279" s="8"/>
    </row>
    <row r="1280" spans="1:26" ht="13.2">
      <c r="A1280" s="13">
        <v>44250.464467592596</v>
      </c>
      <c r="B1280" s="6" t="str">
        <f>HYPERLINK("https://twitter.com/Chirpy_Geek","@Chirpy_Geek")</f>
        <v>@Chirpy_Geek</v>
      </c>
      <c r="C1280" s="14" t="s">
        <v>5592</v>
      </c>
      <c r="D1280" s="14" t="s">
        <v>5593</v>
      </c>
      <c r="E1280" s="6" t="str">
        <f>HYPERLINK("https://twitter.com/Chirpy_Geek/status/1364155246012817417","1364155246012817417")</f>
        <v>1364155246012817417</v>
      </c>
      <c r="F1280" s="7" t="s">
        <v>5594</v>
      </c>
      <c r="G1280" s="8"/>
      <c r="H1280" s="8"/>
      <c r="I1280" s="14">
        <v>2</v>
      </c>
      <c r="J1280" s="14">
        <v>3</v>
      </c>
      <c r="K1280" s="6" t="str">
        <f>HYPERLINK("http://dynamicsignal.com/","Dynamic Signal")</f>
        <v>Dynamic Signal</v>
      </c>
      <c r="L1280" s="15">
        <v>322</v>
      </c>
      <c r="M1280" s="15">
        <v>442</v>
      </c>
      <c r="N1280" s="15">
        <v>1</v>
      </c>
      <c r="O1280" s="9"/>
      <c r="P1280" s="10">
        <v>42665.393923611111</v>
      </c>
      <c r="Q1280" s="14" t="s">
        <v>1742</v>
      </c>
      <c r="R1280" s="14" t="s">
        <v>5595</v>
      </c>
      <c r="S1280" s="8"/>
      <c r="T1280" s="8"/>
      <c r="U1280" s="11" t="str">
        <f>HYPERLINK("https://pbs.twimg.com/profile_images/1323811776052355074/h6gMQyMe.jpg","View")</f>
        <v>View</v>
      </c>
      <c r="V1280" s="8"/>
      <c r="W1280" s="8"/>
      <c r="X1280" s="8"/>
      <c r="Y1280" s="8"/>
      <c r="Z1280" s="8"/>
    </row>
    <row r="1281" spans="1:26" ht="13.2">
      <c r="A1281" s="13">
        <v>44250.463993055557</v>
      </c>
      <c r="B1281" s="6" t="str">
        <f>HYPERLINK("https://twitter.com/MarineBonduell1","@MarineBonduell1")</f>
        <v>@MarineBonduell1</v>
      </c>
      <c r="C1281" s="14" t="s">
        <v>733</v>
      </c>
      <c r="D1281" s="14" t="s">
        <v>5596</v>
      </c>
      <c r="E1281" s="6" t="str">
        <f>HYPERLINK("https://twitter.com/MarineBonduell1/status/1364155076869312514","1364155076869312514")</f>
        <v>1364155076869312514</v>
      </c>
      <c r="F1281" s="14" t="s">
        <v>5597</v>
      </c>
      <c r="G1281" s="7" t="s">
        <v>5598</v>
      </c>
      <c r="H1281" s="8"/>
      <c r="I1281" s="14">
        <v>29</v>
      </c>
      <c r="J1281" s="14">
        <v>13</v>
      </c>
      <c r="K1281" s="6" t="str">
        <f>HYPERLINK("https://socxopte.com/","SocxoPte")</f>
        <v>SocxoPte</v>
      </c>
      <c r="L1281" s="15">
        <v>155</v>
      </c>
      <c r="M1281" s="15">
        <v>148</v>
      </c>
      <c r="N1281" s="15">
        <v>3</v>
      </c>
      <c r="O1281" s="9"/>
      <c r="P1281" s="10">
        <v>44029.710879629631</v>
      </c>
      <c r="Q1281" s="8"/>
      <c r="R1281" s="14" t="s">
        <v>737</v>
      </c>
      <c r="S1281" s="8"/>
      <c r="T1281" s="8"/>
      <c r="U1281" s="11" t="str">
        <f>HYPERLINK("https://pbs.twimg.com/profile_images/1284141799905341441/I_BIa5zR.jpg","View")</f>
        <v>View</v>
      </c>
      <c r="V1281" s="8"/>
      <c r="W1281" s="8"/>
      <c r="X1281" s="8"/>
      <c r="Y1281" s="8"/>
      <c r="Z1281" s="8"/>
    </row>
    <row r="1282" spans="1:26" ht="13.2">
      <c r="A1282" s="13">
        <v>44250.463599537034</v>
      </c>
      <c r="B1282" s="6" t="str">
        <f>HYPERLINK("https://twitter.com/sharsha315","@sharsha315")</f>
        <v>@sharsha315</v>
      </c>
      <c r="C1282" s="14" t="s">
        <v>5599</v>
      </c>
      <c r="D1282" s="14" t="s">
        <v>5600</v>
      </c>
      <c r="E1282" s="6" t="str">
        <f>HYPERLINK("https://twitter.com/sharsha315/status/1364154932283244550","1364154932283244550")</f>
        <v>1364154932283244550</v>
      </c>
      <c r="F1282" s="7" t="s">
        <v>5601</v>
      </c>
      <c r="G1282" s="8"/>
      <c r="H1282" s="8"/>
      <c r="I1282" s="14">
        <v>2</v>
      </c>
      <c r="J1282" s="14">
        <v>2</v>
      </c>
      <c r="K1282" s="6" t="str">
        <f t="shared" ref="K1282:K1284" si="215">HYPERLINK("https://mobile.twitter.com","Twitter Web App")</f>
        <v>Twitter Web App</v>
      </c>
      <c r="L1282" s="15">
        <v>46</v>
      </c>
      <c r="M1282" s="15">
        <v>1487</v>
      </c>
      <c r="N1282" s="15">
        <v>0</v>
      </c>
      <c r="O1282" s="9"/>
      <c r="P1282" s="10">
        <v>40877.656643518516</v>
      </c>
      <c r="Q1282" s="14" t="s">
        <v>3176</v>
      </c>
      <c r="R1282" s="8"/>
      <c r="S1282" s="8"/>
      <c r="T1282" s="8"/>
      <c r="U1282" s="15" t="s">
        <v>1879</v>
      </c>
      <c r="V1282" s="8"/>
      <c r="W1282" s="8"/>
      <c r="X1282" s="8"/>
      <c r="Y1282" s="8"/>
      <c r="Z1282" s="8"/>
    </row>
    <row r="1283" spans="1:26" ht="13.2">
      <c r="A1283" s="13">
        <v>44250.463182870371</v>
      </c>
      <c r="B1283" s="6" t="str">
        <f>HYPERLINK("https://twitter.com/kennethzolum2","@kennethzolum2")</f>
        <v>@kennethzolum2</v>
      </c>
      <c r="C1283" s="14" t="s">
        <v>5602</v>
      </c>
      <c r="D1283" s="14" t="s">
        <v>5603</v>
      </c>
      <c r="E1283" s="6" t="str">
        <f>HYPERLINK("https://twitter.com/kennethzolum2/status/1364154784232730624","1364154784232730624")</f>
        <v>1364154784232730624</v>
      </c>
      <c r="F1283" s="8"/>
      <c r="G1283" s="7" t="s">
        <v>5604</v>
      </c>
      <c r="H1283" s="8"/>
      <c r="I1283" s="14">
        <v>2</v>
      </c>
      <c r="J1283" s="14">
        <v>0</v>
      </c>
      <c r="K1283" s="6" t="str">
        <f t="shared" si="215"/>
        <v>Twitter Web App</v>
      </c>
      <c r="L1283" s="15">
        <v>1213</v>
      </c>
      <c r="M1283" s="15">
        <v>5001</v>
      </c>
      <c r="N1283" s="15">
        <v>3</v>
      </c>
      <c r="O1283" s="9"/>
      <c r="P1283" s="10">
        <v>40688.627916666665</v>
      </c>
      <c r="Q1283" s="14" t="s">
        <v>5605</v>
      </c>
      <c r="R1283" s="14" t="s">
        <v>5606</v>
      </c>
      <c r="S1283" s="8"/>
      <c r="T1283" s="8"/>
      <c r="U1283" s="11" t="str">
        <f>HYPERLINK("https://pbs.twimg.com/profile_images/1021530816927752194/HcFhqWnP.jpg","View")</f>
        <v>View</v>
      </c>
      <c r="V1283" s="8"/>
      <c r="W1283" s="8"/>
      <c r="X1283" s="8"/>
      <c r="Y1283" s="8"/>
      <c r="Z1283" s="8"/>
    </row>
    <row r="1284" spans="1:26" ht="13.2">
      <c r="A1284" s="13">
        <v>44250.463171296295</v>
      </c>
      <c r="B1284" s="6" t="str">
        <f>HYPERLINK("https://twitter.com/alvascience","@alvascience")</f>
        <v>@alvascience</v>
      </c>
      <c r="C1284" s="14" t="s">
        <v>5607</v>
      </c>
      <c r="D1284" s="14" t="s">
        <v>5608</v>
      </c>
      <c r="E1284" s="6" t="str">
        <f>HYPERLINK("https://twitter.com/alvascience/status/1364154778570342400","1364154778570342400")</f>
        <v>1364154778570342400</v>
      </c>
      <c r="F1284" s="7" t="s">
        <v>5609</v>
      </c>
      <c r="G1284" s="8"/>
      <c r="H1284" s="8"/>
      <c r="I1284" s="14">
        <v>1</v>
      </c>
      <c r="J1284" s="14">
        <v>2</v>
      </c>
      <c r="K1284" s="6" t="str">
        <f t="shared" si="215"/>
        <v>Twitter Web App</v>
      </c>
      <c r="L1284" s="15">
        <v>98</v>
      </c>
      <c r="M1284" s="15">
        <v>285</v>
      </c>
      <c r="N1284" s="15">
        <v>1</v>
      </c>
      <c r="O1284" s="9"/>
      <c r="P1284" s="10">
        <v>43502.717407407406</v>
      </c>
      <c r="Q1284" s="8"/>
      <c r="R1284" s="14" t="s">
        <v>5610</v>
      </c>
      <c r="S1284" s="7" t="s">
        <v>5611</v>
      </c>
      <c r="T1284" s="8"/>
      <c r="U1284" s="11" t="str">
        <f>HYPERLINK("https://pbs.twimg.com/profile_images/1093181072240726016/dvuK-1Vr.jpg","View")</f>
        <v>View</v>
      </c>
      <c r="V1284" s="8"/>
      <c r="W1284" s="8"/>
      <c r="X1284" s="8"/>
      <c r="Y1284" s="8"/>
      <c r="Z1284" s="8"/>
    </row>
    <row r="1285" spans="1:26" ht="13.2">
      <c r="A1285" s="13">
        <v>44250.462835648148</v>
      </c>
      <c r="B1285" s="6" t="str">
        <f>HYPERLINK("https://twitter.com/ACTICO_de","@ACTICO_de")</f>
        <v>@ACTICO_de</v>
      </c>
      <c r="C1285" s="14" t="s">
        <v>5612</v>
      </c>
      <c r="D1285" s="14" t="s">
        <v>5613</v>
      </c>
      <c r="E1285" s="6" t="str">
        <f>HYPERLINK("https://twitter.com/ACTICO_de/status/1364154657640226817","1364154657640226817")</f>
        <v>1364154657640226817</v>
      </c>
      <c r="F1285" s="7" t="s">
        <v>5614</v>
      </c>
      <c r="G1285" s="8"/>
      <c r="H1285" s="8"/>
      <c r="I1285" s="14">
        <v>0</v>
      </c>
      <c r="J1285" s="14">
        <v>0</v>
      </c>
      <c r="K1285" s="6" t="str">
        <f>HYPERLINK("http://www.hubspot.com/","HubSpot")</f>
        <v>HubSpot</v>
      </c>
      <c r="L1285" s="15">
        <v>115</v>
      </c>
      <c r="M1285" s="15">
        <v>68</v>
      </c>
      <c r="N1285" s="15">
        <v>3</v>
      </c>
      <c r="O1285" s="9"/>
      <c r="P1285" s="10">
        <v>42328.567025462966</v>
      </c>
      <c r="Q1285" s="14" t="s">
        <v>5615</v>
      </c>
      <c r="R1285" s="14" t="s">
        <v>5616</v>
      </c>
      <c r="S1285" s="7" t="s">
        <v>5617</v>
      </c>
      <c r="T1285" s="8"/>
      <c r="U1285" s="11" t="str">
        <f>HYPERLINK("https://pbs.twimg.com/profile_images/687213907195359232/P_qEBRKE.png","View")</f>
        <v>View</v>
      </c>
      <c r="V1285" s="8"/>
      <c r="W1285" s="8"/>
      <c r="X1285" s="8"/>
      <c r="Y1285" s="8"/>
      <c r="Z1285" s="8"/>
    </row>
    <row r="1286" spans="1:26" ht="13.2">
      <c r="A1286" s="13">
        <v>44250.462280092594</v>
      </c>
      <c r="B1286" s="6" t="str">
        <f>HYPERLINK("https://twitter.com/automeme","@automeme")</f>
        <v>@automeme</v>
      </c>
      <c r="C1286" s="14" t="s">
        <v>5618</v>
      </c>
      <c r="D1286" s="14" t="s">
        <v>4830</v>
      </c>
      <c r="E1286" s="6" t="str">
        <f>HYPERLINK("https://twitter.com/automeme/status/1364154456204484608","1364154456204484608")</f>
        <v>1364154456204484608</v>
      </c>
      <c r="F1286" s="7" t="s">
        <v>4831</v>
      </c>
      <c r="G1286" s="8"/>
      <c r="H1286" s="8"/>
      <c r="I1286" s="14">
        <v>11</v>
      </c>
      <c r="J1286" s="14">
        <v>6</v>
      </c>
      <c r="K1286" s="6" t="str">
        <f t="shared" ref="K1286:K1287" si="216">HYPERLINK("https://mobile.twitter.com","Twitter Web App")</f>
        <v>Twitter Web App</v>
      </c>
      <c r="L1286" s="15">
        <v>8583</v>
      </c>
      <c r="M1286" s="15">
        <v>1301</v>
      </c>
      <c r="N1286" s="15">
        <v>150</v>
      </c>
      <c r="O1286" s="9"/>
      <c r="P1286" s="10">
        <v>43300.587627314817</v>
      </c>
      <c r="Q1286" s="14" t="s">
        <v>914</v>
      </c>
      <c r="R1286" s="14" t="s">
        <v>5619</v>
      </c>
      <c r="S1286" s="7" t="s">
        <v>5620</v>
      </c>
      <c r="T1286" s="8"/>
      <c r="U1286" s="11" t="str">
        <f>HYPERLINK("https://pbs.twimg.com/profile_images/1083681521876287488/62YGTQqT.jpg","View")</f>
        <v>View</v>
      </c>
      <c r="V1286" s="8"/>
      <c r="W1286" s="8"/>
      <c r="X1286" s="8"/>
      <c r="Y1286" s="8"/>
      <c r="Z1286" s="8"/>
    </row>
    <row r="1287" spans="1:26" ht="13.2">
      <c r="A1287" s="13">
        <v>44250.462118055555</v>
      </c>
      <c r="B1287" s="6" t="str">
        <f>HYPERLINK("https://twitter.com/HarbRimah","@HarbRimah")</f>
        <v>@HarbRimah</v>
      </c>
      <c r="C1287" s="14" t="s">
        <v>2837</v>
      </c>
      <c r="D1287" s="14" t="s">
        <v>5621</v>
      </c>
      <c r="E1287" s="6" t="str">
        <f>HYPERLINK("https://twitter.com/HarbRimah/status/1364154395454234628","1364154395454234628")</f>
        <v>1364154395454234628</v>
      </c>
      <c r="F1287" s="7" t="s">
        <v>5622</v>
      </c>
      <c r="G1287" s="8"/>
      <c r="H1287" s="8"/>
      <c r="I1287" s="14">
        <v>24</v>
      </c>
      <c r="J1287" s="14">
        <v>14</v>
      </c>
      <c r="K1287" s="6" t="str">
        <f t="shared" si="216"/>
        <v>Twitter Web App</v>
      </c>
      <c r="L1287" s="15">
        <v>8983</v>
      </c>
      <c r="M1287" s="15">
        <v>4886</v>
      </c>
      <c r="N1287" s="15">
        <v>675</v>
      </c>
      <c r="O1287" s="9"/>
      <c r="P1287" s="10">
        <v>41198.440601851849</v>
      </c>
      <c r="Q1287" s="8"/>
      <c r="R1287" s="14" t="s">
        <v>2838</v>
      </c>
      <c r="S1287" s="8"/>
      <c r="T1287" s="8"/>
      <c r="U1287" s="11" t="str">
        <f>HYPERLINK("https://pbs.twimg.com/profile_images/909317895355863040/ls7cAjxm.jpg","View")</f>
        <v>View</v>
      </c>
      <c r="V1287" s="8"/>
      <c r="W1287" s="8"/>
      <c r="X1287" s="8"/>
      <c r="Y1287" s="8"/>
      <c r="Z1287" s="8"/>
    </row>
    <row r="1288" spans="1:26" ht="13.2">
      <c r="A1288" s="13">
        <v>44250.461875000001</v>
      </c>
      <c r="B1288" s="6" t="str">
        <f>HYPERLINK("https://twitter.com/singhavneets","@singhavneets")</f>
        <v>@singhavneets</v>
      </c>
      <c r="C1288" s="14" t="s">
        <v>5623</v>
      </c>
      <c r="D1288" s="14" t="s">
        <v>5624</v>
      </c>
      <c r="E1288" s="6" t="str">
        <f>HYPERLINK("https://twitter.com/singhavneets/status/1364154306631397377","1364154306631397377")</f>
        <v>1364154306631397377</v>
      </c>
      <c r="F1288" s="7" t="s">
        <v>5625</v>
      </c>
      <c r="G1288" s="8"/>
      <c r="H1288" s="8"/>
      <c r="I1288" s="14">
        <v>1</v>
      </c>
      <c r="J1288" s="14">
        <v>0</v>
      </c>
      <c r="K1288" s="6" t="str">
        <f>HYPERLINK("http://dynamicsignal.com/","Dynamic Signal")</f>
        <v>Dynamic Signal</v>
      </c>
      <c r="L1288" s="15">
        <v>185</v>
      </c>
      <c r="M1288" s="15">
        <v>348</v>
      </c>
      <c r="N1288" s="15">
        <v>3</v>
      </c>
      <c r="O1288" s="9"/>
      <c r="P1288" s="10">
        <v>40321.246423611112</v>
      </c>
      <c r="Q1288" s="14" t="s">
        <v>1742</v>
      </c>
      <c r="R1288" s="14" t="s">
        <v>5626</v>
      </c>
      <c r="S1288" s="8"/>
      <c r="T1288" s="8"/>
      <c r="U1288" s="11" t="str">
        <f>HYPERLINK("https://pbs.twimg.com/profile_images/817735243926884352/AFF7YslL.jpg","View")</f>
        <v>View</v>
      </c>
      <c r="V1288" s="8"/>
      <c r="W1288" s="8"/>
      <c r="X1288" s="8"/>
      <c r="Y1288" s="8"/>
      <c r="Z1288" s="8"/>
    </row>
    <row r="1289" spans="1:26" ht="13.2">
      <c r="A1289" s="13">
        <v>44250.461851851855</v>
      </c>
      <c r="B1289" s="6" t="str">
        <f>HYPERLINK("https://twitter.com/ipfconline1","@ipfconline1")</f>
        <v>@ipfconline1</v>
      </c>
      <c r="C1289" s="14" t="s">
        <v>65</v>
      </c>
      <c r="D1289" s="14" t="s">
        <v>5627</v>
      </c>
      <c r="E1289" s="6" t="str">
        <f>HYPERLINK("https://twitter.com/ipfconline1/status/1364154300176470022","1364154300176470022")</f>
        <v>1364154300176470022</v>
      </c>
      <c r="F1289" s="7" t="s">
        <v>5628</v>
      </c>
      <c r="G1289" s="7" t="s">
        <v>5629</v>
      </c>
      <c r="H1289" s="8"/>
      <c r="I1289" s="14">
        <v>11</v>
      </c>
      <c r="J1289" s="14">
        <v>10</v>
      </c>
      <c r="K1289" s="6" t="str">
        <f>HYPERLINK("https://twittimer.com","Twittimer")</f>
        <v>Twittimer</v>
      </c>
      <c r="L1289" s="15">
        <v>112675</v>
      </c>
      <c r="M1289" s="15">
        <v>107162</v>
      </c>
      <c r="N1289" s="15">
        <v>7806</v>
      </c>
      <c r="O1289" s="9"/>
      <c r="P1289" s="10">
        <v>42433.031967592593</v>
      </c>
      <c r="Q1289" s="14" t="s">
        <v>69</v>
      </c>
      <c r="R1289" s="14" t="s">
        <v>70</v>
      </c>
      <c r="S1289" s="7" t="s">
        <v>71</v>
      </c>
      <c r="T1289" s="8"/>
      <c r="U1289" s="11" t="str">
        <f>HYPERLINK("https://pbs.twimg.com/profile_images/729065804004769793/St2_Pum9.jpg","View")</f>
        <v>View</v>
      </c>
      <c r="V1289" s="8"/>
      <c r="W1289" s="8"/>
      <c r="X1289" s="8"/>
      <c r="Y1289" s="8"/>
      <c r="Z1289" s="8"/>
    </row>
    <row r="1290" spans="1:26" ht="13.2">
      <c r="A1290" s="13">
        <v>44250.461747685185</v>
      </c>
      <c r="B1290" s="6" t="str">
        <f>HYPERLINK("https://twitter.com/UK_CIF","@UK_CIF")</f>
        <v>@UK_CIF</v>
      </c>
      <c r="C1290" s="14" t="s">
        <v>5630</v>
      </c>
      <c r="D1290" s="14" t="s">
        <v>5631</v>
      </c>
      <c r="E1290" s="6" t="str">
        <f>HYPERLINK("https://twitter.com/UK_CIF/status/1364154261144285186","1364154261144285186")</f>
        <v>1364154261144285186</v>
      </c>
      <c r="F1290" s="7" t="s">
        <v>5632</v>
      </c>
      <c r="G1290" s="8"/>
      <c r="H1290" s="8"/>
      <c r="I1290" s="14">
        <v>1</v>
      </c>
      <c r="J1290" s="14">
        <v>1</v>
      </c>
      <c r="K1290" s="6" t="str">
        <f>HYPERLINK("https://paper.li","Paper.li")</f>
        <v>Paper.li</v>
      </c>
      <c r="L1290" s="15">
        <v>3795</v>
      </c>
      <c r="M1290" s="15">
        <v>1917</v>
      </c>
      <c r="N1290" s="15">
        <v>180</v>
      </c>
      <c r="O1290" s="9"/>
      <c r="P1290" s="10">
        <v>40681.477650462963</v>
      </c>
      <c r="Q1290" s="14" t="s">
        <v>5633</v>
      </c>
      <c r="R1290" s="14" t="s">
        <v>5634</v>
      </c>
      <c r="S1290" s="7" t="s">
        <v>5635</v>
      </c>
      <c r="T1290" s="8"/>
      <c r="U1290" s="11" t="str">
        <f>HYPERLINK("https://pbs.twimg.com/profile_images/3323613136/2314a9e73697d6aebfae7fca00a9325a.jpeg","View")</f>
        <v>View</v>
      </c>
      <c r="V1290" s="8"/>
      <c r="W1290" s="8"/>
      <c r="X1290" s="8"/>
      <c r="Y1290" s="8"/>
      <c r="Z1290" s="8"/>
    </row>
    <row r="1291" spans="1:26" ht="13.2">
      <c r="A1291" s="13">
        <v>44250.461180555554</v>
      </c>
      <c r="B1291" s="6" t="str">
        <f>HYPERLINK("https://twitter.com/CodingPers_Bot","@CodingPers_Bot")</f>
        <v>@CodingPers_Bot</v>
      </c>
      <c r="C1291" s="14" t="s">
        <v>1899</v>
      </c>
      <c r="D1291" s="14" t="s">
        <v>5636</v>
      </c>
      <c r="E1291" s="6" t="str">
        <f>HYPERLINK("https://twitter.com/CodingPers_Bot/status/1364154055103287296","1364154055103287296")</f>
        <v>1364154055103287296</v>
      </c>
      <c r="F1291" s="7" t="s">
        <v>5637</v>
      </c>
      <c r="G1291" s="8"/>
      <c r="H1291" s="8"/>
      <c r="I1291" s="14">
        <v>2</v>
      </c>
      <c r="J1291" s="14">
        <v>0</v>
      </c>
      <c r="K1291" s="8"/>
      <c r="L1291" s="15">
        <v>7</v>
      </c>
      <c r="M1291" s="15">
        <v>1</v>
      </c>
      <c r="N1291" s="15">
        <v>0</v>
      </c>
      <c r="O1291" s="9"/>
      <c r="P1291" s="10">
        <v>44209.357442129629</v>
      </c>
      <c r="Q1291" s="8"/>
      <c r="R1291" s="14" t="s">
        <v>1902</v>
      </c>
      <c r="S1291" s="7" t="s">
        <v>1903</v>
      </c>
      <c r="T1291" s="8"/>
      <c r="U1291" s="11" t="str">
        <f>HYPERLINK("https://pbs.twimg.com/profile_images/1354492057025449990/GKDFizO-.jpg","View")</f>
        <v>View</v>
      </c>
      <c r="V1291" s="8"/>
      <c r="W1291" s="8"/>
      <c r="X1291" s="8"/>
      <c r="Y1291" s="8"/>
      <c r="Z1291" s="8"/>
    </row>
    <row r="1292" spans="1:26" ht="13.2">
      <c r="A1292" s="13">
        <v>44250.461134259254</v>
      </c>
      <c r="B1292" s="6" t="str">
        <f>HYPERLINK("https://twitter.com/FrankVullers","@FrankVullers")</f>
        <v>@FrankVullers</v>
      </c>
      <c r="C1292" s="14" t="s">
        <v>5113</v>
      </c>
      <c r="D1292" s="14" t="s">
        <v>5638</v>
      </c>
      <c r="E1292" s="6" t="str">
        <f>HYPERLINK("https://twitter.com/FrankVullers/status/1364154037919117313","1364154037919117313")</f>
        <v>1364154037919117313</v>
      </c>
      <c r="F1292" s="7" t="s">
        <v>5639</v>
      </c>
      <c r="G1292" s="7" t="s">
        <v>5640</v>
      </c>
      <c r="H1292" s="8"/>
      <c r="I1292" s="14">
        <v>0</v>
      </c>
      <c r="J1292" s="14">
        <v>0</v>
      </c>
      <c r="K1292" s="6" t="str">
        <f>HYPERLINK("http://dynamicsignal.com/","Dynamic Signal")</f>
        <v>Dynamic Signal</v>
      </c>
      <c r="L1292" s="15">
        <v>249</v>
      </c>
      <c r="M1292" s="15">
        <v>302</v>
      </c>
      <c r="N1292" s="15">
        <v>36</v>
      </c>
      <c r="O1292" s="9"/>
      <c r="P1292" s="10">
        <v>39994.911886574075</v>
      </c>
      <c r="Q1292" s="12" t="s">
        <v>5116</v>
      </c>
      <c r="R1292" s="14" t="s">
        <v>5117</v>
      </c>
      <c r="S1292" s="7" t="s">
        <v>5118</v>
      </c>
      <c r="T1292" s="8"/>
      <c r="U1292" s="11" t="str">
        <f>HYPERLINK("https://pbs.twimg.com/profile_images/758566700384223232/8MhgwQYM.jpg","View")</f>
        <v>View</v>
      </c>
      <c r="V1292" s="8"/>
      <c r="W1292" s="8"/>
      <c r="X1292" s="8"/>
      <c r="Y1292" s="8"/>
      <c r="Z1292" s="8"/>
    </row>
    <row r="1293" spans="1:26" ht="13.2">
      <c r="A1293" s="13">
        <v>44250.460740740746</v>
      </c>
      <c r="B1293" s="6" t="str">
        <f>HYPERLINK("https://twitter.com/corizance","@corizance")</f>
        <v>@corizance</v>
      </c>
      <c r="C1293" s="14" t="s">
        <v>2550</v>
      </c>
      <c r="D1293" s="14" t="s">
        <v>5542</v>
      </c>
      <c r="E1293" s="6" t="str">
        <f>HYPERLINK("https://twitter.com/corizance/status/1364153897636536320","1364153897636536320")</f>
        <v>1364153897636536320</v>
      </c>
      <c r="F1293" s="14" t="s">
        <v>5543</v>
      </c>
      <c r="G1293" s="8"/>
      <c r="H1293" s="8"/>
      <c r="I1293" s="14">
        <v>0</v>
      </c>
      <c r="J1293" s="14">
        <v>0</v>
      </c>
      <c r="K1293" s="6" t="str">
        <f>HYPERLINK("http://twinybots.com","TwinyBots")</f>
        <v>TwinyBots</v>
      </c>
      <c r="L1293" s="15">
        <v>488</v>
      </c>
      <c r="M1293" s="15">
        <v>434</v>
      </c>
      <c r="N1293" s="15">
        <v>13</v>
      </c>
      <c r="O1293" s="9"/>
      <c r="P1293" s="10">
        <v>43789.49145833333</v>
      </c>
      <c r="Q1293" s="14" t="s">
        <v>2551</v>
      </c>
      <c r="R1293" s="14" t="s">
        <v>2552</v>
      </c>
      <c r="S1293" s="7" t="s">
        <v>2553</v>
      </c>
      <c r="T1293" s="8"/>
      <c r="U1293" s="11" t="str">
        <f>HYPERLINK("https://pbs.twimg.com/profile_images/1223176339697565697/q38i7r9K.jpg","View")</f>
        <v>View</v>
      </c>
      <c r="V1293" s="8"/>
      <c r="W1293" s="8"/>
      <c r="X1293" s="8"/>
      <c r="Y1293" s="8"/>
      <c r="Z1293" s="8"/>
    </row>
    <row r="1294" spans="1:26" ht="13.2">
      <c r="A1294" s="13">
        <v>44250.460324074069</v>
      </c>
      <c r="B1294" s="6" t="str">
        <f>HYPERLINK("https://twitter.com/imbotpenguin","@imbotpenguin")</f>
        <v>@imbotpenguin</v>
      </c>
      <c r="C1294" s="14" t="s">
        <v>5641</v>
      </c>
      <c r="D1294" s="14" t="s">
        <v>5642</v>
      </c>
      <c r="E1294" s="6" t="str">
        <f>HYPERLINK("https://twitter.com/imbotpenguin/status/1364153746557530112","1364153746557530112")</f>
        <v>1364153746557530112</v>
      </c>
      <c r="F1294" s="8"/>
      <c r="G1294" s="7" t="s">
        <v>5643</v>
      </c>
      <c r="H1294" s="8"/>
      <c r="I1294" s="14">
        <v>8</v>
      </c>
      <c r="J1294" s="14">
        <v>4</v>
      </c>
      <c r="K1294" s="6" t="str">
        <f>HYPERLINK("https://mobile.twitter.com","Twitter Web App")</f>
        <v>Twitter Web App</v>
      </c>
      <c r="L1294" s="15">
        <v>236</v>
      </c>
      <c r="M1294" s="15">
        <v>401</v>
      </c>
      <c r="N1294" s="15">
        <v>0</v>
      </c>
      <c r="O1294" s="9"/>
      <c r="P1294" s="10">
        <v>43474.307708333334</v>
      </c>
      <c r="Q1294" s="14" t="s">
        <v>660</v>
      </c>
      <c r="R1294" s="14" t="s">
        <v>5644</v>
      </c>
      <c r="S1294" s="7" t="s">
        <v>5645</v>
      </c>
      <c r="T1294" s="8"/>
      <c r="U1294" s="11" t="str">
        <f>HYPERLINK("https://pbs.twimg.com/profile_images/1082994262835380225/JPvnK8FN.jpg","View")</f>
        <v>View</v>
      </c>
      <c r="V1294" s="8"/>
      <c r="W1294" s="8"/>
      <c r="X1294" s="8"/>
      <c r="Y1294" s="8"/>
      <c r="Z1294" s="8"/>
    </row>
    <row r="1295" spans="1:26" ht="13.2">
      <c r="A1295" s="13">
        <v>44250.460312499999</v>
      </c>
      <c r="B1295" s="6" t="str">
        <f>HYPERLINK("https://twitter.com/EmmaNewmanVRS","@EmmaNewmanVRS")</f>
        <v>@EmmaNewmanVRS</v>
      </c>
      <c r="C1295" s="14" t="s">
        <v>5646</v>
      </c>
      <c r="D1295" s="14" t="s">
        <v>5647</v>
      </c>
      <c r="E1295" s="6" t="str">
        <f>HYPERLINK("https://twitter.com/EmmaNewmanVRS/status/1364153741914570754","1364153741914570754")</f>
        <v>1364153741914570754</v>
      </c>
      <c r="F1295" s="7" t="s">
        <v>5648</v>
      </c>
      <c r="G1295" s="7" t="s">
        <v>5649</v>
      </c>
      <c r="H1295" s="8"/>
      <c r="I1295" s="14">
        <v>0</v>
      </c>
      <c r="J1295" s="14">
        <v>0</v>
      </c>
      <c r="K1295" s="6" t="str">
        <f>HYPERLINK("https://www.oktopost.com","Oktopost")</f>
        <v>Oktopost</v>
      </c>
      <c r="L1295" s="15">
        <v>7</v>
      </c>
      <c r="M1295" s="15">
        <v>15</v>
      </c>
      <c r="N1295" s="15">
        <v>0</v>
      </c>
      <c r="O1295" s="9"/>
      <c r="P1295" s="10">
        <v>44161.376435185186</v>
      </c>
      <c r="Q1295" s="14" t="s">
        <v>5650</v>
      </c>
      <c r="R1295" s="14" t="s">
        <v>5651</v>
      </c>
      <c r="S1295" s="8"/>
      <c r="T1295" s="8"/>
      <c r="U1295" s="11" t="str">
        <f>HYPERLINK("https://pbs.twimg.com/profile_images/1331871637310935041/yAN-_K6D.jpg","View")</f>
        <v>View</v>
      </c>
      <c r="V1295" s="8"/>
      <c r="W1295" s="8"/>
      <c r="X1295" s="8"/>
      <c r="Y1295" s="8"/>
      <c r="Z1295" s="8"/>
    </row>
    <row r="1296" spans="1:26" ht="13.2">
      <c r="A1296" s="13">
        <v>44250.460231481484</v>
      </c>
      <c r="B1296" s="6" t="str">
        <f>HYPERLINK("https://twitter.com/automeme","@automeme")</f>
        <v>@automeme</v>
      </c>
      <c r="C1296" s="14" t="s">
        <v>5618</v>
      </c>
      <c r="D1296" s="14" t="s">
        <v>5652</v>
      </c>
      <c r="E1296" s="6" t="str">
        <f>HYPERLINK("https://twitter.com/automeme/status/1364153713095438336","1364153713095438336")</f>
        <v>1364153713095438336</v>
      </c>
      <c r="F1296" s="7" t="s">
        <v>5653</v>
      </c>
      <c r="G1296" s="8"/>
      <c r="H1296" s="8"/>
      <c r="I1296" s="14">
        <v>3</v>
      </c>
      <c r="J1296" s="14">
        <v>4</v>
      </c>
      <c r="K1296" s="6" t="str">
        <f>HYPERLINK("https://mobile.twitter.com","Twitter Web App")</f>
        <v>Twitter Web App</v>
      </c>
      <c r="L1296" s="15">
        <v>8583</v>
      </c>
      <c r="M1296" s="15">
        <v>1301</v>
      </c>
      <c r="N1296" s="15">
        <v>150</v>
      </c>
      <c r="O1296" s="9"/>
      <c r="P1296" s="10">
        <v>43300.587627314817</v>
      </c>
      <c r="Q1296" s="14" t="s">
        <v>914</v>
      </c>
      <c r="R1296" s="14" t="s">
        <v>5619</v>
      </c>
      <c r="S1296" s="7" t="s">
        <v>5620</v>
      </c>
      <c r="T1296" s="8"/>
      <c r="U1296" s="11" t="str">
        <f>HYPERLINK("https://pbs.twimg.com/profile_images/1083681521876287488/62YGTQqT.jpg","View")</f>
        <v>View</v>
      </c>
      <c r="V1296" s="8"/>
      <c r="W1296" s="8"/>
      <c r="X1296" s="8"/>
      <c r="Y1296" s="8"/>
      <c r="Z1296" s="8"/>
    </row>
    <row r="1297" spans="1:26" ht="13.2">
      <c r="A1297" s="13">
        <v>44250.459687499999</v>
      </c>
      <c r="B1297" s="6" t="str">
        <f>HYPERLINK("https://twitter.com/AiGhostwriter","@AiGhostwriter")</f>
        <v>@AiGhostwriter</v>
      </c>
      <c r="C1297" s="7" t="s">
        <v>5654</v>
      </c>
      <c r="D1297" s="14" t="s">
        <v>5655</v>
      </c>
      <c r="E1297" s="6" t="str">
        <f>HYPERLINK("https://twitter.com/AiGhostwriter/status/1364153515376058371","1364153515376058371")</f>
        <v>1364153515376058371</v>
      </c>
      <c r="F1297" s="7" t="s">
        <v>5656</v>
      </c>
      <c r="G1297" s="8"/>
      <c r="H1297" s="8"/>
      <c r="I1297" s="14">
        <v>0</v>
      </c>
      <c r="J1297" s="14">
        <v>0</v>
      </c>
      <c r="K1297" s="6" t="str">
        <f>HYPERLINK("https://www.postpickr.com","PostPickr")</f>
        <v>PostPickr</v>
      </c>
      <c r="L1297" s="15">
        <v>318</v>
      </c>
      <c r="M1297" s="15">
        <v>865</v>
      </c>
      <c r="N1297" s="15">
        <v>6</v>
      </c>
      <c r="O1297" s="9"/>
      <c r="P1297" s="10">
        <v>43837.506412037037</v>
      </c>
      <c r="Q1297" s="14" t="s">
        <v>650</v>
      </c>
      <c r="R1297" s="14" t="s">
        <v>5657</v>
      </c>
      <c r="S1297" s="7" t="s">
        <v>5658</v>
      </c>
      <c r="T1297" s="8"/>
      <c r="U1297" s="11" t="str">
        <f>HYPERLINK("https://pbs.twimg.com/profile_images/1214505670009139201/K6Y-YgiA.jpg","View")</f>
        <v>View</v>
      </c>
      <c r="V1297" s="8"/>
      <c r="W1297" s="8"/>
      <c r="X1297" s="8"/>
      <c r="Y1297" s="8"/>
      <c r="Z1297" s="8"/>
    </row>
    <row r="1298" spans="1:26" ht="13.2">
      <c r="A1298" s="13">
        <v>44250.459374999999</v>
      </c>
      <c r="B1298" s="6" t="str">
        <f>HYPERLINK("https://twitter.com/HarbRimah","@HarbRimah")</f>
        <v>@HarbRimah</v>
      </c>
      <c r="C1298" s="14" t="s">
        <v>2837</v>
      </c>
      <c r="D1298" s="14" t="s">
        <v>5659</v>
      </c>
      <c r="E1298" s="6" t="str">
        <f>HYPERLINK("https://twitter.com/HarbRimah/status/1364153403643994113","1364153403643994113")</f>
        <v>1364153403643994113</v>
      </c>
      <c r="F1298" s="7" t="s">
        <v>5660</v>
      </c>
      <c r="G1298" s="8"/>
      <c r="H1298" s="8"/>
      <c r="I1298" s="14">
        <v>28</v>
      </c>
      <c r="J1298" s="14">
        <v>11</v>
      </c>
      <c r="K1298" s="6" t="str">
        <f>HYPERLINK("https://mobile.twitter.com","Twitter Web App")</f>
        <v>Twitter Web App</v>
      </c>
      <c r="L1298" s="15">
        <v>8983</v>
      </c>
      <c r="M1298" s="15">
        <v>4886</v>
      </c>
      <c r="N1298" s="15">
        <v>675</v>
      </c>
      <c r="O1298" s="9"/>
      <c r="P1298" s="10">
        <v>41198.440601851849</v>
      </c>
      <c r="Q1298" s="8"/>
      <c r="R1298" s="14" t="s">
        <v>2838</v>
      </c>
      <c r="S1298" s="8"/>
      <c r="T1298" s="8"/>
      <c r="U1298" s="11" t="str">
        <f>HYPERLINK("https://pbs.twimg.com/profile_images/909317895355863040/ls7cAjxm.jpg","View")</f>
        <v>View</v>
      </c>
      <c r="V1298" s="8"/>
      <c r="W1298" s="8"/>
      <c r="X1298" s="8"/>
      <c r="Y1298" s="8"/>
      <c r="Z1298" s="8"/>
    </row>
    <row r="1299" spans="1:26" ht="13.2">
      <c r="A1299" s="13">
        <v>44250.459351851852</v>
      </c>
      <c r="B1299" s="6" t="str">
        <f>HYPERLINK("https://twitter.com/CmccClimate","@CmccClimate")</f>
        <v>@CmccClimate</v>
      </c>
      <c r="C1299" s="14" t="s">
        <v>5661</v>
      </c>
      <c r="D1299" s="14" t="s">
        <v>5662</v>
      </c>
      <c r="E1299" s="6" t="str">
        <f>HYPERLINK("https://twitter.com/CmccClimate/status/1364153395599269889","1364153395599269889")</f>
        <v>1364153395599269889</v>
      </c>
      <c r="F1299" s="7" t="s">
        <v>5663</v>
      </c>
      <c r="G1299" s="7" t="s">
        <v>5664</v>
      </c>
      <c r="H1299" s="8"/>
      <c r="I1299" s="14">
        <v>0</v>
      </c>
      <c r="J1299" s="14">
        <v>0</v>
      </c>
      <c r="K1299" s="6" t="str">
        <f>HYPERLINK("https://www.hootsuite.com","Hootsuite Inc.")</f>
        <v>Hootsuite Inc.</v>
      </c>
      <c r="L1299" s="15">
        <v>3931</v>
      </c>
      <c r="M1299" s="15">
        <v>1489</v>
      </c>
      <c r="N1299" s="15">
        <v>131</v>
      </c>
      <c r="O1299" s="9"/>
      <c r="P1299" s="10">
        <v>40868.767685185187</v>
      </c>
      <c r="Q1299" s="14" t="s">
        <v>1685</v>
      </c>
      <c r="R1299" s="14" t="s">
        <v>5665</v>
      </c>
      <c r="S1299" s="7" t="s">
        <v>5666</v>
      </c>
      <c r="T1299" s="8"/>
      <c r="U1299" s="11" t="str">
        <f>HYPERLINK("https://pbs.twimg.com/profile_images/928635065978048517/poFWF_R0.jpg","View")</f>
        <v>View</v>
      </c>
      <c r="V1299" s="8"/>
      <c r="W1299" s="8"/>
      <c r="X1299" s="8"/>
      <c r="Y1299" s="8"/>
      <c r="Z1299" s="8"/>
    </row>
    <row r="1300" spans="1:26" ht="13.2">
      <c r="A1300" s="13">
        <v>44250.459328703699</v>
      </c>
      <c r="B1300" s="6" t="str">
        <f>HYPERLINK("https://twitter.com/automeme","@automeme")</f>
        <v>@automeme</v>
      </c>
      <c r="C1300" s="14" t="s">
        <v>5618</v>
      </c>
      <c r="D1300" s="14" t="s">
        <v>4823</v>
      </c>
      <c r="E1300" s="6" t="str">
        <f>HYPERLINK("https://twitter.com/automeme/status/1364153383427313666","1364153383427313666")</f>
        <v>1364153383427313666</v>
      </c>
      <c r="F1300" s="7" t="s">
        <v>4824</v>
      </c>
      <c r="G1300" s="8"/>
      <c r="H1300" s="8"/>
      <c r="I1300" s="14">
        <v>16</v>
      </c>
      <c r="J1300" s="14">
        <v>7</v>
      </c>
      <c r="K1300" s="6" t="str">
        <f>HYPERLINK("https://mobile.twitter.com","Twitter Web App")</f>
        <v>Twitter Web App</v>
      </c>
      <c r="L1300" s="15">
        <v>8583</v>
      </c>
      <c r="M1300" s="15">
        <v>1301</v>
      </c>
      <c r="N1300" s="15">
        <v>150</v>
      </c>
      <c r="O1300" s="9"/>
      <c r="P1300" s="10">
        <v>43300.587627314817</v>
      </c>
      <c r="Q1300" s="14" t="s">
        <v>914</v>
      </c>
      <c r="R1300" s="14" t="s">
        <v>5619</v>
      </c>
      <c r="S1300" s="7" t="s">
        <v>5620</v>
      </c>
      <c r="T1300" s="8"/>
      <c r="U1300" s="11" t="str">
        <f>HYPERLINK("https://pbs.twimg.com/profile_images/1083681521876287488/62YGTQqT.jpg","View")</f>
        <v>View</v>
      </c>
      <c r="V1300" s="8"/>
      <c r="W1300" s="8"/>
      <c r="X1300" s="8"/>
      <c r="Y1300" s="8"/>
      <c r="Z1300" s="8"/>
    </row>
    <row r="1301" spans="1:26" ht="13.2">
      <c r="A1301" s="13">
        <v>44250.458715277782</v>
      </c>
      <c r="B1301" s="6" t="str">
        <f>HYPERLINK("https://twitter.com/sp6hunna","@sp6hunna")</f>
        <v>@sp6hunna</v>
      </c>
      <c r="C1301" s="14" t="s">
        <v>5546</v>
      </c>
      <c r="D1301" s="14" t="s">
        <v>5667</v>
      </c>
      <c r="E1301" s="6" t="str">
        <f>HYPERLINK("https://twitter.com/sp6hunna/status/1364153164782575616","1364153164782575616")</f>
        <v>1364153164782575616</v>
      </c>
      <c r="F1301" s="8"/>
      <c r="G1301" s="7" t="s">
        <v>5668</v>
      </c>
      <c r="H1301" s="8"/>
      <c r="I1301" s="14">
        <v>9</v>
      </c>
      <c r="J1301" s="14">
        <v>1</v>
      </c>
      <c r="K1301" s="6" t="str">
        <f>HYPERLINK("http://twitter.com/download/iphone","Twitter for iPhone")</f>
        <v>Twitter for iPhone</v>
      </c>
      <c r="L1301" s="15">
        <v>3</v>
      </c>
      <c r="M1301" s="15">
        <v>16</v>
      </c>
      <c r="N1301" s="15">
        <v>0</v>
      </c>
      <c r="O1301" s="9"/>
      <c r="P1301" s="10">
        <v>44246.819490740745</v>
      </c>
      <c r="Q1301" s="8"/>
      <c r="R1301" s="14" t="s">
        <v>5549</v>
      </c>
      <c r="S1301" s="8"/>
      <c r="T1301" s="8"/>
      <c r="U1301" s="11" t="str">
        <f>HYPERLINK("https://pbs.twimg.com/profile_images/1362834483934863366/7LrFTrXJ.jpg","View")</f>
        <v>View</v>
      </c>
      <c r="V1301" s="8"/>
      <c r="W1301" s="8"/>
      <c r="X1301" s="8"/>
      <c r="Y1301" s="8"/>
      <c r="Z1301" s="8"/>
    </row>
    <row r="1302" spans="1:26" ht="13.2">
      <c r="A1302" s="13">
        <v>44250.458703703705</v>
      </c>
      <c r="B1302" s="6" t="str">
        <f>HYPERLINK("https://twitter.com/ment_at","@ment_at")</f>
        <v>@ment_at</v>
      </c>
      <c r="C1302" s="14" t="s">
        <v>5669</v>
      </c>
      <c r="D1302" s="14" t="s">
        <v>5670</v>
      </c>
      <c r="E1302" s="6" t="str">
        <f>HYPERLINK("https://twitter.com/ment_at/status/1364153157589286914","1364153157589286914")</f>
        <v>1364153157589286914</v>
      </c>
      <c r="F1302" s="7" t="s">
        <v>5671</v>
      </c>
      <c r="G1302" s="7" t="s">
        <v>5672</v>
      </c>
      <c r="H1302" s="8"/>
      <c r="I1302" s="14">
        <v>1</v>
      </c>
      <c r="J1302" s="14">
        <v>1</v>
      </c>
      <c r="K1302" s="6" t="str">
        <f>HYPERLINK("https://buffer.com","Buffer")</f>
        <v>Buffer</v>
      </c>
      <c r="L1302" s="15">
        <v>336</v>
      </c>
      <c r="M1302" s="15">
        <v>91</v>
      </c>
      <c r="N1302" s="15">
        <v>34</v>
      </c>
      <c r="O1302" s="9"/>
      <c r="P1302" s="10">
        <v>40941.770856481482</v>
      </c>
      <c r="Q1302" s="14" t="s">
        <v>3259</v>
      </c>
      <c r="R1302" s="14" t="s">
        <v>5673</v>
      </c>
      <c r="S1302" s="7" t="s">
        <v>5674</v>
      </c>
      <c r="T1302" s="8"/>
      <c r="U1302" s="11" t="str">
        <f>HYPERLINK("https://pbs.twimg.com/profile_images/1103983205978460160/5apE70vV.jpg","View")</f>
        <v>View</v>
      </c>
      <c r="V1302" s="8"/>
      <c r="W1302" s="8"/>
      <c r="X1302" s="8"/>
      <c r="Y1302" s="8"/>
      <c r="Z1302" s="8"/>
    </row>
    <row r="1303" spans="1:26" ht="13.2">
      <c r="A1303" s="13">
        <v>44250.458634259259</v>
      </c>
      <c r="B1303" s="6" t="str">
        <f>HYPERLINK("https://twitter.com/PinakiLaskar","@PinakiLaskar")</f>
        <v>@PinakiLaskar</v>
      </c>
      <c r="C1303" s="14" t="s">
        <v>5675</v>
      </c>
      <c r="D1303" s="14" t="s">
        <v>5241</v>
      </c>
      <c r="E1303" s="6" t="str">
        <f>HYPERLINK("https://twitter.com/PinakiLaskar/status/1364153132754694149","1364153132754694149")</f>
        <v>1364153132754694149</v>
      </c>
      <c r="F1303" s="7" t="s">
        <v>5242</v>
      </c>
      <c r="G1303" s="8"/>
      <c r="H1303" s="8"/>
      <c r="I1303" s="14">
        <v>5</v>
      </c>
      <c r="J1303" s="14">
        <v>10</v>
      </c>
      <c r="K1303" s="6" t="str">
        <f t="shared" ref="K1303:K1304" si="217">HYPERLINK("https://mobile.twitter.com","Twitter Web App")</f>
        <v>Twitter Web App</v>
      </c>
      <c r="L1303" s="15">
        <v>1660</v>
      </c>
      <c r="M1303" s="15">
        <v>528</v>
      </c>
      <c r="N1303" s="15">
        <v>26</v>
      </c>
      <c r="O1303" s="9"/>
      <c r="P1303" s="10">
        <v>43393.806643518517</v>
      </c>
      <c r="Q1303" s="14" t="s">
        <v>5676</v>
      </c>
      <c r="R1303" s="14" t="s">
        <v>5677</v>
      </c>
      <c r="S1303" s="7" t="s">
        <v>5678</v>
      </c>
      <c r="T1303" s="8"/>
      <c r="U1303" s="11" t="str">
        <f>HYPERLINK("https://pbs.twimg.com/profile_images/1277223966705192966/aIT6N-WJ.jpg","View")</f>
        <v>View</v>
      </c>
      <c r="V1303" s="8"/>
      <c r="W1303" s="8"/>
      <c r="X1303" s="8"/>
      <c r="Y1303" s="8"/>
      <c r="Z1303" s="8"/>
    </row>
    <row r="1304" spans="1:26" ht="13.2">
      <c r="A1304" s="13">
        <v>44250.458611111113</v>
      </c>
      <c r="B1304" s="6" t="str">
        <f>HYPERLINK("https://twitter.com/HarbRimah","@HarbRimah")</f>
        <v>@HarbRimah</v>
      </c>
      <c r="C1304" s="14" t="s">
        <v>2837</v>
      </c>
      <c r="D1304" s="14" t="s">
        <v>5679</v>
      </c>
      <c r="E1304" s="6" t="str">
        <f>HYPERLINK("https://twitter.com/HarbRimah/status/1364153126022955009","1364153126022955009")</f>
        <v>1364153126022955009</v>
      </c>
      <c r="F1304" s="7" t="s">
        <v>5680</v>
      </c>
      <c r="G1304" s="8"/>
      <c r="H1304" s="8"/>
      <c r="I1304" s="14">
        <v>11</v>
      </c>
      <c r="J1304" s="14">
        <v>5</v>
      </c>
      <c r="K1304" s="6" t="str">
        <f t="shared" si="217"/>
        <v>Twitter Web App</v>
      </c>
      <c r="L1304" s="15">
        <v>8983</v>
      </c>
      <c r="M1304" s="15">
        <v>4886</v>
      </c>
      <c r="N1304" s="15">
        <v>675</v>
      </c>
      <c r="O1304" s="9"/>
      <c r="P1304" s="10">
        <v>41198.440601851849</v>
      </c>
      <c r="Q1304" s="8"/>
      <c r="R1304" s="14" t="s">
        <v>2838</v>
      </c>
      <c r="S1304" s="8"/>
      <c r="T1304" s="8"/>
      <c r="U1304" s="11" t="str">
        <f>HYPERLINK("https://pbs.twimg.com/profile_images/909317895355863040/ls7cAjxm.jpg","View")</f>
        <v>View</v>
      </c>
      <c r="V1304" s="8"/>
      <c r="W1304" s="8"/>
      <c r="X1304" s="8"/>
      <c r="Y1304" s="8"/>
      <c r="Z1304" s="8"/>
    </row>
    <row r="1305" spans="1:26" ht="13.2">
      <c r="A1305" s="13">
        <v>44250.458483796298</v>
      </c>
      <c r="B1305" s="6" t="str">
        <f>HYPERLINK("https://twitter.com/Deep_In_Depth","@Deep_In_Depth")</f>
        <v>@Deep_In_Depth</v>
      </c>
      <c r="C1305" s="14" t="s">
        <v>312</v>
      </c>
      <c r="D1305" s="14" t="s">
        <v>5681</v>
      </c>
      <c r="E1305" s="6" t="str">
        <f>HYPERLINK("https://twitter.com/Deep_In_Depth/status/1364153078237265922","1364153078237265922")</f>
        <v>1364153078237265922</v>
      </c>
      <c r="F1305" s="7" t="s">
        <v>5682</v>
      </c>
      <c r="G1305" s="8"/>
      <c r="H1305" s="8"/>
      <c r="I1305" s="14">
        <v>1</v>
      </c>
      <c r="J1305" s="14">
        <v>2</v>
      </c>
      <c r="K1305" s="6" t="str">
        <f t="shared" ref="K1305:K1306" si="218">HYPERLINK("https://buffer.com","Buffer")</f>
        <v>Buffer</v>
      </c>
      <c r="L1305" s="15">
        <v>10954</v>
      </c>
      <c r="M1305" s="15">
        <v>9176</v>
      </c>
      <c r="N1305" s="15">
        <v>159</v>
      </c>
      <c r="O1305" s="9"/>
      <c r="P1305" s="10">
        <v>42864.439525462964</v>
      </c>
      <c r="Q1305" s="14" t="s">
        <v>315</v>
      </c>
      <c r="R1305" s="14" t="s">
        <v>316</v>
      </c>
      <c r="S1305" s="7" t="s">
        <v>317</v>
      </c>
      <c r="T1305" s="8"/>
      <c r="U1305" s="11" t="str">
        <f>HYPERLINK("https://pbs.twimg.com/profile_images/861866967493431296/PIjaSD4g.jpg","View")</f>
        <v>View</v>
      </c>
      <c r="V1305" s="8"/>
      <c r="W1305" s="8"/>
      <c r="X1305" s="8"/>
      <c r="Y1305" s="8"/>
      <c r="Z1305" s="8"/>
    </row>
    <row r="1306" spans="1:26" ht="13.2">
      <c r="A1306" s="13">
        <v>44250.458437499998</v>
      </c>
      <c r="B1306" s="6" t="str">
        <f>HYPERLINK("https://twitter.com/RichardEudes","@RichardEudes")</f>
        <v>@RichardEudes</v>
      </c>
      <c r="C1306" s="14" t="s">
        <v>341</v>
      </c>
      <c r="D1306" s="14" t="s">
        <v>5683</v>
      </c>
      <c r="E1306" s="6" t="str">
        <f>HYPERLINK("https://twitter.com/RichardEudes/status/1364153062550609923","1364153062550609923")</f>
        <v>1364153062550609923</v>
      </c>
      <c r="F1306" s="7" t="s">
        <v>5684</v>
      </c>
      <c r="G1306" s="8"/>
      <c r="H1306" s="8"/>
      <c r="I1306" s="14">
        <v>0</v>
      </c>
      <c r="J1306" s="14">
        <v>0</v>
      </c>
      <c r="K1306" s="6" t="str">
        <f t="shared" si="218"/>
        <v>Buffer</v>
      </c>
      <c r="L1306" s="15">
        <v>16960</v>
      </c>
      <c r="M1306" s="15">
        <v>1979</v>
      </c>
      <c r="N1306" s="15">
        <v>668</v>
      </c>
      <c r="O1306" s="9"/>
      <c r="P1306" s="10">
        <v>39985.961481481485</v>
      </c>
      <c r="Q1306" s="14" t="s">
        <v>106</v>
      </c>
      <c r="R1306" s="14" t="s">
        <v>344</v>
      </c>
      <c r="S1306" s="7" t="s">
        <v>345</v>
      </c>
      <c r="T1306" s="8"/>
      <c r="U1306" s="11" t="str">
        <f>HYPERLINK("https://pbs.twimg.com/profile_images/1332753391886491648/I9fBm3kf.jpg","View")</f>
        <v>View</v>
      </c>
      <c r="V1306" s="8"/>
      <c r="W1306" s="8"/>
      <c r="X1306" s="8"/>
      <c r="Y1306" s="8"/>
      <c r="Z1306" s="8"/>
    </row>
    <row r="1307" spans="1:26" ht="13.2">
      <c r="A1307" s="13">
        <v>44250.458425925928</v>
      </c>
      <c r="B1307" s="6" t="str">
        <f>HYPERLINK("https://twitter.com/HaroldSinnott","@HaroldSinnott")</f>
        <v>@HaroldSinnott</v>
      </c>
      <c r="C1307" s="14" t="s">
        <v>4015</v>
      </c>
      <c r="D1307" s="14" t="s">
        <v>5685</v>
      </c>
      <c r="E1307" s="6" t="str">
        <f>HYPERLINK("https://twitter.com/HaroldSinnott/status/1364153060411531264","1364153060411531264")</f>
        <v>1364153060411531264</v>
      </c>
      <c r="F1307" s="7" t="s">
        <v>4824</v>
      </c>
      <c r="G1307" s="7" t="s">
        <v>5686</v>
      </c>
      <c r="H1307" s="8"/>
      <c r="I1307" s="14">
        <v>56</v>
      </c>
      <c r="J1307" s="14">
        <v>49</v>
      </c>
      <c r="K1307" s="6" t="str">
        <f>HYPERLINK("https://crowdfireapp.com","Crowdfire App")</f>
        <v>Crowdfire App</v>
      </c>
      <c r="L1307" s="15">
        <v>76726</v>
      </c>
      <c r="M1307" s="15">
        <v>46267</v>
      </c>
      <c r="N1307" s="15">
        <v>2484</v>
      </c>
      <c r="O1307" s="9"/>
      <c r="P1307" s="10">
        <v>40465.568553240737</v>
      </c>
      <c r="Q1307" s="14" t="s">
        <v>2904</v>
      </c>
      <c r="R1307" s="14" t="s">
        <v>4019</v>
      </c>
      <c r="S1307" s="7" t="s">
        <v>4020</v>
      </c>
      <c r="T1307" s="8"/>
      <c r="U1307" s="11" t="str">
        <f>HYPERLINK("https://pbs.twimg.com/profile_images/1214348334841901056/QSdqkzO-.jpg","View")</f>
        <v>View</v>
      </c>
      <c r="V1307" s="8"/>
      <c r="W1307" s="8"/>
      <c r="X1307" s="8"/>
      <c r="Y1307" s="8"/>
      <c r="Z1307" s="8"/>
    </row>
    <row r="1308" spans="1:26" ht="13.2">
      <c r="A1308" s="13">
        <v>44250.458391203705</v>
      </c>
      <c r="B1308" s="6" t="str">
        <f>HYPERLINK("https://twitter.com/themlguru","@themlguru")</f>
        <v>@themlguru</v>
      </c>
      <c r="C1308" s="14" t="s">
        <v>362</v>
      </c>
      <c r="D1308" s="14" t="s">
        <v>5687</v>
      </c>
      <c r="E1308" s="6" t="str">
        <f>HYPERLINK("https://twitter.com/themlguru/status/1364153044934529024","1364153044934529024")</f>
        <v>1364153044934529024</v>
      </c>
      <c r="F1308" s="8"/>
      <c r="G1308" s="8"/>
      <c r="H1308" s="8"/>
      <c r="I1308" s="14">
        <v>0</v>
      </c>
      <c r="J1308" s="14">
        <v>0</v>
      </c>
      <c r="K1308" s="6" t="str">
        <f>HYPERLINK("https://twittimer.com","Twittimer")</f>
        <v>Twittimer</v>
      </c>
      <c r="L1308" s="15">
        <v>10</v>
      </c>
      <c r="M1308" s="15">
        <v>33</v>
      </c>
      <c r="N1308" s="15">
        <v>0</v>
      </c>
      <c r="O1308" s="9"/>
      <c r="P1308" s="10">
        <v>44242.188148148147</v>
      </c>
      <c r="Q1308" s="14" t="s">
        <v>364</v>
      </c>
      <c r="R1308" s="8"/>
      <c r="S1308" s="8"/>
      <c r="T1308" s="8"/>
      <c r="U1308" s="11" t="str">
        <f>HYPERLINK("https://pbs.twimg.com/profile_images/1361967087623700484/-6UQQ_sZ.jpg","View")</f>
        <v>View</v>
      </c>
      <c r="V1308" s="8"/>
      <c r="W1308" s="8"/>
      <c r="X1308" s="8"/>
      <c r="Y1308" s="8"/>
      <c r="Z1308" s="8"/>
    </row>
    <row r="1309" spans="1:26" ht="13.2">
      <c r="A1309" s="13">
        <v>44250.458298611113</v>
      </c>
      <c r="B1309" s="6" t="str">
        <f>HYPERLINK("https://twitter.com/automeme","@automeme")</f>
        <v>@automeme</v>
      </c>
      <c r="C1309" s="14" t="s">
        <v>5618</v>
      </c>
      <c r="D1309" s="14" t="s">
        <v>4816</v>
      </c>
      <c r="E1309" s="6" t="str">
        <f>HYPERLINK("https://twitter.com/automeme/status/1364153013674237954","1364153013674237954")</f>
        <v>1364153013674237954</v>
      </c>
      <c r="F1309" s="7" t="s">
        <v>4817</v>
      </c>
      <c r="G1309" s="8"/>
      <c r="H1309" s="8"/>
      <c r="I1309" s="14">
        <v>8</v>
      </c>
      <c r="J1309" s="14">
        <v>4</v>
      </c>
      <c r="K1309" s="6" t="str">
        <f t="shared" ref="K1309:K1310" si="219">HYPERLINK("https://mobile.twitter.com","Twitter Web App")</f>
        <v>Twitter Web App</v>
      </c>
      <c r="L1309" s="15">
        <v>8583</v>
      </c>
      <c r="M1309" s="15">
        <v>1301</v>
      </c>
      <c r="N1309" s="15">
        <v>150</v>
      </c>
      <c r="O1309" s="9"/>
      <c r="P1309" s="10">
        <v>43300.587627314817</v>
      </c>
      <c r="Q1309" s="14" t="s">
        <v>914</v>
      </c>
      <c r="R1309" s="14" t="s">
        <v>5619</v>
      </c>
      <c r="S1309" s="7" t="s">
        <v>5620</v>
      </c>
      <c r="T1309" s="8"/>
      <c r="U1309" s="11" t="str">
        <f>HYPERLINK("https://pbs.twimg.com/profile_images/1083681521876287488/62YGTQqT.jpg","View")</f>
        <v>View</v>
      </c>
      <c r="V1309" s="8"/>
      <c r="W1309" s="8"/>
      <c r="X1309" s="8"/>
      <c r="Y1309" s="8"/>
      <c r="Z1309" s="8"/>
    </row>
    <row r="1310" spans="1:26" ht="13.2">
      <c r="A1310" s="13">
        <v>44250.458171296297</v>
      </c>
      <c r="B1310" s="6" t="str">
        <f>HYPERLINK("https://twitter.com/MotorcycleTwitt","@MotorcycleTwitt")</f>
        <v>@MotorcycleTwitt</v>
      </c>
      <c r="C1310" s="14" t="s">
        <v>4699</v>
      </c>
      <c r="D1310" s="14" t="s">
        <v>5688</v>
      </c>
      <c r="E1310" s="6" t="str">
        <f>HYPERLINK("https://twitter.com/MotorcycleTwitt/status/1364152964764459009","1364152964764459009")</f>
        <v>1364152964764459009</v>
      </c>
      <c r="F1310" s="7" t="s">
        <v>5689</v>
      </c>
      <c r="G1310" s="7" t="s">
        <v>5690</v>
      </c>
      <c r="H1310" s="8"/>
      <c r="I1310" s="14">
        <v>5</v>
      </c>
      <c r="J1310" s="14">
        <v>7</v>
      </c>
      <c r="K1310" s="6" t="str">
        <f t="shared" si="219"/>
        <v>Twitter Web App</v>
      </c>
      <c r="L1310" s="15">
        <v>19217</v>
      </c>
      <c r="M1310" s="15">
        <v>11790</v>
      </c>
      <c r="N1310" s="15">
        <v>1483</v>
      </c>
      <c r="O1310" s="9"/>
      <c r="P1310" s="10">
        <v>41657.304791666669</v>
      </c>
      <c r="Q1310" s="14" t="s">
        <v>390</v>
      </c>
      <c r="R1310" s="14" t="s">
        <v>4703</v>
      </c>
      <c r="S1310" s="7" t="s">
        <v>4704</v>
      </c>
      <c r="T1310" s="8"/>
      <c r="U1310" s="11" t="str">
        <f>HYPERLINK("https://pbs.twimg.com/profile_images/976706803533725698/-B5y-7mI.jpg","View")</f>
        <v>View</v>
      </c>
      <c r="V1310" s="8"/>
      <c r="W1310" s="8"/>
      <c r="X1310" s="8"/>
      <c r="Y1310" s="8"/>
      <c r="Z1310" s="8"/>
    </row>
    <row r="1311" spans="1:26" ht="13.2">
      <c r="A1311" s="13">
        <v>44250.457905092597</v>
      </c>
      <c r="B1311" s="6" t="str">
        <f>HYPERLINK("https://twitter.com/NeurAutomata","@NeurAutomata")</f>
        <v>@NeurAutomata</v>
      </c>
      <c r="C1311" s="14" t="s">
        <v>400</v>
      </c>
      <c r="D1311" s="14" t="s">
        <v>401</v>
      </c>
      <c r="E1311" s="6" t="str">
        <f>HYPERLINK("https://twitter.com/NeurAutomata/status/1364152868144615426","1364152868144615426")</f>
        <v>1364152868144615426</v>
      </c>
      <c r="F1311" s="7" t="s">
        <v>5691</v>
      </c>
      <c r="G1311" s="8"/>
      <c r="H1311" s="8"/>
      <c r="I1311" s="14">
        <v>0</v>
      </c>
      <c r="J1311" s="14">
        <v>0</v>
      </c>
      <c r="K1311" s="6" t="str">
        <f>HYPERLINK("https://ifttt.com","IFTTT")</f>
        <v>IFTTT</v>
      </c>
      <c r="L1311" s="15">
        <v>83</v>
      </c>
      <c r="M1311" s="15">
        <v>14</v>
      </c>
      <c r="N1311" s="15">
        <v>3</v>
      </c>
      <c r="O1311" s="9"/>
      <c r="P1311" s="10">
        <v>42862.083414351851</v>
      </c>
      <c r="Q1311" s="14" t="s">
        <v>403</v>
      </c>
      <c r="R1311" s="14" t="s">
        <v>404</v>
      </c>
      <c r="S1311" s="8"/>
      <c r="T1311" s="8"/>
      <c r="U1311" s="11" t="str">
        <f>HYPERLINK("https://pbs.twimg.com/profile_images/861050448672718848/oHUlrvEK.jpg","View")</f>
        <v>View</v>
      </c>
      <c r="V1311" s="8"/>
      <c r="W1311" s="8"/>
      <c r="X1311" s="8"/>
      <c r="Y1311" s="8"/>
      <c r="Z1311" s="8"/>
    </row>
    <row r="1312" spans="1:26" ht="13.2">
      <c r="A1312" s="13">
        <v>44250.457719907412</v>
      </c>
      <c r="B1312" s="6" t="str">
        <f>HYPERLINK("https://twitter.com/sajidmirza","@sajidmirza")</f>
        <v>@sajidmirza</v>
      </c>
      <c r="C1312" s="14" t="s">
        <v>200</v>
      </c>
      <c r="D1312" s="14" t="s">
        <v>5542</v>
      </c>
      <c r="E1312" s="6" t="str">
        <f>HYPERLINK("https://twitter.com/sajidmirza/status/1364152803019620355","1364152803019620355")</f>
        <v>1364152803019620355</v>
      </c>
      <c r="F1312" s="14" t="s">
        <v>5543</v>
      </c>
      <c r="G1312" s="8"/>
      <c r="H1312" s="8"/>
      <c r="I1312" s="14">
        <v>0</v>
      </c>
      <c r="J1312" s="14">
        <v>0</v>
      </c>
      <c r="K1312" s="6" t="str">
        <f>HYPERLINK("http://twinybots.com","TwinyBots")</f>
        <v>TwinyBots</v>
      </c>
      <c r="L1312" s="15">
        <v>2160</v>
      </c>
      <c r="M1312" s="15">
        <v>1495</v>
      </c>
      <c r="N1312" s="15">
        <v>43</v>
      </c>
      <c r="O1312" s="9"/>
      <c r="P1312" s="10">
        <v>39986.264884259261</v>
      </c>
      <c r="Q1312" s="14" t="s">
        <v>203</v>
      </c>
      <c r="R1312" s="14" t="s">
        <v>204</v>
      </c>
      <c r="S1312" s="7" t="s">
        <v>205</v>
      </c>
      <c r="T1312" s="8"/>
      <c r="U1312" s="11" t="str">
        <f>HYPERLINK("https://pbs.twimg.com/profile_images/900709336309276672/M5XpdeQJ.jpg","View")</f>
        <v>View</v>
      </c>
      <c r="V1312" s="8"/>
      <c r="W1312" s="8"/>
      <c r="X1312" s="8"/>
      <c r="Y1312" s="8"/>
      <c r="Z1312" s="8"/>
    </row>
    <row r="1313" spans="1:26" ht="13.2">
      <c r="A1313" s="13">
        <v>44250.457638888889</v>
      </c>
      <c r="B1313" s="6" t="str">
        <f>HYPERLINK("https://twitter.com/Datascience__","@Datascience__")</f>
        <v>@Datascience__</v>
      </c>
      <c r="C1313" s="14" t="s">
        <v>1082</v>
      </c>
      <c r="D1313" s="14" t="s">
        <v>5692</v>
      </c>
      <c r="E1313" s="6" t="str">
        <f>HYPERLINK("https://twitter.com/Datascience__/status/1364152772602564610","1364152772602564610")</f>
        <v>1364152772602564610</v>
      </c>
      <c r="F1313" s="7" t="s">
        <v>5693</v>
      </c>
      <c r="G1313" s="8"/>
      <c r="H1313" s="8"/>
      <c r="I1313" s="14">
        <v>2</v>
      </c>
      <c r="J1313" s="14">
        <v>1</v>
      </c>
      <c r="K1313" s="6" t="str">
        <f>HYPERLINK("https://twitter.com/pythonbot_","Postmatico")</f>
        <v>Postmatico</v>
      </c>
      <c r="L1313" s="15">
        <v>21499</v>
      </c>
      <c r="M1313" s="15">
        <v>11071</v>
      </c>
      <c r="N1313" s="15">
        <v>0</v>
      </c>
      <c r="O1313" s="9"/>
      <c r="P1313" s="10">
        <v>42735.551377314812</v>
      </c>
      <c r="Q1313" s="8"/>
      <c r="R1313" s="14" t="s">
        <v>1085</v>
      </c>
      <c r="S1313" s="7" t="s">
        <v>1086</v>
      </c>
      <c r="T1313" s="8"/>
      <c r="U1313" s="11" t="str">
        <f>HYPERLINK("https://pbs.twimg.com/profile_images/989066461435097088/AQZSFyuk.jpg","View")</f>
        <v>View</v>
      </c>
      <c r="V1313" s="8"/>
      <c r="W1313" s="8"/>
      <c r="X1313" s="8"/>
      <c r="Y1313" s="8"/>
      <c r="Z1313" s="8"/>
    </row>
    <row r="1314" spans="1:26" ht="13.2">
      <c r="A1314" s="13">
        <v>44250.457384259258</v>
      </c>
      <c r="B1314" s="6" t="str">
        <f>HYPERLINK("https://twitter.com/automeme","@automeme")</f>
        <v>@automeme</v>
      </c>
      <c r="C1314" s="14" t="s">
        <v>5618</v>
      </c>
      <c r="D1314" s="14" t="s">
        <v>5694</v>
      </c>
      <c r="E1314" s="6" t="str">
        <f>HYPERLINK("https://twitter.com/automeme/status/1364152682630377475","1364152682630377475")</f>
        <v>1364152682630377475</v>
      </c>
      <c r="F1314" s="7" t="s">
        <v>5695</v>
      </c>
      <c r="G1314" s="8"/>
      <c r="H1314" s="8"/>
      <c r="I1314" s="14">
        <v>5</v>
      </c>
      <c r="J1314" s="14">
        <v>3</v>
      </c>
      <c r="K1314" s="6" t="str">
        <f t="shared" ref="K1314:K1315" si="220">HYPERLINK("https://mobile.twitter.com","Twitter Web App")</f>
        <v>Twitter Web App</v>
      </c>
      <c r="L1314" s="15">
        <v>8583</v>
      </c>
      <c r="M1314" s="15">
        <v>1301</v>
      </c>
      <c r="N1314" s="15">
        <v>150</v>
      </c>
      <c r="O1314" s="9"/>
      <c r="P1314" s="10">
        <v>43300.587627314817</v>
      </c>
      <c r="Q1314" s="14" t="s">
        <v>914</v>
      </c>
      <c r="R1314" s="14" t="s">
        <v>5619</v>
      </c>
      <c r="S1314" s="7" t="s">
        <v>5620</v>
      </c>
      <c r="T1314" s="8"/>
      <c r="U1314" s="11" t="str">
        <f>HYPERLINK("https://pbs.twimg.com/profile_images/1083681521876287488/62YGTQqT.jpg","View")</f>
        <v>View</v>
      </c>
      <c r="V1314" s="8"/>
      <c r="W1314" s="8"/>
      <c r="X1314" s="8"/>
      <c r="Y1314" s="8"/>
      <c r="Z1314" s="8"/>
    </row>
    <row r="1315" spans="1:26" ht="13.2">
      <c r="A1315" s="13">
        <v>44250.457361111112</v>
      </c>
      <c r="B1315" s="6" t="str">
        <f>HYPERLINK("https://twitter.com/HarbRimah","@HarbRimah")</f>
        <v>@HarbRimah</v>
      </c>
      <c r="C1315" s="14" t="s">
        <v>2837</v>
      </c>
      <c r="D1315" s="14" t="s">
        <v>5696</v>
      </c>
      <c r="E1315" s="6" t="str">
        <f>HYPERLINK("https://twitter.com/HarbRimah/status/1364152673486974976","1364152673486974976")</f>
        <v>1364152673486974976</v>
      </c>
      <c r="F1315" s="7" t="s">
        <v>5697</v>
      </c>
      <c r="G1315" s="8"/>
      <c r="H1315" s="8"/>
      <c r="I1315" s="14">
        <v>20</v>
      </c>
      <c r="J1315" s="14">
        <v>8</v>
      </c>
      <c r="K1315" s="6" t="str">
        <f t="shared" si="220"/>
        <v>Twitter Web App</v>
      </c>
      <c r="L1315" s="15">
        <v>8983</v>
      </c>
      <c r="M1315" s="15">
        <v>4886</v>
      </c>
      <c r="N1315" s="15">
        <v>675</v>
      </c>
      <c r="O1315" s="9"/>
      <c r="P1315" s="10">
        <v>41198.440601851849</v>
      </c>
      <c r="Q1315" s="8"/>
      <c r="R1315" s="14" t="s">
        <v>2838</v>
      </c>
      <c r="S1315" s="8"/>
      <c r="T1315" s="8"/>
      <c r="U1315" s="11" t="str">
        <f>HYPERLINK("https://pbs.twimg.com/profile_images/909317895355863040/ls7cAjxm.jpg","View")</f>
        <v>View</v>
      </c>
      <c r="V1315" s="8"/>
      <c r="W1315" s="8"/>
      <c r="X1315" s="8"/>
      <c r="Y1315" s="8"/>
      <c r="Z1315" s="8"/>
    </row>
    <row r="1316" spans="1:26" ht="13.2">
      <c r="A1316" s="13">
        <v>44250.45694444445</v>
      </c>
      <c r="B1316" s="6" t="str">
        <f>HYPERLINK("https://twitter.com/TechNative","@TechNative")</f>
        <v>@TechNative</v>
      </c>
      <c r="C1316" s="14" t="s">
        <v>866</v>
      </c>
      <c r="D1316" s="14" t="s">
        <v>5652</v>
      </c>
      <c r="E1316" s="6" t="str">
        <f>HYPERLINK("https://twitter.com/TechNative/status/1364152522462683137","1364152522462683137")</f>
        <v>1364152522462683137</v>
      </c>
      <c r="F1316" s="7" t="s">
        <v>5653</v>
      </c>
      <c r="G1316" s="8"/>
      <c r="H1316" s="8"/>
      <c r="I1316" s="14">
        <v>7</v>
      </c>
      <c r="J1316" s="14">
        <v>5</v>
      </c>
      <c r="K1316" s="6" t="str">
        <f>HYPERLINK("https://sproutsocial.com","Sprout Social")</f>
        <v>Sprout Social</v>
      </c>
      <c r="L1316" s="15">
        <v>84850</v>
      </c>
      <c r="M1316" s="15">
        <v>60575</v>
      </c>
      <c r="N1316" s="15">
        <v>2623</v>
      </c>
      <c r="O1316" s="9"/>
      <c r="P1316" s="10">
        <v>42289.695833333331</v>
      </c>
      <c r="Q1316" s="14" t="s">
        <v>869</v>
      </c>
      <c r="R1316" s="14" t="s">
        <v>870</v>
      </c>
      <c r="S1316" s="7" t="s">
        <v>871</v>
      </c>
      <c r="T1316" s="8"/>
      <c r="U1316" s="11" t="str">
        <f>HYPERLINK("https://pbs.twimg.com/profile_images/877265193818103808/uriy-gaK.jpg","View")</f>
        <v>View</v>
      </c>
      <c r="V1316" s="8"/>
      <c r="W1316" s="8"/>
      <c r="X1316" s="8"/>
      <c r="Y1316" s="8"/>
      <c r="Z1316" s="8"/>
    </row>
    <row r="1317" spans="1:26" ht="13.2">
      <c r="A1317" s="13">
        <v>44250.456620370373</v>
      </c>
      <c r="B1317" s="6" t="str">
        <f>HYPERLINK("https://twitter.com/automeme","@automeme")</f>
        <v>@automeme</v>
      </c>
      <c r="C1317" s="14" t="s">
        <v>5618</v>
      </c>
      <c r="D1317" s="14" t="s">
        <v>4808</v>
      </c>
      <c r="E1317" s="6" t="str">
        <f>HYPERLINK("https://twitter.com/automeme/status/1364152403293921282","1364152403293921282")</f>
        <v>1364152403293921282</v>
      </c>
      <c r="F1317" s="7" t="s">
        <v>4809</v>
      </c>
      <c r="G1317" s="8"/>
      <c r="H1317" s="8"/>
      <c r="I1317" s="14">
        <v>29</v>
      </c>
      <c r="J1317" s="14">
        <v>16</v>
      </c>
      <c r="K1317" s="6" t="str">
        <f>HYPERLINK("https://mobile.twitter.com","Twitter Web App")</f>
        <v>Twitter Web App</v>
      </c>
      <c r="L1317" s="15">
        <v>8583</v>
      </c>
      <c r="M1317" s="15">
        <v>1301</v>
      </c>
      <c r="N1317" s="15">
        <v>150</v>
      </c>
      <c r="O1317" s="9"/>
      <c r="P1317" s="10">
        <v>43300.587627314817</v>
      </c>
      <c r="Q1317" s="14" t="s">
        <v>914</v>
      </c>
      <c r="R1317" s="14" t="s">
        <v>5619</v>
      </c>
      <c r="S1317" s="7" t="s">
        <v>5620</v>
      </c>
      <c r="T1317" s="8"/>
      <c r="U1317" s="11" t="str">
        <f>HYPERLINK("https://pbs.twimg.com/profile_images/1083681521876287488/62YGTQqT.jpg","View")</f>
        <v>View</v>
      </c>
      <c r="V1317" s="8"/>
      <c r="W1317" s="8"/>
      <c r="X1317" s="8"/>
      <c r="Y1317" s="8"/>
      <c r="Z1317" s="8"/>
    </row>
    <row r="1318" spans="1:26" ht="13.2">
      <c r="A1318" s="13">
        <v>44250.456331018519</v>
      </c>
      <c r="B1318" s="6" t="str">
        <f>HYPERLINK("https://twitter.com/Necio_news","@Necio_news")</f>
        <v>@Necio_news</v>
      </c>
      <c r="C1318" s="14" t="s">
        <v>4073</v>
      </c>
      <c r="D1318" s="14" t="s">
        <v>5007</v>
      </c>
      <c r="E1318" s="6" t="str">
        <f>HYPERLINK("https://twitter.com/Necio_news/status/1364152300177088512","1364152300177088512")</f>
        <v>1364152300177088512</v>
      </c>
      <c r="F1318" s="7" t="s">
        <v>5698</v>
      </c>
      <c r="G1318" s="8"/>
      <c r="H1318" s="8"/>
      <c r="I1318" s="14">
        <v>0</v>
      </c>
      <c r="J1318" s="14">
        <v>1</v>
      </c>
      <c r="K1318" s="6" t="str">
        <f>HYPERLINK("http://twinybots.com","TwinyBots")</f>
        <v>TwinyBots</v>
      </c>
      <c r="L1318" s="15">
        <v>10032</v>
      </c>
      <c r="M1318" s="15">
        <v>3391</v>
      </c>
      <c r="N1318" s="15">
        <v>1115</v>
      </c>
      <c r="O1318" s="9"/>
      <c r="P1318" s="10">
        <v>42430.515879629631</v>
      </c>
      <c r="Q1318" s="14" t="s">
        <v>4074</v>
      </c>
      <c r="R1318" s="14" t="s">
        <v>4075</v>
      </c>
      <c r="S1318" s="7" t="s">
        <v>4076</v>
      </c>
      <c r="T1318" s="8"/>
      <c r="U1318" s="11" t="str">
        <f>HYPERLINK("https://pbs.twimg.com/profile_images/756504133985767425/ulCoCLvF.jpg","View")</f>
        <v>View</v>
      </c>
      <c r="V1318" s="8"/>
      <c r="W1318" s="8"/>
      <c r="X1318" s="8"/>
      <c r="Y1318" s="8"/>
      <c r="Z1318" s="8"/>
    </row>
    <row r="1319" spans="1:26" ht="13.2">
      <c r="A1319" s="13">
        <v>44250.456030092595</v>
      </c>
      <c r="B1319" s="6" t="str">
        <f>HYPERLINK("https://twitter.com/HarbRimah","@HarbRimah")</f>
        <v>@HarbRimah</v>
      </c>
      <c r="C1319" s="14" t="s">
        <v>2837</v>
      </c>
      <c r="D1319" s="14" t="s">
        <v>5699</v>
      </c>
      <c r="E1319" s="6" t="str">
        <f>HYPERLINK("https://twitter.com/HarbRimah/status/1364152191632760834","1364152191632760834")</f>
        <v>1364152191632760834</v>
      </c>
      <c r="F1319" s="7" t="s">
        <v>3458</v>
      </c>
      <c r="G1319" s="8"/>
      <c r="H1319" s="8"/>
      <c r="I1319" s="14">
        <v>16</v>
      </c>
      <c r="J1319" s="14">
        <v>10</v>
      </c>
      <c r="K1319" s="6" t="str">
        <f t="shared" ref="K1319:K1323" si="221">HYPERLINK("https://mobile.twitter.com","Twitter Web App")</f>
        <v>Twitter Web App</v>
      </c>
      <c r="L1319" s="15">
        <v>8983</v>
      </c>
      <c r="M1319" s="15">
        <v>4886</v>
      </c>
      <c r="N1319" s="15">
        <v>675</v>
      </c>
      <c r="O1319" s="9"/>
      <c r="P1319" s="10">
        <v>41198.440601851849</v>
      </c>
      <c r="Q1319" s="8"/>
      <c r="R1319" s="14" t="s">
        <v>2838</v>
      </c>
      <c r="S1319" s="8"/>
      <c r="T1319" s="8"/>
      <c r="U1319" s="11" t="str">
        <f>HYPERLINK("https://pbs.twimg.com/profile_images/909317895355863040/ls7cAjxm.jpg","View")</f>
        <v>View</v>
      </c>
      <c r="V1319" s="8"/>
      <c r="W1319" s="8"/>
      <c r="X1319" s="8"/>
      <c r="Y1319" s="8"/>
      <c r="Z1319" s="8"/>
    </row>
    <row r="1320" spans="1:26" ht="13.2">
      <c r="A1320" s="13">
        <v>44250.455937499995</v>
      </c>
      <c r="B1320" s="6" t="str">
        <f>HYPERLINK("https://twitter.com/Mindbreeze","@Mindbreeze")</f>
        <v>@Mindbreeze</v>
      </c>
      <c r="C1320" s="14" t="s">
        <v>5700</v>
      </c>
      <c r="D1320" s="14" t="s">
        <v>5701</v>
      </c>
      <c r="E1320" s="6" t="str">
        <f>HYPERLINK("https://twitter.com/Mindbreeze/status/1364152155146436608","1364152155146436608")</f>
        <v>1364152155146436608</v>
      </c>
      <c r="F1320" s="7" t="s">
        <v>5702</v>
      </c>
      <c r="G1320" s="8"/>
      <c r="H1320" s="8"/>
      <c r="I1320" s="14">
        <v>1</v>
      </c>
      <c r="J1320" s="14">
        <v>3</v>
      </c>
      <c r="K1320" s="6" t="str">
        <f t="shared" si="221"/>
        <v>Twitter Web App</v>
      </c>
      <c r="L1320" s="15">
        <v>454</v>
      </c>
      <c r="M1320" s="15">
        <v>331</v>
      </c>
      <c r="N1320" s="15">
        <v>46</v>
      </c>
      <c r="O1320" s="9"/>
      <c r="P1320" s="10">
        <v>40221.516689814816</v>
      </c>
      <c r="Q1320" s="14" t="s">
        <v>5703</v>
      </c>
      <c r="R1320" s="14" t="s">
        <v>5704</v>
      </c>
      <c r="S1320" s="7" t="s">
        <v>5705</v>
      </c>
      <c r="T1320" s="8"/>
      <c r="U1320" s="11" t="str">
        <f>HYPERLINK("https://pbs.twimg.com/profile_images/3690261843/da953afe91406e7f57f8ff7adc3d26fa.png","View")</f>
        <v>View</v>
      </c>
      <c r="V1320" s="8"/>
      <c r="W1320" s="8"/>
      <c r="X1320" s="8"/>
      <c r="Y1320" s="8"/>
      <c r="Z1320" s="8"/>
    </row>
    <row r="1321" spans="1:26" ht="13.2">
      <c r="A1321" s="13">
        <v>44250.455925925926</v>
      </c>
      <c r="B1321" s="6" t="str">
        <f>HYPERLINK("https://twitter.com/rasangarocks","@rasangarocks")</f>
        <v>@rasangarocks</v>
      </c>
      <c r="C1321" s="14" t="s">
        <v>5437</v>
      </c>
      <c r="D1321" s="14" t="s">
        <v>5706</v>
      </c>
      <c r="E1321" s="6" t="str">
        <f>HYPERLINK("https://twitter.com/rasangarocks/status/1364152150280925185","1364152150280925185")</f>
        <v>1364152150280925185</v>
      </c>
      <c r="F1321" s="7" t="s">
        <v>5707</v>
      </c>
      <c r="G1321" s="8"/>
      <c r="H1321" s="8"/>
      <c r="I1321" s="14">
        <v>9</v>
      </c>
      <c r="J1321" s="14">
        <v>2</v>
      </c>
      <c r="K1321" s="6" t="str">
        <f t="shared" si="221"/>
        <v>Twitter Web App</v>
      </c>
      <c r="L1321" s="15">
        <v>50654</v>
      </c>
      <c r="M1321" s="15">
        <v>49987</v>
      </c>
      <c r="N1321" s="15">
        <v>624</v>
      </c>
      <c r="O1321" s="9"/>
      <c r="P1321" s="10">
        <v>42071.75949074074</v>
      </c>
      <c r="Q1321" s="8"/>
      <c r="R1321" s="14" t="s">
        <v>5440</v>
      </c>
      <c r="S1321" s="7" t="s">
        <v>5441</v>
      </c>
      <c r="T1321" s="8"/>
      <c r="U1321" s="11" t="str">
        <f>HYPERLINK("https://pbs.twimg.com/profile_images/771872242300956672/j1H-OInO.jpg","View")</f>
        <v>View</v>
      </c>
      <c r="V1321" s="8"/>
      <c r="W1321" s="8"/>
      <c r="X1321" s="8"/>
      <c r="Y1321" s="8"/>
      <c r="Z1321" s="8"/>
    </row>
    <row r="1322" spans="1:26" ht="13.2">
      <c r="A1322" s="13">
        <v>44250.455706018518</v>
      </c>
      <c r="B1322" s="6" t="str">
        <f>HYPERLINK("https://twitter.com/Pangaea_X_","@Pangaea_X_")</f>
        <v>@Pangaea_X_</v>
      </c>
      <c r="C1322" s="14" t="s">
        <v>5708</v>
      </c>
      <c r="D1322" s="14" t="s">
        <v>5709</v>
      </c>
      <c r="E1322" s="6" t="str">
        <f>HYPERLINK("https://twitter.com/Pangaea_X_/status/1364152072204148737","1364152072204148737")</f>
        <v>1364152072204148737</v>
      </c>
      <c r="F1322" s="7" t="s">
        <v>5710</v>
      </c>
      <c r="G1322" s="7" t="s">
        <v>5711</v>
      </c>
      <c r="H1322" s="8"/>
      <c r="I1322" s="14">
        <v>3</v>
      </c>
      <c r="J1322" s="14">
        <v>3</v>
      </c>
      <c r="K1322" s="6" t="str">
        <f t="shared" si="221"/>
        <v>Twitter Web App</v>
      </c>
      <c r="L1322" s="15">
        <v>12</v>
      </c>
      <c r="M1322" s="15">
        <v>1</v>
      </c>
      <c r="N1322" s="15">
        <v>0</v>
      </c>
      <c r="O1322" s="9"/>
      <c r="P1322" s="10">
        <v>44084.455497685187</v>
      </c>
      <c r="Q1322" s="14" t="s">
        <v>5572</v>
      </c>
      <c r="R1322" s="14" t="s">
        <v>5712</v>
      </c>
      <c r="S1322" s="7" t="s">
        <v>5713</v>
      </c>
      <c r="T1322" s="8"/>
      <c r="U1322" s="11" t="str">
        <f>HYPERLINK("https://pbs.twimg.com/profile_images/1305431111791783936/h_F1G2xz.jpg","View")</f>
        <v>View</v>
      </c>
      <c r="V1322" s="8"/>
      <c r="W1322" s="8"/>
      <c r="X1322" s="8"/>
      <c r="Y1322" s="8"/>
      <c r="Z1322" s="8"/>
    </row>
    <row r="1323" spans="1:26" ht="13.2">
      <c r="A1323" s="13">
        <v>44250.455057870371</v>
      </c>
      <c r="B1323" s="6" t="str">
        <f>HYPERLINK("https://twitter.com/dzakarya","@dzakarya")</f>
        <v>@dzakarya</v>
      </c>
      <c r="C1323" s="14" t="s">
        <v>5714</v>
      </c>
      <c r="D1323" s="14" t="s">
        <v>5715</v>
      </c>
      <c r="E1323" s="6" t="str">
        <f>HYPERLINK("https://twitter.com/dzakarya/status/1364151839520821248","1364151839520821248")</f>
        <v>1364151839520821248</v>
      </c>
      <c r="F1323" s="7" t="s">
        <v>5716</v>
      </c>
      <c r="G1323" s="7" t="s">
        <v>5717</v>
      </c>
      <c r="H1323" s="8"/>
      <c r="I1323" s="14">
        <v>0</v>
      </c>
      <c r="J1323" s="14">
        <v>3</v>
      </c>
      <c r="K1323" s="6" t="str">
        <f t="shared" si="221"/>
        <v>Twitter Web App</v>
      </c>
      <c r="L1323" s="15">
        <v>202</v>
      </c>
      <c r="M1323" s="15">
        <v>214</v>
      </c>
      <c r="N1323" s="15">
        <v>0</v>
      </c>
      <c r="O1323" s="9"/>
      <c r="P1323" s="10">
        <v>40189.102766203701</v>
      </c>
      <c r="Q1323" s="14" t="s">
        <v>5718</v>
      </c>
      <c r="R1323" s="14" t="s">
        <v>5719</v>
      </c>
      <c r="S1323" s="7" t="s">
        <v>5720</v>
      </c>
      <c r="T1323" s="8"/>
      <c r="U1323" s="11" t="str">
        <f>HYPERLINK("https://pbs.twimg.com/profile_images/1331070256081559560/RP-HeXVi.jpg","View")</f>
        <v>View</v>
      </c>
      <c r="V1323" s="8"/>
      <c r="W1323" s="8"/>
      <c r="X1323" s="8"/>
      <c r="Y1323" s="8"/>
      <c r="Z1323" s="8"/>
    </row>
    <row r="1324" spans="1:26" ht="13.2">
      <c r="A1324" s="13">
        <v>44250.454884259263</v>
      </c>
      <c r="B1324" s="6" t="str">
        <f>HYPERLINK("https://twitter.com/SwissCognitive","@SwissCognitive")</f>
        <v>@SwissCognitive</v>
      </c>
      <c r="C1324" s="14" t="s">
        <v>2420</v>
      </c>
      <c r="D1324" s="14" t="s">
        <v>5721</v>
      </c>
      <c r="E1324" s="6" t="str">
        <f>HYPERLINK("https://twitter.com/SwissCognitive/status/1364151773569683459","1364151773569683459")</f>
        <v>1364151773569683459</v>
      </c>
      <c r="F1324" s="7" t="s">
        <v>5722</v>
      </c>
      <c r="G1324" s="8"/>
      <c r="H1324" s="8"/>
      <c r="I1324" s="14">
        <v>3</v>
      </c>
      <c r="J1324" s="14">
        <v>1</v>
      </c>
      <c r="K1324" s="6" t="str">
        <f>HYPERLINK("https://www.hootsuite.com","Hootsuite Inc.")</f>
        <v>Hootsuite Inc.</v>
      </c>
      <c r="L1324" s="15">
        <v>137757</v>
      </c>
      <c r="M1324" s="15">
        <v>68339</v>
      </c>
      <c r="N1324" s="15">
        <v>1365</v>
      </c>
      <c r="O1324" s="9"/>
      <c r="P1324" s="10">
        <v>42715.910520833335</v>
      </c>
      <c r="Q1324" s="14" t="s">
        <v>2424</v>
      </c>
      <c r="R1324" s="14" t="s">
        <v>2425</v>
      </c>
      <c r="S1324" s="7" t="s">
        <v>2426</v>
      </c>
      <c r="T1324" s="8"/>
      <c r="U1324" s="11" t="str">
        <f>HYPERLINK("https://pbs.twimg.com/profile_images/808057095035752448/7gjlLmVA.jpg","View")</f>
        <v>View</v>
      </c>
      <c r="V1324" s="8"/>
      <c r="W1324" s="8"/>
      <c r="X1324" s="8"/>
      <c r="Y1324" s="8"/>
      <c r="Z1324" s="8"/>
    </row>
    <row r="1325" spans="1:26" ht="13.2">
      <c r="A1325" s="13">
        <v>44250.454537037032</v>
      </c>
      <c r="B1325" s="6" t="str">
        <f>HYPERLINK("https://twitter.com/HarbRimah","@HarbRimah")</f>
        <v>@HarbRimah</v>
      </c>
      <c r="C1325" s="14" t="s">
        <v>2837</v>
      </c>
      <c r="D1325" s="14" t="s">
        <v>5723</v>
      </c>
      <c r="E1325" s="6" t="str">
        <f>HYPERLINK("https://twitter.com/HarbRimah/status/1364151647547629569","1364151647547629569")</f>
        <v>1364151647547629569</v>
      </c>
      <c r="F1325" s="7" t="s">
        <v>5724</v>
      </c>
      <c r="G1325" s="8"/>
      <c r="H1325" s="8"/>
      <c r="I1325" s="14">
        <v>7</v>
      </c>
      <c r="J1325" s="14">
        <v>2</v>
      </c>
      <c r="K1325" s="6" t="str">
        <f t="shared" ref="K1325:K1326" si="222">HYPERLINK("https://mobile.twitter.com","Twitter Web App")</f>
        <v>Twitter Web App</v>
      </c>
      <c r="L1325" s="15">
        <v>8983</v>
      </c>
      <c r="M1325" s="15">
        <v>4886</v>
      </c>
      <c r="N1325" s="15">
        <v>675</v>
      </c>
      <c r="O1325" s="9"/>
      <c r="P1325" s="10">
        <v>41198.440601851849</v>
      </c>
      <c r="Q1325" s="8"/>
      <c r="R1325" s="14" t="s">
        <v>2838</v>
      </c>
      <c r="S1325" s="8"/>
      <c r="T1325" s="8"/>
      <c r="U1325" s="11" t="str">
        <f>HYPERLINK("https://pbs.twimg.com/profile_images/909317895355863040/ls7cAjxm.jpg","View")</f>
        <v>View</v>
      </c>
      <c r="V1325" s="8"/>
      <c r="W1325" s="8"/>
      <c r="X1325" s="8"/>
      <c r="Y1325" s="8"/>
      <c r="Z1325" s="8"/>
    </row>
    <row r="1326" spans="1:26" ht="13.2">
      <c r="A1326" s="13">
        <v>44250.454236111109</v>
      </c>
      <c r="B1326" s="6" t="str">
        <f>HYPERLINK("https://twitter.com/ProgrammingHero","@ProgrammingHero")</f>
        <v>@ProgrammingHero</v>
      </c>
      <c r="C1326" s="14" t="s">
        <v>5725</v>
      </c>
      <c r="D1326" s="14" t="s">
        <v>5726</v>
      </c>
      <c r="E1326" s="6" t="str">
        <f>HYPERLINK("https://twitter.com/ProgrammingHero/status/1364151542035537930","1364151542035537930")</f>
        <v>1364151542035537930</v>
      </c>
      <c r="F1326" s="8"/>
      <c r="G1326" s="7" t="s">
        <v>5727</v>
      </c>
      <c r="H1326" s="8"/>
      <c r="I1326" s="14">
        <v>7</v>
      </c>
      <c r="J1326" s="14">
        <v>7</v>
      </c>
      <c r="K1326" s="6" t="str">
        <f t="shared" si="222"/>
        <v>Twitter Web App</v>
      </c>
      <c r="L1326" s="15">
        <v>504</v>
      </c>
      <c r="M1326" s="15">
        <v>57</v>
      </c>
      <c r="N1326" s="15">
        <v>4</v>
      </c>
      <c r="O1326" s="9"/>
      <c r="P1326" s="10">
        <v>43948.936331018514</v>
      </c>
      <c r="Q1326" s="8"/>
      <c r="R1326" s="14" t="s">
        <v>5728</v>
      </c>
      <c r="S1326" s="7" t="s">
        <v>1223</v>
      </c>
      <c r="T1326" s="8"/>
      <c r="U1326" s="11" t="str">
        <f>HYPERLINK("https://pbs.twimg.com/profile_images/1342876680579211264/Deu16VBY.jpg","View")</f>
        <v>View</v>
      </c>
      <c r="V1326" s="8"/>
      <c r="W1326" s="8"/>
      <c r="X1326" s="8"/>
      <c r="Y1326" s="8"/>
      <c r="Z1326" s="8"/>
    </row>
    <row r="1327" spans="1:26" ht="13.2">
      <c r="A1327" s="13">
        <v>44250.453634259262</v>
      </c>
      <c r="B1327" s="6" t="str">
        <f>HYPERLINK("https://twitter.com/IainLJBrown","@IainLJBrown")</f>
        <v>@IainLJBrown</v>
      </c>
      <c r="C1327" s="14" t="s">
        <v>2776</v>
      </c>
      <c r="D1327" s="14" t="s">
        <v>5729</v>
      </c>
      <c r="E1327" s="6" t="str">
        <f>HYPERLINK("https://twitter.com/IainLJBrown/status/1364151320249307137","1364151320249307137")</f>
        <v>1364151320249307137</v>
      </c>
      <c r="F1327" s="7" t="s">
        <v>5730</v>
      </c>
      <c r="G1327" s="8"/>
      <c r="H1327" s="8"/>
      <c r="I1327" s="14">
        <v>20</v>
      </c>
      <c r="J1327" s="14">
        <v>12</v>
      </c>
      <c r="K1327" s="6" t="str">
        <f>HYPERLINK("https://ifttt.com","IFTTT")</f>
        <v>IFTTT</v>
      </c>
      <c r="L1327" s="15">
        <v>115543</v>
      </c>
      <c r="M1327" s="15">
        <v>98727</v>
      </c>
      <c r="N1327" s="15">
        <v>423</v>
      </c>
      <c r="O1327" s="9"/>
      <c r="P1327" s="10">
        <v>40926.673900462964</v>
      </c>
      <c r="Q1327" s="14" t="s">
        <v>753</v>
      </c>
      <c r="R1327" s="14" t="s">
        <v>2779</v>
      </c>
      <c r="S1327" s="7" t="s">
        <v>2780</v>
      </c>
      <c r="T1327" s="8"/>
      <c r="U1327" s="11" t="str">
        <f>HYPERLINK("https://pbs.twimg.com/profile_images/1352606177352364032/jQ7AI0vG.jpg","View")</f>
        <v>View</v>
      </c>
      <c r="V1327" s="8"/>
      <c r="W1327" s="8"/>
      <c r="X1327" s="8"/>
      <c r="Y1327" s="8"/>
      <c r="Z1327" s="8"/>
    </row>
    <row r="1328" spans="1:26" ht="13.2">
      <c r="A1328" s="13">
        <v>44250.453611111108</v>
      </c>
      <c r="B1328" s="6" t="str">
        <f>HYPERLINK("https://twitter.com/HarbRimah","@HarbRimah")</f>
        <v>@HarbRimah</v>
      </c>
      <c r="C1328" s="14" t="s">
        <v>2837</v>
      </c>
      <c r="D1328" s="14" t="s">
        <v>4808</v>
      </c>
      <c r="E1328" s="6" t="str">
        <f>HYPERLINK("https://twitter.com/HarbRimah/status/1364151313756487682","1364151313756487682")</f>
        <v>1364151313756487682</v>
      </c>
      <c r="F1328" s="7" t="s">
        <v>2603</v>
      </c>
      <c r="G1328" s="8"/>
      <c r="H1328" s="8"/>
      <c r="I1328" s="14">
        <v>18</v>
      </c>
      <c r="J1328" s="14">
        <v>11</v>
      </c>
      <c r="K1328" s="6" t="str">
        <f>HYPERLINK("https://mobile.twitter.com","Twitter Web App")</f>
        <v>Twitter Web App</v>
      </c>
      <c r="L1328" s="15">
        <v>8983</v>
      </c>
      <c r="M1328" s="15">
        <v>4886</v>
      </c>
      <c r="N1328" s="15">
        <v>675</v>
      </c>
      <c r="O1328" s="9"/>
      <c r="P1328" s="10">
        <v>41198.440601851849</v>
      </c>
      <c r="Q1328" s="8"/>
      <c r="R1328" s="14" t="s">
        <v>2838</v>
      </c>
      <c r="S1328" s="8"/>
      <c r="T1328" s="8"/>
      <c r="U1328" s="11" t="str">
        <f>HYPERLINK("https://pbs.twimg.com/profile_images/909317895355863040/ls7cAjxm.jpg","View")</f>
        <v>View</v>
      </c>
      <c r="V1328" s="8"/>
      <c r="W1328" s="8"/>
      <c r="X1328" s="8"/>
      <c r="Y1328" s="8"/>
      <c r="Z1328" s="8"/>
    </row>
    <row r="1329" spans="1:26" ht="13.2">
      <c r="A1329" s="13">
        <v>44250.453587962962</v>
      </c>
      <c r="B1329" s="6" t="str">
        <f>HYPERLINK("https://twitter.com/SalomonOli","@SalomonOli")</f>
        <v>@SalomonOli</v>
      </c>
      <c r="C1329" s="14" t="s">
        <v>5731</v>
      </c>
      <c r="D1329" s="14" t="s">
        <v>5313</v>
      </c>
      <c r="E1329" s="6" t="str">
        <f>HYPERLINK("https://twitter.com/SalomonOli/status/1364151303824433152","1364151303824433152")</f>
        <v>1364151303824433152</v>
      </c>
      <c r="F1329" s="14" t="s">
        <v>5314</v>
      </c>
      <c r="G1329" s="8"/>
      <c r="H1329" s="8"/>
      <c r="I1329" s="14">
        <v>0</v>
      </c>
      <c r="J1329" s="14">
        <v>0</v>
      </c>
      <c r="K1329" s="6" t="str">
        <f t="shared" ref="K1329:K1330" si="223">HYPERLINK("http://twinybots.com","TwinyBots")</f>
        <v>TwinyBots</v>
      </c>
      <c r="L1329" s="15">
        <v>3207</v>
      </c>
      <c r="M1329" s="15">
        <v>2673</v>
      </c>
      <c r="N1329" s="15">
        <v>242</v>
      </c>
      <c r="O1329" s="9"/>
      <c r="P1329" s="10">
        <v>42449.350486111114</v>
      </c>
      <c r="Q1329" s="14" t="s">
        <v>5732</v>
      </c>
      <c r="R1329" s="14" t="s">
        <v>5733</v>
      </c>
      <c r="S1329" s="7" t="s">
        <v>5734</v>
      </c>
      <c r="T1329" s="8"/>
      <c r="U1329" s="11" t="str">
        <f>HYPERLINK("https://pbs.twimg.com/profile_images/1245323945924087808/p3xtOUw4.jpg","View")</f>
        <v>View</v>
      </c>
      <c r="V1329" s="8"/>
      <c r="W1329" s="8"/>
      <c r="X1329" s="8"/>
      <c r="Y1329" s="8"/>
      <c r="Z1329" s="8"/>
    </row>
    <row r="1330" spans="1:26" ht="13.2">
      <c r="A1330" s="13">
        <v>44250.453553240739</v>
      </c>
      <c r="B1330" s="6" t="str">
        <f>HYPERLINK("https://twitter.com/ilceruttino","@ilceruttino")</f>
        <v>@ilceruttino</v>
      </c>
      <c r="C1330" s="14" t="s">
        <v>5735</v>
      </c>
      <c r="D1330" s="14" t="s">
        <v>5736</v>
      </c>
      <c r="E1330" s="6" t="str">
        <f>HYPERLINK("https://twitter.com/ilceruttino/status/1364151291526717442","1364151291526717442")</f>
        <v>1364151291526717442</v>
      </c>
      <c r="F1330" s="7" t="s">
        <v>5698</v>
      </c>
      <c r="G1330" s="8"/>
      <c r="H1330" s="8"/>
      <c r="I1330" s="14">
        <v>0</v>
      </c>
      <c r="J1330" s="14">
        <v>1</v>
      </c>
      <c r="K1330" s="6" t="str">
        <f t="shared" si="223"/>
        <v>TwinyBots</v>
      </c>
      <c r="L1330" s="15">
        <v>2452</v>
      </c>
      <c r="M1330" s="15">
        <v>3982</v>
      </c>
      <c r="N1330" s="15">
        <v>65</v>
      </c>
      <c r="O1330" s="9"/>
      <c r="P1330" s="10">
        <v>40010.475960648146</v>
      </c>
      <c r="Q1330" s="14" t="s">
        <v>5737</v>
      </c>
      <c r="R1330" s="14" t="s">
        <v>5738</v>
      </c>
      <c r="S1330" s="8"/>
      <c r="T1330" s="8"/>
      <c r="U1330" s="11" t="str">
        <f>HYPERLINK("https://pbs.twimg.com/profile_images/1325581745299853314/S-f9TACm.jpg","View")</f>
        <v>View</v>
      </c>
      <c r="V1330" s="8"/>
      <c r="W1330" s="8"/>
      <c r="X1330" s="8"/>
      <c r="Y1330" s="8"/>
      <c r="Z1330" s="8"/>
    </row>
    <row r="1331" spans="1:26" ht="13.2">
      <c r="A1331" s="13">
        <v>44250.453530092593</v>
      </c>
      <c r="B1331" s="6" t="str">
        <f>HYPERLINK("https://twitter.com/FraunhoferHHI","@FraunhoferHHI")</f>
        <v>@FraunhoferHHI</v>
      </c>
      <c r="C1331" s="14" t="s">
        <v>5739</v>
      </c>
      <c r="D1331" s="14" t="s">
        <v>5740</v>
      </c>
      <c r="E1331" s="6" t="str">
        <f>HYPERLINK("https://twitter.com/FraunhoferHHI/status/1364151284887130114","1364151284887130114")</f>
        <v>1364151284887130114</v>
      </c>
      <c r="F1331" s="7" t="s">
        <v>5741</v>
      </c>
      <c r="G1331" s="7" t="s">
        <v>5742</v>
      </c>
      <c r="H1331" s="8"/>
      <c r="I1331" s="14">
        <v>3</v>
      </c>
      <c r="J1331" s="14">
        <v>16</v>
      </c>
      <c r="K1331" s="6" t="str">
        <f>HYPERLINK("https://mobile.twitter.com","Twitter Web App")</f>
        <v>Twitter Web App</v>
      </c>
      <c r="L1331" s="15">
        <v>2048</v>
      </c>
      <c r="M1331" s="15">
        <v>618</v>
      </c>
      <c r="N1331" s="15">
        <v>86</v>
      </c>
      <c r="O1331" s="9"/>
      <c r="P1331" s="10">
        <v>40715.623229166667</v>
      </c>
      <c r="Q1331" s="14" t="s">
        <v>4490</v>
      </c>
      <c r="R1331" s="14" t="s">
        <v>5743</v>
      </c>
      <c r="S1331" s="7" t="s">
        <v>5744</v>
      </c>
      <c r="T1331" s="8"/>
      <c r="U1331" s="11" t="str">
        <f>HYPERLINK("https://pbs.twimg.com/profile_images/1113428424536805376/ryA8tAg-.png","View")</f>
        <v>View</v>
      </c>
      <c r="V1331" s="8"/>
      <c r="W1331" s="8"/>
      <c r="X1331" s="8"/>
      <c r="Y1331" s="8"/>
      <c r="Z1331" s="8"/>
    </row>
    <row r="1332" spans="1:26" ht="13.2">
      <c r="A1332" s="13">
        <v>44250.45311342593</v>
      </c>
      <c r="B1332" s="6" t="str">
        <f>HYPERLINK("https://twitter.com/slashML","@slashML")</f>
        <v>@slashML</v>
      </c>
      <c r="C1332" s="14" t="s">
        <v>779</v>
      </c>
      <c r="D1332" s="14" t="s">
        <v>5745</v>
      </c>
      <c r="E1332" s="6" t="str">
        <f>HYPERLINK("https://twitter.com/slashML/status/1364151132465995779","1364151132465995779")</f>
        <v>1364151132465995779</v>
      </c>
      <c r="F1332" s="7" t="s">
        <v>4655</v>
      </c>
      <c r="G1332" s="8"/>
      <c r="H1332" s="8"/>
      <c r="I1332" s="14">
        <v>2</v>
      </c>
      <c r="J1332" s="14">
        <v>5</v>
      </c>
      <c r="K1332" s="6" t="str">
        <f>HYPERLINK("https://www.reddit.com/r/MachineLearning/","From /r/MachineLearning")</f>
        <v>From /r/MachineLearning</v>
      </c>
      <c r="L1332" s="15">
        <v>44297</v>
      </c>
      <c r="M1332" s="15">
        <v>1</v>
      </c>
      <c r="N1332" s="15">
        <v>600</v>
      </c>
      <c r="O1332" s="9"/>
      <c r="P1332" s="10">
        <v>42710.818564814814</v>
      </c>
      <c r="Q1332" s="8"/>
      <c r="R1332" s="14" t="s">
        <v>782</v>
      </c>
      <c r="S1332" s="8"/>
      <c r="T1332" s="8"/>
      <c r="U1332" s="11" t="str">
        <f>HYPERLINK("https://pbs.twimg.com/profile_images/806213385545273344/s7sE4E8a.jpg","View")</f>
        <v>View</v>
      </c>
      <c r="V1332" s="8"/>
      <c r="W1332" s="8"/>
      <c r="X1332" s="8"/>
      <c r="Y1332" s="8"/>
      <c r="Z1332" s="8"/>
    </row>
    <row r="1333" spans="1:26" ht="13.2">
      <c r="A1333" s="13">
        <v>44250.452789351853</v>
      </c>
      <c r="B1333" s="6" t="str">
        <f>HYPERLINK("https://twitter.com/BristowColin","@BristowColin")</f>
        <v>@BristowColin</v>
      </c>
      <c r="C1333" s="14" t="s">
        <v>596</v>
      </c>
      <c r="D1333" s="14" t="s">
        <v>5746</v>
      </c>
      <c r="E1333" s="6" t="str">
        <f>HYPERLINK("https://twitter.com/BristowColin/status/1364151016409559041","1364151016409559041")</f>
        <v>1364151016409559041</v>
      </c>
      <c r="F1333" s="7" t="s">
        <v>5747</v>
      </c>
      <c r="G1333" s="8"/>
      <c r="H1333" s="8"/>
      <c r="I1333" s="14">
        <v>8</v>
      </c>
      <c r="J1333" s="14">
        <v>2</v>
      </c>
      <c r="K1333" s="6" t="str">
        <f>HYPERLINK("http://dynamicsignal.com/","Dynamic Signal")</f>
        <v>Dynamic Signal</v>
      </c>
      <c r="L1333" s="15">
        <v>12149</v>
      </c>
      <c r="M1333" s="15">
        <v>9707</v>
      </c>
      <c r="N1333" s="15">
        <v>155</v>
      </c>
      <c r="O1333" s="9"/>
      <c r="P1333" s="10">
        <v>40900.478090277778</v>
      </c>
      <c r="Q1333" s="14" t="s">
        <v>599</v>
      </c>
      <c r="R1333" s="14" t="s">
        <v>600</v>
      </c>
      <c r="S1333" s="7" t="s">
        <v>601</v>
      </c>
      <c r="T1333" s="8"/>
      <c r="U1333" s="11" t="str">
        <f>HYPERLINK("https://pbs.twimg.com/profile_images/692994884270198784/jQX64C1s.jpg","View")</f>
        <v>View</v>
      </c>
      <c r="V1333" s="8"/>
      <c r="W1333" s="8"/>
      <c r="X1333" s="8"/>
      <c r="Y1333" s="8"/>
      <c r="Z1333" s="8"/>
    </row>
    <row r="1334" spans="1:26" ht="13.2">
      <c r="A1334" s="13">
        <v>44250.452453703707</v>
      </c>
      <c r="B1334" s="6" t="str">
        <f>HYPERLINK("https://twitter.com/HarbRimah","@HarbRimah")</f>
        <v>@HarbRimah</v>
      </c>
      <c r="C1334" s="14" t="s">
        <v>2837</v>
      </c>
      <c r="D1334" s="14" t="s">
        <v>5748</v>
      </c>
      <c r="E1334" s="6" t="str">
        <f>HYPERLINK("https://twitter.com/HarbRimah/status/1364150894338727944","1364150894338727944")</f>
        <v>1364150894338727944</v>
      </c>
      <c r="F1334" s="7" t="s">
        <v>5749</v>
      </c>
      <c r="G1334" s="8"/>
      <c r="H1334" s="8"/>
      <c r="I1334" s="14">
        <v>12</v>
      </c>
      <c r="J1334" s="14">
        <v>3</v>
      </c>
      <c r="K1334" s="6" t="str">
        <f>HYPERLINK("https://mobile.twitter.com","Twitter Web App")</f>
        <v>Twitter Web App</v>
      </c>
      <c r="L1334" s="15">
        <v>8983</v>
      </c>
      <c r="M1334" s="15">
        <v>4886</v>
      </c>
      <c r="N1334" s="15">
        <v>675</v>
      </c>
      <c r="O1334" s="9"/>
      <c r="P1334" s="10">
        <v>41198.440601851849</v>
      </c>
      <c r="Q1334" s="8"/>
      <c r="R1334" s="14" t="s">
        <v>2838</v>
      </c>
      <c r="S1334" s="8"/>
      <c r="T1334" s="8"/>
      <c r="U1334" s="11" t="str">
        <f>HYPERLINK("https://pbs.twimg.com/profile_images/909317895355863040/ls7cAjxm.jpg","View")</f>
        <v>View</v>
      </c>
      <c r="V1334" s="8"/>
      <c r="W1334" s="8"/>
      <c r="X1334" s="8"/>
      <c r="Y1334" s="8"/>
      <c r="Z1334" s="8"/>
    </row>
    <row r="1335" spans="1:26" ht="13.2">
      <c r="A1335" s="13">
        <v>44250.45244212963</v>
      </c>
      <c r="B1335" s="6" t="str">
        <f>HYPERLINK("https://twitter.com/guidaautonoma","@guidaautonoma")</f>
        <v>@guidaautonoma</v>
      </c>
      <c r="C1335" s="14" t="s">
        <v>2203</v>
      </c>
      <c r="D1335" s="14" t="s">
        <v>5750</v>
      </c>
      <c r="E1335" s="6" t="str">
        <f>HYPERLINK("https://twitter.com/guidaautonoma/status/1364150889066430466","1364150889066430466")</f>
        <v>1364150889066430466</v>
      </c>
      <c r="F1335" s="7" t="s">
        <v>5751</v>
      </c>
      <c r="G1335" s="8"/>
      <c r="H1335" s="8"/>
      <c r="I1335" s="14">
        <v>0</v>
      </c>
      <c r="J1335" s="14">
        <v>0</v>
      </c>
      <c r="K1335" s="6" t="str">
        <f>HYPERLINK("http://twitter.com/download/android","Twitter for Android")</f>
        <v>Twitter for Android</v>
      </c>
      <c r="L1335" s="15">
        <v>7074</v>
      </c>
      <c r="M1335" s="15">
        <v>6991</v>
      </c>
      <c r="N1335" s="15">
        <v>411</v>
      </c>
      <c r="O1335" s="9"/>
      <c r="P1335" s="10">
        <v>42496.270833333328</v>
      </c>
      <c r="Q1335" s="14" t="s">
        <v>2207</v>
      </c>
      <c r="R1335" s="14" t="s">
        <v>2208</v>
      </c>
      <c r="S1335" s="7" t="s">
        <v>2209</v>
      </c>
      <c r="T1335" s="8"/>
      <c r="U1335" s="11" t="str">
        <f>HYPERLINK("https://pbs.twimg.com/profile_images/728675456971583488/AVbaFxlK.jpg","View")</f>
        <v>View</v>
      </c>
      <c r="V1335" s="8"/>
      <c r="W1335" s="8"/>
      <c r="X1335" s="8"/>
      <c r="Y1335" s="8"/>
      <c r="Z1335" s="8"/>
    </row>
    <row r="1336" spans="1:26" ht="13.2">
      <c r="A1336" s="13">
        <v>44250.452407407407</v>
      </c>
      <c r="B1336" s="6" t="str">
        <f>HYPERLINK("https://twitter.com/PrintableEtsy","@PrintableEtsy")</f>
        <v>@PrintableEtsy</v>
      </c>
      <c r="C1336" s="14" t="s">
        <v>5752</v>
      </c>
      <c r="D1336" s="14" t="s">
        <v>5753</v>
      </c>
      <c r="E1336" s="6" t="str">
        <f>HYPERLINK("https://twitter.com/PrintableEtsy/status/1364150876206735360","1364150876206735360")</f>
        <v>1364150876206735360</v>
      </c>
      <c r="F1336" s="14" t="s">
        <v>2482</v>
      </c>
      <c r="G1336" s="8"/>
      <c r="H1336" s="8"/>
      <c r="I1336" s="14">
        <v>0</v>
      </c>
      <c r="J1336" s="14">
        <v>0</v>
      </c>
      <c r="K1336" s="6" t="str">
        <f>HYPERLINK("http://twinybots.com","TwinyBots")</f>
        <v>TwinyBots</v>
      </c>
      <c r="L1336" s="15">
        <v>302</v>
      </c>
      <c r="M1336" s="15">
        <v>705</v>
      </c>
      <c r="N1336" s="15">
        <v>7</v>
      </c>
      <c r="O1336" s="9"/>
      <c r="P1336" s="10">
        <v>43319.598854166667</v>
      </c>
      <c r="Q1336" s="14" t="s">
        <v>5754</v>
      </c>
      <c r="R1336" s="14" t="s">
        <v>5755</v>
      </c>
      <c r="S1336" s="7" t="s">
        <v>5756</v>
      </c>
      <c r="T1336" s="8"/>
      <c r="U1336" s="11" t="str">
        <f>HYPERLINK("https://pbs.twimg.com/profile_images/1329742869914136582/sVdyU9dn.jpg","View")</f>
        <v>View</v>
      </c>
      <c r="V1336" s="8"/>
      <c r="W1336" s="8"/>
      <c r="X1336" s="8"/>
      <c r="Y1336" s="8"/>
      <c r="Z1336" s="8"/>
    </row>
    <row r="1337" spans="1:26" ht="13.2">
      <c r="A1337" s="13">
        <v>44250.452233796299</v>
      </c>
      <c r="B1337" s="6" t="str">
        <f>HYPERLINK("https://twitter.com/lyrium_global","@lyrium_global")</f>
        <v>@lyrium_global</v>
      </c>
      <c r="C1337" s="14" t="s">
        <v>5757</v>
      </c>
      <c r="D1337" s="14" t="s">
        <v>5758</v>
      </c>
      <c r="E1337" s="6" t="str">
        <f>HYPERLINK("https://twitter.com/lyrium_global/status/1364150815426977794","1364150815426977794")</f>
        <v>1364150815426977794</v>
      </c>
      <c r="F1337" s="7" t="s">
        <v>5759</v>
      </c>
      <c r="G1337" s="8"/>
      <c r="H1337" s="8"/>
      <c r="I1337" s="14">
        <v>0</v>
      </c>
      <c r="J1337" s="14">
        <v>0</v>
      </c>
      <c r="K1337" s="6" t="str">
        <f t="shared" ref="K1337:K1340" si="224">HYPERLINK("https://mobile.twitter.com","Twitter Web App")</f>
        <v>Twitter Web App</v>
      </c>
      <c r="L1337" s="15">
        <v>30</v>
      </c>
      <c r="M1337" s="15">
        <v>30</v>
      </c>
      <c r="N1337" s="15">
        <v>19</v>
      </c>
      <c r="O1337" s="9"/>
      <c r="P1337" s="10">
        <v>40314.637627314813</v>
      </c>
      <c r="Q1337" s="14" t="s">
        <v>5760</v>
      </c>
      <c r="R1337" s="14" t="s">
        <v>5761</v>
      </c>
      <c r="S1337" s="7" t="s">
        <v>5762</v>
      </c>
      <c r="T1337" s="8"/>
      <c r="U1337" s="11" t="str">
        <f>HYPERLINK("https://pbs.twimg.com/profile_images/2951921396/a4543606d59101b4c6e1a3d87e611d7e.jpeg","View")</f>
        <v>View</v>
      </c>
      <c r="V1337" s="8"/>
      <c r="W1337" s="8"/>
      <c r="X1337" s="8"/>
      <c r="Y1337" s="8"/>
      <c r="Z1337" s="8"/>
    </row>
    <row r="1338" spans="1:26" ht="13.2">
      <c r="A1338" s="13">
        <v>44250.451793981483</v>
      </c>
      <c r="B1338" s="6" t="str">
        <f>HYPERLINK("https://twitter.com/HarbRimah","@HarbRimah")</f>
        <v>@HarbRimah</v>
      </c>
      <c r="C1338" s="14" t="s">
        <v>2837</v>
      </c>
      <c r="D1338" s="14" t="s">
        <v>5763</v>
      </c>
      <c r="E1338" s="6" t="str">
        <f>HYPERLINK("https://twitter.com/HarbRimah/status/1364150656060321793","1364150656060321793")</f>
        <v>1364150656060321793</v>
      </c>
      <c r="F1338" s="7" t="s">
        <v>721</v>
      </c>
      <c r="G1338" s="8"/>
      <c r="H1338" s="8"/>
      <c r="I1338" s="14">
        <v>23</v>
      </c>
      <c r="J1338" s="14">
        <v>7</v>
      </c>
      <c r="K1338" s="6" t="str">
        <f t="shared" si="224"/>
        <v>Twitter Web App</v>
      </c>
      <c r="L1338" s="15">
        <v>8983</v>
      </c>
      <c r="M1338" s="15">
        <v>4886</v>
      </c>
      <c r="N1338" s="15">
        <v>675</v>
      </c>
      <c r="O1338" s="9"/>
      <c r="P1338" s="10">
        <v>41198.440601851849</v>
      </c>
      <c r="Q1338" s="8"/>
      <c r="R1338" s="14" t="s">
        <v>2838</v>
      </c>
      <c r="S1338" s="8"/>
      <c r="T1338" s="8"/>
      <c r="U1338" s="11" t="str">
        <f>HYPERLINK("https://pbs.twimg.com/profile_images/909317895355863040/ls7cAjxm.jpg","View")</f>
        <v>View</v>
      </c>
      <c r="V1338" s="8"/>
      <c r="W1338" s="8"/>
      <c r="X1338" s="8"/>
      <c r="Y1338" s="8"/>
      <c r="Z1338" s="8"/>
    </row>
    <row r="1339" spans="1:26" ht="13.2">
      <c r="A1339" s="13">
        <v>44250.451550925922</v>
      </c>
      <c r="B1339" s="6" t="str">
        <f>HYPERLINK("https://twitter.com/meisshaily","@meisshaily")</f>
        <v>@meisshaily</v>
      </c>
      <c r="C1339" s="14" t="s">
        <v>5764</v>
      </c>
      <c r="D1339" s="14" t="s">
        <v>5765</v>
      </c>
      <c r="E1339" s="6" t="str">
        <f>HYPERLINK("https://twitter.com/meisshaily/status/1364150567036051456","1364150567036051456")</f>
        <v>1364150567036051456</v>
      </c>
      <c r="F1339" s="7" t="s">
        <v>5766</v>
      </c>
      <c r="G1339" s="8"/>
      <c r="H1339" s="8"/>
      <c r="I1339" s="14">
        <v>0</v>
      </c>
      <c r="J1339" s="14">
        <v>1</v>
      </c>
      <c r="K1339" s="6" t="str">
        <f t="shared" si="224"/>
        <v>Twitter Web App</v>
      </c>
      <c r="L1339" s="15">
        <v>51270</v>
      </c>
      <c r="M1339" s="15">
        <v>38485</v>
      </c>
      <c r="N1339" s="15">
        <v>881</v>
      </c>
      <c r="O1339" s="9"/>
      <c r="P1339" s="10">
        <v>42315.205775462964</v>
      </c>
      <c r="Q1339" s="14" t="s">
        <v>5767</v>
      </c>
      <c r="R1339" s="14" t="s">
        <v>5768</v>
      </c>
      <c r="S1339" s="7" t="s">
        <v>5769</v>
      </c>
      <c r="T1339" s="8"/>
      <c r="U1339" s="11" t="str">
        <f>HYPERLINK("https://pbs.twimg.com/profile_images/1036229921075425280/09bXnSZJ.jpg","View")</f>
        <v>View</v>
      </c>
      <c r="V1339" s="8"/>
      <c r="W1339" s="8"/>
      <c r="X1339" s="8"/>
      <c r="Y1339" s="8"/>
      <c r="Z1339" s="8"/>
    </row>
    <row r="1340" spans="1:26" ht="13.2">
      <c r="A1340" s="13">
        <v>44250.451435185183</v>
      </c>
      <c r="B1340" s="6" t="str">
        <f>HYPERLINK("https://twitter.com/AremDzemal","@AremDzemal")</f>
        <v>@AremDzemal</v>
      </c>
      <c r="C1340" s="14" t="s">
        <v>5770</v>
      </c>
      <c r="D1340" s="14" t="s">
        <v>5771</v>
      </c>
      <c r="E1340" s="6" t="str">
        <f>HYPERLINK("https://twitter.com/AremDzemal/status/1364150525206401027","1364150525206401027")</f>
        <v>1364150525206401027</v>
      </c>
      <c r="F1340" s="7" t="s">
        <v>5772</v>
      </c>
      <c r="G1340" s="7" t="s">
        <v>5773</v>
      </c>
      <c r="H1340" s="8"/>
      <c r="I1340" s="14">
        <v>0</v>
      </c>
      <c r="J1340" s="14">
        <v>0</v>
      </c>
      <c r="K1340" s="6" t="str">
        <f t="shared" si="224"/>
        <v>Twitter Web App</v>
      </c>
      <c r="L1340" s="15">
        <v>1592</v>
      </c>
      <c r="M1340" s="15">
        <v>1775</v>
      </c>
      <c r="N1340" s="15">
        <v>16</v>
      </c>
      <c r="O1340" s="9"/>
      <c r="P1340" s="10">
        <v>43513.969027777777</v>
      </c>
      <c r="Q1340" s="14" t="s">
        <v>3596</v>
      </c>
      <c r="R1340" s="14" t="s">
        <v>5774</v>
      </c>
      <c r="S1340" s="8"/>
      <c r="T1340" s="8"/>
      <c r="U1340" s="11" t="str">
        <f>HYPERLINK("https://pbs.twimg.com/profile_images/1097261547213213701/8Pl01wLU.jpg","View")</f>
        <v>View</v>
      </c>
      <c r="V1340" s="8"/>
      <c r="W1340" s="8"/>
      <c r="X1340" s="8"/>
      <c r="Y1340" s="8"/>
      <c r="Z1340" s="8"/>
    </row>
    <row r="1341" spans="1:26" ht="13.2">
      <c r="A1341" s="13">
        <v>44250.451261574075</v>
      </c>
      <c r="B1341" s="6" t="str">
        <f>HYPERLINK("https://twitter.com/dmtemis","@dmtemis")</f>
        <v>@dmtemis</v>
      </c>
      <c r="C1341" s="14" t="s">
        <v>5775</v>
      </c>
      <c r="D1341" s="14" t="s">
        <v>5776</v>
      </c>
      <c r="E1341" s="6" t="str">
        <f>HYPERLINK("https://twitter.com/dmtemis/status/1364150460983037956","1364150460983037956")</f>
        <v>1364150460983037956</v>
      </c>
      <c r="F1341" s="14" t="s">
        <v>5777</v>
      </c>
      <c r="G1341" s="8"/>
      <c r="H1341" s="8"/>
      <c r="I1341" s="14">
        <v>0</v>
      </c>
      <c r="J1341" s="14">
        <v>0</v>
      </c>
      <c r="K1341" s="6" t="str">
        <f>HYPERLINK("http://www.linkedin.com/","LinkedIn")</f>
        <v>LinkedIn</v>
      </c>
      <c r="L1341" s="15">
        <v>228</v>
      </c>
      <c r="M1341" s="15">
        <v>305</v>
      </c>
      <c r="N1341" s="15">
        <v>24</v>
      </c>
      <c r="O1341" s="9"/>
      <c r="P1341" s="10">
        <v>40980.054178240738</v>
      </c>
      <c r="Q1341" s="14" t="s">
        <v>5778</v>
      </c>
      <c r="R1341" s="14" t="s">
        <v>5779</v>
      </c>
      <c r="S1341" s="7" t="s">
        <v>5780</v>
      </c>
      <c r="T1341" s="8"/>
      <c r="U1341" s="11" t="str">
        <f>HYPERLINK("https://pbs.twimg.com/profile_images/3216737340/cd5261ad157338dd025823b04311805b.jpeg","View")</f>
        <v>View</v>
      </c>
      <c r="V1341" s="8"/>
      <c r="W1341" s="8"/>
      <c r="X1341" s="8"/>
      <c r="Y1341" s="8"/>
      <c r="Z1341" s="8"/>
    </row>
    <row r="1342" spans="1:26" ht="13.2">
      <c r="A1342" s="13">
        <v>44250.450740740736</v>
      </c>
      <c r="B1342" s="6" t="str">
        <f>HYPERLINK("https://twitter.com/INSOFEedu","@INSOFEedu")</f>
        <v>@INSOFEedu</v>
      </c>
      <c r="C1342" s="14" t="s">
        <v>5781</v>
      </c>
      <c r="D1342" s="14" t="s">
        <v>5782</v>
      </c>
      <c r="E1342" s="6" t="str">
        <f>HYPERLINK("https://twitter.com/INSOFEedu/status/1364150271538982914","1364150271538982914")</f>
        <v>1364150271538982914</v>
      </c>
      <c r="F1342" s="7" t="s">
        <v>5783</v>
      </c>
      <c r="G1342" s="7" t="s">
        <v>5784</v>
      </c>
      <c r="H1342" s="8"/>
      <c r="I1342" s="14">
        <v>0</v>
      </c>
      <c r="J1342" s="14">
        <v>1</v>
      </c>
      <c r="K1342" s="6" t="str">
        <f>HYPERLINK("https://about.twitter.com/products/tweetdeck","TweetDeck")</f>
        <v>TweetDeck</v>
      </c>
      <c r="L1342" s="15">
        <v>1351</v>
      </c>
      <c r="M1342" s="15">
        <v>651</v>
      </c>
      <c r="N1342" s="15">
        <v>229</v>
      </c>
      <c r="O1342" s="9"/>
      <c r="P1342" s="10">
        <v>40615.23605324074</v>
      </c>
      <c r="Q1342" s="14" t="s">
        <v>5785</v>
      </c>
      <c r="R1342" s="14" t="s">
        <v>5786</v>
      </c>
      <c r="S1342" s="7" t="s">
        <v>5787</v>
      </c>
      <c r="T1342" s="8"/>
      <c r="U1342" s="11" t="str">
        <f>HYPERLINK("https://pbs.twimg.com/profile_images/2682404701/f24f29ab6cb400fc167f4237d4c58ef7.jpeg","View")</f>
        <v>View</v>
      </c>
      <c r="V1342" s="8"/>
      <c r="W1342" s="8"/>
      <c r="X1342" s="8"/>
      <c r="Y1342" s="8"/>
      <c r="Z1342" s="8"/>
    </row>
    <row r="1343" spans="1:26" ht="13.2">
      <c r="A1343" s="13">
        <v>44250.450717592597</v>
      </c>
      <c r="B1343" s="6" t="str">
        <f>HYPERLINK("https://twitter.com/xors","@xors")</f>
        <v>@xors</v>
      </c>
      <c r="C1343" s="14" t="s">
        <v>5226</v>
      </c>
      <c r="D1343" s="14" t="s">
        <v>5788</v>
      </c>
      <c r="E1343" s="6" t="str">
        <f>HYPERLINK("https://twitter.com/xors/status/1364150264719114241","1364150264719114241")</f>
        <v>1364150264719114241</v>
      </c>
      <c r="F1343" s="7" t="s">
        <v>5789</v>
      </c>
      <c r="G1343" s="7" t="s">
        <v>5790</v>
      </c>
      <c r="H1343" s="8"/>
      <c r="I1343" s="14">
        <v>1</v>
      </c>
      <c r="J1343" s="14">
        <v>0</v>
      </c>
      <c r="K1343" s="6" t="str">
        <f>HYPERLINK("https://buffer.com","Buffer")</f>
        <v>Buffer</v>
      </c>
      <c r="L1343" s="15">
        <v>513</v>
      </c>
      <c r="M1343" s="15">
        <v>1066</v>
      </c>
      <c r="N1343" s="15">
        <v>11</v>
      </c>
      <c r="O1343" s="9"/>
      <c r="P1343" s="10">
        <v>39854.916620370372</v>
      </c>
      <c r="Q1343" s="14" t="s">
        <v>5230</v>
      </c>
      <c r="R1343" s="14" t="s">
        <v>5231</v>
      </c>
      <c r="S1343" s="7" t="s">
        <v>5232</v>
      </c>
      <c r="T1343" s="8"/>
      <c r="U1343" s="11" t="str">
        <f>HYPERLINK("https://pbs.twimg.com/profile_images/699229225346342912/Yibw2TT1.jpg","View")</f>
        <v>View</v>
      </c>
      <c r="V1343" s="8"/>
      <c r="W1343" s="8"/>
      <c r="X1343" s="8"/>
      <c r="Y1343" s="8"/>
      <c r="Z1343" s="8"/>
    </row>
    <row r="1344" spans="1:26" ht="13.2">
      <c r="A1344" s="13">
        <v>44250.450694444444</v>
      </c>
      <c r="B1344" s="6" t="str">
        <f>HYPERLINK("https://twitter.com/MrsCaroline_C","@MrsCaroline_C")</f>
        <v>@MrsCaroline_C</v>
      </c>
      <c r="C1344" s="14" t="s">
        <v>5791</v>
      </c>
      <c r="D1344" s="14" t="s">
        <v>5792</v>
      </c>
      <c r="E1344" s="6" t="str">
        <f>HYPERLINK("https://twitter.com/MrsCaroline_C/status/1364150255332319233","1364150255332319233")</f>
        <v>1364150255332319233</v>
      </c>
      <c r="F1344" s="7" t="s">
        <v>5793</v>
      </c>
      <c r="G1344" s="8"/>
      <c r="H1344" s="8"/>
      <c r="I1344" s="14">
        <v>1</v>
      </c>
      <c r="J1344" s="14">
        <v>6</v>
      </c>
      <c r="K1344" s="6" t="str">
        <f t="shared" ref="K1344:K1346" si="225">HYPERLINK("https://mobile.twitter.com","Twitter Web App")</f>
        <v>Twitter Web App</v>
      </c>
      <c r="L1344" s="15">
        <v>3896</v>
      </c>
      <c r="M1344" s="15">
        <v>5001</v>
      </c>
      <c r="N1344" s="15">
        <v>284</v>
      </c>
      <c r="O1344" s="9"/>
      <c r="P1344" s="10">
        <v>41207.446469907409</v>
      </c>
      <c r="Q1344" s="14" t="s">
        <v>106</v>
      </c>
      <c r="R1344" s="14" t="s">
        <v>5794</v>
      </c>
      <c r="S1344" s="7" t="s">
        <v>5795</v>
      </c>
      <c r="T1344" s="8"/>
      <c r="U1344" s="11" t="str">
        <f>HYPERLINK("https://pbs.twimg.com/profile_images/1189197849516564480/SRIBF3Og.jpg","View")</f>
        <v>View</v>
      </c>
      <c r="V1344" s="8"/>
      <c r="W1344" s="8"/>
      <c r="X1344" s="8"/>
      <c r="Y1344" s="8"/>
      <c r="Z1344" s="8"/>
    </row>
    <row r="1345" spans="1:26" ht="13.2">
      <c r="A1345" s="13">
        <v>44250.450254629628</v>
      </c>
      <c r="B1345" s="6" t="str">
        <f>HYPERLINK("https://twitter.com/BristowColin","@BristowColin")</f>
        <v>@BristowColin</v>
      </c>
      <c r="C1345" s="14" t="s">
        <v>596</v>
      </c>
      <c r="D1345" s="14" t="s">
        <v>5796</v>
      </c>
      <c r="E1345" s="6" t="str">
        <f>HYPERLINK("https://twitter.com/BristowColin/status/1364150098356297730","1364150098356297730")</f>
        <v>1364150098356297730</v>
      </c>
      <c r="F1345" s="14" t="s">
        <v>5797</v>
      </c>
      <c r="G1345" s="7" t="s">
        <v>5798</v>
      </c>
      <c r="H1345" s="8"/>
      <c r="I1345" s="14">
        <v>18</v>
      </c>
      <c r="J1345" s="14">
        <v>5</v>
      </c>
      <c r="K1345" s="6" t="str">
        <f t="shared" si="225"/>
        <v>Twitter Web App</v>
      </c>
      <c r="L1345" s="15">
        <v>12149</v>
      </c>
      <c r="M1345" s="15">
        <v>9707</v>
      </c>
      <c r="N1345" s="15">
        <v>155</v>
      </c>
      <c r="O1345" s="9"/>
      <c r="P1345" s="10">
        <v>40900.478090277778</v>
      </c>
      <c r="Q1345" s="14" t="s">
        <v>599</v>
      </c>
      <c r="R1345" s="14" t="s">
        <v>600</v>
      </c>
      <c r="S1345" s="7" t="s">
        <v>601</v>
      </c>
      <c r="T1345" s="8"/>
      <c r="U1345" s="11" t="str">
        <f>HYPERLINK("https://pbs.twimg.com/profile_images/692994884270198784/jQX64C1s.jpg","View")</f>
        <v>View</v>
      </c>
      <c r="V1345" s="8"/>
      <c r="W1345" s="8"/>
      <c r="X1345" s="8"/>
      <c r="Y1345" s="8"/>
      <c r="Z1345" s="8"/>
    </row>
    <row r="1346" spans="1:26" ht="13.2">
      <c r="A1346" s="13">
        <v>44250.449097222227</v>
      </c>
      <c r="B1346" s="6" t="str">
        <f>HYPERLINK("https://twitter.com/ahousley","@ahousley")</f>
        <v>@ahousley</v>
      </c>
      <c r="C1346" s="14" t="s">
        <v>5799</v>
      </c>
      <c r="D1346" s="14" t="s">
        <v>5800</v>
      </c>
      <c r="E1346" s="6" t="str">
        <f>HYPERLINK("https://twitter.com/ahousley/status/1364149678716182530","1364149678716182530")</f>
        <v>1364149678716182530</v>
      </c>
      <c r="F1346" s="14" t="s">
        <v>5801</v>
      </c>
      <c r="G1346" s="7" t="s">
        <v>5802</v>
      </c>
      <c r="H1346" s="8"/>
      <c r="I1346" s="14">
        <v>1</v>
      </c>
      <c r="J1346" s="14">
        <v>3</v>
      </c>
      <c r="K1346" s="6" t="str">
        <f t="shared" si="225"/>
        <v>Twitter Web App</v>
      </c>
      <c r="L1346" s="15">
        <v>2533</v>
      </c>
      <c r="M1346" s="15">
        <v>2437</v>
      </c>
      <c r="N1346" s="15">
        <v>265</v>
      </c>
      <c r="O1346" s="9"/>
      <c r="P1346" s="10">
        <v>39517.436712962961</v>
      </c>
      <c r="Q1346" s="14" t="s">
        <v>753</v>
      </c>
      <c r="R1346" s="14" t="s">
        <v>5803</v>
      </c>
      <c r="S1346" s="7" t="s">
        <v>5804</v>
      </c>
      <c r="T1346" s="8"/>
      <c r="U1346" s="11" t="str">
        <f>HYPERLINK("https://pbs.twimg.com/profile_images/1328466209591922689/qlSvfRf7.jpg","View")</f>
        <v>View</v>
      </c>
      <c r="V1346" s="8"/>
      <c r="W1346" s="8"/>
      <c r="X1346" s="8"/>
      <c r="Y1346" s="8"/>
      <c r="Z1346" s="8"/>
    </row>
    <row r="1347" spans="1:26" ht="13.2">
      <c r="A1347" s="13">
        <v>44250.448958333334</v>
      </c>
      <c r="B1347" s="6" t="str">
        <f>HYPERLINK("https://twitter.com/machinelearnflx","@machinelearnflx")</f>
        <v>@machinelearnflx</v>
      </c>
      <c r="C1347" s="14" t="s">
        <v>279</v>
      </c>
      <c r="D1347" s="14" t="s">
        <v>5805</v>
      </c>
      <c r="E1347" s="6" t="str">
        <f>HYPERLINK("https://twitter.com/machinelearnflx/status/1364149626161553408","1364149626161553408")</f>
        <v>1364149626161553408</v>
      </c>
      <c r="F1347" s="7" t="s">
        <v>5806</v>
      </c>
      <c r="G1347" s="8"/>
      <c r="H1347" s="8"/>
      <c r="I1347" s="14">
        <v>4</v>
      </c>
      <c r="J1347" s="14">
        <v>9</v>
      </c>
      <c r="K1347" s="6" t="str">
        <f>HYPERLINK("https://twitter.com/pythonbot_","Postmatico")</f>
        <v>Postmatico</v>
      </c>
      <c r="L1347" s="15">
        <v>90451</v>
      </c>
      <c r="M1347" s="15">
        <v>35464</v>
      </c>
      <c r="N1347" s="15">
        <v>2227</v>
      </c>
      <c r="O1347" s="9"/>
      <c r="P1347" s="10">
        <v>42386.538865740746</v>
      </c>
      <c r="Q1347" s="8"/>
      <c r="R1347" s="14" t="s">
        <v>282</v>
      </c>
      <c r="S1347" s="7" t="s">
        <v>283</v>
      </c>
      <c r="T1347" s="8"/>
      <c r="U1347" s="11" t="str">
        <f>HYPERLINK("https://pbs.twimg.com/profile_images/688735459892195329/v8sHaWSG.jpg","View")</f>
        <v>View</v>
      </c>
      <c r="V1347" s="8"/>
      <c r="W1347" s="8"/>
      <c r="X1347" s="8"/>
      <c r="Y1347" s="8"/>
      <c r="Z1347" s="8"/>
    </row>
    <row r="1348" spans="1:26" ht="13.2">
      <c r="A1348" s="13">
        <v>44250.448506944449</v>
      </c>
      <c r="B1348" s="6" t="str">
        <f>HYPERLINK("https://twitter.com/DsfKotaro","@DsfKotaro")</f>
        <v>@DsfKotaro</v>
      </c>
      <c r="C1348" s="14" t="s">
        <v>5807</v>
      </c>
      <c r="D1348" s="14" t="s">
        <v>5808</v>
      </c>
      <c r="E1348" s="6" t="str">
        <f>HYPERLINK("https://twitter.com/DsfKotaro/status/1364149462675857413","1364149462675857413")</f>
        <v>1364149462675857413</v>
      </c>
      <c r="F1348" s="7" t="s">
        <v>5809</v>
      </c>
      <c r="G1348" s="8"/>
      <c r="H1348" s="8"/>
      <c r="I1348" s="14">
        <v>1</v>
      </c>
      <c r="J1348" s="14">
        <v>17</v>
      </c>
      <c r="K1348" s="6" t="str">
        <f>HYPERLINK("http://twitter.com/download/android","Twitter for Android")</f>
        <v>Twitter for Android</v>
      </c>
      <c r="L1348" s="15">
        <v>154</v>
      </c>
      <c r="M1348" s="15">
        <v>152</v>
      </c>
      <c r="N1348" s="15">
        <v>0</v>
      </c>
      <c r="O1348" s="9"/>
      <c r="P1348" s="10">
        <v>44226.367129629631</v>
      </c>
      <c r="Q1348" s="8"/>
      <c r="R1348" s="14" t="s">
        <v>5810</v>
      </c>
      <c r="S1348" s="7" t="s">
        <v>5811</v>
      </c>
      <c r="T1348" s="8"/>
      <c r="U1348" s="11" t="str">
        <f>HYPERLINK("https://pbs.twimg.com/profile_images/1355422815239892992/48NybEI9.jpg","View")</f>
        <v>View</v>
      </c>
      <c r="V1348" s="8"/>
      <c r="W1348" s="8"/>
      <c r="X1348" s="8"/>
      <c r="Y1348" s="8"/>
      <c r="Z1348" s="8"/>
    </row>
    <row r="1349" spans="1:26" ht="13.2">
      <c r="A1349" s="13">
        <v>44250.448252314818</v>
      </c>
      <c r="B1349" s="6" t="str">
        <f>HYPERLINK("https://twitter.com/AnnetteSophonie","@AnnetteSophonie")</f>
        <v>@AnnetteSophonie</v>
      </c>
      <c r="C1349" s="14" t="s">
        <v>2177</v>
      </c>
      <c r="D1349" s="14" t="s">
        <v>5812</v>
      </c>
      <c r="E1349" s="6" t="str">
        <f>HYPERLINK("https://twitter.com/AnnetteSophonie/status/1364149373613920256","1364149373613920256")</f>
        <v>1364149373613920256</v>
      </c>
      <c r="F1349" s="7" t="s">
        <v>5813</v>
      </c>
      <c r="G1349" s="7" t="s">
        <v>5814</v>
      </c>
      <c r="H1349" s="8"/>
      <c r="I1349" s="14">
        <v>0</v>
      </c>
      <c r="J1349" s="14">
        <v>0</v>
      </c>
      <c r="K1349" s="6" t="str">
        <f>HYPERLINK("https://mobile.twitter.com","Twitter Web App")</f>
        <v>Twitter Web App</v>
      </c>
      <c r="L1349" s="15">
        <v>1254</v>
      </c>
      <c r="M1349" s="15">
        <v>1237</v>
      </c>
      <c r="N1349" s="15">
        <v>11</v>
      </c>
      <c r="O1349" s="9"/>
      <c r="P1349" s="10">
        <v>43514.004745370374</v>
      </c>
      <c r="Q1349" s="14" t="s">
        <v>2181</v>
      </c>
      <c r="R1349" s="14" t="s">
        <v>2182</v>
      </c>
      <c r="S1349" s="8"/>
      <c r="T1349" s="8"/>
      <c r="U1349" s="11" t="str">
        <f>HYPERLINK("https://pbs.twimg.com/profile_images/1097274157040128000/kbJdFYDd.jpg","View")</f>
        <v>View</v>
      </c>
      <c r="V1349" s="8"/>
      <c r="W1349" s="8"/>
      <c r="X1349" s="8"/>
      <c r="Y1349" s="8"/>
      <c r="Z1349" s="8"/>
    </row>
    <row r="1350" spans="1:26" ht="13.2">
      <c r="A1350" s="13">
        <v>44250.447939814811</v>
      </c>
      <c r="B1350" s="6" t="str">
        <f>HYPERLINK("https://twitter.com/beyond_machine","@beyond_machine")</f>
        <v>@beyond_machine</v>
      </c>
      <c r="C1350" s="14" t="s">
        <v>3461</v>
      </c>
      <c r="D1350" s="14" t="s">
        <v>5815</v>
      </c>
      <c r="E1350" s="6" t="str">
        <f>HYPERLINK("https://twitter.com/beyond_machine/status/1364149258165878786","1364149258165878786")</f>
        <v>1364149258165878786</v>
      </c>
      <c r="F1350" s="7" t="s">
        <v>5816</v>
      </c>
      <c r="G1350" s="8"/>
      <c r="H1350" s="8"/>
      <c r="I1350" s="14">
        <v>0</v>
      </c>
      <c r="J1350" s="14">
        <v>0</v>
      </c>
      <c r="K1350" s="6" t="str">
        <f>HYPERLINK("https://crowdfireapp.com","Crowdfire App")</f>
        <v>Crowdfire App</v>
      </c>
      <c r="L1350" s="15">
        <v>333</v>
      </c>
      <c r="M1350" s="15">
        <v>1059</v>
      </c>
      <c r="N1350" s="15">
        <v>48</v>
      </c>
      <c r="O1350" s="9"/>
      <c r="P1350" s="10">
        <v>42555.596180555556</v>
      </c>
      <c r="Q1350" s="14" t="s">
        <v>3464</v>
      </c>
      <c r="R1350" s="14" t="s">
        <v>3465</v>
      </c>
      <c r="S1350" s="7" t="s">
        <v>3466</v>
      </c>
      <c r="T1350" s="8"/>
      <c r="U1350" s="11" t="str">
        <f>HYPERLINK("https://pbs.twimg.com/profile_images/929034669781344257/RizBrVJT.jpg","View")</f>
        <v>View</v>
      </c>
      <c r="V1350" s="8"/>
      <c r="W1350" s="8"/>
      <c r="X1350" s="8"/>
      <c r="Y1350" s="8"/>
      <c r="Z1350" s="8"/>
    </row>
    <row r="1351" spans="1:26" ht="13.2">
      <c r="A1351" s="13">
        <v>44250.447280092594</v>
      </c>
      <c r="B1351" s="6" t="str">
        <f>HYPERLINK("https://twitter.com/TheInsaneApp","@TheInsaneApp")</f>
        <v>@TheInsaneApp</v>
      </c>
      <c r="C1351" s="14" t="s">
        <v>5817</v>
      </c>
      <c r="D1351" s="14" t="s">
        <v>5818</v>
      </c>
      <c r="E1351" s="6" t="str">
        <f>HYPERLINK("https://twitter.com/TheInsaneApp/status/1364149018142511106","1364149018142511106")</f>
        <v>1364149018142511106</v>
      </c>
      <c r="F1351" s="8"/>
      <c r="G1351" s="7" t="s">
        <v>5819</v>
      </c>
      <c r="H1351" s="8"/>
      <c r="I1351" s="14">
        <v>15</v>
      </c>
      <c r="J1351" s="14">
        <v>15</v>
      </c>
      <c r="K1351" s="6" t="str">
        <f>HYPERLINK("http://twitter.com/download/android","Twitter for Android")</f>
        <v>Twitter for Android</v>
      </c>
      <c r="L1351" s="15">
        <v>11709</v>
      </c>
      <c r="M1351" s="15">
        <v>50</v>
      </c>
      <c r="N1351" s="15">
        <v>111</v>
      </c>
      <c r="O1351" s="9"/>
      <c r="P1351" s="10">
        <v>43423.316921296297</v>
      </c>
      <c r="Q1351" s="8"/>
      <c r="R1351" s="14" t="s">
        <v>5820</v>
      </c>
      <c r="S1351" s="8"/>
      <c r="T1351" s="8"/>
      <c r="U1351" s="11" t="str">
        <f>HYPERLINK("https://pbs.twimg.com/profile_images/1211253505916166147/ge8jiGt7.jpg","View")</f>
        <v>View</v>
      </c>
      <c r="V1351" s="8"/>
      <c r="W1351" s="8"/>
      <c r="X1351" s="8"/>
      <c r="Y1351" s="8"/>
      <c r="Z1351" s="8"/>
    </row>
    <row r="1352" spans="1:26" ht="13.2">
      <c r="A1352" s="13">
        <v>44250.447106481486</v>
      </c>
      <c r="B1352" s="6" t="str">
        <f>HYPERLINK("https://twitter.com/Arden_Manning","@Arden_Manning")</f>
        <v>@Arden_Manning</v>
      </c>
      <c r="C1352" s="14" t="s">
        <v>5821</v>
      </c>
      <c r="D1352" s="14" t="s">
        <v>5822</v>
      </c>
      <c r="E1352" s="6" t="str">
        <f>HYPERLINK("https://twitter.com/Arden_Manning/status/1364148957476253698","1364148957476253698")</f>
        <v>1364148957476253698</v>
      </c>
      <c r="F1352" s="7" t="s">
        <v>5823</v>
      </c>
      <c r="G1352" s="8"/>
      <c r="H1352" s="8"/>
      <c r="I1352" s="14">
        <v>0</v>
      </c>
      <c r="J1352" s="14">
        <v>1</v>
      </c>
      <c r="K1352" s="6" t="str">
        <f>HYPERLINK("https://about.twitter.com/products/tweetdeck","TweetDeck")</f>
        <v>TweetDeck</v>
      </c>
      <c r="L1352" s="15">
        <v>755</v>
      </c>
      <c r="M1352" s="15">
        <v>2342</v>
      </c>
      <c r="N1352" s="15">
        <v>45</v>
      </c>
      <c r="O1352" s="9"/>
      <c r="P1352" s="10">
        <v>39903.709444444445</v>
      </c>
      <c r="Q1352" s="14" t="s">
        <v>3679</v>
      </c>
      <c r="R1352" s="14" t="s">
        <v>5824</v>
      </c>
      <c r="S1352" s="7" t="s">
        <v>5825</v>
      </c>
      <c r="T1352" s="8"/>
      <c r="U1352" s="11" t="str">
        <f>HYPERLINK("https://pbs.twimg.com/profile_images/1362093219522220035/xB2Yci6j.jpg","View")</f>
        <v>View</v>
      </c>
      <c r="V1352" s="8"/>
      <c r="W1352" s="8"/>
      <c r="X1352" s="8"/>
      <c r="Y1352" s="8"/>
      <c r="Z1352" s="8"/>
    </row>
    <row r="1353" spans="1:26" ht="13.2">
      <c r="A1353" s="13">
        <v>44250.446504629625</v>
      </c>
      <c r="B1353" s="6" t="str">
        <f>HYPERLINK("https://twitter.com/ErikKnol","@ErikKnol")</f>
        <v>@ErikKnol</v>
      </c>
      <c r="C1353" s="14" t="s">
        <v>5826</v>
      </c>
      <c r="D1353" s="14" t="s">
        <v>5827</v>
      </c>
      <c r="E1353" s="6" t="str">
        <f>HYPERLINK("https://twitter.com/ErikKnol/status/1364148739720441857","1364148739720441857")</f>
        <v>1364148739720441857</v>
      </c>
      <c r="F1353" s="7" t="s">
        <v>5828</v>
      </c>
      <c r="G1353" s="8"/>
      <c r="H1353" s="8"/>
      <c r="I1353" s="14">
        <v>2</v>
      </c>
      <c r="J1353" s="14">
        <v>1</v>
      </c>
      <c r="K1353" s="6" t="str">
        <f>HYPERLINK("http://twitter.com/download/android","Twitter for Android")</f>
        <v>Twitter for Android</v>
      </c>
      <c r="L1353" s="15">
        <v>612</v>
      </c>
      <c r="M1353" s="15">
        <v>264</v>
      </c>
      <c r="N1353" s="15">
        <v>74</v>
      </c>
      <c r="O1353" s="9"/>
      <c r="P1353" s="10">
        <v>40161.876516203702</v>
      </c>
      <c r="Q1353" s="8"/>
      <c r="R1353" s="14" t="s">
        <v>5829</v>
      </c>
      <c r="S1353" s="7" t="s">
        <v>5830</v>
      </c>
      <c r="T1353" s="8"/>
      <c r="U1353" s="11" t="str">
        <f>HYPERLINK("https://pbs.twimg.com/profile_images/1302964384382230528/Av1dTrTX.jpg","View")</f>
        <v>View</v>
      </c>
      <c r="V1353" s="8"/>
      <c r="W1353" s="8"/>
      <c r="X1353" s="8"/>
      <c r="Y1353" s="8"/>
      <c r="Z1353" s="8"/>
    </row>
    <row r="1354" spans="1:26" ht="13.2">
      <c r="A1354" s="13">
        <v>44250.446284722224</v>
      </c>
      <c r="B1354" s="6" t="str">
        <f>HYPERLINK("https://twitter.com/thebeebs","@thebeebs")</f>
        <v>@thebeebs</v>
      </c>
      <c r="C1354" s="14" t="s">
        <v>5831</v>
      </c>
      <c r="D1354" s="14" t="s">
        <v>2087</v>
      </c>
      <c r="E1354" s="6" t="str">
        <f>HYPERLINK("https://twitter.com/thebeebs/status/1364148658929811456","1364148658929811456")</f>
        <v>1364148658929811456</v>
      </c>
      <c r="F1354" s="7" t="s">
        <v>5832</v>
      </c>
      <c r="G1354" s="7" t="s">
        <v>5833</v>
      </c>
      <c r="H1354" s="8"/>
      <c r="I1354" s="14">
        <v>2</v>
      </c>
      <c r="J1354" s="14">
        <v>6</v>
      </c>
      <c r="K1354" s="6" t="str">
        <f>HYPERLINK("http://www.everyonesocial.com","EveryoneSocial")</f>
        <v>EveryoneSocial</v>
      </c>
      <c r="L1354" s="15">
        <v>7535</v>
      </c>
      <c r="M1354" s="15">
        <v>2795</v>
      </c>
      <c r="N1354" s="15">
        <v>354</v>
      </c>
      <c r="O1354" s="9"/>
      <c r="P1354" s="10">
        <v>39728.988900462966</v>
      </c>
      <c r="Q1354" s="14" t="s">
        <v>5834</v>
      </c>
      <c r="R1354" s="14" t="s">
        <v>5835</v>
      </c>
      <c r="S1354" s="7" t="s">
        <v>5836</v>
      </c>
      <c r="T1354" s="8"/>
      <c r="U1354" s="11" t="str">
        <f>HYPERLINK("https://pbs.twimg.com/profile_images/1145980458439716865/2qoHcPgA.png","View")</f>
        <v>View</v>
      </c>
      <c r="V1354" s="8"/>
      <c r="W1354" s="8"/>
      <c r="X1354" s="8"/>
      <c r="Y1354" s="8"/>
      <c r="Z1354" s="8"/>
    </row>
    <row r="1355" spans="1:26" ht="13.2">
      <c r="A1355" s="13">
        <v>44250.444837962961</v>
      </c>
      <c r="B1355" s="6" t="str">
        <f>HYPERLINK("https://twitter.com/theymakedesign","@theymakedesign")</f>
        <v>@theymakedesign</v>
      </c>
      <c r="C1355" s="14" t="s">
        <v>5837</v>
      </c>
      <c r="D1355" s="14" t="s">
        <v>5838</v>
      </c>
      <c r="E1355" s="6" t="str">
        <f>HYPERLINK("https://twitter.com/theymakedesign/status/1364148132179808267","1364148132179808267")</f>
        <v>1364148132179808267</v>
      </c>
      <c r="F1355" s="7" t="s">
        <v>5839</v>
      </c>
      <c r="G1355" s="8"/>
      <c r="H1355" s="8"/>
      <c r="I1355" s="14">
        <v>21</v>
      </c>
      <c r="J1355" s="14">
        <v>8</v>
      </c>
      <c r="K1355" s="6" t="str">
        <f t="shared" ref="K1355:K1356" si="226">HYPERLINK("https://mobile.twitter.com","Twitter Web App")</f>
        <v>Twitter Web App</v>
      </c>
      <c r="L1355" s="15">
        <v>23997</v>
      </c>
      <c r="M1355" s="15">
        <v>7489</v>
      </c>
      <c r="N1355" s="15">
        <v>555</v>
      </c>
      <c r="O1355" s="9"/>
      <c r="P1355" s="10">
        <v>41424.645196759258</v>
      </c>
      <c r="Q1355" s="14" t="s">
        <v>215</v>
      </c>
      <c r="R1355" s="14" t="s">
        <v>5840</v>
      </c>
      <c r="S1355" s="7" t="s">
        <v>5841</v>
      </c>
      <c r="T1355" s="8"/>
      <c r="U1355" s="11" t="str">
        <f>HYPERLINK("https://pbs.twimg.com/profile_images/610428935634087936/v1JZtBKh.png","View")</f>
        <v>View</v>
      </c>
      <c r="V1355" s="8"/>
      <c r="W1355" s="8"/>
      <c r="X1355" s="8"/>
      <c r="Y1355" s="8"/>
      <c r="Z1355" s="8"/>
    </row>
    <row r="1356" spans="1:26" ht="13.2">
      <c r="A1356" s="13">
        <v>44250.444131944445</v>
      </c>
      <c r="B1356" s="6" t="str">
        <f>HYPERLINK("https://twitter.com/Xbond49","@Xbond49")</f>
        <v>@Xbond49</v>
      </c>
      <c r="C1356" s="14" t="s">
        <v>5842</v>
      </c>
      <c r="D1356" s="14" t="s">
        <v>5843</v>
      </c>
      <c r="E1356" s="6" t="str">
        <f>HYPERLINK("https://twitter.com/Xbond49/status/1364147877640028161","1364147877640028161")</f>
        <v>1364147877640028161</v>
      </c>
      <c r="F1356" s="7" t="s">
        <v>5844</v>
      </c>
      <c r="G1356" s="7" t="s">
        <v>5845</v>
      </c>
      <c r="H1356" s="8"/>
      <c r="I1356" s="14">
        <v>13</v>
      </c>
      <c r="J1356" s="14">
        <v>14</v>
      </c>
      <c r="K1356" s="6" t="str">
        <f t="shared" si="226"/>
        <v>Twitter Web App</v>
      </c>
      <c r="L1356" s="15">
        <v>19979</v>
      </c>
      <c r="M1356" s="15">
        <v>3755</v>
      </c>
      <c r="N1356" s="15">
        <v>1294</v>
      </c>
      <c r="O1356" s="9"/>
      <c r="P1356" s="10">
        <v>40551.916805555556</v>
      </c>
      <c r="Q1356" s="14" t="s">
        <v>1815</v>
      </c>
      <c r="R1356" s="14" t="s">
        <v>5846</v>
      </c>
      <c r="S1356" s="8"/>
      <c r="T1356" s="8"/>
      <c r="U1356" s="11" t="str">
        <f>HYPERLINK("https://pbs.twimg.com/profile_images/1135171816597725185/CX0mmH2t.jpg","View")</f>
        <v>View</v>
      </c>
      <c r="V1356" s="8"/>
      <c r="W1356" s="8"/>
      <c r="X1356" s="8"/>
      <c r="Y1356" s="8"/>
      <c r="Z1356" s="8"/>
    </row>
    <row r="1357" spans="1:26" ht="13.2">
      <c r="A1357" s="13">
        <v>44250.444120370375</v>
      </c>
      <c r="B1357" s="6" t="str">
        <f>HYPERLINK("https://twitter.com/ArunNairID","@ArunNairID")</f>
        <v>@ArunNairID</v>
      </c>
      <c r="C1357" s="14" t="s">
        <v>4116</v>
      </c>
      <c r="D1357" s="14" t="s">
        <v>5847</v>
      </c>
      <c r="E1357" s="6" t="str">
        <f>HYPERLINK("https://twitter.com/ArunNairID/status/1364147873282068482","1364147873282068482")</f>
        <v>1364147873282068482</v>
      </c>
      <c r="F1357" s="7" t="s">
        <v>5848</v>
      </c>
      <c r="G1357" s="8"/>
      <c r="H1357" s="8"/>
      <c r="I1357" s="14">
        <v>0</v>
      </c>
      <c r="J1357" s="14">
        <v>0</v>
      </c>
      <c r="K1357" s="6" t="str">
        <f t="shared" ref="K1357:K1358" si="227">HYPERLINK("https://dlvrit.com/","dlvr.it")</f>
        <v>dlvr.it</v>
      </c>
      <c r="L1357" s="15">
        <v>550</v>
      </c>
      <c r="M1357" s="15">
        <v>225</v>
      </c>
      <c r="N1357" s="15">
        <v>108</v>
      </c>
      <c r="O1357" s="9"/>
      <c r="P1357" s="10">
        <v>42752.977175925931</v>
      </c>
      <c r="Q1357" s="14" t="s">
        <v>4117</v>
      </c>
      <c r="R1357" s="14" t="s">
        <v>4118</v>
      </c>
      <c r="S1357" s="7" t="s">
        <v>4119</v>
      </c>
      <c r="T1357" s="8"/>
      <c r="U1357" s="11" t="str">
        <f>HYPERLINK("https://pbs.twimg.com/profile_images/821588636168814593/0gMtpnrf.jpg","View")</f>
        <v>View</v>
      </c>
      <c r="V1357" s="8"/>
      <c r="W1357" s="8"/>
      <c r="X1357" s="8"/>
      <c r="Y1357" s="8"/>
      <c r="Z1357" s="8"/>
    </row>
    <row r="1358" spans="1:26" ht="13.2">
      <c r="A1358" s="13">
        <v>44250.444108796291</v>
      </c>
      <c r="B1358" s="6" t="str">
        <f>HYPERLINK("https://twitter.com/IIoTML","@IIoTML")</f>
        <v>@IIoTML</v>
      </c>
      <c r="C1358" s="14" t="s">
        <v>4112</v>
      </c>
      <c r="D1358" s="14" t="s">
        <v>5847</v>
      </c>
      <c r="E1358" s="6" t="str">
        <f>HYPERLINK("https://twitter.com/IIoTML/status/1364147871696646149","1364147871696646149")</f>
        <v>1364147871696646149</v>
      </c>
      <c r="F1358" s="7" t="s">
        <v>5848</v>
      </c>
      <c r="G1358" s="8"/>
      <c r="H1358" s="8"/>
      <c r="I1358" s="14">
        <v>0</v>
      </c>
      <c r="J1358" s="14">
        <v>0</v>
      </c>
      <c r="K1358" s="6" t="str">
        <f t="shared" si="227"/>
        <v>dlvr.it</v>
      </c>
      <c r="L1358" s="15">
        <v>3939</v>
      </c>
      <c r="M1358" s="15">
        <v>563</v>
      </c>
      <c r="N1358" s="15">
        <v>778</v>
      </c>
      <c r="O1358" s="9"/>
      <c r="P1358" s="10">
        <v>42425.534363425926</v>
      </c>
      <c r="Q1358" s="8"/>
      <c r="R1358" s="14" t="s">
        <v>4115</v>
      </c>
      <c r="S1358" s="8"/>
      <c r="T1358" s="8"/>
      <c r="U1358" s="11" t="str">
        <f>HYPERLINK("https://pbs.twimg.com/profile_images/749384984100610048/0AWZDMUi.jpg","View")</f>
        <v>View</v>
      </c>
      <c r="V1358" s="8"/>
      <c r="W1358" s="8"/>
      <c r="X1358" s="8"/>
      <c r="Y1358" s="8"/>
      <c r="Z1358" s="8"/>
    </row>
    <row r="1359" spans="1:26" ht="13.2">
      <c r="A1359" s="13">
        <v>44250.443055555559</v>
      </c>
      <c r="B1359" s="6" t="str">
        <f>HYPERLINK("https://twitter.com/TechNative","@TechNative")</f>
        <v>@TechNative</v>
      </c>
      <c r="C1359" s="14" t="s">
        <v>866</v>
      </c>
      <c r="D1359" s="14" t="s">
        <v>5849</v>
      </c>
      <c r="E1359" s="6" t="str">
        <f>HYPERLINK("https://twitter.com/TechNative/status/1364147489167863809","1364147489167863809")</f>
        <v>1364147489167863809</v>
      </c>
      <c r="F1359" s="7" t="s">
        <v>5850</v>
      </c>
      <c r="G1359" s="8"/>
      <c r="H1359" s="8"/>
      <c r="I1359" s="14">
        <v>8</v>
      </c>
      <c r="J1359" s="14">
        <v>4</v>
      </c>
      <c r="K1359" s="6" t="str">
        <f>HYPERLINK("https://sproutsocial.com","Sprout Social")</f>
        <v>Sprout Social</v>
      </c>
      <c r="L1359" s="15">
        <v>84850</v>
      </c>
      <c r="M1359" s="15">
        <v>60575</v>
      </c>
      <c r="N1359" s="15">
        <v>2623</v>
      </c>
      <c r="O1359" s="9"/>
      <c r="P1359" s="10">
        <v>42289.695833333331</v>
      </c>
      <c r="Q1359" s="14" t="s">
        <v>869</v>
      </c>
      <c r="R1359" s="14" t="s">
        <v>870</v>
      </c>
      <c r="S1359" s="7" t="s">
        <v>871</v>
      </c>
      <c r="T1359" s="8"/>
      <c r="U1359" s="11" t="str">
        <f>HYPERLINK("https://pbs.twimg.com/profile_images/877265193818103808/uriy-gaK.jpg","View")</f>
        <v>View</v>
      </c>
      <c r="V1359" s="8"/>
      <c r="W1359" s="8"/>
      <c r="X1359" s="8"/>
      <c r="Y1359" s="8"/>
      <c r="Z1359" s="8"/>
    </row>
    <row r="1360" spans="1:26" ht="13.2">
      <c r="A1360" s="13">
        <v>44250.442060185189</v>
      </c>
      <c r="B1360" s="6" t="str">
        <f>HYPERLINK("https://twitter.com/Psik_Network","@Psik_Network")</f>
        <v>@Psik_Network</v>
      </c>
      <c r="C1360" s="14" t="s">
        <v>3320</v>
      </c>
      <c r="D1360" s="14" t="s">
        <v>5851</v>
      </c>
      <c r="E1360" s="6" t="str">
        <f>HYPERLINK("https://twitter.com/Psik_Network/status/1364147125685256198","1364147125685256198")</f>
        <v>1364147125685256198</v>
      </c>
      <c r="F1360" s="7" t="s">
        <v>5852</v>
      </c>
      <c r="G1360" s="7" t="s">
        <v>5853</v>
      </c>
      <c r="H1360" s="8"/>
      <c r="I1360" s="14">
        <v>0</v>
      </c>
      <c r="J1360" s="14">
        <v>1</v>
      </c>
      <c r="K1360" s="6" t="str">
        <f>HYPERLINK("https://mobile.twitter.com","Twitter Web App")</f>
        <v>Twitter Web App</v>
      </c>
      <c r="L1360" s="15">
        <v>1715</v>
      </c>
      <c r="M1360" s="15">
        <v>1565</v>
      </c>
      <c r="N1360" s="15">
        <v>15</v>
      </c>
      <c r="O1360" s="9"/>
      <c r="P1360" s="10">
        <v>41473.466296296298</v>
      </c>
      <c r="Q1360" s="14" t="s">
        <v>3324</v>
      </c>
      <c r="R1360" s="14" t="s">
        <v>3325</v>
      </c>
      <c r="S1360" s="7" t="s">
        <v>3326</v>
      </c>
      <c r="T1360" s="8"/>
      <c r="U1360" s="11" t="str">
        <f>HYPERLINK("https://pbs.twimg.com/profile_images/981195067347079170/CaycnmyF.jpg","View")</f>
        <v>View</v>
      </c>
      <c r="V1360" s="8"/>
      <c r="W1360" s="8"/>
      <c r="X1360" s="8"/>
      <c r="Y1360" s="8"/>
      <c r="Z1360" s="8"/>
    </row>
    <row r="1361" spans="1:26" ht="13.2">
      <c r="A1361" s="13">
        <v>44250.441354166665</v>
      </c>
      <c r="B1361" s="6" t="str">
        <f>HYPERLINK("https://twitter.com/corizance","@corizance")</f>
        <v>@corizance</v>
      </c>
      <c r="C1361" s="14" t="s">
        <v>2550</v>
      </c>
      <c r="D1361" s="14" t="s">
        <v>5854</v>
      </c>
      <c r="E1361" s="6" t="str">
        <f>HYPERLINK("https://twitter.com/corizance/status/1364146871267192834","1364146871267192834")</f>
        <v>1364146871267192834</v>
      </c>
      <c r="F1361" s="14" t="s">
        <v>5855</v>
      </c>
      <c r="G1361" s="8"/>
      <c r="H1361" s="8"/>
      <c r="I1361" s="14">
        <v>0</v>
      </c>
      <c r="J1361" s="14">
        <v>0</v>
      </c>
      <c r="K1361" s="6" t="str">
        <f>HYPERLINK("http://twinybots.com","TwinyBots")</f>
        <v>TwinyBots</v>
      </c>
      <c r="L1361" s="15">
        <v>488</v>
      </c>
      <c r="M1361" s="15">
        <v>434</v>
      </c>
      <c r="N1361" s="15">
        <v>13</v>
      </c>
      <c r="O1361" s="9"/>
      <c r="P1361" s="10">
        <v>43789.49145833333</v>
      </c>
      <c r="Q1361" s="14" t="s">
        <v>2551</v>
      </c>
      <c r="R1361" s="14" t="s">
        <v>2552</v>
      </c>
      <c r="S1361" s="7" t="s">
        <v>2553</v>
      </c>
      <c r="T1361" s="8"/>
      <c r="U1361" s="11" t="str">
        <f>HYPERLINK("https://pbs.twimg.com/profile_images/1223176339697565697/q38i7r9K.jpg","View")</f>
        <v>View</v>
      </c>
      <c r="V1361" s="8"/>
      <c r="W1361" s="8"/>
      <c r="X1361" s="8"/>
      <c r="Y1361" s="8"/>
      <c r="Z1361" s="8"/>
    </row>
    <row r="1362" spans="1:26" ht="13.2">
      <c r="A1362" s="13">
        <v>44250.440266203703</v>
      </c>
      <c r="B1362" s="6" t="str">
        <f>HYPERLINK("https://twitter.com/Datascience__","@Datascience__")</f>
        <v>@Datascience__</v>
      </c>
      <c r="C1362" s="14" t="s">
        <v>1082</v>
      </c>
      <c r="D1362" s="14" t="s">
        <v>5856</v>
      </c>
      <c r="E1362" s="6" t="str">
        <f>HYPERLINK("https://twitter.com/Datascience__/status/1364146479166816256","1364146479166816256")</f>
        <v>1364146479166816256</v>
      </c>
      <c r="F1362" s="7" t="s">
        <v>5857</v>
      </c>
      <c r="G1362" s="8"/>
      <c r="H1362" s="8"/>
      <c r="I1362" s="14">
        <v>3</v>
      </c>
      <c r="J1362" s="14">
        <v>1</v>
      </c>
      <c r="K1362" s="6" t="str">
        <f>HYPERLINK("https://twitter.com/pythonbot_","Postmatico")</f>
        <v>Postmatico</v>
      </c>
      <c r="L1362" s="15">
        <v>21499</v>
      </c>
      <c r="M1362" s="15">
        <v>11071</v>
      </c>
      <c r="N1362" s="15">
        <v>0</v>
      </c>
      <c r="O1362" s="9"/>
      <c r="P1362" s="10">
        <v>42735.551377314812</v>
      </c>
      <c r="Q1362" s="8"/>
      <c r="R1362" s="14" t="s">
        <v>1085</v>
      </c>
      <c r="S1362" s="7" t="s">
        <v>1086</v>
      </c>
      <c r="T1362" s="8"/>
      <c r="U1362" s="11" t="str">
        <f>HYPERLINK("https://pbs.twimg.com/profile_images/989066461435097088/AQZSFyuk.jpg","View")</f>
        <v>View</v>
      </c>
      <c r="V1362" s="8"/>
      <c r="W1362" s="8"/>
      <c r="X1362" s="8"/>
      <c r="Y1362" s="8"/>
      <c r="Z1362" s="8"/>
    </row>
    <row r="1363" spans="1:26" ht="13.2">
      <c r="A1363" s="13">
        <v>44250.439583333333</v>
      </c>
      <c r="B1363" s="6" t="str">
        <f>HYPERLINK("https://twitter.com/ENERGYandAI","@ENERGYandAI")</f>
        <v>@ENERGYandAI</v>
      </c>
      <c r="C1363" s="14" t="s">
        <v>5858</v>
      </c>
      <c r="D1363" s="14" t="s">
        <v>5859</v>
      </c>
      <c r="E1363" s="6" t="str">
        <f>HYPERLINK("https://twitter.com/ENERGYandAI/status/1364146228024537089","1364146228024537089")</f>
        <v>1364146228024537089</v>
      </c>
      <c r="F1363" s="7" t="s">
        <v>5860</v>
      </c>
      <c r="G1363" s="8"/>
      <c r="H1363" s="8"/>
      <c r="I1363" s="14">
        <v>1</v>
      </c>
      <c r="J1363" s="14">
        <v>3</v>
      </c>
      <c r="K1363" s="6" t="str">
        <f>HYPERLINK("https://mobile.twitter.com","Twitter Web App")</f>
        <v>Twitter Web App</v>
      </c>
      <c r="L1363" s="15">
        <v>148</v>
      </c>
      <c r="M1363" s="15">
        <v>7</v>
      </c>
      <c r="N1363" s="15">
        <v>2</v>
      </c>
      <c r="O1363" s="9"/>
      <c r="P1363" s="10">
        <v>43979.466319444444</v>
      </c>
      <c r="Q1363" s="8"/>
      <c r="R1363" s="14" t="s">
        <v>5861</v>
      </c>
      <c r="S1363" s="7" t="s">
        <v>5862</v>
      </c>
      <c r="T1363" s="8"/>
      <c r="U1363" s="11" t="str">
        <f>HYPERLINK("https://pbs.twimg.com/profile_images/1265934807235735552/waH5qh5N.jpg","View")</f>
        <v>View</v>
      </c>
      <c r="V1363" s="8"/>
      <c r="W1363" s="8"/>
      <c r="X1363" s="8"/>
      <c r="Y1363" s="8"/>
      <c r="Z1363" s="8"/>
    </row>
    <row r="1364" spans="1:26" ht="13.2">
      <c r="A1364" s="13">
        <v>44250.439386574071</v>
      </c>
      <c r="B1364" s="6" t="str">
        <f>HYPERLINK("https://twitter.com/jucktion","@jucktion")</f>
        <v>@jucktion</v>
      </c>
      <c r="C1364" s="14" t="s">
        <v>3490</v>
      </c>
      <c r="D1364" s="14" t="s">
        <v>5863</v>
      </c>
      <c r="E1364" s="6" t="str">
        <f>HYPERLINK("https://twitter.com/jucktion/status/1364146156830392320","1364146156830392320")</f>
        <v>1364146156830392320</v>
      </c>
      <c r="F1364" s="7" t="s">
        <v>5864</v>
      </c>
      <c r="G1364" s="8"/>
      <c r="H1364" s="8"/>
      <c r="I1364" s="14">
        <v>21</v>
      </c>
      <c r="J1364" s="14">
        <v>4</v>
      </c>
      <c r="K1364" s="6" t="str">
        <f>HYPERLINK("https://amplifr.com","Amplifr")</f>
        <v>Amplifr</v>
      </c>
      <c r="L1364" s="15">
        <v>8348</v>
      </c>
      <c r="M1364" s="15">
        <v>3946</v>
      </c>
      <c r="N1364" s="15">
        <v>237</v>
      </c>
      <c r="O1364" s="9"/>
      <c r="P1364" s="10">
        <v>40555.287349537037</v>
      </c>
      <c r="Q1364" s="14" t="s">
        <v>3492</v>
      </c>
      <c r="R1364" s="14" t="s">
        <v>3493</v>
      </c>
      <c r="S1364" s="7" t="s">
        <v>3494</v>
      </c>
      <c r="T1364" s="8"/>
      <c r="U1364" s="11" t="str">
        <f>HYPERLINK("https://pbs.twimg.com/profile_images/764116951425622021/mtvK_yjw.jpg","View")</f>
        <v>View</v>
      </c>
      <c r="V1364" s="8"/>
      <c r="W1364" s="8"/>
      <c r="X1364" s="8"/>
      <c r="Y1364" s="8"/>
      <c r="Z1364" s="8"/>
    </row>
    <row r="1365" spans="1:26" ht="13.2">
      <c r="A1365" s="13">
        <v>44250.439375000002</v>
      </c>
      <c r="B1365" s="6" t="str">
        <f>HYPERLINK("https://twitter.com/TrendingNews_7","@TrendingNews_7")</f>
        <v>@TrendingNews_7</v>
      </c>
      <c r="C1365" s="14" t="s">
        <v>5865</v>
      </c>
      <c r="D1365" s="14" t="s">
        <v>5866</v>
      </c>
      <c r="E1365" s="6" t="str">
        <f>HYPERLINK("https://twitter.com/TrendingNews_7/status/1364146152774504448","1364146152774504448")</f>
        <v>1364146152774504448</v>
      </c>
      <c r="F1365" s="7" t="s">
        <v>5867</v>
      </c>
      <c r="G1365" s="7" t="s">
        <v>5868</v>
      </c>
      <c r="H1365" s="8"/>
      <c r="I1365" s="14">
        <v>17</v>
      </c>
      <c r="J1365" s="14">
        <v>4</v>
      </c>
      <c r="K1365" s="6" t="str">
        <f>HYPERLINK("https://buffer.com","Buffer")</f>
        <v>Buffer</v>
      </c>
      <c r="L1365" s="15">
        <v>894</v>
      </c>
      <c r="M1365" s="15">
        <v>5002</v>
      </c>
      <c r="N1365" s="15">
        <v>16</v>
      </c>
      <c r="O1365" s="9"/>
      <c r="P1365" s="10">
        <v>43968.856678240743</v>
      </c>
      <c r="Q1365" s="14" t="s">
        <v>1120</v>
      </c>
      <c r="R1365" s="14" t="s">
        <v>5869</v>
      </c>
      <c r="S1365" s="8"/>
      <c r="T1365" s="8"/>
      <c r="U1365" s="11" t="str">
        <f>HYPERLINK("https://pbs.twimg.com/profile_images/1262090919035187206/97qzbsZa.jpg","View")</f>
        <v>View</v>
      </c>
      <c r="V1365" s="8"/>
      <c r="W1365" s="8"/>
      <c r="X1365" s="8"/>
      <c r="Y1365" s="8"/>
      <c r="Z1365" s="8"/>
    </row>
    <row r="1366" spans="1:26" ht="13.2">
      <c r="A1366" s="13">
        <v>44250.438888888893</v>
      </c>
      <c r="B1366" s="6" t="str">
        <f>HYPERLINK("https://twitter.com/Analyticsindiam","@Analyticsindiam")</f>
        <v>@Analyticsindiam</v>
      </c>
      <c r="C1366" s="14" t="s">
        <v>5870</v>
      </c>
      <c r="D1366" s="14" t="s">
        <v>5871</v>
      </c>
      <c r="E1366" s="6" t="str">
        <f>HYPERLINK("https://twitter.com/Analyticsindiam/status/1364145978438131715","1364145978438131715")</f>
        <v>1364145978438131715</v>
      </c>
      <c r="F1366" s="7" t="s">
        <v>5872</v>
      </c>
      <c r="G1366" s="8"/>
      <c r="H1366" s="8"/>
      <c r="I1366" s="14">
        <v>20</v>
      </c>
      <c r="J1366" s="14">
        <v>5</v>
      </c>
      <c r="K1366" s="6" t="str">
        <f>HYPERLINK("https://social.zoho.com","Zoho Social")</f>
        <v>Zoho Social</v>
      </c>
      <c r="L1366" s="15">
        <v>12466</v>
      </c>
      <c r="M1366" s="15">
        <v>353</v>
      </c>
      <c r="N1366" s="15">
        <v>284</v>
      </c>
      <c r="O1366" s="9"/>
      <c r="P1366" s="10">
        <v>41209.688425925924</v>
      </c>
      <c r="Q1366" s="14" t="s">
        <v>1742</v>
      </c>
      <c r="R1366" s="14" t="s">
        <v>5873</v>
      </c>
      <c r="S1366" s="7" t="s">
        <v>5874</v>
      </c>
      <c r="T1366" s="8"/>
      <c r="U1366" s="11" t="str">
        <f>HYPERLINK("https://pbs.twimg.com/profile_images/1346368144391118848/X7OaLwQ5.jpg","View")</f>
        <v>View</v>
      </c>
      <c r="V1366" s="8"/>
      <c r="W1366" s="8"/>
      <c r="X1366" s="8"/>
      <c r="Y1366" s="8"/>
      <c r="Z1366" s="8"/>
    </row>
    <row r="1367" spans="1:26" ht="13.2">
      <c r="A1367" s="13">
        <v>44250.43885416667</v>
      </c>
      <c r="B1367" s="6" t="str">
        <f>HYPERLINK("https://twitter.com/AWSCloudSEAsia","@AWSCloudSEAsia")</f>
        <v>@AWSCloudSEAsia</v>
      </c>
      <c r="C1367" s="14" t="s">
        <v>5875</v>
      </c>
      <c r="D1367" s="14" t="s">
        <v>5876</v>
      </c>
      <c r="E1367" s="6" t="str">
        <f>HYPERLINK("https://twitter.com/AWSCloudSEAsia/status/1364145966450962439","1364145966450962439")</f>
        <v>1364145966450962439</v>
      </c>
      <c r="F1367" s="7" t="s">
        <v>5877</v>
      </c>
      <c r="G1367" s="7" t="s">
        <v>5878</v>
      </c>
      <c r="H1367" s="8"/>
      <c r="I1367" s="14">
        <v>3</v>
      </c>
      <c r="J1367" s="14">
        <v>6</v>
      </c>
      <c r="K1367" s="6" t="str">
        <f>HYPERLINK("https://www.sprinklr.com","Sprinklr")</f>
        <v>Sprinklr</v>
      </c>
      <c r="L1367" s="15">
        <v>5247</v>
      </c>
      <c r="M1367" s="15">
        <v>59</v>
      </c>
      <c r="N1367" s="15">
        <v>127</v>
      </c>
      <c r="O1367" s="9"/>
      <c r="P1367" s="10">
        <v>41555.512766203705</v>
      </c>
      <c r="Q1367" s="14" t="s">
        <v>5879</v>
      </c>
      <c r="R1367" s="14" t="s">
        <v>5880</v>
      </c>
      <c r="S1367" s="7" t="s">
        <v>5881</v>
      </c>
      <c r="T1367" s="8"/>
      <c r="U1367" s="11" t="str">
        <f>HYPERLINK("https://pbs.twimg.com/profile_images/1351700750993223681/NNJK6vzE.jpg","View")</f>
        <v>View</v>
      </c>
      <c r="V1367" s="8"/>
      <c r="W1367" s="8"/>
      <c r="X1367" s="8"/>
      <c r="Y1367" s="8"/>
      <c r="Z1367" s="8"/>
    </row>
    <row r="1368" spans="1:26" ht="13.2">
      <c r="A1368" s="13">
        <v>44250.438842592594</v>
      </c>
      <c r="B1368" s="6" t="str">
        <f>HYPERLINK("https://twitter.com/GannyMcGANFace","@GannyMcGANFace")</f>
        <v>@GannyMcGANFace</v>
      </c>
      <c r="C1368" s="14" t="s">
        <v>677</v>
      </c>
      <c r="D1368" s="14" t="s">
        <v>5882</v>
      </c>
      <c r="E1368" s="6" t="str">
        <f>HYPERLINK("https://twitter.com/GannyMcGANFace/status/1364145961828761603","1364145961828761603")</f>
        <v>1364145961828761603</v>
      </c>
      <c r="F1368" s="8"/>
      <c r="G1368" s="7" t="s">
        <v>5883</v>
      </c>
      <c r="H1368" s="8"/>
      <c r="I1368" s="14">
        <v>0</v>
      </c>
      <c r="J1368" s="14">
        <v>1</v>
      </c>
      <c r="K1368" s="6" t="str">
        <f>HYPERLINK("https://cheapbotsdonequick.com","Cheap Bots, Done Quick!")</f>
        <v>Cheap Bots, Done Quick!</v>
      </c>
      <c r="L1368" s="15">
        <v>109</v>
      </c>
      <c r="M1368" s="15">
        <v>241</v>
      </c>
      <c r="N1368" s="15">
        <v>1</v>
      </c>
      <c r="O1368" s="9"/>
      <c r="P1368" s="10">
        <v>42779.006909722222</v>
      </c>
      <c r="Q1368" s="8"/>
      <c r="R1368" s="14" t="s">
        <v>680</v>
      </c>
      <c r="S1368" s="8"/>
      <c r="T1368" s="8"/>
      <c r="U1368" s="11" t="str">
        <f>HYPERLINK("https://pbs.twimg.com/profile_images/1323328546505428994/-DcHTlvo.png","View")</f>
        <v>View</v>
      </c>
      <c r="V1368" s="8"/>
      <c r="W1368" s="8"/>
      <c r="X1368" s="8"/>
      <c r="Y1368" s="8"/>
      <c r="Z1368" s="8"/>
    </row>
    <row r="1369" spans="1:26" ht="13.2">
      <c r="A1369" s="13">
        <v>44250.438738425924</v>
      </c>
      <c r="B1369" s="6" t="str">
        <f>HYPERLINK("https://twitter.com/GrupoCMCOficial","@GrupoCMCOficial")</f>
        <v>@GrupoCMCOficial</v>
      </c>
      <c r="C1369" s="14" t="s">
        <v>5884</v>
      </c>
      <c r="D1369" s="14" t="s">
        <v>5885</v>
      </c>
      <c r="E1369" s="6" t="str">
        <f>HYPERLINK("https://twitter.com/GrupoCMCOficial/status/1364145924444991488","1364145924444991488")</f>
        <v>1364145924444991488</v>
      </c>
      <c r="F1369" s="7" t="s">
        <v>5886</v>
      </c>
      <c r="G1369" s="8"/>
      <c r="H1369" s="8"/>
      <c r="I1369" s="14">
        <v>0</v>
      </c>
      <c r="J1369" s="14">
        <v>0</v>
      </c>
      <c r="K1369" s="6" t="str">
        <f>HYPERLINK("https://mobile.twitter.com","Twitter Web App")</f>
        <v>Twitter Web App</v>
      </c>
      <c r="L1369" s="15">
        <v>839</v>
      </c>
      <c r="M1369" s="15">
        <v>1028</v>
      </c>
      <c r="N1369" s="15">
        <v>12</v>
      </c>
      <c r="O1369" s="9"/>
      <c r="P1369" s="10">
        <v>42921.465555555551</v>
      </c>
      <c r="Q1369" s="14" t="s">
        <v>5887</v>
      </c>
      <c r="R1369" s="14" t="s">
        <v>5888</v>
      </c>
      <c r="S1369" s="7" t="s">
        <v>5889</v>
      </c>
      <c r="T1369" s="8"/>
      <c r="U1369" s="11" t="str">
        <f>HYPERLINK("https://pbs.twimg.com/profile_images/1269935005159079936/IQ4xcVuk.png","View")</f>
        <v>View</v>
      </c>
      <c r="V1369" s="8"/>
      <c r="W1369" s="8"/>
      <c r="X1369" s="8"/>
      <c r="Y1369" s="8"/>
      <c r="Z1369" s="8"/>
    </row>
    <row r="1370" spans="1:26" ht="13.2">
      <c r="A1370" s="13">
        <v>44250.438252314816</v>
      </c>
      <c r="B1370" s="6" t="str">
        <f>HYPERLINK("https://twitter.com/ipfconline1","@ipfconline1")</f>
        <v>@ipfconline1</v>
      </c>
      <c r="C1370" s="14" t="s">
        <v>65</v>
      </c>
      <c r="D1370" s="14" t="s">
        <v>5890</v>
      </c>
      <c r="E1370" s="6" t="str">
        <f>HYPERLINK("https://twitter.com/ipfconline1/status/1364145748766568449","1364145748766568449")</f>
        <v>1364145748766568449</v>
      </c>
      <c r="F1370" s="7" t="s">
        <v>5891</v>
      </c>
      <c r="G1370" s="7" t="s">
        <v>5892</v>
      </c>
      <c r="H1370" s="8"/>
      <c r="I1370" s="14">
        <v>9</v>
      </c>
      <c r="J1370" s="14">
        <v>15</v>
      </c>
      <c r="K1370" s="6" t="str">
        <f>HYPERLINK("https://twittimer.com","Twittimer")</f>
        <v>Twittimer</v>
      </c>
      <c r="L1370" s="15">
        <v>112675</v>
      </c>
      <c r="M1370" s="15">
        <v>107162</v>
      </c>
      <c r="N1370" s="15">
        <v>7806</v>
      </c>
      <c r="O1370" s="9"/>
      <c r="P1370" s="10">
        <v>42433.031967592593</v>
      </c>
      <c r="Q1370" s="14" t="s">
        <v>69</v>
      </c>
      <c r="R1370" s="14" t="s">
        <v>70</v>
      </c>
      <c r="S1370" s="7" t="s">
        <v>71</v>
      </c>
      <c r="T1370" s="8"/>
      <c r="U1370" s="11" t="str">
        <f>HYPERLINK("https://pbs.twimg.com/profile_images/729065804004769793/St2_Pum9.jpg","View")</f>
        <v>View</v>
      </c>
      <c r="V1370" s="8"/>
      <c r="W1370" s="8"/>
      <c r="X1370" s="8"/>
      <c r="Y1370" s="8"/>
      <c r="Z1370" s="8"/>
    </row>
    <row r="1371" spans="1:26" ht="13.2">
      <c r="A1371" s="13">
        <v>44250.438194444447</v>
      </c>
      <c r="B1371" s="6" t="str">
        <f>HYPERLINK("https://twitter.com/Jadirectivestwt","@Jadirectivestwt")</f>
        <v>@Jadirectivestwt</v>
      </c>
      <c r="C1371" s="14" t="s">
        <v>5404</v>
      </c>
      <c r="D1371" s="14" t="s">
        <v>5893</v>
      </c>
      <c r="E1371" s="6" t="str">
        <f>HYPERLINK("https://twitter.com/Jadirectivestwt/status/1364145728143114242","1364145728143114242")</f>
        <v>1364145728143114242</v>
      </c>
      <c r="F1371" s="7" t="s">
        <v>5894</v>
      </c>
      <c r="G1371" s="8"/>
      <c r="H1371" s="8"/>
      <c r="I1371" s="14">
        <v>7</v>
      </c>
      <c r="J1371" s="14">
        <v>2</v>
      </c>
      <c r="K1371" s="6" t="str">
        <f>HYPERLINK("https://app.socialpilot.co/","SocialPilot.co")</f>
        <v>SocialPilot.co</v>
      </c>
      <c r="L1371" s="15">
        <v>5733</v>
      </c>
      <c r="M1371" s="15">
        <v>5891</v>
      </c>
      <c r="N1371" s="15">
        <v>849</v>
      </c>
      <c r="O1371" s="9"/>
      <c r="P1371" s="10">
        <v>42216.877835648149</v>
      </c>
      <c r="Q1371" s="8"/>
      <c r="R1371" s="14" t="s">
        <v>5407</v>
      </c>
      <c r="S1371" s="7" t="s">
        <v>5408</v>
      </c>
      <c r="T1371" s="8"/>
      <c r="U1371" s="11" t="str">
        <f>HYPERLINK("https://pbs.twimg.com/profile_images/1292933771977617410/Tf1ixrZG.jpg","View")</f>
        <v>View</v>
      </c>
      <c r="V1371" s="8"/>
      <c r="W1371" s="8"/>
      <c r="X1371" s="8"/>
      <c r="Y1371" s="8"/>
      <c r="Z1371" s="8"/>
    </row>
    <row r="1372" spans="1:26" ht="13.2">
      <c r="A1372" s="13">
        <v>44250.438078703708</v>
      </c>
      <c r="B1372" s="6" t="str">
        <f>HYPERLINK("https://twitter.com/GSTICseries","@GSTICseries")</f>
        <v>@GSTICseries</v>
      </c>
      <c r="C1372" s="14" t="s">
        <v>5895</v>
      </c>
      <c r="D1372" s="14" t="s">
        <v>5896</v>
      </c>
      <c r="E1372" s="6" t="str">
        <f>HYPERLINK("https://twitter.com/GSTICseries/status/1364145685076074506","1364145685076074506")</f>
        <v>1364145685076074506</v>
      </c>
      <c r="F1372" s="7" t="s">
        <v>5897</v>
      </c>
      <c r="G1372" s="7" t="s">
        <v>5898</v>
      </c>
      <c r="H1372" s="8"/>
      <c r="I1372" s="14">
        <v>1</v>
      </c>
      <c r="J1372" s="14">
        <v>1</v>
      </c>
      <c r="K1372" s="6" t="str">
        <f>HYPERLINK("https://mobile.twitter.com","Twitter Web App")</f>
        <v>Twitter Web App</v>
      </c>
      <c r="L1372" s="15">
        <v>1513</v>
      </c>
      <c r="M1372" s="15">
        <v>1511</v>
      </c>
      <c r="N1372" s="15">
        <v>11</v>
      </c>
      <c r="O1372" s="9"/>
      <c r="P1372" s="10">
        <v>42901.556111111116</v>
      </c>
      <c r="Q1372" s="14" t="s">
        <v>4930</v>
      </c>
      <c r="R1372" s="14" t="s">
        <v>5899</v>
      </c>
      <c r="S1372" s="7" t="s">
        <v>5900</v>
      </c>
      <c r="T1372" s="8"/>
      <c r="U1372" s="11" t="str">
        <f>HYPERLINK("https://pbs.twimg.com/profile_images/875623570436575233/tndS3CqJ.jpg","View")</f>
        <v>View</v>
      </c>
      <c r="V1372" s="8"/>
      <c r="W1372" s="8"/>
      <c r="X1372" s="8"/>
      <c r="Y1372" s="8"/>
      <c r="Z1372" s="8"/>
    </row>
    <row r="1373" spans="1:26" ht="13.2">
      <c r="A1373" s="13">
        <v>44250.4375</v>
      </c>
      <c r="B1373" s="6" t="str">
        <f>HYPERLINK("https://twitter.com/SmartMi71261326","@SmartMi71261326")</f>
        <v>@SmartMi71261326</v>
      </c>
      <c r="C1373" s="14" t="s">
        <v>5901</v>
      </c>
      <c r="D1373" s="14" t="s">
        <v>5902</v>
      </c>
      <c r="E1373" s="6" t="str">
        <f>HYPERLINK("https://twitter.com/SmartMi71261326/status/1364145475092287489","1364145475092287489")</f>
        <v>1364145475092287489</v>
      </c>
      <c r="F1373" s="7" t="s">
        <v>5903</v>
      </c>
      <c r="G1373" s="8"/>
      <c r="H1373" s="8"/>
      <c r="I1373" s="14">
        <v>1</v>
      </c>
      <c r="J1373" s="14">
        <v>1</v>
      </c>
      <c r="K1373" s="6" t="str">
        <f>HYPERLINK("https://about.twitter.com/products/tweetdeck","TweetDeck")</f>
        <v>TweetDeck</v>
      </c>
      <c r="L1373" s="15">
        <v>1</v>
      </c>
      <c r="M1373" s="15">
        <v>16</v>
      </c>
      <c r="N1373" s="15">
        <v>0</v>
      </c>
      <c r="O1373" s="9"/>
      <c r="P1373" s="10">
        <v>44075.399039351847</v>
      </c>
      <c r="Q1373" s="8"/>
      <c r="R1373" s="14" t="s">
        <v>5904</v>
      </c>
      <c r="S1373" s="8"/>
      <c r="T1373" s="8"/>
      <c r="U1373" s="11" t="str">
        <f>HYPERLINK("https://pbs.twimg.com/profile_images/1300698814337048576/yfM7jIE0.jpg","View")</f>
        <v>View</v>
      </c>
      <c r="V1373" s="8"/>
      <c r="W1373" s="8"/>
      <c r="X1373" s="8"/>
      <c r="Y1373" s="8"/>
      <c r="Z1373" s="8"/>
    </row>
    <row r="1374" spans="1:26" ht="13.2">
      <c r="A1374" s="13">
        <v>44250.437465277777</v>
      </c>
      <c r="B1374" s="6" t="str">
        <f>HYPERLINK("https://twitter.com/humanoid_info","@humanoid_info")</f>
        <v>@humanoid_info</v>
      </c>
      <c r="C1374" s="14" t="s">
        <v>5905</v>
      </c>
      <c r="D1374" s="14" t="s">
        <v>5906</v>
      </c>
      <c r="E1374" s="6" t="str">
        <f>HYPERLINK("https://twitter.com/humanoid_info/status/1364145464308768769","1364145464308768769")</f>
        <v>1364145464308768769</v>
      </c>
      <c r="F1374" s="7" t="s">
        <v>5907</v>
      </c>
      <c r="G1374" s="7" t="s">
        <v>5908</v>
      </c>
      <c r="H1374" s="8"/>
      <c r="I1374" s="14">
        <v>0</v>
      </c>
      <c r="J1374" s="14">
        <v>2</v>
      </c>
      <c r="K1374" s="6" t="str">
        <f t="shared" ref="K1374:K1376" si="228">HYPERLINK("https://mobile.twitter.com","Twitter Web App")</f>
        <v>Twitter Web App</v>
      </c>
      <c r="L1374" s="15">
        <v>1971</v>
      </c>
      <c r="M1374" s="15">
        <v>560</v>
      </c>
      <c r="N1374" s="15">
        <v>31</v>
      </c>
      <c r="O1374" s="9"/>
      <c r="P1374" s="10">
        <v>43301.412766203706</v>
      </c>
      <c r="Q1374" s="14" t="s">
        <v>914</v>
      </c>
      <c r="R1374" s="14" t="s">
        <v>5909</v>
      </c>
      <c r="S1374" s="8"/>
      <c r="T1374" s="8"/>
      <c r="U1374" s="11" t="str">
        <f>HYPERLINK("https://pbs.twimg.com/profile_images/1107609479804317697/5NKG0qmu.png","View")</f>
        <v>View</v>
      </c>
      <c r="V1374" s="8"/>
      <c r="W1374" s="8"/>
      <c r="X1374" s="8"/>
      <c r="Y1374" s="8"/>
      <c r="Z1374" s="8"/>
    </row>
    <row r="1375" spans="1:26" ht="13.2">
      <c r="A1375" s="13">
        <v>44250.437430555554</v>
      </c>
      <c r="B1375" s="6" t="str">
        <f t="shared" ref="B1375:B1376" si="229">HYPERLINK("https://twitter.com/TrendingNews_7","@TrendingNews_7")</f>
        <v>@TrendingNews_7</v>
      </c>
      <c r="C1375" s="14" t="s">
        <v>5865</v>
      </c>
      <c r="D1375" s="14" t="s">
        <v>5910</v>
      </c>
      <c r="E1375" s="6" t="str">
        <f>HYPERLINK("https://twitter.com/TrendingNews_7/status/1364145449343410177","1364145449343410177")</f>
        <v>1364145449343410177</v>
      </c>
      <c r="F1375" s="7" t="s">
        <v>2603</v>
      </c>
      <c r="G1375" s="8"/>
      <c r="H1375" s="8"/>
      <c r="I1375" s="14">
        <v>0</v>
      </c>
      <c r="J1375" s="14">
        <v>2</v>
      </c>
      <c r="K1375" s="6" t="str">
        <f t="shared" si="228"/>
        <v>Twitter Web App</v>
      </c>
      <c r="L1375" s="15">
        <v>894</v>
      </c>
      <c r="M1375" s="15">
        <v>5002</v>
      </c>
      <c r="N1375" s="15">
        <v>16</v>
      </c>
      <c r="O1375" s="9"/>
      <c r="P1375" s="10">
        <v>43968.856678240743</v>
      </c>
      <c r="Q1375" s="14" t="s">
        <v>1120</v>
      </c>
      <c r="R1375" s="14" t="s">
        <v>5869</v>
      </c>
      <c r="S1375" s="8"/>
      <c r="T1375" s="8"/>
      <c r="U1375" s="11" t="str">
        <f t="shared" ref="U1375:U1376" si="230">HYPERLINK("https://pbs.twimg.com/profile_images/1262090919035187206/97qzbsZa.jpg","View")</f>
        <v>View</v>
      </c>
      <c r="V1375" s="8"/>
      <c r="W1375" s="8"/>
      <c r="X1375" s="8"/>
      <c r="Y1375" s="8"/>
      <c r="Z1375" s="8"/>
    </row>
    <row r="1376" spans="1:26" ht="13.2">
      <c r="A1376" s="13">
        <v>44250.436851851853</v>
      </c>
      <c r="B1376" s="6" t="str">
        <f t="shared" si="229"/>
        <v>@TrendingNews_7</v>
      </c>
      <c r="C1376" s="14" t="s">
        <v>5865</v>
      </c>
      <c r="D1376" s="14" t="s">
        <v>5911</v>
      </c>
      <c r="E1376" s="6" t="str">
        <f>HYPERLINK("https://twitter.com/TrendingNews_7/status/1364145241951858690","1364145241951858690")</f>
        <v>1364145241951858690</v>
      </c>
      <c r="F1376" s="7" t="s">
        <v>5912</v>
      </c>
      <c r="G1376" s="8"/>
      <c r="H1376" s="8"/>
      <c r="I1376" s="14">
        <v>1</v>
      </c>
      <c r="J1376" s="14">
        <v>5</v>
      </c>
      <c r="K1376" s="6" t="str">
        <f t="shared" si="228"/>
        <v>Twitter Web App</v>
      </c>
      <c r="L1376" s="15">
        <v>894</v>
      </c>
      <c r="M1376" s="15">
        <v>5002</v>
      </c>
      <c r="N1376" s="15">
        <v>16</v>
      </c>
      <c r="O1376" s="9"/>
      <c r="P1376" s="10">
        <v>43968.856678240743</v>
      </c>
      <c r="Q1376" s="14" t="s">
        <v>1120</v>
      </c>
      <c r="R1376" s="14" t="s">
        <v>5869</v>
      </c>
      <c r="S1376" s="8"/>
      <c r="T1376" s="8"/>
      <c r="U1376" s="11" t="str">
        <f t="shared" si="230"/>
        <v>View</v>
      </c>
      <c r="V1376" s="8"/>
      <c r="W1376" s="8"/>
      <c r="X1376" s="8"/>
      <c r="Y1376" s="8"/>
      <c r="Z1376" s="8"/>
    </row>
    <row r="1377" spans="1:26" ht="13.2">
      <c r="A1377" s="13">
        <v>44250.436643518522</v>
      </c>
      <c r="B1377" s="6" t="str">
        <f>HYPERLINK("https://twitter.com/DFTGames","@DFTGames")</f>
        <v>@DFTGames</v>
      </c>
      <c r="C1377" s="14" t="s">
        <v>5913</v>
      </c>
      <c r="D1377" s="14" t="s">
        <v>5914</v>
      </c>
      <c r="E1377" s="6" t="str">
        <f>HYPERLINK("https://twitter.com/DFTGames/status/1364145165536014337","1364145165536014337")</f>
        <v>1364145165536014337</v>
      </c>
      <c r="F1377" s="7" t="s">
        <v>5915</v>
      </c>
      <c r="G1377" s="8"/>
      <c r="H1377" s="8"/>
      <c r="I1377" s="14">
        <v>2</v>
      </c>
      <c r="J1377" s="14">
        <v>0</v>
      </c>
      <c r="K1377" s="6" t="str">
        <f>HYPERLINK("https://paper.li","Paper.li")</f>
        <v>Paper.li</v>
      </c>
      <c r="L1377" s="15">
        <v>1246</v>
      </c>
      <c r="M1377" s="15">
        <v>938</v>
      </c>
      <c r="N1377" s="15">
        <v>72</v>
      </c>
      <c r="O1377" s="9"/>
      <c r="P1377" s="10">
        <v>39951.568043981482</v>
      </c>
      <c r="Q1377" s="14" t="s">
        <v>5916</v>
      </c>
      <c r="R1377" s="14" t="s">
        <v>5917</v>
      </c>
      <c r="S1377" s="7" t="s">
        <v>5918</v>
      </c>
      <c r="T1377" s="8"/>
      <c r="U1377" s="11" t="str">
        <f>HYPERLINK("https://pbs.twimg.com/profile_images/378800000347433436/f9fbb3af9d7d7d47f6d6dff3e6d87d86.png","View")</f>
        <v>View</v>
      </c>
      <c r="V1377" s="8"/>
      <c r="W1377" s="8"/>
      <c r="X1377" s="8"/>
      <c r="Y1377" s="8"/>
      <c r="Z1377" s="8"/>
    </row>
    <row r="1378" spans="1:26" ht="13.2">
      <c r="A1378" s="13">
        <v>44250.436354166668</v>
      </c>
      <c r="B1378" s="6" t="str">
        <f>HYPERLINK("https://twitter.com/TrendingNews_7","@TrendingNews_7")</f>
        <v>@TrendingNews_7</v>
      </c>
      <c r="C1378" s="14" t="s">
        <v>5865</v>
      </c>
      <c r="D1378" s="14" t="s">
        <v>5919</v>
      </c>
      <c r="E1378" s="6" t="str">
        <f>HYPERLINK("https://twitter.com/TrendingNews_7/status/1364145061772992513","1364145061772992513")</f>
        <v>1364145061772992513</v>
      </c>
      <c r="F1378" s="7" t="s">
        <v>5920</v>
      </c>
      <c r="G1378" s="8"/>
      <c r="H1378" s="8"/>
      <c r="I1378" s="14">
        <v>2</v>
      </c>
      <c r="J1378" s="14">
        <v>2</v>
      </c>
      <c r="K1378" s="6" t="str">
        <f>HYPERLINK("https://mobile.twitter.com","Twitter Web App")</f>
        <v>Twitter Web App</v>
      </c>
      <c r="L1378" s="15">
        <v>894</v>
      </c>
      <c r="M1378" s="15">
        <v>5002</v>
      </c>
      <c r="N1378" s="15">
        <v>16</v>
      </c>
      <c r="O1378" s="9"/>
      <c r="P1378" s="10">
        <v>43968.856678240743</v>
      </c>
      <c r="Q1378" s="14" t="s">
        <v>1120</v>
      </c>
      <c r="R1378" s="14" t="s">
        <v>5869</v>
      </c>
      <c r="S1378" s="8"/>
      <c r="T1378" s="8"/>
      <c r="U1378" s="11" t="str">
        <f>HYPERLINK("https://pbs.twimg.com/profile_images/1262090919035187206/97qzbsZa.jpg","View")</f>
        <v>View</v>
      </c>
      <c r="V1378" s="8"/>
      <c r="W1378" s="8"/>
      <c r="X1378" s="8"/>
      <c r="Y1378" s="8"/>
      <c r="Z1378" s="8"/>
    </row>
    <row r="1379" spans="1:26" ht="13.2">
      <c r="A1379" s="13">
        <v>44250.435486111106</v>
      </c>
      <c r="B1379" s="6" t="str">
        <f>HYPERLINK("https://twitter.com/Blogging__Guide","@Blogging__Guide")</f>
        <v>@Blogging__Guide</v>
      </c>
      <c r="C1379" s="14" t="s">
        <v>5921</v>
      </c>
      <c r="D1379" s="14" t="s">
        <v>5922</v>
      </c>
      <c r="E1379" s="6" t="str">
        <f>HYPERLINK("https://twitter.com/Blogging__Guide/status/1364144743886766080","1364144743886766080")</f>
        <v>1364144743886766080</v>
      </c>
      <c r="F1379" s="7" t="s">
        <v>5923</v>
      </c>
      <c r="G1379" s="8"/>
      <c r="H1379" s="8"/>
      <c r="I1379" s="14">
        <v>0</v>
      </c>
      <c r="J1379" s="14">
        <v>0</v>
      </c>
      <c r="K1379" s="6" t="str">
        <f>HYPERLINK("https://www.smedian.com","Penname")</f>
        <v>Penname</v>
      </c>
      <c r="L1379" s="15">
        <v>3520</v>
      </c>
      <c r="M1379" s="15">
        <v>566</v>
      </c>
      <c r="N1379" s="15">
        <v>49</v>
      </c>
      <c r="O1379" s="9"/>
      <c r="P1379" s="10">
        <v>40934.055127314816</v>
      </c>
      <c r="Q1379" s="14" t="s">
        <v>191</v>
      </c>
      <c r="R1379" s="14" t="s">
        <v>5924</v>
      </c>
      <c r="S1379" s="7" t="s">
        <v>5925</v>
      </c>
      <c r="T1379" s="8"/>
      <c r="U1379" s="11" t="str">
        <f>HYPERLINK("https://pbs.twimg.com/profile_images/1288753123750752256/JJb2XW20.jpg","View")</f>
        <v>View</v>
      </c>
      <c r="V1379" s="8"/>
      <c r="W1379" s="8"/>
      <c r="X1379" s="8"/>
      <c r="Y1379" s="8"/>
      <c r="Z1379" s="8"/>
    </row>
    <row r="1380" spans="1:26" ht="13.2">
      <c r="A1380" s="13">
        <v>44250.435462962967</v>
      </c>
      <c r="B1380" s="6" t="str">
        <f>HYPERLINK("https://twitter.com/DS_Analytics","@DS_Analytics")</f>
        <v>@DS_Analytics</v>
      </c>
      <c r="C1380" s="14" t="s">
        <v>2389</v>
      </c>
      <c r="D1380" s="14" t="s">
        <v>5926</v>
      </c>
      <c r="E1380" s="6" t="str">
        <f>HYPERLINK("https://twitter.com/DS_Analytics/status/1364144738761400321","1364144738761400321")</f>
        <v>1364144738761400321</v>
      </c>
      <c r="F1380" s="7" t="s">
        <v>5927</v>
      </c>
      <c r="G1380" s="8"/>
      <c r="H1380" s="8"/>
      <c r="I1380" s="14">
        <v>6</v>
      </c>
      <c r="J1380" s="14">
        <v>1</v>
      </c>
      <c r="K1380" s="6" t="str">
        <f>HYPERLINK("https://ifttt.com","IFTTT")</f>
        <v>IFTTT</v>
      </c>
      <c r="L1380" s="15">
        <v>4945</v>
      </c>
      <c r="M1380" s="15">
        <v>4504</v>
      </c>
      <c r="N1380" s="15">
        <v>46</v>
      </c>
      <c r="O1380" s="9"/>
      <c r="P1380" s="10">
        <v>43019.662314814814</v>
      </c>
      <c r="Q1380" s="8"/>
      <c r="R1380" s="14" t="s">
        <v>2392</v>
      </c>
      <c r="S1380" s="8"/>
      <c r="T1380" s="8"/>
      <c r="U1380" s="11" t="str">
        <f>HYPERLINK("https://pbs.twimg.com/profile_images/955817556635504640/FflsX454.jpg","View")</f>
        <v>View</v>
      </c>
      <c r="V1380" s="8"/>
      <c r="W1380" s="8"/>
      <c r="X1380" s="8"/>
      <c r="Y1380" s="8"/>
      <c r="Z1380" s="8"/>
    </row>
    <row r="1381" spans="1:26" ht="13.2">
      <c r="A1381" s="13">
        <v>44250.435416666667</v>
      </c>
      <c r="B1381" s="6" t="str">
        <f>HYPERLINK("https://twitter.com/Nicochan33","@Nicochan33")</f>
        <v>@Nicochan33</v>
      </c>
      <c r="C1381" s="14" t="s">
        <v>2244</v>
      </c>
      <c r="D1381" s="14" t="s">
        <v>5007</v>
      </c>
      <c r="E1381" s="6" t="str">
        <f>HYPERLINK("https://twitter.com/Nicochan33/status/1364144718905364482","1364144718905364482")</f>
        <v>1364144718905364482</v>
      </c>
      <c r="F1381" s="7" t="s">
        <v>5698</v>
      </c>
      <c r="G1381" s="8"/>
      <c r="H1381" s="8"/>
      <c r="I1381" s="14">
        <v>9</v>
      </c>
      <c r="J1381" s="14">
        <v>9</v>
      </c>
      <c r="K1381" s="6" t="str">
        <f>HYPERLINK("https://mobile.twitter.com","Twitter Web App")</f>
        <v>Twitter Web App</v>
      </c>
      <c r="L1381" s="15">
        <v>86054</v>
      </c>
      <c r="M1381" s="15">
        <v>78930</v>
      </c>
      <c r="N1381" s="15">
        <v>3711</v>
      </c>
      <c r="O1381" s="9"/>
      <c r="P1381" s="10">
        <v>39834.541168981479</v>
      </c>
      <c r="Q1381" s="14" t="s">
        <v>1468</v>
      </c>
      <c r="R1381" s="14" t="s">
        <v>2247</v>
      </c>
      <c r="S1381" s="7" t="s">
        <v>2248</v>
      </c>
      <c r="T1381" s="8"/>
      <c r="U1381" s="11" t="str">
        <f>HYPERLINK("https://pbs.twimg.com/profile_images/773909130352402432/XKlKwdPG.jpg","View")</f>
        <v>View</v>
      </c>
      <c r="V1381" s="8"/>
      <c r="W1381" s="8"/>
      <c r="X1381" s="8"/>
      <c r="Y1381" s="8"/>
      <c r="Z1381" s="8"/>
    </row>
    <row r="1382" spans="1:26" ht="13.2">
      <c r="A1382" s="13">
        <v>44250.434062500004</v>
      </c>
      <c r="B1382" s="6" t="str">
        <f>HYPERLINK("https://twitter.com/andresvilarino","@andresvilarino")</f>
        <v>@andresvilarino</v>
      </c>
      <c r="C1382" s="14" t="s">
        <v>72</v>
      </c>
      <c r="D1382" s="14" t="s">
        <v>5928</v>
      </c>
      <c r="E1382" s="6" t="str">
        <f>HYPERLINK("https://twitter.com/andresvilarino/status/1364144229740666881","1364144229740666881")</f>
        <v>1364144229740666881</v>
      </c>
      <c r="F1382" s="7" t="s">
        <v>5929</v>
      </c>
      <c r="G1382" s="7" t="s">
        <v>5930</v>
      </c>
      <c r="H1382" s="8"/>
      <c r="I1382" s="14">
        <v>0</v>
      </c>
      <c r="J1382" s="14">
        <v>1</v>
      </c>
      <c r="K1382" s="6" t="str">
        <f>HYPERLINK("https://www.hootsuite.com","Hootsuite Inc.")</f>
        <v>Hootsuite Inc.</v>
      </c>
      <c r="L1382" s="15">
        <v>5136</v>
      </c>
      <c r="M1382" s="15">
        <v>5043</v>
      </c>
      <c r="N1382" s="15">
        <v>79</v>
      </c>
      <c r="O1382" s="9"/>
      <c r="P1382" s="10">
        <v>40346.43136574074</v>
      </c>
      <c r="Q1382" s="14" t="s">
        <v>75</v>
      </c>
      <c r="R1382" s="14" t="s">
        <v>76</v>
      </c>
      <c r="S1382" s="7" t="s">
        <v>77</v>
      </c>
      <c r="T1382" s="8"/>
      <c r="U1382" s="11" t="str">
        <f>HYPERLINK("https://pbs.twimg.com/profile_images/1015329397929177088/9OR3sIzf.jpg","View")</f>
        <v>View</v>
      </c>
      <c r="V1382" s="8"/>
      <c r="W1382" s="8"/>
      <c r="X1382" s="8"/>
      <c r="Y1382" s="8"/>
      <c r="Z1382" s="8"/>
    </row>
    <row r="1383" spans="1:26" ht="13.2">
      <c r="A1383" s="13">
        <v>44250.434027777781</v>
      </c>
      <c r="B1383" s="6" t="str">
        <f>HYPERLINK("https://twitter.com/MLJARofficial","@MLJARofficial")</f>
        <v>@MLJARofficial</v>
      </c>
      <c r="C1383" s="14" t="s">
        <v>5931</v>
      </c>
      <c r="D1383" s="14" t="s">
        <v>5932</v>
      </c>
      <c r="E1383" s="6" t="str">
        <f>HYPERLINK("https://twitter.com/MLJARofficial/status/1364144217375862784","1364144217375862784")</f>
        <v>1364144217375862784</v>
      </c>
      <c r="F1383" s="7" t="s">
        <v>5933</v>
      </c>
      <c r="G1383" s="7" t="s">
        <v>5934</v>
      </c>
      <c r="H1383" s="8"/>
      <c r="I1383" s="14">
        <v>2</v>
      </c>
      <c r="J1383" s="14">
        <v>2</v>
      </c>
      <c r="K1383" s="6" t="str">
        <f>HYPERLINK("https://mobile.twitter.com","Twitter Web App")</f>
        <v>Twitter Web App</v>
      </c>
      <c r="L1383" s="15">
        <v>529</v>
      </c>
      <c r="M1383" s="15">
        <v>88</v>
      </c>
      <c r="N1383" s="15">
        <v>54</v>
      </c>
      <c r="O1383" s="9"/>
      <c r="P1383" s="10">
        <v>42408.799780092595</v>
      </c>
      <c r="Q1383" s="14" t="s">
        <v>5935</v>
      </c>
      <c r="R1383" s="7" t="s">
        <v>5936</v>
      </c>
      <c r="S1383" s="7" t="s">
        <v>5937</v>
      </c>
      <c r="T1383" s="8"/>
      <c r="U1383" s="11" t="str">
        <f>HYPERLINK("https://pbs.twimg.com/profile_images/1255047924662370304/rTsEg7MR.png","View")</f>
        <v>View</v>
      </c>
      <c r="V1383" s="8"/>
      <c r="W1383" s="8"/>
      <c r="X1383" s="8"/>
      <c r="Y1383" s="8"/>
      <c r="Z1383" s="8"/>
    </row>
    <row r="1384" spans="1:26" ht="13.2">
      <c r="A1384" s="13">
        <v>44250.434027777781</v>
      </c>
      <c r="B1384" s="6" t="str">
        <f>HYPERLINK("https://twitter.com/selfdriving360","@selfdriving360")</f>
        <v>@selfdriving360</v>
      </c>
      <c r="C1384" s="14" t="s">
        <v>5938</v>
      </c>
      <c r="D1384" s="14" t="s">
        <v>5939</v>
      </c>
      <c r="E1384" s="6" t="str">
        <f>HYPERLINK("https://twitter.com/selfdriving360/status/1364144215517777922","1364144215517777922")</f>
        <v>1364144215517777922</v>
      </c>
      <c r="F1384" s="7" t="s">
        <v>5940</v>
      </c>
      <c r="G1384" s="7" t="s">
        <v>5941</v>
      </c>
      <c r="H1384" s="8"/>
      <c r="I1384" s="14">
        <v>0</v>
      </c>
      <c r="J1384" s="14">
        <v>2</v>
      </c>
      <c r="K1384" s="6" t="str">
        <f>HYPERLINK("https://about.twitter.com/products/tweetdeck","TweetDeck")</f>
        <v>TweetDeck</v>
      </c>
      <c r="L1384" s="15">
        <v>2550</v>
      </c>
      <c r="M1384" s="15">
        <v>4510</v>
      </c>
      <c r="N1384" s="15">
        <v>35</v>
      </c>
      <c r="O1384" s="9"/>
      <c r="P1384" s="10">
        <v>43214.737951388888</v>
      </c>
      <c r="Q1384" s="8"/>
      <c r="R1384" s="14" t="s">
        <v>5942</v>
      </c>
      <c r="S1384" s="7" t="s">
        <v>5943</v>
      </c>
      <c r="T1384" s="8"/>
      <c r="U1384" s="11" t="str">
        <f>HYPERLINK("https://pbs.twimg.com/profile_images/1191932725734850562/0EjaL8Ga.jpg","View")</f>
        <v>View</v>
      </c>
      <c r="V1384" s="8"/>
      <c r="W1384" s="8"/>
      <c r="X1384" s="8"/>
      <c r="Y1384" s="8"/>
      <c r="Z1384" s="8"/>
    </row>
    <row r="1385" spans="1:26" ht="13.2">
      <c r="A1385" s="13">
        <v>44250.432928240742</v>
      </c>
      <c r="B1385" s="6" t="str">
        <f>HYPERLINK("https://twitter.com/QuantumBIS","@QuantumBIS")</f>
        <v>@QuantumBIS</v>
      </c>
      <c r="C1385" s="14" t="s">
        <v>5944</v>
      </c>
      <c r="D1385" s="14" t="s">
        <v>5945</v>
      </c>
      <c r="E1385" s="6" t="str">
        <f>HYPERLINK("https://twitter.com/QuantumBIS/status/1364143819080560642","1364143819080560642")</f>
        <v>1364143819080560642</v>
      </c>
      <c r="F1385" s="7" t="s">
        <v>5946</v>
      </c>
      <c r="G1385" s="7" t="s">
        <v>5947</v>
      </c>
      <c r="H1385" s="8"/>
      <c r="I1385" s="14">
        <v>2</v>
      </c>
      <c r="J1385" s="14">
        <v>2</v>
      </c>
      <c r="K1385" s="6" t="str">
        <f t="shared" ref="K1385:K1388" si="231">HYPERLINK("https://mobile.twitter.com","Twitter Web App")</f>
        <v>Twitter Web App</v>
      </c>
      <c r="L1385" s="15">
        <v>224</v>
      </c>
      <c r="M1385" s="15">
        <v>408</v>
      </c>
      <c r="N1385" s="15">
        <v>0</v>
      </c>
      <c r="O1385" s="9"/>
      <c r="P1385" s="10">
        <v>41351.41233796296</v>
      </c>
      <c r="Q1385" s="14" t="s">
        <v>5948</v>
      </c>
      <c r="R1385" s="14" t="s">
        <v>5949</v>
      </c>
      <c r="S1385" s="7" t="s">
        <v>5950</v>
      </c>
      <c r="T1385" s="8"/>
      <c r="U1385" s="11" t="str">
        <f>HYPERLINK("https://pbs.twimg.com/profile_images/875597117347184640/sR1LduUW.jpg","View")</f>
        <v>View</v>
      </c>
      <c r="V1385" s="8"/>
      <c r="W1385" s="8"/>
      <c r="X1385" s="8"/>
      <c r="Y1385" s="8"/>
      <c r="Z1385" s="8"/>
    </row>
    <row r="1386" spans="1:26" ht="13.2">
      <c r="A1386" s="13">
        <v>44250.432118055556</v>
      </c>
      <c r="B1386" s="6" t="str">
        <f>HYPERLINK("https://twitter.com/CerroDaniele","@CerroDaniele")</f>
        <v>@CerroDaniele</v>
      </c>
      <c r="C1386" s="14" t="s">
        <v>5951</v>
      </c>
      <c r="D1386" s="14" t="s">
        <v>5952</v>
      </c>
      <c r="E1386" s="6" t="str">
        <f>HYPERLINK("https://twitter.com/CerroDaniele/status/1364143525437317120","1364143525437317120")</f>
        <v>1364143525437317120</v>
      </c>
      <c r="F1386" s="14" t="s">
        <v>5953</v>
      </c>
      <c r="G1386" s="8"/>
      <c r="H1386" s="8"/>
      <c r="I1386" s="14">
        <v>1</v>
      </c>
      <c r="J1386" s="14">
        <v>1</v>
      </c>
      <c r="K1386" s="6" t="str">
        <f t="shared" si="231"/>
        <v>Twitter Web App</v>
      </c>
      <c r="L1386" s="15">
        <v>190</v>
      </c>
      <c r="M1386" s="15">
        <v>819</v>
      </c>
      <c r="N1386" s="15">
        <v>1</v>
      </c>
      <c r="O1386" s="9"/>
      <c r="P1386" s="10">
        <v>43260.785462962958</v>
      </c>
      <c r="Q1386" s="14" t="s">
        <v>2545</v>
      </c>
      <c r="R1386" s="14" t="s">
        <v>5954</v>
      </c>
      <c r="S1386" s="8"/>
      <c r="T1386" s="8"/>
      <c r="U1386" s="11" t="str">
        <f>HYPERLINK("https://pbs.twimg.com/profile_images/1315577044743401474/eBZ4cCiY.jpg","View")</f>
        <v>View</v>
      </c>
      <c r="V1386" s="8"/>
      <c r="W1386" s="8"/>
      <c r="X1386" s="8"/>
      <c r="Y1386" s="8"/>
      <c r="Z1386" s="8"/>
    </row>
    <row r="1387" spans="1:26" ht="13.2">
      <c r="A1387" s="13">
        <v>44250.43173611111</v>
      </c>
      <c r="B1387" s="6" t="str">
        <f>HYPERLINK("https://twitter.com/M6sp2004","@M6sp2004")</f>
        <v>@M6sp2004</v>
      </c>
      <c r="C1387" s="14" t="s">
        <v>5955</v>
      </c>
      <c r="D1387" s="14" t="s">
        <v>5956</v>
      </c>
      <c r="E1387" s="6" t="str">
        <f>HYPERLINK("https://twitter.com/M6sp2004/status/1364143385163030531","1364143385163030531")</f>
        <v>1364143385163030531</v>
      </c>
      <c r="F1387" s="7" t="s">
        <v>5957</v>
      </c>
      <c r="G1387" s="8"/>
      <c r="H1387" s="8"/>
      <c r="I1387" s="14">
        <v>0</v>
      </c>
      <c r="J1387" s="14">
        <v>0</v>
      </c>
      <c r="K1387" s="6" t="str">
        <f t="shared" si="231"/>
        <v>Twitter Web App</v>
      </c>
      <c r="L1387" s="15">
        <v>103</v>
      </c>
      <c r="M1387" s="15">
        <v>146</v>
      </c>
      <c r="N1387" s="15">
        <v>1</v>
      </c>
      <c r="O1387" s="9"/>
      <c r="P1387" s="10">
        <v>42391.69122685185</v>
      </c>
      <c r="Q1387" s="8"/>
      <c r="R1387" s="14" t="s">
        <v>5958</v>
      </c>
      <c r="S1387" s="7" t="s">
        <v>5959</v>
      </c>
      <c r="T1387" s="8"/>
      <c r="U1387" s="11" t="str">
        <f>HYPERLINK("https://pbs.twimg.com/profile_images/1320862248378814475/whlMxu6t.jpg","View")</f>
        <v>View</v>
      </c>
      <c r="V1387" s="8"/>
      <c r="W1387" s="8"/>
      <c r="X1387" s="8"/>
      <c r="Y1387" s="8"/>
      <c r="Z1387" s="8"/>
    </row>
    <row r="1388" spans="1:26" ht="13.2">
      <c r="A1388" s="13">
        <v>44250.431435185186</v>
      </c>
      <c r="B1388" s="6" t="str">
        <f>HYPERLINK("https://twitter.com/Malinovskiy_V_V","@Malinovskiy_V_V")</f>
        <v>@Malinovskiy_V_V</v>
      </c>
      <c r="C1388" s="14" t="s">
        <v>5960</v>
      </c>
      <c r="D1388" s="14" t="s">
        <v>5961</v>
      </c>
      <c r="E1388" s="6" t="str">
        <f>HYPERLINK("https://twitter.com/Malinovskiy_V_V/status/1364143278115946504","1364143278115946504")</f>
        <v>1364143278115946504</v>
      </c>
      <c r="F1388" s="8"/>
      <c r="G1388" s="7" t="s">
        <v>5962</v>
      </c>
      <c r="H1388" s="8"/>
      <c r="I1388" s="14">
        <v>17</v>
      </c>
      <c r="J1388" s="14">
        <v>8</v>
      </c>
      <c r="K1388" s="6" t="str">
        <f t="shared" si="231"/>
        <v>Twitter Web App</v>
      </c>
      <c r="L1388" s="15">
        <v>32</v>
      </c>
      <c r="M1388" s="15">
        <v>275</v>
      </c>
      <c r="N1388" s="15">
        <v>1</v>
      </c>
      <c r="O1388" s="9"/>
      <c r="P1388" s="10">
        <v>42445.410451388889</v>
      </c>
      <c r="Q1388" s="8"/>
      <c r="R1388" s="8"/>
      <c r="S1388" s="7" t="s">
        <v>5963</v>
      </c>
      <c r="T1388" s="8"/>
      <c r="U1388" s="11" t="str">
        <f>HYPERLINK("https://pbs.twimg.com/profile_images/1346067960650207233/AI-S3ZiH.jpg","View")</f>
        <v>View</v>
      </c>
      <c r="V1388" s="8"/>
      <c r="W1388" s="8"/>
      <c r="X1388" s="8"/>
      <c r="Y1388" s="8"/>
      <c r="Z1388" s="8"/>
    </row>
    <row r="1389" spans="1:26" ht="13.2">
      <c r="A1389" s="13">
        <v>44250.431250000001</v>
      </c>
      <c r="B1389" s="6" t="str">
        <f>HYPERLINK("https://twitter.com/chemanager","@chemanager")</f>
        <v>@chemanager</v>
      </c>
      <c r="C1389" s="14" t="s">
        <v>5964</v>
      </c>
      <c r="D1389" s="14" t="s">
        <v>5965</v>
      </c>
      <c r="E1389" s="6" t="str">
        <f>HYPERLINK("https://twitter.com/chemanager/status/1364143209060835330","1364143209060835330")</f>
        <v>1364143209060835330</v>
      </c>
      <c r="F1389" s="7" t="s">
        <v>5966</v>
      </c>
      <c r="G1389" s="8"/>
      <c r="H1389" s="8"/>
      <c r="I1389" s="14">
        <v>1</v>
      </c>
      <c r="J1389" s="14">
        <v>0</v>
      </c>
      <c r="K1389" s="6" t="str">
        <f>HYPERLINK("https://about.twitter.com/products/tweetdeck","TweetDeck")</f>
        <v>TweetDeck</v>
      </c>
      <c r="L1389" s="15">
        <v>3004</v>
      </c>
      <c r="M1389" s="15">
        <v>1800</v>
      </c>
      <c r="N1389" s="15">
        <v>66</v>
      </c>
      <c r="O1389" s="9"/>
      <c r="P1389" s="10">
        <v>40030.485034722224</v>
      </c>
      <c r="Q1389" s="14" t="s">
        <v>5967</v>
      </c>
      <c r="R1389" s="14" t="s">
        <v>5968</v>
      </c>
      <c r="S1389" s="7" t="s">
        <v>5969</v>
      </c>
      <c r="T1389" s="8"/>
      <c r="U1389" s="11" t="str">
        <f>HYPERLINK("https://pbs.twimg.com/profile_images/1083026508854251527/611-UUBZ.jpg","View")</f>
        <v>View</v>
      </c>
      <c r="V1389" s="8"/>
      <c r="W1389" s="8"/>
      <c r="X1389" s="8"/>
      <c r="Y1389" s="8"/>
      <c r="Z1389" s="8"/>
    </row>
    <row r="1390" spans="1:26" ht="13.2">
      <c r="A1390" s="13">
        <v>44250.431226851855</v>
      </c>
      <c r="B1390" s="6" t="str">
        <f>HYPERLINK("https://twitter.com/uniworldnews","@uniworldnews")</f>
        <v>@uniworldnews</v>
      </c>
      <c r="C1390" s="14" t="s">
        <v>5970</v>
      </c>
      <c r="D1390" s="14" t="s">
        <v>5971</v>
      </c>
      <c r="E1390" s="6" t="str">
        <f>HYPERLINK("https://twitter.com/uniworldnews/status/1364143201389543426","1364143201389543426")</f>
        <v>1364143201389543426</v>
      </c>
      <c r="F1390" s="7" t="s">
        <v>5972</v>
      </c>
      <c r="G1390" s="8"/>
      <c r="H1390" s="8"/>
      <c r="I1390" s="14">
        <v>0</v>
      </c>
      <c r="J1390" s="14">
        <v>0</v>
      </c>
      <c r="K1390" s="6" t="str">
        <f>HYPERLINK("https://www.hootsuite.com","Hootsuite Inc.")</f>
        <v>Hootsuite Inc.</v>
      </c>
      <c r="L1390" s="15">
        <v>20756</v>
      </c>
      <c r="M1390" s="15">
        <v>1100</v>
      </c>
      <c r="N1390" s="15">
        <v>763</v>
      </c>
      <c r="O1390" s="9"/>
      <c r="P1390" s="10">
        <v>40153.915925925925</v>
      </c>
      <c r="Q1390" s="8"/>
      <c r="R1390" s="14" t="s">
        <v>5973</v>
      </c>
      <c r="S1390" s="7" t="s">
        <v>5974</v>
      </c>
      <c r="T1390" s="8"/>
      <c r="U1390" s="11" t="str">
        <f>HYPERLINK("https://pbs.twimg.com/profile_images/1318251484149055490/KqkRTWPH.jpg","View")</f>
        <v>View</v>
      </c>
      <c r="V1390" s="8"/>
      <c r="W1390" s="8"/>
      <c r="X1390" s="8"/>
      <c r="Y1390" s="8"/>
      <c r="Z1390" s="8"/>
    </row>
    <row r="1391" spans="1:26" ht="13.2">
      <c r="A1391" s="13">
        <v>44250.431122685186</v>
      </c>
      <c r="B1391" s="6" t="str">
        <f>HYPERLINK("https://twitter.com/tobiaskintzel","@tobiaskintzel")</f>
        <v>@tobiaskintzel</v>
      </c>
      <c r="C1391" s="14" t="s">
        <v>5975</v>
      </c>
      <c r="D1391" s="14" t="s">
        <v>5976</v>
      </c>
      <c r="E1391" s="6" t="str">
        <f>HYPERLINK("https://twitter.com/tobiaskintzel/status/1364143163888332800","1364143163888332800")</f>
        <v>1364143163888332800</v>
      </c>
      <c r="F1391" s="7" t="s">
        <v>5977</v>
      </c>
      <c r="G1391" s="8"/>
      <c r="H1391" s="8"/>
      <c r="I1391" s="14">
        <v>0</v>
      </c>
      <c r="J1391" s="14">
        <v>1</v>
      </c>
      <c r="K1391" s="6" t="str">
        <f t="shared" ref="K1391:K1393" si="232">HYPERLINK("https://mobile.twitter.com","Twitter Web App")</f>
        <v>Twitter Web App</v>
      </c>
      <c r="L1391" s="15">
        <v>4734</v>
      </c>
      <c r="M1391" s="15">
        <v>4520</v>
      </c>
      <c r="N1391" s="15">
        <v>363</v>
      </c>
      <c r="O1391" s="9"/>
      <c r="P1391" s="10">
        <v>40284.455405092594</v>
      </c>
      <c r="Q1391" s="14" t="s">
        <v>5978</v>
      </c>
      <c r="R1391" s="14" t="s">
        <v>5979</v>
      </c>
      <c r="S1391" s="8"/>
      <c r="T1391" s="8"/>
      <c r="U1391" s="11" t="str">
        <f>HYPERLINK("https://pbs.twimg.com/profile_images/1118176403374129154/kogmnGB0.png","View")</f>
        <v>View</v>
      </c>
      <c r="V1391" s="8"/>
      <c r="W1391" s="8"/>
      <c r="X1391" s="8"/>
      <c r="Y1391" s="8"/>
      <c r="Z1391" s="8"/>
    </row>
    <row r="1392" spans="1:26" ht="13.2">
      <c r="A1392" s="13">
        <v>44250.430960648147</v>
      </c>
      <c r="B1392" s="6" t="str">
        <f>HYPERLINK("https://twitter.com/Ind_Prod","@Ind_Prod")</f>
        <v>@Ind_Prod</v>
      </c>
      <c r="C1392" s="14" t="s">
        <v>5980</v>
      </c>
      <c r="D1392" s="14" t="s">
        <v>5981</v>
      </c>
      <c r="E1392" s="6" t="str">
        <f>HYPERLINK("https://twitter.com/Ind_Prod/status/1364143107000983552","1364143107000983552")</f>
        <v>1364143107000983552</v>
      </c>
      <c r="F1392" s="7" t="s">
        <v>5982</v>
      </c>
      <c r="G1392" s="8"/>
      <c r="H1392" s="8"/>
      <c r="I1392" s="14">
        <v>2</v>
      </c>
      <c r="J1392" s="14">
        <v>1</v>
      </c>
      <c r="K1392" s="6" t="str">
        <f t="shared" si="232"/>
        <v>Twitter Web App</v>
      </c>
      <c r="L1392" s="15">
        <v>3247</v>
      </c>
      <c r="M1392" s="15">
        <v>1604</v>
      </c>
      <c r="N1392" s="15">
        <v>180</v>
      </c>
      <c r="O1392" s="9"/>
      <c r="P1392" s="10">
        <v>40064.605393518519</v>
      </c>
      <c r="Q1392" s="14" t="s">
        <v>5983</v>
      </c>
      <c r="R1392" s="14" t="s">
        <v>5984</v>
      </c>
      <c r="S1392" s="7" t="s">
        <v>5985</v>
      </c>
      <c r="T1392" s="8"/>
      <c r="U1392" s="11" t="str">
        <f>HYPERLINK("https://pbs.twimg.com/profile_images/1306148105889476609/zhySd9YH.png","View")</f>
        <v>View</v>
      </c>
      <c r="V1392" s="8"/>
      <c r="W1392" s="8"/>
      <c r="X1392" s="8"/>
      <c r="Y1392" s="8"/>
      <c r="Z1392" s="8"/>
    </row>
    <row r="1393" spans="1:26" ht="13.2">
      <c r="A1393" s="13">
        <v>44250.429571759261</v>
      </c>
      <c r="B1393" s="6" t="str">
        <f>HYPERLINK("https://twitter.com/TudipTech","@TudipTech")</f>
        <v>@TudipTech</v>
      </c>
      <c r="C1393" s="14" t="s">
        <v>5986</v>
      </c>
      <c r="D1393" s="14" t="s">
        <v>5987</v>
      </c>
      <c r="E1393" s="6" t="str">
        <f>HYPERLINK("https://twitter.com/TudipTech/status/1364142601725612033","1364142601725612033")</f>
        <v>1364142601725612033</v>
      </c>
      <c r="F1393" s="7" t="s">
        <v>5988</v>
      </c>
      <c r="G1393" s="8"/>
      <c r="H1393" s="8"/>
      <c r="I1393" s="14">
        <v>3</v>
      </c>
      <c r="J1393" s="14">
        <v>2</v>
      </c>
      <c r="K1393" s="6" t="str">
        <f t="shared" si="232"/>
        <v>Twitter Web App</v>
      </c>
      <c r="L1393" s="15">
        <v>356</v>
      </c>
      <c r="M1393" s="15">
        <v>248</v>
      </c>
      <c r="N1393" s="15">
        <v>28</v>
      </c>
      <c r="O1393" s="9"/>
      <c r="P1393" s="10">
        <v>41670.631585648152</v>
      </c>
      <c r="Q1393" s="14" t="s">
        <v>2167</v>
      </c>
      <c r="R1393" s="14" t="s">
        <v>5989</v>
      </c>
      <c r="S1393" s="7" t="s">
        <v>5990</v>
      </c>
      <c r="T1393" s="8"/>
      <c r="U1393" s="11" t="str">
        <f>HYPERLINK("https://pbs.twimg.com/profile_images/1287050069196173317/a_CuPMK4.jpg","View")</f>
        <v>View</v>
      </c>
      <c r="V1393" s="8"/>
      <c r="W1393" s="8"/>
      <c r="X1393" s="8"/>
      <c r="Y1393" s="8"/>
      <c r="Z1393" s="8"/>
    </row>
    <row r="1394" spans="1:26" ht="13.2">
      <c r="A1394" s="13">
        <v>44250.42931712963</v>
      </c>
      <c r="B1394" s="6" t="str">
        <f>HYPERLINK("https://twitter.com/AIAdamUK","@AIAdamUK")</f>
        <v>@AIAdamUK</v>
      </c>
      <c r="C1394" s="14" t="s">
        <v>5991</v>
      </c>
      <c r="D1394" s="14" t="s">
        <v>5992</v>
      </c>
      <c r="E1394" s="6" t="str">
        <f>HYPERLINK("https://twitter.com/AIAdamUK/status/1364142508620578816","1364142508620578816")</f>
        <v>1364142508620578816</v>
      </c>
      <c r="F1394" s="7" t="s">
        <v>5993</v>
      </c>
      <c r="G1394" s="8"/>
      <c r="H1394" s="8"/>
      <c r="I1394" s="14">
        <v>2</v>
      </c>
      <c r="J1394" s="14">
        <v>0</v>
      </c>
      <c r="K1394" s="6" t="str">
        <f>HYPERLINK("https://paper.li","Paper.li")</f>
        <v>Paper.li</v>
      </c>
      <c r="L1394" s="15">
        <v>569</v>
      </c>
      <c r="M1394" s="15">
        <v>570</v>
      </c>
      <c r="N1394" s="15">
        <v>16</v>
      </c>
      <c r="O1394" s="9"/>
      <c r="P1394" s="10">
        <v>43005.701099537036</v>
      </c>
      <c r="Q1394" s="14" t="s">
        <v>599</v>
      </c>
      <c r="R1394" s="14" t="s">
        <v>5994</v>
      </c>
      <c r="S1394" s="7" t="s">
        <v>5995</v>
      </c>
      <c r="T1394" s="8"/>
      <c r="U1394" s="11" t="str">
        <f>HYPERLINK("https://pbs.twimg.com/profile_images/939143336090271744/UKbNTleL.jpg","View")</f>
        <v>View</v>
      </c>
      <c r="V1394" s="8"/>
      <c r="W1394" s="8"/>
      <c r="X1394" s="8"/>
      <c r="Y1394" s="8"/>
      <c r="Z1394" s="8"/>
    </row>
    <row r="1395" spans="1:26" ht="13.2">
      <c r="A1395" s="13">
        <v>44250.428981481484</v>
      </c>
      <c r="B1395" s="6" t="str">
        <f>HYPERLINK("https://twitter.com/Innovat78455398","@Innovat78455398")</f>
        <v>@Innovat78455398</v>
      </c>
      <c r="C1395" s="14" t="s">
        <v>4318</v>
      </c>
      <c r="D1395" s="14" t="s">
        <v>5996</v>
      </c>
      <c r="E1395" s="6" t="str">
        <f>HYPERLINK("https://twitter.com/Innovat78455398/status/1364142386247532545","1364142386247532545")</f>
        <v>1364142386247532545</v>
      </c>
      <c r="F1395" s="7" t="s">
        <v>5997</v>
      </c>
      <c r="G1395" s="7" t="s">
        <v>5998</v>
      </c>
      <c r="H1395" s="8"/>
      <c r="I1395" s="14">
        <v>11</v>
      </c>
      <c r="J1395" s="14">
        <v>3</v>
      </c>
      <c r="K1395" s="6" t="str">
        <f t="shared" ref="K1395:K1397" si="233">HYPERLINK("https://mobile.twitter.com","Twitter Web App")</f>
        <v>Twitter Web App</v>
      </c>
      <c r="L1395" s="15">
        <v>101</v>
      </c>
      <c r="M1395" s="15">
        <v>142</v>
      </c>
      <c r="N1395" s="15">
        <v>1</v>
      </c>
      <c r="O1395" s="9"/>
      <c r="P1395" s="10">
        <v>44075.047534722224</v>
      </c>
      <c r="Q1395" s="14" t="s">
        <v>623</v>
      </c>
      <c r="R1395" s="14" t="s">
        <v>4322</v>
      </c>
      <c r="S1395" s="8"/>
      <c r="T1395" s="8"/>
      <c r="U1395" s="11" t="str">
        <f>HYPERLINK("https://pbs.twimg.com/profile_images/1300571380098850818/YjKI8L9l.jpg","View")</f>
        <v>View</v>
      </c>
      <c r="V1395" s="8"/>
      <c r="W1395" s="8"/>
      <c r="X1395" s="8"/>
      <c r="Y1395" s="8"/>
      <c r="Z1395" s="8"/>
    </row>
    <row r="1396" spans="1:26" ht="13.2">
      <c r="A1396" s="13">
        <v>44250.428923611107</v>
      </c>
      <c r="B1396" s="6" t="str">
        <f>HYPERLINK("https://twitter.com/Karunadutechno","@Karunadutechno")</f>
        <v>@Karunadutechno</v>
      </c>
      <c r="C1396" s="14" t="s">
        <v>5999</v>
      </c>
      <c r="D1396" s="14" t="s">
        <v>6000</v>
      </c>
      <c r="E1396" s="6" t="str">
        <f>HYPERLINK("https://twitter.com/Karunadutechno/status/1364142367687675906","1364142367687675906")</f>
        <v>1364142367687675906</v>
      </c>
      <c r="F1396" s="7" t="s">
        <v>6001</v>
      </c>
      <c r="G1396" s="7" t="s">
        <v>6002</v>
      </c>
      <c r="H1396" s="8"/>
      <c r="I1396" s="14">
        <v>3</v>
      </c>
      <c r="J1396" s="14">
        <v>1</v>
      </c>
      <c r="K1396" s="6" t="str">
        <f t="shared" si="233"/>
        <v>Twitter Web App</v>
      </c>
      <c r="L1396" s="15">
        <v>11</v>
      </c>
      <c r="M1396" s="15">
        <v>6</v>
      </c>
      <c r="N1396" s="15">
        <v>0</v>
      </c>
      <c r="O1396" s="9"/>
      <c r="P1396" s="10">
        <v>41967.73369212963</v>
      </c>
      <c r="Q1396" s="14" t="s">
        <v>6003</v>
      </c>
      <c r="R1396" s="14" t="s">
        <v>6004</v>
      </c>
      <c r="S1396" s="7" t="s">
        <v>6005</v>
      </c>
      <c r="T1396" s="8"/>
      <c r="U1396" s="11" t="str">
        <f>HYPERLINK("https://pbs.twimg.com/profile_images/1198568064322654208/rO4F-kPT.jpg","View")</f>
        <v>View</v>
      </c>
      <c r="V1396" s="8"/>
      <c r="W1396" s="8"/>
      <c r="X1396" s="8"/>
      <c r="Y1396" s="8"/>
      <c r="Z1396" s="8"/>
    </row>
    <row r="1397" spans="1:26" ht="13.2">
      <c r="A1397" s="13">
        <v>44250.428784722222</v>
      </c>
      <c r="B1397" s="6" t="str">
        <f>HYPERLINK("https://twitter.com/Desfufor","@Desfufor")</f>
        <v>@Desfufor</v>
      </c>
      <c r="C1397" s="14" t="s">
        <v>6006</v>
      </c>
      <c r="D1397" s="14" t="s">
        <v>6007</v>
      </c>
      <c r="E1397" s="6" t="str">
        <f>HYPERLINK("https://twitter.com/Desfufor/status/1364142316898893824","1364142316898893824")</f>
        <v>1364142316898893824</v>
      </c>
      <c r="F1397" s="7" t="s">
        <v>6008</v>
      </c>
      <c r="G1397" s="8"/>
      <c r="H1397" s="8"/>
      <c r="I1397" s="14">
        <v>0</v>
      </c>
      <c r="J1397" s="14">
        <v>0</v>
      </c>
      <c r="K1397" s="6" t="str">
        <f t="shared" si="233"/>
        <v>Twitter Web App</v>
      </c>
      <c r="L1397" s="15">
        <v>742</v>
      </c>
      <c r="M1397" s="15">
        <v>829</v>
      </c>
      <c r="N1397" s="15">
        <v>47</v>
      </c>
      <c r="O1397" s="9"/>
      <c r="P1397" s="10">
        <v>40902.603229166663</v>
      </c>
      <c r="Q1397" s="14" t="s">
        <v>75</v>
      </c>
      <c r="R1397" s="14" t="s">
        <v>6009</v>
      </c>
      <c r="S1397" s="7" t="s">
        <v>6010</v>
      </c>
      <c r="T1397" s="8"/>
      <c r="U1397" s="11" t="str">
        <f>HYPERLINK("https://pbs.twimg.com/profile_images/721419362314371072/2UZix68O.jpg","View")</f>
        <v>View</v>
      </c>
      <c r="V1397" s="8"/>
      <c r="W1397" s="8"/>
      <c r="X1397" s="8"/>
      <c r="Y1397" s="8"/>
      <c r="Z1397" s="8"/>
    </row>
    <row r="1398" spans="1:26" ht="13.2">
      <c r="A1398" s="13">
        <v>44250.42868055556</v>
      </c>
      <c r="B1398" s="6" t="str">
        <f>HYPERLINK("https://twitter.com/_AlexLuciani_","@_AlexLuciani_")</f>
        <v>@_AlexLuciani_</v>
      </c>
      <c r="C1398" s="14" t="s">
        <v>2480</v>
      </c>
      <c r="D1398" s="14" t="s">
        <v>6011</v>
      </c>
      <c r="E1398" s="6" t="str">
        <f>HYPERLINK("https://twitter.com/_AlexLuciani_/status/1364142277929684992","1364142277929684992")</f>
        <v>1364142277929684992</v>
      </c>
      <c r="F1398" s="14" t="s">
        <v>4483</v>
      </c>
      <c r="G1398" s="8"/>
      <c r="H1398" s="8"/>
      <c r="I1398" s="14">
        <v>2</v>
      </c>
      <c r="J1398" s="14">
        <v>0</v>
      </c>
      <c r="K1398" s="6" t="str">
        <f>HYPERLINK("http://twinybots.com","TwinyBots")</f>
        <v>TwinyBots</v>
      </c>
      <c r="L1398" s="15">
        <v>362</v>
      </c>
      <c r="M1398" s="15">
        <v>290</v>
      </c>
      <c r="N1398" s="15">
        <v>4</v>
      </c>
      <c r="O1398" s="9"/>
      <c r="P1398" s="10">
        <v>40430.911168981482</v>
      </c>
      <c r="Q1398" s="14" t="s">
        <v>2483</v>
      </c>
      <c r="R1398" s="14" t="s">
        <v>2484</v>
      </c>
      <c r="S1398" s="7" t="s">
        <v>2485</v>
      </c>
      <c r="T1398" s="8"/>
      <c r="U1398" s="11" t="str">
        <f>HYPERLINK("https://pbs.twimg.com/profile_images/1176902203149303810/4WyorLOR.jpg","View")</f>
        <v>View</v>
      </c>
      <c r="V1398" s="8"/>
      <c r="W1398" s="8"/>
      <c r="X1398" s="8"/>
      <c r="Y1398" s="8"/>
      <c r="Z1398" s="8"/>
    </row>
    <row r="1399" spans="1:26" ht="13.2">
      <c r="A1399" s="13">
        <v>44250.428576388891</v>
      </c>
      <c r="B1399" s="6" t="str">
        <f>HYPERLINK("https://twitter.com/PreeyaRajah","@PreeyaRajah")</f>
        <v>@PreeyaRajah</v>
      </c>
      <c r="C1399" s="14" t="s">
        <v>6012</v>
      </c>
      <c r="D1399" s="14" t="s">
        <v>6013</v>
      </c>
      <c r="E1399" s="6" t="str">
        <f>HYPERLINK("https://twitter.com/PreeyaRajah/status/1364142241011261442","1364142241011261442")</f>
        <v>1364142241011261442</v>
      </c>
      <c r="F1399" s="7" t="s">
        <v>6014</v>
      </c>
      <c r="G1399" s="8"/>
      <c r="H1399" s="8"/>
      <c r="I1399" s="14">
        <v>2</v>
      </c>
      <c r="J1399" s="14">
        <v>2</v>
      </c>
      <c r="K1399" s="6" t="str">
        <f t="shared" ref="K1399:K1402" si="234">HYPERLINK("https://mobile.twitter.com","Twitter Web App")</f>
        <v>Twitter Web App</v>
      </c>
      <c r="L1399" s="15">
        <v>443</v>
      </c>
      <c r="M1399" s="15">
        <v>1196</v>
      </c>
      <c r="N1399" s="15">
        <v>343</v>
      </c>
      <c r="O1399" s="9"/>
      <c r="P1399" s="10">
        <v>40976.967800925922</v>
      </c>
      <c r="Q1399" s="14" t="s">
        <v>792</v>
      </c>
      <c r="R1399" s="14" t="s">
        <v>6015</v>
      </c>
      <c r="S1399" s="8"/>
      <c r="T1399" s="8"/>
      <c r="U1399" s="11" t="str">
        <f>HYPERLINK("https://pbs.twimg.com/profile_images/1357623837366517760/XsWialgl.jpg","View")</f>
        <v>View</v>
      </c>
      <c r="V1399" s="8"/>
      <c r="W1399" s="8"/>
      <c r="X1399" s="8"/>
      <c r="Y1399" s="8"/>
      <c r="Z1399" s="8"/>
    </row>
    <row r="1400" spans="1:26" ht="13.2">
      <c r="A1400" s="13">
        <v>44250.42796296296</v>
      </c>
      <c r="B1400" s="6" t="str">
        <f>HYPERLINK("https://twitter.com/Innovat78455398","@Innovat78455398")</f>
        <v>@Innovat78455398</v>
      </c>
      <c r="C1400" s="14" t="s">
        <v>4318</v>
      </c>
      <c r="D1400" s="14" t="s">
        <v>6016</v>
      </c>
      <c r="E1400" s="6" t="str">
        <f>HYPERLINK("https://twitter.com/Innovat78455398/status/1364142017182265349","1364142017182265349")</f>
        <v>1364142017182265349</v>
      </c>
      <c r="F1400" s="7" t="s">
        <v>6017</v>
      </c>
      <c r="G1400" s="7" t="s">
        <v>6018</v>
      </c>
      <c r="H1400" s="8"/>
      <c r="I1400" s="14">
        <v>10</v>
      </c>
      <c r="J1400" s="14">
        <v>3</v>
      </c>
      <c r="K1400" s="6" t="str">
        <f t="shared" si="234"/>
        <v>Twitter Web App</v>
      </c>
      <c r="L1400" s="15">
        <v>101</v>
      </c>
      <c r="M1400" s="15">
        <v>142</v>
      </c>
      <c r="N1400" s="15">
        <v>1</v>
      </c>
      <c r="O1400" s="9"/>
      <c r="P1400" s="10">
        <v>44075.047534722224</v>
      </c>
      <c r="Q1400" s="14" t="s">
        <v>623</v>
      </c>
      <c r="R1400" s="14" t="s">
        <v>4322</v>
      </c>
      <c r="S1400" s="8"/>
      <c r="T1400" s="8"/>
      <c r="U1400" s="11" t="str">
        <f>HYPERLINK("https://pbs.twimg.com/profile_images/1300571380098850818/YjKI8L9l.jpg","View")</f>
        <v>View</v>
      </c>
      <c r="V1400" s="8"/>
      <c r="W1400" s="8"/>
      <c r="X1400" s="8"/>
      <c r="Y1400" s="8"/>
      <c r="Z1400" s="8"/>
    </row>
    <row r="1401" spans="1:26" ht="13.2">
      <c r="A1401" s="13">
        <v>44250.427546296298</v>
      </c>
      <c r="B1401" s="6" t="str">
        <f>HYPERLINK("https://twitter.com/crismolerorio","@crismolerorio")</f>
        <v>@crismolerorio</v>
      </c>
      <c r="C1401" s="14" t="s">
        <v>6019</v>
      </c>
      <c r="D1401" s="14" t="s">
        <v>6020</v>
      </c>
      <c r="E1401" s="6" t="str">
        <f>HYPERLINK("https://twitter.com/crismolerorio/status/1364141868456501249","1364141868456501249")</f>
        <v>1364141868456501249</v>
      </c>
      <c r="F1401" s="14" t="s">
        <v>6021</v>
      </c>
      <c r="G1401" s="7" t="s">
        <v>6022</v>
      </c>
      <c r="H1401" s="8"/>
      <c r="I1401" s="14">
        <v>5</v>
      </c>
      <c r="J1401" s="14">
        <v>5</v>
      </c>
      <c r="K1401" s="6" t="str">
        <f t="shared" si="234"/>
        <v>Twitter Web App</v>
      </c>
      <c r="L1401" s="15">
        <v>138</v>
      </c>
      <c r="M1401" s="15">
        <v>155</v>
      </c>
      <c r="N1401" s="15">
        <v>1</v>
      </c>
      <c r="O1401" s="9"/>
      <c r="P1401" s="10">
        <v>43498.501111111109</v>
      </c>
      <c r="Q1401" s="8"/>
      <c r="R1401" s="8"/>
      <c r="S1401" s="8"/>
      <c r="T1401" s="8"/>
      <c r="U1401" s="11" t="str">
        <f>HYPERLINK("https://pbs.twimg.com/profile_images/1091666539957444610/1-dGgfLS.jpg","View")</f>
        <v>View</v>
      </c>
      <c r="V1401" s="8"/>
      <c r="W1401" s="8"/>
      <c r="X1401" s="8"/>
      <c r="Y1401" s="8"/>
      <c r="Z1401" s="8"/>
    </row>
    <row r="1402" spans="1:26" ht="13.2">
      <c r="A1402" s="13">
        <v>44250.427384259259</v>
      </c>
      <c r="B1402" s="6" t="str">
        <f>HYPERLINK("https://twitter.com/kgourg","@kgourg")</f>
        <v>@kgourg</v>
      </c>
      <c r="C1402" s="14" t="s">
        <v>6023</v>
      </c>
      <c r="D1402" s="14" t="s">
        <v>6024</v>
      </c>
      <c r="E1402" s="6" t="str">
        <f>HYPERLINK("https://twitter.com/kgourg/status/1364141810155745282","1364141810155745282")</f>
        <v>1364141810155745282</v>
      </c>
      <c r="F1402" s="8"/>
      <c r="G1402" s="7" t="s">
        <v>6025</v>
      </c>
      <c r="H1402" s="8"/>
      <c r="I1402" s="14">
        <v>3</v>
      </c>
      <c r="J1402" s="14">
        <v>3</v>
      </c>
      <c r="K1402" s="6" t="str">
        <f t="shared" si="234"/>
        <v>Twitter Web App</v>
      </c>
      <c r="L1402" s="15">
        <v>457</v>
      </c>
      <c r="M1402" s="15">
        <v>1728</v>
      </c>
      <c r="N1402" s="15">
        <v>20</v>
      </c>
      <c r="O1402" s="9"/>
      <c r="P1402" s="10">
        <v>41726.024259259255</v>
      </c>
      <c r="Q1402" s="8"/>
      <c r="R1402" s="14" t="s">
        <v>6026</v>
      </c>
      <c r="S1402" s="7" t="s">
        <v>6027</v>
      </c>
      <c r="T1402" s="8"/>
      <c r="U1402" s="11" t="str">
        <f>HYPERLINK("https://pbs.twimg.com/profile_images/1174765988471922688/q56r0GtQ.jpg","View")</f>
        <v>View</v>
      </c>
      <c r="V1402" s="8"/>
      <c r="W1402" s="8"/>
      <c r="X1402" s="8"/>
      <c r="Y1402" s="8"/>
      <c r="Z1402" s="8"/>
    </row>
    <row r="1403" spans="1:26" ht="13.2">
      <c r="A1403" s="13">
        <v>44250.427129629628</v>
      </c>
      <c r="B1403" s="6" t="str">
        <f>HYPERLINK("https://twitter.com/nigewillson","@nigewillson")</f>
        <v>@nigewillson</v>
      </c>
      <c r="C1403" s="14" t="s">
        <v>95</v>
      </c>
      <c r="D1403" s="14" t="s">
        <v>6028</v>
      </c>
      <c r="E1403" s="6" t="str">
        <f>HYPERLINK("https://twitter.com/nigewillson/status/1364141718124257281","1364141718124257281")</f>
        <v>1364141718124257281</v>
      </c>
      <c r="F1403" s="7" t="s">
        <v>6029</v>
      </c>
      <c r="G1403" s="7" t="s">
        <v>6030</v>
      </c>
      <c r="H1403" s="8"/>
      <c r="I1403" s="14">
        <v>19</v>
      </c>
      <c r="J1403" s="14">
        <v>20</v>
      </c>
      <c r="K1403" s="6" t="str">
        <f>HYPERLINK("https://buffer.com","Buffer")</f>
        <v>Buffer</v>
      </c>
      <c r="L1403" s="15">
        <v>57515</v>
      </c>
      <c r="M1403" s="15">
        <v>49523</v>
      </c>
      <c r="N1403" s="15">
        <v>1688</v>
      </c>
      <c r="O1403" s="9"/>
      <c r="P1403" s="10">
        <v>40530.666805555556</v>
      </c>
      <c r="Q1403" s="14" t="s">
        <v>99</v>
      </c>
      <c r="R1403" s="14" t="s">
        <v>100</v>
      </c>
      <c r="S1403" s="7" t="s">
        <v>101</v>
      </c>
      <c r="T1403" s="8"/>
      <c r="U1403" s="11" t="str">
        <f>HYPERLINK("https://pbs.twimg.com/profile_images/1085251590997622784/x9mWVQ1d.jpg","View")</f>
        <v>View</v>
      </c>
      <c r="V1403" s="8"/>
      <c r="W1403" s="8"/>
      <c r="X1403" s="8"/>
      <c r="Y1403" s="8"/>
      <c r="Z1403" s="8"/>
    </row>
    <row r="1404" spans="1:26" ht="13.2">
      <c r="A1404" s="13">
        <v>44250.426655092597</v>
      </c>
      <c r="B1404" s="6" t="str">
        <f>HYPERLINK("https://twitter.com/Innovat78455398","@Innovat78455398")</f>
        <v>@Innovat78455398</v>
      </c>
      <c r="C1404" s="14" t="s">
        <v>4318</v>
      </c>
      <c r="D1404" s="14" t="s">
        <v>6031</v>
      </c>
      <c r="E1404" s="6" t="str">
        <f>HYPERLINK("https://twitter.com/Innovat78455398/status/1364141544043810819","1364141544043810819")</f>
        <v>1364141544043810819</v>
      </c>
      <c r="F1404" s="7" t="s">
        <v>6032</v>
      </c>
      <c r="G1404" s="7" t="s">
        <v>6033</v>
      </c>
      <c r="H1404" s="8"/>
      <c r="I1404" s="14">
        <v>5</v>
      </c>
      <c r="J1404" s="14">
        <v>3</v>
      </c>
      <c r="K1404" s="6" t="str">
        <f>HYPERLINK("https://mobile.twitter.com","Twitter Web App")</f>
        <v>Twitter Web App</v>
      </c>
      <c r="L1404" s="15">
        <v>101</v>
      </c>
      <c r="M1404" s="15">
        <v>142</v>
      </c>
      <c r="N1404" s="15">
        <v>1</v>
      </c>
      <c r="O1404" s="9"/>
      <c r="P1404" s="10">
        <v>44075.047534722224</v>
      </c>
      <c r="Q1404" s="14" t="s">
        <v>623</v>
      </c>
      <c r="R1404" s="14" t="s">
        <v>4322</v>
      </c>
      <c r="S1404" s="8"/>
      <c r="T1404" s="8"/>
      <c r="U1404" s="11" t="str">
        <f>HYPERLINK("https://pbs.twimg.com/profile_images/1300571380098850818/YjKI8L9l.jpg","View")</f>
        <v>View</v>
      </c>
      <c r="V1404" s="8"/>
      <c r="W1404" s="8"/>
      <c r="X1404" s="8"/>
      <c r="Y1404" s="8"/>
      <c r="Z1404" s="8"/>
    </row>
    <row r="1405" spans="1:26" ht="13.2">
      <c r="A1405" s="13">
        <v>44250.426516203705</v>
      </c>
      <c r="B1405" s="6" t="str">
        <f>HYPERLINK("https://twitter.com/CourseOp","@CourseOp")</f>
        <v>@CourseOp</v>
      </c>
      <c r="C1405" s="14" t="s">
        <v>3434</v>
      </c>
      <c r="D1405" s="14" t="s">
        <v>5863</v>
      </c>
      <c r="E1405" s="6" t="str">
        <f>HYPERLINK("https://twitter.com/CourseOp/status/1364141495452901377","1364141495452901377")</f>
        <v>1364141495452901377</v>
      </c>
      <c r="F1405" s="7" t="s">
        <v>6034</v>
      </c>
      <c r="G1405" s="8"/>
      <c r="H1405" s="8"/>
      <c r="I1405" s="14">
        <v>8</v>
      </c>
      <c r="J1405" s="14">
        <v>4</v>
      </c>
      <c r="K1405" s="6" t="str">
        <f>HYPERLINK("https://www.jucktion.com","Jucktion")</f>
        <v>Jucktion</v>
      </c>
      <c r="L1405" s="15">
        <v>2371</v>
      </c>
      <c r="M1405" s="15">
        <v>3349</v>
      </c>
      <c r="N1405" s="15">
        <v>33</v>
      </c>
      <c r="O1405" s="9"/>
      <c r="P1405" s="10">
        <v>43363.274502314816</v>
      </c>
      <c r="Q1405" s="14" t="s">
        <v>3437</v>
      </c>
      <c r="R1405" s="14" t="s">
        <v>3438</v>
      </c>
      <c r="S1405" s="7" t="s">
        <v>3439</v>
      </c>
      <c r="T1405" s="8"/>
      <c r="U1405" s="11" t="str">
        <f>HYPERLINK("https://pbs.twimg.com/profile_images/1042752273716326400/4fXbScZ1.jpg","View")</f>
        <v>View</v>
      </c>
      <c r="V1405" s="8"/>
      <c r="W1405" s="8"/>
      <c r="X1405" s="8"/>
      <c r="Y1405" s="8"/>
      <c r="Z1405" s="8"/>
    </row>
    <row r="1406" spans="1:26" ht="13.2">
      <c r="A1406" s="13">
        <v>44250.426273148143</v>
      </c>
      <c r="B1406" s="6" t="str">
        <f>HYPERLINK("https://twitter.com/SuccessAnalytiX","@SuccessAnalytiX")</f>
        <v>@SuccessAnalytiX</v>
      </c>
      <c r="C1406" s="14" t="s">
        <v>1149</v>
      </c>
      <c r="D1406" s="14" t="s">
        <v>4799</v>
      </c>
      <c r="E1406" s="6" t="str">
        <f>HYPERLINK("https://twitter.com/SuccessAnalytiX/status/1364141404960804865","1364141404960804865")</f>
        <v>1364141404960804865</v>
      </c>
      <c r="F1406" s="7" t="s">
        <v>6035</v>
      </c>
      <c r="G1406" s="8"/>
      <c r="H1406" s="8"/>
      <c r="I1406" s="14">
        <v>33</v>
      </c>
      <c r="J1406" s="14">
        <v>10</v>
      </c>
      <c r="K1406" s="6" t="str">
        <f>HYPERLINK("http://twitter.com/download/iphone","Twitter for iPhone")</f>
        <v>Twitter for iPhone</v>
      </c>
      <c r="L1406" s="15">
        <v>2744</v>
      </c>
      <c r="M1406" s="15">
        <v>2908</v>
      </c>
      <c r="N1406" s="15">
        <v>11</v>
      </c>
      <c r="O1406" s="9"/>
      <c r="P1406" s="10">
        <v>43149.839606481481</v>
      </c>
      <c r="Q1406" s="14" t="s">
        <v>1152</v>
      </c>
      <c r="R1406" s="14" t="s">
        <v>1153</v>
      </c>
      <c r="S1406" s="7" t="s">
        <v>1154</v>
      </c>
      <c r="T1406" s="8"/>
      <c r="U1406" s="11" t="str">
        <f>HYPERLINK("https://pbs.twimg.com/profile_images/1154058190545391616/pOYyXv3r.jpg","View")</f>
        <v>View</v>
      </c>
      <c r="V1406" s="8"/>
      <c r="W1406" s="8"/>
      <c r="X1406" s="8"/>
      <c r="Y1406" s="8"/>
      <c r="Z1406" s="8"/>
    </row>
    <row r="1407" spans="1:26" ht="13.2">
      <c r="A1407" s="13">
        <v>44250.426145833335</v>
      </c>
      <c r="B1407" s="6" t="str">
        <f>HYPERLINK("https://twitter.com/machinelearnflx","@machinelearnflx")</f>
        <v>@machinelearnflx</v>
      </c>
      <c r="C1407" s="14" t="s">
        <v>279</v>
      </c>
      <c r="D1407" s="14" t="s">
        <v>6036</v>
      </c>
      <c r="E1407" s="6" t="str">
        <f>HYPERLINK("https://twitter.com/machinelearnflx/status/1364141360413093889","1364141360413093889")</f>
        <v>1364141360413093889</v>
      </c>
      <c r="F1407" s="7" t="s">
        <v>6037</v>
      </c>
      <c r="G1407" s="8"/>
      <c r="H1407" s="8"/>
      <c r="I1407" s="14">
        <v>16</v>
      </c>
      <c r="J1407" s="14">
        <v>26</v>
      </c>
      <c r="K1407" s="6" t="str">
        <f>HYPERLINK("https://twitter.com/pythonbot_","Postmatico")</f>
        <v>Postmatico</v>
      </c>
      <c r="L1407" s="15">
        <v>90451</v>
      </c>
      <c r="M1407" s="15">
        <v>35464</v>
      </c>
      <c r="N1407" s="15">
        <v>2227</v>
      </c>
      <c r="O1407" s="9"/>
      <c r="P1407" s="10">
        <v>42386.538865740746</v>
      </c>
      <c r="Q1407" s="8"/>
      <c r="R1407" s="14" t="s">
        <v>282</v>
      </c>
      <c r="S1407" s="7" t="s">
        <v>283</v>
      </c>
      <c r="T1407" s="8"/>
      <c r="U1407" s="11" t="str">
        <f>HYPERLINK("https://pbs.twimg.com/profile_images/688735459892195329/v8sHaWSG.jpg","View")</f>
        <v>View</v>
      </c>
      <c r="V1407" s="8"/>
      <c r="W1407" s="8"/>
      <c r="X1407" s="8"/>
      <c r="Y1407" s="8"/>
      <c r="Z1407" s="8"/>
    </row>
    <row r="1408" spans="1:26" ht="13.2">
      <c r="A1408" s="13">
        <v>44250.426099537042</v>
      </c>
      <c r="B1408" s="6" t="str">
        <f>HYPERLINK("https://twitter.com/LancetDigitalH","@LancetDigitalH")</f>
        <v>@LancetDigitalH</v>
      </c>
      <c r="C1408" s="14" t="s">
        <v>6038</v>
      </c>
      <c r="D1408" s="14" t="s">
        <v>6039</v>
      </c>
      <c r="E1408" s="6" t="str">
        <f>HYPERLINK("https://twitter.com/LancetDigitalH/status/1364141344223096835","1364141344223096835")</f>
        <v>1364141344223096835</v>
      </c>
      <c r="F1408" s="7" t="s">
        <v>6040</v>
      </c>
      <c r="G1408" s="7" t="s">
        <v>6041</v>
      </c>
      <c r="H1408" s="8"/>
      <c r="I1408" s="14">
        <v>17</v>
      </c>
      <c r="J1408" s="14">
        <v>23</v>
      </c>
      <c r="K1408" s="6" t="str">
        <f t="shared" ref="K1408:K1409" si="235">HYPERLINK("https://mobile.twitter.com","Twitter Web App")</f>
        <v>Twitter Web App</v>
      </c>
      <c r="L1408" s="15">
        <v>8581</v>
      </c>
      <c r="M1408" s="15">
        <v>200</v>
      </c>
      <c r="N1408" s="15">
        <v>179</v>
      </c>
      <c r="O1408" s="9"/>
      <c r="P1408" s="10">
        <v>43469.706585648149</v>
      </c>
      <c r="Q1408" s="14" t="s">
        <v>599</v>
      </c>
      <c r="R1408" s="14" t="s">
        <v>6042</v>
      </c>
      <c r="S1408" s="7" t="s">
        <v>6043</v>
      </c>
      <c r="T1408" s="8"/>
      <c r="U1408" s="11" t="str">
        <f>HYPERLINK("https://pbs.twimg.com/profile_images/1081230080427417602/t6H9x5Aa.jpg","View")</f>
        <v>View</v>
      </c>
      <c r="V1408" s="8"/>
      <c r="W1408" s="8"/>
      <c r="X1408" s="8"/>
      <c r="Y1408" s="8"/>
      <c r="Z1408" s="8"/>
    </row>
    <row r="1409" spans="1:26" ht="13.2">
      <c r="A1409" s="13">
        <v>44250.425613425927</v>
      </c>
      <c r="B1409" s="6" t="str">
        <f>HYPERLINK("https://twitter.com/ayanpaul","@ayanpaul")</f>
        <v>@ayanpaul</v>
      </c>
      <c r="C1409" s="14" t="s">
        <v>6044</v>
      </c>
      <c r="D1409" s="14" t="s">
        <v>6045</v>
      </c>
      <c r="E1409" s="6" t="str">
        <f>HYPERLINK("https://twitter.com/ayanpaul/status/1364141168200732676","1364141168200732676")</f>
        <v>1364141168200732676</v>
      </c>
      <c r="F1409" s="7" t="s">
        <v>6046</v>
      </c>
      <c r="G1409" s="7" t="s">
        <v>6047</v>
      </c>
      <c r="H1409" s="8"/>
      <c r="I1409" s="14">
        <v>4</v>
      </c>
      <c r="J1409" s="14">
        <v>3</v>
      </c>
      <c r="K1409" s="6" t="str">
        <f t="shared" si="235"/>
        <v>Twitter Web App</v>
      </c>
      <c r="L1409" s="15">
        <v>119</v>
      </c>
      <c r="M1409" s="15">
        <v>42</v>
      </c>
      <c r="N1409" s="15">
        <v>0</v>
      </c>
      <c r="O1409" s="9"/>
      <c r="P1409" s="10">
        <v>39985.835983796293</v>
      </c>
      <c r="Q1409" s="14" t="s">
        <v>3464</v>
      </c>
      <c r="R1409" s="14" t="s">
        <v>6048</v>
      </c>
      <c r="S1409" s="7" t="s">
        <v>6049</v>
      </c>
      <c r="T1409" s="8"/>
      <c r="U1409" s="11" t="str">
        <f>HYPERLINK("https://pbs.twimg.com/profile_images/1248194868570017792/b51Ggemg.jpg","View")</f>
        <v>View</v>
      </c>
      <c r="V1409" s="8"/>
      <c r="W1409" s="8"/>
      <c r="X1409" s="8"/>
      <c r="Y1409" s="8"/>
      <c r="Z1409" s="8"/>
    </row>
    <row r="1410" spans="1:26" ht="13.2">
      <c r="A1410" s="13">
        <v>44250.425000000003</v>
      </c>
      <c r="B1410" s="6" t="str">
        <f>HYPERLINK("https://twitter.com/Nicolas2Pinto","@Nicolas2Pinto")</f>
        <v>@Nicolas2Pinto</v>
      </c>
      <c r="C1410" s="14" t="s">
        <v>2864</v>
      </c>
      <c r="D1410" s="14" t="s">
        <v>6050</v>
      </c>
      <c r="E1410" s="6" t="str">
        <f>HYPERLINK("https://twitter.com/Nicolas2Pinto/status/1364140944115703809","1364140944115703809")</f>
        <v>1364140944115703809</v>
      </c>
      <c r="F1410" s="7" t="s">
        <v>6051</v>
      </c>
      <c r="G1410" s="7" t="s">
        <v>6052</v>
      </c>
      <c r="H1410" s="8"/>
      <c r="I1410" s="14">
        <v>6</v>
      </c>
      <c r="J1410" s="14">
        <v>4</v>
      </c>
      <c r="K1410" s="6" t="str">
        <f>HYPERLINK("https://about.twitter.com/products/tweetdeck","TweetDeck")</f>
        <v>TweetDeck</v>
      </c>
      <c r="L1410" s="15">
        <v>6358</v>
      </c>
      <c r="M1410" s="15">
        <v>4896</v>
      </c>
      <c r="N1410" s="15">
        <v>605</v>
      </c>
      <c r="O1410" s="9"/>
      <c r="P1410" s="10">
        <v>41558.83252314815</v>
      </c>
      <c r="Q1410" s="14" t="s">
        <v>106</v>
      </c>
      <c r="R1410" s="14" t="s">
        <v>2868</v>
      </c>
      <c r="S1410" s="7" t="s">
        <v>2869</v>
      </c>
      <c r="T1410" s="8"/>
      <c r="U1410" s="11" t="str">
        <f>HYPERLINK("https://pbs.twimg.com/profile_images/798896302276956160/cbW0VBL2.jpg","View")</f>
        <v>View</v>
      </c>
      <c r="V1410" s="8"/>
      <c r="W1410" s="8"/>
      <c r="X1410" s="8"/>
      <c r="Y1410" s="8"/>
      <c r="Z1410" s="8"/>
    </row>
    <row r="1411" spans="1:26" ht="13.2">
      <c r="A1411" s="13">
        <v>44250.424988425926</v>
      </c>
      <c r="B1411" s="6" t="str">
        <f>HYPERLINK("https://twitter.com/CXPORTAL1","@CXPORTAL1")</f>
        <v>@CXPORTAL1</v>
      </c>
      <c r="C1411" s="14" t="s">
        <v>6053</v>
      </c>
      <c r="D1411" s="14" t="s">
        <v>6054</v>
      </c>
      <c r="E1411" s="6" t="str">
        <f>HYPERLINK("https://twitter.com/CXPORTAL1/status/1364140942928846850","1364140942928846850")</f>
        <v>1364140942928846850</v>
      </c>
      <c r="F1411" s="7" t="s">
        <v>6055</v>
      </c>
      <c r="G1411" s="8"/>
      <c r="H1411" s="8"/>
      <c r="I1411" s="14">
        <v>4</v>
      </c>
      <c r="J1411" s="14">
        <v>2</v>
      </c>
      <c r="K1411" s="6" t="str">
        <f t="shared" ref="K1411:K1413" si="236">HYPERLINK("https://mobile.twitter.com","Twitter Web App")</f>
        <v>Twitter Web App</v>
      </c>
      <c r="L1411" s="15">
        <v>74</v>
      </c>
      <c r="M1411" s="15">
        <v>373</v>
      </c>
      <c r="N1411" s="15">
        <v>1</v>
      </c>
      <c r="O1411" s="9"/>
      <c r="P1411" s="10">
        <v>43857.738657407404</v>
      </c>
      <c r="Q1411" s="14" t="s">
        <v>1815</v>
      </c>
      <c r="R1411" s="14" t="s">
        <v>6056</v>
      </c>
      <c r="S1411" s="7" t="s">
        <v>6057</v>
      </c>
      <c r="T1411" s="8"/>
      <c r="U1411" s="11" t="str">
        <f>HYPERLINK("https://pbs.twimg.com/profile_images/1346603429926461440/hC6BPJsf.jpg","View")</f>
        <v>View</v>
      </c>
      <c r="V1411" s="8"/>
      <c r="W1411" s="8"/>
      <c r="X1411" s="8"/>
      <c r="Y1411" s="8"/>
      <c r="Z1411" s="8"/>
    </row>
    <row r="1412" spans="1:26" ht="13.2">
      <c r="A1412" s="13">
        <v>44250.424537037034</v>
      </c>
      <c r="B1412" s="6" t="str">
        <f>HYPERLINK("https://twitter.com/Innovat78455398","@Innovat78455398")</f>
        <v>@Innovat78455398</v>
      </c>
      <c r="C1412" s="14" t="s">
        <v>4318</v>
      </c>
      <c r="D1412" s="14" t="s">
        <v>6058</v>
      </c>
      <c r="E1412" s="6" t="str">
        <f>HYPERLINK("https://twitter.com/Innovat78455398/status/1364140777564114948","1364140777564114948")</f>
        <v>1364140777564114948</v>
      </c>
      <c r="F1412" s="7" t="s">
        <v>6059</v>
      </c>
      <c r="G1412" s="7" t="s">
        <v>6060</v>
      </c>
      <c r="H1412" s="8"/>
      <c r="I1412" s="14">
        <v>7</v>
      </c>
      <c r="J1412" s="14">
        <v>2</v>
      </c>
      <c r="K1412" s="6" t="str">
        <f t="shared" si="236"/>
        <v>Twitter Web App</v>
      </c>
      <c r="L1412" s="15">
        <v>101</v>
      </c>
      <c r="M1412" s="15">
        <v>142</v>
      </c>
      <c r="N1412" s="15">
        <v>1</v>
      </c>
      <c r="O1412" s="9"/>
      <c r="P1412" s="10">
        <v>44075.047534722224</v>
      </c>
      <c r="Q1412" s="14" t="s">
        <v>623</v>
      </c>
      <c r="R1412" s="14" t="s">
        <v>4322</v>
      </c>
      <c r="S1412" s="8"/>
      <c r="T1412" s="8"/>
      <c r="U1412" s="11" t="str">
        <f>HYPERLINK("https://pbs.twimg.com/profile_images/1300571380098850818/YjKI8L9l.jpg","View")</f>
        <v>View</v>
      </c>
      <c r="V1412" s="8"/>
      <c r="W1412" s="8"/>
      <c r="X1412" s="8"/>
      <c r="Y1412" s="8"/>
      <c r="Z1412" s="8"/>
    </row>
    <row r="1413" spans="1:26" ht="13.2">
      <c r="A1413" s="13">
        <v>44250.424293981487</v>
      </c>
      <c r="B1413" s="6" t="str">
        <f>HYPERLINK("https://twitter.com/WSIeMarketing","@WSIeMarketing")</f>
        <v>@WSIeMarketing</v>
      </c>
      <c r="C1413" s="14" t="s">
        <v>6061</v>
      </c>
      <c r="D1413" s="14" t="s">
        <v>6062</v>
      </c>
      <c r="E1413" s="6" t="str">
        <f>HYPERLINK("https://twitter.com/WSIeMarketing/status/1364140691102855168","1364140691102855168")</f>
        <v>1364140691102855168</v>
      </c>
      <c r="F1413" s="14" t="s">
        <v>6063</v>
      </c>
      <c r="G1413" s="8"/>
      <c r="H1413" s="8"/>
      <c r="I1413" s="14">
        <v>3</v>
      </c>
      <c r="J1413" s="14">
        <v>0</v>
      </c>
      <c r="K1413" s="6" t="str">
        <f t="shared" si="236"/>
        <v>Twitter Web App</v>
      </c>
      <c r="L1413" s="15">
        <v>5018</v>
      </c>
      <c r="M1413" s="15">
        <v>3963</v>
      </c>
      <c r="N1413" s="15">
        <v>332</v>
      </c>
      <c r="O1413" s="9"/>
      <c r="P1413" s="10">
        <v>40093.637870370367</v>
      </c>
      <c r="Q1413" s="14" t="s">
        <v>6064</v>
      </c>
      <c r="R1413" s="14" t="s">
        <v>6065</v>
      </c>
      <c r="S1413" s="7" t="s">
        <v>6066</v>
      </c>
      <c r="T1413" s="8"/>
      <c r="U1413" s="11" t="str">
        <f>HYPERLINK("https://pbs.twimg.com/profile_images/683966487053205505/jo_bcKqm.jpg","View")</f>
        <v>View</v>
      </c>
      <c r="V1413" s="8"/>
      <c r="W1413" s="8"/>
      <c r="X1413" s="8"/>
      <c r="Y1413" s="8"/>
      <c r="Z1413" s="8"/>
    </row>
    <row r="1414" spans="1:26" ht="13.2">
      <c r="A1414" s="13">
        <v>44250.423807870371</v>
      </c>
      <c r="B1414" s="6" t="str">
        <f>HYPERLINK("https://twitter.com/RaynoReport","@RaynoReport")</f>
        <v>@RaynoReport</v>
      </c>
      <c r="C1414" s="14" t="s">
        <v>6067</v>
      </c>
      <c r="D1414" s="14" t="s">
        <v>6068</v>
      </c>
      <c r="E1414" s="6" t="str">
        <f>HYPERLINK("https://twitter.com/RaynoReport/status/1364140513255960579","1364140513255960579")</f>
        <v>1364140513255960579</v>
      </c>
      <c r="F1414" s="7" t="s">
        <v>6069</v>
      </c>
      <c r="G1414" s="8"/>
      <c r="H1414" s="8"/>
      <c r="I1414" s="14">
        <v>2</v>
      </c>
      <c r="J1414" s="14">
        <v>0</v>
      </c>
      <c r="K1414" s="6" t="str">
        <f>HYPERLINK("https://buffer.com","Buffer")</f>
        <v>Buffer</v>
      </c>
      <c r="L1414" s="15">
        <v>4030</v>
      </c>
      <c r="M1414" s="15">
        <v>3</v>
      </c>
      <c r="N1414" s="15">
        <v>130</v>
      </c>
      <c r="O1414" s="9"/>
      <c r="P1414" s="10">
        <v>41716.706064814818</v>
      </c>
      <c r="Q1414" s="14" t="s">
        <v>6070</v>
      </c>
      <c r="R1414" s="14" t="s">
        <v>6071</v>
      </c>
      <c r="S1414" s="7" t="s">
        <v>6072</v>
      </c>
      <c r="T1414" s="8"/>
      <c r="U1414" s="11" t="str">
        <f>HYPERLINK("https://pbs.twimg.com/profile_images/1303816109334781953/ieNgs2Zj.png","View")</f>
        <v>View</v>
      </c>
      <c r="V1414" s="8"/>
      <c r="W1414" s="8"/>
      <c r="X1414" s="8"/>
      <c r="Y1414" s="8"/>
      <c r="Z1414" s="8"/>
    </row>
    <row r="1415" spans="1:26" ht="13.2">
      <c r="A1415" s="13">
        <v>44250.423773148148</v>
      </c>
      <c r="B1415" s="6" t="str">
        <f>HYPERLINK("https://twitter.com/OlivierMi5","@OlivierMi5")</f>
        <v>@OlivierMi5</v>
      </c>
      <c r="C1415" s="14" t="s">
        <v>5409</v>
      </c>
      <c r="D1415" s="14" t="s">
        <v>6073</v>
      </c>
      <c r="E1415" s="6" t="str">
        <f>HYPERLINK("https://twitter.com/OlivierMi5/status/1364140499171442690","1364140499171442690")</f>
        <v>1364140499171442690</v>
      </c>
      <c r="F1415" s="7" t="s">
        <v>6074</v>
      </c>
      <c r="G1415" s="8"/>
      <c r="H1415" s="8"/>
      <c r="I1415" s="14">
        <v>3</v>
      </c>
      <c r="J1415" s="14">
        <v>0</v>
      </c>
      <c r="K1415" s="6" t="str">
        <f>HYPERLINK("http://smarp.com","Smarp.")</f>
        <v>Smarp.</v>
      </c>
      <c r="L1415" s="15">
        <v>77</v>
      </c>
      <c r="M1415" s="15">
        <v>126</v>
      </c>
      <c r="N1415" s="15">
        <v>0</v>
      </c>
      <c r="O1415" s="9"/>
      <c r="P1415" s="10">
        <v>41676.779629629629</v>
      </c>
      <c r="Q1415" s="8"/>
      <c r="R1415" s="8"/>
      <c r="S1415" s="8"/>
      <c r="T1415" s="8"/>
      <c r="U1415" s="11" t="str">
        <f>HYPERLINK("https://pbs.twimg.com/profile_images/880717476778135553/EzXlSoIy.jpg","View")</f>
        <v>View</v>
      </c>
      <c r="V1415" s="8"/>
      <c r="W1415" s="8"/>
      <c r="X1415" s="8"/>
      <c r="Y1415" s="8"/>
      <c r="Z1415" s="8"/>
    </row>
    <row r="1416" spans="1:26" ht="13.2">
      <c r="A1416" s="13">
        <v>44250.423657407402</v>
      </c>
      <c r="B1416" s="6" t="str">
        <f>HYPERLINK("https://twitter.com/MariaFariello1","@MariaFariello1")</f>
        <v>@MariaFariello1</v>
      </c>
      <c r="C1416" s="14" t="s">
        <v>6075</v>
      </c>
      <c r="D1416" s="14" t="s">
        <v>6076</v>
      </c>
      <c r="E1416" s="6" t="str">
        <f>HYPERLINK("https://twitter.com/MariaFariello1/status/1364140457442373632","1364140457442373632")</f>
        <v>1364140457442373632</v>
      </c>
      <c r="F1416" s="7" t="s">
        <v>6077</v>
      </c>
      <c r="G1416" s="7" t="s">
        <v>6078</v>
      </c>
      <c r="H1416" s="8"/>
      <c r="I1416" s="14">
        <v>9</v>
      </c>
      <c r="J1416" s="14">
        <v>3</v>
      </c>
      <c r="K1416" s="6" t="str">
        <f t="shared" ref="K1416:K1417" si="237">HYPERLINK("https://buffer.com","Buffer")</f>
        <v>Buffer</v>
      </c>
      <c r="L1416" s="15">
        <v>177</v>
      </c>
      <c r="M1416" s="15">
        <v>255</v>
      </c>
      <c r="N1416" s="15">
        <v>1</v>
      </c>
      <c r="O1416" s="9"/>
      <c r="P1416" s="10">
        <v>43358.650555555556</v>
      </c>
      <c r="Q1416" s="14" t="s">
        <v>1120</v>
      </c>
      <c r="R1416" s="14" t="s">
        <v>6079</v>
      </c>
      <c r="S1416" s="8"/>
      <c r="T1416" s="8"/>
      <c r="U1416" s="11" t="str">
        <f>HYPERLINK("https://pbs.twimg.com/profile_images/1358432293401088000/khQX9Nag.jpg","View")</f>
        <v>View</v>
      </c>
      <c r="V1416" s="8"/>
      <c r="W1416" s="8"/>
      <c r="X1416" s="8"/>
      <c r="Y1416" s="8"/>
      <c r="Z1416" s="8"/>
    </row>
    <row r="1417" spans="1:26" ht="13.2">
      <c r="A1417" s="13">
        <v>44250.423634259263</v>
      </c>
      <c r="B1417" s="6" t="str">
        <f>HYPERLINK("https://twitter.com/nigewillson","@nigewillson")</f>
        <v>@nigewillson</v>
      </c>
      <c r="C1417" s="14" t="s">
        <v>95</v>
      </c>
      <c r="D1417" s="14" t="s">
        <v>96</v>
      </c>
      <c r="E1417" s="6" t="str">
        <f>HYPERLINK("https://twitter.com/nigewillson/status/1364140450127491072","1364140450127491072")</f>
        <v>1364140450127491072</v>
      </c>
      <c r="F1417" s="7" t="s">
        <v>97</v>
      </c>
      <c r="G1417" s="7" t="s">
        <v>6080</v>
      </c>
      <c r="H1417" s="8"/>
      <c r="I1417" s="14">
        <v>10</v>
      </c>
      <c r="J1417" s="14">
        <v>5</v>
      </c>
      <c r="K1417" s="6" t="str">
        <f t="shared" si="237"/>
        <v>Buffer</v>
      </c>
      <c r="L1417" s="15">
        <v>57515</v>
      </c>
      <c r="M1417" s="15">
        <v>49523</v>
      </c>
      <c r="N1417" s="15">
        <v>1688</v>
      </c>
      <c r="O1417" s="9"/>
      <c r="P1417" s="10">
        <v>40530.666805555556</v>
      </c>
      <c r="Q1417" s="14" t="s">
        <v>99</v>
      </c>
      <c r="R1417" s="14" t="s">
        <v>100</v>
      </c>
      <c r="S1417" s="7" t="s">
        <v>101</v>
      </c>
      <c r="T1417" s="8"/>
      <c r="U1417" s="11" t="str">
        <f>HYPERLINK("https://pbs.twimg.com/profile_images/1085251590997622784/x9mWVQ1d.jpg","View")</f>
        <v>View</v>
      </c>
      <c r="V1417" s="8"/>
      <c r="W1417" s="8"/>
      <c r="X1417" s="8"/>
      <c r="Y1417" s="8"/>
      <c r="Z1417" s="8"/>
    </row>
    <row r="1418" spans="1:26" ht="13.2">
      <c r="A1418" s="13">
        <v>44250.423391203702</v>
      </c>
      <c r="B1418" s="6" t="str">
        <f>HYPERLINK("https://twitter.com/analyticsinme","@analyticsinme")</f>
        <v>@analyticsinme</v>
      </c>
      <c r="C1418" s="14" t="s">
        <v>6081</v>
      </c>
      <c r="D1418" s="14" t="s">
        <v>6082</v>
      </c>
      <c r="E1418" s="6" t="str">
        <f>HYPERLINK("https://twitter.com/analyticsinme/status/1364140362374152193","1364140362374152193")</f>
        <v>1364140362374152193</v>
      </c>
      <c r="F1418" s="7" t="s">
        <v>6083</v>
      </c>
      <c r="G1418" s="7" t="s">
        <v>6084</v>
      </c>
      <c r="H1418" s="8"/>
      <c r="I1418" s="14">
        <v>2</v>
      </c>
      <c r="J1418" s="14">
        <v>1</v>
      </c>
      <c r="K1418" s="6" t="str">
        <f t="shared" ref="K1418:K1420" si="238">HYPERLINK("https://mobile.twitter.com","Twitter Web App")</f>
        <v>Twitter Web App</v>
      </c>
      <c r="L1418" s="15">
        <v>5594</v>
      </c>
      <c r="M1418" s="15">
        <v>4025</v>
      </c>
      <c r="N1418" s="15">
        <v>93</v>
      </c>
      <c r="O1418" s="9"/>
      <c r="P1418" s="10">
        <v>42454.516319444447</v>
      </c>
      <c r="Q1418" s="14" t="s">
        <v>364</v>
      </c>
      <c r="R1418" s="14" t="s">
        <v>6085</v>
      </c>
      <c r="S1418" s="7" t="s">
        <v>6086</v>
      </c>
      <c r="T1418" s="8"/>
      <c r="U1418" s="11" t="str">
        <f>HYPERLINK("https://pbs.twimg.com/profile_images/1029251124908371968/aF1HVctH.jpg","View")</f>
        <v>View</v>
      </c>
      <c r="V1418" s="8"/>
      <c r="W1418" s="8"/>
      <c r="X1418" s="8"/>
      <c r="Y1418" s="8"/>
      <c r="Z1418" s="8"/>
    </row>
    <row r="1419" spans="1:26" ht="13.2">
      <c r="A1419" s="13">
        <v>44250.423067129625</v>
      </c>
      <c r="B1419" s="6" t="str">
        <f>HYPERLINK("https://twitter.com/HubPrefer","@HubPrefer")</f>
        <v>@HubPrefer</v>
      </c>
      <c r="C1419" s="14" t="s">
        <v>4937</v>
      </c>
      <c r="D1419" s="14" t="s">
        <v>6087</v>
      </c>
      <c r="E1419" s="6" t="str">
        <f>HYPERLINK("https://twitter.com/HubPrefer/status/1364140246196101120","1364140246196101120")</f>
        <v>1364140246196101120</v>
      </c>
      <c r="F1419" s="7" t="s">
        <v>5622</v>
      </c>
      <c r="G1419" s="8"/>
      <c r="H1419" s="8"/>
      <c r="I1419" s="14">
        <v>6</v>
      </c>
      <c r="J1419" s="14">
        <v>1</v>
      </c>
      <c r="K1419" s="6" t="str">
        <f t="shared" si="238"/>
        <v>Twitter Web App</v>
      </c>
      <c r="L1419" s="15">
        <v>16</v>
      </c>
      <c r="M1419" s="15">
        <v>0</v>
      </c>
      <c r="N1419" s="15">
        <v>0</v>
      </c>
      <c r="O1419" s="9"/>
      <c r="P1419" s="10">
        <v>43728.568113425921</v>
      </c>
      <c r="Q1419" s="8"/>
      <c r="R1419" s="8"/>
      <c r="S1419" s="8"/>
      <c r="T1419" s="8"/>
      <c r="U1419" s="11" t="str">
        <f>HYPERLINK("https://pbs.twimg.com/profile_images/1175011320749416453/XknGFPU5.png","View")</f>
        <v>View</v>
      </c>
      <c r="V1419" s="8"/>
      <c r="W1419" s="8"/>
      <c r="X1419" s="8"/>
      <c r="Y1419" s="8"/>
      <c r="Z1419" s="8"/>
    </row>
    <row r="1420" spans="1:26" ht="13.2">
      <c r="A1420" s="13">
        <v>44250.422708333332</v>
      </c>
      <c r="B1420" s="6" t="str">
        <f>HYPERLINK("https://twitter.com/Innovat78455398","@Innovat78455398")</f>
        <v>@Innovat78455398</v>
      </c>
      <c r="C1420" s="14" t="s">
        <v>4318</v>
      </c>
      <c r="D1420" s="14" t="s">
        <v>6088</v>
      </c>
      <c r="E1420" s="6" t="str">
        <f>HYPERLINK("https://twitter.com/Innovat78455398/status/1364140114968911872","1364140114968911872")</f>
        <v>1364140114968911872</v>
      </c>
      <c r="F1420" s="7" t="s">
        <v>6089</v>
      </c>
      <c r="G1420" s="7" t="s">
        <v>6090</v>
      </c>
      <c r="H1420" s="8"/>
      <c r="I1420" s="14">
        <v>3</v>
      </c>
      <c r="J1420" s="14">
        <v>0</v>
      </c>
      <c r="K1420" s="6" t="str">
        <f t="shared" si="238"/>
        <v>Twitter Web App</v>
      </c>
      <c r="L1420" s="15">
        <v>101</v>
      </c>
      <c r="M1420" s="15">
        <v>142</v>
      </c>
      <c r="N1420" s="15">
        <v>1</v>
      </c>
      <c r="O1420" s="9"/>
      <c r="P1420" s="10">
        <v>44075.047534722224</v>
      </c>
      <c r="Q1420" s="14" t="s">
        <v>623</v>
      </c>
      <c r="R1420" s="14" t="s">
        <v>4322</v>
      </c>
      <c r="S1420" s="8"/>
      <c r="T1420" s="8"/>
      <c r="U1420" s="11" t="str">
        <f>HYPERLINK("https://pbs.twimg.com/profile_images/1300571380098850818/YjKI8L9l.jpg","View")</f>
        <v>View</v>
      </c>
      <c r="V1420" s="8"/>
      <c r="W1420" s="8"/>
      <c r="X1420" s="8"/>
      <c r="Y1420" s="8"/>
      <c r="Z1420" s="8"/>
    </row>
    <row r="1421" spans="1:26" ht="13.2">
      <c r="A1421" s="13">
        <v>44250.422430555554</v>
      </c>
      <c r="B1421" s="6" t="str">
        <f>HYPERLINK("https://twitter.com/New081082","@New081082")</f>
        <v>@New081082</v>
      </c>
      <c r="C1421" s="14" t="s">
        <v>6091</v>
      </c>
      <c r="D1421" s="14" t="s">
        <v>6092</v>
      </c>
      <c r="E1421" s="6" t="str">
        <f>HYPERLINK("https://twitter.com/New081082/status/1364140012191670272","1364140012191670272")</f>
        <v>1364140012191670272</v>
      </c>
      <c r="F1421" s="7" t="s">
        <v>6093</v>
      </c>
      <c r="G1421" s="7" t="s">
        <v>6094</v>
      </c>
      <c r="H1421" s="8"/>
      <c r="I1421" s="14">
        <v>6</v>
      </c>
      <c r="J1421" s="14">
        <v>2</v>
      </c>
      <c r="K1421" s="6" t="str">
        <f>HYPERLINK("http://twitter.com/download/iphone","Twitter for iPhone")</f>
        <v>Twitter for iPhone</v>
      </c>
      <c r="L1421" s="15">
        <v>767</v>
      </c>
      <c r="M1421" s="15">
        <v>760</v>
      </c>
      <c r="N1421" s="15">
        <v>4</v>
      </c>
      <c r="O1421" s="9"/>
      <c r="P1421" s="10">
        <v>44049.665451388893</v>
      </c>
      <c r="Q1421" s="14" t="s">
        <v>926</v>
      </c>
      <c r="R1421" s="14" t="s">
        <v>6095</v>
      </c>
      <c r="S1421" s="8"/>
      <c r="T1421" s="8"/>
      <c r="U1421" s="11" t="str">
        <f>HYPERLINK("https://pbs.twimg.com/profile_images/1362418074616401921/FBJcHVg8.jpg","View")</f>
        <v>View</v>
      </c>
      <c r="V1421" s="8"/>
      <c r="W1421" s="8"/>
      <c r="X1421" s="8"/>
      <c r="Y1421" s="8"/>
      <c r="Z1421" s="8"/>
    </row>
    <row r="1422" spans="1:26" ht="13.2">
      <c r="A1422" s="13">
        <v>44250.422361111108</v>
      </c>
      <c r="B1422" s="6" t="str">
        <f>HYPERLINK("https://twitter.com/_M_Dey","@_M_Dey")</f>
        <v>@_M_Dey</v>
      </c>
      <c r="C1422" s="14" t="s">
        <v>2112</v>
      </c>
      <c r="D1422" s="14" t="s">
        <v>6096</v>
      </c>
      <c r="E1422" s="6" t="str">
        <f>HYPERLINK("https://twitter.com/_M_Dey/status/1364139990712655876","1364139990712655876")</f>
        <v>1364139990712655876</v>
      </c>
      <c r="F1422" s="7" t="s">
        <v>6097</v>
      </c>
      <c r="G1422" s="8"/>
      <c r="H1422" s="8"/>
      <c r="I1422" s="14">
        <v>7</v>
      </c>
      <c r="J1422" s="14">
        <v>4</v>
      </c>
      <c r="K1422" s="6" t="str">
        <f>HYPERLINK("http://dynamicsignal.com/","Dynamic Signal")</f>
        <v>Dynamic Signal</v>
      </c>
      <c r="L1422" s="15">
        <v>1174</v>
      </c>
      <c r="M1422" s="15">
        <v>4503</v>
      </c>
      <c r="N1422" s="15">
        <v>19</v>
      </c>
      <c r="O1422" s="9"/>
      <c r="P1422" s="10">
        <v>42691.486655092594</v>
      </c>
      <c r="Q1422" s="14" t="s">
        <v>106</v>
      </c>
      <c r="R1422" s="14" t="s">
        <v>2115</v>
      </c>
      <c r="S1422" s="7" t="s">
        <v>2116</v>
      </c>
      <c r="T1422" s="8"/>
      <c r="U1422" s="11" t="str">
        <f>HYPERLINK("https://pbs.twimg.com/profile_images/799206549025603584/G1d1duXU.jpg","View")</f>
        <v>View</v>
      </c>
      <c r="V1422" s="8"/>
      <c r="W1422" s="8"/>
      <c r="X1422" s="8"/>
      <c r="Y1422" s="8"/>
      <c r="Z1422" s="8"/>
    </row>
    <row r="1423" spans="1:26" ht="13.2">
      <c r="A1423" s="13">
        <v>44250.421631944446</v>
      </c>
      <c r="B1423" s="6" t="str">
        <f>HYPERLINK("https://twitter.com/BradLadewig","@BradLadewig")</f>
        <v>@BradLadewig</v>
      </c>
      <c r="C1423" s="14" t="s">
        <v>6098</v>
      </c>
      <c r="D1423" s="14" t="s">
        <v>6099</v>
      </c>
      <c r="E1423" s="6" t="str">
        <f>HYPERLINK("https://twitter.com/BradLadewig/status/1364139725406281732","1364139725406281732")</f>
        <v>1364139725406281732</v>
      </c>
      <c r="F1423" s="7" t="s">
        <v>6100</v>
      </c>
      <c r="G1423" s="7" t="s">
        <v>6101</v>
      </c>
      <c r="H1423" s="8"/>
      <c r="I1423" s="14">
        <v>2</v>
      </c>
      <c r="J1423" s="14">
        <v>2</v>
      </c>
      <c r="K1423" s="6" t="str">
        <f t="shared" ref="K1423:K1424" si="239">HYPERLINK("https://mobile.twitter.com","Twitter Web App")</f>
        <v>Twitter Web App</v>
      </c>
      <c r="L1423" s="15">
        <v>782</v>
      </c>
      <c r="M1423" s="15">
        <v>883</v>
      </c>
      <c r="N1423" s="15">
        <v>3</v>
      </c>
      <c r="O1423" s="9"/>
      <c r="P1423" s="10">
        <v>41017.647314814814</v>
      </c>
      <c r="Q1423" s="14" t="s">
        <v>6102</v>
      </c>
      <c r="R1423" s="14" t="s">
        <v>6103</v>
      </c>
      <c r="S1423" s="8"/>
      <c r="T1423" s="8"/>
      <c r="U1423" s="11" t="str">
        <f>HYPERLINK("https://pbs.twimg.com/profile_images/1327279601362538502/pStMzgi1.jpg","View")</f>
        <v>View</v>
      </c>
      <c r="V1423" s="8"/>
      <c r="W1423" s="8"/>
      <c r="X1423" s="8"/>
      <c r="Y1423" s="8"/>
      <c r="Z1423" s="8"/>
    </row>
    <row r="1424" spans="1:26" ht="13.2">
      <c r="A1424" s="13">
        <v>44250.421631944446</v>
      </c>
      <c r="B1424" s="6" t="str">
        <f>HYPERLINK("https://twitter.com/Innovat78455398","@Innovat78455398")</f>
        <v>@Innovat78455398</v>
      </c>
      <c r="C1424" s="14" t="s">
        <v>4318</v>
      </c>
      <c r="D1424" s="14" t="s">
        <v>6104</v>
      </c>
      <c r="E1424" s="6" t="str">
        <f>HYPERLINK("https://twitter.com/Innovat78455398/status/1364139724697337856","1364139724697337856")</f>
        <v>1364139724697337856</v>
      </c>
      <c r="F1424" s="7" t="s">
        <v>6105</v>
      </c>
      <c r="G1424" s="7" t="s">
        <v>6106</v>
      </c>
      <c r="H1424" s="8"/>
      <c r="I1424" s="14">
        <v>9</v>
      </c>
      <c r="J1424" s="14">
        <v>2</v>
      </c>
      <c r="K1424" s="6" t="str">
        <f t="shared" si="239"/>
        <v>Twitter Web App</v>
      </c>
      <c r="L1424" s="15">
        <v>101</v>
      </c>
      <c r="M1424" s="15">
        <v>142</v>
      </c>
      <c r="N1424" s="15">
        <v>1</v>
      </c>
      <c r="O1424" s="9"/>
      <c r="P1424" s="10">
        <v>44075.047534722224</v>
      </c>
      <c r="Q1424" s="14" t="s">
        <v>623</v>
      </c>
      <c r="R1424" s="14" t="s">
        <v>4322</v>
      </c>
      <c r="S1424" s="8"/>
      <c r="T1424" s="8"/>
      <c r="U1424" s="11" t="str">
        <f>HYPERLINK("https://pbs.twimg.com/profile_images/1300571380098850818/YjKI8L9l.jpg","View")</f>
        <v>View</v>
      </c>
      <c r="V1424" s="8"/>
      <c r="W1424" s="8"/>
      <c r="X1424" s="8"/>
      <c r="Y1424" s="8"/>
      <c r="Z1424" s="8"/>
    </row>
    <row r="1425" spans="1:26" ht="13.2">
      <c r="A1425" s="13">
        <v>44250.421331018515</v>
      </c>
      <c r="B1425" s="6" t="str">
        <f>HYPERLINK("https://twitter.com/New081082","@New081082")</f>
        <v>@New081082</v>
      </c>
      <c r="C1425" s="14" t="s">
        <v>6091</v>
      </c>
      <c r="D1425" s="14" t="s">
        <v>6107</v>
      </c>
      <c r="E1425" s="6" t="str">
        <f>HYPERLINK("https://twitter.com/New081082/status/1364139614433239044","1364139614433239044")</f>
        <v>1364139614433239044</v>
      </c>
      <c r="F1425" s="14" t="s">
        <v>6108</v>
      </c>
      <c r="G1425" s="7" t="s">
        <v>6094</v>
      </c>
      <c r="H1425" s="8"/>
      <c r="I1425" s="14">
        <v>25</v>
      </c>
      <c r="J1425" s="14">
        <v>16</v>
      </c>
      <c r="K1425" s="6" t="str">
        <f>HYPERLINK("http://twitter.com/download/iphone","Twitter for iPhone")</f>
        <v>Twitter for iPhone</v>
      </c>
      <c r="L1425" s="15">
        <v>767</v>
      </c>
      <c r="M1425" s="15">
        <v>760</v>
      </c>
      <c r="N1425" s="15">
        <v>4</v>
      </c>
      <c r="O1425" s="9"/>
      <c r="P1425" s="10">
        <v>44049.665451388893</v>
      </c>
      <c r="Q1425" s="14" t="s">
        <v>926</v>
      </c>
      <c r="R1425" s="14" t="s">
        <v>6095</v>
      </c>
      <c r="S1425" s="8"/>
      <c r="T1425" s="8"/>
      <c r="U1425" s="11" t="str">
        <f>HYPERLINK("https://pbs.twimg.com/profile_images/1362418074616401921/FBJcHVg8.jpg","View")</f>
        <v>View</v>
      </c>
      <c r="V1425" s="8"/>
      <c r="W1425" s="8"/>
      <c r="X1425" s="8"/>
      <c r="Y1425" s="8"/>
      <c r="Z1425" s="8"/>
    </row>
    <row r="1426" spans="1:26" ht="13.2">
      <c r="A1426" s="13">
        <v>44250.420902777776</v>
      </c>
      <c r="B1426" s="6" t="str">
        <f>HYPERLINK("https://twitter.com/graphcoreai","@graphcoreai")</f>
        <v>@graphcoreai</v>
      </c>
      <c r="C1426" s="14" t="s">
        <v>6109</v>
      </c>
      <c r="D1426" s="14" t="s">
        <v>6110</v>
      </c>
      <c r="E1426" s="6" t="str">
        <f>HYPERLINK("https://twitter.com/graphcoreai/status/1364139460301099009","1364139460301099009")</f>
        <v>1364139460301099009</v>
      </c>
      <c r="F1426" s="7" t="s">
        <v>6111</v>
      </c>
      <c r="G1426" s="7" t="s">
        <v>6112</v>
      </c>
      <c r="H1426" s="8"/>
      <c r="I1426" s="14">
        <v>8</v>
      </c>
      <c r="J1426" s="14">
        <v>2</v>
      </c>
      <c r="K1426" s="6" t="str">
        <f>HYPERLINK("http://www.hubspot.com/","HubSpot")</f>
        <v>HubSpot</v>
      </c>
      <c r="L1426" s="15">
        <v>6881</v>
      </c>
      <c r="M1426" s="15">
        <v>687</v>
      </c>
      <c r="N1426" s="15">
        <v>276</v>
      </c>
      <c r="O1426" s="9"/>
      <c r="P1426" s="10">
        <v>42594.637511574074</v>
      </c>
      <c r="Q1426" s="14" t="s">
        <v>5230</v>
      </c>
      <c r="R1426" s="14" t="s">
        <v>6113</v>
      </c>
      <c r="S1426" s="7" t="s">
        <v>6114</v>
      </c>
      <c r="T1426" s="8"/>
      <c r="U1426" s="11" t="str">
        <f>HYPERLINK("https://pbs.twimg.com/profile_images/877225025874653184/vITaYmsB.jpg","View")</f>
        <v>View</v>
      </c>
      <c r="V1426" s="8"/>
      <c r="W1426" s="8"/>
      <c r="X1426" s="8"/>
      <c r="Y1426" s="8"/>
      <c r="Z1426" s="8"/>
    </row>
    <row r="1427" spans="1:26" ht="13.2">
      <c r="A1427" s="13">
        <v>44250.420162037037</v>
      </c>
      <c r="B1427" s="6" t="str">
        <f>HYPERLINK("https://twitter.com/nigewillson","@nigewillson")</f>
        <v>@nigewillson</v>
      </c>
      <c r="C1427" s="14" t="s">
        <v>95</v>
      </c>
      <c r="D1427" s="14" t="s">
        <v>171</v>
      </c>
      <c r="E1427" s="6" t="str">
        <f>HYPERLINK("https://twitter.com/nigewillson/status/1364139192633217026","1364139192633217026")</f>
        <v>1364139192633217026</v>
      </c>
      <c r="F1427" s="7" t="s">
        <v>172</v>
      </c>
      <c r="G1427" s="7" t="s">
        <v>6115</v>
      </c>
      <c r="H1427" s="8"/>
      <c r="I1427" s="14">
        <v>7</v>
      </c>
      <c r="J1427" s="14">
        <v>4</v>
      </c>
      <c r="K1427" s="6" t="str">
        <f>HYPERLINK("https://buffer.com","Buffer")</f>
        <v>Buffer</v>
      </c>
      <c r="L1427" s="15">
        <v>57515</v>
      </c>
      <c r="M1427" s="15">
        <v>49523</v>
      </c>
      <c r="N1427" s="15">
        <v>1688</v>
      </c>
      <c r="O1427" s="9"/>
      <c r="P1427" s="10">
        <v>40530.666805555556</v>
      </c>
      <c r="Q1427" s="14" t="s">
        <v>99</v>
      </c>
      <c r="R1427" s="14" t="s">
        <v>100</v>
      </c>
      <c r="S1427" s="7" t="s">
        <v>101</v>
      </c>
      <c r="T1427" s="8"/>
      <c r="U1427" s="11" t="str">
        <f>HYPERLINK("https://pbs.twimg.com/profile_images/1085251590997622784/x9mWVQ1d.jpg","View")</f>
        <v>View</v>
      </c>
      <c r="V1427" s="8"/>
      <c r="W1427" s="8"/>
      <c r="X1427" s="8"/>
      <c r="Y1427" s="8"/>
      <c r="Z1427" s="8"/>
    </row>
    <row r="1428" spans="1:26" ht="13.2">
      <c r="A1428" s="13">
        <v>44250.420081018514</v>
      </c>
      <c r="B1428" s="6" t="str">
        <f>HYPERLINK("https://twitter.com/Innovat78455398","@Innovat78455398")</f>
        <v>@Innovat78455398</v>
      </c>
      <c r="C1428" s="14" t="s">
        <v>4318</v>
      </c>
      <c r="D1428" s="14" t="s">
        <v>6116</v>
      </c>
      <c r="E1428" s="6" t="str">
        <f>HYPERLINK("https://twitter.com/Innovat78455398/status/1364139164191498244","1364139164191498244")</f>
        <v>1364139164191498244</v>
      </c>
      <c r="F1428" s="7" t="s">
        <v>6117</v>
      </c>
      <c r="G1428" s="7" t="s">
        <v>6118</v>
      </c>
      <c r="H1428" s="8"/>
      <c r="I1428" s="14">
        <v>1</v>
      </c>
      <c r="J1428" s="14">
        <v>0</v>
      </c>
      <c r="K1428" s="6" t="str">
        <f t="shared" ref="K1428:K1429" si="240">HYPERLINK("https://mobile.twitter.com","Twitter Web App")</f>
        <v>Twitter Web App</v>
      </c>
      <c r="L1428" s="15">
        <v>101</v>
      </c>
      <c r="M1428" s="15">
        <v>142</v>
      </c>
      <c r="N1428" s="15">
        <v>1</v>
      </c>
      <c r="O1428" s="9"/>
      <c r="P1428" s="10">
        <v>44075.047534722224</v>
      </c>
      <c r="Q1428" s="14" t="s">
        <v>623</v>
      </c>
      <c r="R1428" s="14" t="s">
        <v>4322</v>
      </c>
      <c r="S1428" s="8"/>
      <c r="T1428" s="8"/>
      <c r="U1428" s="11" t="str">
        <f>HYPERLINK("https://pbs.twimg.com/profile_images/1300571380098850818/YjKI8L9l.jpg","View")</f>
        <v>View</v>
      </c>
      <c r="V1428" s="8"/>
      <c r="W1428" s="8"/>
      <c r="X1428" s="8"/>
      <c r="Y1428" s="8"/>
      <c r="Z1428" s="8"/>
    </row>
    <row r="1429" spans="1:26" ht="13.2">
      <c r="A1429" s="13">
        <v>44250.420081018514</v>
      </c>
      <c r="B1429" s="6" t="str">
        <f>HYPERLINK("https://twitter.com/eeghor","@eeghor")</f>
        <v>@eeghor</v>
      </c>
      <c r="C1429" s="14" t="s">
        <v>6119</v>
      </c>
      <c r="D1429" s="14" t="s">
        <v>6120</v>
      </c>
      <c r="E1429" s="6" t="str">
        <f>HYPERLINK("https://twitter.com/eeghor/status/1364139161238708229","1364139161238708229")</f>
        <v>1364139161238708229</v>
      </c>
      <c r="F1429" s="7" t="s">
        <v>6121</v>
      </c>
      <c r="G1429" s="8"/>
      <c r="H1429" s="8"/>
      <c r="I1429" s="14">
        <v>2</v>
      </c>
      <c r="J1429" s="14">
        <v>1</v>
      </c>
      <c r="K1429" s="6" t="str">
        <f t="shared" si="240"/>
        <v>Twitter Web App</v>
      </c>
      <c r="L1429" s="15">
        <v>430</v>
      </c>
      <c r="M1429" s="15">
        <v>389</v>
      </c>
      <c r="N1429" s="15">
        <v>79</v>
      </c>
      <c r="O1429" s="9"/>
      <c r="P1429" s="10">
        <v>42558.63894675926</v>
      </c>
      <c r="Q1429" s="14" t="s">
        <v>1965</v>
      </c>
      <c r="R1429" s="14" t="s">
        <v>6122</v>
      </c>
      <c r="S1429" s="8"/>
      <c r="T1429" s="8"/>
      <c r="U1429" s="11" t="str">
        <f>HYPERLINK("https://pbs.twimg.com/profile_images/1356110210327146496/2_UMFwUE.jpg","View")</f>
        <v>View</v>
      </c>
      <c r="V1429" s="8"/>
      <c r="W1429" s="8"/>
      <c r="X1429" s="8"/>
      <c r="Y1429" s="8"/>
      <c r="Z1429" s="8"/>
    </row>
    <row r="1430" spans="1:26" ht="13.2">
      <c r="A1430" s="13">
        <v>44250.41988425926</v>
      </c>
      <c r="B1430" s="6" t="str">
        <f>HYPERLINK("https://twitter.com/Kattenkopjes","@Kattenkopjes")</f>
        <v>@Kattenkopjes</v>
      </c>
      <c r="C1430" s="14" t="s">
        <v>6123</v>
      </c>
      <c r="D1430" s="14" t="s">
        <v>6124</v>
      </c>
      <c r="E1430" s="6" t="str">
        <f>HYPERLINK("https://twitter.com/Kattenkopjes/status/1364139092846534656","1364139092846534656")</f>
        <v>1364139092846534656</v>
      </c>
      <c r="F1430" s="7" t="s">
        <v>6125</v>
      </c>
      <c r="G1430" s="7" t="s">
        <v>6126</v>
      </c>
      <c r="H1430" s="8"/>
      <c r="I1430" s="14">
        <v>5</v>
      </c>
      <c r="J1430" s="14">
        <v>2</v>
      </c>
      <c r="K1430" s="6" t="str">
        <f>HYPERLINK("https://about.twitter.com/products/tweetdeck","TweetDeck")</f>
        <v>TweetDeck</v>
      </c>
      <c r="L1430" s="15">
        <v>1035</v>
      </c>
      <c r="M1430" s="15">
        <v>1027</v>
      </c>
      <c r="N1430" s="15">
        <v>757</v>
      </c>
      <c r="O1430" s="9"/>
      <c r="P1430" s="10">
        <v>42305.493587962963</v>
      </c>
      <c r="Q1430" s="14" t="s">
        <v>1826</v>
      </c>
      <c r="R1430" s="14" t="s">
        <v>6127</v>
      </c>
      <c r="S1430" s="7" t="s">
        <v>6128</v>
      </c>
      <c r="T1430" s="8"/>
      <c r="U1430" s="11" t="str">
        <f>HYPERLINK("https://pbs.twimg.com/profile_images/669103897869422592/VgZSsXA5.jpg","View")</f>
        <v>View</v>
      </c>
      <c r="V1430" s="8"/>
      <c r="W1430" s="8"/>
      <c r="X1430" s="8"/>
      <c r="Y1430" s="8"/>
      <c r="Z1430" s="8"/>
    </row>
    <row r="1431" spans="1:26" ht="13.2">
      <c r="A1431" s="13">
        <v>44250.41988425926</v>
      </c>
      <c r="B1431" s="6" t="str">
        <f>HYPERLINK("https://twitter.com/Tanguy_lrx","@Tanguy_lrx")</f>
        <v>@Tanguy_lrx</v>
      </c>
      <c r="C1431" s="14" t="s">
        <v>4505</v>
      </c>
      <c r="D1431" s="14" t="s">
        <v>6129</v>
      </c>
      <c r="E1431" s="6" t="str">
        <f>HYPERLINK("https://twitter.com/Tanguy_lrx/status/1364139092028628992","1364139092028628992")</f>
        <v>1364139092028628992</v>
      </c>
      <c r="F1431" s="7" t="s">
        <v>6130</v>
      </c>
      <c r="G1431" s="8"/>
      <c r="H1431" s="8"/>
      <c r="I1431" s="14">
        <v>23</v>
      </c>
      <c r="J1431" s="14">
        <v>12</v>
      </c>
      <c r="K1431" s="6" t="str">
        <f>HYPERLINK("https://socxopte.com/","SocxoPte")</f>
        <v>SocxoPte</v>
      </c>
      <c r="L1431" s="15">
        <v>302</v>
      </c>
      <c r="M1431" s="15">
        <v>129</v>
      </c>
      <c r="N1431" s="15">
        <v>6</v>
      </c>
      <c r="O1431" s="9"/>
      <c r="P1431" s="10">
        <v>44022.449062500003</v>
      </c>
      <c r="Q1431" s="14" t="s">
        <v>106</v>
      </c>
      <c r="R1431" s="14" t="s">
        <v>4508</v>
      </c>
      <c r="S1431" s="8"/>
      <c r="T1431" s="8"/>
      <c r="U1431" s="11" t="str">
        <f>HYPERLINK("https://pbs.twimg.com/profile_images/1281687432698658816/cEqJDj6D.jpg","View")</f>
        <v>View</v>
      </c>
      <c r="V1431" s="8"/>
      <c r="W1431" s="8"/>
      <c r="X1431" s="8"/>
      <c r="Y1431" s="8"/>
      <c r="Z1431" s="8"/>
    </row>
    <row r="1432" spans="1:26" ht="13.2">
      <c r="A1432" s="13">
        <v>44250.419444444444</v>
      </c>
      <c r="B1432" s="6" t="str">
        <f>HYPERLINK("https://twitter.com/QAValley","@QAValley")</f>
        <v>@QAValley</v>
      </c>
      <c r="C1432" s="14" t="s">
        <v>5315</v>
      </c>
      <c r="D1432" s="14" t="s">
        <v>6131</v>
      </c>
      <c r="E1432" s="6" t="str">
        <f>HYPERLINK("https://twitter.com/QAValley/status/1364138931386654720","1364138931386654720")</f>
        <v>1364138931386654720</v>
      </c>
      <c r="F1432" s="7" t="s">
        <v>6132</v>
      </c>
      <c r="G1432" s="8"/>
      <c r="H1432" s="8"/>
      <c r="I1432" s="14">
        <v>6</v>
      </c>
      <c r="J1432" s="14">
        <v>2</v>
      </c>
      <c r="K1432" s="6" t="str">
        <f>HYPERLINK("https://mobile.twitter.com","Twitter Web App")</f>
        <v>Twitter Web App</v>
      </c>
      <c r="L1432" s="15">
        <v>6419</v>
      </c>
      <c r="M1432" s="15">
        <v>7053</v>
      </c>
      <c r="N1432" s="15">
        <v>15</v>
      </c>
      <c r="O1432" s="9"/>
      <c r="P1432" s="10">
        <v>42058.749386574069</v>
      </c>
      <c r="Q1432" s="14" t="s">
        <v>191</v>
      </c>
      <c r="R1432" s="14" t="s">
        <v>5319</v>
      </c>
      <c r="S1432" s="7" t="s">
        <v>5320</v>
      </c>
      <c r="T1432" s="8"/>
      <c r="U1432" s="11" t="str">
        <f>HYPERLINK("https://pbs.twimg.com/profile_images/976909546240307200/3Gy-rd2X.jpg","View")</f>
        <v>View</v>
      </c>
      <c r="V1432" s="8"/>
      <c r="W1432" s="8"/>
      <c r="X1432" s="8"/>
      <c r="Y1432" s="8"/>
      <c r="Z1432" s="8"/>
    </row>
    <row r="1433" spans="1:26" ht="13.2">
      <c r="A1433" s="13">
        <v>44250.419305555552</v>
      </c>
      <c r="B1433" s="6" t="str">
        <f>HYPERLINK("https://twitter.com/stratorob","@stratorob")</f>
        <v>@stratorob</v>
      </c>
      <c r="C1433" s="14" t="s">
        <v>263</v>
      </c>
      <c r="D1433" s="14" t="s">
        <v>6133</v>
      </c>
      <c r="E1433" s="6" t="str">
        <f>HYPERLINK("https://twitter.com/stratorob/status/1364138882619609089","1364138882619609089")</f>
        <v>1364138882619609089</v>
      </c>
      <c r="F1433" s="7" t="s">
        <v>6134</v>
      </c>
      <c r="G1433" s="7" t="s">
        <v>6135</v>
      </c>
      <c r="H1433" s="8"/>
      <c r="I1433" s="14">
        <v>23</v>
      </c>
      <c r="J1433" s="14">
        <v>21</v>
      </c>
      <c r="K1433" s="6" t="str">
        <f>HYPERLINK("https://app.socialpilot.co/","SocialPilot.co")</f>
        <v>SocialPilot.co</v>
      </c>
      <c r="L1433" s="15">
        <v>32477</v>
      </c>
      <c r="M1433" s="15">
        <v>12996</v>
      </c>
      <c r="N1433" s="15">
        <v>657</v>
      </c>
      <c r="O1433" s="9"/>
      <c r="P1433" s="10">
        <v>40570.461076388892</v>
      </c>
      <c r="Q1433" s="14" t="s">
        <v>266</v>
      </c>
      <c r="R1433" s="14" t="s">
        <v>267</v>
      </c>
      <c r="S1433" s="7" t="s">
        <v>268</v>
      </c>
      <c r="T1433" s="8"/>
      <c r="U1433" s="11" t="str">
        <f>HYPERLINK("https://pbs.twimg.com/profile_images/1081644975333478401/_Csd-JKp.jpg","View")</f>
        <v>View</v>
      </c>
      <c r="V1433" s="8"/>
      <c r="W1433" s="8"/>
      <c r="X1433" s="8"/>
      <c r="Y1433" s="8"/>
      <c r="Z1433" s="8"/>
    </row>
    <row r="1434" spans="1:26" ht="13.2">
      <c r="A1434" s="13">
        <v>44250.419293981482</v>
      </c>
      <c r="B1434" s="6" t="str">
        <f>HYPERLINK("https://twitter.com/Innovat78455398","@Innovat78455398")</f>
        <v>@Innovat78455398</v>
      </c>
      <c r="C1434" s="14" t="s">
        <v>4318</v>
      </c>
      <c r="D1434" s="14" t="s">
        <v>6136</v>
      </c>
      <c r="E1434" s="6" t="str">
        <f>HYPERLINK("https://twitter.com/Innovat78455398/status/1364138876000825350","1364138876000825350")</f>
        <v>1364138876000825350</v>
      </c>
      <c r="F1434" s="7" t="s">
        <v>6137</v>
      </c>
      <c r="G1434" s="7" t="s">
        <v>6138</v>
      </c>
      <c r="H1434" s="8"/>
      <c r="I1434" s="14">
        <v>10</v>
      </c>
      <c r="J1434" s="14">
        <v>2</v>
      </c>
      <c r="K1434" s="6" t="str">
        <f t="shared" ref="K1434:K1437" si="241">HYPERLINK("https://mobile.twitter.com","Twitter Web App")</f>
        <v>Twitter Web App</v>
      </c>
      <c r="L1434" s="15">
        <v>101</v>
      </c>
      <c r="M1434" s="15">
        <v>142</v>
      </c>
      <c r="N1434" s="15">
        <v>1</v>
      </c>
      <c r="O1434" s="9"/>
      <c r="P1434" s="10">
        <v>44075.047534722224</v>
      </c>
      <c r="Q1434" s="14" t="s">
        <v>623</v>
      </c>
      <c r="R1434" s="14" t="s">
        <v>4322</v>
      </c>
      <c r="S1434" s="8"/>
      <c r="T1434" s="8"/>
      <c r="U1434" s="11" t="str">
        <f>HYPERLINK("https://pbs.twimg.com/profile_images/1300571380098850818/YjKI8L9l.jpg","View")</f>
        <v>View</v>
      </c>
      <c r="V1434" s="8"/>
      <c r="W1434" s="8"/>
      <c r="X1434" s="8"/>
      <c r="Y1434" s="8"/>
      <c r="Z1434" s="8"/>
    </row>
    <row r="1435" spans="1:26" ht="13.2">
      <c r="A1435" s="13">
        <v>44250.418900462959</v>
      </c>
      <c r="B1435" s="6" t="str">
        <f>HYPERLINK("https://twitter.com/Computers_MDPI","@Computers_MDPI")</f>
        <v>@Computers_MDPI</v>
      </c>
      <c r="C1435" s="14" t="s">
        <v>6139</v>
      </c>
      <c r="D1435" s="14" t="s">
        <v>6140</v>
      </c>
      <c r="E1435" s="6" t="str">
        <f>HYPERLINK("https://twitter.com/Computers_MDPI/status/1364138732966744065","1364138732966744065")</f>
        <v>1364138732966744065</v>
      </c>
      <c r="F1435" s="7" t="s">
        <v>6141</v>
      </c>
      <c r="G1435" s="7" t="s">
        <v>6142</v>
      </c>
      <c r="H1435" s="8"/>
      <c r="I1435" s="14">
        <v>2</v>
      </c>
      <c r="J1435" s="14">
        <v>0</v>
      </c>
      <c r="K1435" s="6" t="str">
        <f t="shared" si="241"/>
        <v>Twitter Web App</v>
      </c>
      <c r="L1435" s="15">
        <v>298</v>
      </c>
      <c r="M1435" s="15">
        <v>418</v>
      </c>
      <c r="N1435" s="15">
        <v>4</v>
      </c>
      <c r="O1435" s="9"/>
      <c r="P1435" s="10">
        <v>42775.118703703702</v>
      </c>
      <c r="Q1435" s="14" t="s">
        <v>6143</v>
      </c>
      <c r="R1435" s="14" t="s">
        <v>6144</v>
      </c>
      <c r="S1435" s="7" t="s">
        <v>6145</v>
      </c>
      <c r="T1435" s="8"/>
      <c r="U1435" s="11" t="str">
        <f>HYPERLINK("https://pbs.twimg.com/profile_images/829878407617933313/Cv6XzLjD.jpg","View")</f>
        <v>View</v>
      </c>
      <c r="V1435" s="8"/>
      <c r="W1435" s="8"/>
      <c r="X1435" s="8"/>
      <c r="Y1435" s="8"/>
      <c r="Z1435" s="8"/>
    </row>
    <row r="1436" spans="1:26" ht="13.2">
      <c r="A1436" s="13">
        <v>44250.417997685188</v>
      </c>
      <c r="B1436" s="6" t="str">
        <f>HYPERLINK("https://twitter.com/Innovat78455398","@Innovat78455398")</f>
        <v>@Innovat78455398</v>
      </c>
      <c r="C1436" s="14" t="s">
        <v>4318</v>
      </c>
      <c r="D1436" s="14" t="s">
        <v>6146</v>
      </c>
      <c r="E1436" s="6" t="str">
        <f>HYPERLINK("https://twitter.com/Innovat78455398/status/1364138405995507713","1364138405995507713")</f>
        <v>1364138405995507713</v>
      </c>
      <c r="F1436" s="7" t="s">
        <v>6147</v>
      </c>
      <c r="G1436" s="7" t="s">
        <v>6148</v>
      </c>
      <c r="H1436" s="8"/>
      <c r="I1436" s="14">
        <v>13</v>
      </c>
      <c r="J1436" s="14">
        <v>6</v>
      </c>
      <c r="K1436" s="6" t="str">
        <f t="shared" si="241"/>
        <v>Twitter Web App</v>
      </c>
      <c r="L1436" s="15">
        <v>101</v>
      </c>
      <c r="M1436" s="15">
        <v>142</v>
      </c>
      <c r="N1436" s="15">
        <v>1</v>
      </c>
      <c r="O1436" s="9"/>
      <c r="P1436" s="10">
        <v>44075.047534722224</v>
      </c>
      <c r="Q1436" s="14" t="s">
        <v>623</v>
      </c>
      <c r="R1436" s="14" t="s">
        <v>4322</v>
      </c>
      <c r="S1436" s="8"/>
      <c r="T1436" s="8"/>
      <c r="U1436" s="11" t="str">
        <f>HYPERLINK("https://pbs.twimg.com/profile_images/1300571380098850818/YjKI8L9l.jpg","View")</f>
        <v>View</v>
      </c>
      <c r="V1436" s="8"/>
      <c r="W1436" s="8"/>
      <c r="X1436" s="8"/>
      <c r="Y1436" s="8"/>
      <c r="Z1436" s="8"/>
    </row>
    <row r="1437" spans="1:26" ht="13.2">
      <c r="A1437" s="13">
        <v>44250.417696759258</v>
      </c>
      <c r="B1437" s="6" t="str">
        <f>HYPERLINK("https://twitter.com/BBVAInnovation","@BBVAInnovation")</f>
        <v>@BBVAInnovation</v>
      </c>
      <c r="C1437" s="14" t="s">
        <v>6149</v>
      </c>
      <c r="D1437" s="14" t="s">
        <v>6150</v>
      </c>
      <c r="E1437" s="6" t="str">
        <f>HYPERLINK("https://twitter.com/BBVAInnovation/status/1364138296801132544","1364138296801132544")</f>
        <v>1364138296801132544</v>
      </c>
      <c r="F1437" s="7" t="s">
        <v>6151</v>
      </c>
      <c r="G1437" s="7" t="s">
        <v>6152</v>
      </c>
      <c r="H1437" s="8"/>
      <c r="I1437" s="14">
        <v>1</v>
      </c>
      <c r="J1437" s="14">
        <v>3</v>
      </c>
      <c r="K1437" s="6" t="str">
        <f t="shared" si="241"/>
        <v>Twitter Web App</v>
      </c>
      <c r="L1437" s="15">
        <v>57140</v>
      </c>
      <c r="M1437" s="15">
        <v>12662</v>
      </c>
      <c r="N1437" s="15">
        <v>2728</v>
      </c>
      <c r="O1437" s="9"/>
      <c r="P1437" s="10">
        <v>39523.602442129632</v>
      </c>
      <c r="Q1437" s="14" t="s">
        <v>6153</v>
      </c>
      <c r="R1437" s="14" t="s">
        <v>6154</v>
      </c>
      <c r="S1437" s="7" t="s">
        <v>6155</v>
      </c>
      <c r="T1437" s="8"/>
      <c r="U1437" s="11" t="str">
        <f>HYPERLINK("https://pbs.twimg.com/profile_images/1277509120501977088/7Q8SiHvH.png","View")</f>
        <v>View</v>
      </c>
      <c r="V1437" s="8"/>
      <c r="W1437" s="8"/>
      <c r="X1437" s="8"/>
      <c r="Y1437" s="8"/>
      <c r="Z1437" s="8"/>
    </row>
    <row r="1438" spans="1:26" ht="13.2">
      <c r="A1438" s="13">
        <v>44250.417581018519</v>
      </c>
      <c r="B1438" s="6" t="str">
        <f>HYPERLINK("https://twitter.com/baobabsolucione","@baobabsolucione")</f>
        <v>@baobabsolucione</v>
      </c>
      <c r="C1438" s="14" t="s">
        <v>6156</v>
      </c>
      <c r="D1438" s="14" t="s">
        <v>6157</v>
      </c>
      <c r="E1438" s="6" t="str">
        <f>HYPERLINK("https://twitter.com/baobabsolucione/status/1364138254849695744","1364138254849695744")</f>
        <v>1364138254849695744</v>
      </c>
      <c r="F1438" s="7" t="s">
        <v>6158</v>
      </c>
      <c r="G1438" s="8"/>
      <c r="H1438" s="8"/>
      <c r="I1438" s="14">
        <v>2</v>
      </c>
      <c r="J1438" s="14">
        <v>1</v>
      </c>
      <c r="K1438" s="6" t="str">
        <f>HYPERLINK("https://about.twitter.com/products/tweetdeck","TweetDeck")</f>
        <v>TweetDeck</v>
      </c>
      <c r="L1438" s="15">
        <v>156</v>
      </c>
      <c r="M1438" s="15">
        <v>137</v>
      </c>
      <c r="N1438" s="15">
        <v>5</v>
      </c>
      <c r="O1438" s="9"/>
      <c r="P1438" s="10">
        <v>41438.440787037034</v>
      </c>
      <c r="Q1438" s="14" t="s">
        <v>6159</v>
      </c>
      <c r="R1438" s="14" t="s">
        <v>6160</v>
      </c>
      <c r="S1438" s="7" t="s">
        <v>6161</v>
      </c>
      <c r="T1438" s="8"/>
      <c r="U1438" s="11" t="str">
        <f>HYPERLINK("https://pbs.twimg.com/profile_images/1185125774929616900/P9mWQyo8.jpg","View")</f>
        <v>View</v>
      </c>
      <c r="V1438" s="8"/>
      <c r="W1438" s="8"/>
      <c r="X1438" s="8"/>
      <c r="Y1438" s="8"/>
      <c r="Z1438" s="8"/>
    </row>
    <row r="1439" spans="1:26" ht="13.2">
      <c r="A1439" s="13">
        <v>44250.417442129634</v>
      </c>
      <c r="B1439" s="6" t="str">
        <f>HYPERLINK("https://twitter.com/TheNextTech2018","@TheNextTech2018")</f>
        <v>@TheNextTech2018</v>
      </c>
      <c r="C1439" s="14" t="s">
        <v>6162</v>
      </c>
      <c r="D1439" s="14" t="s">
        <v>6163</v>
      </c>
      <c r="E1439" s="6" t="str">
        <f>HYPERLINK("https://twitter.com/TheNextTech2018/status/1364138204656525313","1364138204656525313")</f>
        <v>1364138204656525313</v>
      </c>
      <c r="F1439" s="7" t="s">
        <v>6164</v>
      </c>
      <c r="G1439" s="8"/>
      <c r="H1439" s="8"/>
      <c r="I1439" s="14">
        <v>4</v>
      </c>
      <c r="J1439" s="14">
        <v>4</v>
      </c>
      <c r="K1439" s="6" t="str">
        <f>HYPERLINK("https://revive.social/","Revive Social App")</f>
        <v>Revive Social App</v>
      </c>
      <c r="L1439" s="15">
        <v>3333</v>
      </c>
      <c r="M1439" s="15">
        <v>4385</v>
      </c>
      <c r="N1439" s="15">
        <v>28</v>
      </c>
      <c r="O1439" s="9"/>
      <c r="P1439" s="10">
        <v>43445.304942129631</v>
      </c>
      <c r="Q1439" s="14" t="s">
        <v>650</v>
      </c>
      <c r="R1439" s="14" t="s">
        <v>6165</v>
      </c>
      <c r="S1439" s="7" t="s">
        <v>6166</v>
      </c>
      <c r="T1439" s="8"/>
      <c r="U1439" s="11" t="str">
        <f>HYPERLINK("https://pbs.twimg.com/profile_images/1072390659313725440/hFee_wvy.jpg","View")</f>
        <v>View</v>
      </c>
      <c r="V1439" s="8"/>
      <c r="W1439" s="8"/>
      <c r="X1439" s="8"/>
      <c r="Y1439" s="8"/>
      <c r="Z1439" s="8"/>
    </row>
    <row r="1440" spans="1:26" ht="13.2">
      <c r="A1440" s="13">
        <v>44250.417048611111</v>
      </c>
      <c r="B1440" s="6" t="str">
        <f>HYPERLINK("https://twitter.com/matthewpalmer","@matthewpalmer")</f>
        <v>@matthewpalmer</v>
      </c>
      <c r="C1440" s="14" t="s">
        <v>6167</v>
      </c>
      <c r="D1440" s="14" t="s">
        <v>6168</v>
      </c>
      <c r="E1440" s="6" t="str">
        <f>HYPERLINK("https://twitter.com/matthewpalmer/status/1364138063513985025","1364138063513985025")</f>
        <v>1364138063513985025</v>
      </c>
      <c r="F1440" s="7" t="s">
        <v>6069</v>
      </c>
      <c r="G1440" s="8"/>
      <c r="H1440" s="8"/>
      <c r="I1440" s="14">
        <v>0</v>
      </c>
      <c r="J1440" s="14">
        <v>2</v>
      </c>
      <c r="K1440" s="6" t="str">
        <f>HYPERLINK("https://buffer.com","Buffer")</f>
        <v>Buffer</v>
      </c>
      <c r="L1440" s="15">
        <v>1204</v>
      </c>
      <c r="M1440" s="15">
        <v>154</v>
      </c>
      <c r="N1440" s="15">
        <v>80</v>
      </c>
      <c r="O1440" s="9"/>
      <c r="P1440" s="10">
        <v>39753.205254629633</v>
      </c>
      <c r="Q1440" s="14" t="s">
        <v>6169</v>
      </c>
      <c r="R1440" s="14" t="s">
        <v>6170</v>
      </c>
      <c r="S1440" s="7" t="s">
        <v>6171</v>
      </c>
      <c r="T1440" s="8"/>
      <c r="U1440" s="11" t="str">
        <f>HYPERLINK("https://pbs.twimg.com/profile_images/1053392898585112576/iiyjj-5O.jpg","View")</f>
        <v>View</v>
      </c>
      <c r="V1440" s="8"/>
      <c r="W1440" s="8"/>
      <c r="X1440" s="8"/>
      <c r="Y1440" s="8"/>
      <c r="Z1440" s="8"/>
    </row>
    <row r="1441" spans="1:26" ht="13.2">
      <c r="A1441" s="13">
        <v>44250.416990740741</v>
      </c>
      <c r="B1441" s="6" t="str">
        <f>HYPERLINK("https://twitter.com/MBITSchool","@MBITSchool")</f>
        <v>@MBITSchool</v>
      </c>
      <c r="C1441" s="14" t="s">
        <v>6172</v>
      </c>
      <c r="D1441" s="14" t="s">
        <v>6173</v>
      </c>
      <c r="E1441" s="6" t="str">
        <f>HYPERLINK("https://twitter.com/MBITSchool/status/1364138043058356224","1364138043058356224")</f>
        <v>1364138043058356224</v>
      </c>
      <c r="F1441" s="7" t="s">
        <v>6174</v>
      </c>
      <c r="G1441" s="7" t="s">
        <v>6175</v>
      </c>
      <c r="H1441" s="8"/>
      <c r="I1441" s="14">
        <v>0</v>
      </c>
      <c r="J1441" s="14">
        <v>0</v>
      </c>
      <c r="K1441" s="6" t="str">
        <f t="shared" ref="K1441:K1443" si="242">HYPERLINK("https://www.hootsuite.com","Hootsuite Inc.")</f>
        <v>Hootsuite Inc.</v>
      </c>
      <c r="L1441" s="15">
        <v>982</v>
      </c>
      <c r="M1441" s="15">
        <v>852</v>
      </c>
      <c r="N1441" s="15">
        <v>357</v>
      </c>
      <c r="O1441" s="9"/>
      <c r="P1441" s="10">
        <v>41775.487997685181</v>
      </c>
      <c r="Q1441" s="14" t="s">
        <v>6176</v>
      </c>
      <c r="R1441" s="14" t="s">
        <v>6177</v>
      </c>
      <c r="S1441" s="7" t="s">
        <v>6178</v>
      </c>
      <c r="T1441" s="8"/>
      <c r="U1441" s="11" t="str">
        <f>HYPERLINK("https://pbs.twimg.com/profile_images/564005610933329920/E6PRRa5_.png","View")</f>
        <v>View</v>
      </c>
      <c r="V1441" s="8"/>
      <c r="W1441" s="8"/>
      <c r="X1441" s="8"/>
      <c r="Y1441" s="8"/>
      <c r="Z1441" s="8"/>
    </row>
    <row r="1442" spans="1:26" ht="13.2">
      <c r="A1442" s="13">
        <v>44250.416898148149</v>
      </c>
      <c r="B1442" s="6" t="str">
        <f>HYPERLINK("https://twitter.com/pimloc","@pimloc")</f>
        <v>@pimloc</v>
      </c>
      <c r="C1442" s="14" t="s">
        <v>6179</v>
      </c>
      <c r="D1442" s="14" t="s">
        <v>6180</v>
      </c>
      <c r="E1442" s="6" t="str">
        <f>HYPERLINK("https://twitter.com/pimloc/status/1364138010590273538","1364138010590273538")</f>
        <v>1364138010590273538</v>
      </c>
      <c r="F1442" s="7" t="s">
        <v>6181</v>
      </c>
      <c r="G1442" s="8"/>
      <c r="H1442" s="8"/>
      <c r="I1442" s="14">
        <v>0</v>
      </c>
      <c r="J1442" s="14">
        <v>1</v>
      </c>
      <c r="K1442" s="6" t="str">
        <f t="shared" si="242"/>
        <v>Hootsuite Inc.</v>
      </c>
      <c r="L1442" s="15">
        <v>68</v>
      </c>
      <c r="M1442" s="15">
        <v>44</v>
      </c>
      <c r="N1442" s="15">
        <v>2</v>
      </c>
      <c r="O1442" s="9"/>
      <c r="P1442" s="10">
        <v>42411.541979166665</v>
      </c>
      <c r="Q1442" s="8"/>
      <c r="R1442" s="14" t="s">
        <v>6182</v>
      </c>
      <c r="S1442" s="7" t="s">
        <v>6183</v>
      </c>
      <c r="T1442" s="8"/>
      <c r="U1442" s="11" t="str">
        <f>HYPERLINK("https://pbs.twimg.com/profile_images/793133206765797376/ix74Zcf3.jpg","View")</f>
        <v>View</v>
      </c>
      <c r="V1442" s="8"/>
      <c r="W1442" s="8"/>
      <c r="X1442" s="8"/>
      <c r="Y1442" s="8"/>
      <c r="Z1442" s="8"/>
    </row>
    <row r="1443" spans="1:26" ht="13.2">
      <c r="A1443" s="13">
        <v>44250.416898148149</v>
      </c>
      <c r="B1443" s="6" t="str">
        <f>HYPERLINK("https://twitter.com/SecureRedact","@SecureRedact")</f>
        <v>@SecureRedact</v>
      </c>
      <c r="C1443" s="14" t="s">
        <v>6184</v>
      </c>
      <c r="D1443" s="14" t="s">
        <v>6180</v>
      </c>
      <c r="E1443" s="6" t="str">
        <f>HYPERLINK("https://twitter.com/SecureRedact/status/1364138010577625092","1364138010577625092")</f>
        <v>1364138010577625092</v>
      </c>
      <c r="F1443" s="7" t="s">
        <v>6181</v>
      </c>
      <c r="G1443" s="8"/>
      <c r="H1443" s="8"/>
      <c r="I1443" s="14">
        <v>0</v>
      </c>
      <c r="J1443" s="14">
        <v>1</v>
      </c>
      <c r="K1443" s="6" t="str">
        <f t="shared" si="242"/>
        <v>Hootsuite Inc.</v>
      </c>
      <c r="L1443" s="15">
        <v>1</v>
      </c>
      <c r="M1443" s="15">
        <v>2</v>
      </c>
      <c r="N1443" s="15">
        <v>0</v>
      </c>
      <c r="O1443" s="9"/>
      <c r="P1443" s="10">
        <v>43508.676979166667</v>
      </c>
      <c r="Q1443" s="14" t="s">
        <v>599</v>
      </c>
      <c r="R1443" s="14" t="s">
        <v>6185</v>
      </c>
      <c r="S1443" s="7" t="s">
        <v>6186</v>
      </c>
      <c r="T1443" s="8"/>
      <c r="U1443" s="11" t="str">
        <f>HYPERLINK("https://pbs.twimg.com/profile_images/1095340717990305795/wPt8n7zu.png","View")</f>
        <v>View</v>
      </c>
      <c r="V1443" s="8"/>
      <c r="W1443" s="8"/>
      <c r="X1443" s="8"/>
      <c r="Y1443" s="8"/>
      <c r="Z1443" s="8"/>
    </row>
    <row r="1444" spans="1:26" ht="13.2">
      <c r="A1444" s="13">
        <v>44250.41679398148</v>
      </c>
      <c r="B1444" s="6" t="str">
        <f>HYPERLINK("https://twitter.com/nigewillson","@nigewillson")</f>
        <v>@nigewillson</v>
      </c>
      <c r="C1444" s="14" t="s">
        <v>95</v>
      </c>
      <c r="D1444" s="14" t="s">
        <v>255</v>
      </c>
      <c r="E1444" s="6" t="str">
        <f>HYPERLINK("https://twitter.com/nigewillson/status/1364137970727583744","1364137970727583744")</f>
        <v>1364137970727583744</v>
      </c>
      <c r="F1444" s="7" t="s">
        <v>256</v>
      </c>
      <c r="G1444" s="7" t="s">
        <v>6187</v>
      </c>
      <c r="H1444" s="8"/>
      <c r="I1444" s="14">
        <v>8</v>
      </c>
      <c r="J1444" s="14">
        <v>6</v>
      </c>
      <c r="K1444" s="6" t="str">
        <f>HYPERLINK("https://buffer.com","Buffer")</f>
        <v>Buffer</v>
      </c>
      <c r="L1444" s="15">
        <v>57515</v>
      </c>
      <c r="M1444" s="15">
        <v>49523</v>
      </c>
      <c r="N1444" s="15">
        <v>1688</v>
      </c>
      <c r="O1444" s="9"/>
      <c r="P1444" s="10">
        <v>40530.666805555556</v>
      </c>
      <c r="Q1444" s="14" t="s">
        <v>99</v>
      </c>
      <c r="R1444" s="14" t="s">
        <v>100</v>
      </c>
      <c r="S1444" s="7" t="s">
        <v>101</v>
      </c>
      <c r="T1444" s="8"/>
      <c r="U1444" s="11" t="str">
        <f>HYPERLINK("https://pbs.twimg.com/profile_images/1085251590997622784/x9mWVQ1d.jpg","View")</f>
        <v>View</v>
      </c>
      <c r="V1444" s="8"/>
      <c r="W1444" s="8"/>
      <c r="X1444" s="8"/>
      <c r="Y1444" s="8"/>
      <c r="Z1444" s="8"/>
    </row>
    <row r="1445" spans="1:26" ht="13.2">
      <c r="A1445" s="13">
        <v>44250.41673611111</v>
      </c>
      <c r="B1445" s="6" t="str">
        <f>HYPERLINK("https://twitter.com/ipfconline1","@ipfconline1")</f>
        <v>@ipfconline1</v>
      </c>
      <c r="C1445" s="14" t="s">
        <v>65</v>
      </c>
      <c r="D1445" s="14" t="s">
        <v>6188</v>
      </c>
      <c r="E1445" s="6" t="str">
        <f>HYPERLINK("https://twitter.com/ipfconline1/status/1364137951354105858","1364137951354105858")</f>
        <v>1364137951354105858</v>
      </c>
      <c r="F1445" s="7" t="s">
        <v>6189</v>
      </c>
      <c r="G1445" s="7" t="s">
        <v>6190</v>
      </c>
      <c r="H1445" s="8"/>
      <c r="I1445" s="14">
        <v>10</v>
      </c>
      <c r="J1445" s="14">
        <v>9</v>
      </c>
      <c r="K1445" s="6" t="str">
        <f>HYPERLINK("https://twittimer.com","Twittimer")</f>
        <v>Twittimer</v>
      </c>
      <c r="L1445" s="15">
        <v>112675</v>
      </c>
      <c r="M1445" s="15">
        <v>107162</v>
      </c>
      <c r="N1445" s="15">
        <v>7806</v>
      </c>
      <c r="O1445" s="9"/>
      <c r="P1445" s="10">
        <v>42433.031967592593</v>
      </c>
      <c r="Q1445" s="14" t="s">
        <v>69</v>
      </c>
      <c r="R1445" s="14" t="s">
        <v>70</v>
      </c>
      <c r="S1445" s="7" t="s">
        <v>71</v>
      </c>
      <c r="T1445" s="8"/>
      <c r="U1445" s="11" t="str">
        <f>HYPERLINK("https://pbs.twimg.com/profile_images/729065804004769793/St2_Pum9.jpg","View")</f>
        <v>View</v>
      </c>
      <c r="V1445" s="8"/>
      <c r="W1445" s="8"/>
      <c r="X1445" s="8"/>
      <c r="Y1445" s="8"/>
      <c r="Z1445" s="8"/>
    </row>
    <row r="1446" spans="1:26" ht="13.2">
      <c r="A1446" s="13">
        <v>44250.416712962964</v>
      </c>
      <c r="B1446" s="6" t="str">
        <f>HYPERLINK("https://twitter.com/teraflow_ai","@teraflow_ai")</f>
        <v>@teraflow_ai</v>
      </c>
      <c r="C1446" s="7" t="s">
        <v>6191</v>
      </c>
      <c r="D1446" s="14" t="s">
        <v>6192</v>
      </c>
      <c r="E1446" s="6" t="str">
        <f>HYPERLINK("https://twitter.com/teraflow_ai/status/1364137940893511680","1364137940893511680")</f>
        <v>1364137940893511680</v>
      </c>
      <c r="F1446" s="8"/>
      <c r="G1446" s="7" t="s">
        <v>6193</v>
      </c>
      <c r="H1446" s="8"/>
      <c r="I1446" s="14">
        <v>1</v>
      </c>
      <c r="J1446" s="14">
        <v>4</v>
      </c>
      <c r="K1446" s="6" t="str">
        <f>HYPERLINK("https://app.sendible.com","Sendible")</f>
        <v>Sendible</v>
      </c>
      <c r="L1446" s="15">
        <v>417</v>
      </c>
      <c r="M1446" s="15">
        <v>1511</v>
      </c>
      <c r="N1446" s="15">
        <v>5</v>
      </c>
      <c r="O1446" s="9"/>
      <c r="P1446" s="10">
        <v>42908.361562499995</v>
      </c>
      <c r="Q1446" s="14" t="s">
        <v>6194</v>
      </c>
      <c r="R1446" s="14" t="s">
        <v>6195</v>
      </c>
      <c r="S1446" s="7" t="s">
        <v>6196</v>
      </c>
      <c r="T1446" s="8"/>
      <c r="U1446" s="11" t="str">
        <f>HYPERLINK("https://pbs.twimg.com/profile_images/1251205439469039630/qNTbeLsx.jpg","View")</f>
        <v>View</v>
      </c>
      <c r="V1446" s="8"/>
      <c r="W1446" s="8"/>
      <c r="X1446" s="8"/>
      <c r="Y1446" s="8"/>
      <c r="Z1446" s="8"/>
    </row>
    <row r="1447" spans="1:26" ht="13.2">
      <c r="A1447" s="13">
        <v>44250.416689814811</v>
      </c>
      <c r="B1447" s="6" t="str">
        <f>HYPERLINK("https://twitter.com/reddit_ml","@reddit_ml")</f>
        <v>@reddit_ml</v>
      </c>
      <c r="C1447" s="14" t="s">
        <v>2744</v>
      </c>
      <c r="D1447" s="14" t="s">
        <v>6197</v>
      </c>
      <c r="E1447" s="6" t="str">
        <f>HYPERLINK("https://twitter.com/reddit_ml/status/1364137933301809154","1364137933301809154")</f>
        <v>1364137933301809154</v>
      </c>
      <c r="F1447" s="7" t="s">
        <v>6198</v>
      </c>
      <c r="G1447" s="8"/>
      <c r="H1447" s="8"/>
      <c r="I1447" s="14">
        <v>0</v>
      </c>
      <c r="J1447" s="14">
        <v>0</v>
      </c>
      <c r="K1447" s="6" t="str">
        <f>HYPERLINK("https://www.reddit.com/r/MachineLearning/","reddit-ml-bot")</f>
        <v>reddit-ml-bot</v>
      </c>
      <c r="L1447" s="15">
        <v>411</v>
      </c>
      <c r="M1447" s="15">
        <v>93</v>
      </c>
      <c r="N1447" s="15">
        <v>35</v>
      </c>
      <c r="O1447" s="9"/>
      <c r="P1447" s="10">
        <v>42527.844641203701</v>
      </c>
      <c r="Q1447" s="8"/>
      <c r="R1447" s="8"/>
      <c r="S1447" s="7" t="s">
        <v>2746</v>
      </c>
      <c r="T1447" s="8"/>
      <c r="U1447" s="11" t="str">
        <f>HYPERLINK("https://pbs.twimg.com/profile_images/739887457206996992/9NUmKQvu.jpg","View")</f>
        <v>View</v>
      </c>
      <c r="V1447" s="8"/>
      <c r="W1447" s="8"/>
      <c r="X1447" s="8"/>
      <c r="Y1447" s="8"/>
      <c r="Z1447" s="8"/>
    </row>
    <row r="1448" spans="1:26" ht="13.2">
      <c r="A1448" s="13">
        <v>44250.416678240741</v>
      </c>
      <c r="B1448" s="6" t="str">
        <f>HYPERLINK("https://twitter.com/therealjpittman","@therealjpittman")</f>
        <v>@therealjpittman</v>
      </c>
      <c r="C1448" s="14" t="s">
        <v>3386</v>
      </c>
      <c r="D1448" s="14" t="s">
        <v>6199</v>
      </c>
      <c r="E1448" s="6" t="str">
        <f>HYPERLINK("https://twitter.com/therealjpittman/status/1364137930688770051","1364137930688770051")</f>
        <v>1364137930688770051</v>
      </c>
      <c r="F1448" s="7" t="s">
        <v>6200</v>
      </c>
      <c r="G1448" s="8"/>
      <c r="H1448" s="8"/>
      <c r="I1448" s="14">
        <v>2</v>
      </c>
      <c r="J1448" s="14">
        <v>2</v>
      </c>
      <c r="K1448" s="6" t="str">
        <f>HYPERLINK("https://github.com/jasonmpittman/retweet-bot-ng","retweet-bot-ng")</f>
        <v>retweet-bot-ng</v>
      </c>
      <c r="L1448" s="15">
        <v>776</v>
      </c>
      <c r="M1448" s="15">
        <v>749</v>
      </c>
      <c r="N1448" s="15">
        <v>106</v>
      </c>
      <c r="O1448" s="9"/>
      <c r="P1448" s="10">
        <v>41837.757106481484</v>
      </c>
      <c r="Q1448" s="14" t="s">
        <v>3389</v>
      </c>
      <c r="R1448" s="14" t="s">
        <v>3390</v>
      </c>
      <c r="S1448" s="7" t="s">
        <v>3391</v>
      </c>
      <c r="T1448" s="8"/>
      <c r="U1448" s="11" t="str">
        <f>HYPERLINK("https://pbs.twimg.com/profile_images/1175408228978626561/xVOYMpZ3.jpg","View")</f>
        <v>View</v>
      </c>
      <c r="V1448" s="8"/>
      <c r="W1448" s="8"/>
      <c r="X1448" s="8"/>
      <c r="Y1448" s="8"/>
      <c r="Z1448" s="8"/>
    </row>
    <row r="1449" spans="1:26" ht="13.2">
      <c r="A1449" s="13">
        <v>44250.416678240741</v>
      </c>
      <c r="B1449" s="6" t="str">
        <f>HYPERLINK("https://twitter.com/mekatronik_p","@mekatronik_p")</f>
        <v>@mekatronik_p</v>
      </c>
      <c r="C1449" s="14" t="s">
        <v>384</v>
      </c>
      <c r="D1449" s="14" t="s">
        <v>6201</v>
      </c>
      <c r="E1449" s="6" t="str">
        <f>HYPERLINK("https://twitter.com/mekatronik_p/status/1364137928889225222","1364137928889225222")</f>
        <v>1364137928889225222</v>
      </c>
      <c r="F1449" s="8"/>
      <c r="G1449" s="7" t="s">
        <v>6202</v>
      </c>
      <c r="H1449" s="8"/>
      <c r="I1449" s="14">
        <v>3</v>
      </c>
      <c r="J1449" s="14">
        <v>0</v>
      </c>
      <c r="K1449" s="6" t="str">
        <f t="shared" ref="K1449:K1450" si="243">HYPERLINK("https://mobile.twitter.com","Twitter Web App")</f>
        <v>Twitter Web App</v>
      </c>
      <c r="L1449" s="15">
        <v>67</v>
      </c>
      <c r="M1449" s="15">
        <v>1</v>
      </c>
      <c r="N1449" s="15">
        <v>0</v>
      </c>
      <c r="O1449" s="9"/>
      <c r="P1449" s="10">
        <v>44109.854756944449</v>
      </c>
      <c r="Q1449" s="8"/>
      <c r="R1449" s="14" t="s">
        <v>387</v>
      </c>
      <c r="S1449" s="8"/>
      <c r="T1449" s="8"/>
      <c r="U1449" s="11" t="str">
        <f>HYPERLINK("https://pbs.twimg.com/profile_images/1313188373624958976/SPe0w7x4.jpg","View")</f>
        <v>View</v>
      </c>
      <c r="V1449" s="8"/>
      <c r="W1449" s="8"/>
      <c r="X1449" s="8"/>
      <c r="Y1449" s="8"/>
      <c r="Z1449" s="8"/>
    </row>
    <row r="1450" spans="1:26" ht="13.2">
      <c r="A1450" s="13">
        <v>44250.416446759264</v>
      </c>
      <c r="B1450" s="6" t="str">
        <f>HYPERLINK("https://twitter.com/Innovat78455398","@Innovat78455398")</f>
        <v>@Innovat78455398</v>
      </c>
      <c r="C1450" s="14" t="s">
        <v>4318</v>
      </c>
      <c r="D1450" s="14" t="s">
        <v>6203</v>
      </c>
      <c r="E1450" s="6" t="str">
        <f>HYPERLINK("https://twitter.com/Innovat78455398/status/1364137847372976128","1364137847372976128")</f>
        <v>1364137847372976128</v>
      </c>
      <c r="F1450" s="7" t="s">
        <v>6204</v>
      </c>
      <c r="G1450" s="7" t="s">
        <v>6205</v>
      </c>
      <c r="H1450" s="8"/>
      <c r="I1450" s="14">
        <v>8</v>
      </c>
      <c r="J1450" s="14">
        <v>3</v>
      </c>
      <c r="K1450" s="6" t="str">
        <f t="shared" si="243"/>
        <v>Twitter Web App</v>
      </c>
      <c r="L1450" s="15">
        <v>101</v>
      </c>
      <c r="M1450" s="15">
        <v>142</v>
      </c>
      <c r="N1450" s="15">
        <v>1</v>
      </c>
      <c r="O1450" s="9"/>
      <c r="P1450" s="10">
        <v>44075.047534722224</v>
      </c>
      <c r="Q1450" s="14" t="s">
        <v>623</v>
      </c>
      <c r="R1450" s="14" t="s">
        <v>4322</v>
      </c>
      <c r="S1450" s="8"/>
      <c r="T1450" s="8"/>
      <c r="U1450" s="11" t="str">
        <f>HYPERLINK("https://pbs.twimg.com/profile_images/1300571380098850818/YjKI8L9l.jpg","View")</f>
        <v>View</v>
      </c>
      <c r="V1450" s="8"/>
      <c r="W1450" s="8"/>
      <c r="X1450" s="8"/>
      <c r="Y1450" s="8"/>
      <c r="Z1450" s="8"/>
    </row>
    <row r="1451" spans="1:26" ht="13.2">
      <c r="A1451" s="13">
        <v>44250.415671296301</v>
      </c>
      <c r="B1451" s="6" t="str">
        <f>HYPERLINK("https://twitter.com/AWS_UKI","@AWS_UKI")</f>
        <v>@AWS_UKI</v>
      </c>
      <c r="C1451" s="14" t="s">
        <v>6206</v>
      </c>
      <c r="D1451" s="14" t="s">
        <v>2087</v>
      </c>
      <c r="E1451" s="6" t="str">
        <f>HYPERLINK("https://twitter.com/AWS_UKI/status/1364137563129335815","1364137563129335815")</f>
        <v>1364137563129335815</v>
      </c>
      <c r="F1451" s="7" t="s">
        <v>6207</v>
      </c>
      <c r="G1451" s="7" t="s">
        <v>6208</v>
      </c>
      <c r="H1451" s="8"/>
      <c r="I1451" s="14">
        <v>2</v>
      </c>
      <c r="J1451" s="14">
        <v>2</v>
      </c>
      <c r="K1451" s="6" t="str">
        <f>HYPERLINK("https://www.sprinklr.com","Sprinklr")</f>
        <v>Sprinklr</v>
      </c>
      <c r="L1451" s="15">
        <v>33562</v>
      </c>
      <c r="M1451" s="15">
        <v>41</v>
      </c>
      <c r="N1451" s="15">
        <v>270</v>
      </c>
      <c r="O1451" s="9"/>
      <c r="P1451" s="10">
        <v>41060.75886574074</v>
      </c>
      <c r="Q1451" s="14" t="s">
        <v>6209</v>
      </c>
      <c r="R1451" s="14" t="s">
        <v>6210</v>
      </c>
      <c r="S1451" s="7" t="s">
        <v>5881</v>
      </c>
      <c r="T1451" s="8"/>
      <c r="U1451" s="11" t="str">
        <f>HYPERLINK("https://pbs.twimg.com/profile_images/907881675304181760/_ftIQb3v.jpg","View")</f>
        <v>View</v>
      </c>
      <c r="V1451" s="8"/>
      <c r="W1451" s="8"/>
      <c r="X1451" s="8"/>
      <c r="Y1451" s="8"/>
      <c r="Z1451" s="8"/>
    </row>
    <row r="1452" spans="1:26" ht="13.2">
      <c r="A1452" s="13">
        <v>44250.415532407409</v>
      </c>
      <c r="B1452" s="6" t="str">
        <f t="shared" ref="B1452:B1453" si="244">HYPERLINK("https://twitter.com/Innovat78455398","@Innovat78455398")</f>
        <v>@Innovat78455398</v>
      </c>
      <c r="C1452" s="14" t="s">
        <v>4318</v>
      </c>
      <c r="D1452" s="14" t="s">
        <v>6211</v>
      </c>
      <c r="E1452" s="6" t="str">
        <f>HYPERLINK("https://twitter.com/Innovat78455398/status/1364137515221807108","1364137515221807108")</f>
        <v>1364137515221807108</v>
      </c>
      <c r="F1452" s="7" t="s">
        <v>6212</v>
      </c>
      <c r="G1452" s="7" t="s">
        <v>6213</v>
      </c>
      <c r="H1452" s="8"/>
      <c r="I1452" s="14">
        <v>6</v>
      </c>
      <c r="J1452" s="14">
        <v>2</v>
      </c>
      <c r="K1452" s="6" t="str">
        <f t="shared" ref="K1452:K1453" si="245">HYPERLINK("https://mobile.twitter.com","Twitter Web App")</f>
        <v>Twitter Web App</v>
      </c>
      <c r="L1452" s="15">
        <v>101</v>
      </c>
      <c r="M1452" s="15">
        <v>142</v>
      </c>
      <c r="N1452" s="15">
        <v>1</v>
      </c>
      <c r="O1452" s="9"/>
      <c r="P1452" s="10">
        <v>44075.047534722224</v>
      </c>
      <c r="Q1452" s="14" t="s">
        <v>623</v>
      </c>
      <c r="R1452" s="14" t="s">
        <v>4322</v>
      </c>
      <c r="S1452" s="8"/>
      <c r="T1452" s="8"/>
      <c r="U1452" s="11" t="str">
        <f t="shared" ref="U1452:U1453" si="246">HYPERLINK("https://pbs.twimg.com/profile_images/1300571380098850818/YjKI8L9l.jpg","View")</f>
        <v>View</v>
      </c>
      <c r="V1452" s="8"/>
      <c r="W1452" s="8"/>
      <c r="X1452" s="8"/>
      <c r="Y1452" s="8"/>
      <c r="Z1452" s="8"/>
    </row>
    <row r="1453" spans="1:26" ht="13.2">
      <c r="A1453" s="13">
        <v>44250.414895833332</v>
      </c>
      <c r="B1453" s="6" t="str">
        <f t="shared" si="244"/>
        <v>@Innovat78455398</v>
      </c>
      <c r="C1453" s="14" t="s">
        <v>4318</v>
      </c>
      <c r="D1453" s="14" t="s">
        <v>6214</v>
      </c>
      <c r="E1453" s="6" t="str">
        <f>HYPERLINK("https://twitter.com/Innovat78455398/status/1364137284262457348","1364137284262457348")</f>
        <v>1364137284262457348</v>
      </c>
      <c r="F1453" s="7" t="s">
        <v>6215</v>
      </c>
      <c r="G1453" s="7" t="s">
        <v>6216</v>
      </c>
      <c r="H1453" s="8"/>
      <c r="I1453" s="14">
        <v>4</v>
      </c>
      <c r="J1453" s="14">
        <v>1</v>
      </c>
      <c r="K1453" s="6" t="str">
        <f t="shared" si="245"/>
        <v>Twitter Web App</v>
      </c>
      <c r="L1453" s="15">
        <v>101</v>
      </c>
      <c r="M1453" s="15">
        <v>142</v>
      </c>
      <c r="N1453" s="15">
        <v>1</v>
      </c>
      <c r="O1453" s="9"/>
      <c r="P1453" s="10">
        <v>44075.047534722224</v>
      </c>
      <c r="Q1453" s="14" t="s">
        <v>623</v>
      </c>
      <c r="R1453" s="14" t="s">
        <v>4322</v>
      </c>
      <c r="S1453" s="8"/>
      <c r="T1453" s="8"/>
      <c r="U1453" s="11" t="str">
        <f t="shared" si="246"/>
        <v>View</v>
      </c>
      <c r="V1453" s="8"/>
      <c r="W1453" s="8"/>
      <c r="X1453" s="8"/>
      <c r="Y1453" s="8"/>
      <c r="Z1453" s="8"/>
    </row>
    <row r="1454" spans="1:26" ht="13.2">
      <c r="A1454" s="13">
        <v>44250.414606481485</v>
      </c>
      <c r="B1454" s="6" t="str">
        <f>HYPERLINK("https://twitter.com/techjunkiejh","@techjunkiejh")</f>
        <v>@techjunkiejh</v>
      </c>
      <c r="C1454" s="14" t="s">
        <v>1945</v>
      </c>
      <c r="D1454" s="14" t="s">
        <v>1946</v>
      </c>
      <c r="E1454" s="6" t="str">
        <f>HYPERLINK("https://twitter.com/techjunkiejh/status/1364137176653561856","1364137176653561856")</f>
        <v>1364137176653561856</v>
      </c>
      <c r="F1454" s="7" t="s">
        <v>1947</v>
      </c>
      <c r="G1454" s="7" t="s">
        <v>6217</v>
      </c>
      <c r="H1454" s="8"/>
      <c r="I1454" s="14">
        <v>3</v>
      </c>
      <c r="J1454" s="14">
        <v>3</v>
      </c>
      <c r="K1454" s="6" t="str">
        <f>HYPERLINK("https://buffer.com","Buffer")</f>
        <v>Buffer</v>
      </c>
      <c r="L1454" s="15">
        <v>28541</v>
      </c>
      <c r="M1454" s="15">
        <v>22044</v>
      </c>
      <c r="N1454" s="15">
        <v>6147</v>
      </c>
      <c r="O1454" s="9"/>
      <c r="P1454" s="10">
        <v>42062.082199074073</v>
      </c>
      <c r="Q1454" s="8"/>
      <c r="R1454" s="14" t="s">
        <v>1949</v>
      </c>
      <c r="S1454" s="7" t="s">
        <v>1950</v>
      </c>
      <c r="T1454" s="8"/>
      <c r="U1454" s="11" t="str">
        <f>HYPERLINK("https://pbs.twimg.com/profile_images/587160065536299009/9MBFPj6a.png","View")</f>
        <v>View</v>
      </c>
      <c r="V1454" s="8"/>
      <c r="W1454" s="8"/>
      <c r="X1454" s="8"/>
      <c r="Y1454" s="8"/>
      <c r="Z1454" s="8"/>
    </row>
    <row r="1455" spans="1:26" ht="13.2">
      <c r="A1455" s="13">
        <v>44250.414270833338</v>
      </c>
      <c r="B1455" s="6" t="str">
        <f>HYPERLINK("https://twitter.com/BristowColin","@BristowColin")</f>
        <v>@BristowColin</v>
      </c>
      <c r="C1455" s="14" t="s">
        <v>596</v>
      </c>
      <c r="D1455" s="14" t="s">
        <v>6218</v>
      </c>
      <c r="E1455" s="6" t="str">
        <f>HYPERLINK("https://twitter.com/BristowColin/status/1364137056784568320","1364137056784568320")</f>
        <v>1364137056784568320</v>
      </c>
      <c r="F1455" s="14" t="s">
        <v>6219</v>
      </c>
      <c r="G1455" s="7" t="s">
        <v>6220</v>
      </c>
      <c r="H1455" s="8"/>
      <c r="I1455" s="14">
        <v>8</v>
      </c>
      <c r="J1455" s="14">
        <v>1</v>
      </c>
      <c r="K1455" s="6" t="str">
        <f t="shared" ref="K1455:K1459" si="247">HYPERLINK("https://mobile.twitter.com","Twitter Web App")</f>
        <v>Twitter Web App</v>
      </c>
      <c r="L1455" s="15">
        <v>12149</v>
      </c>
      <c r="M1455" s="15">
        <v>9707</v>
      </c>
      <c r="N1455" s="15">
        <v>155</v>
      </c>
      <c r="O1455" s="9"/>
      <c r="P1455" s="10">
        <v>40900.478090277778</v>
      </c>
      <c r="Q1455" s="14" t="s">
        <v>599</v>
      </c>
      <c r="R1455" s="14" t="s">
        <v>600</v>
      </c>
      <c r="S1455" s="7" t="s">
        <v>601</v>
      </c>
      <c r="T1455" s="8"/>
      <c r="U1455" s="11" t="str">
        <f>HYPERLINK("https://pbs.twimg.com/profile_images/692994884270198784/jQX64C1s.jpg","View")</f>
        <v>View</v>
      </c>
      <c r="V1455" s="8"/>
      <c r="W1455" s="8"/>
      <c r="X1455" s="8"/>
      <c r="Y1455" s="8"/>
      <c r="Z1455" s="8"/>
    </row>
    <row r="1456" spans="1:26" ht="13.2">
      <c r="A1456" s="13">
        <v>44250.413935185185</v>
      </c>
      <c r="B1456" s="6" t="str">
        <f>HYPERLINK("https://twitter.com/Innovat78455398","@Innovat78455398")</f>
        <v>@Innovat78455398</v>
      </c>
      <c r="C1456" s="14" t="s">
        <v>4318</v>
      </c>
      <c r="D1456" s="14" t="s">
        <v>6221</v>
      </c>
      <c r="E1456" s="6" t="str">
        <f>HYPERLINK("https://twitter.com/Innovat78455398/status/1364136933698379783","1364136933698379783")</f>
        <v>1364136933698379783</v>
      </c>
      <c r="F1456" s="7" t="s">
        <v>6222</v>
      </c>
      <c r="G1456" s="7" t="s">
        <v>6223</v>
      </c>
      <c r="H1456" s="8"/>
      <c r="I1456" s="14">
        <v>5</v>
      </c>
      <c r="J1456" s="14">
        <v>1</v>
      </c>
      <c r="K1456" s="6" t="str">
        <f t="shared" si="247"/>
        <v>Twitter Web App</v>
      </c>
      <c r="L1456" s="15">
        <v>101</v>
      </c>
      <c r="M1456" s="15">
        <v>142</v>
      </c>
      <c r="N1456" s="15">
        <v>1</v>
      </c>
      <c r="O1456" s="9"/>
      <c r="P1456" s="10">
        <v>44075.047534722224</v>
      </c>
      <c r="Q1456" s="14" t="s">
        <v>623</v>
      </c>
      <c r="R1456" s="14" t="s">
        <v>4322</v>
      </c>
      <c r="S1456" s="8"/>
      <c r="T1456" s="8"/>
      <c r="U1456" s="11" t="str">
        <f>HYPERLINK("https://pbs.twimg.com/profile_images/1300571380098850818/YjKI8L9l.jpg","View")</f>
        <v>View</v>
      </c>
      <c r="V1456" s="8"/>
      <c r="W1456" s="8"/>
      <c r="X1456" s="8"/>
      <c r="Y1456" s="8"/>
      <c r="Z1456" s="8"/>
    </row>
    <row r="1457" spans="1:26" ht="13.2">
      <c r="A1457" s="13">
        <v>44250.413912037038</v>
      </c>
      <c r="B1457" s="6" t="str">
        <f>HYPERLINK("https://twitter.com/MiChemQSAR","@MiChemQSAR")</f>
        <v>@MiChemQSAR</v>
      </c>
      <c r="C1457" s="14" t="s">
        <v>6224</v>
      </c>
      <c r="D1457" s="14" t="s">
        <v>6225</v>
      </c>
      <c r="E1457" s="6" t="str">
        <f>HYPERLINK("https://twitter.com/MiChemQSAR/status/1364136927755173889","1364136927755173889")</f>
        <v>1364136927755173889</v>
      </c>
      <c r="F1457" s="7" t="s">
        <v>6226</v>
      </c>
      <c r="G1457" s="8"/>
      <c r="H1457" s="8"/>
      <c r="I1457" s="14">
        <v>0</v>
      </c>
      <c r="J1457" s="14">
        <v>0</v>
      </c>
      <c r="K1457" s="6" t="str">
        <f t="shared" si="247"/>
        <v>Twitter Web App</v>
      </c>
      <c r="L1457" s="15">
        <v>235</v>
      </c>
      <c r="M1457" s="15">
        <v>352</v>
      </c>
      <c r="N1457" s="15">
        <v>2</v>
      </c>
      <c r="O1457" s="9"/>
      <c r="P1457" s="10">
        <v>43410.413564814815</v>
      </c>
      <c r="Q1457" s="14" t="s">
        <v>6227</v>
      </c>
      <c r="R1457" s="14" t="s">
        <v>6228</v>
      </c>
      <c r="S1457" s="7" t="s">
        <v>6229</v>
      </c>
      <c r="T1457" s="8"/>
      <c r="U1457" s="11" t="str">
        <f>HYPERLINK("https://pbs.twimg.com/profile_images/1059741001303109632/Rw2NOqFM.jpg","View")</f>
        <v>View</v>
      </c>
      <c r="V1457" s="8"/>
      <c r="W1457" s="8"/>
      <c r="X1457" s="8"/>
      <c r="Y1457" s="8"/>
      <c r="Z1457" s="8"/>
    </row>
    <row r="1458" spans="1:26" ht="13.2">
      <c r="A1458" s="13">
        <v>44250.413321759261</v>
      </c>
      <c r="B1458" s="6" t="str">
        <f>HYPERLINK("https://twitter.com/Innovat78455398","@Innovat78455398")</f>
        <v>@Innovat78455398</v>
      </c>
      <c r="C1458" s="14" t="s">
        <v>4318</v>
      </c>
      <c r="D1458" s="14" t="s">
        <v>6230</v>
      </c>
      <c r="E1458" s="6" t="str">
        <f>HYPERLINK("https://twitter.com/Innovat78455398/status/1364136712868298752","1364136712868298752")</f>
        <v>1364136712868298752</v>
      </c>
      <c r="F1458" s="7" t="s">
        <v>6231</v>
      </c>
      <c r="G1458" s="7" t="s">
        <v>6232</v>
      </c>
      <c r="H1458" s="8"/>
      <c r="I1458" s="14">
        <v>7</v>
      </c>
      <c r="J1458" s="14">
        <v>4</v>
      </c>
      <c r="K1458" s="6" t="str">
        <f t="shared" si="247"/>
        <v>Twitter Web App</v>
      </c>
      <c r="L1458" s="15">
        <v>101</v>
      </c>
      <c r="M1458" s="15">
        <v>142</v>
      </c>
      <c r="N1458" s="15">
        <v>1</v>
      </c>
      <c r="O1458" s="9"/>
      <c r="P1458" s="10">
        <v>44075.047534722224</v>
      </c>
      <c r="Q1458" s="14" t="s">
        <v>623</v>
      </c>
      <c r="R1458" s="14" t="s">
        <v>4322</v>
      </c>
      <c r="S1458" s="8"/>
      <c r="T1458" s="8"/>
      <c r="U1458" s="11" t="str">
        <f>HYPERLINK("https://pbs.twimg.com/profile_images/1300571380098850818/YjKI8L9l.jpg","View")</f>
        <v>View</v>
      </c>
      <c r="V1458" s="8"/>
      <c r="W1458" s="8"/>
      <c r="X1458" s="8"/>
      <c r="Y1458" s="8"/>
      <c r="Z1458" s="8"/>
    </row>
    <row r="1459" spans="1:26" ht="13.2">
      <c r="A1459" s="13">
        <v>44250.413275462968</v>
      </c>
      <c r="B1459" s="6" t="str">
        <f>HYPERLINK("https://twitter.com/Lago72","@Lago72")</f>
        <v>@Lago72</v>
      </c>
      <c r="C1459" s="14" t="s">
        <v>6233</v>
      </c>
      <c r="D1459" s="14" t="s">
        <v>6234</v>
      </c>
      <c r="E1459" s="6" t="str">
        <f>HYPERLINK("https://twitter.com/Lago72/status/1364136695868903427","1364136695868903427")</f>
        <v>1364136695868903427</v>
      </c>
      <c r="F1459" s="7" t="s">
        <v>6235</v>
      </c>
      <c r="G1459" s="7" t="s">
        <v>6236</v>
      </c>
      <c r="H1459" s="8"/>
      <c r="I1459" s="14">
        <v>1</v>
      </c>
      <c r="J1459" s="14">
        <v>0</v>
      </c>
      <c r="K1459" s="6" t="str">
        <f t="shared" si="247"/>
        <v>Twitter Web App</v>
      </c>
      <c r="L1459" s="15">
        <v>10881</v>
      </c>
      <c r="M1459" s="15">
        <v>9643</v>
      </c>
      <c r="N1459" s="15">
        <v>1888</v>
      </c>
      <c r="O1459" s="9"/>
      <c r="P1459" s="10">
        <v>39479.949733796297</v>
      </c>
      <c r="Q1459" s="14" t="s">
        <v>6237</v>
      </c>
      <c r="R1459" s="14" t="s">
        <v>6238</v>
      </c>
      <c r="S1459" s="7" t="s">
        <v>6239</v>
      </c>
      <c r="T1459" s="8"/>
      <c r="U1459" s="11" t="str">
        <f>HYPERLINK("https://pbs.twimg.com/profile_images/778185818674458632/Sj08IVXq.jpg","View")</f>
        <v>View</v>
      </c>
      <c r="V1459" s="8"/>
      <c r="W1459" s="8"/>
      <c r="X1459" s="8"/>
      <c r="Y1459" s="8"/>
      <c r="Z1459" s="8"/>
    </row>
    <row r="1460" spans="1:26" ht="13.2">
      <c r="A1460" s="13">
        <v>44250.413229166668</v>
      </c>
      <c r="B1460" s="6" t="str">
        <f>HYPERLINK("https://twitter.com/nigewillson","@nigewillson")</f>
        <v>@nigewillson</v>
      </c>
      <c r="C1460" s="14" t="s">
        <v>95</v>
      </c>
      <c r="D1460" s="14" t="s">
        <v>359</v>
      </c>
      <c r="E1460" s="6" t="str">
        <f>HYPERLINK("https://twitter.com/nigewillson/status/1364136679095881729","1364136679095881729")</f>
        <v>1364136679095881729</v>
      </c>
      <c r="F1460" s="7" t="s">
        <v>360</v>
      </c>
      <c r="G1460" s="7" t="s">
        <v>6240</v>
      </c>
      <c r="H1460" s="8"/>
      <c r="I1460" s="14">
        <v>7</v>
      </c>
      <c r="J1460" s="14">
        <v>3</v>
      </c>
      <c r="K1460" s="6" t="str">
        <f>HYPERLINK("https://buffer.com","Buffer")</f>
        <v>Buffer</v>
      </c>
      <c r="L1460" s="15">
        <v>57515</v>
      </c>
      <c r="M1460" s="15">
        <v>49523</v>
      </c>
      <c r="N1460" s="15">
        <v>1688</v>
      </c>
      <c r="O1460" s="9"/>
      <c r="P1460" s="10">
        <v>40530.666805555556</v>
      </c>
      <c r="Q1460" s="14" t="s">
        <v>99</v>
      </c>
      <c r="R1460" s="14" t="s">
        <v>100</v>
      </c>
      <c r="S1460" s="7" t="s">
        <v>101</v>
      </c>
      <c r="T1460" s="8"/>
      <c r="U1460" s="11" t="str">
        <f>HYPERLINK("https://pbs.twimg.com/profile_images/1085251590997622784/x9mWVQ1d.jpg","View")</f>
        <v>View</v>
      </c>
      <c r="V1460" s="8"/>
      <c r="W1460" s="8"/>
      <c r="X1460" s="8"/>
      <c r="Y1460" s="8"/>
      <c r="Z1460" s="8"/>
    </row>
    <row r="1461" spans="1:26" ht="13.2">
      <c r="A1461" s="13">
        <v>44250.41270833333</v>
      </c>
      <c r="B1461" s="6" t="str">
        <f t="shared" ref="B1461:B1462" si="248">HYPERLINK("https://twitter.com/Innovat78455398","@Innovat78455398")</f>
        <v>@Innovat78455398</v>
      </c>
      <c r="C1461" s="14" t="s">
        <v>4318</v>
      </c>
      <c r="D1461" s="14" t="s">
        <v>6241</v>
      </c>
      <c r="E1461" s="6" t="str">
        <f>HYPERLINK("https://twitter.com/Innovat78455398/status/1364136491622961152","1364136491622961152")</f>
        <v>1364136491622961152</v>
      </c>
      <c r="F1461" s="7" t="s">
        <v>6242</v>
      </c>
      <c r="G1461" s="7" t="s">
        <v>6243</v>
      </c>
      <c r="H1461" s="8"/>
      <c r="I1461" s="14">
        <v>3</v>
      </c>
      <c r="J1461" s="14">
        <v>1</v>
      </c>
      <c r="K1461" s="6" t="str">
        <f t="shared" ref="K1461:K1462" si="249">HYPERLINK("https://mobile.twitter.com","Twitter Web App")</f>
        <v>Twitter Web App</v>
      </c>
      <c r="L1461" s="15">
        <v>101</v>
      </c>
      <c r="M1461" s="15">
        <v>142</v>
      </c>
      <c r="N1461" s="15">
        <v>1</v>
      </c>
      <c r="O1461" s="9"/>
      <c r="P1461" s="10">
        <v>44075.047534722224</v>
      </c>
      <c r="Q1461" s="14" t="s">
        <v>623</v>
      </c>
      <c r="R1461" s="14" t="s">
        <v>4322</v>
      </c>
      <c r="S1461" s="8"/>
      <c r="T1461" s="8"/>
      <c r="U1461" s="11" t="str">
        <f t="shared" ref="U1461:U1462" si="250">HYPERLINK("https://pbs.twimg.com/profile_images/1300571380098850818/YjKI8L9l.jpg","View")</f>
        <v>View</v>
      </c>
      <c r="V1461" s="8"/>
      <c r="W1461" s="8"/>
      <c r="X1461" s="8"/>
      <c r="Y1461" s="8"/>
      <c r="Z1461" s="8"/>
    </row>
    <row r="1462" spans="1:26" ht="13.2">
      <c r="A1462" s="13">
        <v>44250.412349537037</v>
      </c>
      <c r="B1462" s="6" t="str">
        <f t="shared" si="248"/>
        <v>@Innovat78455398</v>
      </c>
      <c r="C1462" s="14" t="s">
        <v>4318</v>
      </c>
      <c r="D1462" s="14" t="s">
        <v>6244</v>
      </c>
      <c r="E1462" s="6" t="str">
        <f>HYPERLINK("https://twitter.com/Innovat78455398/status/1364136360395767809","1364136360395767809")</f>
        <v>1364136360395767809</v>
      </c>
      <c r="F1462" s="7" t="s">
        <v>6245</v>
      </c>
      <c r="G1462" s="7" t="s">
        <v>6246</v>
      </c>
      <c r="H1462" s="8"/>
      <c r="I1462" s="14">
        <v>2</v>
      </c>
      <c r="J1462" s="14">
        <v>1</v>
      </c>
      <c r="K1462" s="6" t="str">
        <f t="shared" si="249"/>
        <v>Twitter Web App</v>
      </c>
      <c r="L1462" s="15">
        <v>101</v>
      </c>
      <c r="M1462" s="15">
        <v>142</v>
      </c>
      <c r="N1462" s="15">
        <v>1</v>
      </c>
      <c r="O1462" s="9"/>
      <c r="P1462" s="10">
        <v>44075.047534722224</v>
      </c>
      <c r="Q1462" s="14" t="s">
        <v>623</v>
      </c>
      <c r="R1462" s="14" t="s">
        <v>4322</v>
      </c>
      <c r="S1462" s="8"/>
      <c r="T1462" s="8"/>
      <c r="U1462" s="11" t="str">
        <f t="shared" si="250"/>
        <v>View</v>
      </c>
      <c r="V1462" s="8"/>
      <c r="W1462" s="8"/>
      <c r="X1462" s="8"/>
      <c r="Y1462" s="8"/>
      <c r="Z1462" s="8"/>
    </row>
    <row r="1463" spans="1:26" ht="13.2">
      <c r="A1463" s="13">
        <v>44250.412106481483</v>
      </c>
      <c r="B1463" s="6" t="str">
        <f t="shared" ref="B1463:B1470" si="251">HYPERLINK("https://twitter.com/IainLJBrown","@IainLJBrown")</f>
        <v>@IainLJBrown</v>
      </c>
      <c r="C1463" s="14" t="s">
        <v>2776</v>
      </c>
      <c r="D1463" s="14" t="s">
        <v>6247</v>
      </c>
      <c r="E1463" s="6" t="str">
        <f>HYPERLINK("https://twitter.com/IainLJBrown/status/1364136274148417536","1364136274148417536")</f>
        <v>1364136274148417536</v>
      </c>
      <c r="F1463" s="7" t="s">
        <v>6248</v>
      </c>
      <c r="G1463" s="8"/>
      <c r="H1463" s="8"/>
      <c r="I1463" s="14">
        <v>17</v>
      </c>
      <c r="J1463" s="14">
        <v>15</v>
      </c>
      <c r="K1463" s="6" t="str">
        <f t="shared" ref="K1463:K1470" si="252">HYPERLINK("https://ifttt.com","IFTTT")</f>
        <v>IFTTT</v>
      </c>
      <c r="L1463" s="15">
        <v>115543</v>
      </c>
      <c r="M1463" s="15">
        <v>98727</v>
      </c>
      <c r="N1463" s="15">
        <v>423</v>
      </c>
      <c r="O1463" s="9"/>
      <c r="P1463" s="10">
        <v>40926.673900462964</v>
      </c>
      <c r="Q1463" s="14" t="s">
        <v>753</v>
      </c>
      <c r="R1463" s="14" t="s">
        <v>2779</v>
      </c>
      <c r="S1463" s="7" t="s">
        <v>2780</v>
      </c>
      <c r="T1463" s="8"/>
      <c r="U1463" s="11" t="str">
        <f t="shared" ref="U1463:U1470" si="253">HYPERLINK("https://pbs.twimg.com/profile_images/1352606177352364032/jQ7AI0vG.jpg","View")</f>
        <v>View</v>
      </c>
      <c r="V1463" s="8"/>
      <c r="W1463" s="8"/>
      <c r="X1463" s="8"/>
      <c r="Y1463" s="8"/>
      <c r="Z1463" s="8"/>
    </row>
    <row r="1464" spans="1:26" ht="13.2">
      <c r="A1464" s="13">
        <v>44250.412106481483</v>
      </c>
      <c r="B1464" s="6" t="str">
        <f t="shared" si="251"/>
        <v>@IainLJBrown</v>
      </c>
      <c r="C1464" s="14" t="s">
        <v>2776</v>
      </c>
      <c r="D1464" s="14" t="s">
        <v>6249</v>
      </c>
      <c r="E1464" s="6" t="str">
        <f>HYPERLINK("https://twitter.com/IainLJBrown/status/1364136271661170688","1364136271661170688")</f>
        <v>1364136271661170688</v>
      </c>
      <c r="F1464" s="14" t="s">
        <v>6250</v>
      </c>
      <c r="G1464" s="8"/>
      <c r="H1464" s="8"/>
      <c r="I1464" s="14">
        <v>14</v>
      </c>
      <c r="J1464" s="14">
        <v>12</v>
      </c>
      <c r="K1464" s="6" t="str">
        <f t="shared" si="252"/>
        <v>IFTTT</v>
      </c>
      <c r="L1464" s="15">
        <v>115543</v>
      </c>
      <c r="M1464" s="15">
        <v>98727</v>
      </c>
      <c r="N1464" s="15">
        <v>423</v>
      </c>
      <c r="O1464" s="9"/>
      <c r="P1464" s="10">
        <v>40926.673900462964</v>
      </c>
      <c r="Q1464" s="14" t="s">
        <v>753</v>
      </c>
      <c r="R1464" s="14" t="s">
        <v>2779</v>
      </c>
      <c r="S1464" s="7" t="s">
        <v>2780</v>
      </c>
      <c r="T1464" s="8"/>
      <c r="U1464" s="11" t="str">
        <f t="shared" si="253"/>
        <v>View</v>
      </c>
      <c r="V1464" s="8"/>
      <c r="W1464" s="8"/>
      <c r="X1464" s="8"/>
      <c r="Y1464" s="8"/>
      <c r="Z1464" s="8"/>
    </row>
    <row r="1465" spans="1:26" ht="13.2">
      <c r="A1465" s="13">
        <v>44250.412094907406</v>
      </c>
      <c r="B1465" s="6" t="str">
        <f t="shared" si="251"/>
        <v>@IainLJBrown</v>
      </c>
      <c r="C1465" s="14" t="s">
        <v>2776</v>
      </c>
      <c r="D1465" s="14" t="s">
        <v>6251</v>
      </c>
      <c r="E1465" s="6" t="str">
        <f>HYPERLINK("https://twitter.com/IainLJBrown/status/1364136269886939137","1364136269886939137")</f>
        <v>1364136269886939137</v>
      </c>
      <c r="F1465" s="7" t="s">
        <v>6252</v>
      </c>
      <c r="G1465" s="8"/>
      <c r="H1465" s="8"/>
      <c r="I1465" s="14">
        <v>15</v>
      </c>
      <c r="J1465" s="14">
        <v>9</v>
      </c>
      <c r="K1465" s="6" t="str">
        <f t="shared" si="252"/>
        <v>IFTTT</v>
      </c>
      <c r="L1465" s="15">
        <v>115543</v>
      </c>
      <c r="M1465" s="15">
        <v>98727</v>
      </c>
      <c r="N1465" s="15">
        <v>423</v>
      </c>
      <c r="O1465" s="9"/>
      <c r="P1465" s="10">
        <v>40926.673900462964</v>
      </c>
      <c r="Q1465" s="14" t="s">
        <v>753</v>
      </c>
      <c r="R1465" s="14" t="s">
        <v>2779</v>
      </c>
      <c r="S1465" s="7" t="s">
        <v>2780</v>
      </c>
      <c r="T1465" s="8"/>
      <c r="U1465" s="11" t="str">
        <f t="shared" si="253"/>
        <v>View</v>
      </c>
      <c r="V1465" s="8"/>
      <c r="W1465" s="8"/>
      <c r="X1465" s="8"/>
      <c r="Y1465" s="8"/>
      <c r="Z1465" s="8"/>
    </row>
    <row r="1466" spans="1:26" ht="13.2">
      <c r="A1466" s="13">
        <v>44250.412094907406</v>
      </c>
      <c r="B1466" s="6" t="str">
        <f t="shared" si="251"/>
        <v>@IainLJBrown</v>
      </c>
      <c r="C1466" s="14" t="s">
        <v>2776</v>
      </c>
      <c r="D1466" s="14" t="s">
        <v>6253</v>
      </c>
      <c r="E1466" s="6" t="str">
        <f>HYPERLINK("https://twitter.com/IainLJBrown/status/1364136267026472962","1364136267026472962")</f>
        <v>1364136267026472962</v>
      </c>
      <c r="F1466" s="7" t="s">
        <v>6254</v>
      </c>
      <c r="G1466" s="8"/>
      <c r="H1466" s="8"/>
      <c r="I1466" s="14">
        <v>13</v>
      </c>
      <c r="J1466" s="14">
        <v>8</v>
      </c>
      <c r="K1466" s="6" t="str">
        <f t="shared" si="252"/>
        <v>IFTTT</v>
      </c>
      <c r="L1466" s="15">
        <v>115543</v>
      </c>
      <c r="M1466" s="15">
        <v>98727</v>
      </c>
      <c r="N1466" s="15">
        <v>423</v>
      </c>
      <c r="O1466" s="9"/>
      <c r="P1466" s="10">
        <v>40926.673900462964</v>
      </c>
      <c r="Q1466" s="14" t="s">
        <v>753</v>
      </c>
      <c r="R1466" s="14" t="s">
        <v>2779</v>
      </c>
      <c r="S1466" s="7" t="s">
        <v>2780</v>
      </c>
      <c r="T1466" s="8"/>
      <c r="U1466" s="11" t="str">
        <f t="shared" si="253"/>
        <v>View</v>
      </c>
      <c r="V1466" s="8"/>
      <c r="W1466" s="8"/>
      <c r="X1466" s="8"/>
      <c r="Y1466" s="8"/>
      <c r="Z1466" s="8"/>
    </row>
    <row r="1467" spans="1:26" ht="13.2">
      <c r="A1467" s="13">
        <v>44250.41207175926</v>
      </c>
      <c r="B1467" s="6" t="str">
        <f t="shared" si="251"/>
        <v>@IainLJBrown</v>
      </c>
      <c r="C1467" s="14" t="s">
        <v>2776</v>
      </c>
      <c r="D1467" s="14" t="s">
        <v>6255</v>
      </c>
      <c r="E1467" s="6" t="str">
        <f>HYPERLINK("https://twitter.com/IainLJBrown/status/1364136261997502469","1364136261997502469")</f>
        <v>1364136261997502469</v>
      </c>
      <c r="F1467" s="7" t="s">
        <v>6256</v>
      </c>
      <c r="G1467" s="8"/>
      <c r="H1467" s="8"/>
      <c r="I1467" s="14">
        <v>21</v>
      </c>
      <c r="J1467" s="14">
        <v>9</v>
      </c>
      <c r="K1467" s="6" t="str">
        <f t="shared" si="252"/>
        <v>IFTTT</v>
      </c>
      <c r="L1467" s="15">
        <v>115543</v>
      </c>
      <c r="M1467" s="15">
        <v>98727</v>
      </c>
      <c r="N1467" s="15">
        <v>423</v>
      </c>
      <c r="O1467" s="9"/>
      <c r="P1467" s="10">
        <v>40926.673900462964</v>
      </c>
      <c r="Q1467" s="14" t="s">
        <v>753</v>
      </c>
      <c r="R1467" s="14" t="s">
        <v>2779</v>
      </c>
      <c r="S1467" s="7" t="s">
        <v>2780</v>
      </c>
      <c r="T1467" s="8"/>
      <c r="U1467" s="11" t="str">
        <f t="shared" si="253"/>
        <v>View</v>
      </c>
      <c r="V1467" s="8"/>
      <c r="W1467" s="8"/>
      <c r="X1467" s="8"/>
      <c r="Y1467" s="8"/>
      <c r="Z1467" s="8"/>
    </row>
    <row r="1468" spans="1:26" ht="13.2">
      <c r="A1468" s="13">
        <v>44250.41207175926</v>
      </c>
      <c r="B1468" s="6" t="str">
        <f t="shared" si="251"/>
        <v>@IainLJBrown</v>
      </c>
      <c r="C1468" s="14" t="s">
        <v>2776</v>
      </c>
      <c r="D1468" s="14" t="s">
        <v>6257</v>
      </c>
      <c r="E1468" s="6" t="str">
        <f>HYPERLINK("https://twitter.com/IainLJBrown/status/1364136259304755202","1364136259304755202")</f>
        <v>1364136259304755202</v>
      </c>
      <c r="F1468" s="7" t="s">
        <v>6258</v>
      </c>
      <c r="G1468" s="8"/>
      <c r="H1468" s="8"/>
      <c r="I1468" s="14">
        <v>13</v>
      </c>
      <c r="J1468" s="14">
        <v>11</v>
      </c>
      <c r="K1468" s="6" t="str">
        <f t="shared" si="252"/>
        <v>IFTTT</v>
      </c>
      <c r="L1468" s="15">
        <v>115543</v>
      </c>
      <c r="M1468" s="15">
        <v>98727</v>
      </c>
      <c r="N1468" s="15">
        <v>423</v>
      </c>
      <c r="O1468" s="9"/>
      <c r="P1468" s="10">
        <v>40926.673900462964</v>
      </c>
      <c r="Q1468" s="14" t="s">
        <v>753</v>
      </c>
      <c r="R1468" s="14" t="s">
        <v>2779</v>
      </c>
      <c r="S1468" s="7" t="s">
        <v>2780</v>
      </c>
      <c r="T1468" s="8"/>
      <c r="U1468" s="11" t="str">
        <f t="shared" si="253"/>
        <v>View</v>
      </c>
      <c r="V1468" s="8"/>
      <c r="W1468" s="8"/>
      <c r="X1468" s="8"/>
      <c r="Y1468" s="8"/>
      <c r="Z1468" s="8"/>
    </row>
    <row r="1469" spans="1:26" ht="13.2">
      <c r="A1469" s="13">
        <v>44250.41206018519</v>
      </c>
      <c r="B1469" s="6" t="str">
        <f t="shared" si="251"/>
        <v>@IainLJBrown</v>
      </c>
      <c r="C1469" s="14" t="s">
        <v>2776</v>
      </c>
      <c r="D1469" s="14" t="s">
        <v>6259</v>
      </c>
      <c r="E1469" s="6" t="str">
        <f>HYPERLINK("https://twitter.com/IainLJBrown/status/1364136257614413824","1364136257614413824")</f>
        <v>1364136257614413824</v>
      </c>
      <c r="F1469" s="7" t="s">
        <v>6260</v>
      </c>
      <c r="G1469" s="8"/>
      <c r="H1469" s="8"/>
      <c r="I1469" s="14">
        <v>17</v>
      </c>
      <c r="J1469" s="14">
        <v>9</v>
      </c>
      <c r="K1469" s="6" t="str">
        <f t="shared" si="252"/>
        <v>IFTTT</v>
      </c>
      <c r="L1469" s="15">
        <v>115543</v>
      </c>
      <c r="M1469" s="15">
        <v>98727</v>
      </c>
      <c r="N1469" s="15">
        <v>423</v>
      </c>
      <c r="O1469" s="9"/>
      <c r="P1469" s="10">
        <v>40926.673900462964</v>
      </c>
      <c r="Q1469" s="14" t="s">
        <v>753</v>
      </c>
      <c r="R1469" s="14" t="s">
        <v>2779</v>
      </c>
      <c r="S1469" s="7" t="s">
        <v>2780</v>
      </c>
      <c r="T1469" s="8"/>
      <c r="U1469" s="11" t="str">
        <f t="shared" si="253"/>
        <v>View</v>
      </c>
      <c r="V1469" s="8"/>
      <c r="W1469" s="8"/>
      <c r="X1469" s="8"/>
      <c r="Y1469" s="8"/>
      <c r="Z1469" s="8"/>
    </row>
    <row r="1470" spans="1:26" ht="13.2">
      <c r="A1470" s="13">
        <v>44250.41206018519</v>
      </c>
      <c r="B1470" s="6" t="str">
        <f t="shared" si="251"/>
        <v>@IainLJBrown</v>
      </c>
      <c r="C1470" s="14" t="s">
        <v>2776</v>
      </c>
      <c r="D1470" s="14" t="s">
        <v>6261</v>
      </c>
      <c r="E1470" s="6" t="str">
        <f>HYPERLINK("https://twitter.com/IainLJBrown/status/1364136254535786502","1364136254535786502")</f>
        <v>1364136254535786502</v>
      </c>
      <c r="F1470" s="7" t="s">
        <v>6262</v>
      </c>
      <c r="G1470" s="8"/>
      <c r="H1470" s="8"/>
      <c r="I1470" s="14">
        <v>21</v>
      </c>
      <c r="J1470" s="14">
        <v>11</v>
      </c>
      <c r="K1470" s="6" t="str">
        <f t="shared" si="252"/>
        <v>IFTTT</v>
      </c>
      <c r="L1470" s="15">
        <v>115543</v>
      </c>
      <c r="M1470" s="15">
        <v>98727</v>
      </c>
      <c r="N1470" s="15">
        <v>423</v>
      </c>
      <c r="O1470" s="9"/>
      <c r="P1470" s="10">
        <v>40926.673900462964</v>
      </c>
      <c r="Q1470" s="14" t="s">
        <v>753</v>
      </c>
      <c r="R1470" s="14" t="s">
        <v>2779</v>
      </c>
      <c r="S1470" s="7" t="s">
        <v>2780</v>
      </c>
      <c r="T1470" s="8"/>
      <c r="U1470" s="11" t="str">
        <f t="shared" si="253"/>
        <v>View</v>
      </c>
      <c r="V1470" s="8"/>
      <c r="W1470" s="8"/>
      <c r="X1470" s="8"/>
      <c r="Y1470" s="8"/>
      <c r="Z1470" s="8"/>
    </row>
    <row r="1471" spans="1:26" ht="13.2">
      <c r="A1471" s="13">
        <v>44250.411840277782</v>
      </c>
      <c r="B1471" s="6" t="str">
        <f>HYPERLINK("https://twitter.com/Innovat78455398","@Innovat78455398")</f>
        <v>@Innovat78455398</v>
      </c>
      <c r="C1471" s="14" t="s">
        <v>4318</v>
      </c>
      <c r="D1471" s="14" t="s">
        <v>6263</v>
      </c>
      <c r="E1471" s="6" t="str">
        <f>HYPERLINK("https://twitter.com/Innovat78455398/status/1364136177863856131","1364136177863856131")</f>
        <v>1364136177863856131</v>
      </c>
      <c r="F1471" s="7" t="s">
        <v>6264</v>
      </c>
      <c r="G1471" s="7" t="s">
        <v>6265</v>
      </c>
      <c r="H1471" s="8"/>
      <c r="I1471" s="14">
        <v>7</v>
      </c>
      <c r="J1471" s="14">
        <v>0</v>
      </c>
      <c r="K1471" s="6" t="str">
        <f>HYPERLINK("https://mobile.twitter.com","Twitter Web App")</f>
        <v>Twitter Web App</v>
      </c>
      <c r="L1471" s="15">
        <v>101</v>
      </c>
      <c r="M1471" s="15">
        <v>142</v>
      </c>
      <c r="N1471" s="15">
        <v>1</v>
      </c>
      <c r="O1471" s="9"/>
      <c r="P1471" s="10">
        <v>44075.047534722224</v>
      </c>
      <c r="Q1471" s="14" t="s">
        <v>623</v>
      </c>
      <c r="R1471" s="14" t="s">
        <v>4322</v>
      </c>
      <c r="S1471" s="8"/>
      <c r="T1471" s="8"/>
      <c r="U1471" s="11" t="str">
        <f>HYPERLINK("https://pbs.twimg.com/profile_images/1300571380098850818/YjKI8L9l.jpg","View")</f>
        <v>View</v>
      </c>
      <c r="V1471" s="8"/>
      <c r="W1471" s="8"/>
      <c r="X1471" s="8"/>
      <c r="Y1471" s="8"/>
      <c r="Z1471" s="8"/>
    </row>
    <row r="1472" spans="1:26" ht="13.2">
      <c r="A1472" s="13">
        <v>44250.411226851851</v>
      </c>
      <c r="B1472" s="6" t="str">
        <f>HYPERLINK("https://twitter.com/into_AI","@into_AI")</f>
        <v>@into_AI</v>
      </c>
      <c r="C1472" s="14" t="s">
        <v>2021</v>
      </c>
      <c r="D1472" s="14" t="s">
        <v>6266</v>
      </c>
      <c r="E1472" s="6" t="str">
        <f>HYPERLINK("https://twitter.com/into_AI/status/1364135954395652101","1364135954395652101")</f>
        <v>1364135954395652101</v>
      </c>
      <c r="F1472" s="7" t="s">
        <v>6267</v>
      </c>
      <c r="G1472" s="8"/>
      <c r="H1472" s="8"/>
      <c r="I1472" s="14">
        <v>1</v>
      </c>
      <c r="J1472" s="14">
        <v>0</v>
      </c>
      <c r="K1472" s="6" t="str">
        <f>HYPERLINK("http://into.AI","into.AI")</f>
        <v>into.AI</v>
      </c>
      <c r="L1472" s="15">
        <v>19374</v>
      </c>
      <c r="M1472" s="15">
        <v>1707</v>
      </c>
      <c r="N1472" s="15">
        <v>3164</v>
      </c>
      <c r="O1472" s="9"/>
      <c r="P1472" s="10">
        <v>42133.721620370372</v>
      </c>
      <c r="Q1472" s="14" t="s">
        <v>2024</v>
      </c>
      <c r="R1472" s="14" t="s">
        <v>2025</v>
      </c>
      <c r="S1472" s="7" t="s">
        <v>2026</v>
      </c>
      <c r="T1472" s="8"/>
      <c r="U1472" s="11" t="str">
        <f>HYPERLINK("https://pbs.twimg.com/profile_images/967341160124608512/LM2Y5Q5m.jpg","View")</f>
        <v>View</v>
      </c>
      <c r="V1472" s="8"/>
      <c r="W1472" s="8"/>
      <c r="X1472" s="8"/>
      <c r="Y1472" s="8"/>
      <c r="Z1472" s="8"/>
    </row>
    <row r="1473" spans="1:26" ht="13.2">
      <c r="A1473" s="13">
        <v>44250.411203703705</v>
      </c>
      <c r="B1473" s="6" t="str">
        <f>HYPERLINK("https://twitter.com/cybersecboardrm","@cybersecboardrm")</f>
        <v>@cybersecboardrm</v>
      </c>
      <c r="C1473" s="14" t="s">
        <v>851</v>
      </c>
      <c r="D1473" s="14" t="s">
        <v>5402</v>
      </c>
      <c r="E1473" s="6" t="str">
        <f>HYPERLINK("https://twitter.com/cybersecboardrm/status/1364135946518728706","1364135946518728706")</f>
        <v>1364135946518728706</v>
      </c>
      <c r="F1473" s="7" t="s">
        <v>6268</v>
      </c>
      <c r="G1473" s="8"/>
      <c r="H1473" s="8"/>
      <c r="I1473" s="14">
        <v>1</v>
      </c>
      <c r="J1473" s="14">
        <v>0</v>
      </c>
      <c r="K1473" s="6" t="str">
        <f>HYPERLINK("http://twinybots.com","TwinyBots")</f>
        <v>TwinyBots</v>
      </c>
      <c r="L1473" s="15">
        <v>44595</v>
      </c>
      <c r="M1473" s="15">
        <v>17565</v>
      </c>
      <c r="N1473" s="15">
        <v>2331</v>
      </c>
      <c r="O1473" s="9"/>
      <c r="P1473" s="10">
        <v>41699.739884259259</v>
      </c>
      <c r="Q1473" s="14" t="s">
        <v>852</v>
      </c>
      <c r="R1473" s="14" t="s">
        <v>853</v>
      </c>
      <c r="S1473" s="7" t="s">
        <v>854</v>
      </c>
      <c r="T1473" s="8"/>
      <c r="U1473" s="11" t="str">
        <f>HYPERLINK("https://pbs.twimg.com/profile_images/1287860270283530242/2LxTyzQc.jpg","View")</f>
        <v>View</v>
      </c>
      <c r="V1473" s="8"/>
      <c r="W1473" s="8"/>
      <c r="X1473" s="8"/>
      <c r="Y1473" s="8"/>
      <c r="Z1473" s="8"/>
    </row>
    <row r="1474" spans="1:26" ht="13.2">
      <c r="A1474" s="13">
        <v>44250.411041666666</v>
      </c>
      <c r="B1474" s="6" t="str">
        <f>HYPERLINK("https://twitter.com/into_AI","@into_AI")</f>
        <v>@into_AI</v>
      </c>
      <c r="C1474" s="14" t="s">
        <v>2021</v>
      </c>
      <c r="D1474" s="14" t="s">
        <v>6269</v>
      </c>
      <c r="E1474" s="6" t="str">
        <f>HYPERLINK("https://twitter.com/into_AI/status/1364135884933787649","1364135884933787649")</f>
        <v>1364135884933787649</v>
      </c>
      <c r="F1474" s="7" t="s">
        <v>6270</v>
      </c>
      <c r="G1474" s="8"/>
      <c r="H1474" s="8"/>
      <c r="I1474" s="14">
        <v>1</v>
      </c>
      <c r="J1474" s="14">
        <v>0</v>
      </c>
      <c r="K1474" s="6" t="str">
        <f>HYPERLINK("http://into.AI","into.AI")</f>
        <v>into.AI</v>
      </c>
      <c r="L1474" s="15">
        <v>19374</v>
      </c>
      <c r="M1474" s="15">
        <v>1707</v>
      </c>
      <c r="N1474" s="15">
        <v>3164</v>
      </c>
      <c r="O1474" s="9"/>
      <c r="P1474" s="10">
        <v>42133.721620370372</v>
      </c>
      <c r="Q1474" s="14" t="s">
        <v>2024</v>
      </c>
      <c r="R1474" s="14" t="s">
        <v>2025</v>
      </c>
      <c r="S1474" s="7" t="s">
        <v>2026</v>
      </c>
      <c r="T1474" s="8"/>
      <c r="U1474" s="11" t="str">
        <f>HYPERLINK("https://pbs.twimg.com/profile_images/967341160124608512/LM2Y5Q5m.jpg","View")</f>
        <v>View</v>
      </c>
      <c r="V1474" s="8"/>
      <c r="W1474" s="8"/>
      <c r="X1474" s="8"/>
      <c r="Y1474" s="8"/>
      <c r="Z1474" s="8"/>
    </row>
    <row r="1475" spans="1:26" ht="13.2">
      <c r="A1475" s="13">
        <v>44250.410694444443</v>
      </c>
      <c r="B1475" s="6" t="str">
        <f>HYPERLINK("https://twitter.com/corizance","@corizance")</f>
        <v>@corizance</v>
      </c>
      <c r="C1475" s="14" t="s">
        <v>2550</v>
      </c>
      <c r="D1475" s="14" t="s">
        <v>6271</v>
      </c>
      <c r="E1475" s="6" t="str">
        <f>HYPERLINK("https://twitter.com/corizance/status/1364135759649906689","1364135759649906689")</f>
        <v>1364135759649906689</v>
      </c>
      <c r="F1475" s="14" t="s">
        <v>6272</v>
      </c>
      <c r="G1475" s="8"/>
      <c r="H1475" s="8"/>
      <c r="I1475" s="14">
        <v>0</v>
      </c>
      <c r="J1475" s="14">
        <v>0</v>
      </c>
      <c r="K1475" s="6" t="str">
        <f>HYPERLINK("http://twinybots.com","TwinyBots")</f>
        <v>TwinyBots</v>
      </c>
      <c r="L1475" s="15">
        <v>488</v>
      </c>
      <c r="M1475" s="15">
        <v>434</v>
      </c>
      <c r="N1475" s="15">
        <v>13</v>
      </c>
      <c r="O1475" s="9"/>
      <c r="P1475" s="10">
        <v>43789.49145833333</v>
      </c>
      <c r="Q1475" s="14" t="s">
        <v>2551</v>
      </c>
      <c r="R1475" s="14" t="s">
        <v>2552</v>
      </c>
      <c r="S1475" s="7" t="s">
        <v>2553</v>
      </c>
      <c r="T1475" s="8"/>
      <c r="U1475" s="11" t="str">
        <f>HYPERLINK("https://pbs.twimg.com/profile_images/1223176339697565697/q38i7r9K.jpg","View")</f>
        <v>View</v>
      </c>
      <c r="V1475" s="8"/>
      <c r="W1475" s="8"/>
      <c r="X1475" s="8"/>
      <c r="Y1475" s="8"/>
      <c r="Z1475" s="8"/>
    </row>
    <row r="1476" spans="1:26" ht="13.2">
      <c r="A1476" s="13">
        <v>44250.410509259258</v>
      </c>
      <c r="B1476" s="6" t="str">
        <f t="shared" ref="B1476:B1477" si="254">HYPERLINK("https://twitter.com/arXiv__ml","@arXiv__ml")</f>
        <v>@arXiv__ml</v>
      </c>
      <c r="C1476" s="14" t="s">
        <v>2812</v>
      </c>
      <c r="D1476" s="14" t="s">
        <v>6273</v>
      </c>
      <c r="E1476" s="6" t="str">
        <f>HYPERLINK("https://twitter.com/arXiv__ml/status/1364135695221161986","1364135695221161986")</f>
        <v>1364135695221161986</v>
      </c>
      <c r="F1476" s="14" t="s">
        <v>6274</v>
      </c>
      <c r="G1476" s="8"/>
      <c r="H1476" s="8"/>
      <c r="I1476" s="14">
        <v>0</v>
      </c>
      <c r="J1476" s="14">
        <v>0</v>
      </c>
      <c r="K1476" s="6" t="str">
        <f t="shared" ref="K1476:K1477" si="255">HYPERLINK("https://ifttt.com","IFTTT")</f>
        <v>IFTTT</v>
      </c>
      <c r="L1476" s="15">
        <v>2542</v>
      </c>
      <c r="M1476" s="15">
        <v>1470</v>
      </c>
      <c r="N1476" s="15">
        <v>73</v>
      </c>
      <c r="O1476" s="9"/>
      <c r="P1476" s="10">
        <v>43387.731759259259</v>
      </c>
      <c r="Q1476" s="14" t="s">
        <v>1036</v>
      </c>
      <c r="R1476" s="14" t="s">
        <v>2815</v>
      </c>
      <c r="S1476" s="7" t="s">
        <v>2816</v>
      </c>
      <c r="T1476" s="8"/>
      <c r="U1476" s="11" t="str">
        <f t="shared" ref="U1476:U1477" si="256">HYPERLINK("https://pbs.twimg.com/profile_images/1067085474131394560/QOHl5dzN.jpg","View")</f>
        <v>View</v>
      </c>
      <c r="V1476" s="8"/>
      <c r="W1476" s="8"/>
      <c r="X1476" s="8"/>
      <c r="Y1476" s="8"/>
      <c r="Z1476" s="8"/>
    </row>
    <row r="1477" spans="1:26" ht="13.2">
      <c r="A1477" s="13">
        <v>44250.410497685181</v>
      </c>
      <c r="B1477" s="6" t="str">
        <f t="shared" si="254"/>
        <v>@arXiv__ml</v>
      </c>
      <c r="C1477" s="14" t="s">
        <v>2812</v>
      </c>
      <c r="D1477" s="14" t="s">
        <v>6275</v>
      </c>
      <c r="E1477" s="6" t="str">
        <f>HYPERLINK("https://twitter.com/arXiv__ml/status/1364135690104168450","1364135690104168450")</f>
        <v>1364135690104168450</v>
      </c>
      <c r="F1477" s="7" t="s">
        <v>6276</v>
      </c>
      <c r="G1477" s="8"/>
      <c r="H1477" s="8"/>
      <c r="I1477" s="14">
        <v>0</v>
      </c>
      <c r="J1477" s="14">
        <v>0</v>
      </c>
      <c r="K1477" s="6" t="str">
        <f t="shared" si="255"/>
        <v>IFTTT</v>
      </c>
      <c r="L1477" s="15">
        <v>2542</v>
      </c>
      <c r="M1477" s="15">
        <v>1470</v>
      </c>
      <c r="N1477" s="15">
        <v>73</v>
      </c>
      <c r="O1477" s="9"/>
      <c r="P1477" s="10">
        <v>43387.731759259259</v>
      </c>
      <c r="Q1477" s="14" t="s">
        <v>1036</v>
      </c>
      <c r="R1477" s="14" t="s">
        <v>2815</v>
      </c>
      <c r="S1477" s="7" t="s">
        <v>2816</v>
      </c>
      <c r="T1477" s="8"/>
      <c r="U1477" s="11" t="str">
        <f t="shared" si="256"/>
        <v>View</v>
      </c>
      <c r="V1477" s="8"/>
      <c r="W1477" s="8"/>
      <c r="X1477" s="8"/>
      <c r="Y1477" s="8"/>
      <c r="Z1477" s="8"/>
    </row>
    <row r="1478" spans="1:26" ht="13.2">
      <c r="A1478" s="13">
        <v>44250.410393518519</v>
      </c>
      <c r="B1478" s="6" t="str">
        <f>HYPERLINK("https://twitter.com/VelmieHQ","@VelmieHQ")</f>
        <v>@VelmieHQ</v>
      </c>
      <c r="C1478" s="14" t="s">
        <v>6277</v>
      </c>
      <c r="D1478" s="14" t="s">
        <v>6278</v>
      </c>
      <c r="E1478" s="6" t="str">
        <f>HYPERLINK("https://twitter.com/VelmieHQ/status/1364135652175060992","1364135652175060992")</f>
        <v>1364135652175060992</v>
      </c>
      <c r="F1478" s="7" t="s">
        <v>6279</v>
      </c>
      <c r="G1478" s="8"/>
      <c r="H1478" s="8"/>
      <c r="I1478" s="14">
        <v>2</v>
      </c>
      <c r="J1478" s="14">
        <v>4</v>
      </c>
      <c r="K1478" s="6" t="str">
        <f t="shared" ref="K1478:K1479" si="257">HYPERLINK("https://mobile.twitter.com","Twitter Web App")</f>
        <v>Twitter Web App</v>
      </c>
      <c r="L1478" s="15">
        <v>64</v>
      </c>
      <c r="M1478" s="15">
        <v>61</v>
      </c>
      <c r="N1478" s="15">
        <v>0</v>
      </c>
      <c r="O1478" s="9"/>
      <c r="P1478" s="10">
        <v>43298.724606481483</v>
      </c>
      <c r="Q1478" s="14" t="s">
        <v>914</v>
      </c>
      <c r="R1478" s="14" t="s">
        <v>6280</v>
      </c>
      <c r="S1478" s="7" t="s">
        <v>6281</v>
      </c>
      <c r="T1478" s="8"/>
      <c r="U1478" s="11" t="str">
        <f>HYPERLINK("https://pbs.twimg.com/profile_images/1031844901242241024/s2IONE29.jpg","View")</f>
        <v>View</v>
      </c>
      <c r="V1478" s="8"/>
      <c r="W1478" s="8"/>
      <c r="X1478" s="8"/>
      <c r="Y1478" s="8"/>
      <c r="Z1478" s="8"/>
    </row>
    <row r="1479" spans="1:26" ht="13.2">
      <c r="A1479" s="13">
        <v>44250.41024305555</v>
      </c>
      <c r="B1479" s="6" t="str">
        <f>HYPERLINK("https://twitter.com/railsummit","@railsummit")</f>
        <v>@railsummit</v>
      </c>
      <c r="C1479" s="14" t="s">
        <v>6282</v>
      </c>
      <c r="D1479" s="14" t="s">
        <v>6283</v>
      </c>
      <c r="E1479" s="6" t="str">
        <f>HYPERLINK("https://twitter.com/railsummit/status/1364135598253080582","1364135598253080582")</f>
        <v>1364135598253080582</v>
      </c>
      <c r="F1479" s="7" t="s">
        <v>6284</v>
      </c>
      <c r="G1479" s="7" t="s">
        <v>6285</v>
      </c>
      <c r="H1479" s="8"/>
      <c r="I1479" s="14">
        <v>7</v>
      </c>
      <c r="J1479" s="14">
        <v>3</v>
      </c>
      <c r="K1479" s="6" t="str">
        <f t="shared" si="257"/>
        <v>Twitter Web App</v>
      </c>
      <c r="L1479" s="15">
        <v>1078</v>
      </c>
      <c r="M1479" s="15">
        <v>503</v>
      </c>
      <c r="N1479" s="15">
        <v>27</v>
      </c>
      <c r="O1479" s="9"/>
      <c r="P1479" s="10">
        <v>41325.725868055553</v>
      </c>
      <c r="Q1479" s="8"/>
      <c r="R1479" s="14" t="s">
        <v>6286</v>
      </c>
      <c r="S1479" s="7" t="s">
        <v>6287</v>
      </c>
      <c r="T1479" s="8"/>
      <c r="U1479" s="11" t="str">
        <f>HYPERLINK("https://pbs.twimg.com/profile_images/523037327958867971/2KU0nq7j.png","View")</f>
        <v>View</v>
      </c>
      <c r="V1479" s="8"/>
      <c r="W1479" s="8"/>
      <c r="X1479" s="8"/>
      <c r="Y1479" s="8"/>
      <c r="Z1479" s="8"/>
    </row>
    <row r="1480" spans="1:26" ht="13.2">
      <c r="A1480" s="13">
        <v>44250.410231481481</v>
      </c>
      <c r="B1480" s="6" t="str">
        <f>HYPERLINK("https://twitter.com/owning_ivy","@owning_ivy")</f>
        <v>@owning_ivy</v>
      </c>
      <c r="C1480" s="14" t="s">
        <v>6288</v>
      </c>
      <c r="D1480" s="14" t="s">
        <v>6289</v>
      </c>
      <c r="E1480" s="6" t="str">
        <f>HYPERLINK("https://twitter.com/owning_ivy/status/1364135594218065925","1364135594218065925")</f>
        <v>1364135594218065925</v>
      </c>
      <c r="F1480" s="14" t="s">
        <v>6290</v>
      </c>
      <c r="G1480" s="7" t="s">
        <v>6291</v>
      </c>
      <c r="H1480" s="8"/>
      <c r="I1480" s="14">
        <v>7</v>
      </c>
      <c r="J1480" s="14">
        <v>8</v>
      </c>
      <c r="K1480" s="6" t="str">
        <f>HYPERLINK("http://twitter.com/download/android","Twitter for Android")</f>
        <v>Twitter for Android</v>
      </c>
      <c r="L1480" s="15">
        <v>768</v>
      </c>
      <c r="M1480" s="15">
        <v>369</v>
      </c>
      <c r="N1480" s="15">
        <v>26</v>
      </c>
      <c r="O1480" s="9"/>
      <c r="P1480" s="10">
        <v>40729.600358796299</v>
      </c>
      <c r="Q1480" s="14" t="s">
        <v>6292</v>
      </c>
      <c r="R1480" s="14" t="s">
        <v>6293</v>
      </c>
      <c r="S1480" s="7" t="s">
        <v>6294</v>
      </c>
      <c r="T1480" s="8"/>
      <c r="U1480" s="11" t="str">
        <f>HYPERLINK("https://pbs.twimg.com/profile_images/1427461111/CIMG4853.JPG","View")</f>
        <v>View</v>
      </c>
      <c r="V1480" s="8"/>
      <c r="W1480" s="8"/>
      <c r="X1480" s="8"/>
      <c r="Y1480" s="8"/>
      <c r="Z1480" s="8"/>
    </row>
    <row r="1481" spans="1:26" ht="13.2">
      <c r="A1481" s="13">
        <v>44250.410208333335</v>
      </c>
      <c r="B1481" s="6" t="str">
        <f>HYPERLINK("https://twitter.com/LIV_consulting","@LIV_consulting")</f>
        <v>@LIV_consulting</v>
      </c>
      <c r="C1481" s="14" t="s">
        <v>6295</v>
      </c>
      <c r="D1481" s="14" t="s">
        <v>6296</v>
      </c>
      <c r="E1481" s="6" t="str">
        <f>HYPERLINK("https://twitter.com/LIV_consulting/status/1364135582885175297","1364135582885175297")</f>
        <v>1364135582885175297</v>
      </c>
      <c r="F1481" s="7" t="s">
        <v>6297</v>
      </c>
      <c r="G1481" s="7" t="s">
        <v>6298</v>
      </c>
      <c r="H1481" s="8"/>
      <c r="I1481" s="14">
        <v>2</v>
      </c>
      <c r="J1481" s="14">
        <v>3</v>
      </c>
      <c r="K1481" s="6" t="str">
        <f>HYPERLINK("https://buffer.com","Buffer")</f>
        <v>Buffer</v>
      </c>
      <c r="L1481" s="15">
        <v>16</v>
      </c>
      <c r="M1481" s="15">
        <v>40</v>
      </c>
      <c r="N1481" s="15">
        <v>0</v>
      </c>
      <c r="O1481" s="9"/>
      <c r="P1481" s="10">
        <v>44123.496782407412</v>
      </c>
      <c r="Q1481" s="14" t="s">
        <v>6299</v>
      </c>
      <c r="R1481" s="14" t="s">
        <v>6300</v>
      </c>
      <c r="S1481" s="7" t="s">
        <v>6301</v>
      </c>
      <c r="T1481" s="8"/>
      <c r="U1481" s="11" t="str">
        <f>HYPERLINK("https://pbs.twimg.com/profile_images/1318129205411012608/g--P-fmR.jpg","View")</f>
        <v>View</v>
      </c>
      <c r="V1481" s="8"/>
      <c r="W1481" s="8"/>
      <c r="X1481" s="8"/>
      <c r="Y1481" s="8"/>
      <c r="Z1481" s="8"/>
    </row>
    <row r="1482" spans="1:26" ht="13.2">
      <c r="A1482" s="13">
        <v>44250.410150462965</v>
      </c>
      <c r="B1482" s="6" t="str">
        <f>HYPERLINK("https://twitter.com/AIHQ6","@AIHQ6")</f>
        <v>@AIHQ6</v>
      </c>
      <c r="C1482" s="14" t="s">
        <v>6302</v>
      </c>
      <c r="D1482" s="14" t="s">
        <v>6303</v>
      </c>
      <c r="E1482" s="6" t="str">
        <f>HYPERLINK("https://twitter.com/AIHQ6/status/1364135564438626305","1364135564438626305")</f>
        <v>1364135564438626305</v>
      </c>
      <c r="F1482" s="7" t="s">
        <v>6304</v>
      </c>
      <c r="G1482" s="8"/>
      <c r="H1482" s="8"/>
      <c r="I1482" s="14">
        <v>0</v>
      </c>
      <c r="J1482" s="14">
        <v>0</v>
      </c>
      <c r="K1482" s="6" t="str">
        <f t="shared" ref="K1482:K1483" si="258">HYPERLINK("https://mobile.twitter.com","Twitter Web App")</f>
        <v>Twitter Web App</v>
      </c>
      <c r="L1482" s="15">
        <v>546</v>
      </c>
      <c r="M1482" s="15">
        <v>2313</v>
      </c>
      <c r="N1482" s="15">
        <v>2</v>
      </c>
      <c r="O1482" s="9"/>
      <c r="P1482" s="10">
        <v>44153.490277777775</v>
      </c>
      <c r="Q1482" s="8"/>
      <c r="R1482" s="14" t="s">
        <v>6305</v>
      </c>
      <c r="S1482" s="8"/>
      <c r="T1482" s="8"/>
      <c r="U1482" s="11" t="str">
        <f>HYPERLINK("https://pbs.twimg.com/profile_images/1330460065581699073/-iX3pLJc.jpg","View")</f>
        <v>View</v>
      </c>
      <c r="V1482" s="8"/>
      <c r="W1482" s="8"/>
      <c r="X1482" s="8"/>
      <c r="Y1482" s="8"/>
      <c r="Z1482" s="8"/>
    </row>
    <row r="1483" spans="1:26" ht="13.2">
      <c r="A1483" s="13">
        <v>44250.41002314815</v>
      </c>
      <c r="B1483" s="6" t="str">
        <f>HYPERLINK("https://twitter.com/Innovat78455398","@Innovat78455398")</f>
        <v>@Innovat78455398</v>
      </c>
      <c r="C1483" s="14" t="s">
        <v>4318</v>
      </c>
      <c r="D1483" s="14" t="s">
        <v>6306</v>
      </c>
      <c r="E1483" s="6" t="str">
        <f>HYPERLINK("https://twitter.com/Innovat78455398/status/1364135516032040962","1364135516032040962")</f>
        <v>1364135516032040962</v>
      </c>
      <c r="F1483" s="7" t="s">
        <v>6307</v>
      </c>
      <c r="G1483" s="7" t="s">
        <v>6308</v>
      </c>
      <c r="H1483" s="8"/>
      <c r="I1483" s="14">
        <v>12</v>
      </c>
      <c r="J1483" s="14">
        <v>7</v>
      </c>
      <c r="K1483" s="6" t="str">
        <f t="shared" si="258"/>
        <v>Twitter Web App</v>
      </c>
      <c r="L1483" s="15">
        <v>101</v>
      </c>
      <c r="M1483" s="15">
        <v>142</v>
      </c>
      <c r="N1483" s="15">
        <v>1</v>
      </c>
      <c r="O1483" s="9"/>
      <c r="P1483" s="10">
        <v>44075.047534722224</v>
      </c>
      <c r="Q1483" s="14" t="s">
        <v>623</v>
      </c>
      <c r="R1483" s="14" t="s">
        <v>4322</v>
      </c>
      <c r="S1483" s="8"/>
      <c r="T1483" s="8"/>
      <c r="U1483" s="11" t="str">
        <f>HYPERLINK("https://pbs.twimg.com/profile_images/1300571380098850818/YjKI8L9l.jpg","View")</f>
        <v>View</v>
      </c>
      <c r="V1483" s="8"/>
      <c r="W1483" s="8"/>
      <c r="X1483" s="8"/>
      <c r="Y1483" s="8"/>
      <c r="Z1483" s="8"/>
    </row>
    <row r="1484" spans="1:26" ht="13.2">
      <c r="A1484" s="13">
        <v>44250.409745370373</v>
      </c>
      <c r="B1484" s="6" t="str">
        <f>HYPERLINK("https://twitter.com/nigewillson","@nigewillson")</f>
        <v>@nigewillson</v>
      </c>
      <c r="C1484" s="14" t="s">
        <v>95</v>
      </c>
      <c r="D1484" s="14" t="s">
        <v>432</v>
      </c>
      <c r="E1484" s="6" t="str">
        <f>HYPERLINK("https://twitter.com/nigewillson/status/1364135418178994177","1364135418178994177")</f>
        <v>1364135418178994177</v>
      </c>
      <c r="F1484" s="7" t="s">
        <v>433</v>
      </c>
      <c r="G1484" s="7" t="s">
        <v>6309</v>
      </c>
      <c r="H1484" s="8"/>
      <c r="I1484" s="14">
        <v>6</v>
      </c>
      <c r="J1484" s="14">
        <v>2</v>
      </c>
      <c r="K1484" s="6" t="str">
        <f>HYPERLINK("https://buffer.com","Buffer")</f>
        <v>Buffer</v>
      </c>
      <c r="L1484" s="15">
        <v>57515</v>
      </c>
      <c r="M1484" s="15">
        <v>49523</v>
      </c>
      <c r="N1484" s="15">
        <v>1688</v>
      </c>
      <c r="O1484" s="9"/>
      <c r="P1484" s="10">
        <v>40530.666805555556</v>
      </c>
      <c r="Q1484" s="14" t="s">
        <v>99</v>
      </c>
      <c r="R1484" s="14" t="s">
        <v>100</v>
      </c>
      <c r="S1484" s="7" t="s">
        <v>101</v>
      </c>
      <c r="T1484" s="8"/>
      <c r="U1484" s="11" t="str">
        <f>HYPERLINK("https://pbs.twimg.com/profile_images/1085251590997622784/x9mWVQ1d.jpg","View")</f>
        <v>View</v>
      </c>
      <c r="V1484" s="8"/>
      <c r="W1484" s="8"/>
      <c r="X1484" s="8"/>
      <c r="Y1484" s="8"/>
      <c r="Z1484" s="8"/>
    </row>
    <row r="1485" spans="1:26" ht="13.2">
      <c r="A1485" s="13">
        <v>44250.409409722226</v>
      </c>
      <c r="B1485" s="6" t="str">
        <f>HYPERLINK("https://twitter.com/glodigfashion","@glodigfashion")</f>
        <v>@glodigfashion</v>
      </c>
      <c r="C1485" s="14" t="s">
        <v>6310</v>
      </c>
      <c r="D1485" s="14" t="s">
        <v>6311</v>
      </c>
      <c r="E1485" s="6" t="str">
        <f>HYPERLINK("https://twitter.com/glodigfashion/status/1364135296066084868","1364135296066084868")</f>
        <v>1364135296066084868</v>
      </c>
      <c r="F1485" s="7" t="s">
        <v>6312</v>
      </c>
      <c r="G1485" s="8"/>
      <c r="H1485" s="8"/>
      <c r="I1485" s="14">
        <v>0</v>
      </c>
      <c r="J1485" s="14">
        <v>0</v>
      </c>
      <c r="K1485" s="6" t="str">
        <f>HYPERLINK("https://paper.li","Paper.li")</f>
        <v>Paper.li</v>
      </c>
      <c r="L1485" s="15">
        <v>77</v>
      </c>
      <c r="M1485" s="15">
        <v>113</v>
      </c>
      <c r="N1485" s="15">
        <v>10</v>
      </c>
      <c r="O1485" s="9"/>
      <c r="P1485" s="10">
        <v>42317.402858796297</v>
      </c>
      <c r="Q1485" s="8"/>
      <c r="R1485" s="8"/>
      <c r="S1485" s="8"/>
      <c r="T1485" s="8"/>
      <c r="U1485" s="11" t="str">
        <f>HYPERLINK("https://pbs.twimg.com/profile_images/663724838071238656/RWZadoZb.jpg","View")</f>
        <v>View</v>
      </c>
      <c r="V1485" s="8"/>
      <c r="W1485" s="8"/>
      <c r="X1485" s="8"/>
      <c r="Y1485" s="8"/>
      <c r="Z1485" s="8"/>
    </row>
    <row r="1486" spans="1:26" ht="13.2">
      <c r="A1486" s="13">
        <v>44250.408854166672</v>
      </c>
      <c r="B1486" s="6" t="str">
        <f t="shared" ref="B1486:B1487" si="259">HYPERLINK("https://twitter.com/Innovat78455398","@Innovat78455398")</f>
        <v>@Innovat78455398</v>
      </c>
      <c r="C1486" s="14" t="s">
        <v>4318</v>
      </c>
      <c r="D1486" s="14" t="s">
        <v>6313</v>
      </c>
      <c r="E1486" s="6" t="str">
        <f>HYPERLINK("https://twitter.com/Innovat78455398/status/1364135092281434115","1364135092281434115")</f>
        <v>1364135092281434115</v>
      </c>
      <c r="F1486" s="7" t="s">
        <v>6314</v>
      </c>
      <c r="G1486" s="7" t="s">
        <v>6315</v>
      </c>
      <c r="H1486" s="8"/>
      <c r="I1486" s="14">
        <v>11</v>
      </c>
      <c r="J1486" s="14">
        <v>3</v>
      </c>
      <c r="K1486" s="6" t="str">
        <f t="shared" ref="K1486:K1487" si="260">HYPERLINK("https://mobile.twitter.com","Twitter Web App")</f>
        <v>Twitter Web App</v>
      </c>
      <c r="L1486" s="15">
        <v>101</v>
      </c>
      <c r="M1486" s="15">
        <v>142</v>
      </c>
      <c r="N1486" s="15">
        <v>1</v>
      </c>
      <c r="O1486" s="9"/>
      <c r="P1486" s="10">
        <v>44075.047534722224</v>
      </c>
      <c r="Q1486" s="14" t="s">
        <v>623</v>
      </c>
      <c r="R1486" s="14" t="s">
        <v>4322</v>
      </c>
      <c r="S1486" s="8"/>
      <c r="T1486" s="8"/>
      <c r="U1486" s="11" t="str">
        <f t="shared" ref="U1486:U1487" si="261">HYPERLINK("https://pbs.twimg.com/profile_images/1300571380098850818/YjKI8L9l.jpg","View")</f>
        <v>View</v>
      </c>
      <c r="V1486" s="8"/>
      <c r="W1486" s="8"/>
      <c r="X1486" s="8"/>
      <c r="Y1486" s="8"/>
      <c r="Z1486" s="8"/>
    </row>
    <row r="1487" spans="1:26" ht="13.2">
      <c r="A1487" s="13">
        <v>44250.40834490741</v>
      </c>
      <c r="B1487" s="6" t="str">
        <f t="shared" si="259"/>
        <v>@Innovat78455398</v>
      </c>
      <c r="C1487" s="14" t="s">
        <v>4318</v>
      </c>
      <c r="D1487" s="14" t="s">
        <v>6316</v>
      </c>
      <c r="E1487" s="6" t="str">
        <f>HYPERLINK("https://twitter.com/Innovat78455398/status/1364134910223507460","1364134910223507460")</f>
        <v>1364134910223507460</v>
      </c>
      <c r="F1487" s="7" t="s">
        <v>6317</v>
      </c>
      <c r="G1487" s="7" t="s">
        <v>6318</v>
      </c>
      <c r="H1487" s="8"/>
      <c r="I1487" s="14">
        <v>10</v>
      </c>
      <c r="J1487" s="14">
        <v>2</v>
      </c>
      <c r="K1487" s="6" t="str">
        <f t="shared" si="260"/>
        <v>Twitter Web App</v>
      </c>
      <c r="L1487" s="15">
        <v>101</v>
      </c>
      <c r="M1487" s="15">
        <v>142</v>
      </c>
      <c r="N1487" s="15">
        <v>1</v>
      </c>
      <c r="O1487" s="9"/>
      <c r="P1487" s="10">
        <v>44075.047534722224</v>
      </c>
      <c r="Q1487" s="14" t="s">
        <v>623</v>
      </c>
      <c r="R1487" s="14" t="s">
        <v>4322</v>
      </c>
      <c r="S1487" s="8"/>
      <c r="T1487" s="8"/>
      <c r="U1487" s="11" t="str">
        <f t="shared" si="261"/>
        <v>View</v>
      </c>
      <c r="V1487" s="8"/>
      <c r="W1487" s="8"/>
      <c r="X1487" s="8"/>
      <c r="Y1487" s="8"/>
      <c r="Z1487" s="8"/>
    </row>
    <row r="1488" spans="1:26" ht="13.2">
      <c r="A1488" s="13">
        <v>44250.40834490741</v>
      </c>
      <c r="B1488" s="6" t="str">
        <f>HYPERLINK("https://twitter.com/MrcSala","@MrcSala")</f>
        <v>@MrcSala</v>
      </c>
      <c r="C1488" s="14" t="s">
        <v>6319</v>
      </c>
      <c r="D1488" s="14" t="s">
        <v>6320</v>
      </c>
      <c r="E1488" s="6" t="str">
        <f>HYPERLINK("https://twitter.com/MrcSala/status/1364134909716156418","1364134909716156418")</f>
        <v>1364134909716156418</v>
      </c>
      <c r="F1488" s="7" t="s">
        <v>6321</v>
      </c>
      <c r="G1488" s="8"/>
      <c r="H1488" s="8"/>
      <c r="I1488" s="14">
        <v>0</v>
      </c>
      <c r="J1488" s="14">
        <v>0</v>
      </c>
      <c r="K1488" s="6" t="str">
        <f>HYPERLINK("http://www.linkedin.com/","LinkedIn")</f>
        <v>LinkedIn</v>
      </c>
      <c r="L1488" s="15">
        <v>128</v>
      </c>
      <c r="M1488" s="15">
        <v>232</v>
      </c>
      <c r="N1488" s="15">
        <v>9</v>
      </c>
      <c r="O1488" s="9"/>
      <c r="P1488" s="10">
        <v>40094.623148148152</v>
      </c>
      <c r="Q1488" s="14" t="s">
        <v>5737</v>
      </c>
      <c r="R1488" s="14" t="s">
        <v>6322</v>
      </c>
      <c r="S1488" s="8"/>
      <c r="T1488" s="8"/>
      <c r="U1488" s="11" t="str">
        <f>HYPERLINK("https://pbs.twimg.com/profile_images/1309552633787625475/zhyjDmik.jpg","View")</f>
        <v>View</v>
      </c>
      <c r="V1488" s="8"/>
      <c r="W1488" s="8"/>
      <c r="X1488" s="8"/>
      <c r="Y1488" s="8"/>
      <c r="Z1488" s="8"/>
    </row>
    <row r="1489" spans="1:26" ht="13.2">
      <c r="A1489" s="13">
        <v>44250.408333333333</v>
      </c>
      <c r="B1489" s="6" t="str">
        <f>HYPERLINK("https://twitter.com/SKlausDev","@SKlausDev")</f>
        <v>@SKlausDev</v>
      </c>
      <c r="C1489" s="14" t="s">
        <v>1404</v>
      </c>
      <c r="D1489" s="14" t="s">
        <v>6323</v>
      </c>
      <c r="E1489" s="6" t="str">
        <f>HYPERLINK("https://twitter.com/SKlausDev/status/1364134904360013824","1364134904360013824")</f>
        <v>1364134904360013824</v>
      </c>
      <c r="F1489" s="7" t="s">
        <v>6324</v>
      </c>
      <c r="G1489" s="8"/>
      <c r="H1489" s="8"/>
      <c r="I1489" s="14">
        <v>0</v>
      </c>
      <c r="J1489" s="14">
        <v>0</v>
      </c>
      <c r="K1489" s="6" t="str">
        <f t="shared" ref="K1489:K1490" si="262">HYPERLINK("https://mobile.twitter.com","Twitter Web App")</f>
        <v>Twitter Web App</v>
      </c>
      <c r="L1489" s="15">
        <v>1288</v>
      </c>
      <c r="M1489" s="15">
        <v>910</v>
      </c>
      <c r="N1489" s="15">
        <v>505</v>
      </c>
      <c r="O1489" s="9"/>
      <c r="P1489" s="10">
        <v>42492.59207175926</v>
      </c>
      <c r="Q1489" s="14" t="s">
        <v>1407</v>
      </c>
      <c r="R1489" s="14" t="s">
        <v>1408</v>
      </c>
      <c r="S1489" s="8"/>
      <c r="T1489" s="8"/>
      <c r="U1489" s="11" t="str">
        <f>HYPERLINK("https://pbs.twimg.com/profile_images/727109083283726336/pMHGSHGB.jpg","View")</f>
        <v>View</v>
      </c>
      <c r="V1489" s="8"/>
      <c r="W1489" s="8"/>
      <c r="X1489" s="8"/>
      <c r="Y1489" s="8"/>
      <c r="Z1489" s="8"/>
    </row>
    <row r="1490" spans="1:26" ht="13.2">
      <c r="A1490" s="13">
        <v>44250.408275462964</v>
      </c>
      <c r="B1490" s="6" t="str">
        <f>HYPERLINK("https://twitter.com/serine_nazaryan","@serine_nazaryan")</f>
        <v>@serine_nazaryan</v>
      </c>
      <c r="C1490" s="14" t="s">
        <v>6325</v>
      </c>
      <c r="D1490" s="14" t="s">
        <v>6326</v>
      </c>
      <c r="E1490" s="6" t="str">
        <f>HYPERLINK("https://twitter.com/serine_nazaryan/status/1364134885011705856","1364134885011705856")</f>
        <v>1364134885011705856</v>
      </c>
      <c r="F1490" s="7" t="s">
        <v>6327</v>
      </c>
      <c r="G1490" s="7" t="s">
        <v>6328</v>
      </c>
      <c r="H1490" s="8"/>
      <c r="I1490" s="14">
        <v>0</v>
      </c>
      <c r="J1490" s="14">
        <v>2</v>
      </c>
      <c r="K1490" s="6" t="str">
        <f t="shared" si="262"/>
        <v>Twitter Web App</v>
      </c>
      <c r="L1490" s="15">
        <v>214</v>
      </c>
      <c r="M1490" s="15">
        <v>378</v>
      </c>
      <c r="N1490" s="15">
        <v>0</v>
      </c>
      <c r="O1490" s="9"/>
      <c r="P1490" s="10">
        <v>44018.61341435185</v>
      </c>
      <c r="Q1490" s="8"/>
      <c r="R1490" s="14" t="s">
        <v>6329</v>
      </c>
      <c r="S1490" s="7" t="s">
        <v>6330</v>
      </c>
      <c r="T1490" s="8"/>
      <c r="U1490" s="11" t="str">
        <f>HYPERLINK("https://pbs.twimg.com/profile_images/1280955850367160322/kJl_cgY9.jpg","View")</f>
        <v>View</v>
      </c>
      <c r="V1490" s="8"/>
      <c r="W1490" s="8"/>
      <c r="X1490" s="8"/>
      <c r="Y1490" s="8"/>
      <c r="Z1490" s="8"/>
    </row>
    <row r="1491" spans="1:26" ht="13.2">
      <c r="A1491" s="13">
        <v>44250.407222222224</v>
      </c>
      <c r="B1491" s="6" t="str">
        <f t="shared" ref="B1491:B1493" si="263">HYPERLINK("https://twitter.com/BigData_Fr","@BigData_Fr")</f>
        <v>@BigData_Fr</v>
      </c>
      <c r="C1491" s="14" t="s">
        <v>6331</v>
      </c>
      <c r="D1491" s="14" t="s">
        <v>6332</v>
      </c>
      <c r="E1491" s="6" t="str">
        <f>HYPERLINK("https://twitter.com/BigData_Fr/status/1364134500742103040","1364134500742103040")</f>
        <v>1364134500742103040</v>
      </c>
      <c r="F1491" s="14" t="s">
        <v>6333</v>
      </c>
      <c r="G1491" s="8"/>
      <c r="H1491" s="8"/>
      <c r="I1491" s="14">
        <v>1</v>
      </c>
      <c r="J1491" s="14">
        <v>2</v>
      </c>
      <c r="K1491" s="6" t="str">
        <f t="shared" ref="K1491:K1493" si="264">HYPERLINK("https://ifttt.com","IFTTT")</f>
        <v>IFTTT</v>
      </c>
      <c r="L1491" s="15">
        <v>4678</v>
      </c>
      <c r="M1491" s="15">
        <v>138</v>
      </c>
      <c r="N1491" s="15">
        <v>690</v>
      </c>
      <c r="O1491" s="9"/>
      <c r="P1491" s="10">
        <v>41348.789548611108</v>
      </c>
      <c r="Q1491" s="14" t="s">
        <v>106</v>
      </c>
      <c r="R1491" s="14" t="s">
        <v>6334</v>
      </c>
      <c r="S1491" s="8"/>
      <c r="T1491" s="8"/>
      <c r="U1491" s="11" t="str">
        <f t="shared" ref="U1491:U1493" si="265">HYPERLINK("https://pbs.twimg.com/profile_images/3383871004/a354ae86d389501ee80ffa7682d2157a.png","View")</f>
        <v>View</v>
      </c>
      <c r="V1491" s="8"/>
      <c r="W1491" s="8"/>
      <c r="X1491" s="8"/>
      <c r="Y1491" s="8"/>
      <c r="Z1491" s="8"/>
    </row>
    <row r="1492" spans="1:26" ht="13.2">
      <c r="A1492" s="13">
        <v>44250.407210648147</v>
      </c>
      <c r="B1492" s="6" t="str">
        <f t="shared" si="263"/>
        <v>@BigData_Fr</v>
      </c>
      <c r="C1492" s="14" t="s">
        <v>6331</v>
      </c>
      <c r="D1492" s="14" t="s">
        <v>6335</v>
      </c>
      <c r="E1492" s="6" t="str">
        <f>HYPERLINK("https://twitter.com/BigData_Fr/status/1364134497109897216","1364134497109897216")</f>
        <v>1364134497109897216</v>
      </c>
      <c r="F1492" s="14" t="s">
        <v>6336</v>
      </c>
      <c r="G1492" s="8"/>
      <c r="H1492" s="8"/>
      <c r="I1492" s="14">
        <v>1</v>
      </c>
      <c r="J1492" s="14">
        <v>1</v>
      </c>
      <c r="K1492" s="6" t="str">
        <f t="shared" si="264"/>
        <v>IFTTT</v>
      </c>
      <c r="L1492" s="15">
        <v>4678</v>
      </c>
      <c r="M1492" s="15">
        <v>138</v>
      </c>
      <c r="N1492" s="15">
        <v>690</v>
      </c>
      <c r="O1492" s="9"/>
      <c r="P1492" s="10">
        <v>41348.789548611108</v>
      </c>
      <c r="Q1492" s="14" t="s">
        <v>106</v>
      </c>
      <c r="R1492" s="14" t="s">
        <v>6334</v>
      </c>
      <c r="S1492" s="8"/>
      <c r="T1492" s="8"/>
      <c r="U1492" s="11" t="str">
        <f t="shared" si="265"/>
        <v>View</v>
      </c>
      <c r="V1492" s="8"/>
      <c r="W1492" s="8"/>
      <c r="X1492" s="8"/>
      <c r="Y1492" s="8"/>
      <c r="Z1492" s="8"/>
    </row>
    <row r="1493" spans="1:26" ht="13.2">
      <c r="A1493" s="13">
        <v>44250.407199074078</v>
      </c>
      <c r="B1493" s="6" t="str">
        <f t="shared" si="263"/>
        <v>@BigData_Fr</v>
      </c>
      <c r="C1493" s="14" t="s">
        <v>6331</v>
      </c>
      <c r="D1493" s="14" t="s">
        <v>6337</v>
      </c>
      <c r="E1493" s="6" t="str">
        <f>HYPERLINK("https://twitter.com/BigData_Fr/status/1364134493557293057","1364134493557293057")</f>
        <v>1364134493557293057</v>
      </c>
      <c r="F1493" s="14" t="s">
        <v>6338</v>
      </c>
      <c r="G1493" s="8"/>
      <c r="H1493" s="8"/>
      <c r="I1493" s="14">
        <v>0</v>
      </c>
      <c r="J1493" s="14">
        <v>1</v>
      </c>
      <c r="K1493" s="6" t="str">
        <f t="shared" si="264"/>
        <v>IFTTT</v>
      </c>
      <c r="L1493" s="15">
        <v>4678</v>
      </c>
      <c r="M1493" s="15">
        <v>138</v>
      </c>
      <c r="N1493" s="15">
        <v>690</v>
      </c>
      <c r="O1493" s="9"/>
      <c r="P1493" s="10">
        <v>41348.789548611108</v>
      </c>
      <c r="Q1493" s="14" t="s">
        <v>106</v>
      </c>
      <c r="R1493" s="14" t="s">
        <v>6334</v>
      </c>
      <c r="S1493" s="8"/>
      <c r="T1493" s="8"/>
      <c r="U1493" s="11" t="str">
        <f t="shared" si="265"/>
        <v>View</v>
      </c>
      <c r="V1493" s="8"/>
      <c r="W1493" s="8"/>
      <c r="X1493" s="8"/>
      <c r="Y1493" s="8"/>
      <c r="Z1493" s="8"/>
    </row>
    <row r="1494" spans="1:26" ht="13.2">
      <c r="A1494" s="13">
        <v>44250.40688657407</v>
      </c>
      <c r="B1494" s="6" t="str">
        <f>HYPERLINK("https://twitter.com/louischanloyuet","@louischanloyuet")</f>
        <v>@louischanloyuet</v>
      </c>
      <c r="C1494" s="14" t="s">
        <v>6339</v>
      </c>
      <c r="D1494" s="14" t="s">
        <v>6340</v>
      </c>
      <c r="E1494" s="6" t="str">
        <f>HYPERLINK("https://twitter.com/louischanloyuet/status/1364134381351280641","1364134381351280641")</f>
        <v>1364134381351280641</v>
      </c>
      <c r="F1494" s="7" t="s">
        <v>6341</v>
      </c>
      <c r="G1494" s="8"/>
      <c r="H1494" s="8"/>
      <c r="I1494" s="14">
        <v>11</v>
      </c>
      <c r="J1494" s="14">
        <v>14</v>
      </c>
      <c r="K1494" s="6" t="str">
        <f>HYPERLINK("https://mobile.twitter.com","Twitter Web App")</f>
        <v>Twitter Web App</v>
      </c>
      <c r="L1494" s="15">
        <v>31</v>
      </c>
      <c r="M1494" s="15">
        <v>14</v>
      </c>
      <c r="N1494" s="15">
        <v>0</v>
      </c>
      <c r="O1494" s="9"/>
      <c r="P1494" s="10">
        <v>42484.551979166667</v>
      </c>
      <c r="Q1494" s="8"/>
      <c r="R1494" s="14" t="s">
        <v>6342</v>
      </c>
      <c r="S1494" s="8"/>
      <c r="T1494" s="8"/>
      <c r="U1494" s="11" t="str">
        <f>HYPERLINK("https://pbs.twimg.com/profile_images/1324316502254931969/NIM7gHAe.jpg","View")</f>
        <v>View</v>
      </c>
      <c r="V1494" s="8"/>
      <c r="W1494" s="8"/>
      <c r="X1494" s="8"/>
      <c r="Y1494" s="8"/>
      <c r="Z1494" s="8"/>
    </row>
    <row r="1495" spans="1:26" ht="13.2">
      <c r="A1495" s="13">
        <v>44250.406365740739</v>
      </c>
      <c r="B1495" s="6" t="str">
        <f>HYPERLINK("https://twitter.com/javascriptflx","@javascriptflx")</f>
        <v>@javascriptflx</v>
      </c>
      <c r="C1495" s="14" t="s">
        <v>6343</v>
      </c>
      <c r="D1495" s="14" t="s">
        <v>6344</v>
      </c>
      <c r="E1495" s="6" t="str">
        <f>HYPERLINK("https://twitter.com/javascriptflx/status/1364134193656188930","1364134193656188930")</f>
        <v>1364134193656188930</v>
      </c>
      <c r="F1495" s="7" t="s">
        <v>6345</v>
      </c>
      <c r="G1495" s="8"/>
      <c r="H1495" s="8"/>
      <c r="I1495" s="14">
        <v>33</v>
      </c>
      <c r="J1495" s="14">
        <v>15</v>
      </c>
      <c r="K1495" s="6" t="str">
        <f>HYPERLINK("https://twitter.com/pythonbot_","Postmatico")</f>
        <v>Postmatico</v>
      </c>
      <c r="L1495" s="15">
        <v>37902</v>
      </c>
      <c r="M1495" s="15">
        <v>4520</v>
      </c>
      <c r="N1495" s="15">
        <v>2032</v>
      </c>
      <c r="O1495" s="9"/>
      <c r="P1495" s="10">
        <v>42333.864618055552</v>
      </c>
      <c r="Q1495" s="8"/>
      <c r="R1495" s="14" t="s">
        <v>6346</v>
      </c>
      <c r="S1495" s="8"/>
      <c r="T1495" s="8"/>
      <c r="U1495" s="11" t="str">
        <f>HYPERLINK("https://pbs.twimg.com/profile_images/669615961847255040/wBd7Caaw.jpg","View")</f>
        <v>View</v>
      </c>
      <c r="V1495" s="8"/>
      <c r="W1495" s="8"/>
      <c r="X1495" s="8"/>
      <c r="Y1495" s="8"/>
      <c r="Z1495" s="8"/>
    </row>
    <row r="1496" spans="1:26" ht="13.2">
      <c r="A1496" s="13">
        <v>44250.406284722223</v>
      </c>
      <c r="B1496" s="6" t="str">
        <f>HYPERLINK("https://twitter.com/nigewillson","@nigewillson")</f>
        <v>@nigewillson</v>
      </c>
      <c r="C1496" s="14" t="s">
        <v>95</v>
      </c>
      <c r="D1496" s="14" t="s">
        <v>481</v>
      </c>
      <c r="E1496" s="6" t="str">
        <f>HYPERLINK("https://twitter.com/nigewillson/status/1364134163155214337","1364134163155214337")</f>
        <v>1364134163155214337</v>
      </c>
      <c r="F1496" s="7" t="s">
        <v>482</v>
      </c>
      <c r="G1496" s="7" t="s">
        <v>6347</v>
      </c>
      <c r="H1496" s="8"/>
      <c r="I1496" s="14">
        <v>4</v>
      </c>
      <c r="J1496" s="14">
        <v>4</v>
      </c>
      <c r="K1496" s="6" t="str">
        <f>HYPERLINK("https://buffer.com","Buffer")</f>
        <v>Buffer</v>
      </c>
      <c r="L1496" s="15">
        <v>57515</v>
      </c>
      <c r="M1496" s="15">
        <v>49523</v>
      </c>
      <c r="N1496" s="15">
        <v>1688</v>
      </c>
      <c r="O1496" s="9"/>
      <c r="P1496" s="10">
        <v>40530.666805555556</v>
      </c>
      <c r="Q1496" s="14" t="s">
        <v>99</v>
      </c>
      <c r="R1496" s="14" t="s">
        <v>100</v>
      </c>
      <c r="S1496" s="7" t="s">
        <v>101</v>
      </c>
      <c r="T1496" s="8"/>
      <c r="U1496" s="11" t="str">
        <f>HYPERLINK("https://pbs.twimg.com/profile_images/1085251590997622784/x9mWVQ1d.jpg","View")</f>
        <v>View</v>
      </c>
      <c r="V1496" s="8"/>
      <c r="W1496" s="8"/>
      <c r="X1496" s="8"/>
      <c r="Y1496" s="8"/>
      <c r="Z1496" s="8"/>
    </row>
    <row r="1497" spans="1:26" ht="13.2">
      <c r="A1497" s="13">
        <v>44250.40625</v>
      </c>
      <c r="B1497" s="6" t="str">
        <f>HYPERLINK("https://twitter.com/HGSdigital","@HGSdigital")</f>
        <v>@HGSdigital</v>
      </c>
      <c r="C1497" s="14" t="s">
        <v>6348</v>
      </c>
      <c r="D1497" s="14" t="s">
        <v>6349</v>
      </c>
      <c r="E1497" s="6" t="str">
        <f>HYPERLINK("https://twitter.com/HGSdigital/status/1364134148928131073","1364134148928131073")</f>
        <v>1364134148928131073</v>
      </c>
      <c r="F1497" s="7" t="s">
        <v>6350</v>
      </c>
      <c r="G1497" s="7" t="s">
        <v>6351</v>
      </c>
      <c r="H1497" s="8"/>
      <c r="I1497" s="14">
        <v>0</v>
      </c>
      <c r="J1497" s="14">
        <v>0</v>
      </c>
      <c r="K1497" s="6" t="str">
        <f>HYPERLINK("https://www.semrush.com/","SEMrush Social Media Tool")</f>
        <v>SEMrush Social Media Tool</v>
      </c>
      <c r="L1497" s="15">
        <v>344</v>
      </c>
      <c r="M1497" s="15">
        <v>215</v>
      </c>
      <c r="N1497" s="15">
        <v>25</v>
      </c>
      <c r="O1497" s="9"/>
      <c r="P1497" s="10">
        <v>41173.052847222221</v>
      </c>
      <c r="Q1497" s="14" t="s">
        <v>660</v>
      </c>
      <c r="R1497" s="14" t="s">
        <v>6352</v>
      </c>
      <c r="S1497" s="7" t="s">
        <v>6353</v>
      </c>
      <c r="T1497" s="8"/>
      <c r="U1497" s="11" t="str">
        <f>HYPERLINK("https://pbs.twimg.com/profile_images/1173577189796659200/t9vj1e8Y.jpg","View")</f>
        <v>View</v>
      </c>
      <c r="V1497" s="8"/>
      <c r="W1497" s="8"/>
      <c r="X1497" s="8"/>
      <c r="Y1497" s="8"/>
      <c r="Z1497" s="8"/>
    </row>
    <row r="1498" spans="1:26" ht="13.2">
      <c r="A1498" s="13">
        <v>44250.406157407408</v>
      </c>
      <c r="B1498" s="6" t="str">
        <f t="shared" ref="B1498:B1499" si="266">HYPERLINK("https://twitter.com/AnalyticsFrance","@AnalyticsFrance")</f>
        <v>@AnalyticsFrance</v>
      </c>
      <c r="C1498" s="14" t="s">
        <v>6354</v>
      </c>
      <c r="D1498" s="14" t="s">
        <v>6355</v>
      </c>
      <c r="E1498" s="6" t="str">
        <f>HYPERLINK("https://twitter.com/AnalyticsFrance/status/1364134118003519489","1364134118003519489")</f>
        <v>1364134118003519489</v>
      </c>
      <c r="F1498" s="7" t="s">
        <v>6356</v>
      </c>
      <c r="G1498" s="8"/>
      <c r="H1498" s="8"/>
      <c r="I1498" s="14">
        <v>1</v>
      </c>
      <c r="J1498" s="14">
        <v>1</v>
      </c>
      <c r="K1498" s="6" t="str">
        <f t="shared" ref="K1498:K1499" si="267">HYPERLINK("https://ifttt.com","IFTTT")</f>
        <v>IFTTT</v>
      </c>
      <c r="L1498" s="15">
        <v>1643</v>
      </c>
      <c r="M1498" s="15">
        <v>152</v>
      </c>
      <c r="N1498" s="15">
        <v>407</v>
      </c>
      <c r="O1498" s="9"/>
      <c r="P1498" s="10">
        <v>41348.495752314819</v>
      </c>
      <c r="Q1498" s="14" t="s">
        <v>106</v>
      </c>
      <c r="R1498" s="14" t="s">
        <v>6334</v>
      </c>
      <c r="S1498" s="8"/>
      <c r="T1498" s="8"/>
      <c r="U1498" s="11" t="str">
        <f t="shared" ref="U1498:U1499" si="268">HYPERLINK("https://pbs.twimg.com/profile_images/3383072572/2b0e67be1460e16857e604cc450f5129.jpeg","View")</f>
        <v>View</v>
      </c>
      <c r="V1498" s="8"/>
      <c r="W1498" s="8"/>
      <c r="X1498" s="8"/>
      <c r="Y1498" s="8"/>
      <c r="Z1498" s="8"/>
    </row>
    <row r="1499" spans="1:26" ht="13.2">
      <c r="A1499" s="13">
        <v>44250.406064814815</v>
      </c>
      <c r="B1499" s="6" t="str">
        <f t="shared" si="266"/>
        <v>@AnalyticsFrance</v>
      </c>
      <c r="C1499" s="14" t="s">
        <v>6354</v>
      </c>
      <c r="D1499" s="14" t="s">
        <v>6357</v>
      </c>
      <c r="E1499" s="6" t="str">
        <f>HYPERLINK("https://twitter.com/AnalyticsFrance/status/1364134081815080960","1364134081815080960")</f>
        <v>1364134081815080960</v>
      </c>
      <c r="F1499" s="7" t="s">
        <v>6358</v>
      </c>
      <c r="G1499" s="8"/>
      <c r="H1499" s="8"/>
      <c r="I1499" s="14">
        <v>1</v>
      </c>
      <c r="J1499" s="14">
        <v>0</v>
      </c>
      <c r="K1499" s="6" t="str">
        <f t="shared" si="267"/>
        <v>IFTTT</v>
      </c>
      <c r="L1499" s="15">
        <v>1643</v>
      </c>
      <c r="M1499" s="15">
        <v>152</v>
      </c>
      <c r="N1499" s="15">
        <v>407</v>
      </c>
      <c r="O1499" s="9"/>
      <c r="P1499" s="10">
        <v>41348.495752314819</v>
      </c>
      <c r="Q1499" s="14" t="s">
        <v>106</v>
      </c>
      <c r="R1499" s="14" t="s">
        <v>6334</v>
      </c>
      <c r="S1499" s="8"/>
      <c r="T1499" s="8"/>
      <c r="U1499" s="11" t="str">
        <f t="shared" si="268"/>
        <v>View</v>
      </c>
      <c r="V1499" s="8"/>
      <c r="W1499" s="8"/>
      <c r="X1499" s="8"/>
      <c r="Y1499" s="8"/>
      <c r="Z1499" s="8"/>
    </row>
    <row r="1500" spans="1:26" ht="13.2">
      <c r="A1500" s="13">
        <v>44250.405925925923</v>
      </c>
      <c r="B1500" s="6" t="str">
        <f>HYPERLINK("https://twitter.com/cornichecorp","@cornichecorp")</f>
        <v>@cornichecorp</v>
      </c>
      <c r="C1500" s="14" t="s">
        <v>2271</v>
      </c>
      <c r="D1500" s="14" t="s">
        <v>4133</v>
      </c>
      <c r="E1500" s="6" t="str">
        <f>HYPERLINK("https://twitter.com/cornichecorp/status/1364134032875917320","1364134032875917320")</f>
        <v>1364134032875917320</v>
      </c>
      <c r="F1500" s="14" t="s">
        <v>4134</v>
      </c>
      <c r="G1500" s="8"/>
      <c r="H1500" s="8"/>
      <c r="I1500" s="14">
        <v>2</v>
      </c>
      <c r="J1500" s="14">
        <v>1</v>
      </c>
      <c r="K1500" s="6" t="str">
        <f>HYPERLINK("http://twinybots.com","TwinyBots")</f>
        <v>TwinyBots</v>
      </c>
      <c r="L1500" s="15">
        <v>2349</v>
      </c>
      <c r="M1500" s="15">
        <v>2163</v>
      </c>
      <c r="N1500" s="15">
        <v>30</v>
      </c>
      <c r="O1500" s="9"/>
      <c r="P1500" s="10">
        <v>42246.917499999996</v>
      </c>
      <c r="Q1500" s="14" t="s">
        <v>2274</v>
      </c>
      <c r="R1500" s="14" t="s">
        <v>2275</v>
      </c>
      <c r="S1500" s="8"/>
      <c r="T1500" s="8"/>
      <c r="U1500" s="11" t="str">
        <f>HYPERLINK("https://pbs.twimg.com/profile_images/1135863200396775424/vPe8Htor.png","View")</f>
        <v>View</v>
      </c>
      <c r="V1500" s="8"/>
      <c r="W1500" s="8"/>
      <c r="X1500" s="8"/>
      <c r="Y1500" s="8"/>
      <c r="Z1500" s="8"/>
    </row>
    <row r="1501" spans="1:26" ht="13.2">
      <c r="A1501" s="13">
        <v>44250.404907407406</v>
      </c>
      <c r="B1501" s="6" t="str">
        <f>HYPERLINK("https://twitter.com/Greatbotio","@Greatbotio")</f>
        <v>@Greatbotio</v>
      </c>
      <c r="C1501" s="7" t="s">
        <v>6359</v>
      </c>
      <c r="D1501" s="14" t="s">
        <v>6360</v>
      </c>
      <c r="E1501" s="6" t="str">
        <f>HYPERLINK("https://twitter.com/Greatbotio/status/1364133664632672257","1364133664632672257")</f>
        <v>1364133664632672257</v>
      </c>
      <c r="F1501" s="7" t="s">
        <v>6361</v>
      </c>
      <c r="G1501" s="8"/>
      <c r="H1501" s="8"/>
      <c r="I1501" s="14">
        <v>0</v>
      </c>
      <c r="J1501" s="14">
        <v>1</v>
      </c>
      <c r="K1501" s="6" t="str">
        <f>HYPERLINK("https://www.socialaider.com/","Social Aider")</f>
        <v>Social Aider</v>
      </c>
      <c r="L1501" s="15">
        <v>23</v>
      </c>
      <c r="M1501" s="15">
        <v>233</v>
      </c>
      <c r="N1501" s="15">
        <v>0</v>
      </c>
      <c r="O1501" s="9"/>
      <c r="P1501" s="10">
        <v>44208.484768518523</v>
      </c>
      <c r="Q1501" s="14" t="s">
        <v>599</v>
      </c>
      <c r="R1501" s="14" t="s">
        <v>6362</v>
      </c>
      <c r="S1501" s="7" t="s">
        <v>6363</v>
      </c>
      <c r="T1501" s="8"/>
      <c r="U1501" s="11" t="str">
        <f>HYPERLINK("https://pbs.twimg.com/profile_images/1348942799337644032/SR1RZW_z.jpg","View")</f>
        <v>View</v>
      </c>
      <c r="V1501" s="8"/>
      <c r="W1501" s="8"/>
      <c r="X1501" s="8"/>
      <c r="Y1501" s="8"/>
      <c r="Z1501" s="8"/>
    </row>
    <row r="1502" spans="1:26" ht="13.2">
      <c r="A1502" s="13">
        <v>44250.404907407406</v>
      </c>
      <c r="B1502" s="6" t="str">
        <f>HYPERLINK("https://twitter.com/corradodebari","@corradodebari")</f>
        <v>@corradodebari</v>
      </c>
      <c r="C1502" s="14" t="s">
        <v>6364</v>
      </c>
      <c r="D1502" s="14" t="s">
        <v>6365</v>
      </c>
      <c r="E1502" s="6" t="str">
        <f>HYPERLINK("https://twitter.com/corradodebari/status/1364133661914910723","1364133661914910723")</f>
        <v>1364133661914910723</v>
      </c>
      <c r="F1502" s="14" t="s">
        <v>6366</v>
      </c>
      <c r="G1502" s="8"/>
      <c r="H1502" s="8"/>
      <c r="I1502" s="14">
        <v>2</v>
      </c>
      <c r="J1502" s="14">
        <v>2</v>
      </c>
      <c r="K1502" s="6" t="str">
        <f t="shared" ref="K1502:K1505" si="269">HYPERLINK("https://mobile.twitter.com","Twitter Web App")</f>
        <v>Twitter Web App</v>
      </c>
      <c r="L1502" s="15">
        <v>125</v>
      </c>
      <c r="M1502" s="15">
        <v>310</v>
      </c>
      <c r="N1502" s="15">
        <v>3</v>
      </c>
      <c r="O1502" s="9"/>
      <c r="P1502" s="10">
        <v>39589.493229166663</v>
      </c>
      <c r="Q1502" s="14" t="s">
        <v>2483</v>
      </c>
      <c r="R1502" s="14" t="s">
        <v>6367</v>
      </c>
      <c r="S1502" s="8"/>
      <c r="T1502" s="8"/>
      <c r="U1502" s="11" t="str">
        <f>HYPERLINK("https://pbs.twimg.com/profile_images/1346423789920407553/HiiKwr1Y.jpg","View")</f>
        <v>View</v>
      </c>
      <c r="V1502" s="8"/>
      <c r="W1502" s="8"/>
      <c r="X1502" s="8"/>
      <c r="Y1502" s="8"/>
      <c r="Z1502" s="8"/>
    </row>
    <row r="1503" spans="1:26" ht="13.2">
      <c r="A1503" s="13">
        <v>44250.403680555552</v>
      </c>
      <c r="B1503" s="6" t="str">
        <f>HYPERLINK("https://twitter.com/eBotify","@eBotify")</f>
        <v>@eBotify</v>
      </c>
      <c r="C1503" s="14" t="s">
        <v>6368</v>
      </c>
      <c r="D1503" s="14" t="s">
        <v>6369</v>
      </c>
      <c r="E1503" s="6" t="str">
        <f>HYPERLINK("https://twitter.com/eBotify/status/1364133217687597056","1364133217687597056")</f>
        <v>1364133217687597056</v>
      </c>
      <c r="F1503" s="8"/>
      <c r="G1503" s="7" t="s">
        <v>6370</v>
      </c>
      <c r="H1503" s="8"/>
      <c r="I1503" s="14">
        <v>21</v>
      </c>
      <c r="J1503" s="14">
        <v>5</v>
      </c>
      <c r="K1503" s="6" t="str">
        <f t="shared" si="269"/>
        <v>Twitter Web App</v>
      </c>
      <c r="L1503" s="15">
        <v>9</v>
      </c>
      <c r="M1503" s="15">
        <v>2</v>
      </c>
      <c r="N1503" s="15">
        <v>0</v>
      </c>
      <c r="O1503" s="9"/>
      <c r="P1503" s="10">
        <v>44073.721956018519</v>
      </c>
      <c r="Q1503" s="8"/>
      <c r="R1503" s="14" t="s">
        <v>6371</v>
      </c>
      <c r="S1503" s="8"/>
      <c r="T1503" s="8"/>
      <c r="U1503" s="11" t="str">
        <f>HYPERLINK("https://pbs.twimg.com/profile_images/1356836383210541057/2MedpSLc.png","View")</f>
        <v>View</v>
      </c>
      <c r="V1503" s="8"/>
      <c r="W1503" s="8"/>
      <c r="X1503" s="8"/>
      <c r="Y1503" s="8"/>
      <c r="Z1503" s="8"/>
    </row>
    <row r="1504" spans="1:26" ht="13.2">
      <c r="A1504" s="13">
        <v>44250.40347222222</v>
      </c>
      <c r="B1504" s="6" t="str">
        <f>HYPERLINK("https://twitter.com/SourabhSKatoch","@SourabhSKatoch")</f>
        <v>@SourabhSKatoch</v>
      </c>
      <c r="C1504" s="14" t="s">
        <v>2965</v>
      </c>
      <c r="D1504" s="14" t="s">
        <v>6372</v>
      </c>
      <c r="E1504" s="6" t="str">
        <f>HYPERLINK("https://twitter.com/SourabhSKatoch/status/1364133142681030657","1364133142681030657")</f>
        <v>1364133142681030657</v>
      </c>
      <c r="F1504" s="7" t="s">
        <v>6373</v>
      </c>
      <c r="G1504" s="7" t="s">
        <v>6374</v>
      </c>
      <c r="H1504" s="8"/>
      <c r="I1504" s="14">
        <v>26</v>
      </c>
      <c r="J1504" s="14">
        <v>14</v>
      </c>
      <c r="K1504" s="6" t="str">
        <f t="shared" si="269"/>
        <v>Twitter Web App</v>
      </c>
      <c r="L1504" s="15">
        <v>12277</v>
      </c>
      <c r="M1504" s="15">
        <v>11846</v>
      </c>
      <c r="N1504" s="15">
        <v>59</v>
      </c>
      <c r="O1504" s="9"/>
      <c r="P1504" s="10">
        <v>42623.507314814815</v>
      </c>
      <c r="Q1504" s="14" t="s">
        <v>2969</v>
      </c>
      <c r="R1504" s="14" t="s">
        <v>2970</v>
      </c>
      <c r="S1504" s="8"/>
      <c r="T1504" s="8"/>
      <c r="U1504" s="11" t="str">
        <f>HYPERLINK("https://pbs.twimg.com/profile_images/1250501846709334017/WU0jzEqi.jpg","View")</f>
        <v>View</v>
      </c>
      <c r="V1504" s="8"/>
      <c r="W1504" s="8"/>
      <c r="X1504" s="8"/>
      <c r="Y1504" s="8"/>
      <c r="Z1504" s="8"/>
    </row>
    <row r="1505" spans="1:26" ht="13.2">
      <c r="A1505" s="13">
        <v>44250.403425925921</v>
      </c>
      <c r="B1505" s="6" t="str">
        <f>HYPERLINK("https://twitter.com/AnnetteSophonie","@AnnetteSophonie")</f>
        <v>@AnnetteSophonie</v>
      </c>
      <c r="C1505" s="14" t="s">
        <v>2177</v>
      </c>
      <c r="D1505" s="14" t="s">
        <v>6375</v>
      </c>
      <c r="E1505" s="6" t="str">
        <f>HYPERLINK("https://twitter.com/AnnetteSophonie/status/1364133128852312066","1364133128852312066")</f>
        <v>1364133128852312066</v>
      </c>
      <c r="F1505" s="7" t="s">
        <v>6376</v>
      </c>
      <c r="G1505" s="7" t="s">
        <v>6377</v>
      </c>
      <c r="H1505" s="8"/>
      <c r="I1505" s="14">
        <v>1</v>
      </c>
      <c r="J1505" s="14">
        <v>3</v>
      </c>
      <c r="K1505" s="6" t="str">
        <f t="shared" si="269"/>
        <v>Twitter Web App</v>
      </c>
      <c r="L1505" s="15">
        <v>1254</v>
      </c>
      <c r="M1505" s="15">
        <v>1237</v>
      </c>
      <c r="N1505" s="15">
        <v>11</v>
      </c>
      <c r="O1505" s="9"/>
      <c r="P1505" s="10">
        <v>43514.004745370374</v>
      </c>
      <c r="Q1505" s="14" t="s">
        <v>2181</v>
      </c>
      <c r="R1505" s="14" t="s">
        <v>2182</v>
      </c>
      <c r="S1505" s="8"/>
      <c r="T1505" s="8"/>
      <c r="U1505" s="11" t="str">
        <f>HYPERLINK("https://pbs.twimg.com/profile_images/1097274157040128000/kbJdFYDd.jpg","View")</f>
        <v>View</v>
      </c>
      <c r="V1505" s="8"/>
      <c r="W1505" s="8"/>
      <c r="X1505" s="8"/>
      <c r="Y1505" s="8"/>
      <c r="Z1505" s="8"/>
    </row>
    <row r="1506" spans="1:26" ht="13.2">
      <c r="A1506" s="13">
        <v>44250.403310185182</v>
      </c>
      <c r="B1506" s="6" t="str">
        <f>HYPERLINK("https://twitter.com/bewgleai","@bewgleai")</f>
        <v>@bewgleai</v>
      </c>
      <c r="C1506" s="14" t="s">
        <v>6378</v>
      </c>
      <c r="D1506" s="14" t="s">
        <v>6379</v>
      </c>
      <c r="E1506" s="6" t="str">
        <f>HYPERLINK("https://twitter.com/bewgleai/status/1364133087127302144","1364133087127302144")</f>
        <v>1364133087127302144</v>
      </c>
      <c r="F1506" s="7" t="s">
        <v>6380</v>
      </c>
      <c r="G1506" s="8"/>
      <c r="H1506" s="8"/>
      <c r="I1506" s="14">
        <v>0</v>
      </c>
      <c r="J1506" s="14">
        <v>1</v>
      </c>
      <c r="K1506" s="6" t="str">
        <f>HYPERLINK("https://about.twitter.com/products/tweetdeck","TweetDeck")</f>
        <v>TweetDeck</v>
      </c>
      <c r="L1506" s="15">
        <v>54</v>
      </c>
      <c r="M1506" s="15">
        <v>45</v>
      </c>
      <c r="N1506" s="15">
        <v>2</v>
      </c>
      <c r="O1506" s="9"/>
      <c r="P1506" s="10">
        <v>42988.808067129634</v>
      </c>
      <c r="Q1506" s="8"/>
      <c r="R1506" s="14" t="s">
        <v>6381</v>
      </c>
      <c r="S1506" s="7" t="s">
        <v>6382</v>
      </c>
      <c r="T1506" s="8"/>
      <c r="U1506" s="11" t="str">
        <f>HYPERLINK("https://pbs.twimg.com/profile_images/937473190636523520/qUKB9Pwj.jpg","View")</f>
        <v>View</v>
      </c>
      <c r="V1506" s="8"/>
      <c r="W1506" s="8"/>
      <c r="X1506" s="8"/>
      <c r="Y1506" s="8"/>
      <c r="Z1506" s="8"/>
    </row>
    <row r="1507" spans="1:26" ht="13.2">
      <c r="A1507" s="13">
        <v>44250.402812500004</v>
      </c>
      <c r="B1507" s="6" t="str">
        <f>HYPERLINK("https://twitter.com/nigewillson","@nigewillson")</f>
        <v>@nigewillson</v>
      </c>
      <c r="C1507" s="14" t="s">
        <v>95</v>
      </c>
      <c r="D1507" s="14" t="s">
        <v>552</v>
      </c>
      <c r="E1507" s="6" t="str">
        <f>HYPERLINK("https://twitter.com/nigewillson/status/1364132903509196804","1364132903509196804")</f>
        <v>1364132903509196804</v>
      </c>
      <c r="F1507" s="7" t="s">
        <v>553</v>
      </c>
      <c r="G1507" s="7" t="s">
        <v>6383</v>
      </c>
      <c r="H1507" s="8"/>
      <c r="I1507" s="14">
        <v>9</v>
      </c>
      <c r="J1507" s="14">
        <v>6</v>
      </c>
      <c r="K1507" s="6" t="str">
        <f>HYPERLINK("https://buffer.com","Buffer")</f>
        <v>Buffer</v>
      </c>
      <c r="L1507" s="15">
        <v>57515</v>
      </c>
      <c r="M1507" s="15">
        <v>49523</v>
      </c>
      <c r="N1507" s="15">
        <v>1688</v>
      </c>
      <c r="O1507" s="9"/>
      <c r="P1507" s="10">
        <v>40530.666805555556</v>
      </c>
      <c r="Q1507" s="14" t="s">
        <v>99</v>
      </c>
      <c r="R1507" s="14" t="s">
        <v>100</v>
      </c>
      <c r="S1507" s="7" t="s">
        <v>101</v>
      </c>
      <c r="T1507" s="8"/>
      <c r="U1507" s="11" t="str">
        <f>HYPERLINK("https://pbs.twimg.com/profile_images/1085251590997622784/x9mWVQ1d.jpg","View")</f>
        <v>View</v>
      </c>
      <c r="V1507" s="8"/>
      <c r="W1507" s="8"/>
      <c r="X1507" s="8"/>
      <c r="Y1507" s="8"/>
      <c r="Z1507" s="8"/>
    </row>
    <row r="1508" spans="1:26" ht="13.2">
      <c r="A1508" s="13">
        <v>44250.402615740742</v>
      </c>
      <c r="B1508" s="6" t="str">
        <f>HYPERLINK("https://twitter.com/awscloud_es","@awscloud_es")</f>
        <v>@awscloud_es</v>
      </c>
      <c r="C1508" s="14" t="s">
        <v>6384</v>
      </c>
      <c r="D1508" s="14" t="s">
        <v>6385</v>
      </c>
      <c r="E1508" s="6" t="str">
        <f>HYPERLINK("https://twitter.com/awscloud_es/status/1364132833267179522","1364132833267179522")</f>
        <v>1364132833267179522</v>
      </c>
      <c r="F1508" s="7" t="s">
        <v>6386</v>
      </c>
      <c r="G1508" s="7" t="s">
        <v>6387</v>
      </c>
      <c r="H1508" s="8"/>
      <c r="I1508" s="14">
        <v>3</v>
      </c>
      <c r="J1508" s="14">
        <v>1</v>
      </c>
      <c r="K1508" s="6" t="str">
        <f>HYPERLINK("https://www.sprinklr.com","Sprinklr")</f>
        <v>Sprinklr</v>
      </c>
      <c r="L1508" s="15">
        <v>7344</v>
      </c>
      <c r="M1508" s="15">
        <v>35</v>
      </c>
      <c r="N1508" s="15">
        <v>130</v>
      </c>
      <c r="O1508" s="9"/>
      <c r="P1508" s="10">
        <v>41857.965833333335</v>
      </c>
      <c r="Q1508" s="14" t="s">
        <v>2931</v>
      </c>
      <c r="R1508" s="14" t="s">
        <v>6388</v>
      </c>
      <c r="S1508" s="7" t="s">
        <v>6389</v>
      </c>
      <c r="T1508" s="8"/>
      <c r="U1508" s="11" t="str">
        <f>HYPERLINK("https://pbs.twimg.com/profile_images/1351573137855373312/NusaOfNL.jpg","View")</f>
        <v>View</v>
      </c>
      <c r="V1508" s="8"/>
      <c r="W1508" s="8"/>
      <c r="X1508" s="8"/>
      <c r="Y1508" s="8"/>
      <c r="Z1508" s="8"/>
    </row>
    <row r="1509" spans="1:26" ht="13.2">
      <c r="A1509" s="13">
        <v>44250.402604166666</v>
      </c>
      <c r="B1509" s="6" t="str">
        <f>HYPERLINK("https://twitter.com/jumpingbeansa","@jumpingbeansa")</f>
        <v>@jumpingbeansa</v>
      </c>
      <c r="C1509" s="14" t="s">
        <v>6390</v>
      </c>
      <c r="D1509" s="14" t="s">
        <v>6391</v>
      </c>
      <c r="E1509" s="6" t="str">
        <f>HYPERLINK("https://twitter.com/jumpingbeansa/status/1364132827537768450","1364132827537768450")</f>
        <v>1364132827537768450</v>
      </c>
      <c r="F1509" s="7" t="s">
        <v>6392</v>
      </c>
      <c r="G1509" s="7" t="s">
        <v>6393</v>
      </c>
      <c r="H1509" s="8"/>
      <c r="I1509" s="14">
        <v>0</v>
      </c>
      <c r="J1509" s="14">
        <v>0</v>
      </c>
      <c r="K1509" s="6" t="str">
        <f>HYPERLINK("https://buffer.com","Buffer")</f>
        <v>Buffer</v>
      </c>
      <c r="L1509" s="15">
        <v>445</v>
      </c>
      <c r="M1509" s="15">
        <v>272</v>
      </c>
      <c r="N1509" s="15">
        <v>29</v>
      </c>
      <c r="O1509" s="9"/>
      <c r="P1509" s="10">
        <v>39828.660902777774</v>
      </c>
      <c r="Q1509" s="14" t="s">
        <v>6394</v>
      </c>
      <c r="R1509" s="14" t="s">
        <v>6395</v>
      </c>
      <c r="S1509" s="7" t="s">
        <v>6396</v>
      </c>
      <c r="T1509" s="8"/>
      <c r="U1509" s="11" t="str">
        <f>HYPERLINK("https://pbs.twimg.com/profile_images/642257241064628224/aIJX4AMx.png","View")</f>
        <v>View</v>
      </c>
      <c r="V1509" s="8"/>
      <c r="W1509" s="8"/>
      <c r="X1509" s="8"/>
      <c r="Y1509" s="8"/>
      <c r="Z1509" s="8"/>
    </row>
    <row r="1510" spans="1:26" ht="13.2">
      <c r="A1510" s="13">
        <v>44250.402083333334</v>
      </c>
      <c r="B1510" s="6" t="str">
        <f>HYPERLINK("https://twitter.com/Analyticsindiam","@Analyticsindiam")</f>
        <v>@Analyticsindiam</v>
      </c>
      <c r="C1510" s="14" t="s">
        <v>5870</v>
      </c>
      <c r="D1510" s="14" t="s">
        <v>6397</v>
      </c>
      <c r="E1510" s="6" t="str">
        <f>HYPERLINK("https://twitter.com/Analyticsindiam/status/1364132640886956038","1364132640886956038")</f>
        <v>1364132640886956038</v>
      </c>
      <c r="F1510" s="7" t="s">
        <v>6398</v>
      </c>
      <c r="G1510" s="8"/>
      <c r="H1510" s="8"/>
      <c r="I1510" s="14">
        <v>11</v>
      </c>
      <c r="J1510" s="14">
        <v>13</v>
      </c>
      <c r="K1510" s="6" t="str">
        <f>HYPERLINK("https://social.zoho.com","Zoho Social")</f>
        <v>Zoho Social</v>
      </c>
      <c r="L1510" s="15">
        <v>12466</v>
      </c>
      <c r="M1510" s="15">
        <v>353</v>
      </c>
      <c r="N1510" s="15">
        <v>284</v>
      </c>
      <c r="O1510" s="9"/>
      <c r="P1510" s="10">
        <v>41209.688425925924</v>
      </c>
      <c r="Q1510" s="14" t="s">
        <v>1742</v>
      </c>
      <c r="R1510" s="14" t="s">
        <v>5873</v>
      </c>
      <c r="S1510" s="7" t="s">
        <v>5874</v>
      </c>
      <c r="T1510" s="8"/>
      <c r="U1510" s="11" t="str">
        <f>HYPERLINK("https://pbs.twimg.com/profile_images/1346368144391118848/X7OaLwQ5.jpg","View")</f>
        <v>View</v>
      </c>
      <c r="V1510" s="8"/>
      <c r="W1510" s="8"/>
      <c r="X1510" s="8"/>
      <c r="Y1510" s="8"/>
      <c r="Z1510" s="8"/>
    </row>
    <row r="1511" spans="1:26" ht="13.2">
      <c r="A1511" s="13">
        <v>44250.402071759258</v>
      </c>
      <c r="B1511" s="6" t="str">
        <f>HYPERLINK("https://twitter.com/Datascience__","@Datascience__")</f>
        <v>@Datascience__</v>
      </c>
      <c r="C1511" s="14" t="s">
        <v>1082</v>
      </c>
      <c r="D1511" s="14" t="s">
        <v>6399</v>
      </c>
      <c r="E1511" s="6" t="str">
        <f>HYPERLINK("https://twitter.com/Datascience__/status/1364132635530964993","1364132635530964993")</f>
        <v>1364132635530964993</v>
      </c>
      <c r="F1511" s="7" t="s">
        <v>6400</v>
      </c>
      <c r="G1511" s="8"/>
      <c r="H1511" s="8"/>
      <c r="I1511" s="14">
        <v>2</v>
      </c>
      <c r="J1511" s="14">
        <v>0</v>
      </c>
      <c r="K1511" s="6" t="str">
        <f>HYPERLINK("https://twitter.com/pythonbot_","Postmatico")</f>
        <v>Postmatico</v>
      </c>
      <c r="L1511" s="15">
        <v>21499</v>
      </c>
      <c r="M1511" s="15">
        <v>11071</v>
      </c>
      <c r="N1511" s="15">
        <v>0</v>
      </c>
      <c r="O1511" s="9"/>
      <c r="P1511" s="10">
        <v>42735.551377314812</v>
      </c>
      <c r="Q1511" s="8"/>
      <c r="R1511" s="14" t="s">
        <v>1085</v>
      </c>
      <c r="S1511" s="7" t="s">
        <v>1086</v>
      </c>
      <c r="T1511" s="8"/>
      <c r="U1511" s="11" t="str">
        <f>HYPERLINK("https://pbs.twimg.com/profile_images/989066461435097088/AQZSFyuk.jpg","View")</f>
        <v>View</v>
      </c>
      <c r="V1511" s="8"/>
      <c r="W1511" s="8"/>
      <c r="X1511" s="8"/>
      <c r="Y1511" s="8"/>
      <c r="Z1511" s="8"/>
    </row>
    <row r="1512" spans="1:26" ht="13.2">
      <c r="A1512" s="13">
        <v>44250.402025462958</v>
      </c>
      <c r="B1512" s="6" t="str">
        <f>HYPERLINK("https://twitter.com/M6sp2004","@M6sp2004")</f>
        <v>@M6sp2004</v>
      </c>
      <c r="C1512" s="14" t="s">
        <v>5955</v>
      </c>
      <c r="D1512" s="14" t="s">
        <v>6401</v>
      </c>
      <c r="E1512" s="6" t="str">
        <f>HYPERLINK("https://twitter.com/M6sp2004/status/1364132620301402123","1364132620301402123")</f>
        <v>1364132620301402123</v>
      </c>
      <c r="F1512" s="7" t="s">
        <v>6402</v>
      </c>
      <c r="G1512" s="8"/>
      <c r="H1512" s="8"/>
      <c r="I1512" s="14">
        <v>0</v>
      </c>
      <c r="J1512" s="14">
        <v>0</v>
      </c>
      <c r="K1512" s="6" t="str">
        <f>HYPERLINK("https://mobile.twitter.com","Twitter Web App")</f>
        <v>Twitter Web App</v>
      </c>
      <c r="L1512" s="15">
        <v>103</v>
      </c>
      <c r="M1512" s="15">
        <v>146</v>
      </c>
      <c r="N1512" s="15">
        <v>1</v>
      </c>
      <c r="O1512" s="9"/>
      <c r="P1512" s="10">
        <v>42391.69122685185</v>
      </c>
      <c r="Q1512" s="8"/>
      <c r="R1512" s="14" t="s">
        <v>5958</v>
      </c>
      <c r="S1512" s="7" t="s">
        <v>5959</v>
      </c>
      <c r="T1512" s="8"/>
      <c r="U1512" s="11" t="str">
        <f>HYPERLINK("https://pbs.twimg.com/profile_images/1320862248378814475/whlMxu6t.jpg","View")</f>
        <v>View</v>
      </c>
      <c r="V1512" s="8"/>
      <c r="W1512" s="8"/>
      <c r="X1512" s="8"/>
      <c r="Y1512" s="8"/>
      <c r="Z1512" s="8"/>
    </row>
    <row r="1513" spans="1:26" ht="13.2">
      <c r="A1513" s="13">
        <v>44250.401805555557</v>
      </c>
      <c r="B1513" s="6" t="str">
        <f>HYPERLINK("https://twitter.com/PROJECTCONSULT_","@PROJECTCONSULT_")</f>
        <v>@PROJECTCONSULT_</v>
      </c>
      <c r="C1513" s="14" t="s">
        <v>6403</v>
      </c>
      <c r="D1513" s="14" t="s">
        <v>6404</v>
      </c>
      <c r="E1513" s="6" t="str">
        <f>HYPERLINK("https://twitter.com/PROJECTCONSULT_/status/1364132540957810690","1364132540957810690")</f>
        <v>1364132540957810690</v>
      </c>
      <c r="F1513" s="7" t="s">
        <v>6405</v>
      </c>
      <c r="G1513" s="8"/>
      <c r="H1513" s="8"/>
      <c r="I1513" s="14">
        <v>3</v>
      </c>
      <c r="J1513" s="14">
        <v>0</v>
      </c>
      <c r="K1513" s="6" t="str">
        <f>HYPERLINK("https://bitly.com/","Bitly")</f>
        <v>Bitly</v>
      </c>
      <c r="L1513" s="15">
        <v>1956</v>
      </c>
      <c r="M1513" s="15">
        <v>3008</v>
      </c>
      <c r="N1513" s="15">
        <v>531</v>
      </c>
      <c r="O1513" s="9"/>
      <c r="P1513" s="10">
        <v>40574.537152777775</v>
      </c>
      <c r="Q1513" s="14" t="s">
        <v>266</v>
      </c>
      <c r="R1513" s="14" t="s">
        <v>6406</v>
      </c>
      <c r="S1513" s="7" t="s">
        <v>6407</v>
      </c>
      <c r="T1513" s="8"/>
      <c r="U1513" s="11" t="str">
        <f>HYPERLINK("https://pbs.twimg.com/profile_images/1234499388/n367104918594_7014.jpg","View")</f>
        <v>View</v>
      </c>
      <c r="V1513" s="8"/>
      <c r="W1513" s="8"/>
      <c r="X1513" s="8"/>
      <c r="Y1513" s="8"/>
      <c r="Z1513" s="8"/>
    </row>
    <row r="1514" spans="1:26" ht="13.2">
      <c r="A1514" s="13">
        <v>44250.401747685188</v>
      </c>
      <c r="B1514" s="6" t="str">
        <f>HYPERLINK("https://twitter.com/M6sp2004","@M6sp2004")</f>
        <v>@M6sp2004</v>
      </c>
      <c r="C1514" s="14" t="s">
        <v>5955</v>
      </c>
      <c r="D1514" s="14" t="s">
        <v>6408</v>
      </c>
      <c r="E1514" s="6" t="str">
        <f>HYPERLINK("https://twitter.com/M6sp2004/status/1364132518518226948","1364132518518226948")</f>
        <v>1364132518518226948</v>
      </c>
      <c r="F1514" s="7" t="s">
        <v>6409</v>
      </c>
      <c r="G1514" s="8"/>
      <c r="H1514" s="8"/>
      <c r="I1514" s="14">
        <v>0</v>
      </c>
      <c r="J1514" s="14">
        <v>0</v>
      </c>
      <c r="K1514" s="6" t="str">
        <f>HYPERLINK("https://mobile.twitter.com","Twitter Web App")</f>
        <v>Twitter Web App</v>
      </c>
      <c r="L1514" s="15">
        <v>103</v>
      </c>
      <c r="M1514" s="15">
        <v>146</v>
      </c>
      <c r="N1514" s="15">
        <v>1</v>
      </c>
      <c r="O1514" s="9"/>
      <c r="P1514" s="10">
        <v>42391.69122685185</v>
      </c>
      <c r="Q1514" s="8"/>
      <c r="R1514" s="14" t="s">
        <v>5958</v>
      </c>
      <c r="S1514" s="7" t="s">
        <v>5959</v>
      </c>
      <c r="T1514" s="8"/>
      <c r="U1514" s="11" t="str">
        <f>HYPERLINK("https://pbs.twimg.com/profile_images/1320862248378814475/whlMxu6t.jpg","View")</f>
        <v>View</v>
      </c>
      <c r="V1514" s="8"/>
      <c r="W1514" s="8"/>
      <c r="X1514" s="8"/>
      <c r="Y1514" s="8"/>
      <c r="Z1514" s="8"/>
    </row>
    <row r="1515" spans="1:26" ht="13.2">
      <c r="A1515" s="13">
        <v>44250.401712962965</v>
      </c>
      <c r="B1515" s="6" t="str">
        <f>HYPERLINK("https://twitter.com/PROJECTCONSULT_","@PROJECTCONSULT_")</f>
        <v>@PROJECTCONSULT_</v>
      </c>
      <c r="C1515" s="14" t="s">
        <v>6403</v>
      </c>
      <c r="D1515" s="14" t="s">
        <v>6410</v>
      </c>
      <c r="E1515" s="6" t="str">
        <f>HYPERLINK("https://twitter.com/PROJECTCONSULT_/status/1364132506551934977","1364132506551934977")</f>
        <v>1364132506551934977</v>
      </c>
      <c r="F1515" s="7" t="s">
        <v>6411</v>
      </c>
      <c r="G1515" s="8"/>
      <c r="H1515" s="8"/>
      <c r="I1515" s="14">
        <v>0</v>
      </c>
      <c r="J1515" s="14">
        <v>0</v>
      </c>
      <c r="K1515" s="6" t="str">
        <f>HYPERLINK("https://bitly.com/","Bitly")</f>
        <v>Bitly</v>
      </c>
      <c r="L1515" s="15">
        <v>1956</v>
      </c>
      <c r="M1515" s="15">
        <v>3008</v>
      </c>
      <c r="N1515" s="15">
        <v>531</v>
      </c>
      <c r="O1515" s="9"/>
      <c r="P1515" s="10">
        <v>40574.537152777775</v>
      </c>
      <c r="Q1515" s="14" t="s">
        <v>266</v>
      </c>
      <c r="R1515" s="14" t="s">
        <v>6406</v>
      </c>
      <c r="S1515" s="7" t="s">
        <v>6407</v>
      </c>
      <c r="T1515" s="8"/>
      <c r="U1515" s="11" t="str">
        <f>HYPERLINK("https://pbs.twimg.com/profile_images/1234499388/n367104918594_7014.jpg","View")</f>
        <v>View</v>
      </c>
      <c r="V1515" s="8"/>
      <c r="W1515" s="8"/>
      <c r="X1515" s="8"/>
      <c r="Y1515" s="8"/>
      <c r="Z1515" s="8"/>
    </row>
    <row r="1516" spans="1:26" ht="13.2">
      <c r="A1516" s="13">
        <v>44250.401400462964</v>
      </c>
      <c r="B1516" s="6" t="str">
        <f>HYPERLINK("https://twitter.com/hacking_future","@hacking_future")</f>
        <v>@hacking_future</v>
      </c>
      <c r="C1516" s="14" t="s">
        <v>3085</v>
      </c>
      <c r="D1516" s="14" t="s">
        <v>6412</v>
      </c>
      <c r="E1516" s="6" t="str">
        <f>HYPERLINK("https://twitter.com/hacking_future/status/1364132391405694976","1364132391405694976")</f>
        <v>1364132391405694976</v>
      </c>
      <c r="F1516" s="7" t="s">
        <v>6413</v>
      </c>
      <c r="G1516" s="8"/>
      <c r="H1516" s="8"/>
      <c r="I1516" s="14">
        <v>8</v>
      </c>
      <c r="J1516" s="14">
        <v>5</v>
      </c>
      <c r="K1516" s="6" t="str">
        <f>HYPERLINK("https://buffer.com","Buffer")</f>
        <v>Buffer</v>
      </c>
      <c r="L1516" s="15">
        <v>1502</v>
      </c>
      <c r="M1516" s="15">
        <v>1987</v>
      </c>
      <c r="N1516" s="15">
        <v>48</v>
      </c>
      <c r="O1516" s="9"/>
      <c r="P1516" s="10">
        <v>42822.824421296296</v>
      </c>
      <c r="Q1516" s="14" t="s">
        <v>1815</v>
      </c>
      <c r="R1516" s="14" t="s">
        <v>3087</v>
      </c>
      <c r="S1516" s="7" t="s">
        <v>3088</v>
      </c>
      <c r="T1516" s="8"/>
      <c r="U1516" s="11" t="str">
        <f>HYPERLINK("https://pbs.twimg.com/profile_images/859699037385232385/aq_sLibI.jpg","View")</f>
        <v>View</v>
      </c>
      <c r="V1516" s="8"/>
      <c r="W1516" s="8"/>
      <c r="X1516" s="8"/>
      <c r="Y1516" s="8"/>
      <c r="Z1516" s="8"/>
    </row>
    <row r="1517" spans="1:26" ht="13.2">
      <c r="A1517" s="13">
        <v>44250.401296296295</v>
      </c>
      <c r="B1517" s="6" t="str">
        <f>HYPERLINK("https://twitter.com/moueller1961","@moueller1961")</f>
        <v>@moueller1961</v>
      </c>
      <c r="C1517" s="14" t="s">
        <v>6414</v>
      </c>
      <c r="D1517" s="14" t="s">
        <v>6415</v>
      </c>
      <c r="E1517" s="6" t="str">
        <f>HYPERLINK("https://twitter.com/moueller1961/status/1364132356018364422","1364132356018364422")</f>
        <v>1364132356018364422</v>
      </c>
      <c r="F1517" s="7" t="s">
        <v>6416</v>
      </c>
      <c r="G1517" s="7" t="s">
        <v>6417</v>
      </c>
      <c r="H1517" s="8"/>
      <c r="I1517" s="14">
        <v>2</v>
      </c>
      <c r="J1517" s="14">
        <v>2</v>
      </c>
      <c r="K1517" s="6" t="str">
        <f>HYPERLINK("https://mobile.twitter.com","Twitter Web App")</f>
        <v>Twitter Web App</v>
      </c>
      <c r="L1517" s="15">
        <v>2581</v>
      </c>
      <c r="M1517" s="15">
        <v>26</v>
      </c>
      <c r="N1517" s="15">
        <v>256</v>
      </c>
      <c r="O1517" s="9"/>
      <c r="P1517" s="10">
        <v>42106.853055555555</v>
      </c>
      <c r="Q1517" s="8"/>
      <c r="R1517" s="14" t="s">
        <v>6418</v>
      </c>
      <c r="S1517" s="8"/>
      <c r="T1517" s="8"/>
      <c r="U1517" s="11" t="str">
        <f>HYPERLINK("https://pbs.twimg.com/profile_images/1202572262156713985/_52Q3Trv.jpg","View")</f>
        <v>View</v>
      </c>
      <c r="V1517" s="8"/>
      <c r="W1517" s="8"/>
      <c r="X1517" s="8"/>
      <c r="Y1517" s="8"/>
      <c r="Z1517" s="8"/>
    </row>
    <row r="1518" spans="1:26" ht="13.2">
      <c r="A1518" s="13">
        <v>44250.400694444441</v>
      </c>
      <c r="B1518" s="6" t="str">
        <f>HYPERLINK("https://twitter.com/GoogleCloud_ANZ","@GoogleCloud_ANZ")</f>
        <v>@GoogleCloud_ANZ</v>
      </c>
      <c r="C1518" s="14" t="s">
        <v>6419</v>
      </c>
      <c r="D1518" s="14" t="s">
        <v>6420</v>
      </c>
      <c r="E1518" s="6" t="str">
        <f>HYPERLINK("https://twitter.com/GoogleCloud_ANZ/status/1364132135804805120","1364132135804805120")</f>
        <v>1364132135804805120</v>
      </c>
      <c r="F1518" s="7" t="s">
        <v>6421</v>
      </c>
      <c r="G1518" s="8"/>
      <c r="H1518" s="8"/>
      <c r="I1518" s="14">
        <v>1</v>
      </c>
      <c r="J1518" s="14">
        <v>2</v>
      </c>
      <c r="K1518" s="6" t="str">
        <f>HYPERLINK("https://www.sprinklr.com","Sprinklr")</f>
        <v>Sprinklr</v>
      </c>
      <c r="L1518" s="15">
        <v>14607</v>
      </c>
      <c r="M1518" s="15">
        <v>101</v>
      </c>
      <c r="N1518" s="15">
        <v>44</v>
      </c>
      <c r="O1518" s="15" t="s">
        <v>130</v>
      </c>
      <c r="P1518" s="10">
        <v>43302.032187500001</v>
      </c>
      <c r="Q1518" s="14" t="s">
        <v>1965</v>
      </c>
      <c r="R1518" s="14" t="s">
        <v>6422</v>
      </c>
      <c r="S1518" s="8"/>
      <c r="T1518" s="8"/>
      <c r="U1518" s="11" t="str">
        <f>HYPERLINK("https://pbs.twimg.com/profile_images/1237213538910752768/eHNqtuAI.jpg","View")</f>
        <v>View</v>
      </c>
      <c r="V1518" s="8"/>
      <c r="W1518" s="8"/>
      <c r="X1518" s="8"/>
      <c r="Y1518" s="8"/>
      <c r="Z1518" s="8"/>
    </row>
    <row r="1519" spans="1:26" ht="13.2">
      <c r="A1519" s="13">
        <v>44250.400555555556</v>
      </c>
      <c r="B1519" s="6" t="str">
        <f>HYPERLINK("https://twitter.com/ml_medicine","@ml_medicine")</f>
        <v>@ml_medicine</v>
      </c>
      <c r="C1519" s="14" t="s">
        <v>6423</v>
      </c>
      <c r="D1519" s="14" t="s">
        <v>6424</v>
      </c>
      <c r="E1519" s="6" t="str">
        <f>HYPERLINK("https://twitter.com/ml_medicine/status/1364132086454616066","1364132086454616066")</f>
        <v>1364132086454616066</v>
      </c>
      <c r="F1519" s="7" t="s">
        <v>6425</v>
      </c>
      <c r="G1519" s="8"/>
      <c r="H1519" s="8"/>
      <c r="I1519" s="14">
        <v>3</v>
      </c>
      <c r="J1519" s="14">
        <v>2</v>
      </c>
      <c r="K1519" s="6" t="str">
        <f>HYPERLINK("https://mobile.twitter.com","Twitter Web App")</f>
        <v>Twitter Web App</v>
      </c>
      <c r="L1519" s="15">
        <v>99</v>
      </c>
      <c r="M1519" s="15">
        <v>162</v>
      </c>
      <c r="N1519" s="15">
        <v>1</v>
      </c>
      <c r="O1519" s="9"/>
      <c r="P1519" s="10">
        <v>43717.80059027778</v>
      </c>
      <c r="Q1519" s="14" t="s">
        <v>6426</v>
      </c>
      <c r="R1519" s="14" t="s">
        <v>6427</v>
      </c>
      <c r="S1519" s="8"/>
      <c r="T1519" s="8"/>
      <c r="U1519" s="11" t="str">
        <f>HYPERLINK("https://pbs.twimg.com/profile_images/1171115707309985792/PRIDSBFY.jpg","View")</f>
        <v>View</v>
      </c>
      <c r="V1519" s="8"/>
      <c r="W1519" s="8"/>
      <c r="X1519" s="8"/>
      <c r="Y1519" s="8"/>
      <c r="Z1519" s="8"/>
    </row>
    <row r="1520" spans="1:26" ht="13.2">
      <c r="A1520" s="13">
        <v>44250.400335648148</v>
      </c>
      <c r="B1520" s="6" t="str">
        <f>HYPERLINK("https://twitter.com/machinelearnflx","@machinelearnflx")</f>
        <v>@machinelearnflx</v>
      </c>
      <c r="C1520" s="14" t="s">
        <v>279</v>
      </c>
      <c r="D1520" s="14" t="s">
        <v>6428</v>
      </c>
      <c r="E1520" s="6" t="str">
        <f>HYPERLINK("https://twitter.com/machinelearnflx/status/1364132008193048579","1364132008193048579")</f>
        <v>1364132008193048579</v>
      </c>
      <c r="F1520" s="7" t="s">
        <v>6429</v>
      </c>
      <c r="G1520" s="8"/>
      <c r="H1520" s="8"/>
      <c r="I1520" s="14">
        <v>6</v>
      </c>
      <c r="J1520" s="14">
        <v>10</v>
      </c>
      <c r="K1520" s="6" t="str">
        <f>HYPERLINK("https://twitter.com/pythonbot_","Postmatico")</f>
        <v>Postmatico</v>
      </c>
      <c r="L1520" s="15">
        <v>90451</v>
      </c>
      <c r="M1520" s="15">
        <v>35464</v>
      </c>
      <c r="N1520" s="15">
        <v>2227</v>
      </c>
      <c r="O1520" s="9"/>
      <c r="P1520" s="10">
        <v>42386.538865740746</v>
      </c>
      <c r="Q1520" s="8"/>
      <c r="R1520" s="14" t="s">
        <v>282</v>
      </c>
      <c r="S1520" s="7" t="s">
        <v>283</v>
      </c>
      <c r="T1520" s="8"/>
      <c r="U1520" s="11" t="str">
        <f>HYPERLINK("https://pbs.twimg.com/profile_images/688735459892195329/v8sHaWSG.jpg","View")</f>
        <v>View</v>
      </c>
      <c r="V1520" s="8"/>
      <c r="W1520" s="8"/>
      <c r="X1520" s="8"/>
      <c r="Y1520" s="8"/>
      <c r="Z1520" s="8"/>
    </row>
    <row r="1521" spans="1:26" ht="13.2">
      <c r="A1521" s="13">
        <v>44250.399907407409</v>
      </c>
      <c r="B1521" s="6" t="str">
        <f>HYPERLINK("https://twitter.com/Arthonsyst","@Arthonsyst")</f>
        <v>@Arthonsyst</v>
      </c>
      <c r="C1521" s="14" t="s">
        <v>6430</v>
      </c>
      <c r="D1521" s="14" t="s">
        <v>6431</v>
      </c>
      <c r="E1521" s="6" t="str">
        <f>HYPERLINK("https://twitter.com/Arthonsyst/status/1364131851976146945","1364131851976146945")</f>
        <v>1364131851976146945</v>
      </c>
      <c r="F1521" s="7" t="s">
        <v>6432</v>
      </c>
      <c r="G1521" s="7" t="s">
        <v>6433</v>
      </c>
      <c r="H1521" s="8"/>
      <c r="I1521" s="14">
        <v>0</v>
      </c>
      <c r="J1521" s="14">
        <v>1</v>
      </c>
      <c r="K1521" s="6" t="str">
        <f>HYPERLINK("https://mobile.twitter.com","Twitter Web App")</f>
        <v>Twitter Web App</v>
      </c>
      <c r="L1521" s="15">
        <v>228</v>
      </c>
      <c r="M1521" s="15">
        <v>168</v>
      </c>
      <c r="N1521" s="15">
        <v>1</v>
      </c>
      <c r="O1521" s="9"/>
      <c r="P1521" s="10">
        <v>42731.316365740742</v>
      </c>
      <c r="Q1521" s="14" t="s">
        <v>364</v>
      </c>
      <c r="R1521" s="14" t="s">
        <v>6434</v>
      </c>
      <c r="S1521" s="7" t="s">
        <v>6435</v>
      </c>
      <c r="T1521" s="8"/>
      <c r="U1521" s="11" t="str">
        <f>HYPERLINK("https://pbs.twimg.com/profile_images/1066998847791087621/ec3adwFe.jpg","View")</f>
        <v>View</v>
      </c>
      <c r="V1521" s="8"/>
      <c r="W1521" s="8"/>
      <c r="X1521" s="8"/>
      <c r="Y1521" s="8"/>
      <c r="Z1521" s="8"/>
    </row>
    <row r="1522" spans="1:26" ht="13.2">
      <c r="A1522" s="13">
        <v>44250.39980324074</v>
      </c>
      <c r="B1522" s="6" t="str">
        <f>HYPERLINK("https://twitter.com/nicktrog","@nicktrog")</f>
        <v>@nicktrog</v>
      </c>
      <c r="C1522" s="14" t="s">
        <v>6436</v>
      </c>
      <c r="D1522" s="14" t="s">
        <v>6437</v>
      </c>
      <c r="E1522" s="6" t="str">
        <f>HYPERLINK("https://twitter.com/nicktrog/status/1364131812415582210","1364131812415582210")</f>
        <v>1364131812415582210</v>
      </c>
      <c r="F1522" s="7" t="s">
        <v>6438</v>
      </c>
      <c r="G1522" s="7" t="s">
        <v>6439</v>
      </c>
      <c r="H1522" s="8"/>
      <c r="I1522" s="14">
        <v>6</v>
      </c>
      <c r="J1522" s="14">
        <v>10</v>
      </c>
      <c r="K1522" s="6" t="str">
        <f>HYPERLINK("https://about.twitter.com/products/tweetdeck","TweetDeck")</f>
        <v>TweetDeck</v>
      </c>
      <c r="L1522" s="15">
        <v>1908</v>
      </c>
      <c r="M1522" s="15">
        <v>2541</v>
      </c>
      <c r="N1522" s="15">
        <v>170</v>
      </c>
      <c r="O1522" s="9"/>
      <c r="P1522" s="10">
        <v>40522.011006944442</v>
      </c>
      <c r="Q1522" s="14" t="s">
        <v>1079</v>
      </c>
      <c r="R1522" s="14" t="s">
        <v>6440</v>
      </c>
      <c r="S1522" s="8"/>
      <c r="T1522" s="8"/>
      <c r="U1522" s="11" t="str">
        <f>HYPERLINK("https://pbs.twimg.com/profile_images/1276970499130744832/3ZXyjtxh.jpg","View")</f>
        <v>View</v>
      </c>
      <c r="V1522" s="8"/>
      <c r="W1522" s="8"/>
      <c r="X1522" s="8"/>
      <c r="Y1522" s="8"/>
      <c r="Z1522" s="8"/>
    </row>
    <row r="1523" spans="1:26" ht="13.2">
      <c r="A1523" s="13">
        <v>44250.399768518517</v>
      </c>
      <c r="B1523" s="6" t="str">
        <f>HYPERLINK("https://twitter.com/mastercesma","@mastercesma")</f>
        <v>@mastercesma</v>
      </c>
      <c r="C1523" s="14" t="s">
        <v>6441</v>
      </c>
      <c r="D1523" s="14" t="s">
        <v>6442</v>
      </c>
      <c r="E1523" s="6" t="str">
        <f>HYPERLINK("https://twitter.com/mastercesma/status/1364131800101097475","1364131800101097475")</f>
        <v>1364131800101097475</v>
      </c>
      <c r="F1523" s="7" t="s">
        <v>6443</v>
      </c>
      <c r="G1523" s="7" t="s">
        <v>6444</v>
      </c>
      <c r="H1523" s="8"/>
      <c r="I1523" s="14">
        <v>1</v>
      </c>
      <c r="J1523" s="14">
        <v>0</v>
      </c>
      <c r="K1523" s="6" t="str">
        <f>HYPERLINK("http://twitter.com/download/android","Twitter for Android")</f>
        <v>Twitter for Android</v>
      </c>
      <c r="L1523" s="15">
        <v>226</v>
      </c>
      <c r="M1523" s="15">
        <v>183</v>
      </c>
      <c r="N1523" s="15">
        <v>30</v>
      </c>
      <c r="O1523" s="9"/>
      <c r="P1523" s="10">
        <v>41584.533263888887</v>
      </c>
      <c r="Q1523" s="14" t="s">
        <v>6445</v>
      </c>
      <c r="R1523" s="14" t="s">
        <v>6446</v>
      </c>
      <c r="S1523" s="7" t="s">
        <v>6447</v>
      </c>
      <c r="T1523" s="8"/>
      <c r="U1523" s="11" t="str">
        <f>HYPERLINK("https://pbs.twimg.com/profile_images/1311704950515412993/wYS3XoJ1.jpg","View")</f>
        <v>View</v>
      </c>
      <c r="V1523" s="8"/>
      <c r="W1523" s="8"/>
      <c r="X1523" s="8"/>
      <c r="Y1523" s="8"/>
      <c r="Z1523" s="8"/>
    </row>
    <row r="1524" spans="1:26" ht="13.2">
      <c r="A1524" s="13">
        <v>44250.399328703701</v>
      </c>
      <c r="B1524" s="6" t="str">
        <f>HYPERLINK("https://twitter.com/nigewillson","@nigewillson")</f>
        <v>@nigewillson</v>
      </c>
      <c r="C1524" s="14" t="s">
        <v>95</v>
      </c>
      <c r="D1524" s="14" t="s">
        <v>593</v>
      </c>
      <c r="E1524" s="6" t="str">
        <f>HYPERLINK("https://twitter.com/nigewillson/status/1364131640272973824","1364131640272973824")</f>
        <v>1364131640272973824</v>
      </c>
      <c r="F1524" s="7" t="s">
        <v>594</v>
      </c>
      <c r="G1524" s="7" t="s">
        <v>6448</v>
      </c>
      <c r="H1524" s="8"/>
      <c r="I1524" s="14">
        <v>3</v>
      </c>
      <c r="J1524" s="14">
        <v>2</v>
      </c>
      <c r="K1524" s="6" t="str">
        <f>HYPERLINK("https://buffer.com","Buffer")</f>
        <v>Buffer</v>
      </c>
      <c r="L1524" s="15">
        <v>57515</v>
      </c>
      <c r="M1524" s="15">
        <v>49523</v>
      </c>
      <c r="N1524" s="15">
        <v>1688</v>
      </c>
      <c r="O1524" s="9"/>
      <c r="P1524" s="10">
        <v>40530.666805555556</v>
      </c>
      <c r="Q1524" s="14" t="s">
        <v>99</v>
      </c>
      <c r="R1524" s="14" t="s">
        <v>100</v>
      </c>
      <c r="S1524" s="7" t="s">
        <v>101</v>
      </c>
      <c r="T1524" s="8"/>
      <c r="U1524" s="11" t="str">
        <f>HYPERLINK("https://pbs.twimg.com/profile_images/1085251590997622784/x9mWVQ1d.jpg","View")</f>
        <v>View</v>
      </c>
      <c r="V1524" s="8"/>
      <c r="W1524" s="8"/>
      <c r="X1524" s="8"/>
      <c r="Y1524" s="8"/>
      <c r="Z1524" s="8"/>
    </row>
    <row r="1525" spans="1:26" ht="13.2">
      <c r="A1525" s="13">
        <v>44250.399282407408</v>
      </c>
      <c r="B1525" s="6" t="str">
        <f t="shared" ref="B1525:B1526" si="270">HYPERLINK("https://twitter.com/Eli_Krumova","@Eli_Krumova")</f>
        <v>@Eli_Krumova</v>
      </c>
      <c r="C1525" s="14" t="s">
        <v>947</v>
      </c>
      <c r="D1525" s="14" t="s">
        <v>4094</v>
      </c>
      <c r="E1525" s="6" t="str">
        <f>HYPERLINK("https://twitter.com/Eli_Krumova/status/1364131627471896576","1364131627471896576")</f>
        <v>1364131627471896576</v>
      </c>
      <c r="F1525" s="8"/>
      <c r="G1525" s="8"/>
      <c r="H1525" s="8"/>
      <c r="I1525" s="14">
        <v>9</v>
      </c>
      <c r="J1525" s="14">
        <v>6</v>
      </c>
      <c r="K1525" s="6" t="str">
        <f t="shared" ref="K1525:K1526" si="271">HYPERLINK("https://mobile.twitter.com","Twitter Web App")</f>
        <v>Twitter Web App</v>
      </c>
      <c r="L1525" s="15">
        <v>4471</v>
      </c>
      <c r="M1525" s="15">
        <v>5001</v>
      </c>
      <c r="N1525" s="15">
        <v>79</v>
      </c>
      <c r="O1525" s="9"/>
      <c r="P1525" s="10">
        <v>41346.597002314811</v>
      </c>
      <c r="Q1525" s="14" t="s">
        <v>951</v>
      </c>
      <c r="R1525" s="14" t="s">
        <v>952</v>
      </c>
      <c r="S1525" s="8"/>
      <c r="T1525" s="8"/>
      <c r="U1525" s="11" t="str">
        <f t="shared" ref="U1525:U1526" si="272">HYPERLINK("https://pbs.twimg.com/profile_images/1361638888427683840/HqNlplM_.jpg","View")</f>
        <v>View</v>
      </c>
      <c r="V1525" s="8"/>
      <c r="W1525" s="8"/>
      <c r="X1525" s="8"/>
      <c r="Y1525" s="8"/>
      <c r="Z1525" s="8"/>
    </row>
    <row r="1526" spans="1:26" ht="13.2">
      <c r="A1526" s="13">
        <v>44250.39916666667</v>
      </c>
      <c r="B1526" s="6" t="str">
        <f t="shared" si="270"/>
        <v>@Eli_Krumova</v>
      </c>
      <c r="C1526" s="14" t="s">
        <v>947</v>
      </c>
      <c r="D1526" s="14" t="s">
        <v>6449</v>
      </c>
      <c r="E1526" s="6" t="str">
        <f>HYPERLINK("https://twitter.com/Eli_Krumova/status/1364131584807419906","1364131584807419906")</f>
        <v>1364131584807419906</v>
      </c>
      <c r="F1526" s="8"/>
      <c r="G1526" s="8"/>
      <c r="H1526" s="8"/>
      <c r="I1526" s="14">
        <v>0</v>
      </c>
      <c r="J1526" s="14">
        <v>3</v>
      </c>
      <c r="K1526" s="6" t="str">
        <f t="shared" si="271"/>
        <v>Twitter Web App</v>
      </c>
      <c r="L1526" s="15">
        <v>4471</v>
      </c>
      <c r="M1526" s="15">
        <v>5001</v>
      </c>
      <c r="N1526" s="15">
        <v>79</v>
      </c>
      <c r="O1526" s="9"/>
      <c r="P1526" s="10">
        <v>41346.597002314811</v>
      </c>
      <c r="Q1526" s="14" t="s">
        <v>951</v>
      </c>
      <c r="R1526" s="14" t="s">
        <v>952</v>
      </c>
      <c r="S1526" s="8"/>
      <c r="T1526" s="8"/>
      <c r="U1526" s="11" t="str">
        <f t="shared" si="272"/>
        <v>View</v>
      </c>
      <c r="V1526" s="8"/>
      <c r="W1526" s="8"/>
      <c r="X1526" s="8"/>
      <c r="Y1526" s="8"/>
      <c r="Z1526" s="8"/>
    </row>
    <row r="1527" spans="1:26" ht="13.2">
      <c r="A1527" s="13">
        <v>44250.398877314816</v>
      </c>
      <c r="B1527" s="6" t="str">
        <f>HYPERLINK("https://twitter.com/AiThority","@AiThority")</f>
        <v>@AiThority</v>
      </c>
      <c r="C1527" s="7" t="s">
        <v>6450</v>
      </c>
      <c r="D1527" s="14" t="s">
        <v>6451</v>
      </c>
      <c r="E1527" s="6" t="str">
        <f>HYPERLINK("https://twitter.com/AiThority/status/1364131478658035713","1364131478658035713")</f>
        <v>1364131478658035713</v>
      </c>
      <c r="F1527" s="7" t="s">
        <v>6452</v>
      </c>
      <c r="G1527" s="8"/>
      <c r="H1527" s="8"/>
      <c r="I1527" s="14">
        <v>0</v>
      </c>
      <c r="J1527" s="14">
        <v>1</v>
      </c>
      <c r="K1527" s="6" t="str">
        <f>HYPERLINK("https://www.hootsuite.com","Hootsuite Inc.")</f>
        <v>Hootsuite Inc.</v>
      </c>
      <c r="L1527" s="15">
        <v>5365</v>
      </c>
      <c r="M1527" s="15">
        <v>453</v>
      </c>
      <c r="N1527" s="15">
        <v>85</v>
      </c>
      <c r="O1527" s="9"/>
      <c r="P1527" s="10">
        <v>42997.414629629631</v>
      </c>
      <c r="Q1527" s="14" t="s">
        <v>6453</v>
      </c>
      <c r="R1527" s="14" t="s">
        <v>6454</v>
      </c>
      <c r="S1527" s="7" t="s">
        <v>6455</v>
      </c>
      <c r="T1527" s="8"/>
      <c r="U1527" s="11" t="str">
        <f>HYPERLINK("https://pbs.twimg.com/profile_images/1012284893383090176/lN_pX5Gy.jpg","View")</f>
        <v>View</v>
      </c>
      <c r="V1527" s="8"/>
      <c r="W1527" s="8"/>
      <c r="X1527" s="8"/>
      <c r="Y1527" s="8"/>
      <c r="Z1527" s="8"/>
    </row>
    <row r="1528" spans="1:26" ht="13.2">
      <c r="A1528" s="13">
        <v>44250.39875</v>
      </c>
      <c r="B1528" s="6" t="str">
        <f>HYPERLINK("https://twitter.com/InnovArch","@InnovArch")</f>
        <v>@InnovArch</v>
      </c>
      <c r="C1528" s="14" t="s">
        <v>6456</v>
      </c>
      <c r="D1528" s="14" t="s">
        <v>6457</v>
      </c>
      <c r="E1528" s="6" t="str">
        <f>HYPERLINK("https://twitter.com/InnovArch/status/1364131434374565888","1364131434374565888")</f>
        <v>1364131434374565888</v>
      </c>
      <c r="F1528" s="7" t="s">
        <v>6458</v>
      </c>
      <c r="G1528" s="8"/>
      <c r="H1528" s="8"/>
      <c r="I1528" s="14">
        <v>1</v>
      </c>
      <c r="J1528" s="14">
        <v>1</v>
      </c>
      <c r="K1528" s="6" t="str">
        <f>HYPERLINK("http://twitter.com/download/iphone","Twitter for iPhone")</f>
        <v>Twitter for iPhone</v>
      </c>
      <c r="L1528" s="15">
        <v>1367</v>
      </c>
      <c r="M1528" s="15">
        <v>4271</v>
      </c>
      <c r="N1528" s="15">
        <v>198</v>
      </c>
      <c r="O1528" s="9"/>
      <c r="P1528" s="10">
        <v>40135.72347222222</v>
      </c>
      <c r="Q1528" s="14" t="s">
        <v>221</v>
      </c>
      <c r="R1528" s="7" t="s">
        <v>6459</v>
      </c>
      <c r="S1528" s="7" t="s">
        <v>6460</v>
      </c>
      <c r="T1528" s="8"/>
      <c r="U1528" s="11" t="str">
        <f>HYPERLINK("https://pbs.twimg.com/profile_images/820810920674721793/lINp6_1k.jpg","View")</f>
        <v>View</v>
      </c>
      <c r="V1528" s="8"/>
      <c r="W1528" s="8"/>
      <c r="X1528" s="8"/>
      <c r="Y1528" s="8"/>
      <c r="Z1528" s="8"/>
    </row>
    <row r="1529" spans="1:26" ht="13.2">
      <c r="A1529" s="13">
        <v>44250.398622685185</v>
      </c>
      <c r="B1529" s="6" t="str">
        <f>HYPERLINK("https://twitter.com/BBD_UNIVERSITY","@BBD_UNIVERSITY")</f>
        <v>@BBD_UNIVERSITY</v>
      </c>
      <c r="C1529" s="14" t="s">
        <v>6461</v>
      </c>
      <c r="D1529" s="14" t="s">
        <v>6462</v>
      </c>
      <c r="E1529" s="6" t="str">
        <f>HYPERLINK("https://twitter.com/BBD_UNIVERSITY/status/1364131388220272640","1364131388220272640")</f>
        <v>1364131388220272640</v>
      </c>
      <c r="F1529" s="8"/>
      <c r="G1529" s="7" t="s">
        <v>6463</v>
      </c>
      <c r="H1529" s="8"/>
      <c r="I1529" s="14">
        <v>1</v>
      </c>
      <c r="J1529" s="14">
        <v>7</v>
      </c>
      <c r="K1529" s="6" t="str">
        <f t="shared" ref="K1529:K1531" si="273">HYPERLINK("https://mobile.twitter.com","Twitter Web App")</f>
        <v>Twitter Web App</v>
      </c>
      <c r="L1529" s="15">
        <v>756</v>
      </c>
      <c r="M1529" s="15">
        <v>30</v>
      </c>
      <c r="N1529" s="15">
        <v>0</v>
      </c>
      <c r="O1529" s="9"/>
      <c r="P1529" s="10">
        <v>43095.269305555557</v>
      </c>
      <c r="Q1529" s="14" t="s">
        <v>6464</v>
      </c>
      <c r="R1529" s="14" t="s">
        <v>6465</v>
      </c>
      <c r="S1529" s="7" t="s">
        <v>6466</v>
      </c>
      <c r="T1529" s="8"/>
      <c r="U1529" s="11" t="str">
        <f>HYPERLINK("https://pbs.twimg.com/profile_images/1044178816417976320/RZSK883B.jpg","View")</f>
        <v>View</v>
      </c>
      <c r="V1529" s="8"/>
      <c r="W1529" s="8"/>
      <c r="X1529" s="8"/>
      <c r="Y1529" s="8"/>
      <c r="Z1529" s="8"/>
    </row>
    <row r="1530" spans="1:26" ht="13.2">
      <c r="A1530" s="13">
        <v>44250.398125</v>
      </c>
      <c r="B1530" s="6" t="str">
        <f>HYPERLINK("https://twitter.com/AspiraHQ","@AspiraHQ")</f>
        <v>@AspiraHQ</v>
      </c>
      <c r="C1530" s="14" t="s">
        <v>6467</v>
      </c>
      <c r="D1530" s="14" t="s">
        <v>6468</v>
      </c>
      <c r="E1530" s="6" t="str">
        <f>HYPERLINK("https://twitter.com/AspiraHQ/status/1364131205965180928","1364131205965180928")</f>
        <v>1364131205965180928</v>
      </c>
      <c r="F1530" s="7" t="s">
        <v>6469</v>
      </c>
      <c r="G1530" s="7" t="s">
        <v>6470</v>
      </c>
      <c r="H1530" s="8"/>
      <c r="I1530" s="14">
        <v>3</v>
      </c>
      <c r="J1530" s="14">
        <v>2</v>
      </c>
      <c r="K1530" s="6" t="str">
        <f t="shared" si="273"/>
        <v>Twitter Web App</v>
      </c>
      <c r="L1530" s="15">
        <v>1151</v>
      </c>
      <c r="M1530" s="15">
        <v>1694</v>
      </c>
      <c r="N1530" s="15">
        <v>15</v>
      </c>
      <c r="O1530" s="9"/>
      <c r="P1530" s="10">
        <v>40224.669791666667</v>
      </c>
      <c r="Q1530" s="14" t="s">
        <v>6471</v>
      </c>
      <c r="R1530" s="14" t="s">
        <v>6472</v>
      </c>
      <c r="S1530" s="7" t="s">
        <v>6473</v>
      </c>
      <c r="T1530" s="8"/>
      <c r="U1530" s="11" t="str">
        <f>HYPERLINK("https://pbs.twimg.com/profile_images/686900834123165698/N3icUPVF.jpg","View")</f>
        <v>View</v>
      </c>
      <c r="V1530" s="8"/>
      <c r="W1530" s="8"/>
      <c r="X1530" s="8"/>
      <c r="Y1530" s="8"/>
      <c r="Z1530" s="8"/>
    </row>
    <row r="1531" spans="1:26" ht="13.2">
      <c r="A1531" s="13">
        <v>44250.397974537038</v>
      </c>
      <c r="B1531" s="6" t="str">
        <f>HYPERLINK("https://twitter.com/CriteoAILab","@CriteoAILab")</f>
        <v>@CriteoAILab</v>
      </c>
      <c r="C1531" s="14" t="s">
        <v>6474</v>
      </c>
      <c r="D1531" s="14" t="s">
        <v>6475</v>
      </c>
      <c r="E1531" s="6" t="str">
        <f>HYPERLINK("https://twitter.com/CriteoAILab/status/1364131150881513473","1364131150881513473")</f>
        <v>1364131150881513473</v>
      </c>
      <c r="F1531" s="14" t="s">
        <v>6476</v>
      </c>
      <c r="G1531" s="7" t="s">
        <v>6477</v>
      </c>
      <c r="H1531" s="8"/>
      <c r="I1531" s="14">
        <v>6</v>
      </c>
      <c r="J1531" s="14">
        <v>3</v>
      </c>
      <c r="K1531" s="6" t="str">
        <f t="shared" si="273"/>
        <v>Twitter Web App</v>
      </c>
      <c r="L1531" s="15">
        <v>2155</v>
      </c>
      <c r="M1531" s="15">
        <v>200</v>
      </c>
      <c r="N1531" s="15">
        <v>63</v>
      </c>
      <c r="O1531" s="9"/>
      <c r="P1531" s="10">
        <v>42592.512407407412</v>
      </c>
      <c r="Q1531" s="14" t="s">
        <v>106</v>
      </c>
      <c r="R1531" s="14" t="s">
        <v>6478</v>
      </c>
      <c r="S1531" s="7" t="s">
        <v>6479</v>
      </c>
      <c r="T1531" s="8"/>
      <c r="U1531" s="11" t="str">
        <f>HYPERLINK("https://pbs.twimg.com/profile_images/1035517670240804864/7dmZ2yok.jpg","View")</f>
        <v>View</v>
      </c>
      <c r="V1531" s="8"/>
      <c r="W1531" s="8"/>
      <c r="X1531" s="8"/>
      <c r="Y1531" s="8"/>
      <c r="Z1531" s="8"/>
    </row>
    <row r="1532" spans="1:26" ht="13.2">
      <c r="A1532" s="13">
        <v>44250.397766203707</v>
      </c>
      <c r="B1532" s="6" t="str">
        <f t="shared" ref="B1532:B1537" si="274">HYPERLINK("https://twitter.com/DataScientistsF","@DataScientistsF")</f>
        <v>@DataScientistsF</v>
      </c>
      <c r="C1532" s="14" t="s">
        <v>6480</v>
      </c>
      <c r="D1532" s="14" t="s">
        <v>6481</v>
      </c>
      <c r="E1532" s="6" t="str">
        <f>HYPERLINK("https://twitter.com/DataScientistsF/status/1364131075547611137","1364131075547611137")</f>
        <v>1364131075547611137</v>
      </c>
      <c r="F1532" s="7" t="s">
        <v>6482</v>
      </c>
      <c r="G1532" s="8"/>
      <c r="H1532" s="8"/>
      <c r="I1532" s="14">
        <v>4</v>
      </c>
      <c r="J1532" s="14">
        <v>2</v>
      </c>
      <c r="K1532" s="6" t="str">
        <f t="shared" ref="K1532:K1537" si="275">HYPERLINK("https://ifttt.com","IFTTT")</f>
        <v>IFTTT</v>
      </c>
      <c r="L1532" s="15">
        <v>2470</v>
      </c>
      <c r="M1532" s="15">
        <v>174</v>
      </c>
      <c r="N1532" s="15">
        <v>609</v>
      </c>
      <c r="O1532" s="9"/>
      <c r="P1532" s="10">
        <v>41348.702905092592</v>
      </c>
      <c r="Q1532" s="14" t="s">
        <v>106</v>
      </c>
      <c r="R1532" s="14" t="s">
        <v>6334</v>
      </c>
      <c r="S1532" s="8"/>
      <c r="T1532" s="8"/>
      <c r="U1532" s="11" t="str">
        <f t="shared" ref="U1532:U1537" si="276">HYPERLINK("https://pbs.twimg.com/profile_images/584756954993688576/bce-bDIR.jpg","View")</f>
        <v>View</v>
      </c>
      <c r="V1532" s="8"/>
      <c r="W1532" s="8"/>
      <c r="X1532" s="8"/>
      <c r="Y1532" s="8"/>
      <c r="Z1532" s="8"/>
    </row>
    <row r="1533" spans="1:26" ht="13.2">
      <c r="A1533" s="13">
        <v>44250.397731481484</v>
      </c>
      <c r="B1533" s="6" t="str">
        <f t="shared" si="274"/>
        <v>@DataScientistsF</v>
      </c>
      <c r="C1533" s="14" t="s">
        <v>6480</v>
      </c>
      <c r="D1533" s="14" t="s">
        <v>6483</v>
      </c>
      <c r="E1533" s="6" t="str">
        <f>HYPERLINK("https://twitter.com/DataScientistsF/status/1364131062901833728","1364131062901833728")</f>
        <v>1364131062901833728</v>
      </c>
      <c r="F1533" s="7" t="s">
        <v>6484</v>
      </c>
      <c r="G1533" s="8"/>
      <c r="H1533" s="8"/>
      <c r="I1533" s="14">
        <v>0</v>
      </c>
      <c r="J1533" s="14">
        <v>0</v>
      </c>
      <c r="K1533" s="6" t="str">
        <f t="shared" si="275"/>
        <v>IFTTT</v>
      </c>
      <c r="L1533" s="15">
        <v>2470</v>
      </c>
      <c r="M1533" s="15">
        <v>174</v>
      </c>
      <c r="N1533" s="15">
        <v>609</v>
      </c>
      <c r="O1533" s="9"/>
      <c r="P1533" s="10">
        <v>41348.702905092592</v>
      </c>
      <c r="Q1533" s="14" t="s">
        <v>106</v>
      </c>
      <c r="R1533" s="14" t="s">
        <v>6334</v>
      </c>
      <c r="S1533" s="8"/>
      <c r="T1533" s="8"/>
      <c r="U1533" s="11" t="str">
        <f t="shared" si="276"/>
        <v>View</v>
      </c>
      <c r="V1533" s="8"/>
      <c r="W1533" s="8"/>
      <c r="X1533" s="8"/>
      <c r="Y1533" s="8"/>
      <c r="Z1533" s="8"/>
    </row>
    <row r="1534" spans="1:26" ht="13.2">
      <c r="A1534" s="13">
        <v>44250.397719907407</v>
      </c>
      <c r="B1534" s="6" t="str">
        <f t="shared" si="274"/>
        <v>@DataScientistsF</v>
      </c>
      <c r="C1534" s="14" t="s">
        <v>6480</v>
      </c>
      <c r="D1534" s="14" t="s">
        <v>6485</v>
      </c>
      <c r="E1534" s="6" t="str">
        <f>HYPERLINK("https://twitter.com/DataScientistsF/status/1364131060804689921","1364131060804689921")</f>
        <v>1364131060804689921</v>
      </c>
      <c r="F1534" s="7" t="s">
        <v>6486</v>
      </c>
      <c r="G1534" s="8"/>
      <c r="H1534" s="8"/>
      <c r="I1534" s="14">
        <v>1</v>
      </c>
      <c r="J1534" s="14">
        <v>1</v>
      </c>
      <c r="K1534" s="6" t="str">
        <f t="shared" si="275"/>
        <v>IFTTT</v>
      </c>
      <c r="L1534" s="15">
        <v>2470</v>
      </c>
      <c r="M1534" s="15">
        <v>174</v>
      </c>
      <c r="N1534" s="15">
        <v>609</v>
      </c>
      <c r="O1534" s="9"/>
      <c r="P1534" s="10">
        <v>41348.702905092592</v>
      </c>
      <c r="Q1534" s="14" t="s">
        <v>106</v>
      </c>
      <c r="R1534" s="14" t="s">
        <v>6334</v>
      </c>
      <c r="S1534" s="8"/>
      <c r="T1534" s="8"/>
      <c r="U1534" s="11" t="str">
        <f t="shared" si="276"/>
        <v>View</v>
      </c>
      <c r="V1534" s="8"/>
      <c r="W1534" s="8"/>
      <c r="X1534" s="8"/>
      <c r="Y1534" s="8"/>
      <c r="Z1534" s="8"/>
    </row>
    <row r="1535" spans="1:26" ht="13.2">
      <c r="A1535" s="13">
        <v>44250.39770833333</v>
      </c>
      <c r="B1535" s="6" t="str">
        <f t="shared" si="274"/>
        <v>@DataScientistsF</v>
      </c>
      <c r="C1535" s="14" t="s">
        <v>6480</v>
      </c>
      <c r="D1535" s="14" t="s">
        <v>6487</v>
      </c>
      <c r="E1535" s="6" t="str">
        <f>HYPERLINK("https://twitter.com/DataScientistsF/status/1364131054303535105","1364131054303535105")</f>
        <v>1364131054303535105</v>
      </c>
      <c r="F1535" s="7" t="s">
        <v>6488</v>
      </c>
      <c r="G1535" s="8"/>
      <c r="H1535" s="8"/>
      <c r="I1535" s="14">
        <v>0</v>
      </c>
      <c r="J1535" s="14">
        <v>0</v>
      </c>
      <c r="K1535" s="6" t="str">
        <f t="shared" si="275"/>
        <v>IFTTT</v>
      </c>
      <c r="L1535" s="15">
        <v>2470</v>
      </c>
      <c r="M1535" s="15">
        <v>174</v>
      </c>
      <c r="N1535" s="15">
        <v>609</v>
      </c>
      <c r="O1535" s="9"/>
      <c r="P1535" s="10">
        <v>41348.702905092592</v>
      </c>
      <c r="Q1535" s="14" t="s">
        <v>106</v>
      </c>
      <c r="R1535" s="14" t="s">
        <v>6334</v>
      </c>
      <c r="S1535" s="8"/>
      <c r="T1535" s="8"/>
      <c r="U1535" s="11" t="str">
        <f t="shared" si="276"/>
        <v>View</v>
      </c>
      <c r="V1535" s="8"/>
      <c r="W1535" s="8"/>
      <c r="X1535" s="8"/>
      <c r="Y1535" s="8"/>
      <c r="Z1535" s="8"/>
    </row>
    <row r="1536" spans="1:26" ht="13.2">
      <c r="A1536" s="13">
        <v>44250.397685185184</v>
      </c>
      <c r="B1536" s="6" t="str">
        <f t="shared" si="274"/>
        <v>@DataScientistsF</v>
      </c>
      <c r="C1536" s="14" t="s">
        <v>6480</v>
      </c>
      <c r="D1536" s="14" t="s">
        <v>6489</v>
      </c>
      <c r="E1536" s="6" t="str">
        <f>HYPERLINK("https://twitter.com/DataScientistsF/status/1364131048305659905","1364131048305659905")</f>
        <v>1364131048305659905</v>
      </c>
      <c r="F1536" s="7" t="s">
        <v>6490</v>
      </c>
      <c r="G1536" s="8"/>
      <c r="H1536" s="8"/>
      <c r="I1536" s="14">
        <v>0</v>
      </c>
      <c r="J1536" s="14">
        <v>0</v>
      </c>
      <c r="K1536" s="6" t="str">
        <f t="shared" si="275"/>
        <v>IFTTT</v>
      </c>
      <c r="L1536" s="15">
        <v>2470</v>
      </c>
      <c r="M1536" s="15">
        <v>174</v>
      </c>
      <c r="N1536" s="15">
        <v>609</v>
      </c>
      <c r="O1536" s="9"/>
      <c r="P1536" s="10">
        <v>41348.702905092592</v>
      </c>
      <c r="Q1536" s="14" t="s">
        <v>106</v>
      </c>
      <c r="R1536" s="14" t="s">
        <v>6334</v>
      </c>
      <c r="S1536" s="8"/>
      <c r="T1536" s="8"/>
      <c r="U1536" s="11" t="str">
        <f t="shared" si="276"/>
        <v>View</v>
      </c>
      <c r="V1536" s="8"/>
      <c r="W1536" s="8"/>
      <c r="X1536" s="8"/>
      <c r="Y1536" s="8"/>
      <c r="Z1536" s="8"/>
    </row>
    <row r="1537" spans="1:26" ht="13.2">
      <c r="A1537" s="13">
        <v>44250.397673611107</v>
      </c>
      <c r="B1537" s="6" t="str">
        <f t="shared" si="274"/>
        <v>@DataScientistsF</v>
      </c>
      <c r="C1537" s="14" t="s">
        <v>6480</v>
      </c>
      <c r="D1537" s="14" t="s">
        <v>6491</v>
      </c>
      <c r="E1537" s="6" t="str">
        <f>HYPERLINK("https://twitter.com/DataScientistsF/status/1364131042504933379","1364131042504933379")</f>
        <v>1364131042504933379</v>
      </c>
      <c r="F1537" s="7" t="s">
        <v>6492</v>
      </c>
      <c r="G1537" s="8"/>
      <c r="H1537" s="8"/>
      <c r="I1537" s="14">
        <v>2</v>
      </c>
      <c r="J1537" s="14">
        <v>1</v>
      </c>
      <c r="K1537" s="6" t="str">
        <f t="shared" si="275"/>
        <v>IFTTT</v>
      </c>
      <c r="L1537" s="15">
        <v>2470</v>
      </c>
      <c r="M1537" s="15">
        <v>174</v>
      </c>
      <c r="N1537" s="15">
        <v>609</v>
      </c>
      <c r="O1537" s="9"/>
      <c r="P1537" s="10">
        <v>41348.702905092592</v>
      </c>
      <c r="Q1537" s="14" t="s">
        <v>106</v>
      </c>
      <c r="R1537" s="14" t="s">
        <v>6334</v>
      </c>
      <c r="S1537" s="8"/>
      <c r="T1537" s="8"/>
      <c r="U1537" s="11" t="str">
        <f t="shared" si="276"/>
        <v>View</v>
      </c>
      <c r="V1537" s="8"/>
      <c r="W1537" s="8"/>
      <c r="X1537" s="8"/>
      <c r="Y1537" s="8"/>
      <c r="Z1537" s="8"/>
    </row>
    <row r="1538" spans="1:26" ht="13.2">
      <c r="A1538" s="13">
        <v>44250.397592592592</v>
      </c>
      <c r="B1538" s="6" t="str">
        <f>HYPERLINK("https://twitter.com/qualitastech","@qualitastech")</f>
        <v>@qualitastech</v>
      </c>
      <c r="C1538" s="14" t="s">
        <v>6493</v>
      </c>
      <c r="D1538" s="14" t="s">
        <v>6494</v>
      </c>
      <c r="E1538" s="6" t="str">
        <f>HYPERLINK("https://twitter.com/qualitastech/status/1364131014923067395","1364131014923067395")</f>
        <v>1364131014923067395</v>
      </c>
      <c r="F1538" s="7" t="s">
        <v>6495</v>
      </c>
      <c r="G1538" s="7" t="s">
        <v>6496</v>
      </c>
      <c r="H1538" s="8"/>
      <c r="I1538" s="14">
        <v>1</v>
      </c>
      <c r="J1538" s="14">
        <v>0</v>
      </c>
      <c r="K1538" s="6" t="str">
        <f>HYPERLINK("https://mobile.twitter.com","Twitter Web App")</f>
        <v>Twitter Web App</v>
      </c>
      <c r="L1538" s="15">
        <v>156</v>
      </c>
      <c r="M1538" s="15">
        <v>64</v>
      </c>
      <c r="N1538" s="15">
        <v>1</v>
      </c>
      <c r="O1538" s="9"/>
      <c r="P1538" s="10">
        <v>40484.080891203703</v>
      </c>
      <c r="Q1538" s="14" t="s">
        <v>3826</v>
      </c>
      <c r="R1538" s="14" t="s">
        <v>6497</v>
      </c>
      <c r="S1538" s="7" t="s">
        <v>6498</v>
      </c>
      <c r="T1538" s="8"/>
      <c r="U1538" s="11" t="str">
        <f>HYPERLINK("https://pbs.twimg.com/profile_images/1157710076/icon.png","View")</f>
        <v>View</v>
      </c>
      <c r="V1538" s="8"/>
      <c r="W1538" s="8"/>
      <c r="X1538" s="8"/>
      <c r="Y1538" s="8"/>
      <c r="Z1538" s="8"/>
    </row>
    <row r="1539" spans="1:26" ht="13.2">
      <c r="A1539" s="13">
        <v>44250.396145833336</v>
      </c>
      <c r="B1539" s="6" t="str">
        <f>HYPERLINK("https://twitter.com/DroneFins","@DroneFins")</f>
        <v>@DroneFins</v>
      </c>
      <c r="C1539" s="14" t="s">
        <v>6499</v>
      </c>
      <c r="D1539" s="14" t="s">
        <v>6500</v>
      </c>
      <c r="E1539" s="6" t="str">
        <f>HYPERLINK("https://twitter.com/DroneFins/status/1364130487032188930","1364130487032188930")</f>
        <v>1364130487032188930</v>
      </c>
      <c r="F1539" s="8"/>
      <c r="G1539" s="7" t="s">
        <v>6501</v>
      </c>
      <c r="H1539" s="8"/>
      <c r="I1539" s="14">
        <v>0</v>
      </c>
      <c r="J1539" s="14">
        <v>1</v>
      </c>
      <c r="K1539" s="6" t="str">
        <f>HYPERLINK("http://twitter.com/download/android","Twitter for Android")</f>
        <v>Twitter for Android</v>
      </c>
      <c r="L1539" s="15">
        <v>26</v>
      </c>
      <c r="M1539" s="15">
        <v>318</v>
      </c>
      <c r="N1539" s="15">
        <v>0</v>
      </c>
      <c r="O1539" s="9"/>
      <c r="P1539" s="10">
        <v>44219.373877314814</v>
      </c>
      <c r="Q1539" s="14" t="s">
        <v>6502</v>
      </c>
      <c r="R1539" s="14" t="s">
        <v>6503</v>
      </c>
      <c r="S1539" s="7" t="s">
        <v>6504</v>
      </c>
      <c r="T1539" s="8"/>
      <c r="U1539" s="11" t="str">
        <f>HYPERLINK("https://pbs.twimg.com/profile_images/1352888566536314880/CMirsNn8.jpg","View")</f>
        <v>View</v>
      </c>
      <c r="V1539" s="8"/>
      <c r="W1539" s="8"/>
      <c r="X1539" s="8"/>
      <c r="Y1539" s="8"/>
      <c r="Z1539" s="8"/>
    </row>
    <row r="1540" spans="1:26" ht="13.2">
      <c r="A1540" s="13">
        <v>44250.395891203705</v>
      </c>
      <c r="B1540" s="6" t="str">
        <f>HYPERLINK("https://twitter.com/nigewillson","@nigewillson")</f>
        <v>@nigewillson</v>
      </c>
      <c r="C1540" s="14" t="s">
        <v>95</v>
      </c>
      <c r="D1540" s="14" t="s">
        <v>653</v>
      </c>
      <c r="E1540" s="6" t="str">
        <f>HYPERLINK("https://twitter.com/nigewillson/status/1364130398494740483","1364130398494740483")</f>
        <v>1364130398494740483</v>
      </c>
      <c r="F1540" s="7" t="s">
        <v>654</v>
      </c>
      <c r="G1540" s="7" t="s">
        <v>6505</v>
      </c>
      <c r="H1540" s="8"/>
      <c r="I1540" s="14">
        <v>2</v>
      </c>
      <c r="J1540" s="14">
        <v>1</v>
      </c>
      <c r="K1540" s="6" t="str">
        <f>HYPERLINK("https://buffer.com","Buffer")</f>
        <v>Buffer</v>
      </c>
      <c r="L1540" s="15">
        <v>57515</v>
      </c>
      <c r="M1540" s="15">
        <v>49523</v>
      </c>
      <c r="N1540" s="15">
        <v>1688</v>
      </c>
      <c r="O1540" s="9"/>
      <c r="P1540" s="10">
        <v>40530.666805555556</v>
      </c>
      <c r="Q1540" s="14" t="s">
        <v>99</v>
      </c>
      <c r="R1540" s="14" t="s">
        <v>100</v>
      </c>
      <c r="S1540" s="7" t="s">
        <v>101</v>
      </c>
      <c r="T1540" s="8"/>
      <c r="U1540" s="11" t="str">
        <f>HYPERLINK("https://pbs.twimg.com/profile_images/1085251590997622784/x9mWVQ1d.jpg","View")</f>
        <v>View</v>
      </c>
      <c r="V1540" s="8"/>
      <c r="W1540" s="8"/>
      <c r="X1540" s="8"/>
      <c r="Y1540" s="8"/>
      <c r="Z1540" s="8"/>
    </row>
    <row r="1541" spans="1:26" ht="13.2">
      <c r="A1541" s="13">
        <v>44250.395879629628</v>
      </c>
      <c r="B1541" s="6" t="str">
        <f>HYPERLINK("https://twitter.com/designnation20","@designnation20")</f>
        <v>@designnation20</v>
      </c>
      <c r="C1541" s="14" t="s">
        <v>4887</v>
      </c>
      <c r="D1541" s="14" t="s">
        <v>6506</v>
      </c>
      <c r="E1541" s="6" t="str">
        <f>HYPERLINK("https://twitter.com/designnation20/status/1364130394170404869","1364130394170404869")</f>
        <v>1364130394170404869</v>
      </c>
      <c r="F1541" s="7" t="s">
        <v>6507</v>
      </c>
      <c r="G1541" s="8"/>
      <c r="H1541" s="8"/>
      <c r="I1541" s="14">
        <v>3</v>
      </c>
      <c r="J1541" s="14">
        <v>2</v>
      </c>
      <c r="K1541" s="6" t="str">
        <f>HYPERLINK("https://www.hootsuite.com","Hootsuite Inc.")</f>
        <v>Hootsuite Inc.</v>
      </c>
      <c r="L1541" s="15">
        <v>94</v>
      </c>
      <c r="M1541" s="15">
        <v>161</v>
      </c>
      <c r="N1541" s="15">
        <v>0</v>
      </c>
      <c r="O1541" s="9"/>
      <c r="P1541" s="10">
        <v>43936.451412037037</v>
      </c>
      <c r="Q1541" s="14" t="s">
        <v>4890</v>
      </c>
      <c r="R1541" s="14" t="s">
        <v>4891</v>
      </c>
      <c r="S1541" s="7" t="s">
        <v>4892</v>
      </c>
      <c r="T1541" s="8"/>
      <c r="U1541" s="11" t="str">
        <f>HYPERLINK("https://pbs.twimg.com/profile_images/1285972465571647489/OoVAc2X9.jpg","View")</f>
        <v>View</v>
      </c>
      <c r="V1541" s="8"/>
      <c r="W1541" s="8"/>
      <c r="X1541" s="8"/>
      <c r="Y1541" s="8"/>
      <c r="Z1541" s="8"/>
    </row>
    <row r="1542" spans="1:26" ht="13.2">
      <c r="A1542" s="13">
        <v>44250.395092592589</v>
      </c>
      <c r="B1542" s="6" t="str">
        <f>HYPERLINK("https://twitter.com/e_arias","@e_arias")</f>
        <v>@e_arias</v>
      </c>
      <c r="C1542" s="14" t="s">
        <v>6508</v>
      </c>
      <c r="D1542" s="14" t="s">
        <v>6509</v>
      </c>
      <c r="E1542" s="6" t="str">
        <f>HYPERLINK("https://twitter.com/e_arias/status/1364130108592824320","1364130108592824320")</f>
        <v>1364130108592824320</v>
      </c>
      <c r="F1542" s="14" t="s">
        <v>6510</v>
      </c>
      <c r="G1542" s="7" t="s">
        <v>6511</v>
      </c>
      <c r="H1542" s="8"/>
      <c r="I1542" s="14">
        <v>2</v>
      </c>
      <c r="J1542" s="14">
        <v>0</v>
      </c>
      <c r="K1542" s="6" t="str">
        <f t="shared" ref="K1542:K1543" si="277">HYPERLINK("https://mobile.twitter.com","Twitter Web App")</f>
        <v>Twitter Web App</v>
      </c>
      <c r="L1542" s="15">
        <v>574</v>
      </c>
      <c r="M1542" s="15">
        <v>192</v>
      </c>
      <c r="N1542" s="15">
        <v>72</v>
      </c>
      <c r="O1542" s="9"/>
      <c r="P1542" s="10">
        <v>40176.784930555557</v>
      </c>
      <c r="Q1542" s="14" t="s">
        <v>2396</v>
      </c>
      <c r="R1542" s="14" t="s">
        <v>6512</v>
      </c>
      <c r="S1542" s="7" t="s">
        <v>6513</v>
      </c>
      <c r="T1542" s="8"/>
      <c r="U1542" s="11" t="str">
        <f>HYPERLINK("https://pbs.twimg.com/profile_images/1254331997004140545/kjOVbEOL.jpg","View")</f>
        <v>View</v>
      </c>
      <c r="V1542" s="8"/>
      <c r="W1542" s="8"/>
      <c r="X1542" s="8"/>
      <c r="Y1542" s="8"/>
      <c r="Z1542" s="8"/>
    </row>
    <row r="1543" spans="1:26" ht="13.2">
      <c r="A1543" s="13">
        <v>44250.395034722227</v>
      </c>
      <c r="B1543" s="6" t="str">
        <f>HYPERLINK("https://twitter.com/thatneedle","@thatneedle")</f>
        <v>@thatneedle</v>
      </c>
      <c r="C1543" s="14" t="s">
        <v>1014</v>
      </c>
      <c r="D1543" s="14" t="s">
        <v>6514</v>
      </c>
      <c r="E1543" s="6" t="str">
        <f>HYPERLINK("https://twitter.com/thatneedle/status/1364130087214309383","1364130087214309383")</f>
        <v>1364130087214309383</v>
      </c>
      <c r="F1543" s="8"/>
      <c r="G1543" s="8"/>
      <c r="H1543" s="8"/>
      <c r="I1543" s="14">
        <v>2</v>
      </c>
      <c r="J1543" s="14">
        <v>1</v>
      </c>
      <c r="K1543" s="6" t="str">
        <f t="shared" si="277"/>
        <v>Twitter Web App</v>
      </c>
      <c r="L1543" s="15">
        <v>63</v>
      </c>
      <c r="M1543" s="15">
        <v>228</v>
      </c>
      <c r="N1543" s="15">
        <v>4</v>
      </c>
      <c r="O1543" s="9"/>
      <c r="P1543" s="10">
        <v>41827.808807870373</v>
      </c>
      <c r="Q1543" s="8"/>
      <c r="R1543" s="14" t="s">
        <v>1016</v>
      </c>
      <c r="S1543" s="7" t="s">
        <v>1017</v>
      </c>
      <c r="T1543" s="8"/>
      <c r="U1543" s="11" t="str">
        <f>HYPERLINK("https://pbs.twimg.com/profile_images/642575774973751296/USJh0DNN.jpg","View")</f>
        <v>View</v>
      </c>
      <c r="V1543" s="8"/>
      <c r="W1543" s="8"/>
      <c r="X1543" s="8"/>
      <c r="Y1543" s="8"/>
      <c r="Z1543" s="8"/>
    </row>
    <row r="1544" spans="1:26" ht="13.2">
      <c r="A1544" s="13">
        <v>44250.394872685181</v>
      </c>
      <c r="B1544" s="6" t="str">
        <f t="shared" ref="B1544:B1545" si="278">HYPERLINK("https://twitter.com/AnalyticsFrance","@AnalyticsFrance")</f>
        <v>@AnalyticsFrance</v>
      </c>
      <c r="C1544" s="14" t="s">
        <v>6354</v>
      </c>
      <c r="D1544" s="14" t="s">
        <v>6332</v>
      </c>
      <c r="E1544" s="6" t="str">
        <f>HYPERLINK("https://twitter.com/AnalyticsFrance/status/1364130027244257287","1364130027244257287")</f>
        <v>1364130027244257287</v>
      </c>
      <c r="F1544" s="14" t="s">
        <v>6333</v>
      </c>
      <c r="G1544" s="8"/>
      <c r="H1544" s="8"/>
      <c r="I1544" s="14">
        <v>1</v>
      </c>
      <c r="J1544" s="14">
        <v>1</v>
      </c>
      <c r="K1544" s="6" t="str">
        <f t="shared" ref="K1544:K1545" si="279">HYPERLINK("https://ifttt.com","IFTTT")</f>
        <v>IFTTT</v>
      </c>
      <c r="L1544" s="15">
        <v>1643</v>
      </c>
      <c r="M1544" s="15">
        <v>152</v>
      </c>
      <c r="N1544" s="15">
        <v>407</v>
      </c>
      <c r="O1544" s="9"/>
      <c r="P1544" s="10">
        <v>41348.495752314819</v>
      </c>
      <c r="Q1544" s="14" t="s">
        <v>106</v>
      </c>
      <c r="R1544" s="14" t="s">
        <v>6334</v>
      </c>
      <c r="S1544" s="8"/>
      <c r="T1544" s="8"/>
      <c r="U1544" s="11" t="str">
        <f t="shared" ref="U1544:U1545" si="280">HYPERLINK("https://pbs.twimg.com/profile_images/3383072572/2b0e67be1460e16857e604cc450f5129.jpeg","View")</f>
        <v>View</v>
      </c>
      <c r="V1544" s="8"/>
      <c r="W1544" s="8"/>
      <c r="X1544" s="8"/>
      <c r="Y1544" s="8"/>
      <c r="Z1544" s="8"/>
    </row>
    <row r="1545" spans="1:26" ht="13.2">
      <c r="A1545" s="13">
        <v>44250.394837962958</v>
      </c>
      <c r="B1545" s="6" t="str">
        <f t="shared" si="278"/>
        <v>@AnalyticsFrance</v>
      </c>
      <c r="C1545" s="14" t="s">
        <v>6354</v>
      </c>
      <c r="D1545" s="14" t="s">
        <v>6335</v>
      </c>
      <c r="E1545" s="6" t="str">
        <f>HYPERLINK("https://twitter.com/AnalyticsFrance/status/1364130016758480899","1364130016758480899")</f>
        <v>1364130016758480899</v>
      </c>
      <c r="F1545" s="14" t="s">
        <v>6336</v>
      </c>
      <c r="G1545" s="8"/>
      <c r="H1545" s="8"/>
      <c r="I1545" s="14">
        <v>1</v>
      </c>
      <c r="J1545" s="14">
        <v>1</v>
      </c>
      <c r="K1545" s="6" t="str">
        <f t="shared" si="279"/>
        <v>IFTTT</v>
      </c>
      <c r="L1545" s="15">
        <v>1643</v>
      </c>
      <c r="M1545" s="15">
        <v>152</v>
      </c>
      <c r="N1545" s="15">
        <v>407</v>
      </c>
      <c r="O1545" s="9"/>
      <c r="P1545" s="10">
        <v>41348.495752314819</v>
      </c>
      <c r="Q1545" s="14" t="s">
        <v>106</v>
      </c>
      <c r="R1545" s="14" t="s">
        <v>6334</v>
      </c>
      <c r="S1545" s="8"/>
      <c r="T1545" s="8"/>
      <c r="U1545" s="11" t="str">
        <f t="shared" si="280"/>
        <v>View</v>
      </c>
      <c r="V1545" s="8"/>
      <c r="W1545" s="8"/>
      <c r="X1545" s="8"/>
      <c r="Y1545" s="8"/>
      <c r="Z1545" s="8"/>
    </row>
    <row r="1546" spans="1:26" ht="13.2">
      <c r="A1546" s="13">
        <v>44250.394837962958</v>
      </c>
      <c r="B1546" s="6" t="str">
        <f>HYPERLINK("https://twitter.com/VictorBernal","@VictorBernal")</f>
        <v>@VictorBernal</v>
      </c>
      <c r="C1546" s="14" t="s">
        <v>6515</v>
      </c>
      <c r="D1546" s="14" t="s">
        <v>6516</v>
      </c>
      <c r="E1546" s="6" t="str">
        <f>HYPERLINK("https://twitter.com/VictorBernal/status/1364130014485176321","1364130014485176321")</f>
        <v>1364130014485176321</v>
      </c>
      <c r="F1546" s="8"/>
      <c r="G1546" s="8"/>
      <c r="H1546" s="8"/>
      <c r="I1546" s="14">
        <v>2</v>
      </c>
      <c r="J1546" s="14">
        <v>4</v>
      </c>
      <c r="K1546" s="6" t="str">
        <f>HYPERLINK("http://twitter.com/download/android","Twitter for Android")</f>
        <v>Twitter for Android</v>
      </c>
      <c r="L1546" s="15">
        <v>37</v>
      </c>
      <c r="M1546" s="15">
        <v>200</v>
      </c>
      <c r="N1546" s="15">
        <v>0</v>
      </c>
      <c r="O1546" s="9"/>
      <c r="P1546" s="10">
        <v>39812.71261574074</v>
      </c>
      <c r="Q1546" s="14" t="s">
        <v>6517</v>
      </c>
      <c r="R1546" s="14" t="s">
        <v>6518</v>
      </c>
      <c r="S1546" s="8"/>
      <c r="T1546" s="8"/>
      <c r="U1546" s="11" t="str">
        <f>HYPERLINK("https://pbs.twimg.com/profile_images/1327292737301999616/y0yd2lM3.jpg","View")</f>
        <v>View</v>
      </c>
      <c r="V1546" s="8"/>
      <c r="W1546" s="8"/>
      <c r="X1546" s="8"/>
      <c r="Y1546" s="8"/>
      <c r="Z1546" s="8"/>
    </row>
    <row r="1547" spans="1:26" ht="13.2">
      <c r="A1547" s="13">
        <v>44250.394837962958</v>
      </c>
      <c r="B1547" s="6" t="str">
        <f>HYPERLINK("https://twitter.com/AnalyticsFrance","@AnalyticsFrance")</f>
        <v>@AnalyticsFrance</v>
      </c>
      <c r="C1547" s="14" t="s">
        <v>6354</v>
      </c>
      <c r="D1547" s="14" t="s">
        <v>6337</v>
      </c>
      <c r="E1547" s="6" t="str">
        <f>HYPERLINK("https://twitter.com/AnalyticsFrance/status/1364130013877055489","1364130013877055489")</f>
        <v>1364130013877055489</v>
      </c>
      <c r="F1547" s="14" t="s">
        <v>6338</v>
      </c>
      <c r="G1547" s="8"/>
      <c r="H1547" s="8"/>
      <c r="I1547" s="14">
        <v>1</v>
      </c>
      <c r="J1547" s="14">
        <v>1</v>
      </c>
      <c r="K1547" s="6" t="str">
        <f t="shared" ref="K1547:K1555" si="281">HYPERLINK("https://ifttt.com","IFTTT")</f>
        <v>IFTTT</v>
      </c>
      <c r="L1547" s="15">
        <v>1643</v>
      </c>
      <c r="M1547" s="15">
        <v>152</v>
      </c>
      <c r="N1547" s="15">
        <v>407</v>
      </c>
      <c r="O1547" s="9"/>
      <c r="P1547" s="10">
        <v>41348.495752314819</v>
      </c>
      <c r="Q1547" s="14" t="s">
        <v>106</v>
      </c>
      <c r="R1547" s="14" t="s">
        <v>6334</v>
      </c>
      <c r="S1547" s="8"/>
      <c r="T1547" s="8"/>
      <c r="U1547" s="11" t="str">
        <f>HYPERLINK("https://pbs.twimg.com/profile_images/3383072572/2b0e67be1460e16857e604cc450f5129.jpeg","View")</f>
        <v>View</v>
      </c>
      <c r="V1547" s="8"/>
      <c r="W1547" s="8"/>
      <c r="X1547" s="8"/>
      <c r="Y1547" s="8"/>
      <c r="Z1547" s="8"/>
    </row>
    <row r="1548" spans="1:26" ht="13.2">
      <c r="A1548" s="13">
        <v>44250.393900462965</v>
      </c>
      <c r="B1548" s="6" t="str">
        <f t="shared" ref="B1548:B1555" si="282">HYPERLINK("https://twitter.com/DS_Analytics","@DS_Analytics")</f>
        <v>@DS_Analytics</v>
      </c>
      <c r="C1548" s="14" t="s">
        <v>2389</v>
      </c>
      <c r="D1548" s="14" t="s">
        <v>6519</v>
      </c>
      <c r="E1548" s="6" t="str">
        <f>HYPERLINK("https://twitter.com/DS_Analytics/status/1364129675124109323","1364129675124109323")</f>
        <v>1364129675124109323</v>
      </c>
      <c r="F1548" s="7" t="s">
        <v>6520</v>
      </c>
      <c r="G1548" s="8"/>
      <c r="H1548" s="8"/>
      <c r="I1548" s="14">
        <v>2</v>
      </c>
      <c r="J1548" s="14">
        <v>1</v>
      </c>
      <c r="K1548" s="6" t="str">
        <f t="shared" si="281"/>
        <v>IFTTT</v>
      </c>
      <c r="L1548" s="15">
        <v>4945</v>
      </c>
      <c r="M1548" s="15">
        <v>4504</v>
      </c>
      <c r="N1548" s="15">
        <v>46</v>
      </c>
      <c r="O1548" s="9"/>
      <c r="P1548" s="10">
        <v>43019.662314814814</v>
      </c>
      <c r="Q1548" s="8"/>
      <c r="R1548" s="14" t="s">
        <v>2392</v>
      </c>
      <c r="S1548" s="8"/>
      <c r="T1548" s="8"/>
      <c r="U1548" s="11" t="str">
        <f t="shared" ref="U1548:U1555" si="283">HYPERLINK("https://pbs.twimg.com/profile_images/955817556635504640/FflsX454.jpg","View")</f>
        <v>View</v>
      </c>
      <c r="V1548" s="8"/>
      <c r="W1548" s="8"/>
      <c r="X1548" s="8"/>
      <c r="Y1548" s="8"/>
      <c r="Z1548" s="8"/>
    </row>
    <row r="1549" spans="1:26" ht="13.2">
      <c r="A1549" s="13">
        <v>44250.393888888888</v>
      </c>
      <c r="B1549" s="6" t="str">
        <f t="shared" si="282"/>
        <v>@DS_Analytics</v>
      </c>
      <c r="C1549" s="14" t="s">
        <v>2389</v>
      </c>
      <c r="D1549" s="14" t="s">
        <v>6521</v>
      </c>
      <c r="E1549" s="6" t="str">
        <f>HYPERLINK("https://twitter.com/DS_Analytics/status/1364129669033975812","1364129669033975812")</f>
        <v>1364129669033975812</v>
      </c>
      <c r="F1549" s="7" t="s">
        <v>6522</v>
      </c>
      <c r="G1549" s="8"/>
      <c r="H1549" s="8"/>
      <c r="I1549" s="14">
        <v>1</v>
      </c>
      <c r="J1549" s="14">
        <v>1</v>
      </c>
      <c r="K1549" s="6" t="str">
        <f t="shared" si="281"/>
        <v>IFTTT</v>
      </c>
      <c r="L1549" s="15">
        <v>4945</v>
      </c>
      <c r="M1549" s="15">
        <v>4504</v>
      </c>
      <c r="N1549" s="15">
        <v>46</v>
      </c>
      <c r="O1549" s="9"/>
      <c r="P1549" s="10">
        <v>43019.662314814814</v>
      </c>
      <c r="Q1549" s="8"/>
      <c r="R1549" s="14" t="s">
        <v>2392</v>
      </c>
      <c r="S1549" s="8"/>
      <c r="T1549" s="8"/>
      <c r="U1549" s="11" t="str">
        <f t="shared" si="283"/>
        <v>View</v>
      </c>
      <c r="V1549" s="8"/>
      <c r="W1549" s="8"/>
      <c r="X1549" s="8"/>
      <c r="Y1549" s="8"/>
      <c r="Z1549" s="8"/>
    </row>
    <row r="1550" spans="1:26" ht="13.2">
      <c r="A1550" s="13">
        <v>44250.393877314811</v>
      </c>
      <c r="B1550" s="6" t="str">
        <f t="shared" si="282"/>
        <v>@DS_Analytics</v>
      </c>
      <c r="C1550" s="14" t="s">
        <v>2389</v>
      </c>
      <c r="D1550" s="14" t="s">
        <v>6523</v>
      </c>
      <c r="E1550" s="6" t="str">
        <f>HYPERLINK("https://twitter.com/DS_Analytics/status/1364129666374770690","1364129666374770690")</f>
        <v>1364129666374770690</v>
      </c>
      <c r="F1550" s="7" t="s">
        <v>6524</v>
      </c>
      <c r="G1550" s="8"/>
      <c r="H1550" s="8"/>
      <c r="I1550" s="14">
        <v>1</v>
      </c>
      <c r="J1550" s="14">
        <v>1</v>
      </c>
      <c r="K1550" s="6" t="str">
        <f t="shared" si="281"/>
        <v>IFTTT</v>
      </c>
      <c r="L1550" s="15">
        <v>4945</v>
      </c>
      <c r="M1550" s="15">
        <v>4504</v>
      </c>
      <c r="N1550" s="15">
        <v>46</v>
      </c>
      <c r="O1550" s="9"/>
      <c r="P1550" s="10">
        <v>43019.662314814814</v>
      </c>
      <c r="Q1550" s="8"/>
      <c r="R1550" s="14" t="s">
        <v>2392</v>
      </c>
      <c r="S1550" s="8"/>
      <c r="T1550" s="8"/>
      <c r="U1550" s="11" t="str">
        <f t="shared" si="283"/>
        <v>View</v>
      </c>
      <c r="V1550" s="8"/>
      <c r="W1550" s="8"/>
      <c r="X1550" s="8"/>
      <c r="Y1550" s="8"/>
      <c r="Z1550" s="8"/>
    </row>
    <row r="1551" spans="1:26" ht="13.2">
      <c r="A1551" s="13">
        <v>44250.393865740742</v>
      </c>
      <c r="B1551" s="6" t="str">
        <f t="shared" si="282"/>
        <v>@DS_Analytics</v>
      </c>
      <c r="C1551" s="14" t="s">
        <v>2389</v>
      </c>
      <c r="D1551" s="14" t="s">
        <v>6525</v>
      </c>
      <c r="E1551" s="6" t="str">
        <f>HYPERLINK("https://twitter.com/DS_Analytics/status/1364129663157731328","1364129663157731328")</f>
        <v>1364129663157731328</v>
      </c>
      <c r="F1551" s="7" t="s">
        <v>6526</v>
      </c>
      <c r="G1551" s="8"/>
      <c r="H1551" s="8"/>
      <c r="I1551" s="14">
        <v>2</v>
      </c>
      <c r="J1551" s="14">
        <v>1</v>
      </c>
      <c r="K1551" s="6" t="str">
        <f t="shared" si="281"/>
        <v>IFTTT</v>
      </c>
      <c r="L1551" s="15">
        <v>4945</v>
      </c>
      <c r="M1551" s="15">
        <v>4504</v>
      </c>
      <c r="N1551" s="15">
        <v>46</v>
      </c>
      <c r="O1551" s="9"/>
      <c r="P1551" s="10">
        <v>43019.662314814814</v>
      </c>
      <c r="Q1551" s="8"/>
      <c r="R1551" s="14" t="s">
        <v>2392</v>
      </c>
      <c r="S1551" s="8"/>
      <c r="T1551" s="8"/>
      <c r="U1551" s="11" t="str">
        <f t="shared" si="283"/>
        <v>View</v>
      </c>
      <c r="V1551" s="8"/>
      <c r="W1551" s="8"/>
      <c r="X1551" s="8"/>
      <c r="Y1551" s="8"/>
      <c r="Z1551" s="8"/>
    </row>
    <row r="1552" spans="1:26" ht="13.2">
      <c r="A1552" s="13">
        <v>44250.393854166672</v>
      </c>
      <c r="B1552" s="6" t="str">
        <f t="shared" si="282"/>
        <v>@DS_Analytics</v>
      </c>
      <c r="C1552" s="14" t="s">
        <v>2389</v>
      </c>
      <c r="D1552" s="14" t="s">
        <v>6527</v>
      </c>
      <c r="E1552" s="6" t="str">
        <f>HYPERLINK("https://twitter.com/DS_Analytics/status/1364129657906421760","1364129657906421760")</f>
        <v>1364129657906421760</v>
      </c>
      <c r="F1552" s="7" t="s">
        <v>6528</v>
      </c>
      <c r="G1552" s="8"/>
      <c r="H1552" s="8"/>
      <c r="I1552" s="14">
        <v>1</v>
      </c>
      <c r="J1552" s="14">
        <v>1</v>
      </c>
      <c r="K1552" s="6" t="str">
        <f t="shared" si="281"/>
        <v>IFTTT</v>
      </c>
      <c r="L1552" s="15">
        <v>4945</v>
      </c>
      <c r="M1552" s="15">
        <v>4504</v>
      </c>
      <c r="N1552" s="15">
        <v>46</v>
      </c>
      <c r="O1552" s="9"/>
      <c r="P1552" s="10">
        <v>43019.662314814814</v>
      </c>
      <c r="Q1552" s="8"/>
      <c r="R1552" s="14" t="s">
        <v>2392</v>
      </c>
      <c r="S1552" s="8"/>
      <c r="T1552" s="8"/>
      <c r="U1552" s="11" t="str">
        <f t="shared" si="283"/>
        <v>View</v>
      </c>
      <c r="V1552" s="8"/>
      <c r="W1552" s="8"/>
      <c r="X1552" s="8"/>
      <c r="Y1552" s="8"/>
      <c r="Z1552" s="8"/>
    </row>
    <row r="1553" spans="1:26" ht="13.2">
      <c r="A1553" s="13">
        <v>44250.393842592588</v>
      </c>
      <c r="B1553" s="6" t="str">
        <f t="shared" si="282"/>
        <v>@DS_Analytics</v>
      </c>
      <c r="C1553" s="14" t="s">
        <v>2389</v>
      </c>
      <c r="D1553" s="14" t="s">
        <v>6529</v>
      </c>
      <c r="E1553" s="6" t="str">
        <f>HYPERLINK("https://twitter.com/DS_Analytics/status/1364129653359841282","1364129653359841282")</f>
        <v>1364129653359841282</v>
      </c>
      <c r="F1553" s="7" t="s">
        <v>6530</v>
      </c>
      <c r="G1553" s="8"/>
      <c r="H1553" s="8"/>
      <c r="I1553" s="14">
        <v>1</v>
      </c>
      <c r="J1553" s="14">
        <v>1</v>
      </c>
      <c r="K1553" s="6" t="str">
        <f t="shared" si="281"/>
        <v>IFTTT</v>
      </c>
      <c r="L1553" s="15">
        <v>4945</v>
      </c>
      <c r="M1553" s="15">
        <v>4504</v>
      </c>
      <c r="N1553" s="15">
        <v>46</v>
      </c>
      <c r="O1553" s="9"/>
      <c r="P1553" s="10">
        <v>43019.662314814814</v>
      </c>
      <c r="Q1553" s="8"/>
      <c r="R1553" s="14" t="s">
        <v>2392</v>
      </c>
      <c r="S1553" s="8"/>
      <c r="T1553" s="8"/>
      <c r="U1553" s="11" t="str">
        <f t="shared" si="283"/>
        <v>View</v>
      </c>
      <c r="V1553" s="8"/>
      <c r="W1553" s="8"/>
      <c r="X1553" s="8"/>
      <c r="Y1553" s="8"/>
      <c r="Z1553" s="8"/>
    </row>
    <row r="1554" spans="1:26" ht="13.2">
      <c r="A1554" s="13">
        <v>44250.393831018519</v>
      </c>
      <c r="B1554" s="6" t="str">
        <f t="shared" si="282"/>
        <v>@DS_Analytics</v>
      </c>
      <c r="C1554" s="14" t="s">
        <v>2389</v>
      </c>
      <c r="D1554" s="14" t="s">
        <v>6531</v>
      </c>
      <c r="E1554" s="6" t="str">
        <f>HYPERLINK("https://twitter.com/DS_Analytics/status/1364129648502853632","1364129648502853632")</f>
        <v>1364129648502853632</v>
      </c>
      <c r="F1554" s="7" t="s">
        <v>6532</v>
      </c>
      <c r="G1554" s="8"/>
      <c r="H1554" s="8"/>
      <c r="I1554" s="14">
        <v>1</v>
      </c>
      <c r="J1554" s="14">
        <v>1</v>
      </c>
      <c r="K1554" s="6" t="str">
        <f t="shared" si="281"/>
        <v>IFTTT</v>
      </c>
      <c r="L1554" s="15">
        <v>4945</v>
      </c>
      <c r="M1554" s="15">
        <v>4504</v>
      </c>
      <c r="N1554" s="15">
        <v>46</v>
      </c>
      <c r="O1554" s="9"/>
      <c r="P1554" s="10">
        <v>43019.662314814814</v>
      </c>
      <c r="Q1554" s="8"/>
      <c r="R1554" s="14" t="s">
        <v>2392</v>
      </c>
      <c r="S1554" s="8"/>
      <c r="T1554" s="8"/>
      <c r="U1554" s="11" t="str">
        <f t="shared" si="283"/>
        <v>View</v>
      </c>
      <c r="V1554" s="8"/>
      <c r="W1554" s="8"/>
      <c r="X1554" s="8"/>
      <c r="Y1554" s="8"/>
      <c r="Z1554" s="8"/>
    </row>
    <row r="1555" spans="1:26" ht="13.2">
      <c r="A1555" s="13">
        <v>44250.393819444449</v>
      </c>
      <c r="B1555" s="6" t="str">
        <f t="shared" si="282"/>
        <v>@DS_Analytics</v>
      </c>
      <c r="C1555" s="14" t="s">
        <v>2389</v>
      </c>
      <c r="D1555" s="14" t="s">
        <v>6533</v>
      </c>
      <c r="E1555" s="6" t="str">
        <f>HYPERLINK("https://twitter.com/DS_Analytics/status/1364129643901710338","1364129643901710338")</f>
        <v>1364129643901710338</v>
      </c>
      <c r="F1555" s="7" t="s">
        <v>6534</v>
      </c>
      <c r="G1555" s="8"/>
      <c r="H1555" s="8"/>
      <c r="I1555" s="14">
        <v>1</v>
      </c>
      <c r="J1555" s="14">
        <v>1</v>
      </c>
      <c r="K1555" s="6" t="str">
        <f t="shared" si="281"/>
        <v>IFTTT</v>
      </c>
      <c r="L1555" s="15">
        <v>4945</v>
      </c>
      <c r="M1555" s="15">
        <v>4504</v>
      </c>
      <c r="N1555" s="15">
        <v>46</v>
      </c>
      <c r="O1555" s="9"/>
      <c r="P1555" s="10">
        <v>43019.662314814814</v>
      </c>
      <c r="Q1555" s="8"/>
      <c r="R1555" s="14" t="s">
        <v>2392</v>
      </c>
      <c r="S1555" s="8"/>
      <c r="T1555" s="8"/>
      <c r="U1555" s="11" t="str">
        <f t="shared" si="283"/>
        <v>View</v>
      </c>
      <c r="V1555" s="8"/>
      <c r="W1555" s="8"/>
      <c r="X1555" s="8"/>
      <c r="Y1555" s="8"/>
      <c r="Z1555" s="8"/>
    </row>
    <row r="1556" spans="1:26" ht="13.2">
      <c r="A1556" s="13">
        <v>44250.393750000003</v>
      </c>
      <c r="B1556" s="6" t="str">
        <f>HYPERLINK("https://twitter.com/knime","@knime")</f>
        <v>@knime</v>
      </c>
      <c r="C1556" s="14" t="s">
        <v>6535</v>
      </c>
      <c r="D1556" s="14" t="s">
        <v>6536</v>
      </c>
      <c r="E1556" s="6" t="str">
        <f>HYPERLINK("https://twitter.com/knime/status/1364129622070280195","1364129622070280195")</f>
        <v>1364129622070280195</v>
      </c>
      <c r="F1556" s="7" t="s">
        <v>6537</v>
      </c>
      <c r="G1556" s="8"/>
      <c r="H1556" s="8"/>
      <c r="I1556" s="14">
        <v>4</v>
      </c>
      <c r="J1556" s="14">
        <v>4</v>
      </c>
      <c r="K1556" s="6" t="str">
        <f>HYPERLINK("https://sproutsocial.com","Sprout Social")</f>
        <v>Sprout Social</v>
      </c>
      <c r="L1556" s="15">
        <v>6504</v>
      </c>
      <c r="M1556" s="15">
        <v>52</v>
      </c>
      <c r="N1556" s="15">
        <v>910</v>
      </c>
      <c r="O1556" s="9"/>
      <c r="P1556" s="10">
        <v>40030.728252314817</v>
      </c>
      <c r="Q1556" s="14" t="s">
        <v>5948</v>
      </c>
      <c r="R1556" s="14" t="s">
        <v>6538</v>
      </c>
      <c r="S1556" s="7" t="s">
        <v>6539</v>
      </c>
      <c r="T1556" s="8"/>
      <c r="U1556" s="11" t="str">
        <f>HYPERLINK("https://pbs.twimg.com/profile_images/940902877270290432/3_92FwKS.jpg","View")</f>
        <v>View</v>
      </c>
      <c r="V1556" s="8"/>
      <c r="W1556" s="8"/>
      <c r="X1556" s="8"/>
      <c r="Y1556" s="8"/>
      <c r="Z1556" s="8"/>
    </row>
    <row r="1557" spans="1:26" ht="13.2">
      <c r="A1557" s="13">
        <v>44250.393634259264</v>
      </c>
      <c r="B1557" s="6" t="str">
        <f>HYPERLINK("https://twitter.com/guidaautonoma","@guidaautonoma")</f>
        <v>@guidaautonoma</v>
      </c>
      <c r="C1557" s="14" t="s">
        <v>2203</v>
      </c>
      <c r="D1557" s="14" t="s">
        <v>6540</v>
      </c>
      <c r="E1557" s="6" t="str">
        <f>HYPERLINK("https://twitter.com/guidaautonoma/status/1364129578252443648","1364129578252443648")</f>
        <v>1364129578252443648</v>
      </c>
      <c r="F1557" s="7" t="s">
        <v>6541</v>
      </c>
      <c r="G1557" s="7" t="s">
        <v>6542</v>
      </c>
      <c r="H1557" s="8"/>
      <c r="I1557" s="14">
        <v>2</v>
      </c>
      <c r="J1557" s="14">
        <v>0</v>
      </c>
      <c r="K1557" s="6" t="str">
        <f>HYPERLINK("http://twitter.com/download/android","Twitter for Android")</f>
        <v>Twitter for Android</v>
      </c>
      <c r="L1557" s="15">
        <v>7074</v>
      </c>
      <c r="M1557" s="15">
        <v>6991</v>
      </c>
      <c r="N1557" s="15">
        <v>411</v>
      </c>
      <c r="O1557" s="9"/>
      <c r="P1557" s="10">
        <v>42496.270833333328</v>
      </c>
      <c r="Q1557" s="14" t="s">
        <v>2207</v>
      </c>
      <c r="R1557" s="14" t="s">
        <v>2208</v>
      </c>
      <c r="S1557" s="7" t="s">
        <v>2209</v>
      </c>
      <c r="T1557" s="8"/>
      <c r="U1557" s="11" t="str">
        <f>HYPERLINK("https://pbs.twimg.com/profile_images/728675456971583488/AVbaFxlK.jpg","View")</f>
        <v>View</v>
      </c>
      <c r="V1557" s="8"/>
      <c r="W1557" s="8"/>
      <c r="X1557" s="8"/>
      <c r="Y1557" s="8"/>
      <c r="Z1557" s="8"/>
    </row>
    <row r="1558" spans="1:26" ht="13.2">
      <c r="A1558" s="13">
        <v>44250.39335648148</v>
      </c>
      <c r="B1558" s="6" t="str">
        <f>HYPERLINK("https://twitter.com/AIVids","@AIVids")</f>
        <v>@AIVids</v>
      </c>
      <c r="C1558" s="14" t="s">
        <v>6543</v>
      </c>
      <c r="D1558" s="14" t="s">
        <v>6544</v>
      </c>
      <c r="E1558" s="6" t="str">
        <f>HYPERLINK("https://twitter.com/AIVids/status/1364129479904423938","1364129479904423938")</f>
        <v>1364129479904423938</v>
      </c>
      <c r="F1558" s="7" t="s">
        <v>6545</v>
      </c>
      <c r="G1558" s="8"/>
      <c r="H1558" s="8"/>
      <c r="I1558" s="14">
        <v>0</v>
      </c>
      <c r="J1558" s="14">
        <v>0</v>
      </c>
      <c r="K1558" s="6" t="str">
        <f>HYPERLINK("https://ifttt.com","IFTTT")</f>
        <v>IFTTT</v>
      </c>
      <c r="L1558" s="15">
        <v>2509</v>
      </c>
      <c r="M1558" s="15">
        <v>62</v>
      </c>
      <c r="N1558" s="15">
        <v>23</v>
      </c>
      <c r="O1558" s="9"/>
      <c r="P1558" s="10">
        <v>41926.726898148147</v>
      </c>
      <c r="Q1558" s="8"/>
      <c r="R1558" s="8"/>
      <c r="S1558" s="8"/>
      <c r="T1558" s="8"/>
      <c r="U1558" s="11" t="str">
        <f>HYPERLINK("https://pbs.twimg.com/profile_images/1124815603749904384/X0Ehn1Tx.png","View")</f>
        <v>View</v>
      </c>
      <c r="V1558" s="8"/>
      <c r="W1558" s="8"/>
      <c r="X1558" s="8"/>
      <c r="Y1558" s="8"/>
      <c r="Z1558" s="8"/>
    </row>
    <row r="1559" spans="1:26" ht="13.2">
      <c r="A1559" s="13">
        <v>44250.39335648148</v>
      </c>
      <c r="B1559" s="6" t="str">
        <f>HYPERLINK("https://twitter.com/Superdigital9","@Superdigital9")</f>
        <v>@Superdigital9</v>
      </c>
      <c r="C1559" s="14" t="s">
        <v>4132</v>
      </c>
      <c r="D1559" s="14" t="s">
        <v>6011</v>
      </c>
      <c r="E1559" s="6" t="str">
        <f>HYPERLINK("https://twitter.com/Superdigital9/status/1364129476867670016","1364129476867670016")</f>
        <v>1364129476867670016</v>
      </c>
      <c r="F1559" s="14" t="s">
        <v>4483</v>
      </c>
      <c r="G1559" s="8"/>
      <c r="H1559" s="8"/>
      <c r="I1559" s="14">
        <v>1</v>
      </c>
      <c r="J1559" s="14">
        <v>1</v>
      </c>
      <c r="K1559" s="6" t="str">
        <f>HYPERLINK("http://twinybots.com","TwinyBots")</f>
        <v>TwinyBots</v>
      </c>
      <c r="L1559" s="15">
        <v>796</v>
      </c>
      <c r="M1559" s="15">
        <v>1112</v>
      </c>
      <c r="N1559" s="15">
        <v>11</v>
      </c>
      <c r="O1559" s="9"/>
      <c r="P1559" s="10">
        <v>43821.75409722222</v>
      </c>
      <c r="Q1559" s="14" t="s">
        <v>3176</v>
      </c>
      <c r="R1559" s="14" t="s">
        <v>4135</v>
      </c>
      <c r="S1559" s="7" t="s">
        <v>4136</v>
      </c>
      <c r="T1559" s="8"/>
      <c r="U1559" s="11" t="str">
        <f>HYPERLINK("https://pbs.twimg.com/profile_images/1208795846831067138/cpdkWTEq.jpg","View")</f>
        <v>View</v>
      </c>
      <c r="V1559" s="8"/>
      <c r="W1559" s="8"/>
      <c r="X1559" s="8"/>
      <c r="Y1559" s="8"/>
      <c r="Z1559" s="8"/>
    </row>
    <row r="1560" spans="1:26" ht="13.2">
      <c r="A1560" s="13">
        <v>44250.393252314811</v>
      </c>
      <c r="B1560" s="6" t="str">
        <f>HYPERLINK("https://twitter.com/IMDEA_Networks","@IMDEA_Networks")</f>
        <v>@IMDEA_Networks</v>
      </c>
      <c r="C1560" s="14" t="s">
        <v>6546</v>
      </c>
      <c r="D1560" s="14" t="s">
        <v>6547</v>
      </c>
      <c r="E1560" s="6" t="str">
        <f>HYPERLINK("https://twitter.com/IMDEA_Networks/status/1364129439903277056","1364129439903277056")</f>
        <v>1364129439903277056</v>
      </c>
      <c r="F1560" s="7" t="s">
        <v>6548</v>
      </c>
      <c r="G1560" s="8"/>
      <c r="H1560" s="8"/>
      <c r="I1560" s="14">
        <v>2</v>
      </c>
      <c r="J1560" s="14">
        <v>2</v>
      </c>
      <c r="K1560" s="6" t="str">
        <f>HYPERLINK("https://mobile.twitter.com","Twitter Web App")</f>
        <v>Twitter Web App</v>
      </c>
      <c r="L1560" s="15">
        <v>1572</v>
      </c>
      <c r="M1560" s="15">
        <v>370</v>
      </c>
      <c r="N1560" s="15">
        <v>82</v>
      </c>
      <c r="O1560" s="9"/>
      <c r="P1560" s="10">
        <v>40310.563310185185</v>
      </c>
      <c r="Q1560" s="14" t="s">
        <v>75</v>
      </c>
      <c r="R1560" s="14" t="s">
        <v>6549</v>
      </c>
      <c r="S1560" s="7" t="s">
        <v>6550</v>
      </c>
      <c r="T1560" s="8"/>
      <c r="U1560" s="11" t="str">
        <f>HYPERLINK("https://pbs.twimg.com/profile_images/1227920089523068929/xfB2GYMF.jpg","View")</f>
        <v>View</v>
      </c>
      <c r="V1560" s="8"/>
      <c r="W1560" s="8"/>
      <c r="X1560" s="8"/>
      <c r="Y1560" s="8"/>
      <c r="Z1560" s="8"/>
    </row>
    <row r="1561" spans="1:26" ht="13.2">
      <c r="A1561" s="13">
        <v>44250.392453703702</v>
      </c>
      <c r="B1561" s="6" t="str">
        <f>HYPERLINK("https://twitter.com/techtalkcorner","@techtalkcorner")</f>
        <v>@techtalkcorner</v>
      </c>
      <c r="C1561" s="14" t="s">
        <v>6551</v>
      </c>
      <c r="D1561" s="14" t="s">
        <v>6552</v>
      </c>
      <c r="E1561" s="6" t="str">
        <f>HYPERLINK("https://twitter.com/techtalkcorner/status/1364129149682655233","1364129149682655233")</f>
        <v>1364129149682655233</v>
      </c>
      <c r="F1561" s="7" t="s">
        <v>6553</v>
      </c>
      <c r="G1561" s="7" t="s">
        <v>6554</v>
      </c>
      <c r="H1561" s="8"/>
      <c r="I1561" s="14">
        <v>1</v>
      </c>
      <c r="J1561" s="14">
        <v>1</v>
      </c>
      <c r="K1561" s="6" t="str">
        <f t="shared" ref="K1561:K1562" si="284">HYPERLINK("https://buffer.com","Buffer")</f>
        <v>Buffer</v>
      </c>
      <c r="L1561" s="15">
        <v>2328</v>
      </c>
      <c r="M1561" s="15">
        <v>2542</v>
      </c>
      <c r="N1561" s="15">
        <v>14</v>
      </c>
      <c r="O1561" s="9"/>
      <c r="P1561" s="10">
        <v>42696.463865740741</v>
      </c>
      <c r="Q1561" s="14" t="s">
        <v>6555</v>
      </c>
      <c r="R1561" s="14" t="s">
        <v>6556</v>
      </c>
      <c r="S1561" s="7" t="s">
        <v>6557</v>
      </c>
      <c r="T1561" s="8"/>
      <c r="U1561" s="11" t="str">
        <f>HYPERLINK("https://pbs.twimg.com/profile_images/1193863064417759233/OkKyColJ.jpg","View")</f>
        <v>View</v>
      </c>
      <c r="V1561" s="8"/>
      <c r="W1561" s="8"/>
      <c r="X1561" s="8"/>
      <c r="Y1561" s="8"/>
      <c r="Z1561" s="8"/>
    </row>
    <row r="1562" spans="1:26" ht="13.2">
      <c r="A1562" s="13">
        <v>44250.392384259263</v>
      </c>
      <c r="B1562" s="6" t="str">
        <f>HYPERLINK("https://twitter.com/nigewillson","@nigewillson")</f>
        <v>@nigewillson</v>
      </c>
      <c r="C1562" s="14" t="s">
        <v>95</v>
      </c>
      <c r="D1562" s="14" t="s">
        <v>717</v>
      </c>
      <c r="E1562" s="6" t="str">
        <f>HYPERLINK("https://twitter.com/nigewillson/status/1364129125531852802","1364129125531852802")</f>
        <v>1364129125531852802</v>
      </c>
      <c r="F1562" s="7" t="s">
        <v>718</v>
      </c>
      <c r="G1562" s="7" t="s">
        <v>6558</v>
      </c>
      <c r="H1562" s="8"/>
      <c r="I1562" s="14">
        <v>14</v>
      </c>
      <c r="J1562" s="14">
        <v>7</v>
      </c>
      <c r="K1562" s="6" t="str">
        <f t="shared" si="284"/>
        <v>Buffer</v>
      </c>
      <c r="L1562" s="15">
        <v>57515</v>
      </c>
      <c r="M1562" s="15">
        <v>49523</v>
      </c>
      <c r="N1562" s="15">
        <v>1688</v>
      </c>
      <c r="O1562" s="9"/>
      <c r="P1562" s="10">
        <v>40530.666805555556</v>
      </c>
      <c r="Q1562" s="14" t="s">
        <v>99</v>
      </c>
      <c r="R1562" s="14" t="s">
        <v>100</v>
      </c>
      <c r="S1562" s="7" t="s">
        <v>101</v>
      </c>
      <c r="T1562" s="8"/>
      <c r="U1562" s="11" t="str">
        <f>HYPERLINK("https://pbs.twimg.com/profile_images/1085251590997622784/x9mWVQ1d.jpg","View")</f>
        <v>View</v>
      </c>
      <c r="V1562" s="8"/>
      <c r="W1562" s="8"/>
      <c r="X1562" s="8"/>
      <c r="Y1562" s="8"/>
      <c r="Z1562" s="8"/>
    </row>
    <row r="1563" spans="1:26" ht="13.2">
      <c r="A1563" s="13">
        <v>44250.391388888893</v>
      </c>
      <c r="B1563" s="6" t="str">
        <f>HYPERLINK("https://twitter.com/Ahlad2","@Ahlad2")</f>
        <v>@Ahlad2</v>
      </c>
      <c r="C1563" s="14" t="s">
        <v>6559</v>
      </c>
      <c r="D1563" s="14" t="s">
        <v>6560</v>
      </c>
      <c r="E1563" s="6" t="str">
        <f>HYPERLINK("https://twitter.com/Ahlad2/status/1364128763194134536","1364128763194134536")</f>
        <v>1364128763194134536</v>
      </c>
      <c r="F1563" s="7" t="s">
        <v>6561</v>
      </c>
      <c r="G1563" s="8"/>
      <c r="H1563" s="8"/>
      <c r="I1563" s="14">
        <v>2</v>
      </c>
      <c r="J1563" s="14">
        <v>2</v>
      </c>
      <c r="K1563" s="6" t="str">
        <f>HYPERLINK("https://mobile.twitter.com","Twitter Web App")</f>
        <v>Twitter Web App</v>
      </c>
      <c r="L1563" s="15">
        <v>36</v>
      </c>
      <c r="M1563" s="15">
        <v>2</v>
      </c>
      <c r="N1563" s="15">
        <v>0</v>
      </c>
      <c r="O1563" s="9"/>
      <c r="P1563" s="10">
        <v>40921.758287037039</v>
      </c>
      <c r="Q1563" s="14" t="s">
        <v>1098</v>
      </c>
      <c r="R1563" s="8"/>
      <c r="S1563" s="8"/>
      <c r="T1563" s="8"/>
      <c r="U1563" s="11" t="str">
        <f>HYPERLINK("https://pbs.twimg.com/profile_images/1059105377625800705/JGK4-fVC.jpg","View")</f>
        <v>View</v>
      </c>
      <c r="V1563" s="8"/>
      <c r="W1563" s="8"/>
      <c r="X1563" s="8"/>
      <c r="Y1563" s="8"/>
      <c r="Z1563" s="8"/>
    </row>
    <row r="1564" spans="1:26" ht="13.2">
      <c r="A1564" s="13">
        <v>44250.391331018516</v>
      </c>
      <c r="B1564" s="6" t="str">
        <f>HYPERLINK("https://twitter.com/WriteX12","@WriteX12")</f>
        <v>@WriteX12</v>
      </c>
      <c r="C1564" s="14" t="s">
        <v>5480</v>
      </c>
      <c r="D1564" s="14" t="s">
        <v>6562</v>
      </c>
      <c r="E1564" s="6" t="str">
        <f>HYPERLINK("https://twitter.com/WriteX12/status/1364128743485149190","1364128743485149190")</f>
        <v>1364128743485149190</v>
      </c>
      <c r="F1564" s="7" t="s">
        <v>6563</v>
      </c>
      <c r="G1564" s="7" t="s">
        <v>6564</v>
      </c>
      <c r="H1564" s="8"/>
      <c r="I1564" s="14">
        <v>9</v>
      </c>
      <c r="J1564" s="14">
        <v>7</v>
      </c>
      <c r="K1564" s="6" t="str">
        <f>HYPERLINK("http://twitter.com/download/android","Twitter for Android")</f>
        <v>Twitter for Android</v>
      </c>
      <c r="L1564" s="15">
        <v>21</v>
      </c>
      <c r="M1564" s="15">
        <v>178</v>
      </c>
      <c r="N1564" s="15">
        <v>0</v>
      </c>
      <c r="O1564" s="9"/>
      <c r="P1564" s="10">
        <v>44118.455312499995</v>
      </c>
      <c r="Q1564" s="8"/>
      <c r="R1564" s="14" t="s">
        <v>5483</v>
      </c>
      <c r="S1564" s="7" t="s">
        <v>5484</v>
      </c>
      <c r="T1564" s="8"/>
      <c r="U1564" s="11" t="str">
        <f>HYPERLINK("https://pbs.twimg.com/profile_images/1316301767731109888/kmWlNQMs.jpg","View")</f>
        <v>View</v>
      </c>
      <c r="V1564" s="8"/>
      <c r="W1564" s="8"/>
      <c r="X1564" s="8"/>
      <c r="Y1564" s="8"/>
      <c r="Z1564" s="8"/>
    </row>
    <row r="1565" spans="1:26" ht="13.2">
      <c r="A1565" s="13">
        <v>44250.390555555554</v>
      </c>
      <c r="B1565" s="6" t="str">
        <f t="shared" ref="B1565:B1570" si="285">HYPERLINK("https://twitter.com/DataScientistsF","@DataScientistsF")</f>
        <v>@DataScientistsF</v>
      </c>
      <c r="C1565" s="14" t="s">
        <v>6480</v>
      </c>
      <c r="D1565" s="14" t="s">
        <v>6332</v>
      </c>
      <c r="E1565" s="6" t="str">
        <f>HYPERLINK("https://twitter.com/DataScientistsF/status/1364128463368687617","1364128463368687617")</f>
        <v>1364128463368687617</v>
      </c>
      <c r="F1565" s="14" t="s">
        <v>6333</v>
      </c>
      <c r="G1565" s="8"/>
      <c r="H1565" s="8"/>
      <c r="I1565" s="14">
        <v>1</v>
      </c>
      <c r="J1565" s="14">
        <v>1</v>
      </c>
      <c r="K1565" s="6" t="str">
        <f t="shared" ref="K1565:K1570" si="286">HYPERLINK("https://ifttt.com","IFTTT")</f>
        <v>IFTTT</v>
      </c>
      <c r="L1565" s="15">
        <v>2470</v>
      </c>
      <c r="M1565" s="15">
        <v>174</v>
      </c>
      <c r="N1565" s="15">
        <v>609</v>
      </c>
      <c r="O1565" s="9"/>
      <c r="P1565" s="10">
        <v>41348.702905092592</v>
      </c>
      <c r="Q1565" s="14" t="s">
        <v>106</v>
      </c>
      <c r="R1565" s="14" t="s">
        <v>6334</v>
      </c>
      <c r="S1565" s="8"/>
      <c r="T1565" s="8"/>
      <c r="U1565" s="11" t="str">
        <f t="shared" ref="U1565:U1570" si="287">HYPERLINK("https://pbs.twimg.com/profile_images/584756954993688576/bce-bDIR.jpg","View")</f>
        <v>View</v>
      </c>
      <c r="V1565" s="8"/>
      <c r="W1565" s="8"/>
      <c r="X1565" s="8"/>
      <c r="Y1565" s="8"/>
      <c r="Z1565" s="8"/>
    </row>
    <row r="1566" spans="1:26" ht="13.2">
      <c r="A1566" s="13">
        <v>44250.390555555554</v>
      </c>
      <c r="B1566" s="6" t="str">
        <f t="shared" si="285"/>
        <v>@DataScientistsF</v>
      </c>
      <c r="C1566" s="14" t="s">
        <v>6480</v>
      </c>
      <c r="D1566" s="14" t="s">
        <v>6565</v>
      </c>
      <c r="E1566" s="6" t="str">
        <f>HYPERLINK("https://twitter.com/DataScientistsF/status/1364128461686767625","1364128461686767625")</f>
        <v>1364128461686767625</v>
      </c>
      <c r="F1566" s="14" t="s">
        <v>6566</v>
      </c>
      <c r="G1566" s="8"/>
      <c r="H1566" s="8"/>
      <c r="I1566" s="14">
        <v>1</v>
      </c>
      <c r="J1566" s="14">
        <v>1</v>
      </c>
      <c r="K1566" s="6" t="str">
        <f t="shared" si="286"/>
        <v>IFTTT</v>
      </c>
      <c r="L1566" s="15">
        <v>2470</v>
      </c>
      <c r="M1566" s="15">
        <v>174</v>
      </c>
      <c r="N1566" s="15">
        <v>609</v>
      </c>
      <c r="O1566" s="9"/>
      <c r="P1566" s="10">
        <v>41348.702905092592</v>
      </c>
      <c r="Q1566" s="14" t="s">
        <v>106</v>
      </c>
      <c r="R1566" s="14" t="s">
        <v>6334</v>
      </c>
      <c r="S1566" s="8"/>
      <c r="T1566" s="8"/>
      <c r="U1566" s="11" t="str">
        <f t="shared" si="287"/>
        <v>View</v>
      </c>
      <c r="V1566" s="8"/>
      <c r="W1566" s="8"/>
      <c r="X1566" s="8"/>
      <c r="Y1566" s="8"/>
      <c r="Z1566" s="8"/>
    </row>
    <row r="1567" spans="1:26" ht="13.2">
      <c r="A1567" s="13">
        <v>44250.390543981484</v>
      </c>
      <c r="B1567" s="6" t="str">
        <f t="shared" si="285"/>
        <v>@DataScientistsF</v>
      </c>
      <c r="C1567" s="14" t="s">
        <v>6480</v>
      </c>
      <c r="D1567" s="14" t="s">
        <v>6335</v>
      </c>
      <c r="E1567" s="6" t="str">
        <f>HYPERLINK("https://twitter.com/DataScientistsF/status/1364128458083880960","1364128458083880960")</f>
        <v>1364128458083880960</v>
      </c>
      <c r="F1567" s="14" t="s">
        <v>6336</v>
      </c>
      <c r="G1567" s="8"/>
      <c r="H1567" s="8"/>
      <c r="I1567" s="14">
        <v>1</v>
      </c>
      <c r="J1567" s="14">
        <v>1</v>
      </c>
      <c r="K1567" s="6" t="str">
        <f t="shared" si="286"/>
        <v>IFTTT</v>
      </c>
      <c r="L1567" s="15">
        <v>2470</v>
      </c>
      <c r="M1567" s="15">
        <v>174</v>
      </c>
      <c r="N1567" s="15">
        <v>609</v>
      </c>
      <c r="O1567" s="9"/>
      <c r="P1567" s="10">
        <v>41348.702905092592</v>
      </c>
      <c r="Q1567" s="14" t="s">
        <v>106</v>
      </c>
      <c r="R1567" s="14" t="s">
        <v>6334</v>
      </c>
      <c r="S1567" s="8"/>
      <c r="T1567" s="8"/>
      <c r="U1567" s="11" t="str">
        <f t="shared" si="287"/>
        <v>View</v>
      </c>
      <c r="V1567" s="8"/>
      <c r="W1567" s="8"/>
      <c r="X1567" s="8"/>
      <c r="Y1567" s="8"/>
      <c r="Z1567" s="8"/>
    </row>
    <row r="1568" spans="1:26" ht="13.2">
      <c r="A1568" s="13">
        <v>44250.390532407408</v>
      </c>
      <c r="B1568" s="6" t="str">
        <f t="shared" si="285"/>
        <v>@DataScientistsF</v>
      </c>
      <c r="C1568" s="14" t="s">
        <v>6480</v>
      </c>
      <c r="D1568" s="14" t="s">
        <v>6567</v>
      </c>
      <c r="E1568" s="6" t="str">
        <f>HYPERLINK("https://twitter.com/DataScientistsF/status/1364128455210729477","1364128455210729477")</f>
        <v>1364128455210729477</v>
      </c>
      <c r="F1568" s="14" t="s">
        <v>6568</v>
      </c>
      <c r="G1568" s="8"/>
      <c r="H1568" s="8"/>
      <c r="I1568" s="14">
        <v>1</v>
      </c>
      <c r="J1568" s="14">
        <v>2</v>
      </c>
      <c r="K1568" s="6" t="str">
        <f t="shared" si="286"/>
        <v>IFTTT</v>
      </c>
      <c r="L1568" s="15">
        <v>2470</v>
      </c>
      <c r="M1568" s="15">
        <v>174</v>
      </c>
      <c r="N1568" s="15">
        <v>609</v>
      </c>
      <c r="O1568" s="9"/>
      <c r="P1568" s="10">
        <v>41348.702905092592</v>
      </c>
      <c r="Q1568" s="14" t="s">
        <v>106</v>
      </c>
      <c r="R1568" s="14" t="s">
        <v>6334</v>
      </c>
      <c r="S1568" s="8"/>
      <c r="T1568" s="8"/>
      <c r="U1568" s="11" t="str">
        <f t="shared" si="287"/>
        <v>View</v>
      </c>
      <c r="V1568" s="8"/>
      <c r="W1568" s="8"/>
      <c r="X1568" s="8"/>
      <c r="Y1568" s="8"/>
      <c r="Z1568" s="8"/>
    </row>
    <row r="1569" spans="1:26" ht="13.2">
      <c r="A1569" s="13">
        <v>44250.390532407408</v>
      </c>
      <c r="B1569" s="6" t="str">
        <f t="shared" si="285"/>
        <v>@DataScientistsF</v>
      </c>
      <c r="C1569" s="14" t="s">
        <v>6480</v>
      </c>
      <c r="D1569" s="14" t="s">
        <v>6569</v>
      </c>
      <c r="E1569" s="6" t="str">
        <f>HYPERLINK("https://twitter.com/DataScientistsF/status/1364128453306499074","1364128453306499074")</f>
        <v>1364128453306499074</v>
      </c>
      <c r="F1569" s="14" t="s">
        <v>6570</v>
      </c>
      <c r="G1569" s="8"/>
      <c r="H1569" s="8"/>
      <c r="I1569" s="14">
        <v>3</v>
      </c>
      <c r="J1569" s="14">
        <v>2</v>
      </c>
      <c r="K1569" s="6" t="str">
        <f t="shared" si="286"/>
        <v>IFTTT</v>
      </c>
      <c r="L1569" s="15">
        <v>2470</v>
      </c>
      <c r="M1569" s="15">
        <v>174</v>
      </c>
      <c r="N1569" s="15">
        <v>609</v>
      </c>
      <c r="O1569" s="9"/>
      <c r="P1569" s="10">
        <v>41348.702905092592</v>
      </c>
      <c r="Q1569" s="14" t="s">
        <v>106</v>
      </c>
      <c r="R1569" s="14" t="s">
        <v>6334</v>
      </c>
      <c r="S1569" s="8"/>
      <c r="T1569" s="8"/>
      <c r="U1569" s="11" t="str">
        <f t="shared" si="287"/>
        <v>View</v>
      </c>
      <c r="V1569" s="8"/>
      <c r="W1569" s="8"/>
      <c r="X1569" s="8"/>
      <c r="Y1569" s="8"/>
      <c r="Z1569" s="8"/>
    </row>
    <row r="1570" spans="1:26" ht="13.2">
      <c r="A1570" s="13">
        <v>44250.390497685185</v>
      </c>
      <c r="B1570" s="6" t="str">
        <f t="shared" si="285"/>
        <v>@DataScientistsF</v>
      </c>
      <c r="C1570" s="14" t="s">
        <v>6480</v>
      </c>
      <c r="D1570" s="14" t="s">
        <v>6337</v>
      </c>
      <c r="E1570" s="6" t="str">
        <f>HYPERLINK("https://twitter.com/DataScientistsF/status/1364128441092747265","1364128441092747265")</f>
        <v>1364128441092747265</v>
      </c>
      <c r="F1570" s="14" t="s">
        <v>6338</v>
      </c>
      <c r="G1570" s="8"/>
      <c r="H1570" s="8"/>
      <c r="I1570" s="14">
        <v>1</v>
      </c>
      <c r="J1570" s="14">
        <v>2</v>
      </c>
      <c r="K1570" s="6" t="str">
        <f t="shared" si="286"/>
        <v>IFTTT</v>
      </c>
      <c r="L1570" s="15">
        <v>2470</v>
      </c>
      <c r="M1570" s="15">
        <v>174</v>
      </c>
      <c r="N1570" s="15">
        <v>609</v>
      </c>
      <c r="O1570" s="9"/>
      <c r="P1570" s="10">
        <v>41348.702905092592</v>
      </c>
      <c r="Q1570" s="14" t="s">
        <v>106</v>
      </c>
      <c r="R1570" s="14" t="s">
        <v>6334</v>
      </c>
      <c r="S1570" s="8"/>
      <c r="T1570" s="8"/>
      <c r="U1570" s="11" t="str">
        <f t="shared" si="287"/>
        <v>View</v>
      </c>
      <c r="V1570" s="8"/>
      <c r="W1570" s="8"/>
      <c r="X1570" s="8"/>
      <c r="Y1570" s="8"/>
      <c r="Z1570" s="8"/>
    </row>
    <row r="1571" spans="1:26" ht="13.2">
      <c r="A1571" s="13">
        <v>44250.389803240745</v>
      </c>
      <c r="B1571" s="6" t="str">
        <f>HYPERLINK("https://twitter.com/julsimon","@julsimon")</f>
        <v>@julsimon</v>
      </c>
      <c r="C1571" s="14" t="s">
        <v>2225</v>
      </c>
      <c r="D1571" s="14" t="s">
        <v>6571</v>
      </c>
      <c r="E1571" s="6" t="str">
        <f>HYPERLINK("https://twitter.com/julsimon/status/1364128191238053891","1364128191238053891")</f>
        <v>1364128191238053891</v>
      </c>
      <c r="F1571" s="7" t="s">
        <v>6572</v>
      </c>
      <c r="G1571" s="7" t="s">
        <v>6573</v>
      </c>
      <c r="H1571" s="8"/>
      <c r="I1571" s="14">
        <v>13</v>
      </c>
      <c r="J1571" s="14">
        <v>20</v>
      </c>
      <c r="K1571" s="6" t="str">
        <f t="shared" ref="K1571:K1572" si="288">HYPERLINK("https://mobile.twitter.com","Twitter Web App")</f>
        <v>Twitter Web App</v>
      </c>
      <c r="L1571" s="15">
        <v>8911</v>
      </c>
      <c r="M1571" s="15">
        <v>2044</v>
      </c>
      <c r="N1571" s="15">
        <v>354</v>
      </c>
      <c r="O1571" s="9"/>
      <c r="P1571" s="10">
        <v>39900.460381944446</v>
      </c>
      <c r="Q1571" s="14" t="s">
        <v>106</v>
      </c>
      <c r="R1571" s="14" t="s">
        <v>2228</v>
      </c>
      <c r="S1571" s="7" t="s">
        <v>2229</v>
      </c>
      <c r="T1571" s="8"/>
      <c r="U1571" s="11" t="str">
        <f>HYPERLINK("https://pbs.twimg.com/profile_images/1074681797894660101/a4BDayre.jpg","View")</f>
        <v>View</v>
      </c>
      <c r="V1571" s="8"/>
      <c r="W1571" s="8"/>
      <c r="X1571" s="8"/>
      <c r="Y1571" s="8"/>
      <c r="Z1571" s="8"/>
    </row>
    <row r="1572" spans="1:26" ht="13.2">
      <c r="A1572" s="13">
        <v>44250.389583333337</v>
      </c>
      <c r="B1572" s="6" t="str">
        <f>HYPERLINK("https://twitter.com/ClimateChangeAI","@ClimateChangeAI")</f>
        <v>@ClimateChangeAI</v>
      </c>
      <c r="C1572" s="14" t="s">
        <v>6574</v>
      </c>
      <c r="D1572" s="14" t="s">
        <v>6575</v>
      </c>
      <c r="E1572" s="6" t="str">
        <f>HYPERLINK("https://twitter.com/ClimateChangeAI/status/1364128111978291200","1364128111978291200")</f>
        <v>1364128111978291200</v>
      </c>
      <c r="F1572" s="14" t="s">
        <v>6576</v>
      </c>
      <c r="G1572" s="8"/>
      <c r="H1572" s="8"/>
      <c r="I1572" s="14">
        <v>1</v>
      </c>
      <c r="J1572" s="14">
        <v>6</v>
      </c>
      <c r="K1572" s="6" t="str">
        <f t="shared" si="288"/>
        <v>Twitter Web App</v>
      </c>
      <c r="L1572" s="15">
        <v>3680</v>
      </c>
      <c r="M1572" s="15">
        <v>258</v>
      </c>
      <c r="N1572" s="15">
        <v>75</v>
      </c>
      <c r="O1572" s="9"/>
      <c r="P1572" s="10">
        <v>43557.756539351853</v>
      </c>
      <c r="Q1572" s="8"/>
      <c r="R1572" s="14" t="s">
        <v>6577</v>
      </c>
      <c r="S1572" s="7" t="s">
        <v>6578</v>
      </c>
      <c r="T1572" s="8"/>
      <c r="U1572" s="11" t="str">
        <f>HYPERLINK("https://pbs.twimg.com/profile_images/1321381292970283008/8AhiFKoD.png","View")</f>
        <v>View</v>
      </c>
      <c r="V1572" s="8"/>
      <c r="W1572" s="8"/>
      <c r="X1572" s="8"/>
      <c r="Y1572" s="8"/>
      <c r="Z1572" s="8"/>
    </row>
    <row r="1573" spans="1:26" ht="13.2">
      <c r="A1573" s="13">
        <v>44250.389467592591</v>
      </c>
      <c r="B1573" s="6" t="str">
        <f>HYPERLINK("https://twitter.com/eldiosmercurio","@eldiosmercurio")</f>
        <v>@eldiosmercurio</v>
      </c>
      <c r="C1573" s="14" t="s">
        <v>6579</v>
      </c>
      <c r="D1573" s="14" t="s">
        <v>6580</v>
      </c>
      <c r="E1573" s="6" t="str">
        <f>HYPERLINK("https://twitter.com/eldiosmercurio/status/1364128067229253633","1364128067229253633")</f>
        <v>1364128067229253633</v>
      </c>
      <c r="F1573" s="7" t="s">
        <v>6581</v>
      </c>
      <c r="G1573" s="8"/>
      <c r="H1573" s="8"/>
      <c r="I1573" s="14">
        <v>1</v>
      </c>
      <c r="J1573" s="14">
        <v>1</v>
      </c>
      <c r="K1573" s="6" t="str">
        <f>HYPERLINK("http://twitter.com/#!/download/ipad","Twitter for iPad")</f>
        <v>Twitter for iPad</v>
      </c>
      <c r="L1573" s="15">
        <v>63</v>
      </c>
      <c r="M1573" s="15">
        <v>35</v>
      </c>
      <c r="N1573" s="15">
        <v>0</v>
      </c>
      <c r="O1573" s="9"/>
      <c r="P1573" s="10">
        <v>42030.454386574071</v>
      </c>
      <c r="Q1573" s="14" t="s">
        <v>6582</v>
      </c>
      <c r="R1573" s="14" t="s">
        <v>6583</v>
      </c>
      <c r="S1573" s="7" t="s">
        <v>6584</v>
      </c>
      <c r="T1573" s="8"/>
      <c r="U1573" s="11" t="str">
        <f>HYPERLINK("https://pbs.twimg.com/profile_images/559651127667724288/d3FytRyL.jpeg","View")</f>
        <v>View</v>
      </c>
      <c r="V1573" s="8"/>
      <c r="W1573" s="8"/>
      <c r="X1573" s="8"/>
      <c r="Y1573" s="8"/>
      <c r="Z1573" s="8"/>
    </row>
    <row r="1574" spans="1:26" ht="13.2">
      <c r="A1574" s="13">
        <v>44250.389282407406</v>
      </c>
      <c r="B1574" s="6" t="str">
        <f>HYPERLINK("https://twitter.com/Bimser_","@Bimser_")</f>
        <v>@Bimser_</v>
      </c>
      <c r="C1574" s="14" t="s">
        <v>6585</v>
      </c>
      <c r="D1574" s="14" t="s">
        <v>6586</v>
      </c>
      <c r="E1574" s="6" t="str">
        <f>HYPERLINK("https://twitter.com/Bimser_/status/1364127999482855426","1364127999482855426")</f>
        <v>1364127999482855426</v>
      </c>
      <c r="F1574" s="14" t="s">
        <v>6587</v>
      </c>
      <c r="G1574" s="7" t="s">
        <v>6588</v>
      </c>
      <c r="H1574" s="8"/>
      <c r="I1574" s="14">
        <v>1</v>
      </c>
      <c r="J1574" s="14">
        <v>0</v>
      </c>
      <c r="K1574" s="6" t="str">
        <f t="shared" ref="K1574:K1575" si="289">HYPERLINK("https://mobile.twitter.com","Twitter Web App")</f>
        <v>Twitter Web App</v>
      </c>
      <c r="L1574" s="15">
        <v>240</v>
      </c>
      <c r="M1574" s="15">
        <v>61</v>
      </c>
      <c r="N1574" s="15">
        <v>1</v>
      </c>
      <c r="O1574" s="9"/>
      <c r="P1574" s="10">
        <v>40860.754375000004</v>
      </c>
      <c r="Q1574" s="14" t="s">
        <v>1994</v>
      </c>
      <c r="R1574" s="8"/>
      <c r="S1574" s="7" t="s">
        <v>6589</v>
      </c>
      <c r="T1574" s="8"/>
      <c r="U1574" s="11" t="str">
        <f>HYPERLINK("https://pbs.twimg.com/profile_images/1347512696934195200/MRXRaQBh.jpg","View")</f>
        <v>View</v>
      </c>
      <c r="V1574" s="8"/>
      <c r="W1574" s="8"/>
      <c r="X1574" s="8"/>
      <c r="Y1574" s="8"/>
      <c r="Z1574" s="8"/>
    </row>
    <row r="1575" spans="1:26" ht="13.2">
      <c r="A1575" s="13">
        <v>44250.389108796298</v>
      </c>
      <c r="B1575" s="6" t="str">
        <f>HYPERLINK("https://twitter.com/3aiAssociation","@3aiAssociation")</f>
        <v>@3aiAssociation</v>
      </c>
      <c r="C1575" s="14" t="s">
        <v>6590</v>
      </c>
      <c r="D1575" s="14" t="s">
        <v>6591</v>
      </c>
      <c r="E1575" s="6" t="str">
        <f>HYPERLINK("https://twitter.com/3aiAssociation/status/1364127936878583813","1364127936878583813")</f>
        <v>1364127936878583813</v>
      </c>
      <c r="F1575" s="7" t="s">
        <v>6592</v>
      </c>
      <c r="G1575" s="7" t="s">
        <v>6593</v>
      </c>
      <c r="H1575" s="8"/>
      <c r="I1575" s="14">
        <v>2</v>
      </c>
      <c r="J1575" s="14">
        <v>2</v>
      </c>
      <c r="K1575" s="6" t="str">
        <f t="shared" si="289"/>
        <v>Twitter Web App</v>
      </c>
      <c r="L1575" s="15">
        <v>34</v>
      </c>
      <c r="M1575" s="15">
        <v>6</v>
      </c>
      <c r="N1575" s="15">
        <v>1</v>
      </c>
      <c r="O1575" s="9"/>
      <c r="P1575" s="10">
        <v>43843.616469907407</v>
      </c>
      <c r="Q1575" s="14" t="s">
        <v>3176</v>
      </c>
      <c r="R1575" s="14" t="s">
        <v>6594</v>
      </c>
      <c r="S1575" s="8"/>
      <c r="T1575" s="8"/>
      <c r="U1575" s="11" t="str">
        <f>HYPERLINK("https://pbs.twimg.com/profile_images/1219985005025185799/BKkFkhul.png","View")</f>
        <v>View</v>
      </c>
      <c r="V1575" s="8"/>
      <c r="W1575" s="8"/>
      <c r="X1575" s="8"/>
      <c r="Y1575" s="8"/>
      <c r="Z1575" s="8"/>
    </row>
    <row r="1576" spans="1:26" ht="13.2">
      <c r="A1576" s="13">
        <v>44250.388935185183</v>
      </c>
      <c r="B1576" s="6" t="str">
        <f>HYPERLINK("https://twitter.com/nigewillson","@nigewillson")</f>
        <v>@nigewillson</v>
      </c>
      <c r="C1576" s="14" t="s">
        <v>95</v>
      </c>
      <c r="D1576" s="14" t="s">
        <v>756</v>
      </c>
      <c r="E1576" s="6" t="str">
        <f>HYPERLINK("https://twitter.com/nigewillson/status/1364127874895249408","1364127874895249408")</f>
        <v>1364127874895249408</v>
      </c>
      <c r="F1576" s="7" t="s">
        <v>757</v>
      </c>
      <c r="G1576" s="7" t="s">
        <v>6595</v>
      </c>
      <c r="H1576" s="8"/>
      <c r="I1576" s="14">
        <v>11</v>
      </c>
      <c r="J1576" s="14">
        <v>10</v>
      </c>
      <c r="K1576" s="6" t="str">
        <f t="shared" ref="K1576:K1577" si="290">HYPERLINK("https://buffer.com","Buffer")</f>
        <v>Buffer</v>
      </c>
      <c r="L1576" s="15">
        <v>57515</v>
      </c>
      <c r="M1576" s="15">
        <v>49523</v>
      </c>
      <c r="N1576" s="15">
        <v>1688</v>
      </c>
      <c r="O1576" s="9"/>
      <c r="P1576" s="10">
        <v>40530.666805555556</v>
      </c>
      <c r="Q1576" s="14" t="s">
        <v>99</v>
      </c>
      <c r="R1576" s="14" t="s">
        <v>100</v>
      </c>
      <c r="S1576" s="7" t="s">
        <v>101</v>
      </c>
      <c r="T1576" s="8"/>
      <c r="U1576" s="11" t="str">
        <f>HYPERLINK("https://pbs.twimg.com/profile_images/1085251590997622784/x9mWVQ1d.jpg","View")</f>
        <v>View</v>
      </c>
      <c r="V1576" s="8"/>
      <c r="W1576" s="8"/>
      <c r="X1576" s="8"/>
      <c r="Y1576" s="8"/>
      <c r="Z1576" s="8"/>
    </row>
    <row r="1577" spans="1:26" ht="13.2">
      <c r="A1577" s="13">
        <v>44250.388912037037</v>
      </c>
      <c r="B1577" s="6" t="str">
        <f>HYPERLINK("https://twitter.com/ingliguori","@ingliguori")</f>
        <v>@ingliguori</v>
      </c>
      <c r="C1577" s="14" t="s">
        <v>817</v>
      </c>
      <c r="D1577" s="14" t="s">
        <v>6596</v>
      </c>
      <c r="E1577" s="6" t="str">
        <f>HYPERLINK("https://twitter.com/ingliguori/status/1364127867370680320","1364127867370680320")</f>
        <v>1364127867370680320</v>
      </c>
      <c r="F1577" s="8"/>
      <c r="G1577" s="7" t="s">
        <v>6597</v>
      </c>
      <c r="H1577" s="8"/>
      <c r="I1577" s="14">
        <v>70</v>
      </c>
      <c r="J1577" s="14">
        <v>49</v>
      </c>
      <c r="K1577" s="6" t="str">
        <f t="shared" si="290"/>
        <v>Buffer</v>
      </c>
      <c r="L1577" s="15">
        <v>28633</v>
      </c>
      <c r="M1577" s="15">
        <v>8954</v>
      </c>
      <c r="N1577" s="15">
        <v>338</v>
      </c>
      <c r="O1577" s="9"/>
      <c r="P1577" s="10">
        <v>41173.034710648149</v>
      </c>
      <c r="Q1577" s="14" t="s">
        <v>820</v>
      </c>
      <c r="R1577" s="14" t="s">
        <v>821</v>
      </c>
      <c r="S1577" s="7" t="s">
        <v>822</v>
      </c>
      <c r="T1577" s="8"/>
      <c r="U1577" s="11" t="str">
        <f>HYPERLINK("https://pbs.twimg.com/profile_images/1286694267520507909/8ZM-3MFU.jpg","View")</f>
        <v>View</v>
      </c>
      <c r="V1577" s="8"/>
      <c r="W1577" s="8"/>
      <c r="X1577" s="8"/>
      <c r="Y1577" s="8"/>
      <c r="Z1577" s="8"/>
    </row>
    <row r="1578" spans="1:26" ht="13.2">
      <c r="A1578" s="13">
        <v>44250.38890046296</v>
      </c>
      <c r="B1578" s="6" t="str">
        <f>HYPERLINK("https://twitter.com/tampalini","@tampalini")</f>
        <v>@tampalini</v>
      </c>
      <c r="C1578" s="14" t="s">
        <v>6598</v>
      </c>
      <c r="D1578" s="14" t="s">
        <v>6599</v>
      </c>
      <c r="E1578" s="6" t="str">
        <f>HYPERLINK("https://twitter.com/tampalini/status/1364127864338145280","1364127864338145280")</f>
        <v>1364127864338145280</v>
      </c>
      <c r="F1578" s="7" t="s">
        <v>6600</v>
      </c>
      <c r="G1578" s="8"/>
      <c r="H1578" s="8"/>
      <c r="I1578" s="14">
        <v>1</v>
      </c>
      <c r="J1578" s="14">
        <v>2</v>
      </c>
      <c r="K1578" s="6" t="str">
        <f>HYPERLINK("https://paper.li","Paper.li")</f>
        <v>Paper.li</v>
      </c>
      <c r="L1578" s="15">
        <v>519</v>
      </c>
      <c r="M1578" s="15">
        <v>355</v>
      </c>
      <c r="N1578" s="15">
        <v>107</v>
      </c>
      <c r="O1578" s="9"/>
      <c r="P1578" s="10">
        <v>40008.834456018521</v>
      </c>
      <c r="Q1578" s="14" t="s">
        <v>869</v>
      </c>
      <c r="R1578" s="14" t="s">
        <v>6601</v>
      </c>
      <c r="S1578" s="7" t="s">
        <v>6602</v>
      </c>
      <c r="T1578" s="8"/>
      <c r="U1578" s="11" t="str">
        <f>HYPERLINK("https://pbs.twimg.com/profile_images/1301826649126842368/ipo3XG2q.jpg","View")</f>
        <v>View</v>
      </c>
      <c r="V1578" s="8"/>
      <c r="W1578" s="8"/>
      <c r="X1578" s="8"/>
      <c r="Y1578" s="8"/>
      <c r="Z1578" s="8"/>
    </row>
    <row r="1579" spans="1:26" ht="13.2">
      <c r="A1579" s="13">
        <v>44250.388668981483</v>
      </c>
      <c r="B1579" s="6" t="str">
        <f t="shared" ref="B1579:B1582" si="291">HYPERLINK("https://twitter.com/ds_vault","@ds_vault")</f>
        <v>@ds_vault</v>
      </c>
      <c r="C1579" s="14" t="s">
        <v>6603</v>
      </c>
      <c r="D1579" s="14" t="s">
        <v>6604</v>
      </c>
      <c r="E1579" s="6" t="str">
        <f>HYPERLINK("https://twitter.com/ds_vault/status/1364127781135798272","1364127781135798272")</f>
        <v>1364127781135798272</v>
      </c>
      <c r="F1579" s="7" t="s">
        <v>1086</v>
      </c>
      <c r="G1579" s="8"/>
      <c r="H1579" s="8"/>
      <c r="I1579" s="14">
        <v>1</v>
      </c>
      <c r="J1579" s="14">
        <v>1</v>
      </c>
      <c r="K1579" s="6" t="str">
        <f t="shared" ref="K1579:K1582" si="292">HYPERLINK("https://datasciencevault.com/","Data Science Vault")</f>
        <v>Data Science Vault</v>
      </c>
      <c r="L1579" s="15">
        <v>266</v>
      </c>
      <c r="M1579" s="15">
        <v>2</v>
      </c>
      <c r="N1579" s="15">
        <v>5</v>
      </c>
      <c r="O1579" s="9"/>
      <c r="P1579" s="10">
        <v>43286.570069444446</v>
      </c>
      <c r="Q1579" s="8"/>
      <c r="R1579" s="14" t="s">
        <v>6605</v>
      </c>
      <c r="S1579" s="7" t="s">
        <v>6606</v>
      </c>
      <c r="T1579" s="8"/>
      <c r="U1579" s="11" t="str">
        <f t="shared" ref="U1579:U1582" si="293">HYPERLINK("https://pbs.twimg.com/profile_images/1017392978338467842/sXrppUVY.jpg","View")</f>
        <v>View</v>
      </c>
      <c r="V1579" s="8"/>
      <c r="W1579" s="8"/>
      <c r="X1579" s="8"/>
      <c r="Y1579" s="8"/>
      <c r="Z1579" s="8"/>
    </row>
    <row r="1580" spans="1:26" ht="13.2">
      <c r="A1580" s="13">
        <v>44250.388668981483</v>
      </c>
      <c r="B1580" s="6" t="str">
        <f t="shared" si="291"/>
        <v>@ds_vault</v>
      </c>
      <c r="C1580" s="14" t="s">
        <v>6603</v>
      </c>
      <c r="D1580" s="14" t="s">
        <v>6607</v>
      </c>
      <c r="E1580" s="6" t="str">
        <f>HYPERLINK("https://twitter.com/ds_vault/status/1364127779885883392","1364127779885883392")</f>
        <v>1364127779885883392</v>
      </c>
      <c r="F1580" s="7" t="s">
        <v>6608</v>
      </c>
      <c r="G1580" s="8"/>
      <c r="H1580" s="8"/>
      <c r="I1580" s="14">
        <v>4</v>
      </c>
      <c r="J1580" s="14">
        <v>2</v>
      </c>
      <c r="K1580" s="6" t="str">
        <f t="shared" si="292"/>
        <v>Data Science Vault</v>
      </c>
      <c r="L1580" s="15">
        <v>266</v>
      </c>
      <c r="M1580" s="15">
        <v>2</v>
      </c>
      <c r="N1580" s="15">
        <v>5</v>
      </c>
      <c r="O1580" s="9"/>
      <c r="P1580" s="10">
        <v>43286.570069444446</v>
      </c>
      <c r="Q1580" s="8"/>
      <c r="R1580" s="14" t="s">
        <v>6605</v>
      </c>
      <c r="S1580" s="7" t="s">
        <v>6606</v>
      </c>
      <c r="T1580" s="8"/>
      <c r="U1580" s="11" t="str">
        <f t="shared" si="293"/>
        <v>View</v>
      </c>
      <c r="V1580" s="8"/>
      <c r="W1580" s="8"/>
      <c r="X1580" s="8"/>
      <c r="Y1580" s="8"/>
      <c r="Z1580" s="8"/>
    </row>
    <row r="1581" spans="1:26" ht="13.2">
      <c r="A1581" s="13">
        <v>44250.388668981483</v>
      </c>
      <c r="B1581" s="6" t="str">
        <f t="shared" si="291"/>
        <v>@ds_vault</v>
      </c>
      <c r="C1581" s="14" t="s">
        <v>6603</v>
      </c>
      <c r="D1581" s="14" t="s">
        <v>6609</v>
      </c>
      <c r="E1581" s="6" t="str">
        <f>HYPERLINK("https://twitter.com/ds_vault/status/1364127778715693059","1364127778715693059")</f>
        <v>1364127778715693059</v>
      </c>
      <c r="F1581" s="7" t="s">
        <v>6610</v>
      </c>
      <c r="G1581" s="8"/>
      <c r="H1581" s="8"/>
      <c r="I1581" s="14">
        <v>2</v>
      </c>
      <c r="J1581" s="14">
        <v>1</v>
      </c>
      <c r="K1581" s="6" t="str">
        <f t="shared" si="292"/>
        <v>Data Science Vault</v>
      </c>
      <c r="L1581" s="15">
        <v>266</v>
      </c>
      <c r="M1581" s="15">
        <v>2</v>
      </c>
      <c r="N1581" s="15">
        <v>5</v>
      </c>
      <c r="O1581" s="9"/>
      <c r="P1581" s="10">
        <v>43286.570069444446</v>
      </c>
      <c r="Q1581" s="8"/>
      <c r="R1581" s="14" t="s">
        <v>6605</v>
      </c>
      <c r="S1581" s="7" t="s">
        <v>6606</v>
      </c>
      <c r="T1581" s="8"/>
      <c r="U1581" s="11" t="str">
        <f t="shared" si="293"/>
        <v>View</v>
      </c>
      <c r="V1581" s="8"/>
      <c r="W1581" s="8"/>
      <c r="X1581" s="8"/>
      <c r="Y1581" s="8"/>
      <c r="Z1581" s="8"/>
    </row>
    <row r="1582" spans="1:26" ht="13.2">
      <c r="A1582" s="13">
        <v>44250.388668981483</v>
      </c>
      <c r="B1582" s="6" t="str">
        <f t="shared" si="291"/>
        <v>@ds_vault</v>
      </c>
      <c r="C1582" s="14" t="s">
        <v>6603</v>
      </c>
      <c r="D1582" s="14" t="s">
        <v>6611</v>
      </c>
      <c r="E1582" s="6" t="str">
        <f>HYPERLINK("https://twitter.com/ds_vault/status/1364127777511911425","1364127777511911425")</f>
        <v>1364127777511911425</v>
      </c>
      <c r="F1582" s="7" t="s">
        <v>6612</v>
      </c>
      <c r="G1582" s="8"/>
      <c r="H1582" s="8"/>
      <c r="I1582" s="14">
        <v>2</v>
      </c>
      <c r="J1582" s="14">
        <v>1</v>
      </c>
      <c r="K1582" s="6" t="str">
        <f t="shared" si="292"/>
        <v>Data Science Vault</v>
      </c>
      <c r="L1582" s="15">
        <v>266</v>
      </c>
      <c r="M1582" s="15">
        <v>2</v>
      </c>
      <c r="N1582" s="15">
        <v>5</v>
      </c>
      <c r="O1582" s="9"/>
      <c r="P1582" s="10">
        <v>43286.570069444446</v>
      </c>
      <c r="Q1582" s="8"/>
      <c r="R1582" s="14" t="s">
        <v>6605</v>
      </c>
      <c r="S1582" s="7" t="s">
        <v>6606</v>
      </c>
      <c r="T1582" s="8"/>
      <c r="U1582" s="11" t="str">
        <f t="shared" si="293"/>
        <v>View</v>
      </c>
      <c r="V1582" s="8"/>
      <c r="W1582" s="8"/>
      <c r="X1582" s="8"/>
      <c r="Y1582" s="8"/>
      <c r="Z1582" s="8"/>
    </row>
    <row r="1583" spans="1:26" ht="13.2">
      <c r="A1583" s="13">
        <v>44250.388506944444</v>
      </c>
      <c r="B1583" s="6" t="str">
        <f>HYPERLINK("https://twitter.com/ET_CIO","@ET_CIO")</f>
        <v>@ET_CIO</v>
      </c>
      <c r="C1583" s="14" t="s">
        <v>6613</v>
      </c>
      <c r="D1583" s="14" t="s">
        <v>6614</v>
      </c>
      <c r="E1583" s="6" t="str">
        <f>HYPERLINK("https://twitter.com/ET_CIO/status/1364127722583154694","1364127722583154694")</f>
        <v>1364127722583154694</v>
      </c>
      <c r="F1583" s="7" t="s">
        <v>6615</v>
      </c>
      <c r="G1583" s="7" t="s">
        <v>6616</v>
      </c>
      <c r="H1583" s="8"/>
      <c r="I1583" s="14">
        <v>2</v>
      </c>
      <c r="J1583" s="14">
        <v>1</v>
      </c>
      <c r="K1583" s="6" t="str">
        <f>HYPERLINK("https://mobile.twitter.com","Twitter Web App")</f>
        <v>Twitter Web App</v>
      </c>
      <c r="L1583" s="15">
        <v>4235</v>
      </c>
      <c r="M1583" s="15">
        <v>7198</v>
      </c>
      <c r="N1583" s="15">
        <v>83</v>
      </c>
      <c r="O1583" s="15" t="s">
        <v>130</v>
      </c>
      <c r="P1583" s="10">
        <v>41792.516817129632</v>
      </c>
      <c r="Q1583" s="8"/>
      <c r="R1583" s="14" t="s">
        <v>6617</v>
      </c>
      <c r="S1583" s="7" t="s">
        <v>6618</v>
      </c>
      <c r="T1583" s="8"/>
      <c r="U1583" s="11" t="str">
        <f>HYPERLINK("https://pbs.twimg.com/profile_images/1304062407459745797/Uc6Humxr.jpg","View")</f>
        <v>View</v>
      </c>
      <c r="V1583" s="8"/>
      <c r="W1583" s="8"/>
      <c r="X1583" s="8"/>
      <c r="Y1583" s="8"/>
      <c r="Z1583" s="8"/>
    </row>
    <row r="1584" spans="1:26" ht="13.2">
      <c r="A1584" s="13">
        <v>44250.388229166667</v>
      </c>
      <c r="B1584" s="6" t="str">
        <f>HYPERLINK("https://twitter.com/milocamj","@milocamj")</f>
        <v>@milocamj</v>
      </c>
      <c r="C1584" s="14" t="s">
        <v>1805</v>
      </c>
      <c r="D1584" s="14" t="s">
        <v>6619</v>
      </c>
      <c r="E1584" s="6" t="str">
        <f>HYPERLINK("https://twitter.com/milocamj/status/1364127620128935938","1364127620128935938")</f>
        <v>1364127620128935938</v>
      </c>
      <c r="F1584" s="14" t="s">
        <v>6620</v>
      </c>
      <c r="G1584" s="7" t="s">
        <v>6621</v>
      </c>
      <c r="H1584" s="8"/>
      <c r="I1584" s="14">
        <v>4</v>
      </c>
      <c r="J1584" s="14">
        <v>2</v>
      </c>
      <c r="K1584" s="6" t="str">
        <f>HYPERLINK("https://dlvrit.com/","dlvr.it")</f>
        <v>dlvr.it</v>
      </c>
      <c r="L1584" s="15">
        <v>2595</v>
      </c>
      <c r="M1584" s="15">
        <v>48</v>
      </c>
      <c r="N1584" s="15">
        <v>1282</v>
      </c>
      <c r="O1584" s="9"/>
      <c r="P1584" s="10">
        <v>39904.699837962966</v>
      </c>
      <c r="Q1584" s="14" t="s">
        <v>1809</v>
      </c>
      <c r="R1584" s="14" t="s">
        <v>1810</v>
      </c>
      <c r="S1584" s="7" t="s">
        <v>1811</v>
      </c>
      <c r="T1584" s="8"/>
      <c r="U1584" s="11" t="str">
        <f>HYPERLINK("https://pbs.twimg.com/profile_images/1108578778018709505/56I0aOhL.jpg","View")</f>
        <v>View</v>
      </c>
      <c r="V1584" s="8"/>
      <c r="W1584" s="8"/>
      <c r="X1584" s="8"/>
      <c r="Y1584" s="8"/>
      <c r="Z1584" s="8"/>
    </row>
    <row r="1585" spans="1:26" ht="13.2">
      <c r="A1585" s="13">
        <v>44250.388206018513</v>
      </c>
      <c r="B1585" s="6" t="str">
        <f>HYPERLINK("https://twitter.com/ElevenPaths","@ElevenPaths")</f>
        <v>@ElevenPaths</v>
      </c>
      <c r="C1585" s="14" t="s">
        <v>6622</v>
      </c>
      <c r="D1585" s="14" t="s">
        <v>6623</v>
      </c>
      <c r="E1585" s="6" t="str">
        <f>HYPERLINK("https://twitter.com/ElevenPaths/status/1364127611144859649","1364127611144859649")</f>
        <v>1364127611144859649</v>
      </c>
      <c r="F1585" s="7" t="s">
        <v>6624</v>
      </c>
      <c r="G1585" s="8"/>
      <c r="H1585" s="8"/>
      <c r="I1585" s="14">
        <v>2</v>
      </c>
      <c r="J1585" s="14">
        <v>3</v>
      </c>
      <c r="K1585" s="6" t="str">
        <f t="shared" ref="K1585:K1586" si="294">HYPERLINK("https://mobile.twitter.com","Twitter Web App")</f>
        <v>Twitter Web App</v>
      </c>
      <c r="L1585" s="15">
        <v>38759</v>
      </c>
      <c r="M1585" s="15">
        <v>792</v>
      </c>
      <c r="N1585" s="15">
        <v>786</v>
      </c>
      <c r="O1585" s="15" t="s">
        <v>130</v>
      </c>
      <c r="P1585" s="10">
        <v>41422.650659722218</v>
      </c>
      <c r="Q1585" s="14" t="s">
        <v>6625</v>
      </c>
      <c r="R1585" s="14" t="s">
        <v>6626</v>
      </c>
      <c r="S1585" s="7" t="s">
        <v>6627</v>
      </c>
      <c r="T1585" s="8"/>
      <c r="U1585" s="11" t="str">
        <f>HYPERLINK("https://pbs.twimg.com/profile_images/1324648176528347137/smThZZFU.jpg","View")</f>
        <v>View</v>
      </c>
      <c r="V1585" s="8"/>
      <c r="W1585" s="8"/>
      <c r="X1585" s="8"/>
      <c r="Y1585" s="8"/>
      <c r="Z1585" s="8"/>
    </row>
    <row r="1586" spans="1:26" ht="13.2">
      <c r="A1586" s="13">
        <v>44250.387233796297</v>
      </c>
      <c r="B1586" s="6" t="str">
        <f>HYPERLINK("https://twitter.com/bbva","@bbva")</f>
        <v>@bbva</v>
      </c>
      <c r="C1586" s="14" t="s">
        <v>6628</v>
      </c>
      <c r="D1586" s="14" t="s">
        <v>6629</v>
      </c>
      <c r="E1586" s="6" t="str">
        <f>HYPERLINK("https://twitter.com/bbva/status/1364127261058871296","1364127261058871296")</f>
        <v>1364127261058871296</v>
      </c>
      <c r="F1586" s="8"/>
      <c r="G1586" s="8"/>
      <c r="H1586" s="8"/>
      <c r="I1586" s="14">
        <v>6</v>
      </c>
      <c r="J1586" s="14">
        <v>16</v>
      </c>
      <c r="K1586" s="6" t="str">
        <f t="shared" si="294"/>
        <v>Twitter Web App</v>
      </c>
      <c r="L1586" s="15">
        <v>2510665</v>
      </c>
      <c r="M1586" s="15">
        <v>80</v>
      </c>
      <c r="N1586" s="15">
        <v>5459</v>
      </c>
      <c r="O1586" s="15" t="s">
        <v>130</v>
      </c>
      <c r="P1586" s="10">
        <v>39737.726377314815</v>
      </c>
      <c r="Q1586" s="8"/>
      <c r="R1586" s="14" t="s">
        <v>6630</v>
      </c>
      <c r="S1586" s="7" t="s">
        <v>6631</v>
      </c>
      <c r="T1586" s="8"/>
      <c r="U1586" s="11" t="str">
        <f>HYPERLINK("https://pbs.twimg.com/profile_images/1354467985067487233/RLKbyqOl.jpg","View")</f>
        <v>View</v>
      </c>
      <c r="V1586" s="8"/>
      <c r="W1586" s="8"/>
      <c r="X1586" s="8"/>
      <c r="Y1586" s="8"/>
      <c r="Z1586" s="8"/>
    </row>
    <row r="1587" spans="1:26" ht="13.2">
      <c r="A1587" s="13">
        <v>44250.387106481481</v>
      </c>
      <c r="B1587" s="6" t="str">
        <f>HYPERLINK("https://twitter.com/AnalyticsFr","@AnalyticsFr")</f>
        <v>@AnalyticsFr</v>
      </c>
      <c r="C1587" s="14" t="s">
        <v>6354</v>
      </c>
      <c r="D1587" s="14" t="s">
        <v>6357</v>
      </c>
      <c r="E1587" s="6" t="str">
        <f>HYPERLINK("https://twitter.com/AnalyticsFr/status/1364127212945965060","1364127212945965060")</f>
        <v>1364127212945965060</v>
      </c>
      <c r="F1587" s="7" t="s">
        <v>6358</v>
      </c>
      <c r="G1587" s="8"/>
      <c r="H1587" s="8"/>
      <c r="I1587" s="14">
        <v>1</v>
      </c>
      <c r="J1587" s="14">
        <v>2</v>
      </c>
      <c r="K1587" s="6" t="str">
        <f>HYPERLINK("https://ifttt.com","IFTTT")</f>
        <v>IFTTT</v>
      </c>
      <c r="L1587" s="15">
        <v>1506</v>
      </c>
      <c r="M1587" s="15">
        <v>193</v>
      </c>
      <c r="N1587" s="15">
        <v>616</v>
      </c>
      <c r="O1587" s="9"/>
      <c r="P1587" s="10">
        <v>41348.682442129633</v>
      </c>
      <c r="Q1587" s="14" t="s">
        <v>106</v>
      </c>
      <c r="R1587" s="14" t="s">
        <v>6334</v>
      </c>
      <c r="S1587" s="8"/>
      <c r="T1587" s="8"/>
      <c r="U1587" s="11" t="str">
        <f>HYPERLINK("https://pbs.twimg.com/profile_images/584755122854612992/-qOfOneV.jpg","View")</f>
        <v>View</v>
      </c>
      <c r="V1587" s="8"/>
      <c r="W1587" s="8"/>
      <c r="X1587" s="8"/>
      <c r="Y1587" s="8"/>
      <c r="Z1587" s="8"/>
    </row>
    <row r="1588" spans="1:26" ht="13.2">
      <c r="A1588" s="13">
        <v>44250.386226851857</v>
      </c>
      <c r="B1588" s="6" t="str">
        <f>HYPERLINK("https://twitter.com/DecisionsSmart","@DecisionsSmart")</f>
        <v>@DecisionsSmart</v>
      </c>
      <c r="C1588" s="14" t="s">
        <v>212</v>
      </c>
      <c r="D1588" s="14" t="s">
        <v>6011</v>
      </c>
      <c r="E1588" s="6" t="str">
        <f>HYPERLINK("https://twitter.com/DecisionsSmart/status/1364126893860126720","1364126893860126720")</f>
        <v>1364126893860126720</v>
      </c>
      <c r="F1588" s="14" t="s">
        <v>4483</v>
      </c>
      <c r="G1588" s="8"/>
      <c r="H1588" s="8"/>
      <c r="I1588" s="14">
        <v>1</v>
      </c>
      <c r="J1588" s="14">
        <v>1</v>
      </c>
      <c r="K1588" s="6" t="str">
        <f t="shared" ref="K1588:K1589" si="295">HYPERLINK("http://twinybots.com","TwinyBots")</f>
        <v>TwinyBots</v>
      </c>
      <c r="L1588" s="15">
        <v>6690</v>
      </c>
      <c r="M1588" s="15">
        <v>5126</v>
      </c>
      <c r="N1588" s="15">
        <v>88</v>
      </c>
      <c r="O1588" s="9"/>
      <c r="P1588" s="10">
        <v>43282.143495370372</v>
      </c>
      <c r="Q1588" s="14" t="s">
        <v>215</v>
      </c>
      <c r="R1588" s="14" t="s">
        <v>216</v>
      </c>
      <c r="S1588" s="8"/>
      <c r="T1588" s="8"/>
      <c r="U1588" s="11" t="str">
        <f>HYPERLINK("https://pbs.twimg.com/profile_images/1273753380373004289/crFq1msz.jpg","View")</f>
        <v>View</v>
      </c>
      <c r="V1588" s="8"/>
      <c r="W1588" s="8"/>
      <c r="X1588" s="8"/>
      <c r="Y1588" s="8"/>
      <c r="Z1588" s="8"/>
    </row>
    <row r="1589" spans="1:26" ht="13.2">
      <c r="A1589" s="13">
        <v>44250.386215277773</v>
      </c>
      <c r="B1589" s="6" t="str">
        <f>HYPERLINK("https://twitter.com/AlexeyChang","@AlexeyChang")</f>
        <v>@AlexeyChang</v>
      </c>
      <c r="C1589" s="14" t="s">
        <v>6632</v>
      </c>
      <c r="D1589" s="14" t="s">
        <v>6633</v>
      </c>
      <c r="E1589" s="6" t="str">
        <f>HYPERLINK("https://twitter.com/AlexeyChang/status/1364126891259666439","1364126891259666439")</f>
        <v>1364126891259666439</v>
      </c>
      <c r="F1589" s="14" t="s">
        <v>1313</v>
      </c>
      <c r="G1589" s="8"/>
      <c r="H1589" s="8"/>
      <c r="I1589" s="14">
        <v>1</v>
      </c>
      <c r="J1589" s="14">
        <v>1</v>
      </c>
      <c r="K1589" s="6" t="str">
        <f t="shared" si="295"/>
        <v>TwinyBots</v>
      </c>
      <c r="L1589" s="15">
        <v>222</v>
      </c>
      <c r="M1589" s="15">
        <v>291</v>
      </c>
      <c r="N1589" s="15">
        <v>9</v>
      </c>
      <c r="O1589" s="9"/>
      <c r="P1589" s="10">
        <v>43937.407465277778</v>
      </c>
      <c r="Q1589" s="14" t="s">
        <v>6634</v>
      </c>
      <c r="R1589" s="14" t="s">
        <v>6635</v>
      </c>
      <c r="S1589" s="7" t="s">
        <v>6636</v>
      </c>
      <c r="T1589" s="8"/>
      <c r="U1589" s="11" t="str">
        <f>HYPERLINK("https://pbs.twimg.com/profile_images/1250697388232249344/TVGVpwMy.jpg","View")</f>
        <v>View</v>
      </c>
      <c r="V1589" s="8"/>
      <c r="W1589" s="8"/>
      <c r="X1589" s="8"/>
      <c r="Y1589" s="8"/>
      <c r="Z1589" s="8"/>
    </row>
    <row r="1590" spans="1:26" ht="13.2">
      <c r="A1590" s="13">
        <v>44250.386030092588</v>
      </c>
      <c r="B1590" s="6" t="str">
        <f>HYPERLINK("https://twitter.com/CloudgenL","@CloudgenL")</f>
        <v>@CloudgenL</v>
      </c>
      <c r="C1590" s="14" t="s">
        <v>6637</v>
      </c>
      <c r="D1590" s="14" t="s">
        <v>6638</v>
      </c>
      <c r="E1590" s="6" t="str">
        <f>HYPERLINK("https://twitter.com/CloudgenL/status/1364126821382455297","1364126821382455297")</f>
        <v>1364126821382455297</v>
      </c>
      <c r="F1590" s="8"/>
      <c r="G1590" s="7" t="s">
        <v>6639</v>
      </c>
      <c r="H1590" s="8"/>
      <c r="I1590" s="14">
        <v>24</v>
      </c>
      <c r="J1590" s="14">
        <v>15</v>
      </c>
      <c r="K1590" s="6" t="str">
        <f>HYPERLINK("http://twitter.com/download/iphone","Twitter for iPhone")</f>
        <v>Twitter for iPhone</v>
      </c>
      <c r="L1590" s="15">
        <v>24</v>
      </c>
      <c r="M1590" s="15">
        <v>67</v>
      </c>
      <c r="N1590" s="15">
        <v>0</v>
      </c>
      <c r="O1590" s="9"/>
      <c r="P1590" s="10">
        <v>44046.741990740746</v>
      </c>
      <c r="Q1590" s="14" t="s">
        <v>6640</v>
      </c>
      <c r="R1590" s="14" t="s">
        <v>6641</v>
      </c>
      <c r="S1590" s="7" t="s">
        <v>6642</v>
      </c>
      <c r="T1590" s="8"/>
      <c r="U1590" s="11" t="str">
        <f>HYPERLINK("https://pbs.twimg.com/profile_images/1290314088506183681/K1QV-oic.jpg","View")</f>
        <v>View</v>
      </c>
      <c r="V1590" s="8"/>
      <c r="W1590" s="8"/>
      <c r="X1590" s="8"/>
      <c r="Y1590" s="8"/>
      <c r="Z1590" s="8"/>
    </row>
    <row r="1591" spans="1:26" ht="13.2">
      <c r="A1591" s="13">
        <v>44250.385462962964</v>
      </c>
      <c r="B1591" s="6" t="str">
        <f>HYPERLINK("https://twitter.com/nigewillson","@nigewillson")</f>
        <v>@nigewillson</v>
      </c>
      <c r="C1591" s="14" t="s">
        <v>95</v>
      </c>
      <c r="D1591" s="14" t="s">
        <v>814</v>
      </c>
      <c r="E1591" s="6" t="str">
        <f>HYPERLINK("https://twitter.com/nigewillson/status/1364126618042720257","1364126618042720257")</f>
        <v>1364126618042720257</v>
      </c>
      <c r="F1591" s="7" t="s">
        <v>815</v>
      </c>
      <c r="G1591" s="7" t="s">
        <v>6643</v>
      </c>
      <c r="H1591" s="8"/>
      <c r="I1591" s="14">
        <v>9</v>
      </c>
      <c r="J1591" s="14">
        <v>6</v>
      </c>
      <c r="K1591" s="6" t="str">
        <f>HYPERLINK("https://buffer.com","Buffer")</f>
        <v>Buffer</v>
      </c>
      <c r="L1591" s="15">
        <v>57515</v>
      </c>
      <c r="M1591" s="15">
        <v>49523</v>
      </c>
      <c r="N1591" s="15">
        <v>1688</v>
      </c>
      <c r="O1591" s="9"/>
      <c r="P1591" s="10">
        <v>40530.666805555556</v>
      </c>
      <c r="Q1591" s="14" t="s">
        <v>99</v>
      </c>
      <c r="R1591" s="14" t="s">
        <v>100</v>
      </c>
      <c r="S1591" s="7" t="s">
        <v>101</v>
      </c>
      <c r="T1591" s="8"/>
      <c r="U1591" s="11" t="str">
        <f>HYPERLINK("https://pbs.twimg.com/profile_images/1085251590997622784/x9mWVQ1d.jpg","View")</f>
        <v>View</v>
      </c>
      <c r="V1591" s="8"/>
      <c r="W1591" s="8"/>
      <c r="X1591" s="8"/>
      <c r="Y1591" s="8"/>
      <c r="Z1591" s="8"/>
    </row>
    <row r="1592" spans="1:26" ht="13.2">
      <c r="A1592" s="13">
        <v>44250.384722222225</v>
      </c>
      <c r="B1592" s="6" t="str">
        <f>HYPERLINK("https://twitter.com/Like_A_Bot","@Like_A_Bot")</f>
        <v>@Like_A_Bot</v>
      </c>
      <c r="C1592" s="14" t="s">
        <v>6644</v>
      </c>
      <c r="D1592" s="14" t="s">
        <v>6645</v>
      </c>
      <c r="E1592" s="6" t="str">
        <f>HYPERLINK("https://twitter.com/Like_A_Bot/status/1364126350974582784","1364126350974582784")</f>
        <v>1364126350974582784</v>
      </c>
      <c r="F1592" s="7" t="s">
        <v>6646</v>
      </c>
      <c r="G1592" s="8"/>
      <c r="H1592" s="8"/>
      <c r="I1592" s="14">
        <v>2</v>
      </c>
      <c r="J1592" s="14">
        <v>0</v>
      </c>
      <c r="K1592" s="6" t="str">
        <f>HYPERLINK("https://swello.com/fr/","Swello")</f>
        <v>Swello</v>
      </c>
      <c r="L1592" s="15">
        <v>460</v>
      </c>
      <c r="M1592" s="15">
        <v>235</v>
      </c>
      <c r="N1592" s="15">
        <v>8</v>
      </c>
      <c r="O1592" s="9"/>
      <c r="P1592" s="10">
        <v>43039.493888888886</v>
      </c>
      <c r="Q1592" s="8"/>
      <c r="R1592" s="14" t="s">
        <v>6647</v>
      </c>
      <c r="S1592" s="7" t="s">
        <v>6648</v>
      </c>
      <c r="T1592" s="8"/>
      <c r="U1592" s="11" t="str">
        <f>HYPERLINK("https://pbs.twimg.com/profile_images/940175992747732992/B0vV5VkN.jpg","View")</f>
        <v>View</v>
      </c>
      <c r="V1592" s="8"/>
      <c r="W1592" s="8"/>
      <c r="X1592" s="8"/>
      <c r="Y1592" s="8"/>
      <c r="Z1592" s="8"/>
    </row>
    <row r="1593" spans="1:26" ht="13.2">
      <c r="A1593" s="13">
        <v>44250.384548611109</v>
      </c>
      <c r="B1593" s="6" t="str">
        <f>HYPERLINK("https://twitter.com/CatherineAdenle","@CatherineAdenle")</f>
        <v>@CatherineAdenle</v>
      </c>
      <c r="C1593" s="14" t="s">
        <v>6649</v>
      </c>
      <c r="D1593" s="14" t="s">
        <v>6650</v>
      </c>
      <c r="E1593" s="6" t="str">
        <f>HYPERLINK("https://twitter.com/CatherineAdenle/status/1364126284540968961","1364126284540968961")</f>
        <v>1364126284540968961</v>
      </c>
      <c r="F1593" s="8"/>
      <c r="G1593" s="7" t="s">
        <v>6651</v>
      </c>
      <c r="H1593" s="8"/>
      <c r="I1593" s="14">
        <v>32</v>
      </c>
      <c r="J1593" s="14">
        <v>24</v>
      </c>
      <c r="K1593" s="6" t="str">
        <f>HYPERLINK("http://twitter.com/download/iphone","Twitter for iPhone")</f>
        <v>Twitter for iPhone</v>
      </c>
      <c r="L1593" s="15">
        <v>38255</v>
      </c>
      <c r="M1593" s="15">
        <v>2328</v>
      </c>
      <c r="N1593" s="15">
        <v>782</v>
      </c>
      <c r="O1593" s="9"/>
      <c r="P1593" s="10">
        <v>40049.734074074076</v>
      </c>
      <c r="Q1593" s="14" t="s">
        <v>5650</v>
      </c>
      <c r="R1593" s="14" t="s">
        <v>6652</v>
      </c>
      <c r="S1593" s="7" t="s">
        <v>6653</v>
      </c>
      <c r="T1593" s="8"/>
      <c r="U1593" s="11" t="str">
        <f>HYPERLINK("https://pbs.twimg.com/profile_images/476740017432584192/f_Wc8SVX.jpeg","View")</f>
        <v>View</v>
      </c>
      <c r="V1593" s="8"/>
      <c r="W1593" s="8"/>
      <c r="X1593" s="8"/>
      <c r="Y1593" s="8"/>
      <c r="Z1593" s="8"/>
    </row>
    <row r="1594" spans="1:26" ht="13.2">
      <c r="A1594" s="13">
        <v>44250.384189814809</v>
      </c>
      <c r="B1594" s="6" t="str">
        <f t="shared" ref="B1594:B1599" si="296">HYPERLINK("https://twitter.com/AnalyticsFr","@AnalyticsFr")</f>
        <v>@AnalyticsFr</v>
      </c>
      <c r="C1594" s="14" t="s">
        <v>6354</v>
      </c>
      <c r="D1594" s="14" t="s">
        <v>6332</v>
      </c>
      <c r="E1594" s="6" t="str">
        <f>HYPERLINK("https://twitter.com/AnalyticsFr/status/1364126155486429184","1364126155486429184")</f>
        <v>1364126155486429184</v>
      </c>
      <c r="F1594" s="14" t="s">
        <v>6333</v>
      </c>
      <c r="G1594" s="8"/>
      <c r="H1594" s="8"/>
      <c r="I1594" s="14">
        <v>2</v>
      </c>
      <c r="J1594" s="14">
        <v>1</v>
      </c>
      <c r="K1594" s="6" t="str">
        <f t="shared" ref="K1594:K1599" si="297">HYPERLINK("https://ifttt.com","IFTTT")</f>
        <v>IFTTT</v>
      </c>
      <c r="L1594" s="15">
        <v>1506</v>
      </c>
      <c r="M1594" s="15">
        <v>193</v>
      </c>
      <c r="N1594" s="15">
        <v>616</v>
      </c>
      <c r="O1594" s="9"/>
      <c r="P1594" s="10">
        <v>41348.682442129633</v>
      </c>
      <c r="Q1594" s="14" t="s">
        <v>106</v>
      </c>
      <c r="R1594" s="14" t="s">
        <v>6334</v>
      </c>
      <c r="S1594" s="8"/>
      <c r="T1594" s="8"/>
      <c r="U1594" s="11" t="str">
        <f t="shared" ref="U1594:U1599" si="298">HYPERLINK("https://pbs.twimg.com/profile_images/584755122854612992/-qOfOneV.jpg","View")</f>
        <v>View</v>
      </c>
      <c r="V1594" s="8"/>
      <c r="W1594" s="8"/>
      <c r="X1594" s="8"/>
      <c r="Y1594" s="8"/>
      <c r="Z1594" s="8"/>
    </row>
    <row r="1595" spans="1:26" ht="13.2">
      <c r="A1595" s="13">
        <v>44250.38417824074</v>
      </c>
      <c r="B1595" s="6" t="str">
        <f t="shared" si="296"/>
        <v>@AnalyticsFr</v>
      </c>
      <c r="C1595" s="14" t="s">
        <v>6354</v>
      </c>
      <c r="D1595" s="14" t="s">
        <v>6565</v>
      </c>
      <c r="E1595" s="6" t="str">
        <f>HYPERLINK("https://twitter.com/AnalyticsFr/status/1364126150449127424","1364126150449127424")</f>
        <v>1364126150449127424</v>
      </c>
      <c r="F1595" s="14" t="s">
        <v>6566</v>
      </c>
      <c r="G1595" s="8"/>
      <c r="H1595" s="8"/>
      <c r="I1595" s="14">
        <v>1</v>
      </c>
      <c r="J1595" s="14">
        <v>1</v>
      </c>
      <c r="K1595" s="6" t="str">
        <f t="shared" si="297"/>
        <v>IFTTT</v>
      </c>
      <c r="L1595" s="15">
        <v>1506</v>
      </c>
      <c r="M1595" s="15">
        <v>193</v>
      </c>
      <c r="N1595" s="15">
        <v>616</v>
      </c>
      <c r="O1595" s="9"/>
      <c r="P1595" s="10">
        <v>41348.682442129633</v>
      </c>
      <c r="Q1595" s="14" t="s">
        <v>106</v>
      </c>
      <c r="R1595" s="14" t="s">
        <v>6334</v>
      </c>
      <c r="S1595" s="8"/>
      <c r="T1595" s="8"/>
      <c r="U1595" s="11" t="str">
        <f t="shared" si="298"/>
        <v>View</v>
      </c>
      <c r="V1595" s="8"/>
      <c r="W1595" s="8"/>
      <c r="X1595" s="8"/>
      <c r="Y1595" s="8"/>
      <c r="Z1595" s="8"/>
    </row>
    <row r="1596" spans="1:26" ht="13.2">
      <c r="A1596" s="13">
        <v>44250.38416666667</v>
      </c>
      <c r="B1596" s="6" t="str">
        <f t="shared" si="296"/>
        <v>@AnalyticsFr</v>
      </c>
      <c r="C1596" s="14" t="s">
        <v>6354</v>
      </c>
      <c r="D1596" s="14" t="s">
        <v>6335</v>
      </c>
      <c r="E1596" s="6" t="str">
        <f>HYPERLINK("https://twitter.com/AnalyticsFr/status/1364126146636480514","1364126146636480514")</f>
        <v>1364126146636480514</v>
      </c>
      <c r="F1596" s="14" t="s">
        <v>6336</v>
      </c>
      <c r="G1596" s="8"/>
      <c r="H1596" s="8"/>
      <c r="I1596" s="14">
        <v>1</v>
      </c>
      <c r="J1596" s="14">
        <v>1</v>
      </c>
      <c r="K1596" s="6" t="str">
        <f t="shared" si="297"/>
        <v>IFTTT</v>
      </c>
      <c r="L1596" s="15">
        <v>1506</v>
      </c>
      <c r="M1596" s="15">
        <v>193</v>
      </c>
      <c r="N1596" s="15">
        <v>616</v>
      </c>
      <c r="O1596" s="9"/>
      <c r="P1596" s="10">
        <v>41348.682442129633</v>
      </c>
      <c r="Q1596" s="14" t="s">
        <v>106</v>
      </c>
      <c r="R1596" s="14" t="s">
        <v>6334</v>
      </c>
      <c r="S1596" s="8"/>
      <c r="T1596" s="8"/>
      <c r="U1596" s="11" t="str">
        <f t="shared" si="298"/>
        <v>View</v>
      </c>
      <c r="V1596" s="8"/>
      <c r="W1596" s="8"/>
      <c r="X1596" s="8"/>
      <c r="Y1596" s="8"/>
      <c r="Z1596" s="8"/>
    </row>
    <row r="1597" spans="1:26" ht="13.2">
      <c r="A1597" s="13">
        <v>44250.384155092594</v>
      </c>
      <c r="B1597" s="6" t="str">
        <f t="shared" si="296"/>
        <v>@AnalyticsFr</v>
      </c>
      <c r="C1597" s="14" t="s">
        <v>6354</v>
      </c>
      <c r="D1597" s="14" t="s">
        <v>6567</v>
      </c>
      <c r="E1597" s="6" t="str">
        <f>HYPERLINK("https://twitter.com/AnalyticsFr/status/1364126144790994950","1364126144790994950")</f>
        <v>1364126144790994950</v>
      </c>
      <c r="F1597" s="14" t="s">
        <v>6568</v>
      </c>
      <c r="G1597" s="8"/>
      <c r="H1597" s="8"/>
      <c r="I1597" s="14">
        <v>1</v>
      </c>
      <c r="J1597" s="14">
        <v>1</v>
      </c>
      <c r="K1597" s="6" t="str">
        <f t="shared" si="297"/>
        <v>IFTTT</v>
      </c>
      <c r="L1597" s="15">
        <v>1506</v>
      </c>
      <c r="M1597" s="15">
        <v>193</v>
      </c>
      <c r="N1597" s="15">
        <v>616</v>
      </c>
      <c r="O1597" s="9"/>
      <c r="P1597" s="10">
        <v>41348.682442129633</v>
      </c>
      <c r="Q1597" s="14" t="s">
        <v>106</v>
      </c>
      <c r="R1597" s="14" t="s">
        <v>6334</v>
      </c>
      <c r="S1597" s="8"/>
      <c r="T1597" s="8"/>
      <c r="U1597" s="11" t="str">
        <f t="shared" si="298"/>
        <v>View</v>
      </c>
      <c r="V1597" s="8"/>
      <c r="W1597" s="8"/>
      <c r="X1597" s="8"/>
      <c r="Y1597" s="8"/>
      <c r="Z1597" s="8"/>
    </row>
    <row r="1598" spans="1:26" ht="13.2">
      <c r="A1598" s="13">
        <v>44250.384155092594</v>
      </c>
      <c r="B1598" s="6" t="str">
        <f t="shared" si="296"/>
        <v>@AnalyticsFr</v>
      </c>
      <c r="C1598" s="14" t="s">
        <v>6354</v>
      </c>
      <c r="D1598" s="14" t="s">
        <v>6569</v>
      </c>
      <c r="E1598" s="6" t="str">
        <f>HYPERLINK("https://twitter.com/AnalyticsFr/status/1364126142953910272","1364126142953910272")</f>
        <v>1364126142953910272</v>
      </c>
      <c r="F1598" s="14" t="s">
        <v>6570</v>
      </c>
      <c r="G1598" s="8"/>
      <c r="H1598" s="8"/>
      <c r="I1598" s="14">
        <v>1</v>
      </c>
      <c r="J1598" s="14">
        <v>2</v>
      </c>
      <c r="K1598" s="6" t="str">
        <f t="shared" si="297"/>
        <v>IFTTT</v>
      </c>
      <c r="L1598" s="15">
        <v>1506</v>
      </c>
      <c r="M1598" s="15">
        <v>193</v>
      </c>
      <c r="N1598" s="15">
        <v>616</v>
      </c>
      <c r="O1598" s="9"/>
      <c r="P1598" s="10">
        <v>41348.682442129633</v>
      </c>
      <c r="Q1598" s="14" t="s">
        <v>106</v>
      </c>
      <c r="R1598" s="14" t="s">
        <v>6334</v>
      </c>
      <c r="S1598" s="8"/>
      <c r="T1598" s="8"/>
      <c r="U1598" s="11" t="str">
        <f t="shared" si="298"/>
        <v>View</v>
      </c>
      <c r="V1598" s="8"/>
      <c r="W1598" s="8"/>
      <c r="X1598" s="8"/>
      <c r="Y1598" s="8"/>
      <c r="Z1598" s="8"/>
    </row>
    <row r="1599" spans="1:26" ht="13.2">
      <c r="A1599" s="13">
        <v>44250.384143518517</v>
      </c>
      <c r="B1599" s="6" t="str">
        <f t="shared" si="296"/>
        <v>@AnalyticsFr</v>
      </c>
      <c r="C1599" s="14" t="s">
        <v>6354</v>
      </c>
      <c r="D1599" s="14" t="s">
        <v>6337</v>
      </c>
      <c r="E1599" s="6" t="str">
        <f>HYPERLINK("https://twitter.com/AnalyticsFr/status/1364126140886110217","1364126140886110217")</f>
        <v>1364126140886110217</v>
      </c>
      <c r="F1599" s="14" t="s">
        <v>6338</v>
      </c>
      <c r="G1599" s="8"/>
      <c r="H1599" s="8"/>
      <c r="I1599" s="14">
        <v>1</v>
      </c>
      <c r="J1599" s="14">
        <v>1</v>
      </c>
      <c r="K1599" s="6" t="str">
        <f t="shared" si="297"/>
        <v>IFTTT</v>
      </c>
      <c r="L1599" s="15">
        <v>1506</v>
      </c>
      <c r="M1599" s="15">
        <v>193</v>
      </c>
      <c r="N1599" s="15">
        <v>616</v>
      </c>
      <c r="O1599" s="9"/>
      <c r="P1599" s="10">
        <v>41348.682442129633</v>
      </c>
      <c r="Q1599" s="14" t="s">
        <v>106</v>
      </c>
      <c r="R1599" s="14" t="s">
        <v>6334</v>
      </c>
      <c r="S1599" s="8"/>
      <c r="T1599" s="8"/>
      <c r="U1599" s="11" t="str">
        <f t="shared" si="298"/>
        <v>View</v>
      </c>
      <c r="V1599" s="8"/>
      <c r="W1599" s="8"/>
      <c r="X1599" s="8"/>
      <c r="Y1599" s="8"/>
      <c r="Z1599" s="8"/>
    </row>
    <row r="1600" spans="1:26" ht="13.2">
      <c r="A1600" s="13">
        <v>44250.384085648147</v>
      </c>
      <c r="B1600" s="6" t="str">
        <f>HYPERLINK("https://twitter.com/teamclairvoyant","@teamclairvoyant")</f>
        <v>@teamclairvoyant</v>
      </c>
      <c r="C1600" s="14" t="s">
        <v>6654</v>
      </c>
      <c r="D1600" s="14" t="s">
        <v>6655</v>
      </c>
      <c r="E1600" s="6" t="str">
        <f>HYPERLINK("https://twitter.com/teamclairvoyant/status/1364126116512817158","1364126116512817158")</f>
        <v>1364126116512817158</v>
      </c>
      <c r="F1600" s="7" t="s">
        <v>6656</v>
      </c>
      <c r="G1600" s="8"/>
      <c r="H1600" s="8"/>
      <c r="I1600" s="14">
        <v>1</v>
      </c>
      <c r="J1600" s="14">
        <v>1</v>
      </c>
      <c r="K1600" s="6" t="str">
        <f>HYPERLINK("https://mobile.twitter.com","Twitter Web App")</f>
        <v>Twitter Web App</v>
      </c>
      <c r="L1600" s="15">
        <v>213</v>
      </c>
      <c r="M1600" s="15">
        <v>114</v>
      </c>
      <c r="N1600" s="15">
        <v>22</v>
      </c>
      <c r="O1600" s="9"/>
      <c r="P1600" s="10">
        <v>41194.24386574074</v>
      </c>
      <c r="Q1600" s="14" t="s">
        <v>6657</v>
      </c>
      <c r="R1600" s="14" t="s">
        <v>6658</v>
      </c>
      <c r="S1600" s="7" t="s">
        <v>6659</v>
      </c>
      <c r="T1600" s="8"/>
      <c r="U1600" s="11" t="str">
        <f>HYPERLINK("https://pbs.twimg.com/profile_images/779346561453006849/9i_D07wM.jpg","View")</f>
        <v>View</v>
      </c>
      <c r="V1600" s="8"/>
      <c r="W1600" s="8"/>
      <c r="X1600" s="8"/>
      <c r="Y1600" s="8"/>
      <c r="Z1600" s="8"/>
    </row>
    <row r="1601" spans="1:26" ht="13.2">
      <c r="A1601" s="13">
        <v>44250.383437500001</v>
      </c>
      <c r="B1601" s="6" t="str">
        <f>HYPERLINK("https://twitter.com/SureshRukman","@SureshRukman")</f>
        <v>@SureshRukman</v>
      </c>
      <c r="C1601" s="14" t="s">
        <v>3313</v>
      </c>
      <c r="D1601" s="14" t="s">
        <v>6660</v>
      </c>
      <c r="E1601" s="6" t="str">
        <f>HYPERLINK("https://twitter.com/SureshRukman/status/1364125882781229058","1364125882781229058")</f>
        <v>1364125882781229058</v>
      </c>
      <c r="F1601" s="14" t="s">
        <v>4134</v>
      </c>
      <c r="G1601" s="8"/>
      <c r="H1601" s="8"/>
      <c r="I1601" s="14">
        <v>2</v>
      </c>
      <c r="J1601" s="14">
        <v>2</v>
      </c>
      <c r="K1601" s="6" t="str">
        <f t="shared" ref="K1601:K1602" si="299">HYPERLINK("http://twinybots.com","TwinyBots")</f>
        <v>TwinyBots</v>
      </c>
      <c r="L1601" s="15">
        <v>2176</v>
      </c>
      <c r="M1601" s="15">
        <v>2281</v>
      </c>
      <c r="N1601" s="15">
        <v>293</v>
      </c>
      <c r="O1601" s="9"/>
      <c r="P1601" s="10">
        <v>41359.54041666667</v>
      </c>
      <c r="Q1601" s="14" t="s">
        <v>2551</v>
      </c>
      <c r="R1601" s="14" t="s">
        <v>3314</v>
      </c>
      <c r="S1601" s="7" t="s">
        <v>2553</v>
      </c>
      <c r="T1601" s="8"/>
      <c r="U1601" s="11" t="str">
        <f>HYPERLINK("https://pbs.twimg.com/profile_images/1038762339368087554/JICJ5viP.jpg","View")</f>
        <v>View</v>
      </c>
      <c r="V1601" s="8"/>
      <c r="W1601" s="8"/>
      <c r="X1601" s="8"/>
      <c r="Y1601" s="8"/>
      <c r="Z1601" s="8"/>
    </row>
    <row r="1602" spans="1:26" ht="13.2">
      <c r="A1602" s="13">
        <v>44250.383425925931</v>
      </c>
      <c r="B1602" s="6" t="str">
        <f>HYPERLINK("https://twitter.com/PMProuk","@PMProuk")</f>
        <v>@PMProuk</v>
      </c>
      <c r="C1602" s="14" t="s">
        <v>150</v>
      </c>
      <c r="D1602" s="14" t="s">
        <v>6661</v>
      </c>
      <c r="E1602" s="6" t="str">
        <f>HYPERLINK("https://twitter.com/PMProuk/status/1364125880956694529","1364125880956694529")</f>
        <v>1364125880956694529</v>
      </c>
      <c r="F1602" s="7" t="s">
        <v>6662</v>
      </c>
      <c r="G1602" s="8"/>
      <c r="H1602" s="8"/>
      <c r="I1602" s="14">
        <v>1</v>
      </c>
      <c r="J1602" s="14">
        <v>1</v>
      </c>
      <c r="K1602" s="6" t="str">
        <f t="shared" si="299"/>
        <v>TwinyBots</v>
      </c>
      <c r="L1602" s="15">
        <v>1439</v>
      </c>
      <c r="M1602" s="15">
        <v>3697</v>
      </c>
      <c r="N1602" s="15">
        <v>73</v>
      </c>
      <c r="O1602" s="9"/>
      <c r="P1602" s="10">
        <v>40577.810150462959</v>
      </c>
      <c r="Q1602" s="14" t="s">
        <v>153</v>
      </c>
      <c r="R1602" s="14" t="s">
        <v>154</v>
      </c>
      <c r="S1602" s="8"/>
      <c r="T1602" s="8"/>
      <c r="U1602" s="11" t="str">
        <f>HYPERLINK("https://pbs.twimg.com/profile_images/1257339284027314177/AhbOFVVY.jpg","View")</f>
        <v>View</v>
      </c>
      <c r="V1602" s="8"/>
      <c r="W1602" s="8"/>
      <c r="X1602" s="8"/>
      <c r="Y1602" s="8"/>
      <c r="Z1602" s="8"/>
    </row>
    <row r="1603" spans="1:26" ht="13.2">
      <c r="A1603" s="13">
        <v>44250.382650462961</v>
      </c>
      <c r="B1603" s="6" t="str">
        <f>HYPERLINK("https://twitter.com/hacking_future","@hacking_future")</f>
        <v>@hacking_future</v>
      </c>
      <c r="C1603" s="14" t="s">
        <v>3085</v>
      </c>
      <c r="D1603" s="14" t="s">
        <v>6412</v>
      </c>
      <c r="E1603" s="6" t="str">
        <f>HYPERLINK("https://twitter.com/hacking_future/status/1364125599099482113","1364125599099482113")</f>
        <v>1364125599099482113</v>
      </c>
      <c r="F1603" s="7" t="s">
        <v>6663</v>
      </c>
      <c r="G1603" s="8"/>
      <c r="H1603" s="8"/>
      <c r="I1603" s="14">
        <v>3</v>
      </c>
      <c r="J1603" s="14">
        <v>4</v>
      </c>
      <c r="K1603" s="6" t="str">
        <f>HYPERLINK("https://buffer.com","Buffer")</f>
        <v>Buffer</v>
      </c>
      <c r="L1603" s="15">
        <v>1502</v>
      </c>
      <c r="M1603" s="15">
        <v>1987</v>
      </c>
      <c r="N1603" s="15">
        <v>48</v>
      </c>
      <c r="O1603" s="9"/>
      <c r="P1603" s="10">
        <v>42822.824421296296</v>
      </c>
      <c r="Q1603" s="14" t="s">
        <v>1815</v>
      </c>
      <c r="R1603" s="14" t="s">
        <v>3087</v>
      </c>
      <c r="S1603" s="7" t="s">
        <v>3088</v>
      </c>
      <c r="T1603" s="8"/>
      <c r="U1603" s="11" t="str">
        <f>HYPERLINK("https://pbs.twimg.com/profile_images/859699037385232385/aq_sLibI.jpg","View")</f>
        <v>View</v>
      </c>
      <c r="V1603" s="8"/>
      <c r="W1603" s="8"/>
      <c r="X1603" s="8"/>
      <c r="Y1603" s="8"/>
      <c r="Z1603" s="8"/>
    </row>
    <row r="1604" spans="1:26" ht="13.2">
      <c r="A1604" s="13">
        <v>44250.382638888885</v>
      </c>
      <c r="B1604" s="6" t="str">
        <f>HYPERLINK("https://twitter.com/toncarrera","@toncarrera")</f>
        <v>@toncarrera</v>
      </c>
      <c r="C1604" s="14" t="s">
        <v>6664</v>
      </c>
      <c r="D1604" s="14" t="s">
        <v>6665</v>
      </c>
      <c r="E1604" s="6" t="str">
        <f>HYPERLINK("https://twitter.com/toncarrera/status/1364125592908685313","1364125592908685313")</f>
        <v>1364125592908685313</v>
      </c>
      <c r="F1604" s="8"/>
      <c r="G1604" s="7" t="s">
        <v>6666</v>
      </c>
      <c r="H1604" s="8"/>
      <c r="I1604" s="14">
        <v>4</v>
      </c>
      <c r="J1604" s="14">
        <v>7</v>
      </c>
      <c r="K1604" s="6" t="str">
        <f>HYPERLINK("https://about.twitter.com/products/tweetdeck","TweetDeck")</f>
        <v>TweetDeck</v>
      </c>
      <c r="L1604" s="15">
        <v>15608</v>
      </c>
      <c r="M1604" s="15">
        <v>17154</v>
      </c>
      <c r="N1604" s="15">
        <v>58</v>
      </c>
      <c r="O1604" s="9"/>
      <c r="P1604" s="10">
        <v>40571.662210648152</v>
      </c>
      <c r="Q1604" s="14" t="s">
        <v>75</v>
      </c>
      <c r="R1604" s="14" t="s">
        <v>6667</v>
      </c>
      <c r="S1604" s="7" t="s">
        <v>6668</v>
      </c>
      <c r="T1604" s="8"/>
      <c r="U1604" s="11" t="str">
        <f>HYPERLINK("https://pbs.twimg.com/profile_images/1258722604480856065/S4fRNK84.jpg","View")</f>
        <v>View</v>
      </c>
      <c r="V1604" s="8"/>
      <c r="W1604" s="8"/>
      <c r="X1604" s="8"/>
      <c r="Y1604" s="8"/>
      <c r="Z1604" s="8"/>
    </row>
    <row r="1605" spans="1:26" ht="13.2">
      <c r="A1605" s="13">
        <v>44250.381967592592</v>
      </c>
      <c r="B1605" s="6" t="str">
        <f>HYPERLINK("https://twitter.com/nigewillson","@nigewillson")</f>
        <v>@nigewillson</v>
      </c>
      <c r="C1605" s="14" t="s">
        <v>95</v>
      </c>
      <c r="D1605" s="14" t="s">
        <v>895</v>
      </c>
      <c r="E1605" s="6" t="str">
        <f>HYPERLINK("https://twitter.com/nigewillson/status/1364125351731945474","1364125351731945474")</f>
        <v>1364125351731945474</v>
      </c>
      <c r="F1605" s="7" t="s">
        <v>896</v>
      </c>
      <c r="G1605" s="7" t="s">
        <v>6669</v>
      </c>
      <c r="H1605" s="8"/>
      <c r="I1605" s="14">
        <v>10</v>
      </c>
      <c r="J1605" s="14">
        <v>7</v>
      </c>
      <c r="K1605" s="6" t="str">
        <f>HYPERLINK("https://buffer.com","Buffer")</f>
        <v>Buffer</v>
      </c>
      <c r="L1605" s="15">
        <v>57515</v>
      </c>
      <c r="M1605" s="15">
        <v>49523</v>
      </c>
      <c r="N1605" s="15">
        <v>1688</v>
      </c>
      <c r="O1605" s="9"/>
      <c r="P1605" s="10">
        <v>40530.666805555556</v>
      </c>
      <c r="Q1605" s="14" t="s">
        <v>99</v>
      </c>
      <c r="R1605" s="14" t="s">
        <v>100</v>
      </c>
      <c r="S1605" s="7" t="s">
        <v>101</v>
      </c>
      <c r="T1605" s="8"/>
      <c r="U1605" s="11" t="str">
        <f>HYPERLINK("https://pbs.twimg.com/profile_images/1085251590997622784/x9mWVQ1d.jpg","View")</f>
        <v>View</v>
      </c>
      <c r="V1605" s="8"/>
      <c r="W1605" s="8"/>
      <c r="X1605" s="8"/>
      <c r="Y1605" s="8"/>
      <c r="Z1605" s="8"/>
    </row>
    <row r="1606" spans="1:26" ht="13.2">
      <c r="A1606" s="13">
        <v>44250.381944444445</v>
      </c>
      <c r="B1606" s="6" t="str">
        <f>HYPERLINK("https://twitter.com/TamaraMcCleary","@TamaraMcCleary")</f>
        <v>@TamaraMcCleary</v>
      </c>
      <c r="C1606" s="14" t="s">
        <v>6670</v>
      </c>
      <c r="D1606" s="14" t="s">
        <v>6671</v>
      </c>
      <c r="E1606" s="6" t="str">
        <f>HYPERLINK("https://twitter.com/TamaraMcCleary/status/1364125341279805440","1364125341279805440")</f>
        <v>1364125341279805440</v>
      </c>
      <c r="F1606" s="7" t="s">
        <v>6672</v>
      </c>
      <c r="G1606" s="7" t="s">
        <v>6673</v>
      </c>
      <c r="H1606" s="8"/>
      <c r="I1606" s="14">
        <v>4</v>
      </c>
      <c r="J1606" s="14">
        <v>7</v>
      </c>
      <c r="K1606" s="6" t="str">
        <f>HYPERLINK("https://about.twitter.com/products/tweetdeck","TweetDeck")</f>
        <v>TweetDeck</v>
      </c>
      <c r="L1606" s="15">
        <v>306870</v>
      </c>
      <c r="M1606" s="15">
        <v>206817</v>
      </c>
      <c r="N1606" s="15">
        <v>8235</v>
      </c>
      <c r="O1606" s="15" t="s">
        <v>130</v>
      </c>
      <c r="P1606" s="10">
        <v>41663.201851851853</v>
      </c>
      <c r="Q1606" s="14" t="s">
        <v>6169</v>
      </c>
      <c r="R1606" s="14" t="s">
        <v>6674</v>
      </c>
      <c r="S1606" s="7" t="s">
        <v>6675</v>
      </c>
      <c r="T1606" s="8"/>
      <c r="U1606" s="11" t="str">
        <f>HYPERLINK("https://pbs.twimg.com/profile_images/1255693536629932033/hFa5JpaK.jpg","View")</f>
        <v>View</v>
      </c>
      <c r="V1606" s="8"/>
      <c r="W1606" s="8"/>
      <c r="X1606" s="8"/>
      <c r="Y1606" s="8"/>
      <c r="Z1606" s="8"/>
    </row>
    <row r="1607" spans="1:26" ht="13.2">
      <c r="A1607" s="13">
        <v>44250.381932870368</v>
      </c>
      <c r="B1607" s="6" t="str">
        <f>HYPERLINK("https://twitter.com/InnovationIncu","@InnovationIncu")</f>
        <v>@InnovationIncu</v>
      </c>
      <c r="C1607" s="14" t="s">
        <v>6676</v>
      </c>
      <c r="D1607" s="14" t="s">
        <v>6677</v>
      </c>
      <c r="E1607" s="6" t="str">
        <f>HYPERLINK("https://twitter.com/InnovationIncu/status/1364125339216060417","1364125339216060417")</f>
        <v>1364125339216060417</v>
      </c>
      <c r="F1607" s="7" t="s">
        <v>6678</v>
      </c>
      <c r="G1607" s="8"/>
      <c r="H1607" s="8"/>
      <c r="I1607" s="14">
        <v>4</v>
      </c>
      <c r="J1607" s="14">
        <v>0</v>
      </c>
      <c r="K1607" s="6" t="str">
        <f>HYPERLINK("https://mobile.twitter.com","Twitter Web App")</f>
        <v>Twitter Web App</v>
      </c>
      <c r="L1607" s="15">
        <v>1110</v>
      </c>
      <c r="M1607" s="15">
        <v>2696</v>
      </c>
      <c r="N1607" s="15">
        <v>6</v>
      </c>
      <c r="O1607" s="9"/>
      <c r="P1607" s="10">
        <v>42908.334861111114</v>
      </c>
      <c r="Q1607" s="14" t="s">
        <v>914</v>
      </c>
      <c r="R1607" s="14" t="s">
        <v>6679</v>
      </c>
      <c r="S1607" s="7" t="s">
        <v>6680</v>
      </c>
      <c r="T1607" s="8"/>
      <c r="U1607" s="11" t="str">
        <f>HYPERLINK("https://pbs.twimg.com/profile_images/1349264367703916545/ZCwGJAod.jpg","View")</f>
        <v>View</v>
      </c>
      <c r="V1607" s="8"/>
      <c r="W1607" s="8"/>
      <c r="X1607" s="8"/>
      <c r="Y1607" s="8"/>
      <c r="Z1607" s="8"/>
    </row>
    <row r="1608" spans="1:26" ht="13.2">
      <c r="A1608" s="13">
        <v>44250.381851851853</v>
      </c>
      <c r="B1608" s="6" t="str">
        <f t="shared" ref="B1608:B1615" si="300">HYPERLINK("https://twitter.com/BigData_Fr","@BigData_Fr")</f>
        <v>@BigData_Fr</v>
      </c>
      <c r="C1608" s="14" t="s">
        <v>6331</v>
      </c>
      <c r="D1608" s="14" t="s">
        <v>6681</v>
      </c>
      <c r="E1608" s="6" t="str">
        <f>HYPERLINK("https://twitter.com/BigData_Fr/status/1364125310531346434","1364125310531346434")</f>
        <v>1364125310531346434</v>
      </c>
      <c r="F1608" s="7" t="s">
        <v>6682</v>
      </c>
      <c r="G1608" s="8"/>
      <c r="H1608" s="8"/>
      <c r="I1608" s="14">
        <v>1</v>
      </c>
      <c r="J1608" s="14">
        <v>1</v>
      </c>
      <c r="K1608" s="6" t="str">
        <f t="shared" ref="K1608:K1615" si="301">HYPERLINK("https://ifttt.com","IFTTT")</f>
        <v>IFTTT</v>
      </c>
      <c r="L1608" s="15">
        <v>4678</v>
      </c>
      <c r="M1608" s="15">
        <v>138</v>
      </c>
      <c r="N1608" s="15">
        <v>690</v>
      </c>
      <c r="O1608" s="9"/>
      <c r="P1608" s="10">
        <v>41348.789548611108</v>
      </c>
      <c r="Q1608" s="14" t="s">
        <v>106</v>
      </c>
      <c r="R1608" s="14" t="s">
        <v>6334</v>
      </c>
      <c r="S1608" s="8"/>
      <c r="T1608" s="8"/>
      <c r="U1608" s="11" t="str">
        <f t="shared" ref="U1608:U1615" si="302">HYPERLINK("https://pbs.twimg.com/profile_images/3383871004/a354ae86d389501ee80ffa7682d2157a.png","View")</f>
        <v>View</v>
      </c>
      <c r="V1608" s="8"/>
      <c r="W1608" s="8"/>
      <c r="X1608" s="8"/>
      <c r="Y1608" s="8"/>
      <c r="Z1608" s="8"/>
    </row>
    <row r="1609" spans="1:26" ht="13.2">
      <c r="A1609" s="13">
        <v>44250.381828703699</v>
      </c>
      <c r="B1609" s="6" t="str">
        <f t="shared" si="300"/>
        <v>@BigData_Fr</v>
      </c>
      <c r="C1609" s="14" t="s">
        <v>6331</v>
      </c>
      <c r="D1609" s="14" t="s">
        <v>6481</v>
      </c>
      <c r="E1609" s="6" t="str">
        <f>HYPERLINK("https://twitter.com/BigData_Fr/status/1364125300309778432","1364125300309778432")</f>
        <v>1364125300309778432</v>
      </c>
      <c r="F1609" s="7" t="s">
        <v>6482</v>
      </c>
      <c r="G1609" s="8"/>
      <c r="H1609" s="8"/>
      <c r="I1609" s="14">
        <v>2</v>
      </c>
      <c r="J1609" s="14">
        <v>1</v>
      </c>
      <c r="K1609" s="6" t="str">
        <f t="shared" si="301"/>
        <v>IFTTT</v>
      </c>
      <c r="L1609" s="15">
        <v>4678</v>
      </c>
      <c r="M1609" s="15">
        <v>138</v>
      </c>
      <c r="N1609" s="15">
        <v>690</v>
      </c>
      <c r="O1609" s="9"/>
      <c r="P1609" s="10">
        <v>41348.789548611108</v>
      </c>
      <c r="Q1609" s="14" t="s">
        <v>106</v>
      </c>
      <c r="R1609" s="14" t="s">
        <v>6334</v>
      </c>
      <c r="S1609" s="8"/>
      <c r="T1609" s="8"/>
      <c r="U1609" s="11" t="str">
        <f t="shared" si="302"/>
        <v>View</v>
      </c>
      <c r="V1609" s="8"/>
      <c r="W1609" s="8"/>
      <c r="X1609" s="8"/>
      <c r="Y1609" s="8"/>
      <c r="Z1609" s="8"/>
    </row>
    <row r="1610" spans="1:26" ht="13.2">
      <c r="A1610" s="13">
        <v>44250.381793981476</v>
      </c>
      <c r="B1610" s="6" t="str">
        <f t="shared" si="300"/>
        <v>@BigData_Fr</v>
      </c>
      <c r="C1610" s="14" t="s">
        <v>6331</v>
      </c>
      <c r="D1610" s="14" t="s">
        <v>6483</v>
      </c>
      <c r="E1610" s="6" t="str">
        <f>HYPERLINK("https://twitter.com/BigData_Fr/status/1364125289824059394","1364125289824059394")</f>
        <v>1364125289824059394</v>
      </c>
      <c r="F1610" s="7" t="s">
        <v>6484</v>
      </c>
      <c r="G1610" s="8"/>
      <c r="H1610" s="8"/>
      <c r="I1610" s="14">
        <v>1</v>
      </c>
      <c r="J1610" s="14">
        <v>1</v>
      </c>
      <c r="K1610" s="6" t="str">
        <f t="shared" si="301"/>
        <v>IFTTT</v>
      </c>
      <c r="L1610" s="15">
        <v>4678</v>
      </c>
      <c r="M1610" s="15">
        <v>138</v>
      </c>
      <c r="N1610" s="15">
        <v>690</v>
      </c>
      <c r="O1610" s="9"/>
      <c r="P1610" s="10">
        <v>41348.789548611108</v>
      </c>
      <c r="Q1610" s="14" t="s">
        <v>106</v>
      </c>
      <c r="R1610" s="14" t="s">
        <v>6334</v>
      </c>
      <c r="S1610" s="8"/>
      <c r="T1610" s="8"/>
      <c r="U1610" s="11" t="str">
        <f t="shared" si="302"/>
        <v>View</v>
      </c>
      <c r="V1610" s="8"/>
      <c r="W1610" s="8"/>
      <c r="X1610" s="8"/>
      <c r="Y1610" s="8"/>
      <c r="Z1610" s="8"/>
    </row>
    <row r="1611" spans="1:26" ht="13.2">
      <c r="A1611" s="13">
        <v>44250.381793981476</v>
      </c>
      <c r="B1611" s="6" t="str">
        <f t="shared" si="300"/>
        <v>@BigData_Fr</v>
      </c>
      <c r="C1611" s="14" t="s">
        <v>6331</v>
      </c>
      <c r="D1611" s="14" t="s">
        <v>6485</v>
      </c>
      <c r="E1611" s="6" t="str">
        <f>HYPERLINK("https://twitter.com/BigData_Fr/status/1364125288108597250","1364125288108597250")</f>
        <v>1364125288108597250</v>
      </c>
      <c r="F1611" s="7" t="s">
        <v>6486</v>
      </c>
      <c r="G1611" s="8"/>
      <c r="H1611" s="8"/>
      <c r="I1611" s="14">
        <v>2</v>
      </c>
      <c r="J1611" s="14">
        <v>2</v>
      </c>
      <c r="K1611" s="6" t="str">
        <f t="shared" si="301"/>
        <v>IFTTT</v>
      </c>
      <c r="L1611" s="15">
        <v>4678</v>
      </c>
      <c r="M1611" s="15">
        <v>138</v>
      </c>
      <c r="N1611" s="15">
        <v>690</v>
      </c>
      <c r="O1611" s="9"/>
      <c r="P1611" s="10">
        <v>41348.789548611108</v>
      </c>
      <c r="Q1611" s="14" t="s">
        <v>106</v>
      </c>
      <c r="R1611" s="14" t="s">
        <v>6334</v>
      </c>
      <c r="S1611" s="8"/>
      <c r="T1611" s="8"/>
      <c r="U1611" s="11" t="str">
        <f t="shared" si="302"/>
        <v>View</v>
      </c>
      <c r="V1611" s="8"/>
      <c r="W1611" s="8"/>
      <c r="X1611" s="8"/>
      <c r="Y1611" s="8"/>
      <c r="Z1611" s="8"/>
    </row>
    <row r="1612" spans="1:26" ht="13.2">
      <c r="A1612" s="13">
        <v>44250.381793981476</v>
      </c>
      <c r="B1612" s="6" t="str">
        <f t="shared" si="300"/>
        <v>@BigData_Fr</v>
      </c>
      <c r="C1612" s="14" t="s">
        <v>6331</v>
      </c>
      <c r="D1612" s="14" t="s">
        <v>6487</v>
      </c>
      <c r="E1612" s="6" t="str">
        <f>HYPERLINK("https://twitter.com/BigData_Fr/status/1364125286426632195","1364125286426632195")</f>
        <v>1364125286426632195</v>
      </c>
      <c r="F1612" s="7" t="s">
        <v>6488</v>
      </c>
      <c r="G1612" s="8"/>
      <c r="H1612" s="8"/>
      <c r="I1612" s="14">
        <v>1</v>
      </c>
      <c r="J1612" s="14">
        <v>1</v>
      </c>
      <c r="K1612" s="6" t="str">
        <f t="shared" si="301"/>
        <v>IFTTT</v>
      </c>
      <c r="L1612" s="15">
        <v>4678</v>
      </c>
      <c r="M1612" s="15">
        <v>138</v>
      </c>
      <c r="N1612" s="15">
        <v>690</v>
      </c>
      <c r="O1612" s="9"/>
      <c r="P1612" s="10">
        <v>41348.789548611108</v>
      </c>
      <c r="Q1612" s="14" t="s">
        <v>106</v>
      </c>
      <c r="R1612" s="14" t="s">
        <v>6334</v>
      </c>
      <c r="S1612" s="8"/>
      <c r="T1612" s="8"/>
      <c r="U1612" s="11" t="str">
        <f t="shared" si="302"/>
        <v>View</v>
      </c>
      <c r="V1612" s="8"/>
      <c r="W1612" s="8"/>
      <c r="X1612" s="8"/>
      <c r="Y1612" s="8"/>
      <c r="Z1612" s="8"/>
    </row>
    <row r="1613" spans="1:26" ht="13.2">
      <c r="A1613" s="13">
        <v>44250.381782407407</v>
      </c>
      <c r="B1613" s="6" t="str">
        <f t="shared" si="300"/>
        <v>@BigData_Fr</v>
      </c>
      <c r="C1613" s="14" t="s">
        <v>6331</v>
      </c>
      <c r="D1613" s="14" t="s">
        <v>6489</v>
      </c>
      <c r="E1613" s="6" t="str">
        <f>HYPERLINK("https://twitter.com/BigData_Fr/status/1364125284644102144","1364125284644102144")</f>
        <v>1364125284644102144</v>
      </c>
      <c r="F1613" s="7" t="s">
        <v>6490</v>
      </c>
      <c r="G1613" s="8"/>
      <c r="H1613" s="8"/>
      <c r="I1613" s="14">
        <v>2</v>
      </c>
      <c r="J1613" s="14">
        <v>2</v>
      </c>
      <c r="K1613" s="6" t="str">
        <f t="shared" si="301"/>
        <v>IFTTT</v>
      </c>
      <c r="L1613" s="15">
        <v>4678</v>
      </c>
      <c r="M1613" s="15">
        <v>138</v>
      </c>
      <c r="N1613" s="15">
        <v>690</v>
      </c>
      <c r="O1613" s="9"/>
      <c r="P1613" s="10">
        <v>41348.789548611108</v>
      </c>
      <c r="Q1613" s="14" t="s">
        <v>106</v>
      </c>
      <c r="R1613" s="14" t="s">
        <v>6334</v>
      </c>
      <c r="S1613" s="8"/>
      <c r="T1613" s="8"/>
      <c r="U1613" s="11" t="str">
        <f t="shared" si="302"/>
        <v>View</v>
      </c>
      <c r="V1613" s="8"/>
      <c r="W1613" s="8"/>
      <c r="X1613" s="8"/>
      <c r="Y1613" s="8"/>
      <c r="Z1613" s="8"/>
    </row>
    <row r="1614" spans="1:26" ht="13.2">
      <c r="A1614" s="13">
        <v>44250.381782407407</v>
      </c>
      <c r="B1614" s="6" t="str">
        <f t="shared" si="300"/>
        <v>@BigData_Fr</v>
      </c>
      <c r="C1614" s="14" t="s">
        <v>6331</v>
      </c>
      <c r="D1614" s="14" t="s">
        <v>6491</v>
      </c>
      <c r="E1614" s="6" t="str">
        <f>HYPERLINK("https://twitter.com/BigData_Fr/status/1364125282861518849","1364125282861518849")</f>
        <v>1364125282861518849</v>
      </c>
      <c r="F1614" s="7" t="s">
        <v>6492</v>
      </c>
      <c r="G1614" s="8"/>
      <c r="H1614" s="8"/>
      <c r="I1614" s="14">
        <v>2</v>
      </c>
      <c r="J1614" s="14">
        <v>1</v>
      </c>
      <c r="K1614" s="6" t="str">
        <f t="shared" si="301"/>
        <v>IFTTT</v>
      </c>
      <c r="L1614" s="15">
        <v>4678</v>
      </c>
      <c r="M1614" s="15">
        <v>138</v>
      </c>
      <c r="N1614" s="15">
        <v>690</v>
      </c>
      <c r="O1614" s="9"/>
      <c r="P1614" s="10">
        <v>41348.789548611108</v>
      </c>
      <c r="Q1614" s="14" t="s">
        <v>106</v>
      </c>
      <c r="R1614" s="14" t="s">
        <v>6334</v>
      </c>
      <c r="S1614" s="8"/>
      <c r="T1614" s="8"/>
      <c r="U1614" s="11" t="str">
        <f t="shared" si="302"/>
        <v>View</v>
      </c>
      <c r="V1614" s="8"/>
      <c r="W1614" s="8"/>
      <c r="X1614" s="8"/>
      <c r="Y1614" s="8"/>
      <c r="Z1614" s="8"/>
    </row>
    <row r="1615" spans="1:26" ht="13.2">
      <c r="A1615" s="13">
        <v>44250.381747685184</v>
      </c>
      <c r="B1615" s="6" t="str">
        <f t="shared" si="300"/>
        <v>@BigData_Fr</v>
      </c>
      <c r="C1615" s="14" t="s">
        <v>6331</v>
      </c>
      <c r="D1615" s="14" t="s">
        <v>6683</v>
      </c>
      <c r="E1615" s="6" t="str">
        <f>HYPERLINK("https://twitter.com/BigData_Fr/status/1364125272128290818","1364125272128290818")</f>
        <v>1364125272128290818</v>
      </c>
      <c r="F1615" s="7" t="s">
        <v>6684</v>
      </c>
      <c r="G1615" s="8"/>
      <c r="H1615" s="8"/>
      <c r="I1615" s="14">
        <v>1</v>
      </c>
      <c r="J1615" s="14">
        <v>1</v>
      </c>
      <c r="K1615" s="6" t="str">
        <f t="shared" si="301"/>
        <v>IFTTT</v>
      </c>
      <c r="L1615" s="15">
        <v>4678</v>
      </c>
      <c r="M1615" s="15">
        <v>138</v>
      </c>
      <c r="N1615" s="15">
        <v>690</v>
      </c>
      <c r="O1615" s="9"/>
      <c r="P1615" s="10">
        <v>41348.789548611108</v>
      </c>
      <c r="Q1615" s="14" t="s">
        <v>106</v>
      </c>
      <c r="R1615" s="14" t="s">
        <v>6334</v>
      </c>
      <c r="S1615" s="8"/>
      <c r="T1615" s="8"/>
      <c r="U1615" s="11" t="str">
        <f t="shared" si="302"/>
        <v>View</v>
      </c>
      <c r="V1615" s="8"/>
      <c r="W1615" s="8"/>
      <c r="X1615" s="8"/>
      <c r="Y1615" s="8"/>
      <c r="Z1615" s="8"/>
    </row>
    <row r="1616" spans="1:26" ht="13.2">
      <c r="A1616" s="13">
        <v>44250.381412037037</v>
      </c>
      <c r="B1616" s="6" t="str">
        <f>HYPERLINK("https://twitter.com/MhdShadiHasan","@MhdShadiHasan")</f>
        <v>@MhdShadiHasan</v>
      </c>
      <c r="C1616" s="14" t="s">
        <v>6685</v>
      </c>
      <c r="D1616" s="14" t="s">
        <v>6686</v>
      </c>
      <c r="E1616" s="6" t="str">
        <f>HYPERLINK("https://twitter.com/MhdShadiHasan/status/1364125149516230656","1364125149516230656")</f>
        <v>1364125149516230656</v>
      </c>
      <c r="F1616" s="8"/>
      <c r="G1616" s="8"/>
      <c r="H1616" s="8"/>
      <c r="I1616" s="14">
        <v>15</v>
      </c>
      <c r="J1616" s="14">
        <v>6</v>
      </c>
      <c r="K1616" s="6" t="str">
        <f>HYPERLINK("http://twitter.com/download/android","Twitter for Android")</f>
        <v>Twitter for Android</v>
      </c>
      <c r="L1616" s="15">
        <v>47</v>
      </c>
      <c r="M1616" s="15">
        <v>327</v>
      </c>
      <c r="N1616" s="15">
        <v>1</v>
      </c>
      <c r="O1616" s="9"/>
      <c r="P1616" s="10">
        <v>44053.915092592593</v>
      </c>
      <c r="Q1616" s="8"/>
      <c r="R1616" s="14" t="s">
        <v>6687</v>
      </c>
      <c r="S1616" s="8"/>
      <c r="T1616" s="8"/>
      <c r="U1616" s="11" t="str">
        <f>HYPERLINK("https://pbs.twimg.com/profile_images/1324233450472251392/bBvDoBmp.jpg","View")</f>
        <v>View</v>
      </c>
      <c r="V1616" s="8"/>
      <c r="W1616" s="8"/>
      <c r="X1616" s="8"/>
      <c r="Y1616" s="8"/>
      <c r="Z1616" s="8"/>
    </row>
    <row r="1617" spans="1:26" ht="13.2">
      <c r="A1617" s="13">
        <v>44250.381296296298</v>
      </c>
      <c r="B1617" s="6" t="str">
        <f>HYPERLINK("https://twitter.com/CatherineAdenle","@CatherineAdenle")</f>
        <v>@CatherineAdenle</v>
      </c>
      <c r="C1617" s="14" t="s">
        <v>6649</v>
      </c>
      <c r="D1617" s="14" t="s">
        <v>3069</v>
      </c>
      <c r="E1617" s="6" t="str">
        <f>HYPERLINK("https://twitter.com/CatherineAdenle/status/1364125106545561600","1364125106545561600")</f>
        <v>1364125106545561600</v>
      </c>
      <c r="F1617" s="8"/>
      <c r="G1617" s="7" t="s">
        <v>6688</v>
      </c>
      <c r="H1617" s="8"/>
      <c r="I1617" s="14">
        <v>45</v>
      </c>
      <c r="J1617" s="14">
        <v>32</v>
      </c>
      <c r="K1617" s="6" t="str">
        <f>HYPERLINK("http://twitter.com/download/iphone","Twitter for iPhone")</f>
        <v>Twitter for iPhone</v>
      </c>
      <c r="L1617" s="15">
        <v>38255</v>
      </c>
      <c r="M1617" s="15">
        <v>2328</v>
      </c>
      <c r="N1617" s="15">
        <v>782</v>
      </c>
      <c r="O1617" s="9"/>
      <c r="P1617" s="10">
        <v>40049.734074074076</v>
      </c>
      <c r="Q1617" s="14" t="s">
        <v>5650</v>
      </c>
      <c r="R1617" s="14" t="s">
        <v>6652</v>
      </c>
      <c r="S1617" s="7" t="s">
        <v>6653</v>
      </c>
      <c r="T1617" s="8"/>
      <c r="U1617" s="11" t="str">
        <f>HYPERLINK("https://pbs.twimg.com/profile_images/476740017432584192/f_Wc8SVX.jpeg","View")</f>
        <v>View</v>
      </c>
      <c r="V1617" s="8"/>
      <c r="W1617" s="8"/>
      <c r="X1617" s="8"/>
      <c r="Y1617" s="8"/>
      <c r="Z1617" s="8"/>
    </row>
    <row r="1618" spans="1:26" ht="13.2">
      <c r="A1618" s="13">
        <v>44250.380706018521</v>
      </c>
      <c r="B1618" s="6" t="str">
        <f>HYPERLINK("https://twitter.com/Calibraint_Tech","@Calibraint_Tech")</f>
        <v>@Calibraint_Tech</v>
      </c>
      <c r="C1618" s="14" t="s">
        <v>6689</v>
      </c>
      <c r="D1618" s="14" t="s">
        <v>6690</v>
      </c>
      <c r="E1618" s="6" t="str">
        <f>HYPERLINK("https://twitter.com/Calibraint_Tech/status/1364124894942826496","1364124894942826496")</f>
        <v>1364124894942826496</v>
      </c>
      <c r="F1618" s="7" t="s">
        <v>6691</v>
      </c>
      <c r="G1618" s="7" t="s">
        <v>6692</v>
      </c>
      <c r="H1618" s="8"/>
      <c r="I1618" s="14">
        <v>20</v>
      </c>
      <c r="J1618" s="14">
        <v>12</v>
      </c>
      <c r="K1618" s="6" t="str">
        <f>HYPERLINK("https://mobile.twitter.com","Twitter Web App")</f>
        <v>Twitter Web App</v>
      </c>
      <c r="L1618" s="15">
        <v>470</v>
      </c>
      <c r="M1618" s="15">
        <v>29</v>
      </c>
      <c r="N1618" s="15">
        <v>3</v>
      </c>
      <c r="O1618" s="9"/>
      <c r="P1618" s="10">
        <v>43563.287766203706</v>
      </c>
      <c r="Q1618" s="14" t="s">
        <v>901</v>
      </c>
      <c r="R1618" s="14" t="s">
        <v>6693</v>
      </c>
      <c r="S1618" s="7" t="s">
        <v>6694</v>
      </c>
      <c r="T1618" s="8"/>
      <c r="U1618" s="11" t="str">
        <f>HYPERLINK("https://pbs.twimg.com/profile_images/1115119215738888192/plFqCV7h.jpg","View")</f>
        <v>View</v>
      </c>
      <c r="V1618" s="8"/>
      <c r="W1618" s="8"/>
      <c r="X1618" s="8"/>
      <c r="Y1618" s="8"/>
      <c r="Z1618" s="8"/>
    </row>
    <row r="1619" spans="1:26" ht="13.2">
      <c r="A1619" s="13">
        <v>44250.380428240736</v>
      </c>
      <c r="B1619" s="6" t="str">
        <f>HYPERLINK("https://twitter.com/JourneyHeroTech","@JourneyHeroTech")</f>
        <v>@JourneyHeroTech</v>
      </c>
      <c r="C1619" s="14" t="s">
        <v>1061</v>
      </c>
      <c r="D1619" s="14" t="s">
        <v>6695</v>
      </c>
      <c r="E1619" s="6" t="str">
        <f>HYPERLINK("https://twitter.com/JourneyHeroTech/status/1364124794338344961","1364124794338344961")</f>
        <v>1364124794338344961</v>
      </c>
      <c r="F1619" s="14" t="s">
        <v>6696</v>
      </c>
      <c r="G1619" s="8"/>
      <c r="H1619" s="8"/>
      <c r="I1619" s="14">
        <v>34</v>
      </c>
      <c r="J1619" s="14">
        <v>22</v>
      </c>
      <c r="K1619" s="6" t="str">
        <f>HYPERLINK("http://twitter.com/download/iphone","Twitter for iPhone")</f>
        <v>Twitter for iPhone</v>
      </c>
      <c r="L1619" s="15">
        <v>418</v>
      </c>
      <c r="M1619" s="15">
        <v>1469</v>
      </c>
      <c r="N1619" s="15">
        <v>4</v>
      </c>
      <c r="O1619" s="9"/>
      <c r="P1619" s="10">
        <v>43958.737557870365</v>
      </c>
      <c r="Q1619" s="8"/>
      <c r="R1619" s="14" t="s">
        <v>1065</v>
      </c>
      <c r="S1619" s="7" t="s">
        <v>1066</v>
      </c>
      <c r="T1619" s="8"/>
      <c r="U1619" s="11" t="str">
        <f>HYPERLINK("https://pbs.twimg.com/profile_images/1258421949493100544/99J8Ehfn.jpg","View")</f>
        <v>View</v>
      </c>
      <c r="V1619" s="8"/>
      <c r="W1619" s="8"/>
      <c r="X1619" s="8"/>
      <c r="Y1619" s="8"/>
      <c r="Z1619" s="8"/>
    </row>
    <row r="1620" spans="1:26" ht="13.2">
      <c r="A1620" s="13">
        <v>44250.379988425921</v>
      </c>
      <c r="B1620" s="6" t="str">
        <f>HYPERLINK("https://twitter.com/moueller1961","@moueller1961")</f>
        <v>@moueller1961</v>
      </c>
      <c r="C1620" s="14" t="s">
        <v>6414</v>
      </c>
      <c r="D1620" s="14" t="s">
        <v>6697</v>
      </c>
      <c r="E1620" s="6" t="str">
        <f>HYPERLINK("https://twitter.com/moueller1961/status/1364124631964213249","1364124631964213249")</f>
        <v>1364124631964213249</v>
      </c>
      <c r="F1620" s="7" t="s">
        <v>6698</v>
      </c>
      <c r="G1620" s="7" t="s">
        <v>6699</v>
      </c>
      <c r="H1620" s="8"/>
      <c r="I1620" s="14">
        <v>2</v>
      </c>
      <c r="J1620" s="14">
        <v>2</v>
      </c>
      <c r="K1620" s="6" t="str">
        <f t="shared" ref="K1620:K1622" si="303">HYPERLINK("https://mobile.twitter.com","Twitter Web App")</f>
        <v>Twitter Web App</v>
      </c>
      <c r="L1620" s="15">
        <v>2581</v>
      </c>
      <c r="M1620" s="15">
        <v>26</v>
      </c>
      <c r="N1620" s="15">
        <v>256</v>
      </c>
      <c r="O1620" s="9"/>
      <c r="P1620" s="10">
        <v>42106.853055555555</v>
      </c>
      <c r="Q1620" s="8"/>
      <c r="R1620" s="14" t="s">
        <v>6418</v>
      </c>
      <c r="S1620" s="8"/>
      <c r="T1620" s="8"/>
      <c r="U1620" s="11" t="str">
        <f>HYPERLINK("https://pbs.twimg.com/profile_images/1202572262156713985/_52Q3Trv.jpg","View")</f>
        <v>View</v>
      </c>
      <c r="V1620" s="8"/>
      <c r="W1620" s="8"/>
      <c r="X1620" s="8"/>
      <c r="Y1620" s="8"/>
      <c r="Z1620" s="8"/>
    </row>
    <row r="1621" spans="1:26" ht="13.2">
      <c r="A1621" s="13">
        <v>44250.379849537036</v>
      </c>
      <c r="B1621" s="6" t="str">
        <f>HYPERLINK("https://twitter.com/recode_minds","@recode_minds")</f>
        <v>@recode_minds</v>
      </c>
      <c r="C1621" s="14" t="s">
        <v>6700</v>
      </c>
      <c r="D1621" s="14" t="s">
        <v>6701</v>
      </c>
      <c r="E1621" s="6" t="str">
        <f>HYPERLINK("https://twitter.com/recode_minds/status/1364124583062695937","1364124583062695937")</f>
        <v>1364124583062695937</v>
      </c>
      <c r="F1621" s="7" t="s">
        <v>6702</v>
      </c>
      <c r="G1621" s="8"/>
      <c r="H1621" s="8"/>
      <c r="I1621" s="14">
        <v>2</v>
      </c>
      <c r="J1621" s="14">
        <v>1</v>
      </c>
      <c r="K1621" s="6" t="str">
        <f t="shared" si="303"/>
        <v>Twitter Web App</v>
      </c>
      <c r="L1621" s="15">
        <v>350</v>
      </c>
      <c r="M1621" s="15">
        <v>2337</v>
      </c>
      <c r="N1621" s="15">
        <v>4</v>
      </c>
      <c r="O1621" s="9"/>
      <c r="P1621" s="10">
        <v>43820.531111111108</v>
      </c>
      <c r="Q1621" s="14" t="s">
        <v>4166</v>
      </c>
      <c r="R1621" s="14" t="s">
        <v>6703</v>
      </c>
      <c r="S1621" s="7" t="s">
        <v>6704</v>
      </c>
      <c r="T1621" s="8"/>
      <c r="U1621" s="11" t="str">
        <f>HYPERLINK("https://pbs.twimg.com/profile_images/1227217996642316289/liFPXzl4.jpg","View")</f>
        <v>View</v>
      </c>
      <c r="V1621" s="8"/>
      <c r="W1621" s="8"/>
      <c r="X1621" s="8"/>
      <c r="Y1621" s="8"/>
      <c r="Z1621" s="8"/>
    </row>
    <row r="1622" spans="1:26" ht="13.2">
      <c r="A1622" s="13">
        <v>44250.379664351851</v>
      </c>
      <c r="B1622" s="6" t="str">
        <f>HYPERLINK("https://twitter.com/Analyticsindiam","@Analyticsindiam")</f>
        <v>@Analyticsindiam</v>
      </c>
      <c r="C1622" s="14" t="s">
        <v>5870</v>
      </c>
      <c r="D1622" s="14" t="s">
        <v>6705</v>
      </c>
      <c r="E1622" s="6" t="str">
        <f>HYPERLINK("https://twitter.com/Analyticsindiam/status/1364124516201361410","1364124516201361410")</f>
        <v>1364124516201361410</v>
      </c>
      <c r="F1622" s="7" t="s">
        <v>6706</v>
      </c>
      <c r="G1622" s="8"/>
      <c r="H1622" s="8"/>
      <c r="I1622" s="14">
        <v>16</v>
      </c>
      <c r="J1622" s="14">
        <v>10</v>
      </c>
      <c r="K1622" s="6" t="str">
        <f t="shared" si="303"/>
        <v>Twitter Web App</v>
      </c>
      <c r="L1622" s="15">
        <v>12466</v>
      </c>
      <c r="M1622" s="15">
        <v>353</v>
      </c>
      <c r="N1622" s="15">
        <v>284</v>
      </c>
      <c r="O1622" s="9"/>
      <c r="P1622" s="10">
        <v>41209.688425925924</v>
      </c>
      <c r="Q1622" s="14" t="s">
        <v>1742</v>
      </c>
      <c r="R1622" s="14" t="s">
        <v>5873</v>
      </c>
      <c r="S1622" s="7" t="s">
        <v>5874</v>
      </c>
      <c r="T1622" s="8"/>
      <c r="U1622" s="11" t="str">
        <f>HYPERLINK("https://pbs.twimg.com/profile_images/1346368144391118848/X7OaLwQ5.jpg","View")</f>
        <v>View</v>
      </c>
      <c r="V1622" s="8"/>
      <c r="W1622" s="8"/>
      <c r="X1622" s="8"/>
      <c r="Y1622" s="8"/>
      <c r="Z1622" s="8"/>
    </row>
    <row r="1623" spans="1:26" ht="13.2">
      <c r="A1623" s="13">
        <v>44250.378854166665</v>
      </c>
      <c r="B1623" s="6" t="str">
        <f>HYPERLINK("https://twitter.com/lopezunwired","@lopezunwired")</f>
        <v>@lopezunwired</v>
      </c>
      <c r="C1623" s="14" t="s">
        <v>224</v>
      </c>
      <c r="D1623" s="14" t="s">
        <v>6707</v>
      </c>
      <c r="E1623" s="6" t="str">
        <f>HYPERLINK("https://twitter.com/lopezunwired/status/1364124220817506306","1364124220817506306")</f>
        <v>1364124220817506306</v>
      </c>
      <c r="F1623" s="7" t="s">
        <v>6708</v>
      </c>
      <c r="G1623" s="7" t="s">
        <v>6709</v>
      </c>
      <c r="H1623" s="8"/>
      <c r="I1623" s="14">
        <v>0</v>
      </c>
      <c r="J1623" s="14">
        <v>0</v>
      </c>
      <c r="K1623" s="6" t="str">
        <f>HYPERLINK("https://dlvrit.com/","dlvr.it")</f>
        <v>dlvr.it</v>
      </c>
      <c r="L1623" s="15">
        <v>1803</v>
      </c>
      <c r="M1623" s="15">
        <v>800</v>
      </c>
      <c r="N1623" s="15">
        <v>586</v>
      </c>
      <c r="O1623" s="9"/>
      <c r="P1623" s="10">
        <v>39831.947152777779</v>
      </c>
      <c r="Q1623" s="14" t="s">
        <v>228</v>
      </c>
      <c r="R1623" s="14" t="s">
        <v>229</v>
      </c>
      <c r="S1623" s="7" t="s">
        <v>230</v>
      </c>
      <c r="T1623" s="8"/>
      <c r="U1623" s="11" t="str">
        <f>HYPERLINK("https://pbs.twimg.com/profile_images/3326137784/c6c1c2570fc7b9711dd8de812b996a66.jpeg","View")</f>
        <v>View</v>
      </c>
      <c r="V1623" s="8"/>
      <c r="W1623" s="8"/>
      <c r="X1623" s="8"/>
      <c r="Y1623" s="8"/>
      <c r="Z1623" s="8"/>
    </row>
    <row r="1624" spans="1:26" ht="13.2">
      <c r="A1624" s="13">
        <v>44250.378784722227</v>
      </c>
      <c r="B1624" s="6" t="str">
        <f>HYPERLINK("https://twitter.com/gabrielbechara","@gabrielbechara")</f>
        <v>@gabrielbechara</v>
      </c>
      <c r="C1624" s="14" t="s">
        <v>6710</v>
      </c>
      <c r="D1624" s="14" t="s">
        <v>1526</v>
      </c>
      <c r="E1624" s="6" t="str">
        <f>HYPERLINK("https://twitter.com/gabrielbechara/status/1364124195911856128","1364124195911856128")</f>
        <v>1364124195911856128</v>
      </c>
      <c r="F1624" s="7" t="s">
        <v>6711</v>
      </c>
      <c r="G1624" s="8"/>
      <c r="H1624" s="8"/>
      <c r="I1624" s="14">
        <v>1</v>
      </c>
      <c r="J1624" s="14">
        <v>1</v>
      </c>
      <c r="K1624" s="6" t="str">
        <f>HYPERLINK("http://smarp.com","Smarp.")</f>
        <v>Smarp.</v>
      </c>
      <c r="L1624" s="15">
        <v>192</v>
      </c>
      <c r="M1624" s="15">
        <v>427</v>
      </c>
      <c r="N1624" s="15">
        <v>24</v>
      </c>
      <c r="O1624" s="9"/>
      <c r="P1624" s="10">
        <v>39680.906111111108</v>
      </c>
      <c r="Q1624" s="8"/>
      <c r="R1624" s="8"/>
      <c r="S1624" s="8"/>
      <c r="T1624" s="8"/>
      <c r="U1624" s="11" t="str">
        <f>HYPERLINK("https://pbs.twimg.com/profile_images/977223372743553024/WmPnUvPr.jpg","View")</f>
        <v>View</v>
      </c>
      <c r="V1624" s="8"/>
      <c r="W1624" s="8"/>
      <c r="X1624" s="8"/>
      <c r="Y1624" s="8"/>
      <c r="Z1624" s="8"/>
    </row>
    <row r="1625" spans="1:26" ht="13.2">
      <c r="A1625" s="13">
        <v>44250.378495370373</v>
      </c>
      <c r="B1625" s="6" t="str">
        <f>HYPERLINK("https://twitter.com/nigewillson","@nigewillson")</f>
        <v>@nigewillson</v>
      </c>
      <c r="C1625" s="14" t="s">
        <v>95</v>
      </c>
      <c r="D1625" s="14" t="s">
        <v>971</v>
      </c>
      <c r="E1625" s="6" t="str">
        <f>HYPERLINK("https://twitter.com/nigewillson/status/1364124094149636097","1364124094149636097")</f>
        <v>1364124094149636097</v>
      </c>
      <c r="F1625" s="7" t="s">
        <v>972</v>
      </c>
      <c r="G1625" s="7" t="s">
        <v>6712</v>
      </c>
      <c r="H1625" s="8"/>
      <c r="I1625" s="14">
        <v>4</v>
      </c>
      <c r="J1625" s="14">
        <v>3</v>
      </c>
      <c r="K1625" s="6" t="str">
        <f>HYPERLINK("https://buffer.com","Buffer")</f>
        <v>Buffer</v>
      </c>
      <c r="L1625" s="15">
        <v>57515</v>
      </c>
      <c r="M1625" s="15">
        <v>49523</v>
      </c>
      <c r="N1625" s="15">
        <v>1688</v>
      </c>
      <c r="O1625" s="9"/>
      <c r="P1625" s="10">
        <v>40530.666805555556</v>
      </c>
      <c r="Q1625" s="14" t="s">
        <v>99</v>
      </c>
      <c r="R1625" s="14" t="s">
        <v>100</v>
      </c>
      <c r="S1625" s="7" t="s">
        <v>101</v>
      </c>
      <c r="T1625" s="8"/>
      <c r="U1625" s="11" t="str">
        <f>HYPERLINK("https://pbs.twimg.com/profile_images/1085251590997622784/x9mWVQ1d.jpg","View")</f>
        <v>View</v>
      </c>
      <c r="V1625" s="8"/>
      <c r="W1625" s="8"/>
      <c r="X1625" s="8"/>
      <c r="Y1625" s="8"/>
      <c r="Z1625" s="8"/>
    </row>
    <row r="1626" spans="1:26" ht="13.2">
      <c r="A1626" s="13">
        <v>44250.37736111111</v>
      </c>
      <c r="B1626" s="6" t="str">
        <f>HYPERLINK("https://twitter.com/cornichecorp","@cornichecorp")</f>
        <v>@cornichecorp</v>
      </c>
      <c r="C1626" s="14" t="s">
        <v>2271</v>
      </c>
      <c r="D1626" s="14" t="s">
        <v>6713</v>
      </c>
      <c r="E1626" s="6" t="str">
        <f>HYPERLINK("https://twitter.com/cornichecorp/status/1364123681505632256","1364123681505632256")</f>
        <v>1364123681505632256</v>
      </c>
      <c r="F1626" s="14" t="s">
        <v>1640</v>
      </c>
      <c r="G1626" s="8"/>
      <c r="H1626" s="8"/>
      <c r="I1626" s="14">
        <v>15</v>
      </c>
      <c r="J1626" s="14">
        <v>9</v>
      </c>
      <c r="K1626" s="6" t="str">
        <f t="shared" ref="K1626:K1627" si="304">HYPERLINK("http://twinybots.com","TwinyBots")</f>
        <v>TwinyBots</v>
      </c>
      <c r="L1626" s="15">
        <v>2349</v>
      </c>
      <c r="M1626" s="15">
        <v>2163</v>
      </c>
      <c r="N1626" s="15">
        <v>30</v>
      </c>
      <c r="O1626" s="9"/>
      <c r="P1626" s="10">
        <v>42246.917499999996</v>
      </c>
      <c r="Q1626" s="14" t="s">
        <v>2274</v>
      </c>
      <c r="R1626" s="14" t="s">
        <v>2275</v>
      </c>
      <c r="S1626" s="8"/>
      <c r="T1626" s="8"/>
      <c r="U1626" s="11" t="str">
        <f>HYPERLINK("https://pbs.twimg.com/profile_images/1135863200396775424/vPe8Htor.png","View")</f>
        <v>View</v>
      </c>
      <c r="V1626" s="8"/>
      <c r="W1626" s="8"/>
      <c r="X1626" s="8"/>
      <c r="Y1626" s="8"/>
      <c r="Z1626" s="8"/>
    </row>
    <row r="1627" spans="1:26" ht="13.2">
      <c r="A1627" s="13">
        <v>44250.37736111111</v>
      </c>
      <c r="B1627" s="6" t="str">
        <f>HYPERLINK("https://twitter.com/PawanSomanchi","@PawanSomanchi")</f>
        <v>@PawanSomanchi</v>
      </c>
      <c r="C1627" s="14" t="s">
        <v>6714</v>
      </c>
      <c r="D1627" s="14" t="s">
        <v>6660</v>
      </c>
      <c r="E1627" s="6" t="str">
        <f>HYPERLINK("https://twitter.com/PawanSomanchi/status/1364123681501417474","1364123681501417474")</f>
        <v>1364123681501417474</v>
      </c>
      <c r="F1627" s="14" t="s">
        <v>4134</v>
      </c>
      <c r="G1627" s="8"/>
      <c r="H1627" s="8"/>
      <c r="I1627" s="14">
        <v>2</v>
      </c>
      <c r="J1627" s="14">
        <v>1</v>
      </c>
      <c r="K1627" s="6" t="str">
        <f t="shared" si="304"/>
        <v>TwinyBots</v>
      </c>
      <c r="L1627" s="15">
        <v>895</v>
      </c>
      <c r="M1627" s="15">
        <v>1377</v>
      </c>
      <c r="N1627" s="15">
        <v>12</v>
      </c>
      <c r="O1627" s="9"/>
      <c r="P1627" s="10">
        <v>42629.507384259261</v>
      </c>
      <c r="Q1627" s="14" t="s">
        <v>4166</v>
      </c>
      <c r="R1627" s="14" t="s">
        <v>6715</v>
      </c>
      <c r="S1627" s="7" t="s">
        <v>6716</v>
      </c>
      <c r="T1627" s="8"/>
      <c r="U1627" s="11" t="str">
        <f>HYPERLINK("https://pbs.twimg.com/profile_images/1234794854355369984/b5uzwAtt.jpg","View")</f>
        <v>View</v>
      </c>
      <c r="V1627" s="8"/>
      <c r="W1627" s="8"/>
      <c r="X1627" s="8"/>
      <c r="Y1627" s="8"/>
      <c r="Z1627" s="8"/>
    </row>
    <row r="1628" spans="1:26" ht="13.2">
      <c r="A1628" s="13">
        <v>44250.376458333332</v>
      </c>
      <c r="B1628" s="6" t="str">
        <f>HYPERLINK("https://twitter.com/TopNetworkSpA","@TopNetworkSpA")</f>
        <v>@TopNetworkSpA</v>
      </c>
      <c r="C1628" s="14" t="s">
        <v>6717</v>
      </c>
      <c r="D1628" s="14" t="s">
        <v>6718</v>
      </c>
      <c r="E1628" s="6" t="str">
        <f>HYPERLINK("https://twitter.com/TopNetworkSpA/status/1364123352474992642","1364123352474992642")</f>
        <v>1364123352474992642</v>
      </c>
      <c r="F1628" s="7" t="s">
        <v>6719</v>
      </c>
      <c r="G1628" s="8"/>
      <c r="H1628" s="8"/>
      <c r="I1628" s="14">
        <v>0</v>
      </c>
      <c r="J1628" s="14">
        <v>0</v>
      </c>
      <c r="K1628" s="6" t="str">
        <f>HYPERLINK("https://www.postpickr.com","PostPickr")</f>
        <v>PostPickr</v>
      </c>
      <c r="L1628" s="15">
        <v>207</v>
      </c>
      <c r="M1628" s="15">
        <v>285</v>
      </c>
      <c r="N1628" s="15">
        <v>0</v>
      </c>
      <c r="O1628" s="9"/>
      <c r="P1628" s="10">
        <v>42942.710439814815</v>
      </c>
      <c r="Q1628" s="14" t="s">
        <v>6720</v>
      </c>
      <c r="R1628" s="14" t="s">
        <v>6721</v>
      </c>
      <c r="S1628" s="7" t="s">
        <v>6722</v>
      </c>
      <c r="T1628" s="8"/>
      <c r="U1628" s="11" t="str">
        <f>HYPERLINK("https://pbs.twimg.com/profile_images/927814757427576832/l00k3re9.jpg","View")</f>
        <v>View</v>
      </c>
      <c r="V1628" s="8"/>
      <c r="W1628" s="8"/>
      <c r="X1628" s="8"/>
      <c r="Y1628" s="8"/>
      <c r="Z1628" s="8"/>
    </row>
    <row r="1629" spans="1:26" ht="13.2">
      <c r="A1629" s="13">
        <v>44250.376307870371</v>
      </c>
      <c r="B1629" s="6" t="str">
        <f>HYPERLINK("https://twitter.com/MeetAliPoetry","@MeetAliPoetry")</f>
        <v>@MeetAliPoetry</v>
      </c>
      <c r="C1629" s="14" t="s">
        <v>6723</v>
      </c>
      <c r="D1629" s="14" t="s">
        <v>6724</v>
      </c>
      <c r="E1629" s="6" t="str">
        <f>HYPERLINK("https://twitter.com/MeetAliPoetry/status/1364123299542749186","1364123299542749186")</f>
        <v>1364123299542749186</v>
      </c>
      <c r="F1629" s="8"/>
      <c r="G1629" s="7" t="s">
        <v>6725</v>
      </c>
      <c r="H1629" s="8"/>
      <c r="I1629" s="14">
        <v>11</v>
      </c>
      <c r="J1629" s="14">
        <v>8</v>
      </c>
      <c r="K1629" s="6" t="str">
        <f t="shared" ref="K1629:K1630" si="305">HYPERLINK("https://mobile.twitter.com","Twitter Web App")</f>
        <v>Twitter Web App</v>
      </c>
      <c r="L1629" s="15">
        <v>138</v>
      </c>
      <c r="M1629" s="15">
        <v>803</v>
      </c>
      <c r="N1629" s="15">
        <v>0</v>
      </c>
      <c r="O1629" s="9"/>
      <c r="P1629" s="10">
        <v>43648.390324074076</v>
      </c>
      <c r="Q1629" s="8"/>
      <c r="R1629" s="14" t="s">
        <v>6726</v>
      </c>
      <c r="S1629" s="7" t="s">
        <v>6727</v>
      </c>
      <c r="T1629" s="8"/>
      <c r="U1629" s="11" t="str">
        <f>HYPERLINK("https://pbs.twimg.com/profile_images/1353692165642313728/bBmGAHRF.jpg","View")</f>
        <v>View</v>
      </c>
      <c r="V1629" s="8"/>
      <c r="W1629" s="8"/>
      <c r="X1629" s="8"/>
      <c r="Y1629" s="8"/>
      <c r="Z1629" s="8"/>
    </row>
    <row r="1630" spans="1:26" ht="13.2">
      <c r="A1630" s="13">
        <v>44250.376134259262</v>
      </c>
      <c r="B1630" s="6" t="str">
        <f>HYPERLINK("https://twitter.com/Jose_A_Alonso","@Jose_A_Alonso")</f>
        <v>@Jose_A_Alonso</v>
      </c>
      <c r="C1630" s="14" t="s">
        <v>6728</v>
      </c>
      <c r="D1630" s="14" t="s">
        <v>6729</v>
      </c>
      <c r="E1630" s="6" t="str">
        <f>HYPERLINK("https://twitter.com/Jose_A_Alonso/status/1364123238675197954","1364123238675197954")</f>
        <v>1364123238675197954</v>
      </c>
      <c r="F1630" s="7" t="s">
        <v>6730</v>
      </c>
      <c r="G1630" s="8"/>
      <c r="H1630" s="8"/>
      <c r="I1630" s="14">
        <v>0</v>
      </c>
      <c r="J1630" s="14">
        <v>4</v>
      </c>
      <c r="K1630" s="6" t="str">
        <f t="shared" si="305"/>
        <v>Twitter Web App</v>
      </c>
      <c r="L1630" s="15">
        <v>2649</v>
      </c>
      <c r="M1630" s="15">
        <v>2687</v>
      </c>
      <c r="N1630" s="15">
        <v>238</v>
      </c>
      <c r="O1630" s="9"/>
      <c r="P1630" s="10">
        <v>40569.703750000001</v>
      </c>
      <c r="Q1630" s="14" t="s">
        <v>1799</v>
      </c>
      <c r="R1630" s="14" t="s">
        <v>6731</v>
      </c>
      <c r="S1630" s="7" t="s">
        <v>6732</v>
      </c>
      <c r="T1630" s="8"/>
      <c r="U1630" s="11" t="str">
        <f>HYPERLINK("https://pbs.twimg.com/profile_images/2609449263/vmq3lkuceoz054nl3u4u.jpeg","View")</f>
        <v>View</v>
      </c>
      <c r="V1630" s="8"/>
      <c r="W1630" s="8"/>
      <c r="X1630" s="8"/>
      <c r="Y1630" s="8"/>
      <c r="Z1630" s="8"/>
    </row>
    <row r="1631" spans="1:26" ht="13.2">
      <c r="A1631" s="13">
        <v>44250.375775462962</v>
      </c>
      <c r="B1631" s="6" t="str">
        <f>HYPERLINK("https://twitter.com/toxictorilee","@toxictorilee")</f>
        <v>@toxictorilee</v>
      </c>
      <c r="C1631" s="14" t="s">
        <v>6733</v>
      </c>
      <c r="D1631" s="14" t="s">
        <v>6734</v>
      </c>
      <c r="E1631" s="6" t="str">
        <f>HYPERLINK("https://twitter.com/toxictorilee/status/1364123107376717824","1364123107376717824")</f>
        <v>1364123107376717824</v>
      </c>
      <c r="F1631" s="7" t="s">
        <v>6735</v>
      </c>
      <c r="G1631" s="8"/>
      <c r="H1631" s="8"/>
      <c r="I1631" s="14">
        <v>0</v>
      </c>
      <c r="J1631" s="14">
        <v>0</v>
      </c>
      <c r="K1631" s="6" t="str">
        <f>HYPERLINK("http://twinybots.com","TwinyBots")</f>
        <v>TwinyBots</v>
      </c>
      <c r="L1631" s="15">
        <v>505</v>
      </c>
      <c r="M1631" s="15">
        <v>113</v>
      </c>
      <c r="N1631" s="15">
        <v>2</v>
      </c>
      <c r="O1631" s="9"/>
      <c r="P1631" s="10">
        <v>43726.072395833333</v>
      </c>
      <c r="Q1631" s="14" t="s">
        <v>322</v>
      </c>
      <c r="R1631" s="14" t="s">
        <v>6736</v>
      </c>
      <c r="S1631" s="7" t="s">
        <v>6737</v>
      </c>
      <c r="T1631" s="8"/>
      <c r="U1631" s="11" t="str">
        <f>HYPERLINK("https://pbs.twimg.com/profile_images/1174108550471323648/qbtU2nr9.jpg","View")</f>
        <v>View</v>
      </c>
      <c r="V1631" s="8"/>
      <c r="W1631" s="8"/>
      <c r="X1631" s="8"/>
      <c r="Y1631" s="8"/>
      <c r="Z1631" s="8"/>
    </row>
    <row r="1632" spans="1:26" ht="13.2">
      <c r="A1632" s="13">
        <v>44250.375706018516</v>
      </c>
      <c r="B1632" s="6" t="str">
        <f>HYPERLINK("https://twitter.com/BristowColin","@BristowColin")</f>
        <v>@BristowColin</v>
      </c>
      <c r="C1632" s="14" t="s">
        <v>596</v>
      </c>
      <c r="D1632" s="14" t="s">
        <v>6738</v>
      </c>
      <c r="E1632" s="6" t="str">
        <f>HYPERLINK("https://twitter.com/BristowColin/status/1364123081820676104","1364123081820676104")</f>
        <v>1364123081820676104</v>
      </c>
      <c r="F1632" s="7" t="s">
        <v>6739</v>
      </c>
      <c r="G1632" s="8"/>
      <c r="H1632" s="8"/>
      <c r="I1632" s="14">
        <v>9</v>
      </c>
      <c r="J1632" s="14">
        <v>8</v>
      </c>
      <c r="K1632" s="6" t="str">
        <f>HYPERLINK("http://dynamicsignal.com/","Dynamic Signal")</f>
        <v>Dynamic Signal</v>
      </c>
      <c r="L1632" s="15">
        <v>12149</v>
      </c>
      <c r="M1632" s="15">
        <v>9707</v>
      </c>
      <c r="N1632" s="15">
        <v>155</v>
      </c>
      <c r="O1632" s="9"/>
      <c r="P1632" s="10">
        <v>40900.478090277778</v>
      </c>
      <c r="Q1632" s="14" t="s">
        <v>599</v>
      </c>
      <c r="R1632" s="14" t="s">
        <v>600</v>
      </c>
      <c r="S1632" s="7" t="s">
        <v>601</v>
      </c>
      <c r="T1632" s="8"/>
      <c r="U1632" s="11" t="str">
        <f>HYPERLINK("https://pbs.twimg.com/profile_images/692994884270198784/jQX64C1s.jpg","View")</f>
        <v>View</v>
      </c>
      <c r="V1632" s="8"/>
      <c r="W1632" s="8"/>
      <c r="X1632" s="8"/>
      <c r="Y1632" s="8"/>
      <c r="Z1632" s="8"/>
    </row>
    <row r="1633" spans="1:26" ht="13.2">
      <c r="A1633" s="13">
        <v>44250.375601851847</v>
      </c>
      <c r="B1633" s="6" t="str">
        <f>HYPERLINK("https://twitter.com/SQLI_FR","@SQLI_FR")</f>
        <v>@SQLI_FR</v>
      </c>
      <c r="C1633" s="14" t="s">
        <v>6740</v>
      </c>
      <c r="D1633" s="14" t="s">
        <v>6741</v>
      </c>
      <c r="E1633" s="6" t="str">
        <f>HYPERLINK("https://twitter.com/SQLI_FR/status/1364123041836457985","1364123041836457985")</f>
        <v>1364123041836457985</v>
      </c>
      <c r="F1633" s="7" t="s">
        <v>6742</v>
      </c>
      <c r="G1633" s="7" t="s">
        <v>6743</v>
      </c>
      <c r="H1633" s="8"/>
      <c r="I1633" s="14">
        <v>2</v>
      </c>
      <c r="J1633" s="14">
        <v>1</v>
      </c>
      <c r="K1633" s="6" t="str">
        <f>HYPERLINK("https://www.oktopost.com","Oktopost")</f>
        <v>Oktopost</v>
      </c>
      <c r="L1633" s="15">
        <v>2376</v>
      </c>
      <c r="M1633" s="15">
        <v>801</v>
      </c>
      <c r="N1633" s="15">
        <v>266</v>
      </c>
      <c r="O1633" s="9"/>
      <c r="P1633" s="10">
        <v>40366.695844907408</v>
      </c>
      <c r="Q1633" s="14" t="s">
        <v>6744</v>
      </c>
      <c r="R1633" s="14" t="s">
        <v>6745</v>
      </c>
      <c r="S1633" s="7" t="s">
        <v>6746</v>
      </c>
      <c r="T1633" s="8"/>
      <c r="U1633" s="11" t="str">
        <f>HYPERLINK("https://pbs.twimg.com/profile_images/1070987362061205507/itLlCFb1.jpg","View")</f>
        <v>View</v>
      </c>
      <c r="V1633" s="8"/>
      <c r="W1633" s="8"/>
      <c r="X1633" s="8"/>
      <c r="Y1633" s="8"/>
      <c r="Z1633" s="8"/>
    </row>
    <row r="1634" spans="1:26" ht="13.2">
      <c r="A1634" s="13">
        <v>44250.375578703708</v>
      </c>
      <c r="B1634" s="6" t="str">
        <f>HYPERLINK("https://twitter.com/rodriguezhernan","@rodriguezhernan")</f>
        <v>@rodriguezhernan</v>
      </c>
      <c r="C1634" s="14" t="s">
        <v>6747</v>
      </c>
      <c r="D1634" s="14" t="s">
        <v>6748</v>
      </c>
      <c r="E1634" s="6" t="str">
        <f>HYPERLINK("https://twitter.com/rodriguezhernan/status/1364123035440185346","1364123035440185346")</f>
        <v>1364123035440185346</v>
      </c>
      <c r="F1634" s="7" t="s">
        <v>6749</v>
      </c>
      <c r="G1634" s="7" t="s">
        <v>6750</v>
      </c>
      <c r="H1634" s="8"/>
      <c r="I1634" s="14">
        <v>1</v>
      </c>
      <c r="J1634" s="14">
        <v>0</v>
      </c>
      <c r="K1634" s="6" t="str">
        <f>HYPERLINK("https://www.hootsuite.com","Hootsuite Inc.")</f>
        <v>Hootsuite Inc.</v>
      </c>
      <c r="L1634" s="15">
        <v>58427</v>
      </c>
      <c r="M1634" s="15">
        <v>46551</v>
      </c>
      <c r="N1634" s="15">
        <v>1381</v>
      </c>
      <c r="O1634" s="15" t="s">
        <v>130</v>
      </c>
      <c r="P1634" s="10">
        <v>39749.51635416667</v>
      </c>
      <c r="Q1634" s="14" t="s">
        <v>6751</v>
      </c>
      <c r="R1634" s="14" t="s">
        <v>6752</v>
      </c>
      <c r="S1634" s="7" t="s">
        <v>6753</v>
      </c>
      <c r="T1634" s="8"/>
      <c r="U1634" s="11" t="str">
        <f>HYPERLINK("https://pbs.twimg.com/profile_images/1262691519242416139/ce9JM6V5.jpg","View")</f>
        <v>View</v>
      </c>
      <c r="V1634" s="8"/>
      <c r="W1634" s="8"/>
      <c r="X1634" s="8"/>
      <c r="Y1634" s="8"/>
      <c r="Z1634" s="8"/>
    </row>
    <row r="1635" spans="1:26" ht="13.2">
      <c r="A1635" s="13">
        <v>44250.375381944439</v>
      </c>
      <c r="B1635" s="6" t="str">
        <f>HYPERLINK("https://twitter.com/CDOTrends","@CDOTrends")</f>
        <v>@CDOTrends</v>
      </c>
      <c r="C1635" s="14" t="s">
        <v>6754</v>
      </c>
      <c r="D1635" s="14" t="s">
        <v>6755</v>
      </c>
      <c r="E1635" s="6" t="str">
        <f>HYPERLINK("https://twitter.com/CDOTrends/status/1364122963910492162","1364122963910492162")</f>
        <v>1364122963910492162</v>
      </c>
      <c r="F1635" s="14" t="s">
        <v>6756</v>
      </c>
      <c r="G1635" s="7" t="s">
        <v>6757</v>
      </c>
      <c r="H1635" s="8"/>
      <c r="I1635" s="14">
        <v>4</v>
      </c>
      <c r="J1635" s="14">
        <v>1</v>
      </c>
      <c r="K1635" s="6" t="str">
        <f>HYPERLINK("https://buffer.com","Buffer")</f>
        <v>Buffer</v>
      </c>
      <c r="L1635" s="15">
        <v>945</v>
      </c>
      <c r="M1635" s="15">
        <v>2502</v>
      </c>
      <c r="N1635" s="15">
        <v>15</v>
      </c>
      <c r="O1635" s="9"/>
      <c r="P1635" s="10">
        <v>43169.472048611111</v>
      </c>
      <c r="Q1635" s="14" t="s">
        <v>5760</v>
      </c>
      <c r="R1635" s="14" t="s">
        <v>6758</v>
      </c>
      <c r="S1635" s="8"/>
      <c r="T1635" s="8"/>
      <c r="U1635" s="11" t="str">
        <f>HYPERLINK("https://pbs.twimg.com/profile_images/972427641532764162/6Xu1sxja.jpg","View")</f>
        <v>View</v>
      </c>
      <c r="V1635" s="8"/>
      <c r="W1635" s="8"/>
      <c r="X1635" s="8"/>
      <c r="Y1635" s="8"/>
      <c r="Z1635" s="8"/>
    </row>
    <row r="1636" spans="1:26" ht="13.2">
      <c r="A1636" s="13">
        <v>44250.375150462962</v>
      </c>
      <c r="B1636" s="6" t="str">
        <f>HYPERLINK("https://twitter.com/themlguru","@themlguru")</f>
        <v>@themlguru</v>
      </c>
      <c r="C1636" s="14" t="s">
        <v>362</v>
      </c>
      <c r="D1636" s="14" t="s">
        <v>6759</v>
      </c>
      <c r="E1636" s="6" t="str">
        <f>HYPERLINK("https://twitter.com/themlguru/status/1364122878929698818","1364122878929698818")</f>
        <v>1364122878929698818</v>
      </c>
      <c r="F1636" s="8"/>
      <c r="G1636" s="7" t="s">
        <v>6760</v>
      </c>
      <c r="H1636" s="8"/>
      <c r="I1636" s="14">
        <v>0</v>
      </c>
      <c r="J1636" s="14">
        <v>0</v>
      </c>
      <c r="K1636" s="6" t="str">
        <f>HYPERLINK("https://twittimer.com","Twittimer")</f>
        <v>Twittimer</v>
      </c>
      <c r="L1636" s="15">
        <v>10</v>
      </c>
      <c r="M1636" s="15">
        <v>33</v>
      </c>
      <c r="N1636" s="15">
        <v>0</v>
      </c>
      <c r="O1636" s="9"/>
      <c r="P1636" s="10">
        <v>44242.188148148147</v>
      </c>
      <c r="Q1636" s="14" t="s">
        <v>364</v>
      </c>
      <c r="R1636" s="8"/>
      <c r="S1636" s="8"/>
      <c r="T1636" s="8"/>
      <c r="U1636" s="11" t="str">
        <f>HYPERLINK("https://pbs.twimg.com/profile_images/1361967087623700484/-6UQQ_sZ.jpg","View")</f>
        <v>View</v>
      </c>
      <c r="V1636" s="8"/>
      <c r="W1636" s="8"/>
      <c r="X1636" s="8"/>
      <c r="Y1636" s="8"/>
      <c r="Z1636" s="8"/>
    </row>
    <row r="1637" spans="1:26" ht="13.2">
      <c r="A1637" s="13">
        <v>44250.375057870369</v>
      </c>
      <c r="B1637" s="6" t="str">
        <f>HYPERLINK("https://twitter.com/MartinSkeens","@MartinSkeens")</f>
        <v>@MartinSkeens</v>
      </c>
      <c r="C1637" s="14" t="s">
        <v>6761</v>
      </c>
      <c r="D1637" s="14" t="s">
        <v>6762</v>
      </c>
      <c r="E1637" s="6" t="str">
        <f>HYPERLINK("https://twitter.com/MartinSkeens/status/1364122846956564480","1364122846956564480")</f>
        <v>1364122846956564480</v>
      </c>
      <c r="F1637" s="7" t="s">
        <v>6763</v>
      </c>
      <c r="G1637" s="8"/>
      <c r="H1637" s="8"/>
      <c r="I1637" s="14">
        <v>3</v>
      </c>
      <c r="J1637" s="14">
        <v>0</v>
      </c>
      <c r="K1637" s="6" t="str">
        <f>HYPERLINK("https://getbambu.com","Bambu by Sprout Social")</f>
        <v>Bambu by Sprout Social</v>
      </c>
      <c r="L1637" s="15">
        <v>1411</v>
      </c>
      <c r="M1637" s="15">
        <v>3704</v>
      </c>
      <c r="N1637" s="15">
        <v>21</v>
      </c>
      <c r="O1637" s="9"/>
      <c r="P1637" s="10">
        <v>41866.48877314815</v>
      </c>
      <c r="Q1637" s="14" t="s">
        <v>599</v>
      </c>
      <c r="R1637" s="14" t="s">
        <v>6764</v>
      </c>
      <c r="S1637" s="8"/>
      <c r="T1637" s="8"/>
      <c r="U1637" s="11" t="str">
        <f>HYPERLINK("https://pbs.twimg.com/profile_images/859778830726303744/pauzDBYb.jpg","View")</f>
        <v>View</v>
      </c>
      <c r="V1637" s="8"/>
      <c r="W1637" s="8"/>
      <c r="X1637" s="8"/>
      <c r="Y1637" s="8"/>
      <c r="Z1637" s="8"/>
    </row>
    <row r="1638" spans="1:26" ht="13.2">
      <c r="A1638" s="13">
        <v>44250.375057870369</v>
      </c>
      <c r="B1638" s="6" t="str">
        <f>HYPERLINK("https://twitter.com/Deep_In_Depth","@Deep_In_Depth")</f>
        <v>@Deep_In_Depth</v>
      </c>
      <c r="C1638" s="14" t="s">
        <v>312</v>
      </c>
      <c r="D1638" s="14" t="s">
        <v>6765</v>
      </c>
      <c r="E1638" s="6" t="str">
        <f>HYPERLINK("https://twitter.com/Deep_In_Depth/status/1364122844767137793","1364122844767137793")</f>
        <v>1364122844767137793</v>
      </c>
      <c r="F1638" s="7" t="s">
        <v>6766</v>
      </c>
      <c r="G1638" s="8"/>
      <c r="H1638" s="8"/>
      <c r="I1638" s="14">
        <v>1</v>
      </c>
      <c r="J1638" s="14">
        <v>3</v>
      </c>
      <c r="K1638" s="6" t="str">
        <f>HYPERLINK("https://buffer.com","Buffer")</f>
        <v>Buffer</v>
      </c>
      <c r="L1638" s="15">
        <v>10954</v>
      </c>
      <c r="M1638" s="15">
        <v>9176</v>
      </c>
      <c r="N1638" s="15">
        <v>159</v>
      </c>
      <c r="O1638" s="9"/>
      <c r="P1638" s="10">
        <v>42864.439525462964</v>
      </c>
      <c r="Q1638" s="14" t="s">
        <v>315</v>
      </c>
      <c r="R1638" s="14" t="s">
        <v>316</v>
      </c>
      <c r="S1638" s="7" t="s">
        <v>317</v>
      </c>
      <c r="T1638" s="8"/>
      <c r="U1638" s="11" t="str">
        <f>HYPERLINK("https://pbs.twimg.com/profile_images/861866967493431296/PIjaSD4g.jpg","View")</f>
        <v>View</v>
      </c>
      <c r="V1638" s="8"/>
      <c r="W1638" s="8"/>
      <c r="X1638" s="8"/>
      <c r="Y1638" s="8"/>
      <c r="Z1638" s="8"/>
    </row>
    <row r="1639" spans="1:26" ht="13.2">
      <c r="A1639" s="13">
        <v>44250.375046296293</v>
      </c>
      <c r="B1639" s="6" t="str">
        <f>HYPERLINK("https://twitter.com/bittimepro","@bittimepro")</f>
        <v>@bittimepro</v>
      </c>
      <c r="C1639" s="14" t="s">
        <v>6767</v>
      </c>
      <c r="D1639" s="14" t="s">
        <v>6768</v>
      </c>
      <c r="E1639" s="6" t="str">
        <f>HYPERLINK("https://twitter.com/bittimepro/status/1364122843185831939","1364122843185831939")</f>
        <v>1364122843185831939</v>
      </c>
      <c r="F1639" s="8"/>
      <c r="G1639" s="7" t="s">
        <v>6769</v>
      </c>
      <c r="H1639" s="8"/>
      <c r="I1639" s="14">
        <v>0</v>
      </c>
      <c r="J1639" s="14">
        <v>0</v>
      </c>
      <c r="K1639" s="6" t="str">
        <f>HYPERLINK("http://www.bittimeprofessionals.it","bittimepro_bot")</f>
        <v>bittimepro_bot</v>
      </c>
      <c r="L1639" s="15">
        <v>141</v>
      </c>
      <c r="M1639" s="15">
        <v>42</v>
      </c>
      <c r="N1639" s="15">
        <v>2</v>
      </c>
      <c r="O1639" s="9"/>
      <c r="P1639" s="10">
        <v>43116.945543981477</v>
      </c>
      <c r="Q1639" s="14" t="s">
        <v>6720</v>
      </c>
      <c r="R1639" s="14" t="s">
        <v>6770</v>
      </c>
      <c r="S1639" s="7" t="s">
        <v>6771</v>
      </c>
      <c r="T1639" s="8"/>
      <c r="U1639" s="11" t="str">
        <f>HYPERLINK("https://pbs.twimg.com/profile_images/953564441458724864/kTxexgO5.jpg","View")</f>
        <v>View</v>
      </c>
      <c r="V1639" s="8"/>
      <c r="W1639" s="8"/>
      <c r="X1639" s="8"/>
      <c r="Y1639" s="8"/>
      <c r="Z1639" s="8"/>
    </row>
    <row r="1640" spans="1:26" ht="13.2">
      <c r="A1640" s="13">
        <v>44250.375034722223</v>
      </c>
      <c r="B1640" s="6" t="str">
        <f>HYPERLINK("https://twitter.com/AnnePordon","@AnnePordon")</f>
        <v>@AnnePordon</v>
      </c>
      <c r="C1640" s="14" t="s">
        <v>1138</v>
      </c>
      <c r="D1640" s="14" t="s">
        <v>6772</v>
      </c>
      <c r="E1640" s="6" t="str">
        <f>HYPERLINK("https://twitter.com/AnnePordon/status/1364122837993197573","1364122837993197573")</f>
        <v>1364122837993197573</v>
      </c>
      <c r="F1640" s="7" t="s">
        <v>6773</v>
      </c>
      <c r="G1640" s="8"/>
      <c r="H1640" s="8"/>
      <c r="I1640" s="14">
        <v>9</v>
      </c>
      <c r="J1640" s="14">
        <v>4</v>
      </c>
      <c r="K1640" s="6" t="str">
        <f>HYPERLINK("http://www.linkedin.com/","LinkedIn")</f>
        <v>LinkedIn</v>
      </c>
      <c r="L1640" s="15">
        <v>265</v>
      </c>
      <c r="M1640" s="15">
        <v>565</v>
      </c>
      <c r="N1640" s="15">
        <v>5</v>
      </c>
      <c r="O1640" s="9"/>
      <c r="P1640" s="10">
        <v>43714.793321759258</v>
      </c>
      <c r="Q1640" s="14" t="s">
        <v>1141</v>
      </c>
      <c r="R1640" s="14" t="s">
        <v>1142</v>
      </c>
      <c r="S1640" s="8"/>
      <c r="T1640" s="8"/>
      <c r="U1640" s="11" t="str">
        <f>HYPERLINK("https://pbs.twimg.com/profile_images/1170020149455462401/KK9I4zZR.jpg","View")</f>
        <v>View</v>
      </c>
      <c r="V1640" s="8"/>
      <c r="W1640" s="8"/>
      <c r="X1640" s="8"/>
      <c r="Y1640" s="8"/>
      <c r="Z1640" s="8"/>
    </row>
    <row r="1641" spans="1:26" ht="13.2">
      <c r="A1641" s="13">
        <v>44250.375023148154</v>
      </c>
      <c r="B1641" s="6" t="str">
        <f>HYPERLINK("https://twitter.com/Tegeria2","@Tegeria2")</f>
        <v>@Tegeria2</v>
      </c>
      <c r="C1641" s="14" t="s">
        <v>6774</v>
      </c>
      <c r="D1641" s="14" t="s">
        <v>6775</v>
      </c>
      <c r="E1641" s="6" t="str">
        <f>HYPERLINK("https://twitter.com/Tegeria2/status/1364122835808051203","1364122835808051203")</f>
        <v>1364122835808051203</v>
      </c>
      <c r="F1641" s="7" t="s">
        <v>6776</v>
      </c>
      <c r="G1641" s="7" t="s">
        <v>6777</v>
      </c>
      <c r="H1641" s="8"/>
      <c r="I1641" s="14">
        <v>1</v>
      </c>
      <c r="J1641" s="14">
        <v>2</v>
      </c>
      <c r="K1641" s="6" t="str">
        <f>HYPERLINK("https://www.contentcal.io","ContentCal Studio")</f>
        <v>ContentCal Studio</v>
      </c>
      <c r="L1641" s="15">
        <v>833</v>
      </c>
      <c r="M1641" s="15">
        <v>919</v>
      </c>
      <c r="N1641" s="15">
        <v>11</v>
      </c>
      <c r="O1641" s="9"/>
      <c r="P1641" s="10">
        <v>43281.798495370371</v>
      </c>
      <c r="Q1641" s="8"/>
      <c r="R1641" s="14" t="s">
        <v>6778</v>
      </c>
      <c r="S1641" s="7" t="s">
        <v>6779</v>
      </c>
      <c r="T1641" s="8"/>
      <c r="U1641" s="11" t="str">
        <f>HYPERLINK("https://pbs.twimg.com/profile_images/1247491604086231040/lbPtx_xI.jpg","View")</f>
        <v>View</v>
      </c>
      <c r="V1641" s="8"/>
      <c r="W1641" s="8"/>
      <c r="X1641" s="8"/>
      <c r="Y1641" s="8"/>
      <c r="Z1641" s="8"/>
    </row>
    <row r="1642" spans="1:26" ht="13.2">
      <c r="A1642" s="13">
        <v>44250.375023148154</v>
      </c>
      <c r="B1642" s="6" t="str">
        <f>HYPERLINK("https://twitter.com/martintenvoorde","@martintenvoorde")</f>
        <v>@martintenvoorde</v>
      </c>
      <c r="C1642" s="14" t="s">
        <v>6780</v>
      </c>
      <c r="D1642" s="14" t="s">
        <v>6781</v>
      </c>
      <c r="E1642" s="6" t="str">
        <f>HYPERLINK("https://twitter.com/martintenvoorde/status/1364122835677945857","1364122835677945857")</f>
        <v>1364122835677945857</v>
      </c>
      <c r="F1642" s="7" t="s">
        <v>6782</v>
      </c>
      <c r="G1642" s="8"/>
      <c r="H1642" s="8"/>
      <c r="I1642" s="14">
        <v>2</v>
      </c>
      <c r="J1642" s="14">
        <v>0</v>
      </c>
      <c r="K1642" s="6" t="str">
        <f>HYPERLINK("http://www.linkedin.com/","LinkedIn")</f>
        <v>LinkedIn</v>
      </c>
      <c r="L1642" s="15">
        <v>10037</v>
      </c>
      <c r="M1642" s="15">
        <v>11002</v>
      </c>
      <c r="N1642" s="15">
        <v>347</v>
      </c>
      <c r="O1642" s="9"/>
      <c r="P1642" s="10">
        <v>39921.02270833333</v>
      </c>
      <c r="Q1642" s="14" t="s">
        <v>6783</v>
      </c>
      <c r="R1642" s="14" t="s">
        <v>6784</v>
      </c>
      <c r="S1642" s="7" t="s">
        <v>6785</v>
      </c>
      <c r="T1642" s="8"/>
      <c r="U1642" s="11" t="str">
        <f>HYPERLINK("https://pbs.twimg.com/profile_images/1882396335/MTV.PNG","View")</f>
        <v>View</v>
      </c>
      <c r="V1642" s="8"/>
      <c r="W1642" s="8"/>
      <c r="X1642" s="8"/>
      <c r="Y1642" s="8"/>
      <c r="Z1642" s="8"/>
    </row>
    <row r="1643" spans="1:26" ht="13.2">
      <c r="A1643" s="13">
        <v>44250.37501157407</v>
      </c>
      <c r="B1643" s="6" t="str">
        <f>HYPERLINK("https://twitter.com/miraiinnovation","@miraiinnovation")</f>
        <v>@miraiinnovation</v>
      </c>
      <c r="C1643" s="14" t="s">
        <v>6786</v>
      </c>
      <c r="D1643" s="14" t="s">
        <v>6787</v>
      </c>
      <c r="E1643" s="6" t="str">
        <f>HYPERLINK("https://twitter.com/miraiinnovation/status/1364122828598104064","1364122828598104064")</f>
        <v>1364122828598104064</v>
      </c>
      <c r="F1643" s="8"/>
      <c r="G1643" s="7" t="s">
        <v>6788</v>
      </c>
      <c r="H1643" s="8"/>
      <c r="I1643" s="14">
        <v>3</v>
      </c>
      <c r="J1643" s="14">
        <v>5</v>
      </c>
      <c r="K1643" s="6" t="str">
        <f>HYPERLINK("https://eclincher.com","eClincher")</f>
        <v>eClincher</v>
      </c>
      <c r="L1643" s="15">
        <v>235</v>
      </c>
      <c r="M1643" s="15">
        <v>0</v>
      </c>
      <c r="N1643" s="15">
        <v>5</v>
      </c>
      <c r="O1643" s="9"/>
      <c r="P1643" s="10">
        <v>42621.140428240746</v>
      </c>
      <c r="Q1643" s="14" t="s">
        <v>6789</v>
      </c>
      <c r="R1643" s="14" t="s">
        <v>6790</v>
      </c>
      <c r="S1643" s="7" t="s">
        <v>6791</v>
      </c>
      <c r="T1643" s="8"/>
      <c r="U1643" s="11" t="str">
        <f>HYPERLINK("https://pbs.twimg.com/profile_images/1356640339180707841/lFpJ-GjN.jpg","View")</f>
        <v>View</v>
      </c>
      <c r="V1643" s="8"/>
      <c r="W1643" s="8"/>
      <c r="X1643" s="8"/>
      <c r="Y1643" s="8"/>
      <c r="Z1643" s="8"/>
    </row>
    <row r="1644" spans="1:26" ht="13.2">
      <c r="A1644" s="13">
        <v>44250.375</v>
      </c>
      <c r="B1644" s="6" t="str">
        <f>HYPERLINK("https://twitter.com/balavenkatesh22","@balavenkatesh22")</f>
        <v>@balavenkatesh22</v>
      </c>
      <c r="C1644" s="14" t="s">
        <v>3599</v>
      </c>
      <c r="D1644" s="14" t="s">
        <v>6792</v>
      </c>
      <c r="E1644" s="6" t="str">
        <f>HYPERLINK("https://twitter.com/balavenkatesh22/status/1364122825653506052","1364122825653506052")</f>
        <v>1364122825653506052</v>
      </c>
      <c r="F1644" s="8"/>
      <c r="G1644" s="8"/>
      <c r="H1644" s="8"/>
      <c r="I1644" s="14">
        <v>1</v>
      </c>
      <c r="J1644" s="14">
        <v>2</v>
      </c>
      <c r="K1644" s="6" t="str">
        <f>HYPERLINK("http://twitter.com/download/android","Twitter for Android")</f>
        <v>Twitter for Android</v>
      </c>
      <c r="L1644" s="15">
        <v>298</v>
      </c>
      <c r="M1644" s="15">
        <v>1444</v>
      </c>
      <c r="N1644" s="15">
        <v>2</v>
      </c>
      <c r="O1644" s="9"/>
      <c r="P1644" s="10">
        <v>40594.583668981482</v>
      </c>
      <c r="Q1644" s="14" t="s">
        <v>3602</v>
      </c>
      <c r="R1644" s="14" t="s">
        <v>3603</v>
      </c>
      <c r="S1644" s="7" t="s">
        <v>3604</v>
      </c>
      <c r="T1644" s="8"/>
      <c r="U1644" s="11" t="str">
        <f>HYPERLINK("https://pbs.twimg.com/profile_images/1330983465290895362/kvmMHObe.jpg","View")</f>
        <v>View</v>
      </c>
      <c r="V1644" s="8"/>
      <c r="W1644" s="8"/>
      <c r="X1644" s="8"/>
      <c r="Y1644" s="8"/>
      <c r="Z1644" s="8"/>
    </row>
    <row r="1645" spans="1:26" ht="13.2">
      <c r="A1645" s="13">
        <v>44250.374560185184</v>
      </c>
      <c r="B1645" s="6" t="str">
        <f>HYPERLINK("https://twitter.com/JarmoHaapala","@JarmoHaapala")</f>
        <v>@JarmoHaapala</v>
      </c>
      <c r="C1645" s="14" t="s">
        <v>6793</v>
      </c>
      <c r="D1645" s="14" t="s">
        <v>6794</v>
      </c>
      <c r="E1645" s="6" t="str">
        <f>HYPERLINK("https://twitter.com/JarmoHaapala/status/1364122664407810048","1364122664407810048")</f>
        <v>1364122664407810048</v>
      </c>
      <c r="F1645" s="7" t="s">
        <v>6795</v>
      </c>
      <c r="G1645" s="8"/>
      <c r="H1645" s="8"/>
      <c r="I1645" s="14">
        <v>0</v>
      </c>
      <c r="J1645" s="14">
        <v>0</v>
      </c>
      <c r="K1645" s="6" t="str">
        <f t="shared" ref="K1645:K1646" si="306">HYPERLINK("http://www.linkedin.com/","LinkedIn")</f>
        <v>LinkedIn</v>
      </c>
      <c r="L1645" s="15">
        <v>489</v>
      </c>
      <c r="M1645" s="15">
        <v>1232</v>
      </c>
      <c r="N1645" s="15">
        <v>64</v>
      </c>
      <c r="O1645" s="9"/>
      <c r="P1645" s="10">
        <v>40890.268611111111</v>
      </c>
      <c r="Q1645" s="14" t="s">
        <v>6796</v>
      </c>
      <c r="R1645" s="14" t="s">
        <v>6797</v>
      </c>
      <c r="S1645" s="7" t="s">
        <v>6798</v>
      </c>
      <c r="T1645" s="8"/>
      <c r="U1645" s="11" t="str">
        <f>HYPERLINK("https://pbs.twimg.com/profile_images/468046036666028032/-UtMAsWj.jpeg","View")</f>
        <v>View</v>
      </c>
      <c r="V1645" s="8"/>
      <c r="W1645" s="8"/>
      <c r="X1645" s="8"/>
      <c r="Y1645" s="8"/>
      <c r="Z1645" s="8"/>
    </row>
    <row r="1646" spans="1:26" ht="13.2">
      <c r="A1646" s="13">
        <v>44250.374097222222</v>
      </c>
      <c r="B1646" s="6" t="str">
        <f>HYPERLINK("https://twitter.com/CatherineAdenle","@CatherineAdenle")</f>
        <v>@CatherineAdenle</v>
      </c>
      <c r="C1646" s="14" t="s">
        <v>6649</v>
      </c>
      <c r="D1646" s="14" t="s">
        <v>6799</v>
      </c>
      <c r="E1646" s="6" t="str">
        <f>HYPERLINK("https://twitter.com/CatherineAdenle/status/1364122497180819459","1364122497180819459")</f>
        <v>1364122497180819459</v>
      </c>
      <c r="F1646" s="14" t="s">
        <v>6800</v>
      </c>
      <c r="G1646" s="8"/>
      <c r="H1646" s="8"/>
      <c r="I1646" s="14">
        <v>27</v>
      </c>
      <c r="J1646" s="14">
        <v>18</v>
      </c>
      <c r="K1646" s="6" t="str">
        <f t="shared" si="306"/>
        <v>LinkedIn</v>
      </c>
      <c r="L1646" s="15">
        <v>38255</v>
      </c>
      <c r="M1646" s="15">
        <v>2328</v>
      </c>
      <c r="N1646" s="15">
        <v>782</v>
      </c>
      <c r="O1646" s="9"/>
      <c r="P1646" s="10">
        <v>40049.734074074076</v>
      </c>
      <c r="Q1646" s="14" t="s">
        <v>5650</v>
      </c>
      <c r="R1646" s="14" t="s">
        <v>6652</v>
      </c>
      <c r="S1646" s="7" t="s">
        <v>6653</v>
      </c>
      <c r="T1646" s="8"/>
      <c r="U1646" s="11" t="str">
        <f>HYPERLINK("https://pbs.twimg.com/profile_images/476740017432584192/f_Wc8SVX.jpeg","View")</f>
        <v>View</v>
      </c>
      <c r="V1646" s="8"/>
      <c r="W1646" s="8"/>
      <c r="X1646" s="8"/>
      <c r="Y1646" s="8"/>
      <c r="Z1646" s="8"/>
    </row>
    <row r="1647" spans="1:26" ht="13.2">
      <c r="A1647" s="13">
        <v>44250.373206018514</v>
      </c>
      <c r="B1647" s="6" t="str">
        <f>HYPERLINK("https://twitter.com/ShiCooks","@ShiCooks")</f>
        <v>@ShiCooks</v>
      </c>
      <c r="C1647" s="14" t="s">
        <v>6801</v>
      </c>
      <c r="D1647" s="14" t="s">
        <v>6802</v>
      </c>
      <c r="E1647" s="6" t="str">
        <f>HYPERLINK("https://twitter.com/ShiCooks/status/1364122174416691200","1364122174416691200")</f>
        <v>1364122174416691200</v>
      </c>
      <c r="F1647" s="7" t="s">
        <v>6803</v>
      </c>
      <c r="G1647" s="7" t="s">
        <v>6804</v>
      </c>
      <c r="H1647" s="8"/>
      <c r="I1647" s="14">
        <v>20</v>
      </c>
      <c r="J1647" s="14">
        <v>16</v>
      </c>
      <c r="K1647" s="6" t="str">
        <f t="shared" ref="K1647:K1648" si="307">HYPERLINK("https://mobile.twitter.com","Twitter Web App")</f>
        <v>Twitter Web App</v>
      </c>
      <c r="L1647" s="15">
        <v>34484</v>
      </c>
      <c r="M1647" s="15">
        <v>14653</v>
      </c>
      <c r="N1647" s="15">
        <v>2048</v>
      </c>
      <c r="O1647" s="9"/>
      <c r="P1647" s="10">
        <v>39718.055601851855</v>
      </c>
      <c r="Q1647" s="14" t="s">
        <v>6805</v>
      </c>
      <c r="R1647" s="14" t="s">
        <v>6806</v>
      </c>
      <c r="S1647" s="8"/>
      <c r="T1647" s="8"/>
      <c r="U1647" s="11" t="str">
        <f>HYPERLINK("https://pbs.twimg.com/profile_images/619323261063565312/lVyXbKeZ.jpg","View")</f>
        <v>View</v>
      </c>
      <c r="V1647" s="8"/>
      <c r="W1647" s="8"/>
      <c r="X1647" s="8"/>
      <c r="Y1647" s="8"/>
      <c r="Z1647" s="8"/>
    </row>
    <row r="1648" spans="1:26" ht="13.2">
      <c r="A1648" s="13">
        <v>44250.373090277775</v>
      </c>
      <c r="B1648" s="6" t="str">
        <f>HYPERLINK("https://twitter.com/moueller1961","@moueller1961")</f>
        <v>@moueller1961</v>
      </c>
      <c r="C1648" s="14" t="s">
        <v>6414</v>
      </c>
      <c r="D1648" s="14" t="s">
        <v>6807</v>
      </c>
      <c r="E1648" s="6" t="str">
        <f>HYPERLINK("https://twitter.com/moueller1961/status/1364122131899047943","1364122131899047943")</f>
        <v>1364122131899047943</v>
      </c>
      <c r="F1648" s="7" t="s">
        <v>2986</v>
      </c>
      <c r="G1648" s="7" t="s">
        <v>6808</v>
      </c>
      <c r="H1648" s="8"/>
      <c r="I1648" s="14">
        <v>3</v>
      </c>
      <c r="J1648" s="14">
        <v>3</v>
      </c>
      <c r="K1648" s="6" t="str">
        <f t="shared" si="307"/>
        <v>Twitter Web App</v>
      </c>
      <c r="L1648" s="15">
        <v>2581</v>
      </c>
      <c r="M1648" s="15">
        <v>26</v>
      </c>
      <c r="N1648" s="15">
        <v>256</v>
      </c>
      <c r="O1648" s="9"/>
      <c r="P1648" s="10">
        <v>42106.853055555555</v>
      </c>
      <c r="Q1648" s="8"/>
      <c r="R1648" s="14" t="s">
        <v>6418</v>
      </c>
      <c r="S1648" s="8"/>
      <c r="T1648" s="8"/>
      <c r="U1648" s="11" t="str">
        <f>HYPERLINK("https://pbs.twimg.com/profile_images/1202572262156713985/_52Q3Trv.jpg","View")</f>
        <v>View</v>
      </c>
      <c r="V1648" s="8"/>
      <c r="W1648" s="8"/>
      <c r="X1648" s="8"/>
      <c r="Y1648" s="8"/>
      <c r="Z1648" s="8"/>
    </row>
    <row r="1649" spans="1:26" ht="13.2">
      <c r="A1649" s="13">
        <v>44250.371550925927</v>
      </c>
      <c r="B1649" s="6" t="str">
        <f>HYPERLINK("https://twitter.com/LoeffenAnton","@LoeffenAnton")</f>
        <v>@LoeffenAnton</v>
      </c>
      <c r="C1649" s="14" t="s">
        <v>6809</v>
      </c>
      <c r="D1649" s="14" t="s">
        <v>6810</v>
      </c>
      <c r="E1649" s="6" t="str">
        <f>HYPERLINK("https://twitter.com/LoeffenAnton/status/1364121576019492864","1364121576019492864")</f>
        <v>1364121576019492864</v>
      </c>
      <c r="F1649" s="7" t="s">
        <v>6811</v>
      </c>
      <c r="G1649" s="8"/>
      <c r="H1649" s="8"/>
      <c r="I1649" s="14">
        <v>1</v>
      </c>
      <c r="J1649" s="14">
        <v>1</v>
      </c>
      <c r="K1649" s="6" t="str">
        <f>HYPERLINK("https://www.hootsuite.com","Hootsuite Inc.")</f>
        <v>Hootsuite Inc.</v>
      </c>
      <c r="L1649" s="15">
        <v>551</v>
      </c>
      <c r="M1649" s="15">
        <v>653</v>
      </c>
      <c r="N1649" s="15">
        <v>48</v>
      </c>
      <c r="O1649" s="9"/>
      <c r="P1649" s="10">
        <v>40029.400914351849</v>
      </c>
      <c r="Q1649" s="14" t="s">
        <v>6812</v>
      </c>
      <c r="R1649" s="14" t="s">
        <v>6813</v>
      </c>
      <c r="S1649" s="7" t="s">
        <v>6814</v>
      </c>
      <c r="T1649" s="8"/>
      <c r="U1649" s="11" t="str">
        <f>HYPERLINK("https://pbs.twimg.com/profile_images/1730102614/Foto_Anton_Social_Media.jpg","View")</f>
        <v>View</v>
      </c>
      <c r="V1649" s="8"/>
      <c r="W1649" s="8"/>
      <c r="X1649" s="8"/>
      <c r="Y1649" s="8"/>
      <c r="Z1649" s="8"/>
    </row>
    <row r="1650" spans="1:26" ht="13.2">
      <c r="A1650" s="13">
        <v>44250.371122685188</v>
      </c>
      <c r="B1650" s="6" t="str">
        <f>HYPERLINK("https://twitter.com/CatherineAdenle","@CatherineAdenle")</f>
        <v>@CatherineAdenle</v>
      </c>
      <c r="C1650" s="14" t="s">
        <v>6649</v>
      </c>
      <c r="D1650" s="14" t="s">
        <v>6815</v>
      </c>
      <c r="E1650" s="6" t="str">
        <f>HYPERLINK("https://twitter.com/CatherineAdenle/status/1364121419823472644","1364121419823472644")</f>
        <v>1364121419823472644</v>
      </c>
      <c r="F1650" s="7" t="s">
        <v>3896</v>
      </c>
      <c r="G1650" s="8"/>
      <c r="H1650" s="8"/>
      <c r="I1650" s="14">
        <v>36</v>
      </c>
      <c r="J1650" s="14">
        <v>23</v>
      </c>
      <c r="K1650" s="6" t="str">
        <f>HYPERLINK("http://www.linkedin.com/","LinkedIn")</f>
        <v>LinkedIn</v>
      </c>
      <c r="L1650" s="15">
        <v>38255</v>
      </c>
      <c r="M1650" s="15">
        <v>2328</v>
      </c>
      <c r="N1650" s="15">
        <v>782</v>
      </c>
      <c r="O1650" s="9"/>
      <c r="P1650" s="10">
        <v>40049.734074074076</v>
      </c>
      <c r="Q1650" s="14" t="s">
        <v>5650</v>
      </c>
      <c r="R1650" s="14" t="s">
        <v>6652</v>
      </c>
      <c r="S1650" s="7" t="s">
        <v>6653</v>
      </c>
      <c r="T1650" s="8"/>
      <c r="U1650" s="11" t="str">
        <f>HYPERLINK("https://pbs.twimg.com/profile_images/476740017432584192/f_Wc8SVX.jpeg","View")</f>
        <v>View</v>
      </c>
      <c r="V1650" s="8"/>
      <c r="W1650" s="8"/>
      <c r="X1650" s="8"/>
      <c r="Y1650" s="8"/>
      <c r="Z1650" s="8"/>
    </row>
    <row r="1651" spans="1:26" ht="13.2">
      <c r="A1651" s="13">
        <v>44250.370648148149</v>
      </c>
      <c r="B1651" s="6" t="str">
        <f>HYPERLINK("https://twitter.com/saqibali_ca","@saqibali_ca")</f>
        <v>@saqibali_ca</v>
      </c>
      <c r="C1651" s="14" t="s">
        <v>965</v>
      </c>
      <c r="D1651" s="14" t="s">
        <v>6816</v>
      </c>
      <c r="E1651" s="6" t="str">
        <f>HYPERLINK("https://twitter.com/saqibali_ca/status/1364121248792342531","1364121248792342531")</f>
        <v>1364121248792342531</v>
      </c>
      <c r="F1651" s="7" t="s">
        <v>6817</v>
      </c>
      <c r="G1651" s="8"/>
      <c r="H1651" s="8"/>
      <c r="I1651" s="14">
        <v>1</v>
      </c>
      <c r="J1651" s="14">
        <v>1</v>
      </c>
      <c r="K1651" s="8"/>
      <c r="L1651" s="15">
        <v>270</v>
      </c>
      <c r="M1651" s="15">
        <v>0</v>
      </c>
      <c r="N1651" s="15">
        <v>3</v>
      </c>
      <c r="O1651" s="9"/>
      <c r="P1651" s="10">
        <v>43119.848680555559</v>
      </c>
      <c r="Q1651" s="14" t="s">
        <v>968</v>
      </c>
      <c r="R1651" s="14" t="s">
        <v>969</v>
      </c>
      <c r="S1651" s="7" t="s">
        <v>970</v>
      </c>
      <c r="T1651" s="8"/>
      <c r="U1651" s="11" t="str">
        <f>HYPERLINK("https://pbs.twimg.com/profile_images/1142963749285855233/c6NRGCvi.jpg","View")</f>
        <v>View</v>
      </c>
      <c r="V1651" s="8"/>
      <c r="W1651" s="8"/>
      <c r="X1651" s="8"/>
      <c r="Y1651" s="8"/>
      <c r="Z1651" s="8"/>
    </row>
    <row r="1652" spans="1:26" ht="13.2">
      <c r="A1652" s="13">
        <v>44250.369756944448</v>
      </c>
      <c r="B1652" s="6" t="str">
        <f>HYPERLINK("https://twitter.com/slashML","@slashML")</f>
        <v>@slashML</v>
      </c>
      <c r="C1652" s="14" t="s">
        <v>779</v>
      </c>
      <c r="D1652" s="14" t="s">
        <v>6818</v>
      </c>
      <c r="E1652" s="6" t="str">
        <f>HYPERLINK("https://twitter.com/slashML/status/1364120924987957248","1364120924987957248")</f>
        <v>1364120924987957248</v>
      </c>
      <c r="F1652" s="7" t="s">
        <v>6198</v>
      </c>
      <c r="G1652" s="8"/>
      <c r="H1652" s="8"/>
      <c r="I1652" s="14">
        <v>0</v>
      </c>
      <c r="J1652" s="14">
        <v>5</v>
      </c>
      <c r="K1652" s="6" t="str">
        <f>HYPERLINK("https://www.reddit.com/r/MachineLearning/","From /r/MachineLearning")</f>
        <v>From /r/MachineLearning</v>
      </c>
      <c r="L1652" s="15">
        <v>44297</v>
      </c>
      <c r="M1652" s="15">
        <v>1</v>
      </c>
      <c r="N1652" s="15">
        <v>600</v>
      </c>
      <c r="O1652" s="9"/>
      <c r="P1652" s="10">
        <v>42710.818564814814</v>
      </c>
      <c r="Q1652" s="8"/>
      <c r="R1652" s="14" t="s">
        <v>782</v>
      </c>
      <c r="S1652" s="8"/>
      <c r="T1652" s="8"/>
      <c r="U1652" s="11" t="str">
        <f>HYPERLINK("https://pbs.twimg.com/profile_images/806213385545273344/s7sE4E8a.jpg","View")</f>
        <v>View</v>
      </c>
      <c r="V1652" s="8"/>
      <c r="W1652" s="8"/>
      <c r="X1652" s="8"/>
      <c r="Y1652" s="8"/>
      <c r="Z1652" s="8"/>
    </row>
    <row r="1653" spans="1:26" ht="13.2">
      <c r="A1653" s="13">
        <v>44250.369456018518</v>
      </c>
      <c r="B1653" s="6" t="str">
        <f t="shared" ref="B1653:B1654" si="308">HYPERLINK("https://twitter.com/into_AI","@into_AI")</f>
        <v>@into_AI</v>
      </c>
      <c r="C1653" s="14" t="s">
        <v>2021</v>
      </c>
      <c r="D1653" s="14" t="s">
        <v>6819</v>
      </c>
      <c r="E1653" s="6" t="str">
        <f>HYPERLINK("https://twitter.com/into_AI/status/1364120817714552833","1364120817714552833")</f>
        <v>1364120817714552833</v>
      </c>
      <c r="F1653" s="7" t="s">
        <v>6820</v>
      </c>
      <c r="G1653" s="8"/>
      <c r="H1653" s="8"/>
      <c r="I1653" s="14">
        <v>1</v>
      </c>
      <c r="J1653" s="14">
        <v>2</v>
      </c>
      <c r="K1653" s="6" t="str">
        <f t="shared" ref="K1653:K1654" si="309">HYPERLINK("http://into.AI","into.AI")</f>
        <v>into.AI</v>
      </c>
      <c r="L1653" s="15">
        <v>19374</v>
      </c>
      <c r="M1653" s="15">
        <v>1707</v>
      </c>
      <c r="N1653" s="15">
        <v>3164</v>
      </c>
      <c r="O1653" s="9"/>
      <c r="P1653" s="10">
        <v>42133.721620370372</v>
      </c>
      <c r="Q1653" s="14" t="s">
        <v>2024</v>
      </c>
      <c r="R1653" s="14" t="s">
        <v>2025</v>
      </c>
      <c r="S1653" s="7" t="s">
        <v>2026</v>
      </c>
      <c r="T1653" s="8"/>
      <c r="U1653" s="11" t="str">
        <f t="shared" ref="U1653:U1654" si="310">HYPERLINK("https://pbs.twimg.com/profile_images/967341160124608512/LM2Y5Q5m.jpg","View")</f>
        <v>View</v>
      </c>
      <c r="V1653" s="8"/>
      <c r="W1653" s="8"/>
      <c r="X1653" s="8"/>
      <c r="Y1653" s="8"/>
      <c r="Z1653" s="8"/>
    </row>
    <row r="1654" spans="1:26" ht="13.2">
      <c r="A1654" s="13">
        <v>44250.369374999995</v>
      </c>
      <c r="B1654" s="6" t="str">
        <f t="shared" si="308"/>
        <v>@into_AI</v>
      </c>
      <c r="C1654" s="14" t="s">
        <v>2021</v>
      </c>
      <c r="D1654" s="14" t="s">
        <v>6821</v>
      </c>
      <c r="E1654" s="6" t="str">
        <f>HYPERLINK("https://twitter.com/into_AI/status/1364120789327491074","1364120789327491074")</f>
        <v>1364120789327491074</v>
      </c>
      <c r="F1654" s="7" t="s">
        <v>6822</v>
      </c>
      <c r="G1654" s="8"/>
      <c r="H1654" s="8"/>
      <c r="I1654" s="14">
        <v>1</v>
      </c>
      <c r="J1654" s="14">
        <v>1</v>
      </c>
      <c r="K1654" s="6" t="str">
        <f t="shared" si="309"/>
        <v>into.AI</v>
      </c>
      <c r="L1654" s="15">
        <v>19374</v>
      </c>
      <c r="M1654" s="15">
        <v>1707</v>
      </c>
      <c r="N1654" s="15">
        <v>3164</v>
      </c>
      <c r="O1654" s="9"/>
      <c r="P1654" s="10">
        <v>42133.721620370372</v>
      </c>
      <c r="Q1654" s="14" t="s">
        <v>2024</v>
      </c>
      <c r="R1654" s="14" t="s">
        <v>2025</v>
      </c>
      <c r="S1654" s="7" t="s">
        <v>2026</v>
      </c>
      <c r="T1654" s="8"/>
      <c r="U1654" s="11" t="str">
        <f t="shared" si="310"/>
        <v>View</v>
      </c>
      <c r="V1654" s="8"/>
      <c r="W1654" s="8"/>
      <c r="X1654" s="8"/>
      <c r="Y1654" s="8"/>
      <c r="Z1654" s="8"/>
    </row>
    <row r="1655" spans="1:26" ht="13.2">
      <c r="A1655" s="13">
        <v>44250.369374999995</v>
      </c>
      <c r="B1655" s="6" t="str">
        <f>HYPERLINK("https://twitter.com/MeetAliPoetry","@MeetAliPoetry")</f>
        <v>@MeetAliPoetry</v>
      </c>
      <c r="C1655" s="14" t="s">
        <v>6723</v>
      </c>
      <c r="D1655" s="14" t="s">
        <v>6823</v>
      </c>
      <c r="E1655" s="6" t="str">
        <f>HYPERLINK("https://twitter.com/MeetAliPoetry/status/1364120785854472193","1364120785854472193")</f>
        <v>1364120785854472193</v>
      </c>
      <c r="F1655" s="8"/>
      <c r="G1655" s="8"/>
      <c r="H1655" s="8"/>
      <c r="I1655" s="14">
        <v>27</v>
      </c>
      <c r="J1655" s="14">
        <v>13</v>
      </c>
      <c r="K1655" s="6" t="str">
        <f>HYPERLINK("https://mobile.twitter.com","Twitter Web App")</f>
        <v>Twitter Web App</v>
      </c>
      <c r="L1655" s="15">
        <v>138</v>
      </c>
      <c r="M1655" s="15">
        <v>803</v>
      </c>
      <c r="N1655" s="15">
        <v>0</v>
      </c>
      <c r="O1655" s="9"/>
      <c r="P1655" s="10">
        <v>43648.390324074076</v>
      </c>
      <c r="Q1655" s="8"/>
      <c r="R1655" s="14" t="s">
        <v>6726</v>
      </c>
      <c r="S1655" s="7" t="s">
        <v>6727</v>
      </c>
      <c r="T1655" s="8"/>
      <c r="U1655" s="11" t="str">
        <f>HYPERLINK("https://pbs.twimg.com/profile_images/1353692165642313728/bBmGAHRF.jpg","View")</f>
        <v>View</v>
      </c>
      <c r="V1655" s="8"/>
      <c r="W1655" s="8"/>
      <c r="X1655" s="8"/>
      <c r="Y1655" s="8"/>
      <c r="Z1655" s="8"/>
    </row>
    <row r="1656" spans="1:26" ht="13.2">
      <c r="A1656" s="13">
        <v>44250.369270833333</v>
      </c>
      <c r="B1656" s="6" t="str">
        <f>HYPERLINK("https://twitter.com/into_AI","@into_AI")</f>
        <v>@into_AI</v>
      </c>
      <c r="C1656" s="14" t="s">
        <v>2021</v>
      </c>
      <c r="D1656" s="14" t="s">
        <v>6824</v>
      </c>
      <c r="E1656" s="6" t="str">
        <f>HYPERLINK("https://twitter.com/into_AI/status/1364120750081376256","1364120750081376256")</f>
        <v>1364120750081376256</v>
      </c>
      <c r="F1656" s="7" t="s">
        <v>6825</v>
      </c>
      <c r="G1656" s="8"/>
      <c r="H1656" s="8"/>
      <c r="I1656" s="14">
        <v>1</v>
      </c>
      <c r="J1656" s="14">
        <v>1</v>
      </c>
      <c r="K1656" s="6" t="str">
        <f>HYPERLINK("http://into.AI","into.AI")</f>
        <v>into.AI</v>
      </c>
      <c r="L1656" s="15">
        <v>19374</v>
      </c>
      <c r="M1656" s="15">
        <v>1707</v>
      </c>
      <c r="N1656" s="15">
        <v>3164</v>
      </c>
      <c r="O1656" s="9"/>
      <c r="P1656" s="10">
        <v>42133.721620370372</v>
      </c>
      <c r="Q1656" s="14" t="s">
        <v>2024</v>
      </c>
      <c r="R1656" s="14" t="s">
        <v>2025</v>
      </c>
      <c r="S1656" s="7" t="s">
        <v>2026</v>
      </c>
      <c r="T1656" s="8"/>
      <c r="U1656" s="11" t="str">
        <f>HYPERLINK("https://pbs.twimg.com/profile_images/967341160124608512/LM2Y5Q5m.jpg","View")</f>
        <v>View</v>
      </c>
      <c r="V1656" s="8"/>
      <c r="W1656" s="8"/>
      <c r="X1656" s="8"/>
      <c r="Y1656" s="8"/>
      <c r="Z1656" s="8"/>
    </row>
    <row r="1657" spans="1:26" ht="13.2">
      <c r="A1657" s="13">
        <v>44250.368159722224</v>
      </c>
      <c r="B1657" s="6" t="str">
        <f>HYPERLINK("https://twitter.com/sajidmirza","@sajidmirza")</f>
        <v>@sajidmirza</v>
      </c>
      <c r="C1657" s="14" t="s">
        <v>200</v>
      </c>
      <c r="D1657" s="14" t="s">
        <v>6660</v>
      </c>
      <c r="E1657" s="6" t="str">
        <f>HYPERLINK("https://twitter.com/sajidmirza/status/1364120347725938689","1364120347725938689")</f>
        <v>1364120347725938689</v>
      </c>
      <c r="F1657" s="14" t="s">
        <v>4134</v>
      </c>
      <c r="G1657" s="8"/>
      <c r="H1657" s="8"/>
      <c r="I1657" s="14">
        <v>2</v>
      </c>
      <c r="J1657" s="14">
        <v>2</v>
      </c>
      <c r="K1657" s="6" t="str">
        <f>HYPERLINK("http://twinybots.com","TwinyBots")</f>
        <v>TwinyBots</v>
      </c>
      <c r="L1657" s="15">
        <v>2160</v>
      </c>
      <c r="M1657" s="15">
        <v>1495</v>
      </c>
      <c r="N1657" s="15">
        <v>43</v>
      </c>
      <c r="O1657" s="9"/>
      <c r="P1657" s="10">
        <v>39986.264884259261</v>
      </c>
      <c r="Q1657" s="14" t="s">
        <v>203</v>
      </c>
      <c r="R1657" s="14" t="s">
        <v>204</v>
      </c>
      <c r="S1657" s="7" t="s">
        <v>205</v>
      </c>
      <c r="T1657" s="8"/>
      <c r="U1657" s="11" t="str">
        <f>HYPERLINK("https://pbs.twimg.com/profile_images/900709336309276672/M5XpdeQJ.jpg","View")</f>
        <v>View</v>
      </c>
      <c r="V1657" s="8"/>
      <c r="W1657" s="8"/>
      <c r="X1657" s="8"/>
      <c r="Y1657" s="8"/>
      <c r="Z1657" s="8"/>
    </row>
    <row r="1658" spans="1:26" ht="13.2">
      <c r="A1658" s="13">
        <v>44250.368078703701</v>
      </c>
      <c r="B1658" s="6" t="str">
        <f>HYPERLINK("https://twitter.com/AmancioBouza","@AmancioBouza")</f>
        <v>@AmancioBouza</v>
      </c>
      <c r="C1658" s="14" t="s">
        <v>6826</v>
      </c>
      <c r="D1658" s="14" t="s">
        <v>6827</v>
      </c>
      <c r="E1658" s="6" t="str">
        <f>HYPERLINK("https://twitter.com/AmancioBouza/status/1364120318663622657","1364120318663622657")</f>
        <v>1364120318663622657</v>
      </c>
      <c r="F1658" s="7" t="s">
        <v>6828</v>
      </c>
      <c r="G1658" s="8"/>
      <c r="H1658" s="8"/>
      <c r="I1658" s="14">
        <v>1</v>
      </c>
      <c r="J1658" s="14">
        <v>1</v>
      </c>
      <c r="K1658" s="6" t="str">
        <f>HYPERLINK("https://www.hootsuite.com","Hootsuite Inc.")</f>
        <v>Hootsuite Inc.</v>
      </c>
      <c r="L1658" s="15">
        <v>7419</v>
      </c>
      <c r="M1658" s="15">
        <v>284</v>
      </c>
      <c r="N1658" s="15">
        <v>794</v>
      </c>
      <c r="O1658" s="9"/>
      <c r="P1658" s="10">
        <v>40113.148877314816</v>
      </c>
      <c r="Q1658" s="14" t="s">
        <v>2424</v>
      </c>
      <c r="R1658" s="14" t="s">
        <v>6829</v>
      </c>
      <c r="S1658" s="7" t="s">
        <v>6830</v>
      </c>
      <c r="T1658" s="8"/>
      <c r="U1658" s="11" t="str">
        <f>HYPERLINK("https://pbs.twimg.com/profile_images/1214194000292245508/ndmCVAgc.jpg","View")</f>
        <v>View</v>
      </c>
      <c r="V1658" s="8"/>
      <c r="W1658" s="8"/>
      <c r="X1658" s="8"/>
      <c r="Y1658" s="8"/>
      <c r="Z1658" s="8"/>
    </row>
    <row r="1659" spans="1:26" ht="13.2">
      <c r="A1659" s="13">
        <v>44250.368055555555</v>
      </c>
      <c r="B1659" s="6" t="str">
        <f>HYPERLINK("https://twitter.com/KhalidHamdan0","@KhalidHamdan0")</f>
        <v>@KhalidHamdan0</v>
      </c>
      <c r="C1659" s="14" t="s">
        <v>3757</v>
      </c>
      <c r="D1659" s="14" t="s">
        <v>6831</v>
      </c>
      <c r="E1659" s="6" t="str">
        <f>HYPERLINK("https://twitter.com/KhalidHamdan0/status/1364120307984977928","1364120307984977928")</f>
        <v>1364120307984977928</v>
      </c>
      <c r="F1659" s="7" t="s">
        <v>6832</v>
      </c>
      <c r="G1659" s="7" t="s">
        <v>6833</v>
      </c>
      <c r="H1659" s="8"/>
      <c r="I1659" s="14">
        <v>3</v>
      </c>
      <c r="J1659" s="14">
        <v>3</v>
      </c>
      <c r="K1659" s="6" t="str">
        <f t="shared" ref="K1659:K1660" si="311">HYPERLINK("https://mobile.twitter.com","Twitter Web App")</f>
        <v>Twitter Web App</v>
      </c>
      <c r="L1659" s="15">
        <v>13865</v>
      </c>
      <c r="M1659" s="15">
        <v>3380</v>
      </c>
      <c r="N1659" s="15">
        <v>2161</v>
      </c>
      <c r="O1659" s="9"/>
      <c r="P1659" s="10">
        <v>40310.828553240739</v>
      </c>
      <c r="Q1659" s="14" t="s">
        <v>599</v>
      </c>
      <c r="R1659" s="14" t="s">
        <v>3761</v>
      </c>
      <c r="S1659" s="8"/>
      <c r="T1659" s="8"/>
      <c r="U1659" s="11" t="str">
        <f>HYPERLINK("https://pbs.twimg.com/profile_images/853683295317626880/-YHlzfio.jpg","View")</f>
        <v>View</v>
      </c>
      <c r="V1659" s="8"/>
      <c r="W1659" s="8"/>
      <c r="X1659" s="8"/>
      <c r="Y1659" s="8"/>
      <c r="Z1659" s="8"/>
    </row>
    <row r="1660" spans="1:26" ht="13.2">
      <c r="A1660" s="13">
        <v>44250.36787037037</v>
      </c>
      <c r="B1660" s="6" t="str">
        <f>HYPERLINK("https://twitter.com/10Alytics","@10Alytics")</f>
        <v>@10Alytics</v>
      </c>
      <c r="C1660" s="14" t="s">
        <v>6834</v>
      </c>
      <c r="D1660" s="14" t="s">
        <v>6835</v>
      </c>
      <c r="E1660" s="6" t="str">
        <f>HYPERLINK("https://twitter.com/10Alytics/status/1364120240150437894","1364120240150437894")</f>
        <v>1364120240150437894</v>
      </c>
      <c r="F1660" s="7" t="s">
        <v>6836</v>
      </c>
      <c r="G1660" s="7" t="s">
        <v>6837</v>
      </c>
      <c r="H1660" s="8"/>
      <c r="I1660" s="14">
        <v>2</v>
      </c>
      <c r="J1660" s="14">
        <v>1</v>
      </c>
      <c r="K1660" s="6" t="str">
        <f t="shared" si="311"/>
        <v>Twitter Web App</v>
      </c>
      <c r="L1660" s="15">
        <v>37</v>
      </c>
      <c r="M1660" s="15">
        <v>3</v>
      </c>
      <c r="N1660" s="15">
        <v>0</v>
      </c>
      <c r="O1660" s="9"/>
      <c r="P1660" s="10">
        <v>44066.507245370369</v>
      </c>
      <c r="Q1660" s="8"/>
      <c r="R1660" s="14" t="s">
        <v>6838</v>
      </c>
      <c r="S1660" s="7" t="s">
        <v>6839</v>
      </c>
      <c r="T1660" s="8"/>
      <c r="U1660" s="11" t="str">
        <f>HYPERLINK("https://pbs.twimg.com/profile_images/1297476468226822144/CABmvJ0S.jpg","View")</f>
        <v>View</v>
      </c>
      <c r="V1660" s="8"/>
      <c r="W1660" s="8"/>
      <c r="X1660" s="8"/>
      <c r="Y1660" s="8"/>
      <c r="Z1660" s="8"/>
    </row>
    <row r="1661" spans="1:26" ht="13.2">
      <c r="A1661" s="13">
        <v>44250.367523148147</v>
      </c>
      <c r="B1661" s="6" t="str">
        <f>HYPERLINK("https://twitter.com/jblefevre60","@jblefevre60")</f>
        <v>@jblefevre60</v>
      </c>
      <c r="C1661" s="14" t="s">
        <v>464</v>
      </c>
      <c r="D1661" s="14" t="s">
        <v>6840</v>
      </c>
      <c r="E1661" s="6" t="str">
        <f>HYPERLINK("https://twitter.com/jblefevre60/status/1364120116661800960","1364120116661800960")</f>
        <v>1364120116661800960</v>
      </c>
      <c r="F1661" s="8"/>
      <c r="G1661" s="7" t="s">
        <v>6841</v>
      </c>
      <c r="H1661" s="8"/>
      <c r="I1661" s="14">
        <v>39</v>
      </c>
      <c r="J1661" s="14">
        <v>47</v>
      </c>
      <c r="K1661" s="6" t="str">
        <f>HYPERLINK("http://twitter.com/download/android","Twitter for Android")</f>
        <v>Twitter for Android</v>
      </c>
      <c r="L1661" s="15">
        <v>80848</v>
      </c>
      <c r="M1661" s="15">
        <v>5582</v>
      </c>
      <c r="N1661" s="15">
        <v>5070</v>
      </c>
      <c r="O1661" s="9"/>
      <c r="P1661" s="10">
        <v>42342.801134259258</v>
      </c>
      <c r="Q1661" s="14" t="s">
        <v>106</v>
      </c>
      <c r="R1661" s="14" t="s">
        <v>467</v>
      </c>
      <c r="S1661" s="7" t="s">
        <v>468</v>
      </c>
      <c r="T1661" s="8"/>
      <c r="U1661" s="11" t="str">
        <f>HYPERLINK("https://pbs.twimg.com/profile_images/915247803248599040/GsF3avSn.jpg","View")</f>
        <v>View</v>
      </c>
      <c r="V1661" s="8"/>
      <c r="W1661" s="8"/>
      <c r="X1661" s="8"/>
      <c r="Y1661" s="8"/>
      <c r="Z1661" s="8"/>
    </row>
    <row r="1662" spans="1:26" ht="13.2">
      <c r="A1662" s="13">
        <v>44250.365324074075</v>
      </c>
      <c r="B1662" s="6" t="str">
        <f>HYPERLINK("https://twitter.com/darek_tt","@darek_tt")</f>
        <v>@darek_tt</v>
      </c>
      <c r="C1662" s="14" t="s">
        <v>6842</v>
      </c>
      <c r="D1662" s="14" t="s">
        <v>6843</v>
      </c>
      <c r="E1662" s="6" t="str">
        <f>HYPERLINK("https://twitter.com/darek_tt/status/1364119318842204162","1364119318842204162")</f>
        <v>1364119318842204162</v>
      </c>
      <c r="F1662" s="14" t="s">
        <v>6844</v>
      </c>
      <c r="G1662" s="7" t="s">
        <v>6845</v>
      </c>
      <c r="H1662" s="8"/>
      <c r="I1662" s="14">
        <v>1</v>
      </c>
      <c r="J1662" s="14">
        <v>1</v>
      </c>
      <c r="K1662" s="6" t="str">
        <f>HYPERLINK("https://mobile.twitter.com","Twitter Web App")</f>
        <v>Twitter Web App</v>
      </c>
      <c r="L1662" s="15">
        <v>80</v>
      </c>
      <c r="M1662" s="15">
        <v>203</v>
      </c>
      <c r="N1662" s="15">
        <v>1</v>
      </c>
      <c r="O1662" s="9"/>
      <c r="P1662" s="10">
        <v>43375.97550925926</v>
      </c>
      <c r="Q1662" s="14" t="s">
        <v>5935</v>
      </c>
      <c r="R1662" s="14" t="s">
        <v>6846</v>
      </c>
      <c r="S1662" s="8"/>
      <c r="T1662" s="8"/>
      <c r="U1662" s="11" t="str">
        <f>HYPERLINK("https://pbs.twimg.com/profile_images/1322725838555664384/LGLGEVZA.jpg","View")</f>
        <v>View</v>
      </c>
      <c r="V1662" s="8"/>
      <c r="W1662" s="8"/>
      <c r="X1662" s="8"/>
      <c r="Y1662" s="8"/>
      <c r="Z1662" s="8"/>
    </row>
    <row r="1663" spans="1:26" ht="13.2">
      <c r="A1663" s="13">
        <v>44250.365034722221</v>
      </c>
      <c r="B1663" s="6" t="str">
        <f>HYPERLINK("https://twitter.com/ai_summary","@ai_summary")</f>
        <v>@ai_summary</v>
      </c>
      <c r="C1663" s="14" t="s">
        <v>528</v>
      </c>
      <c r="D1663" s="14" t="s">
        <v>6847</v>
      </c>
      <c r="E1663" s="6" t="str">
        <f>HYPERLINK("https://twitter.com/ai_summary/status/1364119214970257408","1364119214970257408")</f>
        <v>1364119214970257408</v>
      </c>
      <c r="F1663" s="7" t="s">
        <v>6848</v>
      </c>
      <c r="G1663" s="8"/>
      <c r="H1663" s="8"/>
      <c r="I1663" s="14">
        <v>1</v>
      </c>
      <c r="J1663" s="14">
        <v>1</v>
      </c>
      <c r="K1663" s="8"/>
      <c r="L1663" s="15">
        <v>47</v>
      </c>
      <c r="M1663" s="15">
        <v>7</v>
      </c>
      <c r="N1663" s="15">
        <v>2</v>
      </c>
      <c r="O1663" s="9"/>
      <c r="P1663" s="10">
        <v>44039.504699074074</v>
      </c>
      <c r="Q1663" s="8"/>
      <c r="R1663" s="14" t="s">
        <v>531</v>
      </c>
      <c r="S1663" s="8"/>
      <c r="T1663" s="8"/>
      <c r="U1663" s="11" t="str">
        <f>HYPERLINK("https://pbs.twimg.com/profile_images/1315240281206382592/-i10o6Yg.jpg","View")</f>
        <v>View</v>
      </c>
      <c r="V1663" s="8"/>
      <c r="W1663" s="8"/>
      <c r="X1663" s="8"/>
      <c r="Y1663" s="8"/>
      <c r="Z1663" s="8"/>
    </row>
    <row r="1664" spans="1:26" ht="13.2">
      <c r="A1664" s="13">
        <v>44250.364317129628</v>
      </c>
      <c r="B1664" s="6" t="str">
        <f>HYPERLINK("https://twitter.com/MethodsInfMed","@MethodsInfMed")</f>
        <v>@MethodsInfMed</v>
      </c>
      <c r="C1664" s="14" t="s">
        <v>6849</v>
      </c>
      <c r="D1664" s="14" t="s">
        <v>6850</v>
      </c>
      <c r="E1664" s="6" t="str">
        <f>HYPERLINK("https://twitter.com/MethodsInfMed/status/1364118955888099328","1364118955888099328")</f>
        <v>1364118955888099328</v>
      </c>
      <c r="F1664" s="7" t="s">
        <v>6851</v>
      </c>
      <c r="G1664" s="8"/>
      <c r="H1664" s="8"/>
      <c r="I1664" s="14">
        <v>0</v>
      </c>
      <c r="J1664" s="14">
        <v>0</v>
      </c>
      <c r="K1664" s="6" t="str">
        <f>HYPERLINK("https://mobile.twitter.com","Twitter Web App")</f>
        <v>Twitter Web App</v>
      </c>
      <c r="L1664" s="15">
        <v>264</v>
      </c>
      <c r="M1664" s="15">
        <v>144</v>
      </c>
      <c r="N1664" s="15">
        <v>31</v>
      </c>
      <c r="O1664" s="9"/>
      <c r="P1664" s="10">
        <v>41753.614756944444</v>
      </c>
      <c r="Q1664" s="14" t="s">
        <v>6852</v>
      </c>
      <c r="R1664" s="8"/>
      <c r="S1664" s="7" t="s">
        <v>6853</v>
      </c>
      <c r="T1664" s="8"/>
      <c r="U1664" s="11" t="str">
        <f>HYPERLINK("https://pbs.twimg.com/profile_images/1217826712215486466/wVTOrzDC.jpg","View")</f>
        <v>View</v>
      </c>
      <c r="V1664" s="8"/>
      <c r="W1664" s="8"/>
      <c r="X1664" s="8"/>
      <c r="Y1664" s="8"/>
      <c r="Z1664" s="8"/>
    </row>
    <row r="1665" spans="1:26" ht="13.2">
      <c r="A1665" s="13">
        <v>44250.364224537036</v>
      </c>
      <c r="B1665" s="6" t="str">
        <f>HYPERLINK("https://twitter.com/machinelearnflx","@machinelearnflx")</f>
        <v>@machinelearnflx</v>
      </c>
      <c r="C1665" s="14" t="s">
        <v>279</v>
      </c>
      <c r="D1665" s="14" t="s">
        <v>6854</v>
      </c>
      <c r="E1665" s="6" t="str">
        <f>HYPERLINK("https://twitter.com/machinelearnflx/status/1364118919880007682","1364118919880007682")</f>
        <v>1364118919880007682</v>
      </c>
      <c r="F1665" s="7" t="s">
        <v>6855</v>
      </c>
      <c r="G1665" s="8"/>
      <c r="H1665" s="8"/>
      <c r="I1665" s="14">
        <v>7</v>
      </c>
      <c r="J1665" s="14">
        <v>8</v>
      </c>
      <c r="K1665" s="6" t="str">
        <f>HYPERLINK("https://twitter.com/pythonbot_","Postmatico")</f>
        <v>Postmatico</v>
      </c>
      <c r="L1665" s="15">
        <v>90451</v>
      </c>
      <c r="M1665" s="15">
        <v>35464</v>
      </c>
      <c r="N1665" s="15">
        <v>2228</v>
      </c>
      <c r="O1665" s="9"/>
      <c r="P1665" s="10">
        <v>42386.538865740746</v>
      </c>
      <c r="Q1665" s="8"/>
      <c r="R1665" s="14" t="s">
        <v>282</v>
      </c>
      <c r="S1665" s="7" t="s">
        <v>283</v>
      </c>
      <c r="T1665" s="8"/>
      <c r="U1665" s="11" t="str">
        <f>HYPERLINK("https://pbs.twimg.com/profile_images/688735459892195329/v8sHaWSG.jpg","View")</f>
        <v>View</v>
      </c>
      <c r="V1665" s="8"/>
      <c r="W1665" s="8"/>
      <c r="X1665" s="8"/>
      <c r="Y1665" s="8"/>
      <c r="Z1665" s="8"/>
    </row>
    <row r="1666" spans="1:26" ht="13.2">
      <c r="A1666" s="13">
        <v>44250.363495370373</v>
      </c>
      <c r="B1666" s="6" t="str">
        <f>HYPERLINK("https://twitter.com/Mlearning_ai","@Mlearning_ai")</f>
        <v>@Mlearning_ai</v>
      </c>
      <c r="C1666" s="14" t="s">
        <v>2336</v>
      </c>
      <c r="D1666" s="14" t="s">
        <v>6856</v>
      </c>
      <c r="E1666" s="6" t="str">
        <f>HYPERLINK("https://twitter.com/Mlearning_ai/status/1364118655060090883","1364118655060090883")</f>
        <v>1364118655060090883</v>
      </c>
      <c r="F1666" s="14" t="s">
        <v>6857</v>
      </c>
      <c r="G1666" s="7" t="s">
        <v>6858</v>
      </c>
      <c r="H1666" s="8"/>
      <c r="I1666" s="14">
        <v>2</v>
      </c>
      <c r="J1666" s="14">
        <v>1</v>
      </c>
      <c r="K1666" s="6" t="str">
        <f>HYPERLINK("https://mobile.twitter.com","Twitter Web App")</f>
        <v>Twitter Web App</v>
      </c>
      <c r="L1666" s="15">
        <v>4161</v>
      </c>
      <c r="M1666" s="15">
        <v>201</v>
      </c>
      <c r="N1666" s="15">
        <v>148</v>
      </c>
      <c r="O1666" s="9"/>
      <c r="P1666" s="10">
        <v>41120.458391203705</v>
      </c>
      <c r="Q1666" s="8"/>
      <c r="R1666" s="14" t="s">
        <v>2339</v>
      </c>
      <c r="S1666" s="7" t="s">
        <v>2340</v>
      </c>
      <c r="T1666" s="8"/>
      <c r="U1666" s="11" t="str">
        <f>HYPERLINK("https://pbs.twimg.com/profile_images/1198670629433724928/V-cPfdPX.jpg","View")</f>
        <v>View</v>
      </c>
      <c r="V1666" s="8"/>
      <c r="W1666" s="8"/>
      <c r="X1666" s="8"/>
      <c r="Y1666" s="8"/>
      <c r="Z1666" s="8"/>
    </row>
    <row r="1667" spans="1:26" ht="13.2">
      <c r="A1667" s="13">
        <v>44250.362824074073</v>
      </c>
      <c r="B1667" s="6" t="str">
        <f>HYPERLINK("https://twitter.com/teamclairvoyant","@teamclairvoyant")</f>
        <v>@teamclairvoyant</v>
      </c>
      <c r="C1667" s="14" t="s">
        <v>6654</v>
      </c>
      <c r="D1667" s="14" t="s">
        <v>6859</v>
      </c>
      <c r="E1667" s="6" t="str">
        <f>HYPERLINK("https://twitter.com/teamclairvoyant/status/1364118411706437633","1364118411706437633")</f>
        <v>1364118411706437633</v>
      </c>
      <c r="F1667" s="8"/>
      <c r="G1667" s="7" t="s">
        <v>6860</v>
      </c>
      <c r="H1667" s="8"/>
      <c r="I1667" s="14">
        <v>1</v>
      </c>
      <c r="J1667" s="14">
        <v>1</v>
      </c>
      <c r="K1667" s="6" t="str">
        <f>HYPERLINK("https://about.twitter.com/products/tweetdeck","TweetDeck")</f>
        <v>TweetDeck</v>
      </c>
      <c r="L1667" s="15">
        <v>213</v>
      </c>
      <c r="M1667" s="15">
        <v>114</v>
      </c>
      <c r="N1667" s="15">
        <v>22</v>
      </c>
      <c r="O1667" s="9"/>
      <c r="P1667" s="10">
        <v>41194.24386574074</v>
      </c>
      <c r="Q1667" s="14" t="s">
        <v>6657</v>
      </c>
      <c r="R1667" s="14" t="s">
        <v>6658</v>
      </c>
      <c r="S1667" s="7" t="s">
        <v>6659</v>
      </c>
      <c r="T1667" s="8"/>
      <c r="U1667" s="11" t="str">
        <f>HYPERLINK("https://pbs.twimg.com/profile_images/779346561453006849/9i_D07wM.jpg","View")</f>
        <v>View</v>
      </c>
      <c r="V1667" s="8"/>
      <c r="W1667" s="8"/>
      <c r="X1667" s="8"/>
      <c r="Y1667" s="8"/>
      <c r="Z1667" s="8"/>
    </row>
    <row r="1668" spans="1:26" ht="13.2">
      <c r="A1668" s="13">
        <v>44250.361840277779</v>
      </c>
      <c r="B1668" s="6" t="str">
        <f>HYPERLINK("https://twitter.com/_M_Dey","@_M_Dey")</f>
        <v>@_M_Dey</v>
      </c>
      <c r="C1668" s="14" t="s">
        <v>2112</v>
      </c>
      <c r="D1668" s="14" t="s">
        <v>6861</v>
      </c>
      <c r="E1668" s="6" t="str">
        <f>HYPERLINK("https://twitter.com/_M_Dey/status/1364118058390999046","1364118058390999046")</f>
        <v>1364118058390999046</v>
      </c>
      <c r="F1668" s="7" t="s">
        <v>6862</v>
      </c>
      <c r="G1668" s="8"/>
      <c r="H1668" s="8"/>
      <c r="I1668" s="14">
        <v>9</v>
      </c>
      <c r="J1668" s="14">
        <v>5</v>
      </c>
      <c r="K1668" s="6" t="str">
        <f>HYPERLINK("http://dynamicsignal.com/","Dynamic Signal")</f>
        <v>Dynamic Signal</v>
      </c>
      <c r="L1668" s="15">
        <v>1174</v>
      </c>
      <c r="M1668" s="15">
        <v>4503</v>
      </c>
      <c r="N1668" s="15">
        <v>19</v>
      </c>
      <c r="O1668" s="9"/>
      <c r="P1668" s="10">
        <v>42691.486655092594</v>
      </c>
      <c r="Q1668" s="14" t="s">
        <v>106</v>
      </c>
      <c r="R1668" s="14" t="s">
        <v>2115</v>
      </c>
      <c r="S1668" s="7" t="s">
        <v>2116</v>
      </c>
      <c r="T1668" s="8"/>
      <c r="U1668" s="11" t="str">
        <f>HYPERLINK("https://pbs.twimg.com/profile_images/799206549025603584/G1d1duXU.jpg","View")</f>
        <v>View</v>
      </c>
      <c r="V1668" s="8"/>
      <c r="W1668" s="8"/>
      <c r="X1668" s="8"/>
      <c r="Y1668" s="8"/>
      <c r="Z1668" s="8"/>
    </row>
    <row r="1669" spans="1:26" ht="13.2">
      <c r="A1669" s="13">
        <v>44250.361111111109</v>
      </c>
      <c r="B1669" s="6" t="str">
        <f>HYPERLINK("https://twitter.com/KhalidHamdan0","@KhalidHamdan0")</f>
        <v>@KhalidHamdan0</v>
      </c>
      <c r="C1669" s="14" t="s">
        <v>3757</v>
      </c>
      <c r="D1669" s="14" t="s">
        <v>6863</v>
      </c>
      <c r="E1669" s="6" t="str">
        <f>HYPERLINK("https://twitter.com/KhalidHamdan0/status/1364117791670820864","1364117791670820864")</f>
        <v>1364117791670820864</v>
      </c>
      <c r="F1669" s="7" t="s">
        <v>2857</v>
      </c>
      <c r="G1669" s="7" t="s">
        <v>6864</v>
      </c>
      <c r="H1669" s="8"/>
      <c r="I1669" s="14">
        <v>9</v>
      </c>
      <c r="J1669" s="14">
        <v>4</v>
      </c>
      <c r="K1669" s="6" t="str">
        <f>HYPERLINK("https://mobile.twitter.com","Twitter Web App")</f>
        <v>Twitter Web App</v>
      </c>
      <c r="L1669" s="15">
        <v>13865</v>
      </c>
      <c r="M1669" s="15">
        <v>3380</v>
      </c>
      <c r="N1669" s="15">
        <v>2161</v>
      </c>
      <c r="O1669" s="9"/>
      <c r="P1669" s="10">
        <v>40310.828553240739</v>
      </c>
      <c r="Q1669" s="14" t="s">
        <v>599</v>
      </c>
      <c r="R1669" s="14" t="s">
        <v>3761</v>
      </c>
      <c r="S1669" s="8"/>
      <c r="T1669" s="8"/>
      <c r="U1669" s="11" t="str">
        <f>HYPERLINK("https://pbs.twimg.com/profile_images/853683295317626880/-YHlzfio.jpg","View")</f>
        <v>View</v>
      </c>
      <c r="V1669" s="8"/>
      <c r="W1669" s="8"/>
      <c r="X1669" s="8"/>
      <c r="Y1669" s="8"/>
      <c r="Z1669" s="8"/>
    </row>
    <row r="1670" spans="1:26" ht="13.2">
      <c r="A1670" s="13">
        <v>44250.360092592593</v>
      </c>
      <c r="B1670" s="6" t="str">
        <f>HYPERLINK("https://twitter.com/iSecurity","@iSecurity")</f>
        <v>@iSecurity</v>
      </c>
      <c r="C1670" s="14" t="s">
        <v>6865</v>
      </c>
      <c r="D1670" s="14" t="s">
        <v>6866</v>
      </c>
      <c r="E1670" s="6" t="str">
        <f>HYPERLINK("https://twitter.com/iSecurity/status/1364117425306750976","1364117425306750976")</f>
        <v>1364117425306750976</v>
      </c>
      <c r="F1670" s="7" t="s">
        <v>6867</v>
      </c>
      <c r="G1670" s="8"/>
      <c r="H1670" s="8"/>
      <c r="I1670" s="14">
        <v>1</v>
      </c>
      <c r="J1670" s="14">
        <v>1</v>
      </c>
      <c r="K1670" s="6" t="str">
        <f>HYPERLINK("https://dlvrit.com/","dlvr.it")</f>
        <v>dlvr.it</v>
      </c>
      <c r="L1670" s="15">
        <v>1903</v>
      </c>
      <c r="M1670" s="15">
        <v>59</v>
      </c>
      <c r="N1670" s="15">
        <v>34</v>
      </c>
      <c r="O1670" s="9"/>
      <c r="P1670" s="10">
        <v>39907.918958333335</v>
      </c>
      <c r="Q1670" s="14" t="s">
        <v>1815</v>
      </c>
      <c r="R1670" s="14" t="s">
        <v>6868</v>
      </c>
      <c r="S1670" s="8"/>
      <c r="T1670" s="8"/>
      <c r="U1670" s="11" t="str">
        <f>HYPERLINK("https://pbs.twimg.com/profile_images/1344962042973794304/93BZHi0l.jpg","View")</f>
        <v>View</v>
      </c>
      <c r="V1670" s="8"/>
      <c r="W1670" s="8"/>
      <c r="X1670" s="8"/>
      <c r="Y1670" s="8"/>
      <c r="Z1670" s="8"/>
    </row>
    <row r="1671" spans="1:26" ht="13.2">
      <c r="A1671" s="13">
        <v>44250.359224537038</v>
      </c>
      <c r="B1671" s="6" t="str">
        <f>HYPERLINK("https://twitter.com/HubPrefer","@HubPrefer")</f>
        <v>@HubPrefer</v>
      </c>
      <c r="C1671" s="14" t="s">
        <v>4937</v>
      </c>
      <c r="D1671" s="14" t="s">
        <v>6869</v>
      </c>
      <c r="E1671" s="6" t="str">
        <f>HYPERLINK("https://twitter.com/HubPrefer/status/1364117107193966592","1364117107193966592")</f>
        <v>1364117107193966592</v>
      </c>
      <c r="F1671" s="7" t="s">
        <v>6870</v>
      </c>
      <c r="G1671" s="8"/>
      <c r="H1671" s="8"/>
      <c r="I1671" s="14">
        <v>1</v>
      </c>
      <c r="J1671" s="14">
        <v>1</v>
      </c>
      <c r="K1671" s="6" t="str">
        <f t="shared" ref="K1671:K1672" si="312">HYPERLINK("https://mobile.twitter.com","Twitter Web App")</f>
        <v>Twitter Web App</v>
      </c>
      <c r="L1671" s="15">
        <v>16</v>
      </c>
      <c r="M1671" s="15">
        <v>0</v>
      </c>
      <c r="N1671" s="15">
        <v>0</v>
      </c>
      <c r="O1671" s="9"/>
      <c r="P1671" s="10">
        <v>43728.568113425921</v>
      </c>
      <c r="Q1671" s="8"/>
      <c r="R1671" s="8"/>
      <c r="S1671" s="8"/>
      <c r="T1671" s="8"/>
      <c r="U1671" s="11" t="str">
        <f>HYPERLINK("https://pbs.twimg.com/profile_images/1175011320749416453/XknGFPU5.png","View")</f>
        <v>View</v>
      </c>
      <c r="V1671" s="8"/>
      <c r="W1671" s="8"/>
      <c r="X1671" s="8"/>
      <c r="Y1671" s="8"/>
      <c r="Z1671" s="8"/>
    </row>
    <row r="1672" spans="1:26" ht="13.2">
      <c r="A1672" s="13">
        <v>44250.358449074076</v>
      </c>
      <c r="B1672" s="6" t="str">
        <f>HYPERLINK("https://twitter.com/CouponBest3","@CouponBest3")</f>
        <v>@CouponBest3</v>
      </c>
      <c r="C1672" s="14" t="s">
        <v>6871</v>
      </c>
      <c r="D1672" s="14" t="s">
        <v>6872</v>
      </c>
      <c r="E1672" s="6" t="str">
        <f>HYPERLINK("https://twitter.com/CouponBest3/status/1364116828260245504","1364116828260245504")</f>
        <v>1364116828260245504</v>
      </c>
      <c r="F1672" s="7" t="s">
        <v>6873</v>
      </c>
      <c r="G1672" s="7" t="s">
        <v>6874</v>
      </c>
      <c r="H1672" s="8"/>
      <c r="I1672" s="14">
        <v>21</v>
      </c>
      <c r="J1672" s="14">
        <v>5</v>
      </c>
      <c r="K1672" s="6" t="str">
        <f t="shared" si="312"/>
        <v>Twitter Web App</v>
      </c>
      <c r="L1672" s="15">
        <v>6</v>
      </c>
      <c r="M1672" s="15">
        <v>11</v>
      </c>
      <c r="N1672" s="15">
        <v>0</v>
      </c>
      <c r="O1672" s="9"/>
      <c r="P1672" s="10">
        <v>44194.480995370366</v>
      </c>
      <c r="Q1672" s="14" t="s">
        <v>1421</v>
      </c>
      <c r="R1672" s="14" t="s">
        <v>6875</v>
      </c>
      <c r="S1672" s="7" t="s">
        <v>249</v>
      </c>
      <c r="T1672" s="8"/>
      <c r="U1672" s="11" t="str">
        <f>HYPERLINK("https://pbs.twimg.com/profile_images/1343867972645912576/4wSwu09l.jpg","View")</f>
        <v>View</v>
      </c>
      <c r="V1672" s="8"/>
      <c r="W1672" s="8"/>
      <c r="X1672" s="8"/>
      <c r="Y1672" s="8"/>
      <c r="Z1672" s="8"/>
    </row>
    <row r="1673" spans="1:26" ht="13.2">
      <c r="A1673" s="13">
        <v>44250.35832175926</v>
      </c>
      <c r="B1673" s="6" t="str">
        <f>HYPERLINK("https://twitter.com/odsc","@odsc")</f>
        <v>@odsc</v>
      </c>
      <c r="C1673" s="14" t="s">
        <v>217</v>
      </c>
      <c r="D1673" s="14" t="s">
        <v>6876</v>
      </c>
      <c r="E1673" s="6" t="str">
        <f>HYPERLINK("https://twitter.com/odsc/status/1364116782559203334","1364116782559203334")</f>
        <v>1364116782559203334</v>
      </c>
      <c r="F1673" s="7" t="s">
        <v>6877</v>
      </c>
      <c r="G1673" s="8"/>
      <c r="H1673" s="8"/>
      <c r="I1673" s="14">
        <v>1</v>
      </c>
      <c r="J1673" s="14">
        <v>0</v>
      </c>
      <c r="K1673" s="6" t="str">
        <f>HYPERLINK("http://www.hubspot.com/","HubSpot")</f>
        <v>HubSpot</v>
      </c>
      <c r="L1673" s="15">
        <v>78817</v>
      </c>
      <c r="M1673" s="15">
        <v>27883</v>
      </c>
      <c r="N1673" s="15">
        <v>2461</v>
      </c>
      <c r="O1673" s="9"/>
      <c r="P1673" s="10">
        <v>42039.982766203699</v>
      </c>
      <c r="Q1673" s="14" t="s">
        <v>221</v>
      </c>
      <c r="R1673" s="14" t="s">
        <v>222</v>
      </c>
      <c r="S1673" s="7" t="s">
        <v>223</v>
      </c>
      <c r="T1673" s="8"/>
      <c r="U1673" s="11" t="str">
        <f>HYPERLINK("https://pbs.twimg.com/profile_images/1115210960271228929/lHua2G3l.png","View")</f>
        <v>View</v>
      </c>
      <c r="V1673" s="8"/>
      <c r="W1673" s="8"/>
      <c r="X1673" s="8"/>
      <c r="Y1673" s="8"/>
      <c r="Z1673" s="8"/>
    </row>
    <row r="1674" spans="1:26" ht="13.2">
      <c r="A1674" s="13">
        <v>44250.357974537037</v>
      </c>
      <c r="B1674" s="6" t="str">
        <f>HYPERLINK("https://twitter.com/Aditics2","@Aditics2")</f>
        <v>@Aditics2</v>
      </c>
      <c r="C1674" s="14" t="s">
        <v>5277</v>
      </c>
      <c r="D1674" s="14" t="s">
        <v>6633</v>
      </c>
      <c r="E1674" s="6" t="str">
        <f>HYPERLINK("https://twitter.com/Aditics2/status/1364116657556377600","1364116657556377600")</f>
        <v>1364116657556377600</v>
      </c>
      <c r="F1674" s="14" t="s">
        <v>1313</v>
      </c>
      <c r="G1674" s="8"/>
      <c r="H1674" s="8"/>
      <c r="I1674" s="14">
        <v>1</v>
      </c>
      <c r="J1674" s="14">
        <v>0</v>
      </c>
      <c r="K1674" s="6" t="str">
        <f t="shared" ref="K1674:K1675" si="313">HYPERLINK("http://twinybots.com","TwinyBots")</f>
        <v>TwinyBots</v>
      </c>
      <c r="L1674" s="15">
        <v>223</v>
      </c>
      <c r="M1674" s="15">
        <v>245</v>
      </c>
      <c r="N1674" s="15">
        <v>4</v>
      </c>
      <c r="O1674" s="9"/>
      <c r="P1674" s="10">
        <v>43756.425138888888</v>
      </c>
      <c r="Q1674" s="14" t="s">
        <v>5279</v>
      </c>
      <c r="R1674" s="14" t="s">
        <v>5280</v>
      </c>
      <c r="S1674" s="7" t="s">
        <v>5281</v>
      </c>
      <c r="T1674" s="8"/>
      <c r="U1674" s="11" t="str">
        <f>HYPERLINK("https://pbs.twimg.com/profile_images/1185106494653513728/tTN_r8EY.jpg","View")</f>
        <v>View</v>
      </c>
      <c r="V1674" s="8"/>
      <c r="W1674" s="8"/>
      <c r="X1674" s="8"/>
      <c r="Y1674" s="8"/>
      <c r="Z1674" s="8"/>
    </row>
    <row r="1675" spans="1:26" ht="13.2">
      <c r="A1675" s="13">
        <v>44250.357974537037</v>
      </c>
      <c r="B1675" s="6" t="str">
        <f>HYPERLINK("https://twitter.com/Lucian2drei","@Lucian2drei")</f>
        <v>@Lucian2drei</v>
      </c>
      <c r="C1675" s="14" t="s">
        <v>1368</v>
      </c>
      <c r="D1675" s="14" t="s">
        <v>6878</v>
      </c>
      <c r="E1675" s="6" t="str">
        <f>HYPERLINK("https://twitter.com/Lucian2drei/status/1364116657443119104","1364116657443119104")</f>
        <v>1364116657443119104</v>
      </c>
      <c r="F1675" s="14" t="s">
        <v>6879</v>
      </c>
      <c r="G1675" s="8"/>
      <c r="H1675" s="8"/>
      <c r="I1675" s="14">
        <v>1</v>
      </c>
      <c r="J1675" s="14">
        <v>0</v>
      </c>
      <c r="K1675" s="6" t="str">
        <f t="shared" si="313"/>
        <v>TwinyBots</v>
      </c>
      <c r="L1675" s="15">
        <v>938</v>
      </c>
      <c r="M1675" s="15">
        <v>815</v>
      </c>
      <c r="N1675" s="15">
        <v>36</v>
      </c>
      <c r="O1675" s="9"/>
      <c r="P1675" s="10">
        <v>41428.742523148147</v>
      </c>
      <c r="Q1675" s="14" t="s">
        <v>1371</v>
      </c>
      <c r="R1675" s="14" t="s">
        <v>1372</v>
      </c>
      <c r="S1675" s="7" t="s">
        <v>1373</v>
      </c>
      <c r="T1675" s="8"/>
      <c r="U1675" s="11" t="str">
        <f>HYPERLINK("https://pbs.twimg.com/profile_images/1096299089527033856/Eh3wO1aV.png","View")</f>
        <v>View</v>
      </c>
      <c r="V1675" s="8"/>
      <c r="W1675" s="8"/>
      <c r="X1675" s="8"/>
      <c r="Y1675" s="8"/>
      <c r="Z1675" s="8"/>
    </row>
    <row r="1676" spans="1:26" ht="13.2">
      <c r="A1676" s="13">
        <v>44250.357268518521</v>
      </c>
      <c r="B1676" s="6" t="str">
        <f>HYPERLINK("https://twitter.com/CMTcameramodule","@CMTcameramodule")</f>
        <v>@CMTcameramodule</v>
      </c>
      <c r="C1676" s="14" t="s">
        <v>6880</v>
      </c>
      <c r="D1676" s="14" t="s">
        <v>6881</v>
      </c>
      <c r="E1676" s="6" t="str">
        <f>HYPERLINK("https://twitter.com/CMTcameramodule/status/1364116401888313344","1364116401888313344")</f>
        <v>1364116401888313344</v>
      </c>
      <c r="F1676" s="8"/>
      <c r="G1676" s="7" t="s">
        <v>6882</v>
      </c>
      <c r="H1676" s="8"/>
      <c r="I1676" s="14">
        <v>6</v>
      </c>
      <c r="J1676" s="14">
        <v>5</v>
      </c>
      <c r="K1676" s="6" t="str">
        <f t="shared" ref="K1676:K1678" si="314">HYPERLINK("https://mobile.twitter.com","Twitter Web App")</f>
        <v>Twitter Web App</v>
      </c>
      <c r="L1676" s="15">
        <v>886</v>
      </c>
      <c r="M1676" s="15">
        <v>639</v>
      </c>
      <c r="N1676" s="15">
        <v>11</v>
      </c>
      <c r="O1676" s="9"/>
      <c r="P1676" s="10">
        <v>43268.42186342593</v>
      </c>
      <c r="Q1676" s="14" t="s">
        <v>650</v>
      </c>
      <c r="R1676" s="14" t="s">
        <v>6883</v>
      </c>
      <c r="S1676" s="7" t="s">
        <v>6884</v>
      </c>
      <c r="T1676" s="8"/>
      <c r="U1676" s="11" t="str">
        <f>HYPERLINK("https://pbs.twimg.com/profile_images/1194482233375019009/NrcolkGS.jpg","View")</f>
        <v>View</v>
      </c>
      <c r="V1676" s="8"/>
      <c r="W1676" s="8"/>
      <c r="X1676" s="8"/>
      <c r="Y1676" s="8"/>
      <c r="Z1676" s="8"/>
    </row>
    <row r="1677" spans="1:26" ht="13.2">
      <c r="A1677" s="13">
        <v>44250.356412037036</v>
      </c>
      <c r="B1677" s="6" t="str">
        <f>HYPERLINK("https://twitter.com/sigmoidInc","@sigmoidInc")</f>
        <v>@sigmoidInc</v>
      </c>
      <c r="C1677" s="14" t="s">
        <v>6885</v>
      </c>
      <c r="D1677" s="14" t="s">
        <v>6886</v>
      </c>
      <c r="E1677" s="6" t="str">
        <f>HYPERLINK("https://twitter.com/sigmoidInc/status/1364116089957875714","1364116089957875714")</f>
        <v>1364116089957875714</v>
      </c>
      <c r="F1677" s="7" t="s">
        <v>6887</v>
      </c>
      <c r="G1677" s="7" t="s">
        <v>6888</v>
      </c>
      <c r="H1677" s="8"/>
      <c r="I1677" s="14">
        <v>4</v>
      </c>
      <c r="J1677" s="14">
        <v>1</v>
      </c>
      <c r="K1677" s="6" t="str">
        <f t="shared" si="314"/>
        <v>Twitter Web App</v>
      </c>
      <c r="L1677" s="15">
        <v>528</v>
      </c>
      <c r="M1677" s="15">
        <v>354</v>
      </c>
      <c r="N1677" s="15">
        <v>58</v>
      </c>
      <c r="O1677" s="9"/>
      <c r="P1677" s="10">
        <v>41542.669212962966</v>
      </c>
      <c r="Q1677" s="14" t="s">
        <v>6889</v>
      </c>
      <c r="R1677" s="14" t="s">
        <v>6890</v>
      </c>
      <c r="S1677" s="7" t="s">
        <v>6891</v>
      </c>
      <c r="T1677" s="8"/>
      <c r="U1677" s="11" t="str">
        <f>HYPERLINK("https://pbs.twimg.com/profile_images/1240169426764189697/jown9YRd.png","View")</f>
        <v>View</v>
      </c>
      <c r="V1677" s="8"/>
      <c r="W1677" s="8"/>
      <c r="X1677" s="8"/>
      <c r="Y1677" s="8"/>
      <c r="Z1677" s="8"/>
    </row>
    <row r="1678" spans="1:26" ht="13.2">
      <c r="A1678" s="13">
        <v>44250.356296296297</v>
      </c>
      <c r="B1678" s="6" t="str">
        <f>HYPERLINK("https://twitter.com/priyankanew27","@priyankanew27")</f>
        <v>@priyankanew27</v>
      </c>
      <c r="C1678" s="14" t="s">
        <v>6892</v>
      </c>
      <c r="D1678" s="14" t="s">
        <v>6893</v>
      </c>
      <c r="E1678" s="6" t="str">
        <f>HYPERLINK("https://twitter.com/priyankanew27/status/1364116048472137728","1364116048472137728")</f>
        <v>1364116048472137728</v>
      </c>
      <c r="F1678" s="7" t="s">
        <v>6894</v>
      </c>
      <c r="G1678" s="8"/>
      <c r="H1678" s="8"/>
      <c r="I1678" s="14">
        <v>6</v>
      </c>
      <c r="J1678" s="14">
        <v>1</v>
      </c>
      <c r="K1678" s="6" t="str">
        <f t="shared" si="314"/>
        <v>Twitter Web App</v>
      </c>
      <c r="L1678" s="15">
        <v>60</v>
      </c>
      <c r="M1678" s="15">
        <v>428</v>
      </c>
      <c r="N1678" s="15">
        <v>0</v>
      </c>
      <c r="O1678" s="9"/>
      <c r="P1678" s="10">
        <v>40435.564652777779</v>
      </c>
      <c r="Q1678" s="14" t="s">
        <v>6895</v>
      </c>
      <c r="R1678" s="14" t="s">
        <v>6896</v>
      </c>
      <c r="S1678" s="7" t="s">
        <v>6897</v>
      </c>
      <c r="T1678" s="8"/>
      <c r="U1678" s="11" t="str">
        <f>HYPERLINK("https://pbs.twimg.com/profile_images/1244539925317292033/0tICLMQM.jpg","View")</f>
        <v>View</v>
      </c>
      <c r="V1678" s="8"/>
      <c r="W1678" s="8"/>
      <c r="X1678" s="8"/>
      <c r="Y1678" s="8"/>
      <c r="Z1678" s="8"/>
    </row>
    <row r="1679" spans="1:26" ht="13.2">
      <c r="A1679" s="13">
        <v>44250.355983796297</v>
      </c>
      <c r="B1679" s="6" t="str">
        <f>HYPERLINK("https://twitter.com/trainandtest","@trainandtest")</f>
        <v>@trainandtest</v>
      </c>
      <c r="C1679" s="14" t="s">
        <v>6898</v>
      </c>
      <c r="D1679" s="14" t="s">
        <v>6899</v>
      </c>
      <c r="E1679" s="6" t="str">
        <f>HYPERLINK("https://twitter.com/trainandtest/status/1364115934282063874","1364115934282063874")</f>
        <v>1364115934282063874</v>
      </c>
      <c r="F1679" s="8"/>
      <c r="G1679" s="7" t="s">
        <v>6900</v>
      </c>
      <c r="H1679" s="8"/>
      <c r="I1679" s="14">
        <v>1</v>
      </c>
      <c r="J1679" s="14">
        <v>4</v>
      </c>
      <c r="K1679" s="6" t="str">
        <f>HYPERLINK("http://twitter.com/download/iphone","Twitter for iPhone")</f>
        <v>Twitter for iPhone</v>
      </c>
      <c r="L1679" s="15">
        <v>240</v>
      </c>
      <c r="M1679" s="15">
        <v>190</v>
      </c>
      <c r="N1679" s="15">
        <v>1</v>
      </c>
      <c r="O1679" s="9"/>
      <c r="P1679" s="10">
        <v>44074.964884259258</v>
      </c>
      <c r="Q1679" s="14" t="s">
        <v>364</v>
      </c>
      <c r="R1679" s="14" t="s">
        <v>6901</v>
      </c>
      <c r="S1679" s="7" t="s">
        <v>6902</v>
      </c>
      <c r="T1679" s="8"/>
      <c r="U1679" s="11" t="str">
        <f>HYPERLINK("https://pbs.twimg.com/profile_images/1300555437243162625/E2LP_4S6.jpg","View")</f>
        <v>View</v>
      </c>
      <c r="V1679" s="8"/>
      <c r="W1679" s="8"/>
      <c r="X1679" s="8"/>
      <c r="Y1679" s="8"/>
      <c r="Z1679" s="8"/>
    </row>
    <row r="1680" spans="1:26" ht="13.2">
      <c r="A1680" s="13">
        <v>44250.355416666665</v>
      </c>
      <c r="B1680" s="6" t="str">
        <f>HYPERLINK("https://twitter.com/NMZivkovic","@NMZivkovic")</f>
        <v>@NMZivkovic</v>
      </c>
      <c r="C1680" s="14" t="s">
        <v>6903</v>
      </c>
      <c r="D1680" s="14" t="s">
        <v>6904</v>
      </c>
      <c r="E1680" s="6" t="str">
        <f>HYPERLINK("https://twitter.com/NMZivkovic/status/1364115728195080193","1364115728195080193")</f>
        <v>1364115728195080193</v>
      </c>
      <c r="F1680" s="7" t="s">
        <v>6905</v>
      </c>
      <c r="G1680" s="8"/>
      <c r="H1680" s="8"/>
      <c r="I1680" s="14">
        <v>19</v>
      </c>
      <c r="J1680" s="14">
        <v>18</v>
      </c>
      <c r="K1680" s="6" t="str">
        <f>HYPERLINK("https://mobile.twitter.com","Twitter Web App")</f>
        <v>Twitter Web App</v>
      </c>
      <c r="L1680" s="15">
        <v>1086</v>
      </c>
      <c r="M1680" s="15">
        <v>960</v>
      </c>
      <c r="N1680" s="15">
        <v>26</v>
      </c>
      <c r="O1680" s="9"/>
      <c r="P1680" s="10">
        <v>42250.48605324074</v>
      </c>
      <c r="Q1680" s="14" t="s">
        <v>6906</v>
      </c>
      <c r="R1680" s="14" t="s">
        <v>6907</v>
      </c>
      <c r="S1680" s="7" t="s">
        <v>6908</v>
      </c>
      <c r="T1680" s="8"/>
      <c r="U1680" s="11" t="str">
        <f>HYPERLINK("https://pbs.twimg.com/profile_images/1136587750256390144/j5NyQW_1.png","View")</f>
        <v>View</v>
      </c>
      <c r="V1680" s="8"/>
      <c r="W1680" s="8"/>
      <c r="X1680" s="8"/>
      <c r="Y1680" s="8"/>
      <c r="Z1680" s="8"/>
    </row>
    <row r="1681" spans="1:26" ht="13.2">
      <c r="A1681" s="13">
        <v>44250.355011574073</v>
      </c>
      <c r="B1681" s="6" t="str">
        <f>HYPERLINK("https://twitter.com/investo82","@investo82")</f>
        <v>@investo82</v>
      </c>
      <c r="C1681" s="14" t="s">
        <v>6909</v>
      </c>
      <c r="D1681" s="14" t="s">
        <v>6910</v>
      </c>
      <c r="E1681" s="6" t="str">
        <f>HYPERLINK("https://twitter.com/investo82/status/1364115582287704071","1364115582287704071")</f>
        <v>1364115582287704071</v>
      </c>
      <c r="F1681" s="7" t="s">
        <v>6911</v>
      </c>
      <c r="G1681" s="8"/>
      <c r="H1681" s="8"/>
      <c r="I1681" s="14">
        <v>0</v>
      </c>
      <c r="J1681" s="14">
        <v>0</v>
      </c>
      <c r="K1681" s="6" t="str">
        <f t="shared" ref="K1681:K1683" si="315">HYPERLINK("http://twitter.com/download/android","Twitter for Android")</f>
        <v>Twitter for Android</v>
      </c>
      <c r="L1681" s="15">
        <v>152</v>
      </c>
      <c r="M1681" s="15">
        <v>461</v>
      </c>
      <c r="N1681" s="15">
        <v>11</v>
      </c>
      <c r="O1681" s="9"/>
      <c r="P1681" s="10">
        <v>40952.663645833338</v>
      </c>
      <c r="Q1681" s="14" t="s">
        <v>364</v>
      </c>
      <c r="R1681" s="8"/>
      <c r="S1681" s="8"/>
      <c r="T1681" s="8"/>
      <c r="U1681" s="11" t="str">
        <f>HYPERLINK("https://pbs.twimg.com/profile_images/1329093826732933120/waKrVf0e.jpg","View")</f>
        <v>View</v>
      </c>
      <c r="V1681" s="8"/>
      <c r="W1681" s="8"/>
      <c r="X1681" s="8"/>
      <c r="Y1681" s="8"/>
      <c r="Z1681" s="8"/>
    </row>
    <row r="1682" spans="1:26" ht="13.2">
      <c r="A1682" s="13">
        <v>44250.354884259257</v>
      </c>
      <c r="B1682" s="6" t="str">
        <f t="shared" ref="B1682:B1683" si="316">HYPERLINK("https://twitter.com/Doxyaxone","@Doxyaxone")</f>
        <v>@Doxyaxone</v>
      </c>
      <c r="C1682" s="14" t="s">
        <v>6912</v>
      </c>
      <c r="D1682" s="14" t="s">
        <v>6913</v>
      </c>
      <c r="E1682" s="6" t="str">
        <f>HYPERLINK("https://twitter.com/Doxyaxone/status/1364115538008489985","1364115538008489985")</f>
        <v>1364115538008489985</v>
      </c>
      <c r="F1682" s="8"/>
      <c r="G1682" s="7" t="s">
        <v>6914</v>
      </c>
      <c r="H1682" s="8"/>
      <c r="I1682" s="14">
        <v>17</v>
      </c>
      <c r="J1682" s="14">
        <v>8</v>
      </c>
      <c r="K1682" s="6" t="str">
        <f t="shared" si="315"/>
        <v>Twitter for Android</v>
      </c>
      <c r="L1682" s="15">
        <v>578</v>
      </c>
      <c r="M1682" s="15">
        <v>982</v>
      </c>
      <c r="N1682" s="15">
        <v>6</v>
      </c>
      <c r="O1682" s="9"/>
      <c r="P1682" s="10">
        <v>42970.608287037037</v>
      </c>
      <c r="Q1682" s="8"/>
      <c r="R1682" s="14" t="s">
        <v>6915</v>
      </c>
      <c r="S1682" s="8"/>
      <c r="T1682" s="8"/>
      <c r="U1682" s="11" t="str">
        <f t="shared" ref="U1682:U1683" si="317">HYPERLINK("https://pbs.twimg.com/profile_images/1191757797412818944/y28j67C2.jpg","View")</f>
        <v>View</v>
      </c>
      <c r="V1682" s="8"/>
      <c r="W1682" s="8"/>
      <c r="X1682" s="8"/>
      <c r="Y1682" s="8"/>
      <c r="Z1682" s="8"/>
    </row>
    <row r="1683" spans="1:26" ht="13.2">
      <c r="A1683" s="13">
        <v>44250.354502314818</v>
      </c>
      <c r="B1683" s="6" t="str">
        <f t="shared" si="316"/>
        <v>@Doxyaxone</v>
      </c>
      <c r="C1683" s="14" t="s">
        <v>6912</v>
      </c>
      <c r="D1683" s="14" t="s">
        <v>6916</v>
      </c>
      <c r="E1683" s="6" t="str">
        <f>HYPERLINK("https://twitter.com/Doxyaxone/status/1364115396668841986","1364115396668841986")</f>
        <v>1364115396668841986</v>
      </c>
      <c r="F1683" s="8"/>
      <c r="G1683" s="7" t="s">
        <v>6917</v>
      </c>
      <c r="H1683" s="8"/>
      <c r="I1683" s="14">
        <v>9</v>
      </c>
      <c r="J1683" s="14">
        <v>4</v>
      </c>
      <c r="K1683" s="6" t="str">
        <f t="shared" si="315"/>
        <v>Twitter for Android</v>
      </c>
      <c r="L1683" s="15">
        <v>578</v>
      </c>
      <c r="M1683" s="15">
        <v>982</v>
      </c>
      <c r="N1683" s="15">
        <v>6</v>
      </c>
      <c r="O1683" s="9"/>
      <c r="P1683" s="10">
        <v>42970.608287037037</v>
      </c>
      <c r="Q1683" s="8"/>
      <c r="R1683" s="14" t="s">
        <v>6915</v>
      </c>
      <c r="S1683" s="8"/>
      <c r="T1683" s="8"/>
      <c r="U1683" s="11" t="str">
        <f t="shared" si="317"/>
        <v>View</v>
      </c>
      <c r="V1683" s="8"/>
      <c r="W1683" s="8"/>
      <c r="X1683" s="8"/>
      <c r="Y1683" s="8"/>
      <c r="Z1683" s="8"/>
    </row>
    <row r="1684" spans="1:26" ht="13.2">
      <c r="A1684" s="13">
        <v>44250.354212962964</v>
      </c>
      <c r="B1684" s="6" t="str">
        <f>HYPERLINK("https://twitter.com/ipfconline1","@ipfconline1")</f>
        <v>@ipfconline1</v>
      </c>
      <c r="C1684" s="14" t="s">
        <v>65</v>
      </c>
      <c r="D1684" s="14" t="s">
        <v>6918</v>
      </c>
      <c r="E1684" s="6" t="str">
        <f>HYPERLINK("https://twitter.com/ipfconline1/status/1364115294172626944","1364115294172626944")</f>
        <v>1364115294172626944</v>
      </c>
      <c r="F1684" s="7" t="s">
        <v>6919</v>
      </c>
      <c r="G1684" s="7" t="s">
        <v>6920</v>
      </c>
      <c r="H1684" s="8"/>
      <c r="I1684" s="14">
        <v>4</v>
      </c>
      <c r="J1684" s="14">
        <v>8</v>
      </c>
      <c r="K1684" s="6" t="str">
        <f>HYPERLINK("https://twittimer.com","Twittimer")</f>
        <v>Twittimer</v>
      </c>
      <c r="L1684" s="15">
        <v>112675</v>
      </c>
      <c r="M1684" s="15">
        <v>107162</v>
      </c>
      <c r="N1684" s="15">
        <v>7806</v>
      </c>
      <c r="O1684" s="9"/>
      <c r="P1684" s="10">
        <v>42433.031967592593</v>
      </c>
      <c r="Q1684" s="14" t="s">
        <v>69</v>
      </c>
      <c r="R1684" s="14" t="s">
        <v>70</v>
      </c>
      <c r="S1684" s="7" t="s">
        <v>71</v>
      </c>
      <c r="T1684" s="8"/>
      <c r="U1684" s="11" t="str">
        <f>HYPERLINK("https://pbs.twimg.com/profile_images/729065804004769793/St2_Pum9.jpg","View")</f>
        <v>View</v>
      </c>
      <c r="V1684" s="8"/>
      <c r="W1684" s="8"/>
      <c r="X1684" s="8"/>
      <c r="Y1684" s="8"/>
      <c r="Z1684" s="8"/>
    </row>
    <row r="1685" spans="1:26" ht="13.2">
      <c r="A1685" s="13">
        <v>44250.354189814811</v>
      </c>
      <c r="B1685" s="6" t="str">
        <f>HYPERLINK("https://twitter.com/TechnDiscussion","@TechnDiscussion")</f>
        <v>@TechnDiscussion</v>
      </c>
      <c r="C1685" s="14" t="s">
        <v>6921</v>
      </c>
      <c r="D1685" s="14" t="s">
        <v>6922</v>
      </c>
      <c r="E1685" s="6" t="str">
        <f>HYPERLINK("https://twitter.com/TechnDiscussion/status/1364115285607731200","1364115285607731200")</f>
        <v>1364115285607731200</v>
      </c>
      <c r="F1685" s="7" t="s">
        <v>6923</v>
      </c>
      <c r="G1685" s="8"/>
      <c r="H1685" s="8"/>
      <c r="I1685" s="14">
        <v>4</v>
      </c>
      <c r="J1685" s="14">
        <v>2</v>
      </c>
      <c r="K1685" s="6" t="str">
        <f>HYPERLINK("https://mobile.twitter.com","Twitter Web App")</f>
        <v>Twitter Web App</v>
      </c>
      <c r="L1685" s="15">
        <v>444</v>
      </c>
      <c r="M1685" s="15">
        <v>240</v>
      </c>
      <c r="N1685" s="15">
        <v>22</v>
      </c>
      <c r="O1685" s="9"/>
      <c r="P1685" s="10">
        <v>43193.447592592594</v>
      </c>
      <c r="Q1685" s="8"/>
      <c r="R1685" s="14" t="s">
        <v>6924</v>
      </c>
      <c r="S1685" s="8"/>
      <c r="T1685" s="8"/>
      <c r="U1685" s="11" t="str">
        <f>HYPERLINK("https://pbs.twimg.com/profile_images/981441828175142913/__Vk70dW.jpg","View")</f>
        <v>View</v>
      </c>
      <c r="V1685" s="8"/>
      <c r="W1685" s="8"/>
      <c r="X1685" s="8"/>
      <c r="Y1685" s="8"/>
      <c r="Z1685" s="8"/>
    </row>
    <row r="1686" spans="1:26" ht="13.2">
      <c r="A1686" s="13">
        <v>44250.354166666672</v>
      </c>
      <c r="B1686" s="6" t="str">
        <f>HYPERLINK("https://twitter.com/Doxyaxone","@Doxyaxone")</f>
        <v>@Doxyaxone</v>
      </c>
      <c r="C1686" s="14" t="s">
        <v>6912</v>
      </c>
      <c r="D1686" s="14" t="s">
        <v>6925</v>
      </c>
      <c r="E1686" s="6" t="str">
        <f>HYPERLINK("https://twitter.com/Doxyaxone/status/1364115276799819777","1364115276799819777")</f>
        <v>1364115276799819777</v>
      </c>
      <c r="F1686" s="8"/>
      <c r="G1686" s="7" t="s">
        <v>6926</v>
      </c>
      <c r="H1686" s="8"/>
      <c r="I1686" s="14">
        <v>25</v>
      </c>
      <c r="J1686" s="14">
        <v>12</v>
      </c>
      <c r="K1686" s="6" t="str">
        <f>HYPERLINK("http://twitter.com/download/android","Twitter for Android")</f>
        <v>Twitter for Android</v>
      </c>
      <c r="L1686" s="15">
        <v>578</v>
      </c>
      <c r="M1686" s="15">
        <v>982</v>
      </c>
      <c r="N1686" s="15">
        <v>6</v>
      </c>
      <c r="O1686" s="9"/>
      <c r="P1686" s="10">
        <v>42970.608287037037</v>
      </c>
      <c r="Q1686" s="8"/>
      <c r="R1686" s="14" t="s">
        <v>6915</v>
      </c>
      <c r="S1686" s="8"/>
      <c r="T1686" s="8"/>
      <c r="U1686" s="11" t="str">
        <f>HYPERLINK("https://pbs.twimg.com/profile_images/1191757797412818944/y28j67C2.jpg","View")</f>
        <v>View</v>
      </c>
      <c r="V1686" s="8"/>
      <c r="W1686" s="8"/>
      <c r="X1686" s="8"/>
      <c r="Y1686" s="8"/>
      <c r="Z1686" s="8"/>
    </row>
    <row r="1687" spans="1:26" ht="13.2">
      <c r="A1687" s="13">
        <v>44250.353831018518</v>
      </c>
      <c r="B1687" s="6" t="str">
        <f>HYPERLINK("https://twitter.com/CMTcameramodule","@CMTcameramodule")</f>
        <v>@CMTcameramodule</v>
      </c>
      <c r="C1687" s="14" t="s">
        <v>6880</v>
      </c>
      <c r="D1687" s="14" t="s">
        <v>6881</v>
      </c>
      <c r="E1687" s="6" t="str">
        <f>HYPERLINK("https://twitter.com/CMTcameramodule/status/1364115156083433472","1364115156083433472")</f>
        <v>1364115156083433472</v>
      </c>
      <c r="F1687" s="8"/>
      <c r="G1687" s="7" t="s">
        <v>6927</v>
      </c>
      <c r="H1687" s="8"/>
      <c r="I1687" s="14">
        <v>9</v>
      </c>
      <c r="J1687" s="14">
        <v>6</v>
      </c>
      <c r="K1687" s="6" t="str">
        <f t="shared" ref="K1687:K1688" si="318">HYPERLINK("https://mobile.twitter.com","Twitter Web App")</f>
        <v>Twitter Web App</v>
      </c>
      <c r="L1687" s="15">
        <v>886</v>
      </c>
      <c r="M1687" s="15">
        <v>639</v>
      </c>
      <c r="N1687" s="15">
        <v>11</v>
      </c>
      <c r="O1687" s="9"/>
      <c r="P1687" s="10">
        <v>43268.42186342593</v>
      </c>
      <c r="Q1687" s="14" t="s">
        <v>650</v>
      </c>
      <c r="R1687" s="14" t="s">
        <v>6883</v>
      </c>
      <c r="S1687" s="7" t="s">
        <v>6884</v>
      </c>
      <c r="T1687" s="8"/>
      <c r="U1687" s="11" t="str">
        <f>HYPERLINK("https://pbs.twimg.com/profile_images/1194482233375019009/NrcolkGS.jpg","View")</f>
        <v>View</v>
      </c>
      <c r="V1687" s="8"/>
      <c r="W1687" s="8"/>
      <c r="X1687" s="8"/>
      <c r="Y1687" s="8"/>
      <c r="Z1687" s="8"/>
    </row>
    <row r="1688" spans="1:26" ht="13.2">
      <c r="A1688" s="13">
        <v>44250.353576388894</v>
      </c>
      <c r="B1688" s="6" t="str">
        <f>HYPERLINK("https://twitter.com/MeetAliPoetry","@MeetAliPoetry")</f>
        <v>@MeetAliPoetry</v>
      </c>
      <c r="C1688" s="14" t="s">
        <v>6723</v>
      </c>
      <c r="D1688" s="14" t="s">
        <v>6928</v>
      </c>
      <c r="E1688" s="6" t="str">
        <f>HYPERLINK("https://twitter.com/MeetAliPoetry/status/1364115063309697031","1364115063309697031")</f>
        <v>1364115063309697031</v>
      </c>
      <c r="F1688" s="8"/>
      <c r="G1688" s="8"/>
      <c r="H1688" s="8"/>
      <c r="I1688" s="14">
        <v>15</v>
      </c>
      <c r="J1688" s="14">
        <v>8</v>
      </c>
      <c r="K1688" s="6" t="str">
        <f t="shared" si="318"/>
        <v>Twitter Web App</v>
      </c>
      <c r="L1688" s="15">
        <v>138</v>
      </c>
      <c r="M1688" s="15">
        <v>803</v>
      </c>
      <c r="N1688" s="15">
        <v>0</v>
      </c>
      <c r="O1688" s="9"/>
      <c r="P1688" s="10">
        <v>43648.390324074076</v>
      </c>
      <c r="Q1688" s="8"/>
      <c r="R1688" s="14" t="s">
        <v>6726</v>
      </c>
      <c r="S1688" s="7" t="s">
        <v>6727</v>
      </c>
      <c r="T1688" s="8"/>
      <c r="U1688" s="11" t="str">
        <f>HYPERLINK("https://pbs.twimg.com/profile_images/1353692165642313728/bBmGAHRF.jpg","View")</f>
        <v>View</v>
      </c>
      <c r="V1688" s="8"/>
      <c r="W1688" s="8"/>
      <c r="X1688" s="8"/>
      <c r="Y1688" s="8"/>
      <c r="Z1688" s="8"/>
    </row>
    <row r="1689" spans="1:26" ht="13.2">
      <c r="A1689" s="13">
        <v>44250.352847222224</v>
      </c>
      <c r="B1689" s="6" t="str">
        <f>HYPERLINK("https://twitter.com/amitp9201","@amitp9201")</f>
        <v>@amitp9201</v>
      </c>
      <c r="C1689" s="14" t="s">
        <v>6929</v>
      </c>
      <c r="D1689" s="14" t="s">
        <v>6930</v>
      </c>
      <c r="E1689" s="6" t="str">
        <f>HYPERLINK("https://twitter.com/amitp9201/status/1364114798129020930","1364114798129020930")</f>
        <v>1364114798129020930</v>
      </c>
      <c r="F1689" s="8"/>
      <c r="G1689" s="7" t="s">
        <v>6931</v>
      </c>
      <c r="H1689" s="8"/>
      <c r="I1689" s="14">
        <v>7</v>
      </c>
      <c r="J1689" s="14">
        <v>6</v>
      </c>
      <c r="K1689" s="6" t="str">
        <f>HYPERLINK("http://twitter.com/download/android","Twitter for Android")</f>
        <v>Twitter for Android</v>
      </c>
      <c r="L1689" s="15">
        <v>2863</v>
      </c>
      <c r="M1689" s="15">
        <v>2566</v>
      </c>
      <c r="N1689" s="15">
        <v>4</v>
      </c>
      <c r="O1689" s="9"/>
      <c r="P1689" s="10">
        <v>41445.653263888889</v>
      </c>
      <c r="Q1689" s="14" t="s">
        <v>6932</v>
      </c>
      <c r="R1689" s="14" t="s">
        <v>6933</v>
      </c>
      <c r="S1689" s="8"/>
      <c r="T1689" s="8"/>
      <c r="U1689" s="11" t="str">
        <f>HYPERLINK("https://pbs.twimg.com/profile_images/1277116023028584448/EBTAPIPs.jpg","View")</f>
        <v>View</v>
      </c>
      <c r="V1689" s="8"/>
      <c r="W1689" s="8"/>
      <c r="X1689" s="8"/>
      <c r="Y1689" s="8"/>
      <c r="Z1689" s="8"/>
    </row>
    <row r="1690" spans="1:26" ht="13.2">
      <c r="A1690" s="13">
        <v>44250.352824074071</v>
      </c>
      <c r="B1690" s="6" t="str">
        <f>HYPERLINK("https://twitter.com/CMTcameramodule","@CMTcameramodule")</f>
        <v>@CMTcameramodule</v>
      </c>
      <c r="C1690" s="14" t="s">
        <v>6880</v>
      </c>
      <c r="D1690" s="14" t="s">
        <v>6881</v>
      </c>
      <c r="E1690" s="6" t="str">
        <f>HYPERLINK("https://twitter.com/CMTcameramodule/status/1364114789669036033","1364114789669036033")</f>
        <v>1364114789669036033</v>
      </c>
      <c r="F1690" s="8"/>
      <c r="G1690" s="7" t="s">
        <v>6934</v>
      </c>
      <c r="H1690" s="8"/>
      <c r="I1690" s="14">
        <v>8</v>
      </c>
      <c r="J1690" s="14">
        <v>5</v>
      </c>
      <c r="K1690" s="6" t="str">
        <f t="shared" ref="K1690:K1692" si="319">HYPERLINK("https://mobile.twitter.com","Twitter Web App")</f>
        <v>Twitter Web App</v>
      </c>
      <c r="L1690" s="15">
        <v>886</v>
      </c>
      <c r="M1690" s="15">
        <v>639</v>
      </c>
      <c r="N1690" s="15">
        <v>11</v>
      </c>
      <c r="O1690" s="9"/>
      <c r="P1690" s="10">
        <v>43268.42186342593</v>
      </c>
      <c r="Q1690" s="14" t="s">
        <v>650</v>
      </c>
      <c r="R1690" s="14" t="s">
        <v>6883</v>
      </c>
      <c r="S1690" s="7" t="s">
        <v>6884</v>
      </c>
      <c r="T1690" s="8"/>
      <c r="U1690" s="11" t="str">
        <f>HYPERLINK("https://pbs.twimg.com/profile_images/1194482233375019009/NrcolkGS.jpg","View")</f>
        <v>View</v>
      </c>
      <c r="V1690" s="8"/>
      <c r="W1690" s="8"/>
      <c r="X1690" s="8"/>
      <c r="Y1690" s="8"/>
      <c r="Z1690" s="8"/>
    </row>
    <row r="1691" spans="1:26" ht="13.2">
      <c r="A1691" s="13">
        <v>44250.352696759262</v>
      </c>
      <c r="B1691" s="6" t="str">
        <f>HYPERLINK("https://twitter.com/olegranmo","@olegranmo")</f>
        <v>@olegranmo</v>
      </c>
      <c r="C1691" s="14" t="s">
        <v>6935</v>
      </c>
      <c r="D1691" s="14" t="s">
        <v>6936</v>
      </c>
      <c r="E1691" s="6" t="str">
        <f>HYPERLINK("https://twitter.com/olegranmo/status/1364114742160351232","1364114742160351232")</f>
        <v>1364114742160351232</v>
      </c>
      <c r="F1691" s="7" t="s">
        <v>6937</v>
      </c>
      <c r="G1691" s="7" t="s">
        <v>6938</v>
      </c>
      <c r="H1691" s="8"/>
      <c r="I1691" s="14">
        <v>6</v>
      </c>
      <c r="J1691" s="14">
        <v>4</v>
      </c>
      <c r="K1691" s="6" t="str">
        <f t="shared" si="319"/>
        <v>Twitter Web App</v>
      </c>
      <c r="L1691" s="15">
        <v>432</v>
      </c>
      <c r="M1691" s="15">
        <v>268</v>
      </c>
      <c r="N1691" s="15">
        <v>8</v>
      </c>
      <c r="O1691" s="9"/>
      <c r="P1691" s="10">
        <v>41394.912268518521</v>
      </c>
      <c r="Q1691" s="14" t="s">
        <v>6939</v>
      </c>
      <c r="R1691" s="14" t="s">
        <v>6940</v>
      </c>
      <c r="S1691" s="7" t="s">
        <v>6941</v>
      </c>
      <c r="T1691" s="8"/>
      <c r="U1691" s="11" t="str">
        <f>HYPERLINK("https://pbs.twimg.com/profile_images/837335160416833536/enX-HTgV.jpg","View")</f>
        <v>View</v>
      </c>
      <c r="V1691" s="8"/>
      <c r="W1691" s="8"/>
      <c r="X1691" s="8"/>
      <c r="Y1691" s="8"/>
      <c r="Z1691" s="8"/>
    </row>
    <row r="1692" spans="1:26" ht="13.2">
      <c r="A1692" s="13">
        <v>44250.352465277778</v>
      </c>
      <c r="B1692" s="6" t="str">
        <f>HYPERLINK("https://twitter.com/CMTcameramodule","@CMTcameramodule")</f>
        <v>@CMTcameramodule</v>
      </c>
      <c r="C1692" s="14" t="s">
        <v>6880</v>
      </c>
      <c r="D1692" s="14" t="s">
        <v>6881</v>
      </c>
      <c r="E1692" s="6" t="str">
        <f>HYPERLINK("https://twitter.com/CMTcameramodule/status/1364114660534837248","1364114660534837248")</f>
        <v>1364114660534837248</v>
      </c>
      <c r="F1692" s="8"/>
      <c r="G1692" s="7" t="s">
        <v>6942</v>
      </c>
      <c r="H1692" s="8"/>
      <c r="I1692" s="14">
        <v>8</v>
      </c>
      <c r="J1692" s="14">
        <v>6</v>
      </c>
      <c r="K1692" s="6" t="str">
        <f t="shared" si="319"/>
        <v>Twitter Web App</v>
      </c>
      <c r="L1692" s="15">
        <v>886</v>
      </c>
      <c r="M1692" s="15">
        <v>639</v>
      </c>
      <c r="N1692" s="15">
        <v>11</v>
      </c>
      <c r="O1692" s="9"/>
      <c r="P1692" s="10">
        <v>43268.42186342593</v>
      </c>
      <c r="Q1692" s="14" t="s">
        <v>650</v>
      </c>
      <c r="R1692" s="14" t="s">
        <v>6883</v>
      </c>
      <c r="S1692" s="7" t="s">
        <v>6884</v>
      </c>
      <c r="T1692" s="8"/>
      <c r="U1692" s="11" t="str">
        <f>HYPERLINK("https://pbs.twimg.com/profile_images/1194482233375019009/NrcolkGS.jpg","View")</f>
        <v>View</v>
      </c>
      <c r="V1692" s="8"/>
      <c r="W1692" s="8"/>
      <c r="X1692" s="8"/>
      <c r="Y1692" s="8"/>
      <c r="Z1692" s="8"/>
    </row>
    <row r="1693" spans="1:26" ht="13.2">
      <c r="A1693" s="13">
        <v>44250.352164351847</v>
      </c>
      <c r="B1693" s="6" t="str">
        <f>HYPERLINK("https://twitter.com/Techfuturenew","@Techfuturenew")</f>
        <v>@Techfuturenew</v>
      </c>
      <c r="C1693" s="14" t="s">
        <v>1725</v>
      </c>
      <c r="D1693" s="14" t="s">
        <v>1639</v>
      </c>
      <c r="E1693" s="6" t="str">
        <f>HYPERLINK("https://twitter.com/Techfuturenew/status/1364114548970643458","1364114548970643458")</f>
        <v>1364114548970643458</v>
      </c>
      <c r="F1693" s="14" t="s">
        <v>1640</v>
      </c>
      <c r="G1693" s="8"/>
      <c r="H1693" s="8"/>
      <c r="I1693" s="14">
        <v>19</v>
      </c>
      <c r="J1693" s="14">
        <v>10</v>
      </c>
      <c r="K1693" s="6" t="str">
        <f>HYPERLINK("http://twinybots.com","TwinyBots")</f>
        <v>TwinyBots</v>
      </c>
      <c r="L1693" s="15">
        <v>961</v>
      </c>
      <c r="M1693" s="15">
        <v>411</v>
      </c>
      <c r="N1693" s="15">
        <v>17</v>
      </c>
      <c r="O1693" s="9"/>
      <c r="P1693" s="10">
        <v>43080.534120370372</v>
      </c>
      <c r="Q1693" s="14" t="s">
        <v>322</v>
      </c>
      <c r="R1693" s="14" t="s">
        <v>1727</v>
      </c>
      <c r="S1693" s="8"/>
      <c r="T1693" s="8"/>
      <c r="U1693" s="11" t="str">
        <f>HYPERLINK("https://pbs.twimg.com/profile_images/1201246977150922755/lKxY2XSy.jpg","View")</f>
        <v>View</v>
      </c>
      <c r="V1693" s="8"/>
      <c r="W1693" s="8"/>
      <c r="X1693" s="8"/>
      <c r="Y1693" s="8"/>
      <c r="Z1693" s="8"/>
    </row>
    <row r="1694" spans="1:26" ht="13.2">
      <c r="A1694" s="13">
        <v>44250.352048611108</v>
      </c>
      <c r="B1694" s="6" t="str">
        <f>HYPERLINK("https://twitter.com/CMTcameramodule","@CMTcameramodule")</f>
        <v>@CMTcameramodule</v>
      </c>
      <c r="C1694" s="14" t="s">
        <v>6880</v>
      </c>
      <c r="D1694" s="14" t="s">
        <v>6881</v>
      </c>
      <c r="E1694" s="6" t="str">
        <f>HYPERLINK("https://twitter.com/CMTcameramodule/status/1364114508134850563","1364114508134850563")</f>
        <v>1364114508134850563</v>
      </c>
      <c r="F1694" s="8"/>
      <c r="G1694" s="7" t="s">
        <v>6943</v>
      </c>
      <c r="H1694" s="8"/>
      <c r="I1694" s="14">
        <v>11</v>
      </c>
      <c r="J1694" s="14">
        <v>5</v>
      </c>
      <c r="K1694" s="6" t="str">
        <f t="shared" ref="K1694:K1696" si="320">HYPERLINK("https://mobile.twitter.com","Twitter Web App")</f>
        <v>Twitter Web App</v>
      </c>
      <c r="L1694" s="15">
        <v>886</v>
      </c>
      <c r="M1694" s="15">
        <v>639</v>
      </c>
      <c r="N1694" s="15">
        <v>11</v>
      </c>
      <c r="O1694" s="9"/>
      <c r="P1694" s="10">
        <v>43268.42186342593</v>
      </c>
      <c r="Q1694" s="14" t="s">
        <v>650</v>
      </c>
      <c r="R1694" s="14" t="s">
        <v>6883</v>
      </c>
      <c r="S1694" s="7" t="s">
        <v>6884</v>
      </c>
      <c r="T1694" s="8"/>
      <c r="U1694" s="11" t="str">
        <f>HYPERLINK("https://pbs.twimg.com/profile_images/1194482233375019009/NrcolkGS.jpg","View")</f>
        <v>View</v>
      </c>
      <c r="V1694" s="8"/>
      <c r="W1694" s="8"/>
      <c r="X1694" s="8"/>
      <c r="Y1694" s="8"/>
      <c r="Z1694" s="8"/>
    </row>
    <row r="1695" spans="1:26" ht="13.2">
      <c r="A1695" s="13">
        <v>44250.3519212963</v>
      </c>
      <c r="B1695" s="6" t="str">
        <f>HYPERLINK("https://twitter.com/shagi07","@shagi07")</f>
        <v>@shagi07</v>
      </c>
      <c r="C1695" s="14" t="s">
        <v>6944</v>
      </c>
      <c r="D1695" s="14" t="s">
        <v>6945</v>
      </c>
      <c r="E1695" s="6" t="str">
        <f>HYPERLINK("https://twitter.com/shagi07/status/1364114464358891521","1364114464358891521")</f>
        <v>1364114464358891521</v>
      </c>
      <c r="F1695" s="7" t="s">
        <v>6946</v>
      </c>
      <c r="G1695" s="8"/>
      <c r="H1695" s="8"/>
      <c r="I1695" s="14">
        <v>0</v>
      </c>
      <c r="J1695" s="14">
        <v>1</v>
      </c>
      <c r="K1695" s="6" t="str">
        <f t="shared" si="320"/>
        <v>Twitter Web App</v>
      </c>
      <c r="L1695" s="15">
        <v>177</v>
      </c>
      <c r="M1695" s="15">
        <v>388</v>
      </c>
      <c r="N1695" s="15">
        <v>1</v>
      </c>
      <c r="O1695" s="9"/>
      <c r="P1695" s="10">
        <v>40314.701087962967</v>
      </c>
      <c r="Q1695" s="14" t="s">
        <v>5572</v>
      </c>
      <c r="R1695" s="14" t="s">
        <v>6947</v>
      </c>
      <c r="S1695" s="8"/>
      <c r="T1695" s="8"/>
      <c r="U1695" s="11" t="str">
        <f>HYPERLINK("https://pbs.twimg.com/profile_images/1223246504690888705/lcG-hFw1.jpg","View")</f>
        <v>View</v>
      </c>
      <c r="V1695" s="8"/>
      <c r="W1695" s="8"/>
      <c r="X1695" s="8"/>
      <c r="Y1695" s="8"/>
      <c r="Z1695" s="8"/>
    </row>
    <row r="1696" spans="1:26" ht="13.2">
      <c r="A1696" s="13">
        <v>44250.351655092592</v>
      </c>
      <c r="B1696" s="6" t="str">
        <f>HYPERLINK("https://twitter.com/CMTcameramodule","@CMTcameramodule")</f>
        <v>@CMTcameramodule</v>
      </c>
      <c r="C1696" s="14" t="s">
        <v>6880</v>
      </c>
      <c r="D1696" s="14" t="s">
        <v>6881</v>
      </c>
      <c r="E1696" s="6" t="str">
        <f>HYPERLINK("https://twitter.com/CMTcameramodule/status/1364114364719005697","1364114364719005697")</f>
        <v>1364114364719005697</v>
      </c>
      <c r="F1696" s="8"/>
      <c r="G1696" s="7" t="s">
        <v>6948</v>
      </c>
      <c r="H1696" s="8"/>
      <c r="I1696" s="14">
        <v>6</v>
      </c>
      <c r="J1696" s="14">
        <v>5</v>
      </c>
      <c r="K1696" s="6" t="str">
        <f t="shared" si="320"/>
        <v>Twitter Web App</v>
      </c>
      <c r="L1696" s="15">
        <v>886</v>
      </c>
      <c r="M1696" s="15">
        <v>639</v>
      </c>
      <c r="N1696" s="15">
        <v>11</v>
      </c>
      <c r="O1696" s="9"/>
      <c r="P1696" s="10">
        <v>43268.42186342593</v>
      </c>
      <c r="Q1696" s="14" t="s">
        <v>650</v>
      </c>
      <c r="R1696" s="14" t="s">
        <v>6883</v>
      </c>
      <c r="S1696" s="7" t="s">
        <v>6884</v>
      </c>
      <c r="T1696" s="8"/>
      <c r="U1696" s="11" t="str">
        <f>HYPERLINK("https://pbs.twimg.com/profile_images/1194482233375019009/NrcolkGS.jpg","View")</f>
        <v>View</v>
      </c>
      <c r="V1696" s="8"/>
      <c r="W1696" s="8"/>
      <c r="X1696" s="8"/>
      <c r="Y1696" s="8"/>
      <c r="Z1696" s="8"/>
    </row>
    <row r="1697" spans="1:26" ht="13.2">
      <c r="A1697" s="13">
        <v>44250.351643518516</v>
      </c>
      <c r="B1697" s="6" t="str">
        <f>HYPERLINK("https://twitter.com/EwaAugustyniak","@EwaAugustyniak")</f>
        <v>@EwaAugustyniak</v>
      </c>
      <c r="C1697" s="14" t="s">
        <v>6949</v>
      </c>
      <c r="D1697" s="14" t="s">
        <v>6950</v>
      </c>
      <c r="E1697" s="6" t="str">
        <f>HYPERLINK("https://twitter.com/EwaAugustyniak/status/1364114360143024134","1364114360143024134")</f>
        <v>1364114360143024134</v>
      </c>
      <c r="F1697" s="14" t="s">
        <v>6951</v>
      </c>
      <c r="G1697" s="8"/>
      <c r="H1697" s="8"/>
      <c r="I1697" s="14">
        <v>1</v>
      </c>
      <c r="J1697" s="14">
        <v>0</v>
      </c>
      <c r="K1697" s="6" t="str">
        <f>HYPERLINK("http://dynamicsignal.com/","Dynamic Signal")</f>
        <v>Dynamic Signal</v>
      </c>
      <c r="L1697" s="15">
        <v>35</v>
      </c>
      <c r="M1697" s="15">
        <v>163</v>
      </c>
      <c r="N1697" s="15">
        <v>1</v>
      </c>
      <c r="O1697" s="9"/>
      <c r="P1697" s="10">
        <v>40262.530381944445</v>
      </c>
      <c r="Q1697" s="14" t="s">
        <v>3931</v>
      </c>
      <c r="R1697" s="14" t="s">
        <v>6952</v>
      </c>
      <c r="S1697" s="8"/>
      <c r="T1697" s="8"/>
      <c r="U1697" s="11" t="str">
        <f>HYPERLINK("https://pbs.twimg.com/profile_images/774273951/Ewa_s_SAS_picture.jpg","View")</f>
        <v>View</v>
      </c>
      <c r="V1697" s="8"/>
      <c r="W1697" s="8"/>
      <c r="X1697" s="8"/>
      <c r="Y1697" s="8"/>
      <c r="Z1697" s="8"/>
    </row>
    <row r="1698" spans="1:26" ht="13.2">
      <c r="A1698" s="13">
        <v>44250.351365740746</v>
      </c>
      <c r="B1698" s="6" t="str">
        <f>HYPERLINK("https://twitter.com/InixindoSby","@InixindoSby")</f>
        <v>@InixindoSby</v>
      </c>
      <c r="C1698" s="14" t="s">
        <v>6953</v>
      </c>
      <c r="D1698" s="14" t="s">
        <v>6954</v>
      </c>
      <c r="E1698" s="6" t="str">
        <f>HYPERLINK("https://twitter.com/InixindoSby/status/1364114262596100096","1364114262596100096")</f>
        <v>1364114262596100096</v>
      </c>
      <c r="F1698" s="8"/>
      <c r="G1698" s="7" t="s">
        <v>6955</v>
      </c>
      <c r="H1698" s="8"/>
      <c r="I1698" s="14">
        <v>0</v>
      </c>
      <c r="J1698" s="14">
        <v>1</v>
      </c>
      <c r="K1698" s="6" t="str">
        <f t="shared" ref="K1698:K1700" si="321">HYPERLINK("https://mobile.twitter.com","Twitter Web App")</f>
        <v>Twitter Web App</v>
      </c>
      <c r="L1698" s="15">
        <v>134</v>
      </c>
      <c r="M1698" s="15">
        <v>505</v>
      </c>
      <c r="N1698" s="15">
        <v>0</v>
      </c>
      <c r="O1698" s="9"/>
      <c r="P1698" s="10">
        <v>41162.334016203706</v>
      </c>
      <c r="Q1698" s="14" t="s">
        <v>6956</v>
      </c>
      <c r="R1698" s="14" t="s">
        <v>6957</v>
      </c>
      <c r="S1698" s="7" t="s">
        <v>6958</v>
      </c>
      <c r="T1698" s="8"/>
      <c r="U1698" s="11" t="str">
        <f>HYPERLINK("https://pbs.twimg.com/profile_images/378800000155028889/fa94f76b9605700a49d455a573c1a484.jpeg","View")</f>
        <v>View</v>
      </c>
      <c r="V1698" s="8"/>
      <c r="W1698" s="8"/>
      <c r="X1698" s="8"/>
      <c r="Y1698" s="8"/>
      <c r="Z1698" s="8"/>
    </row>
    <row r="1699" spans="1:26" ht="13.2">
      <c r="A1699" s="13">
        <v>44250.351111111115</v>
      </c>
      <c r="B1699" s="6" t="str">
        <f>HYPERLINK("https://twitter.com/CMTcameramodule","@CMTcameramodule")</f>
        <v>@CMTcameramodule</v>
      </c>
      <c r="C1699" s="14" t="s">
        <v>6880</v>
      </c>
      <c r="D1699" s="14" t="s">
        <v>6881</v>
      </c>
      <c r="E1699" s="6" t="str">
        <f>HYPERLINK("https://twitter.com/CMTcameramodule/status/1364114166894628869","1364114166894628869")</f>
        <v>1364114166894628869</v>
      </c>
      <c r="F1699" s="8"/>
      <c r="G1699" s="7" t="s">
        <v>6959</v>
      </c>
      <c r="H1699" s="8"/>
      <c r="I1699" s="14">
        <v>7</v>
      </c>
      <c r="J1699" s="14">
        <v>7</v>
      </c>
      <c r="K1699" s="6" t="str">
        <f t="shared" si="321"/>
        <v>Twitter Web App</v>
      </c>
      <c r="L1699" s="15">
        <v>886</v>
      </c>
      <c r="M1699" s="15">
        <v>639</v>
      </c>
      <c r="N1699" s="15">
        <v>11</v>
      </c>
      <c r="O1699" s="9"/>
      <c r="P1699" s="10">
        <v>43268.42186342593</v>
      </c>
      <c r="Q1699" s="14" t="s">
        <v>650</v>
      </c>
      <c r="R1699" s="14" t="s">
        <v>6883</v>
      </c>
      <c r="S1699" s="7" t="s">
        <v>6884</v>
      </c>
      <c r="T1699" s="8"/>
      <c r="U1699" s="11" t="str">
        <f>HYPERLINK("https://pbs.twimg.com/profile_images/1194482233375019009/NrcolkGS.jpg","View")</f>
        <v>View</v>
      </c>
      <c r="V1699" s="8"/>
      <c r="W1699" s="8"/>
      <c r="X1699" s="8"/>
      <c r="Y1699" s="8"/>
      <c r="Z1699" s="8"/>
    </row>
    <row r="1700" spans="1:26" ht="13.2">
      <c r="A1700" s="13">
        <v>44250.350694444445</v>
      </c>
      <c r="B1700" s="6" t="str">
        <f>HYPERLINK("https://twitter.com/QAValley","@QAValley")</f>
        <v>@QAValley</v>
      </c>
      <c r="C1700" s="14" t="s">
        <v>5315</v>
      </c>
      <c r="D1700" s="14" t="s">
        <v>6960</v>
      </c>
      <c r="E1700" s="6" t="str">
        <f>HYPERLINK("https://twitter.com/QAValley/status/1364114016554029056","1364114016554029056")</f>
        <v>1364114016554029056</v>
      </c>
      <c r="F1700" s="7" t="s">
        <v>6961</v>
      </c>
      <c r="G1700" s="7" t="s">
        <v>6962</v>
      </c>
      <c r="H1700" s="8"/>
      <c r="I1700" s="14">
        <v>3</v>
      </c>
      <c r="J1700" s="14">
        <v>1</v>
      </c>
      <c r="K1700" s="6" t="str">
        <f t="shared" si="321"/>
        <v>Twitter Web App</v>
      </c>
      <c r="L1700" s="15">
        <v>6419</v>
      </c>
      <c r="M1700" s="15">
        <v>7053</v>
      </c>
      <c r="N1700" s="15">
        <v>15</v>
      </c>
      <c r="O1700" s="9"/>
      <c r="P1700" s="10">
        <v>42058.749386574069</v>
      </c>
      <c r="Q1700" s="14" t="s">
        <v>191</v>
      </c>
      <c r="R1700" s="14" t="s">
        <v>5319</v>
      </c>
      <c r="S1700" s="7" t="s">
        <v>5320</v>
      </c>
      <c r="T1700" s="8"/>
      <c r="U1700" s="11" t="str">
        <f>HYPERLINK("https://pbs.twimg.com/profile_images/976909546240307200/3Gy-rd2X.jpg","View")</f>
        <v>View</v>
      </c>
      <c r="V1700" s="8"/>
      <c r="W1700" s="8"/>
      <c r="X1700" s="8"/>
      <c r="Y1700" s="8"/>
      <c r="Z1700" s="8"/>
    </row>
    <row r="1701" spans="1:26" ht="13.2">
      <c r="A1701" s="13">
        <v>44250.350682870368</v>
      </c>
      <c r="B1701" s="6" t="str">
        <f>HYPERLINK("https://twitter.com/jblefevre60","@jblefevre60")</f>
        <v>@jblefevre60</v>
      </c>
      <c r="C1701" s="14" t="s">
        <v>464</v>
      </c>
      <c r="D1701" s="14" t="s">
        <v>6963</v>
      </c>
      <c r="E1701" s="6" t="str">
        <f>HYPERLINK("https://twitter.com/jblefevre60/status/1364114013634895872","1364114013634895872")</f>
        <v>1364114013634895872</v>
      </c>
      <c r="F1701" s="8"/>
      <c r="G1701" s="7" t="s">
        <v>6964</v>
      </c>
      <c r="H1701" s="8"/>
      <c r="I1701" s="14">
        <v>34</v>
      </c>
      <c r="J1701" s="14">
        <v>48</v>
      </c>
      <c r="K1701" s="6" t="str">
        <f>HYPERLINK("http://twitter.com/download/android","Twitter for Android")</f>
        <v>Twitter for Android</v>
      </c>
      <c r="L1701" s="15">
        <v>80848</v>
      </c>
      <c r="M1701" s="15">
        <v>5582</v>
      </c>
      <c r="N1701" s="15">
        <v>5070</v>
      </c>
      <c r="O1701" s="9"/>
      <c r="P1701" s="10">
        <v>42342.801134259258</v>
      </c>
      <c r="Q1701" s="14" t="s">
        <v>106</v>
      </c>
      <c r="R1701" s="14" t="s">
        <v>467</v>
      </c>
      <c r="S1701" s="7" t="s">
        <v>468</v>
      </c>
      <c r="T1701" s="8"/>
      <c r="U1701" s="11" t="str">
        <f>HYPERLINK("https://pbs.twimg.com/profile_images/915247803248599040/GsF3avSn.jpg","View")</f>
        <v>View</v>
      </c>
      <c r="V1701" s="8"/>
      <c r="W1701" s="8"/>
      <c r="X1701" s="8"/>
      <c r="Y1701" s="8"/>
      <c r="Z1701" s="8"/>
    </row>
    <row r="1702" spans="1:26" ht="13.2">
      <c r="A1702" s="13">
        <v>44250.350381944445</v>
      </c>
      <c r="B1702" s="6" t="str">
        <f>HYPERLINK("https://twitter.com/CMTcameramodule","@CMTcameramodule")</f>
        <v>@CMTcameramodule</v>
      </c>
      <c r="C1702" s="14" t="s">
        <v>6880</v>
      </c>
      <c r="D1702" s="14" t="s">
        <v>6881</v>
      </c>
      <c r="E1702" s="6" t="str">
        <f>HYPERLINK("https://twitter.com/CMTcameramodule/status/1364113904498929665","1364113904498929665")</f>
        <v>1364113904498929665</v>
      </c>
      <c r="F1702" s="8"/>
      <c r="G1702" s="7" t="s">
        <v>6965</v>
      </c>
      <c r="H1702" s="8"/>
      <c r="I1702" s="14">
        <v>4</v>
      </c>
      <c r="J1702" s="14">
        <v>4</v>
      </c>
      <c r="K1702" s="6" t="str">
        <f t="shared" ref="K1702:K1704" si="322">HYPERLINK("https://mobile.twitter.com","Twitter Web App")</f>
        <v>Twitter Web App</v>
      </c>
      <c r="L1702" s="15">
        <v>886</v>
      </c>
      <c r="M1702" s="15">
        <v>639</v>
      </c>
      <c r="N1702" s="15">
        <v>11</v>
      </c>
      <c r="O1702" s="9"/>
      <c r="P1702" s="10">
        <v>43268.42186342593</v>
      </c>
      <c r="Q1702" s="14" t="s">
        <v>650</v>
      </c>
      <c r="R1702" s="14" t="s">
        <v>6883</v>
      </c>
      <c r="S1702" s="7" t="s">
        <v>6884</v>
      </c>
      <c r="T1702" s="8"/>
      <c r="U1702" s="11" t="str">
        <f>HYPERLINK("https://pbs.twimg.com/profile_images/1194482233375019009/NrcolkGS.jpg","View")</f>
        <v>View</v>
      </c>
      <c r="V1702" s="8"/>
      <c r="W1702" s="8"/>
      <c r="X1702" s="8"/>
      <c r="Y1702" s="8"/>
      <c r="Z1702" s="8"/>
    </row>
    <row r="1703" spans="1:26" ht="13.2">
      <c r="A1703" s="13">
        <v>44250.350370370375</v>
      </c>
      <c r="B1703" s="6" t="str">
        <f>HYPERLINK("https://twitter.com/vvdn_tech","@vvdn_tech")</f>
        <v>@vvdn_tech</v>
      </c>
      <c r="C1703" s="14" t="s">
        <v>6966</v>
      </c>
      <c r="D1703" s="14" t="s">
        <v>6967</v>
      </c>
      <c r="E1703" s="6" t="str">
        <f>HYPERLINK("https://twitter.com/vvdn_tech/status/1364113899520335878","1364113899520335878")</f>
        <v>1364113899520335878</v>
      </c>
      <c r="F1703" s="7" t="s">
        <v>6968</v>
      </c>
      <c r="G1703" s="7" t="s">
        <v>6969</v>
      </c>
      <c r="H1703" s="8"/>
      <c r="I1703" s="14">
        <v>0</v>
      </c>
      <c r="J1703" s="14">
        <v>2</v>
      </c>
      <c r="K1703" s="6" t="str">
        <f t="shared" si="322"/>
        <v>Twitter Web App</v>
      </c>
      <c r="L1703" s="15">
        <v>1211</v>
      </c>
      <c r="M1703" s="15">
        <v>779</v>
      </c>
      <c r="N1703" s="15">
        <v>21</v>
      </c>
      <c r="O1703" s="9"/>
      <c r="P1703" s="10">
        <v>41393.581250000003</v>
      </c>
      <c r="Q1703" s="14" t="s">
        <v>6970</v>
      </c>
      <c r="R1703" s="14" t="s">
        <v>6971</v>
      </c>
      <c r="S1703" s="7" t="s">
        <v>6972</v>
      </c>
      <c r="T1703" s="8"/>
      <c r="U1703" s="11" t="str">
        <f>HYPERLINK("https://pbs.twimg.com/profile_images/1075372653177757696/xpRpQvLC.jpg","View")</f>
        <v>View</v>
      </c>
      <c r="V1703" s="8"/>
      <c r="W1703" s="8"/>
      <c r="X1703" s="8"/>
      <c r="Y1703" s="8"/>
      <c r="Z1703" s="8"/>
    </row>
    <row r="1704" spans="1:26" ht="13.2">
      <c r="A1704" s="13">
        <v>44250.34888888889</v>
      </c>
      <c r="B1704" s="6" t="str">
        <f>HYPERLINK("https://twitter.com/BrainialAI","@BrainialAI")</f>
        <v>@BrainialAI</v>
      </c>
      <c r="C1704" s="14" t="s">
        <v>6973</v>
      </c>
      <c r="D1704" s="14" t="s">
        <v>6974</v>
      </c>
      <c r="E1704" s="6" t="str">
        <f>HYPERLINK("https://twitter.com/BrainialAI/status/1364113363010256896","1364113363010256896")</f>
        <v>1364113363010256896</v>
      </c>
      <c r="F1704" s="7" t="s">
        <v>6975</v>
      </c>
      <c r="G1704" s="7" t="s">
        <v>6976</v>
      </c>
      <c r="H1704" s="8"/>
      <c r="I1704" s="14">
        <v>0</v>
      </c>
      <c r="J1704" s="14">
        <v>1</v>
      </c>
      <c r="K1704" s="6" t="str">
        <f t="shared" si="322"/>
        <v>Twitter Web App</v>
      </c>
      <c r="L1704" s="15">
        <v>29</v>
      </c>
      <c r="M1704" s="15">
        <v>55</v>
      </c>
      <c r="N1704" s="15">
        <v>0</v>
      </c>
      <c r="O1704" s="9"/>
      <c r="P1704" s="10">
        <v>43561.651076388887</v>
      </c>
      <c r="Q1704" s="14" t="s">
        <v>6977</v>
      </c>
      <c r="R1704" s="14" t="s">
        <v>6978</v>
      </c>
      <c r="S1704" s="7" t="s">
        <v>6979</v>
      </c>
      <c r="T1704" s="8"/>
      <c r="U1704" s="11" t="str">
        <f>HYPERLINK("https://pbs.twimg.com/profile_images/1114531254597246982/DkYO5xz_.png","View")</f>
        <v>View</v>
      </c>
      <c r="V1704" s="8"/>
      <c r="W1704" s="8"/>
      <c r="X1704" s="8"/>
      <c r="Y1704" s="8"/>
      <c r="Z1704" s="8"/>
    </row>
    <row r="1705" spans="1:26" ht="13.2">
      <c r="A1705" s="13">
        <v>44250.348715277782</v>
      </c>
      <c r="B1705" s="6" t="str">
        <f>HYPERLINK("https://twitter.com/iamBrianGraham","@iamBrianGraham")</f>
        <v>@iamBrianGraham</v>
      </c>
      <c r="C1705" s="14" t="s">
        <v>4259</v>
      </c>
      <c r="D1705" s="14" t="s">
        <v>6980</v>
      </c>
      <c r="E1705" s="6" t="str">
        <f>HYPERLINK("https://twitter.com/iamBrianGraham/status/1364113301072920576","1364113301072920576")</f>
        <v>1364113301072920576</v>
      </c>
      <c r="F1705" s="8"/>
      <c r="G1705" s="7" t="s">
        <v>6981</v>
      </c>
      <c r="H1705" s="8"/>
      <c r="I1705" s="14">
        <v>2</v>
      </c>
      <c r="J1705" s="14">
        <v>2</v>
      </c>
      <c r="K1705" s="6" t="str">
        <f>HYPERLINK("https://bypeers.net","ByPeers Social CRM (1)")</f>
        <v>ByPeers Social CRM (1)</v>
      </c>
      <c r="L1705" s="15">
        <v>5759</v>
      </c>
      <c r="M1705" s="15">
        <v>4549</v>
      </c>
      <c r="N1705" s="15">
        <v>211</v>
      </c>
      <c r="O1705" s="9"/>
      <c r="P1705" s="10">
        <v>42570.927037037036</v>
      </c>
      <c r="Q1705" s="14" t="s">
        <v>4262</v>
      </c>
      <c r="R1705" s="14" t="s">
        <v>4263</v>
      </c>
      <c r="S1705" s="7" t="s">
        <v>4264</v>
      </c>
      <c r="T1705" s="8"/>
      <c r="U1705" s="11" t="str">
        <f>HYPERLINK("https://pbs.twimg.com/profile_images/1099684609703510017/zcsjRYt2.png","View")</f>
        <v>View</v>
      </c>
      <c r="V1705" s="8"/>
      <c r="W1705" s="8"/>
      <c r="X1705" s="8"/>
      <c r="Y1705" s="8"/>
      <c r="Z1705" s="8"/>
    </row>
    <row r="1706" spans="1:26" ht="13.2">
      <c r="A1706" s="13">
        <v>44250.347916666666</v>
      </c>
      <c r="B1706" s="6" t="str">
        <f>HYPERLINK("https://twitter.com/QAValley","@QAValley")</f>
        <v>@QAValley</v>
      </c>
      <c r="C1706" s="14" t="s">
        <v>5315</v>
      </c>
      <c r="D1706" s="14" t="s">
        <v>6982</v>
      </c>
      <c r="E1706" s="6" t="str">
        <f>HYPERLINK("https://twitter.com/QAValley/status/1364113010105544705","1364113010105544705")</f>
        <v>1364113010105544705</v>
      </c>
      <c r="F1706" s="7" t="s">
        <v>6983</v>
      </c>
      <c r="G1706" s="7" t="s">
        <v>6984</v>
      </c>
      <c r="H1706" s="8"/>
      <c r="I1706" s="14">
        <v>0</v>
      </c>
      <c r="J1706" s="14">
        <v>0</v>
      </c>
      <c r="K1706" s="6" t="str">
        <f t="shared" ref="K1706:K1708" si="323">HYPERLINK("https://mobile.twitter.com","Twitter Web App")</f>
        <v>Twitter Web App</v>
      </c>
      <c r="L1706" s="15">
        <v>6419</v>
      </c>
      <c r="M1706" s="15">
        <v>7053</v>
      </c>
      <c r="N1706" s="15">
        <v>15</v>
      </c>
      <c r="O1706" s="9"/>
      <c r="P1706" s="10">
        <v>42058.749386574069</v>
      </c>
      <c r="Q1706" s="14" t="s">
        <v>191</v>
      </c>
      <c r="R1706" s="14" t="s">
        <v>5319</v>
      </c>
      <c r="S1706" s="7" t="s">
        <v>5320</v>
      </c>
      <c r="T1706" s="8"/>
      <c r="U1706" s="11" t="str">
        <f>HYPERLINK("https://pbs.twimg.com/profile_images/976909546240307200/3Gy-rd2X.jpg","View")</f>
        <v>View</v>
      </c>
      <c r="V1706" s="8"/>
      <c r="W1706" s="8"/>
      <c r="X1706" s="8"/>
      <c r="Y1706" s="8"/>
      <c r="Z1706" s="8"/>
    </row>
    <row r="1707" spans="1:26" ht="13.2">
      <c r="A1707" s="13">
        <v>44250.347094907411</v>
      </c>
      <c r="B1707" s="6" t="str">
        <f>HYPERLINK("https://twitter.com/WorldTrendsInfo","@WorldTrendsInfo")</f>
        <v>@WorldTrendsInfo</v>
      </c>
      <c r="C1707" s="14" t="s">
        <v>6985</v>
      </c>
      <c r="D1707" s="14" t="s">
        <v>6986</v>
      </c>
      <c r="E1707" s="6" t="str">
        <f>HYPERLINK("https://twitter.com/WorldTrendsInfo/status/1364112711991238658","1364112711991238658")</f>
        <v>1364112711991238658</v>
      </c>
      <c r="F1707" s="7" t="s">
        <v>6987</v>
      </c>
      <c r="G1707" s="7" t="s">
        <v>6988</v>
      </c>
      <c r="H1707" s="8"/>
      <c r="I1707" s="14">
        <v>0</v>
      </c>
      <c r="J1707" s="14">
        <v>0</v>
      </c>
      <c r="K1707" s="6" t="str">
        <f t="shared" si="323"/>
        <v>Twitter Web App</v>
      </c>
      <c r="L1707" s="15">
        <v>29477</v>
      </c>
      <c r="M1707" s="15">
        <v>17450</v>
      </c>
      <c r="N1707" s="15">
        <v>1697</v>
      </c>
      <c r="O1707" s="9"/>
      <c r="P1707" s="10">
        <v>41987.800578703704</v>
      </c>
      <c r="Q1707" s="14" t="s">
        <v>914</v>
      </c>
      <c r="R1707" s="14" t="s">
        <v>6989</v>
      </c>
      <c r="S1707" s="7" t="s">
        <v>6990</v>
      </c>
      <c r="T1707" s="8"/>
      <c r="U1707" s="11" t="str">
        <f>HYPERLINK("https://pbs.twimg.com/profile_images/976703867344703488/ZXpt0cl0.jpg","View")</f>
        <v>View</v>
      </c>
      <c r="V1707" s="8"/>
      <c r="W1707" s="8"/>
      <c r="X1707" s="8"/>
      <c r="Y1707" s="8"/>
      <c r="Z1707" s="8"/>
    </row>
    <row r="1708" spans="1:26" ht="13.2">
      <c r="A1708" s="13">
        <v>44250.347025462965</v>
      </c>
      <c r="B1708" s="6" t="str">
        <f>HYPERLINK("https://twitter.com/adnan_hashmi","@adnan_hashmi")</f>
        <v>@adnan_hashmi</v>
      </c>
      <c r="C1708" s="14" t="s">
        <v>6991</v>
      </c>
      <c r="D1708" s="14" t="s">
        <v>6992</v>
      </c>
      <c r="E1708" s="6" t="str">
        <f>HYPERLINK("https://twitter.com/adnan_hashmi/status/1364112686724878336","1364112686724878336")</f>
        <v>1364112686724878336</v>
      </c>
      <c r="F1708" s="7" t="s">
        <v>6993</v>
      </c>
      <c r="G1708" s="7" t="s">
        <v>6994</v>
      </c>
      <c r="H1708" s="8"/>
      <c r="I1708" s="14">
        <v>1</v>
      </c>
      <c r="J1708" s="14">
        <v>1</v>
      </c>
      <c r="K1708" s="6" t="str">
        <f t="shared" si="323"/>
        <v>Twitter Web App</v>
      </c>
      <c r="L1708" s="15">
        <v>2330</v>
      </c>
      <c r="M1708" s="15">
        <v>4579</v>
      </c>
      <c r="N1708" s="15">
        <v>551</v>
      </c>
      <c r="O1708" s="9"/>
      <c r="P1708" s="10">
        <v>39834.348483796297</v>
      </c>
      <c r="Q1708" s="14" t="s">
        <v>2853</v>
      </c>
      <c r="R1708" s="14" t="s">
        <v>6995</v>
      </c>
      <c r="S1708" s="7" t="s">
        <v>6996</v>
      </c>
      <c r="T1708" s="8"/>
      <c r="U1708" s="11" t="str">
        <f>HYPERLINK("https://pbs.twimg.com/profile_images/965682432367300611/j4syUFC2.jpg","View")</f>
        <v>View</v>
      </c>
      <c r="V1708" s="8"/>
      <c r="W1708" s="8"/>
      <c r="X1708" s="8"/>
      <c r="Y1708" s="8"/>
      <c r="Z1708" s="8"/>
    </row>
    <row r="1709" spans="1:26" ht="13.2">
      <c r="A1709" s="13">
        <v>44250.346898148149</v>
      </c>
      <c r="B1709" s="6" t="str">
        <f>HYPERLINK("https://twitter.com/milocamj","@milocamj")</f>
        <v>@milocamj</v>
      </c>
      <c r="C1709" s="14" t="s">
        <v>1805</v>
      </c>
      <c r="D1709" s="14" t="s">
        <v>6997</v>
      </c>
      <c r="E1709" s="6" t="str">
        <f>HYPERLINK("https://twitter.com/milocamj/status/1364112642164494338","1364112642164494338")</f>
        <v>1364112642164494338</v>
      </c>
      <c r="F1709" s="14" t="s">
        <v>6998</v>
      </c>
      <c r="G1709" s="8"/>
      <c r="H1709" s="8"/>
      <c r="I1709" s="14">
        <v>0</v>
      </c>
      <c r="J1709" s="14">
        <v>0</v>
      </c>
      <c r="K1709" s="6" t="str">
        <f>HYPERLINK("https://dlvrit.com/","dlvr.it")</f>
        <v>dlvr.it</v>
      </c>
      <c r="L1709" s="15">
        <v>2595</v>
      </c>
      <c r="M1709" s="15">
        <v>48</v>
      </c>
      <c r="N1709" s="15">
        <v>1282</v>
      </c>
      <c r="O1709" s="9"/>
      <c r="P1709" s="10">
        <v>39904.699837962966</v>
      </c>
      <c r="Q1709" s="14" t="s">
        <v>1809</v>
      </c>
      <c r="R1709" s="14" t="s">
        <v>1810</v>
      </c>
      <c r="S1709" s="7" t="s">
        <v>1811</v>
      </c>
      <c r="T1709" s="8"/>
      <c r="U1709" s="11" t="str">
        <f>HYPERLINK("https://pbs.twimg.com/profile_images/1108578778018709505/56I0aOhL.jpg","View")</f>
        <v>View</v>
      </c>
      <c r="V1709" s="8"/>
      <c r="W1709" s="8"/>
      <c r="X1709" s="8"/>
      <c r="Y1709" s="8"/>
      <c r="Z1709" s="8"/>
    </row>
    <row r="1710" spans="1:26" ht="13.2">
      <c r="A1710" s="13">
        <v>44250.346458333333</v>
      </c>
      <c r="B1710" s="6" t="str">
        <f>HYPERLINK("https://twitter.com/OpenPosition_ML","@OpenPosition_ML")</f>
        <v>@OpenPosition_ML</v>
      </c>
      <c r="C1710" s="14" t="s">
        <v>6999</v>
      </c>
      <c r="D1710" s="14" t="s">
        <v>7000</v>
      </c>
      <c r="E1710" s="6" t="str">
        <f>HYPERLINK("https://twitter.com/OpenPosition_ML/status/1364112483963662336","1364112483963662336")</f>
        <v>1364112483963662336</v>
      </c>
      <c r="F1710" s="7" t="s">
        <v>7001</v>
      </c>
      <c r="G1710" s="7" t="s">
        <v>7002</v>
      </c>
      <c r="H1710" s="8"/>
      <c r="I1710" s="14">
        <v>2</v>
      </c>
      <c r="J1710" s="14">
        <v>3</v>
      </c>
      <c r="K1710" s="6" t="str">
        <f>HYPERLINK("http://twitter.com/download/android","Twitter for Android")</f>
        <v>Twitter for Android</v>
      </c>
      <c r="L1710" s="15">
        <v>911</v>
      </c>
      <c r="M1710" s="15">
        <v>0</v>
      </c>
      <c r="N1710" s="15">
        <v>5</v>
      </c>
      <c r="O1710" s="9"/>
      <c r="P1710" s="10">
        <v>44056.789733796293</v>
      </c>
      <c r="Q1710" s="14" t="s">
        <v>7003</v>
      </c>
      <c r="R1710" s="14" t="s">
        <v>7004</v>
      </c>
      <c r="S1710" s="8"/>
      <c r="T1710" s="8"/>
      <c r="U1710" s="11" t="str">
        <f>HYPERLINK("https://pbs.twimg.com/profile_images/1294291905337933824/mhF7QLrW.jpg","View")</f>
        <v>View</v>
      </c>
      <c r="V1710" s="8"/>
      <c r="W1710" s="8"/>
      <c r="X1710" s="8"/>
      <c r="Y1710" s="8"/>
      <c r="Z1710" s="8"/>
    </row>
    <row r="1711" spans="1:26" ht="13.2">
      <c r="A1711" s="13">
        <v>44250.346157407403</v>
      </c>
      <c r="B1711" s="6" t="str">
        <f>HYPERLINK("https://twitter.com/machinelearnflx","@machinelearnflx")</f>
        <v>@machinelearnflx</v>
      </c>
      <c r="C1711" s="14" t="s">
        <v>279</v>
      </c>
      <c r="D1711" s="14" t="s">
        <v>7005</v>
      </c>
      <c r="E1711" s="6" t="str">
        <f>HYPERLINK("https://twitter.com/machinelearnflx/status/1364112374668607489","1364112374668607489")</f>
        <v>1364112374668607489</v>
      </c>
      <c r="F1711" s="7" t="s">
        <v>7006</v>
      </c>
      <c r="G1711" s="8"/>
      <c r="H1711" s="8"/>
      <c r="I1711" s="14">
        <v>7</v>
      </c>
      <c r="J1711" s="14">
        <v>10</v>
      </c>
      <c r="K1711" s="6" t="str">
        <f>HYPERLINK("https://twitter.com/pythonbot_","Postmatico")</f>
        <v>Postmatico</v>
      </c>
      <c r="L1711" s="15">
        <v>90451</v>
      </c>
      <c r="M1711" s="15">
        <v>35464</v>
      </c>
      <c r="N1711" s="15">
        <v>2228</v>
      </c>
      <c r="O1711" s="9"/>
      <c r="P1711" s="10">
        <v>42386.538865740746</v>
      </c>
      <c r="Q1711" s="8"/>
      <c r="R1711" s="14" t="s">
        <v>282</v>
      </c>
      <c r="S1711" s="7" t="s">
        <v>283</v>
      </c>
      <c r="T1711" s="8"/>
      <c r="U1711" s="11" t="str">
        <f>HYPERLINK("https://pbs.twimg.com/profile_images/688735459892195329/v8sHaWSG.jpg","View")</f>
        <v>View</v>
      </c>
      <c r="V1711" s="8"/>
      <c r="W1711" s="8"/>
      <c r="X1711" s="8"/>
      <c r="Y1711" s="8"/>
      <c r="Z1711" s="8"/>
    </row>
    <row r="1712" spans="1:26" ht="13.2">
      <c r="A1712" s="13">
        <v>44250.345972222218</v>
      </c>
      <c r="B1712" s="6" t="str">
        <f>HYPERLINK("https://twitter.com/iamBrianGraham","@iamBrianGraham")</f>
        <v>@iamBrianGraham</v>
      </c>
      <c r="C1712" s="14" t="s">
        <v>4259</v>
      </c>
      <c r="D1712" s="14" t="s">
        <v>7007</v>
      </c>
      <c r="E1712" s="6" t="str">
        <f>HYPERLINK("https://twitter.com/iamBrianGraham/status/1364112304426659841","1364112304426659841")</f>
        <v>1364112304426659841</v>
      </c>
      <c r="F1712" s="8"/>
      <c r="G1712" s="7" t="s">
        <v>7008</v>
      </c>
      <c r="H1712" s="8"/>
      <c r="I1712" s="14">
        <v>29</v>
      </c>
      <c r="J1712" s="14">
        <v>18</v>
      </c>
      <c r="K1712" s="6" t="str">
        <f>HYPERLINK("https://bypeers.net","ByPeers Social CRM (1)")</f>
        <v>ByPeers Social CRM (1)</v>
      </c>
      <c r="L1712" s="15">
        <v>5759</v>
      </c>
      <c r="M1712" s="15">
        <v>4549</v>
      </c>
      <c r="N1712" s="15">
        <v>211</v>
      </c>
      <c r="O1712" s="9"/>
      <c r="P1712" s="10">
        <v>42570.927037037036</v>
      </c>
      <c r="Q1712" s="14" t="s">
        <v>4262</v>
      </c>
      <c r="R1712" s="14" t="s">
        <v>4263</v>
      </c>
      <c r="S1712" s="7" t="s">
        <v>4264</v>
      </c>
      <c r="T1712" s="8"/>
      <c r="U1712" s="11" t="str">
        <f>HYPERLINK("https://pbs.twimg.com/profile_images/1099684609703510017/zcsjRYt2.png","View")</f>
        <v>View</v>
      </c>
      <c r="V1712" s="8"/>
      <c r="W1712" s="8"/>
      <c r="X1712" s="8"/>
      <c r="Y1712" s="8"/>
      <c r="Z1712" s="8"/>
    </row>
    <row r="1713" spans="1:26" ht="13.2">
      <c r="A1713" s="13">
        <v>44250.345636574071</v>
      </c>
      <c r="B1713" s="6" t="str">
        <f>HYPERLINK("https://twitter.com/FlySpaceships","@FlySpaceships")</f>
        <v>@FlySpaceships</v>
      </c>
      <c r="C1713" s="14" t="s">
        <v>7009</v>
      </c>
      <c r="D1713" s="14" t="s">
        <v>7010</v>
      </c>
      <c r="E1713" s="6" t="str">
        <f>HYPERLINK("https://twitter.com/FlySpaceships/status/1364112183307698178","1364112183307698178")</f>
        <v>1364112183307698178</v>
      </c>
      <c r="F1713" s="8"/>
      <c r="G1713" s="8"/>
      <c r="H1713" s="8"/>
      <c r="I1713" s="14">
        <v>24</v>
      </c>
      <c r="J1713" s="14">
        <v>12</v>
      </c>
      <c r="K1713" s="6" t="str">
        <f>HYPERLINK("https://mobile.twitter.com","Twitter Web App")</f>
        <v>Twitter Web App</v>
      </c>
      <c r="L1713" s="15">
        <v>531</v>
      </c>
      <c r="M1713" s="15">
        <v>2051</v>
      </c>
      <c r="N1713" s="15">
        <v>5</v>
      </c>
      <c r="O1713" s="9"/>
      <c r="P1713" s="10">
        <v>44104.781550925924</v>
      </c>
      <c r="Q1713" s="8"/>
      <c r="R1713" s="14" t="s">
        <v>7011</v>
      </c>
      <c r="S1713" s="7" t="s">
        <v>7012</v>
      </c>
      <c r="T1713" s="8"/>
      <c r="U1713" s="11" t="str">
        <f>HYPERLINK("https://pbs.twimg.com/profile_images/1311346523775655938/JWuLsDb-.jpg","View")</f>
        <v>View</v>
      </c>
      <c r="V1713" s="8"/>
      <c r="W1713" s="8"/>
      <c r="X1713" s="8"/>
      <c r="Y1713" s="8"/>
      <c r="Z1713" s="8"/>
    </row>
    <row r="1714" spans="1:26" ht="13.2">
      <c r="A1714" s="13">
        <v>44250.345347222217</v>
      </c>
      <c r="B1714" s="6" t="str">
        <f>HYPERLINK("https://twitter.com/BrankoBoro","@BrankoBoro")</f>
        <v>@BrankoBoro</v>
      </c>
      <c r="C1714" s="14" t="s">
        <v>3146</v>
      </c>
      <c r="D1714" s="14" t="s">
        <v>1726</v>
      </c>
      <c r="E1714" s="6" t="str">
        <f>HYPERLINK("https://twitter.com/BrankoBoro/status/1364112080798949378","1364112080798949378")</f>
        <v>1364112080798949378</v>
      </c>
      <c r="F1714" s="14" t="s">
        <v>1313</v>
      </c>
      <c r="G1714" s="8"/>
      <c r="H1714" s="8"/>
      <c r="I1714" s="14">
        <v>0</v>
      </c>
      <c r="J1714" s="14">
        <v>1</v>
      </c>
      <c r="K1714" s="6" t="str">
        <f>HYPERLINK("http://twinybots.com","TwinyBots")</f>
        <v>TwinyBots</v>
      </c>
      <c r="L1714" s="15">
        <v>1564</v>
      </c>
      <c r="M1714" s="15">
        <v>1414</v>
      </c>
      <c r="N1714" s="15">
        <v>16</v>
      </c>
      <c r="O1714" s="9"/>
      <c r="P1714" s="10">
        <v>41758.65792824074</v>
      </c>
      <c r="Q1714" s="14" t="s">
        <v>3149</v>
      </c>
      <c r="R1714" s="14" t="s">
        <v>3150</v>
      </c>
      <c r="S1714" s="7" t="s">
        <v>3151</v>
      </c>
      <c r="T1714" s="8"/>
      <c r="U1714" s="11" t="str">
        <f>HYPERLINK("https://pbs.twimg.com/profile_images/1137048121459060739/c9tNcG8J.png","View")</f>
        <v>View</v>
      </c>
      <c r="V1714" s="8"/>
      <c r="W1714" s="8"/>
      <c r="X1714" s="8"/>
      <c r="Y1714" s="8"/>
      <c r="Z1714" s="8"/>
    </row>
    <row r="1715" spans="1:26" ht="13.2">
      <c r="A1715" s="13">
        <v>44250.345150462963</v>
      </c>
      <c r="B1715" s="6" t="str">
        <f>HYPERLINK("https://twitter.com/neptune_ai","@neptune_ai")</f>
        <v>@neptune_ai</v>
      </c>
      <c r="C1715" s="7" t="s">
        <v>7013</v>
      </c>
      <c r="D1715" s="14" t="s">
        <v>7014</v>
      </c>
      <c r="E1715" s="6" t="str">
        <f>HYPERLINK("https://twitter.com/neptune_ai/status/1364112006626893824","1364112006626893824")</f>
        <v>1364112006626893824</v>
      </c>
      <c r="F1715" s="7" t="s">
        <v>7015</v>
      </c>
      <c r="G1715" s="8"/>
      <c r="H1715" s="8"/>
      <c r="I1715" s="14">
        <v>0</v>
      </c>
      <c r="J1715" s="14">
        <v>3</v>
      </c>
      <c r="K1715" s="6" t="str">
        <f>HYPERLINK("https://buffer.com","Buffer")</f>
        <v>Buffer</v>
      </c>
      <c r="L1715" s="15">
        <v>3418</v>
      </c>
      <c r="M1715" s="15">
        <v>956</v>
      </c>
      <c r="N1715" s="15">
        <v>50</v>
      </c>
      <c r="O1715" s="9"/>
      <c r="P1715" s="10">
        <v>43104.489525462966</v>
      </c>
      <c r="Q1715" s="14" t="s">
        <v>7016</v>
      </c>
      <c r="R1715" s="14" t="s">
        <v>7017</v>
      </c>
      <c r="S1715" s="7" t="s">
        <v>7018</v>
      </c>
      <c r="T1715" s="8"/>
      <c r="U1715" s="11" t="str">
        <f>HYPERLINK("https://pbs.twimg.com/profile_images/1217735455048978432/DP4I44q0.png","View")</f>
        <v>View</v>
      </c>
      <c r="V1715" s="8"/>
      <c r="W1715" s="8"/>
      <c r="X1715" s="8"/>
      <c r="Y1715" s="8"/>
      <c r="Z1715" s="8"/>
    </row>
    <row r="1716" spans="1:26" ht="13.2">
      <c r="A1716" s="13">
        <v>44250.344710648147</v>
      </c>
      <c r="B1716" s="6" t="str">
        <f>HYPERLINK("https://twitter.com/dataisgoodcom","@dataisgoodcom")</f>
        <v>@dataisgoodcom</v>
      </c>
      <c r="C1716" s="14" t="s">
        <v>3708</v>
      </c>
      <c r="D1716" s="14" t="s">
        <v>7019</v>
      </c>
      <c r="E1716" s="6" t="str">
        <f>HYPERLINK("https://twitter.com/dataisgoodcom/status/1364111847218024449","1364111847218024449")</f>
        <v>1364111847218024449</v>
      </c>
      <c r="F1716" s="8"/>
      <c r="G1716" s="7" t="s">
        <v>7020</v>
      </c>
      <c r="H1716" s="8"/>
      <c r="I1716" s="14">
        <v>6</v>
      </c>
      <c r="J1716" s="14">
        <v>2</v>
      </c>
      <c r="K1716" s="6" t="str">
        <f>HYPERLINK("https://mobile.twitter.com","Twitter Web App")</f>
        <v>Twitter Web App</v>
      </c>
      <c r="L1716" s="15">
        <v>45</v>
      </c>
      <c r="M1716" s="15">
        <v>0</v>
      </c>
      <c r="N1716" s="15">
        <v>1</v>
      </c>
      <c r="O1716" s="9"/>
      <c r="P1716" s="10">
        <v>40305.833877314813</v>
      </c>
      <c r="Q1716" s="14" t="s">
        <v>3711</v>
      </c>
      <c r="R1716" s="14" t="s">
        <v>3712</v>
      </c>
      <c r="S1716" s="7" t="s">
        <v>3713</v>
      </c>
      <c r="T1716" s="8"/>
      <c r="U1716" s="11" t="str">
        <f>HYPERLINK("https://pbs.twimg.com/profile_images/1260131355679240192/hZqsqkiU.jpg","View")</f>
        <v>View</v>
      </c>
      <c r="V1716" s="8"/>
      <c r="W1716" s="8"/>
      <c r="X1716" s="8"/>
      <c r="Y1716" s="8"/>
      <c r="Z1716" s="8"/>
    </row>
    <row r="1717" spans="1:26" ht="13.2">
      <c r="A1717" s="13">
        <v>44250.344444444447</v>
      </c>
      <c r="B1717" s="6" t="str">
        <f>HYPERLINK("https://twitter.com/AmitChampaneri1","@AmitChampaneri1")</f>
        <v>@AmitChampaneri1</v>
      </c>
      <c r="C1717" s="14" t="s">
        <v>7021</v>
      </c>
      <c r="D1717" s="14" t="s">
        <v>7022</v>
      </c>
      <c r="E1717" s="6" t="str">
        <f>HYPERLINK("https://twitter.com/AmitChampaneri1/status/1364111752246554634","1364111752246554634")</f>
        <v>1364111752246554634</v>
      </c>
      <c r="F1717" s="7" t="s">
        <v>7023</v>
      </c>
      <c r="G1717" s="7" t="s">
        <v>7024</v>
      </c>
      <c r="H1717" s="8"/>
      <c r="I1717" s="14">
        <v>21</v>
      </c>
      <c r="J1717" s="14">
        <v>7</v>
      </c>
      <c r="K1717" s="6" t="str">
        <f>HYPERLINK("http://twitter.com/download/iphone","Twitter for iPhone")</f>
        <v>Twitter for iPhone</v>
      </c>
      <c r="L1717" s="15">
        <v>6176</v>
      </c>
      <c r="M1717" s="15">
        <v>6101</v>
      </c>
      <c r="N1717" s="15">
        <v>234</v>
      </c>
      <c r="O1717" s="9"/>
      <c r="P1717" s="10">
        <v>40692.708912037036</v>
      </c>
      <c r="Q1717" s="14" t="s">
        <v>7025</v>
      </c>
      <c r="R1717" s="14" t="s">
        <v>7026</v>
      </c>
      <c r="S1717" s="7" t="s">
        <v>7027</v>
      </c>
      <c r="T1717" s="8"/>
      <c r="U1717" s="11" t="str">
        <f>HYPERLINK("https://pbs.twimg.com/profile_images/1278217848742182913/O_FNUK-v.jpg","View")</f>
        <v>View</v>
      </c>
      <c r="V1717" s="8"/>
      <c r="W1717" s="8"/>
      <c r="X1717" s="8"/>
      <c r="Y1717" s="8"/>
      <c r="Z1717" s="8"/>
    </row>
    <row r="1718" spans="1:26" ht="13.2">
      <c r="A1718" s="13">
        <v>44250.344328703708</v>
      </c>
      <c r="B1718" s="6" t="str">
        <f>HYPERLINK("https://twitter.com/Adrowitzer","@Adrowitzer")</f>
        <v>@Adrowitzer</v>
      </c>
      <c r="C1718" s="14" t="s">
        <v>7028</v>
      </c>
      <c r="D1718" s="14" t="s">
        <v>7029</v>
      </c>
      <c r="E1718" s="6" t="str">
        <f>HYPERLINK("https://twitter.com/Adrowitzer/status/1364111712430010375","1364111712430010375")</f>
        <v>1364111712430010375</v>
      </c>
      <c r="F1718" s="7" t="s">
        <v>7030</v>
      </c>
      <c r="G1718" s="8"/>
      <c r="H1718" s="8"/>
      <c r="I1718" s="14">
        <v>2</v>
      </c>
      <c r="J1718" s="14">
        <v>5</v>
      </c>
      <c r="K1718" s="6" t="str">
        <f t="shared" ref="K1718:K1719" si="324">HYPERLINK("https://mobile.twitter.com","Twitter Web App")</f>
        <v>Twitter Web App</v>
      </c>
      <c r="L1718" s="15">
        <v>1398</v>
      </c>
      <c r="M1718" s="15">
        <v>4014</v>
      </c>
      <c r="N1718" s="15">
        <v>30</v>
      </c>
      <c r="O1718" s="9"/>
      <c r="P1718" s="10">
        <v>41715.699988425928</v>
      </c>
      <c r="Q1718" s="14" t="s">
        <v>1104</v>
      </c>
      <c r="R1718" s="14" t="s">
        <v>7031</v>
      </c>
      <c r="S1718" s="7" t="s">
        <v>7032</v>
      </c>
      <c r="T1718" s="8"/>
      <c r="U1718" s="11" t="str">
        <f>HYPERLINK("https://pbs.twimg.com/profile_images/458618503033925633/27ChhgwI.jpeg","View")</f>
        <v>View</v>
      </c>
      <c r="V1718" s="8"/>
      <c r="W1718" s="8"/>
      <c r="X1718" s="8"/>
      <c r="Y1718" s="8"/>
      <c r="Z1718" s="8"/>
    </row>
    <row r="1719" spans="1:26" ht="13.2">
      <c r="A1719" s="13">
        <v>44250.344282407408</v>
      </c>
      <c r="B1719" s="6" t="str">
        <f>HYPERLINK("https://twitter.com/Sirlupinwatson","@Sirlupinwatson")</f>
        <v>@Sirlupinwatson</v>
      </c>
      <c r="C1719" s="14" t="s">
        <v>7033</v>
      </c>
      <c r="D1719" s="14" t="s">
        <v>7034</v>
      </c>
      <c r="E1719" s="6" t="str">
        <f>HYPERLINK("https://twitter.com/Sirlupinwatson/status/1364111693090070534","1364111693090070534")</f>
        <v>1364111693090070534</v>
      </c>
      <c r="F1719" s="7" t="s">
        <v>6662</v>
      </c>
      <c r="G1719" s="7" t="s">
        <v>7035</v>
      </c>
      <c r="H1719" s="8"/>
      <c r="I1719" s="14">
        <v>38</v>
      </c>
      <c r="J1719" s="14">
        <v>19</v>
      </c>
      <c r="K1719" s="6" t="str">
        <f t="shared" si="324"/>
        <v>Twitter Web App</v>
      </c>
      <c r="L1719" s="15">
        <v>1449</v>
      </c>
      <c r="M1719" s="15">
        <v>4070</v>
      </c>
      <c r="N1719" s="15">
        <v>7</v>
      </c>
      <c r="O1719" s="9"/>
      <c r="P1719" s="10">
        <v>42651.939120370371</v>
      </c>
      <c r="Q1719" s="14" t="s">
        <v>2649</v>
      </c>
      <c r="R1719" s="14" t="s">
        <v>7036</v>
      </c>
      <c r="S1719" s="7" t="s">
        <v>7037</v>
      </c>
      <c r="T1719" s="8"/>
      <c r="U1719" s="11" t="str">
        <f>HYPERLINK("https://pbs.twimg.com/profile_images/1310177334708887552/9Q1XMJW2.jpg","View")</f>
        <v>View</v>
      </c>
      <c r="V1719" s="8"/>
      <c r="W1719" s="8"/>
      <c r="X1719" s="8"/>
      <c r="Y1719" s="8"/>
      <c r="Z1719" s="8"/>
    </row>
    <row r="1720" spans="1:26" ht="13.2">
      <c r="A1720" s="13">
        <v>44250.343969907408</v>
      </c>
      <c r="B1720" s="6" t="str">
        <f>HYPERLINK("https://twitter.com/ComendadorMBF","@ComendadorMBF")</f>
        <v>@ComendadorMBF</v>
      </c>
      <c r="C1720" s="14" t="s">
        <v>7038</v>
      </c>
      <c r="D1720" s="14" t="s">
        <v>7039</v>
      </c>
      <c r="E1720" s="6" t="str">
        <f>HYPERLINK("https://twitter.com/ComendadorMBF/status/1364111580271673345","1364111580271673345")</f>
        <v>1364111580271673345</v>
      </c>
      <c r="F1720" s="7" t="s">
        <v>7040</v>
      </c>
      <c r="G1720" s="7" t="s">
        <v>7041</v>
      </c>
      <c r="H1720" s="8"/>
      <c r="I1720" s="14">
        <v>8</v>
      </c>
      <c r="J1720" s="14">
        <v>1</v>
      </c>
      <c r="K1720" s="6" t="str">
        <f>HYPERLINK("http://twitter.com/download/iphone","Twitter for iPhone")</f>
        <v>Twitter for iPhone</v>
      </c>
      <c r="L1720" s="15">
        <v>4465</v>
      </c>
      <c r="M1720" s="15">
        <v>3273</v>
      </c>
      <c r="N1720" s="15">
        <v>209</v>
      </c>
      <c r="O1720" s="9"/>
      <c r="P1720" s="10">
        <v>41846.054224537038</v>
      </c>
      <c r="Q1720" s="14" t="s">
        <v>7042</v>
      </c>
      <c r="R1720" s="14" t="s">
        <v>7043</v>
      </c>
      <c r="S1720" s="8"/>
      <c r="T1720" s="8"/>
      <c r="U1720" s="11" t="str">
        <f>HYPERLINK("https://pbs.twimg.com/profile_images/1353014986751307781/JL4eKD71.jpg","View")</f>
        <v>View</v>
      </c>
      <c r="V1720" s="8"/>
      <c r="W1720" s="8"/>
      <c r="X1720" s="8"/>
      <c r="Y1720" s="8"/>
      <c r="Z1720" s="8"/>
    </row>
    <row r="1721" spans="1:26" ht="13.2">
      <c r="A1721" s="13">
        <v>44250.343819444446</v>
      </c>
      <c r="B1721" s="6" t="str">
        <f>HYPERLINK("https://twitter.com/FlySpaceships","@FlySpaceships")</f>
        <v>@FlySpaceships</v>
      </c>
      <c r="C1721" s="14" t="s">
        <v>7009</v>
      </c>
      <c r="D1721" s="14" t="s">
        <v>7044</v>
      </c>
      <c r="E1721" s="6" t="str">
        <f>HYPERLINK("https://twitter.com/FlySpaceships/status/1364111525141700610","1364111525141700610")</f>
        <v>1364111525141700610</v>
      </c>
      <c r="F1721" s="7" t="s">
        <v>7045</v>
      </c>
      <c r="G1721" s="7" t="s">
        <v>7046</v>
      </c>
      <c r="H1721" s="8"/>
      <c r="I1721" s="14">
        <v>37</v>
      </c>
      <c r="J1721" s="14">
        <v>13</v>
      </c>
      <c r="K1721" s="6" t="str">
        <f>HYPERLINK("https://mobile.twitter.com","Twitter Web App")</f>
        <v>Twitter Web App</v>
      </c>
      <c r="L1721" s="15">
        <v>531</v>
      </c>
      <c r="M1721" s="15">
        <v>2051</v>
      </c>
      <c r="N1721" s="15">
        <v>5</v>
      </c>
      <c r="O1721" s="9"/>
      <c r="P1721" s="10">
        <v>44104.781550925924</v>
      </c>
      <c r="Q1721" s="8"/>
      <c r="R1721" s="14" t="s">
        <v>7011</v>
      </c>
      <c r="S1721" s="7" t="s">
        <v>7012</v>
      </c>
      <c r="T1721" s="8"/>
      <c r="U1721" s="11" t="str">
        <f>HYPERLINK("https://pbs.twimg.com/profile_images/1311346523775655938/JWuLsDb-.jpg","View")</f>
        <v>View</v>
      </c>
      <c r="V1721" s="8"/>
      <c r="W1721" s="8"/>
      <c r="X1721" s="8"/>
      <c r="Y1721" s="8"/>
      <c r="Z1721" s="8"/>
    </row>
    <row r="1722" spans="1:26" ht="13.2">
      <c r="A1722" s="13">
        <v>44250.343136574069</v>
      </c>
      <c r="B1722" s="6" t="str">
        <f>HYPERLINK("https://twitter.com/AmitChampaneri1","@AmitChampaneri1")</f>
        <v>@AmitChampaneri1</v>
      </c>
      <c r="C1722" s="14" t="s">
        <v>7021</v>
      </c>
      <c r="D1722" s="14" t="s">
        <v>7047</v>
      </c>
      <c r="E1722" s="6" t="str">
        <f>HYPERLINK("https://twitter.com/AmitChampaneri1/status/1364111277891719170","1364111277891719170")</f>
        <v>1364111277891719170</v>
      </c>
      <c r="F1722" s="7" t="s">
        <v>7048</v>
      </c>
      <c r="G1722" s="7" t="s">
        <v>7049</v>
      </c>
      <c r="H1722" s="8"/>
      <c r="I1722" s="14">
        <v>2</v>
      </c>
      <c r="J1722" s="14">
        <v>4</v>
      </c>
      <c r="K1722" s="6" t="str">
        <f>HYPERLINK("http://twitter.com/download/iphone","Twitter for iPhone")</f>
        <v>Twitter for iPhone</v>
      </c>
      <c r="L1722" s="15">
        <v>6176</v>
      </c>
      <c r="M1722" s="15">
        <v>6101</v>
      </c>
      <c r="N1722" s="15">
        <v>234</v>
      </c>
      <c r="O1722" s="9"/>
      <c r="P1722" s="10">
        <v>40692.708912037036</v>
      </c>
      <c r="Q1722" s="14" t="s">
        <v>7025</v>
      </c>
      <c r="R1722" s="14" t="s">
        <v>7026</v>
      </c>
      <c r="S1722" s="7" t="s">
        <v>7027</v>
      </c>
      <c r="T1722" s="8"/>
      <c r="U1722" s="11" t="str">
        <f>HYPERLINK("https://pbs.twimg.com/profile_images/1278217848742182913/O_FNUK-v.jpg","View")</f>
        <v>View</v>
      </c>
      <c r="V1722" s="8"/>
      <c r="W1722" s="8"/>
      <c r="X1722" s="8"/>
      <c r="Y1722" s="8"/>
      <c r="Z1722" s="8"/>
    </row>
    <row r="1723" spans="1:26" ht="13.2">
      <c r="A1723" s="13">
        <v>44250.34211805556</v>
      </c>
      <c r="B1723" s="6" t="str">
        <f>HYPERLINK("https://twitter.com/SantrainePhil","@SantrainePhil")</f>
        <v>@SantrainePhil</v>
      </c>
      <c r="C1723" s="14" t="s">
        <v>7050</v>
      </c>
      <c r="D1723" s="14" t="s">
        <v>7051</v>
      </c>
      <c r="E1723" s="6" t="str">
        <f>HYPERLINK("https://twitter.com/SantrainePhil/status/1364110910059667457","1364110910059667457")</f>
        <v>1364110910059667457</v>
      </c>
      <c r="F1723" s="7" t="s">
        <v>7052</v>
      </c>
      <c r="G1723" s="8"/>
      <c r="H1723" s="8"/>
      <c r="I1723" s="14">
        <v>0</v>
      </c>
      <c r="J1723" s="14">
        <v>0</v>
      </c>
      <c r="K1723" s="6" t="str">
        <f>HYPERLINK("https://mobile.twitter.com","Twitter Web App")</f>
        <v>Twitter Web App</v>
      </c>
      <c r="L1723" s="15">
        <v>374</v>
      </c>
      <c r="M1723" s="15">
        <v>426</v>
      </c>
      <c r="N1723" s="15">
        <v>33</v>
      </c>
      <c r="O1723" s="9"/>
      <c r="P1723" s="10">
        <v>42742.597650462965</v>
      </c>
      <c r="Q1723" s="14" t="s">
        <v>7053</v>
      </c>
      <c r="R1723" s="14" t="s">
        <v>7054</v>
      </c>
      <c r="S1723" s="7" t="s">
        <v>7055</v>
      </c>
      <c r="T1723" s="8"/>
      <c r="U1723" s="11" t="str">
        <f>HYPERLINK("https://pbs.twimg.com/profile_images/1352253706050416643/cvbQiq9x.jpg","View")</f>
        <v>View</v>
      </c>
      <c r="V1723" s="8"/>
      <c r="W1723" s="8"/>
      <c r="X1723" s="8"/>
      <c r="Y1723" s="8"/>
      <c r="Z1723" s="8"/>
    </row>
    <row r="1724" spans="1:26" ht="13.2">
      <c r="A1724" s="13">
        <v>44250.341932870375</v>
      </c>
      <c r="B1724" s="6" t="str">
        <f>HYPERLINK("https://twitter.com/jblefevre60","@jblefevre60")</f>
        <v>@jblefevre60</v>
      </c>
      <c r="C1724" s="14" t="s">
        <v>464</v>
      </c>
      <c r="D1724" s="14" t="s">
        <v>7056</v>
      </c>
      <c r="E1724" s="6" t="str">
        <f>HYPERLINK("https://twitter.com/jblefevre60/status/1364110843869282304","1364110843869282304")</f>
        <v>1364110843869282304</v>
      </c>
      <c r="F1724" s="8"/>
      <c r="G1724" s="7" t="s">
        <v>7057</v>
      </c>
      <c r="H1724" s="8"/>
      <c r="I1724" s="14">
        <v>40</v>
      </c>
      <c r="J1724" s="14">
        <v>40</v>
      </c>
      <c r="K1724" s="6" t="str">
        <f>HYPERLINK("http://twitter.com/download/android","Twitter for Android")</f>
        <v>Twitter for Android</v>
      </c>
      <c r="L1724" s="15">
        <v>80848</v>
      </c>
      <c r="M1724" s="15">
        <v>5582</v>
      </c>
      <c r="N1724" s="15">
        <v>5070</v>
      </c>
      <c r="O1724" s="9"/>
      <c r="P1724" s="10">
        <v>42342.801134259258</v>
      </c>
      <c r="Q1724" s="14" t="s">
        <v>106</v>
      </c>
      <c r="R1724" s="14" t="s">
        <v>467</v>
      </c>
      <c r="S1724" s="7" t="s">
        <v>468</v>
      </c>
      <c r="T1724" s="8"/>
      <c r="U1724" s="11" t="str">
        <f>HYPERLINK("https://pbs.twimg.com/profile_images/915247803248599040/GsF3avSn.jpg","View")</f>
        <v>View</v>
      </c>
      <c r="V1724" s="8"/>
      <c r="W1724" s="8"/>
      <c r="X1724" s="8"/>
      <c r="Y1724" s="8"/>
      <c r="Z1724" s="8"/>
    </row>
    <row r="1725" spans="1:26" ht="13.2">
      <c r="A1725" s="13">
        <v>44250.34174768519</v>
      </c>
      <c r="B1725" s="6" t="str">
        <f>HYPERLINK("https://twitter.com/SureshRukman","@SureshRukman")</f>
        <v>@SureshRukman</v>
      </c>
      <c r="C1725" s="14" t="s">
        <v>3313</v>
      </c>
      <c r="D1725" s="14" t="s">
        <v>6633</v>
      </c>
      <c r="E1725" s="6" t="str">
        <f>HYPERLINK("https://twitter.com/SureshRukman/status/1364110775917363202","1364110775917363202")</f>
        <v>1364110775917363202</v>
      </c>
      <c r="F1725" s="14" t="s">
        <v>1313</v>
      </c>
      <c r="G1725" s="8"/>
      <c r="H1725" s="8"/>
      <c r="I1725" s="14">
        <v>1</v>
      </c>
      <c r="J1725" s="14">
        <v>3</v>
      </c>
      <c r="K1725" s="6" t="str">
        <f>HYPERLINK("http://twinybots.com","TwinyBots")</f>
        <v>TwinyBots</v>
      </c>
      <c r="L1725" s="15">
        <v>2176</v>
      </c>
      <c r="M1725" s="15">
        <v>2281</v>
      </c>
      <c r="N1725" s="15">
        <v>293</v>
      </c>
      <c r="O1725" s="9"/>
      <c r="P1725" s="10">
        <v>41359.54041666667</v>
      </c>
      <c r="Q1725" s="14" t="s">
        <v>2551</v>
      </c>
      <c r="R1725" s="14" t="s">
        <v>3314</v>
      </c>
      <c r="S1725" s="7" t="s">
        <v>2553</v>
      </c>
      <c r="T1725" s="8"/>
      <c r="U1725" s="11" t="str">
        <f>HYPERLINK("https://pbs.twimg.com/profile_images/1038762339368087554/JICJ5viP.jpg","View")</f>
        <v>View</v>
      </c>
      <c r="V1725" s="8"/>
      <c r="W1725" s="8"/>
      <c r="X1725" s="8"/>
      <c r="Y1725" s="8"/>
      <c r="Z1725" s="8"/>
    </row>
    <row r="1726" spans="1:26" ht="13.2">
      <c r="A1726" s="13">
        <v>44250.339374999996</v>
      </c>
      <c r="B1726" s="6" t="str">
        <f>HYPERLINK("https://twitter.com/asterisminfosof","@asterisminfosof")</f>
        <v>@asterisminfosof</v>
      </c>
      <c r="C1726" s="14" t="s">
        <v>4541</v>
      </c>
      <c r="D1726" s="14" t="s">
        <v>7058</v>
      </c>
      <c r="E1726" s="6" t="str">
        <f>HYPERLINK("https://twitter.com/asterisminfosof/status/1364109913903927297","1364109913903927297")</f>
        <v>1364109913903927297</v>
      </c>
      <c r="F1726" s="8"/>
      <c r="G1726" s="7" t="s">
        <v>7059</v>
      </c>
      <c r="H1726" s="8"/>
      <c r="I1726" s="14">
        <v>14</v>
      </c>
      <c r="J1726" s="14">
        <v>7</v>
      </c>
      <c r="K1726" s="6" t="str">
        <f>HYPERLINK("http://twitter.com/download/android","Twitter for Android")</f>
        <v>Twitter for Android</v>
      </c>
      <c r="L1726" s="15">
        <v>153</v>
      </c>
      <c r="M1726" s="15">
        <v>758</v>
      </c>
      <c r="N1726" s="15">
        <v>1</v>
      </c>
      <c r="O1726" s="9"/>
      <c r="P1726" s="10">
        <v>43235.859178240746</v>
      </c>
      <c r="Q1726" s="14" t="s">
        <v>364</v>
      </c>
      <c r="R1726" s="14" t="s">
        <v>4544</v>
      </c>
      <c r="S1726" s="7" t="s">
        <v>4545</v>
      </c>
      <c r="T1726" s="8"/>
      <c r="U1726" s="11" t="str">
        <f>HYPERLINK("https://pbs.twimg.com/profile_images/999386355133108224/PUVwa5kU.jpg","View")</f>
        <v>View</v>
      </c>
      <c r="V1726" s="8"/>
      <c r="W1726" s="8"/>
      <c r="X1726" s="8"/>
      <c r="Y1726" s="8"/>
      <c r="Z1726" s="8"/>
    </row>
    <row r="1727" spans="1:26" ht="13.2">
      <c r="A1727" s="13">
        <v>44250.339178240742</v>
      </c>
      <c r="B1727" s="6" t="str">
        <f>HYPERLINK("https://twitter.com/DioquinoRabbin","@DioquinoRabbin")</f>
        <v>@DioquinoRabbin</v>
      </c>
      <c r="C1727" s="14" t="s">
        <v>7060</v>
      </c>
      <c r="D1727" s="14" t="s">
        <v>5070</v>
      </c>
      <c r="E1727" s="6" t="str">
        <f>HYPERLINK("https://twitter.com/DioquinoRabbin/status/1364109844551147522","1364109844551147522")</f>
        <v>1364109844551147522</v>
      </c>
      <c r="F1727" s="7" t="s">
        <v>7061</v>
      </c>
      <c r="G1727" s="7" t="s">
        <v>7062</v>
      </c>
      <c r="H1727" s="8"/>
      <c r="I1727" s="14">
        <v>1</v>
      </c>
      <c r="J1727" s="14">
        <v>1</v>
      </c>
      <c r="K1727" s="6" t="str">
        <f>HYPERLINK("http://dynamicsignal.com/","Dynamic Signal")</f>
        <v>Dynamic Signal</v>
      </c>
      <c r="L1727" s="15">
        <v>107</v>
      </c>
      <c r="M1727" s="15">
        <v>224</v>
      </c>
      <c r="N1727" s="15">
        <v>1</v>
      </c>
      <c r="O1727" s="9"/>
      <c r="P1727" s="10">
        <v>43720.721736111111</v>
      </c>
      <c r="Q1727" s="14" t="s">
        <v>786</v>
      </c>
      <c r="R1727" s="14" t="s">
        <v>7063</v>
      </c>
      <c r="S1727" s="8"/>
      <c r="T1727" s="8"/>
      <c r="U1727" s="11" t="str">
        <f>HYPERLINK("https://pbs.twimg.com/profile_images/1276169570135552002/1jNGRF14.jpg","View")</f>
        <v>View</v>
      </c>
      <c r="V1727" s="8"/>
      <c r="W1727" s="8"/>
      <c r="X1727" s="8"/>
      <c r="Y1727" s="8"/>
      <c r="Z1727" s="8"/>
    </row>
    <row r="1728" spans="1:26" ht="13.2">
      <c r="A1728" s="13">
        <v>44250.338958333334</v>
      </c>
      <c r="B1728" s="6" t="str">
        <f>HYPERLINK("https://twitter.com/sajidmirza","@sajidmirza")</f>
        <v>@sajidmirza</v>
      </c>
      <c r="C1728" s="14" t="s">
        <v>200</v>
      </c>
      <c r="D1728" s="14" t="s">
        <v>6633</v>
      </c>
      <c r="E1728" s="6" t="str">
        <f>HYPERLINK("https://twitter.com/sajidmirza/status/1364109765463461889","1364109765463461889")</f>
        <v>1364109765463461889</v>
      </c>
      <c r="F1728" s="14" t="s">
        <v>1313</v>
      </c>
      <c r="G1728" s="8"/>
      <c r="H1728" s="8"/>
      <c r="I1728" s="14">
        <v>0</v>
      </c>
      <c r="J1728" s="14">
        <v>2</v>
      </c>
      <c r="K1728" s="6" t="str">
        <f t="shared" ref="K1728:K1729" si="325">HYPERLINK("http://twinybots.com","TwinyBots")</f>
        <v>TwinyBots</v>
      </c>
      <c r="L1728" s="15">
        <v>2160</v>
      </c>
      <c r="M1728" s="15">
        <v>1495</v>
      </c>
      <c r="N1728" s="15">
        <v>43</v>
      </c>
      <c r="O1728" s="9"/>
      <c r="P1728" s="10">
        <v>39986.264884259261</v>
      </c>
      <c r="Q1728" s="14" t="s">
        <v>203</v>
      </c>
      <c r="R1728" s="14" t="s">
        <v>204</v>
      </c>
      <c r="S1728" s="7" t="s">
        <v>205</v>
      </c>
      <c r="T1728" s="8"/>
      <c r="U1728" s="11" t="str">
        <f>HYPERLINK("https://pbs.twimg.com/profile_images/900709336309276672/M5XpdeQJ.jpg","View")</f>
        <v>View</v>
      </c>
      <c r="V1728" s="8"/>
      <c r="W1728" s="8"/>
      <c r="X1728" s="8"/>
      <c r="Y1728" s="8"/>
      <c r="Z1728" s="8"/>
    </row>
    <row r="1729" spans="1:26" ht="13.2">
      <c r="A1729" s="13">
        <v>44250.338958333334</v>
      </c>
      <c r="B1729" s="6" t="str">
        <f>HYPERLINK("https://twitter.com/toxictorilee","@toxictorilee")</f>
        <v>@toxictorilee</v>
      </c>
      <c r="C1729" s="14" t="s">
        <v>6733</v>
      </c>
      <c r="D1729" s="14" t="s">
        <v>7064</v>
      </c>
      <c r="E1729" s="6" t="str">
        <f>HYPERLINK("https://twitter.com/toxictorilee/status/1364109764381315072","1364109764381315072")</f>
        <v>1364109764381315072</v>
      </c>
      <c r="F1729" s="7" t="s">
        <v>7065</v>
      </c>
      <c r="G1729" s="8"/>
      <c r="H1729" s="8"/>
      <c r="I1729" s="14">
        <v>0</v>
      </c>
      <c r="J1729" s="14">
        <v>0</v>
      </c>
      <c r="K1729" s="6" t="str">
        <f t="shared" si="325"/>
        <v>TwinyBots</v>
      </c>
      <c r="L1729" s="15">
        <v>505</v>
      </c>
      <c r="M1729" s="15">
        <v>113</v>
      </c>
      <c r="N1729" s="15">
        <v>2</v>
      </c>
      <c r="O1729" s="9"/>
      <c r="P1729" s="10">
        <v>43726.072395833333</v>
      </c>
      <c r="Q1729" s="14" t="s">
        <v>322</v>
      </c>
      <c r="R1729" s="14" t="s">
        <v>6736</v>
      </c>
      <c r="S1729" s="7" t="s">
        <v>6737</v>
      </c>
      <c r="T1729" s="8"/>
      <c r="U1729" s="11" t="str">
        <f>HYPERLINK("https://pbs.twimg.com/profile_images/1174108550471323648/qbtU2nr9.jpg","View")</f>
        <v>View</v>
      </c>
      <c r="V1729" s="8"/>
      <c r="W1729" s="8"/>
      <c r="X1729" s="8"/>
      <c r="Y1729" s="8"/>
      <c r="Z1729" s="8"/>
    </row>
    <row r="1730" spans="1:26" ht="13.2">
      <c r="A1730" s="13">
        <v>44250.338900462964</v>
      </c>
      <c r="B1730" s="6" t="str">
        <f>HYPERLINK("https://twitter.com/neo4j","@neo4j")</f>
        <v>@neo4j</v>
      </c>
      <c r="C1730" s="14" t="s">
        <v>7066</v>
      </c>
      <c r="D1730" s="14" t="s">
        <v>7067</v>
      </c>
      <c r="E1730" s="6" t="str">
        <f>HYPERLINK("https://twitter.com/neo4j/status/1364109741958565888","1364109741958565888")</f>
        <v>1364109741958565888</v>
      </c>
      <c r="F1730" s="7" t="s">
        <v>7068</v>
      </c>
      <c r="G1730" s="8"/>
      <c r="H1730" s="8"/>
      <c r="I1730" s="14">
        <v>6</v>
      </c>
      <c r="J1730" s="14">
        <v>8</v>
      </c>
      <c r="K1730" s="6" t="str">
        <f>HYPERLINK("https://buffer.com","Buffer")</f>
        <v>Buffer</v>
      </c>
      <c r="L1730" s="15">
        <v>34406</v>
      </c>
      <c r="M1730" s="15">
        <v>10133</v>
      </c>
      <c r="N1730" s="15">
        <v>1447</v>
      </c>
      <c r="O1730" s="15" t="s">
        <v>130</v>
      </c>
      <c r="P1730" s="10">
        <v>39874.416145833333</v>
      </c>
      <c r="Q1730" s="14" t="s">
        <v>7069</v>
      </c>
      <c r="R1730" s="14" t="s">
        <v>7070</v>
      </c>
      <c r="S1730" s="7" t="s">
        <v>7071</v>
      </c>
      <c r="T1730" s="8"/>
      <c r="U1730" s="11" t="str">
        <f>HYPERLINK("https://pbs.twimg.com/profile_images/1183755273753767936/vSV_IPTs.jpg","View")</f>
        <v>View</v>
      </c>
      <c r="V1730" s="8"/>
      <c r="W1730" s="8"/>
      <c r="X1730" s="8"/>
      <c r="Y1730" s="8"/>
      <c r="Z1730" s="8"/>
    </row>
    <row r="1731" spans="1:26" ht="13.2">
      <c r="A1731" s="13">
        <v>44250.338055555556</v>
      </c>
      <c r="B1731" s="6" t="str">
        <f>HYPERLINK("https://twitter.com/CouponBest3","@CouponBest3")</f>
        <v>@CouponBest3</v>
      </c>
      <c r="C1731" s="14" t="s">
        <v>6871</v>
      </c>
      <c r="D1731" s="14" t="s">
        <v>7072</v>
      </c>
      <c r="E1731" s="6" t="str">
        <f>HYPERLINK("https://twitter.com/CouponBest3/status/1364109437485543425","1364109437485543425")</f>
        <v>1364109437485543425</v>
      </c>
      <c r="F1731" s="7" t="s">
        <v>7073</v>
      </c>
      <c r="G1731" s="8"/>
      <c r="H1731" s="8"/>
      <c r="I1731" s="14">
        <v>12</v>
      </c>
      <c r="J1731" s="14">
        <v>2</v>
      </c>
      <c r="K1731" s="6" t="str">
        <f>HYPERLINK("https://mobile.twitter.com","Twitter Web App")</f>
        <v>Twitter Web App</v>
      </c>
      <c r="L1731" s="15">
        <v>6</v>
      </c>
      <c r="M1731" s="15">
        <v>11</v>
      </c>
      <c r="N1731" s="15">
        <v>0</v>
      </c>
      <c r="O1731" s="9"/>
      <c r="P1731" s="10">
        <v>44194.480995370366</v>
      </c>
      <c r="Q1731" s="14" t="s">
        <v>1421</v>
      </c>
      <c r="R1731" s="14" t="s">
        <v>6875</v>
      </c>
      <c r="S1731" s="7" t="s">
        <v>249</v>
      </c>
      <c r="T1731" s="8"/>
      <c r="U1731" s="11" t="str">
        <f>HYPERLINK("https://pbs.twimg.com/profile_images/1343867972645912576/4wSwu09l.jpg","View")</f>
        <v>View</v>
      </c>
      <c r="V1731" s="8"/>
      <c r="W1731" s="8"/>
      <c r="X1731" s="8"/>
      <c r="Y1731" s="8"/>
      <c r="Z1731" s="8"/>
    </row>
    <row r="1732" spans="1:26" ht="13.2">
      <c r="A1732" s="13">
        <v>44250.33798611111</v>
      </c>
      <c r="B1732" s="6" t="str">
        <f>HYPERLINK("https://twitter.com/AiThority","@AiThority")</f>
        <v>@AiThority</v>
      </c>
      <c r="C1732" s="7" t="s">
        <v>6450</v>
      </c>
      <c r="D1732" s="14" t="s">
        <v>7074</v>
      </c>
      <c r="E1732" s="6" t="str">
        <f>HYPERLINK("https://twitter.com/AiThority/status/1364109412844109825","1364109412844109825")</f>
        <v>1364109412844109825</v>
      </c>
      <c r="F1732" s="7" t="s">
        <v>7075</v>
      </c>
      <c r="G1732" s="8"/>
      <c r="H1732" s="8"/>
      <c r="I1732" s="14">
        <v>0</v>
      </c>
      <c r="J1732" s="14">
        <v>0</v>
      </c>
      <c r="K1732" s="6" t="str">
        <f>HYPERLINK("https://www.hootsuite.com","Hootsuite Inc.")</f>
        <v>Hootsuite Inc.</v>
      </c>
      <c r="L1732" s="15">
        <v>5365</v>
      </c>
      <c r="M1732" s="15">
        <v>453</v>
      </c>
      <c r="N1732" s="15">
        <v>85</v>
      </c>
      <c r="O1732" s="9"/>
      <c r="P1732" s="10">
        <v>42997.414629629631</v>
      </c>
      <c r="Q1732" s="14" t="s">
        <v>6453</v>
      </c>
      <c r="R1732" s="14" t="s">
        <v>6454</v>
      </c>
      <c r="S1732" s="7" t="s">
        <v>6455</v>
      </c>
      <c r="T1732" s="8"/>
      <c r="U1732" s="11" t="str">
        <f>HYPERLINK("https://pbs.twimg.com/profile_images/1012284893383090176/lN_pX5Gy.jpg","View")</f>
        <v>View</v>
      </c>
      <c r="V1732" s="8"/>
      <c r="W1732" s="8"/>
      <c r="X1732" s="8"/>
      <c r="Y1732" s="8"/>
      <c r="Z1732" s="8"/>
    </row>
    <row r="1733" spans="1:26" ht="13.2">
      <c r="A1733" s="13">
        <v>44250.336886574078</v>
      </c>
      <c r="B1733" s="6" t="str">
        <f>HYPERLINK("https://twitter.com/MiriamAsensi","@MiriamAsensi")</f>
        <v>@MiriamAsensi</v>
      </c>
      <c r="C1733" s="14" t="s">
        <v>2634</v>
      </c>
      <c r="D1733" s="14" t="s">
        <v>7076</v>
      </c>
      <c r="E1733" s="6" t="str">
        <f>HYPERLINK("https://twitter.com/MiriamAsensi/status/1364109012455849985","1364109012455849985")</f>
        <v>1364109012455849985</v>
      </c>
      <c r="F1733" s="7" t="s">
        <v>7077</v>
      </c>
      <c r="G1733" s="8"/>
      <c r="H1733" s="8"/>
      <c r="I1733" s="14">
        <v>7</v>
      </c>
      <c r="J1733" s="14">
        <v>1</v>
      </c>
      <c r="K1733" s="6" t="str">
        <f>HYPERLINK("https://socxopte.com/","SocxoPte")</f>
        <v>SocxoPte</v>
      </c>
      <c r="L1733" s="15">
        <v>746</v>
      </c>
      <c r="M1733" s="15">
        <v>882</v>
      </c>
      <c r="N1733" s="15">
        <v>5</v>
      </c>
      <c r="O1733" s="9"/>
      <c r="P1733" s="10">
        <v>43995.357581018514</v>
      </c>
      <c r="Q1733" s="14" t="s">
        <v>599</v>
      </c>
      <c r="R1733" s="14" t="s">
        <v>2637</v>
      </c>
      <c r="S1733" s="7" t="s">
        <v>2638</v>
      </c>
      <c r="T1733" s="8"/>
      <c r="U1733" s="11" t="str">
        <f>HYPERLINK("https://pbs.twimg.com/profile_images/1271692933683699712/Y4d_WLK4.jpg","View")</f>
        <v>View</v>
      </c>
      <c r="V1733" s="8"/>
      <c r="W1733" s="8"/>
      <c r="X1733" s="8"/>
      <c r="Y1733" s="8"/>
      <c r="Z1733" s="8"/>
    </row>
    <row r="1734" spans="1:26" ht="13.2">
      <c r="A1734" s="13">
        <v>44250.336851851855</v>
      </c>
      <c r="B1734" s="6" t="str">
        <f>HYPERLINK("https://twitter.com/ipfconline1","@ipfconline1")</f>
        <v>@ipfconline1</v>
      </c>
      <c r="C1734" s="14" t="s">
        <v>65</v>
      </c>
      <c r="D1734" s="14" t="s">
        <v>7078</v>
      </c>
      <c r="E1734" s="6" t="str">
        <f>HYPERLINK("https://twitter.com/ipfconline1/status/1364109003035402240","1364109003035402240")</f>
        <v>1364109003035402240</v>
      </c>
      <c r="F1734" s="7" t="s">
        <v>7079</v>
      </c>
      <c r="G1734" s="7" t="s">
        <v>7080</v>
      </c>
      <c r="H1734" s="8"/>
      <c r="I1734" s="14">
        <v>15</v>
      </c>
      <c r="J1734" s="14">
        <v>14</v>
      </c>
      <c r="K1734" s="6" t="str">
        <f>HYPERLINK("https://twittimer.com","Twittimer")</f>
        <v>Twittimer</v>
      </c>
      <c r="L1734" s="15">
        <v>112675</v>
      </c>
      <c r="M1734" s="15">
        <v>107162</v>
      </c>
      <c r="N1734" s="15">
        <v>7806</v>
      </c>
      <c r="O1734" s="9"/>
      <c r="P1734" s="10">
        <v>42433.031967592593</v>
      </c>
      <c r="Q1734" s="14" t="s">
        <v>69</v>
      </c>
      <c r="R1734" s="14" t="s">
        <v>70</v>
      </c>
      <c r="S1734" s="7" t="s">
        <v>71</v>
      </c>
      <c r="T1734" s="8"/>
      <c r="U1734" s="11" t="str">
        <f>HYPERLINK("https://pbs.twimg.com/profile_images/729065804004769793/St2_Pum9.jpg","View")</f>
        <v>View</v>
      </c>
      <c r="V1734" s="8"/>
      <c r="W1734" s="8"/>
      <c r="X1734" s="8"/>
      <c r="Y1734" s="8"/>
      <c r="Z1734" s="8"/>
    </row>
    <row r="1735" spans="1:26" ht="13.2">
      <c r="A1735" s="13">
        <v>44250.336840277778</v>
      </c>
      <c r="B1735" s="6" t="str">
        <f>HYPERLINK("https://twitter.com/Flux4Kofo","@Flux4Kofo")</f>
        <v>@Flux4Kofo</v>
      </c>
      <c r="C1735" s="14" t="s">
        <v>7081</v>
      </c>
      <c r="D1735" s="14" t="s">
        <v>7082</v>
      </c>
      <c r="E1735" s="6" t="str">
        <f>HYPERLINK("https://twitter.com/Flux4Kofo/status/1364108998342037504","1364108998342037504")</f>
        <v>1364108998342037504</v>
      </c>
      <c r="F1735" s="7" t="s">
        <v>7083</v>
      </c>
      <c r="G1735" s="7" t="s">
        <v>7084</v>
      </c>
      <c r="H1735" s="8"/>
      <c r="I1735" s="14">
        <v>0</v>
      </c>
      <c r="J1735" s="14">
        <v>0</v>
      </c>
      <c r="K1735" s="6" t="str">
        <f>HYPERLINK("https://www.hootsuite.com","Hootsuite Inc.")</f>
        <v>Hootsuite Inc.</v>
      </c>
      <c r="L1735" s="15">
        <v>247</v>
      </c>
      <c r="M1735" s="15">
        <v>1071</v>
      </c>
      <c r="N1735" s="15">
        <v>2</v>
      </c>
      <c r="O1735" s="9"/>
      <c r="P1735" s="10">
        <v>43204.493993055556</v>
      </c>
      <c r="Q1735" s="14" t="s">
        <v>599</v>
      </c>
      <c r="R1735" s="14" t="s">
        <v>7085</v>
      </c>
      <c r="S1735" s="7" t="s">
        <v>7086</v>
      </c>
      <c r="T1735" s="8"/>
      <c r="U1735" s="11" t="str">
        <f>HYPERLINK("https://pbs.twimg.com/profile_images/1125324223235461120/0DU5gmZH.jpg","View")</f>
        <v>View</v>
      </c>
      <c r="V1735" s="8"/>
      <c r="W1735" s="8"/>
      <c r="X1735" s="8"/>
      <c r="Y1735" s="8"/>
      <c r="Z1735" s="8"/>
    </row>
    <row r="1736" spans="1:26" ht="13.2">
      <c r="A1736" s="13">
        <v>44250.336805555555</v>
      </c>
      <c r="B1736" s="6" t="str">
        <f>HYPERLINK("https://twitter.com/talentsprint","@talentsprint")</f>
        <v>@talentsprint</v>
      </c>
      <c r="C1736" s="14" t="s">
        <v>7087</v>
      </c>
      <c r="D1736" s="14" t="s">
        <v>7088</v>
      </c>
      <c r="E1736" s="6" t="str">
        <f>HYPERLINK("https://twitter.com/talentsprint/status/1364108986107092993","1364108986107092993")</f>
        <v>1364108986107092993</v>
      </c>
      <c r="F1736" s="7" t="s">
        <v>7089</v>
      </c>
      <c r="G1736" s="7" t="s">
        <v>7090</v>
      </c>
      <c r="H1736" s="8"/>
      <c r="I1736" s="14">
        <v>0</v>
      </c>
      <c r="J1736" s="14">
        <v>0</v>
      </c>
      <c r="K1736" s="6" t="str">
        <f>HYPERLINK("https://social.zoho.com","Zoho Social")</f>
        <v>Zoho Social</v>
      </c>
      <c r="L1736" s="15">
        <v>1984</v>
      </c>
      <c r="M1736" s="15">
        <v>41</v>
      </c>
      <c r="N1736" s="15">
        <v>12</v>
      </c>
      <c r="O1736" s="9"/>
      <c r="P1736" s="10">
        <v>40590.666967592595</v>
      </c>
      <c r="Q1736" s="8"/>
      <c r="R1736" s="14" t="s">
        <v>7091</v>
      </c>
      <c r="S1736" s="7" t="s">
        <v>7092</v>
      </c>
      <c r="T1736" s="8"/>
      <c r="U1736" s="11" t="str">
        <f>HYPERLINK("https://pbs.twimg.com/profile_images/1263023901233180676/0EFqlh_g.jpg","View")</f>
        <v>View</v>
      </c>
      <c r="V1736" s="8"/>
      <c r="W1736" s="8"/>
      <c r="X1736" s="8"/>
      <c r="Y1736" s="8"/>
      <c r="Z1736" s="8"/>
    </row>
    <row r="1737" spans="1:26" ht="13.2">
      <c r="A1737" s="13">
        <v>44250.336168981477</v>
      </c>
      <c r="B1737" s="6" t="str">
        <f>HYPERLINK("https://twitter.com/CodingPers_Bot","@CodingPers_Bot")</f>
        <v>@CodingPers_Bot</v>
      </c>
      <c r="C1737" s="14" t="s">
        <v>1899</v>
      </c>
      <c r="D1737" s="14" t="s">
        <v>7093</v>
      </c>
      <c r="E1737" s="6" t="str">
        <f>HYPERLINK("https://twitter.com/CodingPers_Bot/status/1364108753990258691","1364108753990258691")</f>
        <v>1364108753990258691</v>
      </c>
      <c r="F1737" s="7" t="s">
        <v>7094</v>
      </c>
      <c r="G1737" s="8"/>
      <c r="H1737" s="8"/>
      <c r="I1737" s="14">
        <v>0</v>
      </c>
      <c r="J1737" s="14">
        <v>0</v>
      </c>
      <c r="K1737" s="8"/>
      <c r="L1737" s="15">
        <v>7</v>
      </c>
      <c r="M1737" s="15">
        <v>1</v>
      </c>
      <c r="N1737" s="15">
        <v>0</v>
      </c>
      <c r="O1737" s="9"/>
      <c r="P1737" s="10">
        <v>44209.357442129629</v>
      </c>
      <c r="Q1737" s="8"/>
      <c r="R1737" s="14" t="s">
        <v>1902</v>
      </c>
      <c r="S1737" s="7" t="s">
        <v>1903</v>
      </c>
      <c r="T1737" s="8"/>
      <c r="U1737" s="11" t="str">
        <f>HYPERLINK("https://pbs.twimg.com/profile_images/1354492057025449990/GKDFizO-.jpg","View")</f>
        <v>View</v>
      </c>
      <c r="V1737" s="8"/>
      <c r="W1737" s="8"/>
      <c r="X1737" s="8"/>
      <c r="Y1737" s="8"/>
      <c r="Z1737" s="8"/>
    </row>
    <row r="1738" spans="1:26" ht="13.2">
      <c r="A1738" s="13">
        <v>44250.336099537039</v>
      </c>
      <c r="B1738" s="6" t="str">
        <f>HYPERLINK("https://twitter.com/Deep__AI","@Deep__AI")</f>
        <v>@Deep__AI</v>
      </c>
      <c r="C1738" s="14" t="s">
        <v>1904</v>
      </c>
      <c r="D1738" s="14" t="s">
        <v>7095</v>
      </c>
      <c r="E1738" s="6" t="str">
        <f>HYPERLINK("https://twitter.com/Deep__AI/status/1364108727620542472","1364108727620542472")</f>
        <v>1364108727620542472</v>
      </c>
      <c r="F1738" s="7" t="s">
        <v>7096</v>
      </c>
      <c r="G1738" s="8"/>
      <c r="H1738" s="8"/>
      <c r="I1738" s="14">
        <v>2</v>
      </c>
      <c r="J1738" s="14">
        <v>3</v>
      </c>
      <c r="K1738" s="6" t="str">
        <f>HYPERLINK("https://deepai.org/","DeepAI")</f>
        <v>DeepAI</v>
      </c>
      <c r="L1738" s="15">
        <v>36483</v>
      </c>
      <c r="M1738" s="15">
        <v>1642</v>
      </c>
      <c r="N1738" s="15">
        <v>406</v>
      </c>
      <c r="O1738" s="9"/>
      <c r="P1738" s="10">
        <v>42826.414039351846</v>
      </c>
      <c r="Q1738" s="14" t="s">
        <v>1907</v>
      </c>
      <c r="R1738" s="14" t="s">
        <v>1908</v>
      </c>
      <c r="S1738" s="7" t="s">
        <v>1909</v>
      </c>
      <c r="T1738" s="8"/>
      <c r="U1738" s="11" t="str">
        <f>HYPERLINK("https://pbs.twimg.com/profile_images/1118532973203079168/8VTzkyzD.png","View")</f>
        <v>View</v>
      </c>
      <c r="V1738" s="8"/>
      <c r="W1738" s="8"/>
      <c r="X1738" s="8"/>
      <c r="Y1738" s="8"/>
      <c r="Z1738" s="8"/>
    </row>
    <row r="1739" spans="1:26" ht="13.2">
      <c r="A1739" s="13">
        <v>44250.335706018523</v>
      </c>
      <c r="B1739" s="6" t="str">
        <f>HYPERLINK("https://twitter.com/cornichecorp","@cornichecorp")</f>
        <v>@cornichecorp</v>
      </c>
      <c r="C1739" s="14" t="s">
        <v>2271</v>
      </c>
      <c r="D1739" s="14" t="s">
        <v>5021</v>
      </c>
      <c r="E1739" s="6" t="str">
        <f>HYPERLINK("https://twitter.com/cornichecorp/status/1364108584817197061","1364108584817197061")</f>
        <v>1364108584817197061</v>
      </c>
      <c r="F1739" s="14" t="s">
        <v>4928</v>
      </c>
      <c r="G1739" s="8"/>
      <c r="H1739" s="8"/>
      <c r="I1739" s="14">
        <v>1</v>
      </c>
      <c r="J1739" s="14">
        <v>0</v>
      </c>
      <c r="K1739" s="6" t="str">
        <f>HYPERLINK("http://twinybots.com","TwinyBots")</f>
        <v>TwinyBots</v>
      </c>
      <c r="L1739" s="15">
        <v>2349</v>
      </c>
      <c r="M1739" s="15">
        <v>2163</v>
      </c>
      <c r="N1739" s="15">
        <v>30</v>
      </c>
      <c r="O1739" s="9"/>
      <c r="P1739" s="10">
        <v>42246.917499999996</v>
      </c>
      <c r="Q1739" s="14" t="s">
        <v>2274</v>
      </c>
      <c r="R1739" s="14" t="s">
        <v>2275</v>
      </c>
      <c r="S1739" s="8"/>
      <c r="T1739" s="8"/>
      <c r="U1739" s="11" t="str">
        <f>HYPERLINK("https://pbs.twimg.com/profile_images/1135863200396775424/vPe8Htor.png","View")</f>
        <v>View</v>
      </c>
      <c r="V1739" s="8"/>
      <c r="W1739" s="8"/>
      <c r="X1739" s="8"/>
      <c r="Y1739" s="8"/>
      <c r="Z1739" s="8"/>
    </row>
    <row r="1740" spans="1:26" ht="13.2">
      <c r="A1740" s="13">
        <v>44250.335416666669</v>
      </c>
      <c r="B1740" s="6" t="str">
        <f>HYPERLINK("https://twitter.com/carlesdijous","@carlesdijous")</f>
        <v>@carlesdijous</v>
      </c>
      <c r="C1740" s="14" t="s">
        <v>7097</v>
      </c>
      <c r="D1740" s="14" t="s">
        <v>7098</v>
      </c>
      <c r="E1740" s="6" t="str">
        <f>HYPERLINK("https://twitter.com/carlesdijous/status/1364108480282558464","1364108480282558464")</f>
        <v>1364108480282558464</v>
      </c>
      <c r="F1740" s="7" t="s">
        <v>7099</v>
      </c>
      <c r="G1740" s="8"/>
      <c r="H1740" s="8"/>
      <c r="I1740" s="14">
        <v>0</v>
      </c>
      <c r="J1740" s="14">
        <v>0</v>
      </c>
      <c r="K1740" s="6" t="str">
        <f>HYPERLINK("https://about.twitter.com/products/tweetdeck","TweetDeck")</f>
        <v>TweetDeck</v>
      </c>
      <c r="L1740" s="15">
        <v>8873</v>
      </c>
      <c r="M1740" s="15">
        <v>5391</v>
      </c>
      <c r="N1740" s="15">
        <v>2779</v>
      </c>
      <c r="O1740" s="9"/>
      <c r="P1740" s="10">
        <v>39810.505740740744</v>
      </c>
      <c r="Q1740" s="14" t="s">
        <v>3925</v>
      </c>
      <c r="R1740" s="14" t="s">
        <v>7100</v>
      </c>
      <c r="S1740" s="7" t="s">
        <v>7101</v>
      </c>
      <c r="T1740" s="8"/>
      <c r="U1740" s="11" t="str">
        <f>HYPERLINK("https://pbs.twimg.com/profile_images/491086958/CD.JPG","View")</f>
        <v>View</v>
      </c>
      <c r="V1740" s="8"/>
      <c r="W1740" s="8"/>
      <c r="X1740" s="8"/>
      <c r="Y1740" s="8"/>
      <c r="Z1740" s="8"/>
    </row>
    <row r="1741" spans="1:26" ht="13.2">
      <c r="A1741" s="13">
        <v>44250.333425925928</v>
      </c>
      <c r="B1741" s="6" t="str">
        <f>HYPERLINK("https://twitter.com/RoaringElephant","@RoaringElephant")</f>
        <v>@RoaringElephant</v>
      </c>
      <c r="C1741" s="14" t="s">
        <v>7102</v>
      </c>
      <c r="D1741" s="14" t="s">
        <v>7103</v>
      </c>
      <c r="E1741" s="6" t="str">
        <f>HYPERLINK("https://twitter.com/RoaringElephant/status/1364107758983925761","1364107758983925761")</f>
        <v>1364107758983925761</v>
      </c>
      <c r="F1741" s="7" t="s">
        <v>7104</v>
      </c>
      <c r="G1741" s="8"/>
      <c r="H1741" s="8"/>
      <c r="I1741" s="14">
        <v>0</v>
      </c>
      <c r="J1741" s="14">
        <v>0</v>
      </c>
      <c r="K1741" s="6" t="str">
        <f>HYPERLINK("https://roaringelephant.org","RoaringElephantWordpress")</f>
        <v>RoaringElephantWordpress</v>
      </c>
      <c r="L1741" s="15">
        <v>93</v>
      </c>
      <c r="M1741" s="15">
        <v>11</v>
      </c>
      <c r="N1741" s="15">
        <v>0</v>
      </c>
      <c r="O1741" s="9"/>
      <c r="P1741" s="10">
        <v>42268.384305555555</v>
      </c>
      <c r="Q1741" s="14" t="s">
        <v>7105</v>
      </c>
      <c r="R1741" s="14" t="s">
        <v>7106</v>
      </c>
      <c r="S1741" s="7" t="s">
        <v>7107</v>
      </c>
      <c r="T1741" s="8"/>
      <c r="U1741" s="11" t="str">
        <f>HYPERLINK("https://pbs.twimg.com/profile_images/1223172496867889153/ofX0DPph.jpg","View")</f>
        <v>View</v>
      </c>
      <c r="V1741" s="8"/>
      <c r="W1741" s="8"/>
      <c r="X1741" s="8"/>
      <c r="Y1741" s="8"/>
      <c r="Z1741" s="8"/>
    </row>
    <row r="1742" spans="1:26" ht="13.2">
      <c r="A1742" s="13">
        <v>44250.333391203705</v>
      </c>
      <c r="B1742" s="6" t="str">
        <f>HYPERLINK("https://twitter.com/HeptagonTech","@HeptagonTech")</f>
        <v>@HeptagonTech</v>
      </c>
      <c r="C1742" s="7" t="s">
        <v>7108</v>
      </c>
      <c r="D1742" s="14" t="s">
        <v>7109</v>
      </c>
      <c r="E1742" s="6" t="str">
        <f>HYPERLINK("https://twitter.com/HeptagonTech/status/1364107748217085954","1364107748217085954")</f>
        <v>1364107748217085954</v>
      </c>
      <c r="F1742" s="7" t="s">
        <v>7110</v>
      </c>
      <c r="G1742" s="7" t="s">
        <v>7111</v>
      </c>
      <c r="H1742" s="8"/>
      <c r="I1742" s="14">
        <v>10</v>
      </c>
      <c r="J1742" s="14">
        <v>5</v>
      </c>
      <c r="K1742" s="6" t="str">
        <f>HYPERLINK("https://buffer.com","Buffer")</f>
        <v>Buffer</v>
      </c>
      <c r="L1742" s="15">
        <v>469</v>
      </c>
      <c r="M1742" s="15">
        <v>1082</v>
      </c>
      <c r="N1742" s="15">
        <v>14</v>
      </c>
      <c r="O1742" s="9"/>
      <c r="P1742" s="10">
        <v>42719.20113425926</v>
      </c>
      <c r="Q1742" s="14" t="s">
        <v>7112</v>
      </c>
      <c r="R1742" s="14" t="s">
        <v>7113</v>
      </c>
      <c r="S1742" s="7" t="s">
        <v>7114</v>
      </c>
      <c r="T1742" s="8"/>
      <c r="U1742" s="11" t="str">
        <f>HYPERLINK("https://pbs.twimg.com/profile_images/1177169603731976195/qTCU_h23.jpg","View")</f>
        <v>View</v>
      </c>
      <c r="V1742" s="8"/>
      <c r="W1742" s="8"/>
      <c r="X1742" s="8"/>
      <c r="Y1742" s="8"/>
      <c r="Z1742" s="8"/>
    </row>
    <row r="1743" spans="1:26" ht="13.2">
      <c r="A1743" s="13">
        <v>44250.333368055552</v>
      </c>
      <c r="B1743" s="6" t="str">
        <f>HYPERLINK("https://twitter.com/reddit_ml","@reddit_ml")</f>
        <v>@reddit_ml</v>
      </c>
      <c r="C1743" s="14" t="s">
        <v>2744</v>
      </c>
      <c r="D1743" s="14" t="s">
        <v>7115</v>
      </c>
      <c r="E1743" s="6" t="str">
        <f>HYPERLINK("https://twitter.com/reddit_ml/status/1364107737853014020","1364107737853014020")</f>
        <v>1364107737853014020</v>
      </c>
      <c r="F1743" s="7" t="s">
        <v>7116</v>
      </c>
      <c r="G1743" s="8"/>
      <c r="H1743" s="8"/>
      <c r="I1743" s="14">
        <v>0</v>
      </c>
      <c r="J1743" s="14">
        <v>0</v>
      </c>
      <c r="K1743" s="6" t="str">
        <f>HYPERLINK("https://www.reddit.com/r/MachineLearning/","reddit-ml-bot")</f>
        <v>reddit-ml-bot</v>
      </c>
      <c r="L1743" s="15">
        <v>411</v>
      </c>
      <c r="M1743" s="15">
        <v>93</v>
      </c>
      <c r="N1743" s="15">
        <v>35</v>
      </c>
      <c r="O1743" s="9"/>
      <c r="P1743" s="10">
        <v>42527.844641203701</v>
      </c>
      <c r="Q1743" s="8"/>
      <c r="R1743" s="8"/>
      <c r="S1743" s="7" t="s">
        <v>2746</v>
      </c>
      <c r="T1743" s="8"/>
      <c r="U1743" s="11" t="str">
        <f>HYPERLINK("https://pbs.twimg.com/profile_images/739887457206996992/9NUmKQvu.jpg","View")</f>
        <v>View</v>
      </c>
      <c r="V1743" s="8"/>
      <c r="W1743" s="8"/>
      <c r="X1743" s="8"/>
      <c r="Y1743" s="8"/>
      <c r="Z1743" s="8"/>
    </row>
    <row r="1744" spans="1:26" ht="13.2">
      <c r="A1744" s="13">
        <v>44250.333194444444</v>
      </c>
      <c r="B1744" s="6" t="str">
        <f>HYPERLINK("https://twitter.com/Sirlupinwatson","@Sirlupinwatson")</f>
        <v>@Sirlupinwatson</v>
      </c>
      <c r="C1744" s="14" t="s">
        <v>7033</v>
      </c>
      <c r="D1744" s="14" t="s">
        <v>7117</v>
      </c>
      <c r="E1744" s="6" t="str">
        <f>HYPERLINK("https://twitter.com/Sirlupinwatson/status/1364107677585055745","1364107677585055745")</f>
        <v>1364107677585055745</v>
      </c>
      <c r="F1744" s="7" t="s">
        <v>7118</v>
      </c>
      <c r="G1744" s="7" t="s">
        <v>7119</v>
      </c>
      <c r="H1744" s="8"/>
      <c r="I1744" s="14">
        <v>46</v>
      </c>
      <c r="J1744" s="14">
        <v>27</v>
      </c>
      <c r="K1744" s="6" t="str">
        <f>HYPERLINK("https://mobile.twitter.com","Twitter Web App")</f>
        <v>Twitter Web App</v>
      </c>
      <c r="L1744" s="15">
        <v>1449</v>
      </c>
      <c r="M1744" s="15">
        <v>4070</v>
      </c>
      <c r="N1744" s="15">
        <v>7</v>
      </c>
      <c r="O1744" s="9"/>
      <c r="P1744" s="10">
        <v>42651.939120370371</v>
      </c>
      <c r="Q1744" s="14" t="s">
        <v>2649</v>
      </c>
      <c r="R1744" s="14" t="s">
        <v>7036</v>
      </c>
      <c r="S1744" s="7" t="s">
        <v>7037</v>
      </c>
      <c r="T1744" s="8"/>
      <c r="U1744" s="11" t="str">
        <f>HYPERLINK("https://pbs.twimg.com/profile_images/1310177334708887552/9Q1XMJW2.jpg","View")</f>
        <v>View</v>
      </c>
      <c r="V1744" s="8"/>
      <c r="W1744" s="8"/>
      <c r="X1744" s="8"/>
      <c r="Y1744" s="8"/>
      <c r="Z1744" s="8"/>
    </row>
    <row r="1745" spans="1:26" ht="13.2">
      <c r="A1745" s="13">
        <v>44250.332650462966</v>
      </c>
      <c r="B1745" s="6" t="str">
        <f>HYPERLINK("https://twitter.com/RichardEudes","@RichardEudes")</f>
        <v>@RichardEudes</v>
      </c>
      <c r="C1745" s="14" t="s">
        <v>341</v>
      </c>
      <c r="D1745" s="14" t="s">
        <v>7120</v>
      </c>
      <c r="E1745" s="6" t="str">
        <f>HYPERLINK("https://twitter.com/RichardEudes/status/1364107477806178306","1364107477806178306")</f>
        <v>1364107477806178306</v>
      </c>
      <c r="F1745" s="7" t="s">
        <v>7121</v>
      </c>
      <c r="G1745" s="8"/>
      <c r="H1745" s="8"/>
      <c r="I1745" s="14">
        <v>1</v>
      </c>
      <c r="J1745" s="14">
        <v>0</v>
      </c>
      <c r="K1745" s="6" t="str">
        <f>HYPERLINK("https://buffer.com","Buffer")</f>
        <v>Buffer</v>
      </c>
      <c r="L1745" s="15">
        <v>16960</v>
      </c>
      <c r="M1745" s="15">
        <v>1979</v>
      </c>
      <c r="N1745" s="15">
        <v>668</v>
      </c>
      <c r="O1745" s="9"/>
      <c r="P1745" s="10">
        <v>39985.961481481485</v>
      </c>
      <c r="Q1745" s="14" t="s">
        <v>106</v>
      </c>
      <c r="R1745" s="14" t="s">
        <v>344</v>
      </c>
      <c r="S1745" s="7" t="s">
        <v>345</v>
      </c>
      <c r="T1745" s="8"/>
      <c r="U1745" s="11" t="str">
        <f>HYPERLINK("https://pbs.twimg.com/profile_images/1332753391886491648/I9fBm3kf.jpg","View")</f>
        <v>View</v>
      </c>
      <c r="V1745" s="8"/>
      <c r="W1745" s="8"/>
      <c r="X1745" s="8"/>
      <c r="Y1745" s="8"/>
      <c r="Z1745" s="8"/>
    </row>
    <row r="1746" spans="1:26" ht="13.2">
      <c r="A1746" s="13">
        <v>44250.331574074073</v>
      </c>
      <c r="B1746" s="6" t="str">
        <f>HYPERLINK("https://twitter.com/machinelearnflx","@machinelearnflx")</f>
        <v>@machinelearnflx</v>
      </c>
      <c r="C1746" s="14" t="s">
        <v>279</v>
      </c>
      <c r="D1746" s="14" t="s">
        <v>7122</v>
      </c>
      <c r="E1746" s="6" t="str">
        <f>HYPERLINK("https://twitter.com/machinelearnflx/status/1364107088264314881","1364107088264314881")</f>
        <v>1364107088264314881</v>
      </c>
      <c r="F1746" s="7" t="s">
        <v>7123</v>
      </c>
      <c r="G1746" s="8"/>
      <c r="H1746" s="8"/>
      <c r="I1746" s="14">
        <v>10</v>
      </c>
      <c r="J1746" s="14">
        <v>9</v>
      </c>
      <c r="K1746" s="6" t="str">
        <f>HYPERLINK("https://twitter.com/pythonbot_","Postmatico")</f>
        <v>Postmatico</v>
      </c>
      <c r="L1746" s="15">
        <v>90451</v>
      </c>
      <c r="M1746" s="15">
        <v>35464</v>
      </c>
      <c r="N1746" s="15">
        <v>2228</v>
      </c>
      <c r="O1746" s="9"/>
      <c r="P1746" s="10">
        <v>42386.538865740746</v>
      </c>
      <c r="Q1746" s="8"/>
      <c r="R1746" s="14" t="s">
        <v>282</v>
      </c>
      <c r="S1746" s="7" t="s">
        <v>283</v>
      </c>
      <c r="T1746" s="8"/>
      <c r="U1746" s="11" t="str">
        <f>HYPERLINK("https://pbs.twimg.com/profile_images/688735459892195329/v8sHaWSG.jpg","View")</f>
        <v>View</v>
      </c>
      <c r="V1746" s="8"/>
      <c r="W1746" s="8"/>
      <c r="X1746" s="8"/>
      <c r="Y1746" s="8"/>
      <c r="Z1746" s="8"/>
    </row>
    <row r="1747" spans="1:26" ht="13.2">
      <c r="A1747" s="13">
        <v>44250.331342592588</v>
      </c>
      <c r="B1747" s="6" t="str">
        <f t="shared" ref="B1747:B1748" si="326">HYPERLINK("https://twitter.com/Sirlupinwatson","@Sirlupinwatson")</f>
        <v>@Sirlupinwatson</v>
      </c>
      <c r="C1747" s="14" t="s">
        <v>7033</v>
      </c>
      <c r="D1747" s="14" t="s">
        <v>7124</v>
      </c>
      <c r="E1747" s="6" t="str">
        <f>HYPERLINK("https://twitter.com/Sirlupinwatson/status/1364107003493244931","1364107003493244931")</f>
        <v>1364107003493244931</v>
      </c>
      <c r="F1747" s="7" t="s">
        <v>7125</v>
      </c>
      <c r="G1747" s="7" t="s">
        <v>7126</v>
      </c>
      <c r="H1747" s="8"/>
      <c r="I1747" s="14">
        <v>21</v>
      </c>
      <c r="J1747" s="14">
        <v>4</v>
      </c>
      <c r="K1747" s="6" t="str">
        <f t="shared" ref="K1747:K1748" si="327">HYPERLINK("https://mobile.twitter.com","Twitter Web App")</f>
        <v>Twitter Web App</v>
      </c>
      <c r="L1747" s="15">
        <v>1449</v>
      </c>
      <c r="M1747" s="15">
        <v>4070</v>
      </c>
      <c r="N1747" s="15">
        <v>7</v>
      </c>
      <c r="O1747" s="9"/>
      <c r="P1747" s="10">
        <v>42651.939120370371</v>
      </c>
      <c r="Q1747" s="14" t="s">
        <v>2649</v>
      </c>
      <c r="R1747" s="14" t="s">
        <v>7036</v>
      </c>
      <c r="S1747" s="7" t="s">
        <v>7037</v>
      </c>
      <c r="T1747" s="8"/>
      <c r="U1747" s="11" t="str">
        <f t="shared" ref="U1747:U1748" si="328">HYPERLINK("https://pbs.twimg.com/profile_images/1310177334708887552/9Q1XMJW2.jpg","View")</f>
        <v>View</v>
      </c>
      <c r="V1747" s="8"/>
      <c r="W1747" s="8"/>
      <c r="X1747" s="8"/>
      <c r="Y1747" s="8"/>
      <c r="Z1747" s="8"/>
    </row>
    <row r="1748" spans="1:26" ht="13.2">
      <c r="A1748" s="13">
        <v>44250.328414351854</v>
      </c>
      <c r="B1748" s="6" t="str">
        <f t="shared" si="326"/>
        <v>@Sirlupinwatson</v>
      </c>
      <c r="C1748" s="14" t="s">
        <v>7033</v>
      </c>
      <c r="D1748" s="14" t="s">
        <v>7127</v>
      </c>
      <c r="E1748" s="6" t="str">
        <f>HYPERLINK("https://twitter.com/Sirlupinwatson/status/1364105943282253824","1364105943282253824")</f>
        <v>1364105943282253824</v>
      </c>
      <c r="F1748" s="7" t="s">
        <v>7128</v>
      </c>
      <c r="G1748" s="7" t="s">
        <v>7129</v>
      </c>
      <c r="H1748" s="8"/>
      <c r="I1748" s="14">
        <v>30</v>
      </c>
      <c r="J1748" s="14">
        <v>8</v>
      </c>
      <c r="K1748" s="6" t="str">
        <f t="shared" si="327"/>
        <v>Twitter Web App</v>
      </c>
      <c r="L1748" s="15">
        <v>1449</v>
      </c>
      <c r="M1748" s="15">
        <v>4070</v>
      </c>
      <c r="N1748" s="15">
        <v>7</v>
      </c>
      <c r="O1748" s="9"/>
      <c r="P1748" s="10">
        <v>42651.939120370371</v>
      </c>
      <c r="Q1748" s="14" t="s">
        <v>2649</v>
      </c>
      <c r="R1748" s="14" t="s">
        <v>7036</v>
      </c>
      <c r="S1748" s="7" t="s">
        <v>7037</v>
      </c>
      <c r="T1748" s="8"/>
      <c r="U1748" s="11" t="str">
        <f t="shared" si="328"/>
        <v>View</v>
      </c>
      <c r="V1748" s="8"/>
      <c r="W1748" s="8"/>
      <c r="X1748" s="8"/>
      <c r="Y1748" s="8"/>
      <c r="Z1748" s="8"/>
    </row>
    <row r="1749" spans="1:26" ht="13.2">
      <c r="A1749" s="13">
        <v>44250.328252314815</v>
      </c>
      <c r="B1749" s="6" t="str">
        <f>HYPERLINK("https://twitter.com/sebbourguignon","@sebbourguignon")</f>
        <v>@sebbourguignon</v>
      </c>
      <c r="C1749" s="14" t="s">
        <v>7130</v>
      </c>
      <c r="D1749" s="14" t="s">
        <v>7131</v>
      </c>
      <c r="E1749" s="6" t="str">
        <f>HYPERLINK("https://twitter.com/sebbourguignon/status/1364105886306873344","1364105886306873344")</f>
        <v>1364105886306873344</v>
      </c>
      <c r="F1749" s="8"/>
      <c r="G1749" s="7" t="s">
        <v>7132</v>
      </c>
      <c r="H1749" s="8"/>
      <c r="I1749" s="14">
        <v>9</v>
      </c>
      <c r="J1749" s="14">
        <v>13</v>
      </c>
      <c r="K1749" s="6" t="str">
        <f>HYPERLINK("https://buffer.com","Buffer")</f>
        <v>Buffer</v>
      </c>
      <c r="L1749" s="15">
        <v>41698</v>
      </c>
      <c r="M1749" s="15">
        <v>6007</v>
      </c>
      <c r="N1749" s="15">
        <v>3277</v>
      </c>
      <c r="O1749" s="15" t="s">
        <v>130</v>
      </c>
      <c r="P1749" s="10">
        <v>40954.344282407408</v>
      </c>
      <c r="Q1749" s="14" t="s">
        <v>106</v>
      </c>
      <c r="R1749" s="14" t="s">
        <v>7133</v>
      </c>
      <c r="S1749" s="7" t="s">
        <v>7134</v>
      </c>
      <c r="T1749" s="8"/>
      <c r="U1749" s="11" t="str">
        <f>HYPERLINK("https://pbs.twimg.com/profile_images/813506776029102080/SxeLIf08.jpg","View")</f>
        <v>View</v>
      </c>
      <c r="V1749" s="8"/>
      <c r="W1749" s="8"/>
      <c r="X1749" s="8"/>
      <c r="Y1749" s="8"/>
      <c r="Z1749" s="8"/>
    </row>
    <row r="1750" spans="1:26" ht="13.2">
      <c r="A1750" s="13">
        <v>44250.325567129628</v>
      </c>
      <c r="B1750" s="6" t="str">
        <f>HYPERLINK("https://twitter.com/CouponBest3","@CouponBest3")</f>
        <v>@CouponBest3</v>
      </c>
      <c r="C1750" s="14" t="s">
        <v>6871</v>
      </c>
      <c r="D1750" s="14" t="s">
        <v>7135</v>
      </c>
      <c r="E1750" s="6" t="str">
        <f>HYPERLINK("https://twitter.com/CouponBest3/status/1364104913014329344","1364104913014329344")</f>
        <v>1364104913014329344</v>
      </c>
      <c r="F1750" s="7" t="s">
        <v>7136</v>
      </c>
      <c r="G1750" s="7" t="s">
        <v>7137</v>
      </c>
      <c r="H1750" s="8"/>
      <c r="I1750" s="14">
        <v>24</v>
      </c>
      <c r="J1750" s="14">
        <v>9</v>
      </c>
      <c r="K1750" s="6" t="str">
        <f t="shared" ref="K1750:K1751" si="329">HYPERLINK("https://mobile.twitter.com","Twitter Web App")</f>
        <v>Twitter Web App</v>
      </c>
      <c r="L1750" s="15">
        <v>6</v>
      </c>
      <c r="M1750" s="15">
        <v>11</v>
      </c>
      <c r="N1750" s="15">
        <v>0</v>
      </c>
      <c r="O1750" s="9"/>
      <c r="P1750" s="10">
        <v>44194.480995370366</v>
      </c>
      <c r="Q1750" s="14" t="s">
        <v>1421</v>
      </c>
      <c r="R1750" s="14" t="s">
        <v>6875</v>
      </c>
      <c r="S1750" s="7" t="s">
        <v>249</v>
      </c>
      <c r="T1750" s="8"/>
      <c r="U1750" s="11" t="str">
        <f>HYPERLINK("https://pbs.twimg.com/profile_images/1343867972645912576/4wSwu09l.jpg","View")</f>
        <v>View</v>
      </c>
      <c r="V1750" s="8"/>
      <c r="W1750" s="8"/>
      <c r="X1750" s="8"/>
      <c r="Y1750" s="8"/>
      <c r="Z1750" s="8"/>
    </row>
    <row r="1751" spans="1:26" ht="13.2">
      <c r="A1751" s="13">
        <v>44250.324965277774</v>
      </c>
      <c r="B1751" s="6" t="str">
        <f>HYPERLINK("https://twitter.com/PropertyQuants","@PropertyQuants")</f>
        <v>@PropertyQuants</v>
      </c>
      <c r="C1751" s="14" t="s">
        <v>7138</v>
      </c>
      <c r="D1751" s="14" t="s">
        <v>7139</v>
      </c>
      <c r="E1751" s="6" t="str">
        <f>HYPERLINK("https://twitter.com/PropertyQuants/status/1364104692393857028","1364104692393857028")</f>
        <v>1364104692393857028</v>
      </c>
      <c r="F1751" s="7" t="s">
        <v>7140</v>
      </c>
      <c r="G1751" s="7" t="s">
        <v>7141</v>
      </c>
      <c r="H1751" s="8"/>
      <c r="I1751" s="14">
        <v>3</v>
      </c>
      <c r="J1751" s="14">
        <v>0</v>
      </c>
      <c r="K1751" s="6" t="str">
        <f t="shared" si="329"/>
        <v>Twitter Web App</v>
      </c>
      <c r="L1751" s="15">
        <v>54</v>
      </c>
      <c r="M1751" s="15">
        <v>1</v>
      </c>
      <c r="N1751" s="15">
        <v>1</v>
      </c>
      <c r="O1751" s="9"/>
      <c r="P1751" s="10">
        <v>43706.155347222222</v>
      </c>
      <c r="Q1751" s="8"/>
      <c r="R1751" s="14" t="s">
        <v>7142</v>
      </c>
      <c r="S1751" s="8"/>
      <c r="T1751" s="8"/>
      <c r="U1751" s="11" t="str">
        <f>HYPERLINK("https://pbs.twimg.com/profile_images/1166889278112026624/OkDwqxC-.jpg","View")</f>
        <v>View</v>
      </c>
      <c r="V1751" s="8"/>
      <c r="W1751" s="8"/>
      <c r="X1751" s="8"/>
      <c r="Y1751" s="8"/>
      <c r="Z1751" s="8"/>
    </row>
    <row r="1752" spans="1:26" ht="13.2">
      <c r="A1752" s="13">
        <v>44250.323726851857</v>
      </c>
      <c r="B1752" s="6" t="str">
        <f>HYPERLINK("https://twitter.com/New081082","@New081082")</f>
        <v>@New081082</v>
      </c>
      <c r="C1752" s="14" t="s">
        <v>6091</v>
      </c>
      <c r="D1752" s="14" t="s">
        <v>7143</v>
      </c>
      <c r="E1752" s="6" t="str">
        <f>HYPERLINK("https://twitter.com/New081082/status/1364104244307980293","1364104244307980293")</f>
        <v>1364104244307980293</v>
      </c>
      <c r="F1752" s="14" t="s">
        <v>7144</v>
      </c>
      <c r="G1752" s="7" t="s">
        <v>7145</v>
      </c>
      <c r="H1752" s="8"/>
      <c r="I1752" s="14">
        <v>22</v>
      </c>
      <c r="J1752" s="14">
        <v>10</v>
      </c>
      <c r="K1752" s="6" t="str">
        <f>HYPERLINK("http://twitter.com/download/iphone","Twitter for iPhone")</f>
        <v>Twitter for iPhone</v>
      </c>
      <c r="L1752" s="15">
        <v>767</v>
      </c>
      <c r="M1752" s="15">
        <v>760</v>
      </c>
      <c r="N1752" s="15">
        <v>4</v>
      </c>
      <c r="O1752" s="9"/>
      <c r="P1752" s="10">
        <v>44049.665451388893</v>
      </c>
      <c r="Q1752" s="14" t="s">
        <v>926</v>
      </c>
      <c r="R1752" s="14" t="s">
        <v>6095</v>
      </c>
      <c r="S1752" s="8"/>
      <c r="T1752" s="8"/>
      <c r="U1752" s="11" t="str">
        <f>HYPERLINK("https://pbs.twimg.com/profile_images/1362418074616401921/FBJcHVg8.jpg","View")</f>
        <v>View</v>
      </c>
      <c r="V1752" s="8"/>
      <c r="W1752" s="8"/>
      <c r="X1752" s="8"/>
      <c r="Y1752" s="8"/>
      <c r="Z1752" s="8"/>
    </row>
    <row r="1753" spans="1:26" ht="13.2">
      <c r="A1753" s="13">
        <v>44250.322615740741</v>
      </c>
      <c r="B1753" s="6" t="str">
        <f>HYPERLINK("https://twitter.com/shaif_uddin","@shaif_uddin")</f>
        <v>@shaif_uddin</v>
      </c>
      <c r="C1753" s="14" t="s">
        <v>7146</v>
      </c>
      <c r="D1753" s="14" t="s">
        <v>7147</v>
      </c>
      <c r="E1753" s="6" t="str">
        <f>HYPERLINK("https://twitter.com/shaif_uddin/status/1364103843005353986","1364103843005353986")</f>
        <v>1364103843005353986</v>
      </c>
      <c r="F1753" s="7" t="s">
        <v>7148</v>
      </c>
      <c r="G1753" s="8"/>
      <c r="H1753" s="8"/>
      <c r="I1753" s="14">
        <v>2</v>
      </c>
      <c r="J1753" s="14">
        <v>1</v>
      </c>
      <c r="K1753" s="6" t="str">
        <f>HYPERLINK("https://mobile.twitter.com","Twitter Web App")</f>
        <v>Twitter Web App</v>
      </c>
      <c r="L1753" s="15">
        <v>39</v>
      </c>
      <c r="M1753" s="15">
        <v>50</v>
      </c>
      <c r="N1753" s="15">
        <v>0</v>
      </c>
      <c r="O1753" s="9"/>
      <c r="P1753" s="10">
        <v>40071.684664351851</v>
      </c>
      <c r="Q1753" s="14" t="s">
        <v>7149</v>
      </c>
      <c r="R1753" s="8"/>
      <c r="S1753" s="8"/>
      <c r="T1753" s="8"/>
      <c r="U1753" s="11" t="str">
        <f>HYPERLINK("https://pbs.twimg.com/profile_images/416424315/SP_A00422.jpg","View")</f>
        <v>View</v>
      </c>
      <c r="V1753" s="8"/>
      <c r="W1753" s="8"/>
      <c r="X1753" s="8"/>
      <c r="Y1753" s="8"/>
      <c r="Z1753" s="8"/>
    </row>
    <row r="1754" spans="1:26" ht="13.2">
      <c r="A1754" s="13">
        <v>44250.321261574078</v>
      </c>
      <c r="B1754" s="6" t="str">
        <f>HYPERLINK("https://twitter.com/machinelearnflx","@machinelearnflx")</f>
        <v>@machinelearnflx</v>
      </c>
      <c r="C1754" s="14" t="s">
        <v>279</v>
      </c>
      <c r="D1754" s="14" t="s">
        <v>7150</v>
      </c>
      <c r="E1754" s="6" t="str">
        <f>HYPERLINK("https://twitter.com/machinelearnflx/status/1364103352741752833","1364103352741752833")</f>
        <v>1364103352741752833</v>
      </c>
      <c r="F1754" s="7" t="s">
        <v>7151</v>
      </c>
      <c r="G1754" s="8"/>
      <c r="H1754" s="8"/>
      <c r="I1754" s="14">
        <v>3</v>
      </c>
      <c r="J1754" s="14">
        <v>5</v>
      </c>
      <c r="K1754" s="6" t="str">
        <f>HYPERLINK("https://twitter.com/pythonbot_","Postmatico")</f>
        <v>Postmatico</v>
      </c>
      <c r="L1754" s="15">
        <v>90451</v>
      </c>
      <c r="M1754" s="15">
        <v>35464</v>
      </c>
      <c r="N1754" s="15">
        <v>2228</v>
      </c>
      <c r="O1754" s="9"/>
      <c r="P1754" s="10">
        <v>42386.538865740746</v>
      </c>
      <c r="Q1754" s="8"/>
      <c r="R1754" s="14" t="s">
        <v>282</v>
      </c>
      <c r="S1754" s="7" t="s">
        <v>283</v>
      </c>
      <c r="T1754" s="8"/>
      <c r="U1754" s="11" t="str">
        <f>HYPERLINK("https://pbs.twimg.com/profile_images/688735459892195329/v8sHaWSG.jpg","View")</f>
        <v>View</v>
      </c>
      <c r="V1754" s="8"/>
      <c r="W1754" s="8"/>
      <c r="X1754" s="8"/>
      <c r="Y1754" s="8"/>
      <c r="Z1754" s="8"/>
    </row>
    <row r="1755" spans="1:26" ht="13.2">
      <c r="A1755" s="13">
        <v>44250.321192129632</v>
      </c>
      <c r="B1755" s="6" t="str">
        <f>HYPERLINK("https://twitter.com/TechvedTv","@TechvedTv")</f>
        <v>@TechvedTv</v>
      </c>
      <c r="C1755" s="14" t="s">
        <v>7152</v>
      </c>
      <c r="D1755" s="14" t="s">
        <v>7153</v>
      </c>
      <c r="E1755" s="6" t="str">
        <f>HYPERLINK("https://twitter.com/TechvedTv/status/1364103328385277957","1364103328385277957")</f>
        <v>1364103328385277957</v>
      </c>
      <c r="F1755" s="7" t="s">
        <v>7154</v>
      </c>
      <c r="G1755" s="7" t="s">
        <v>7155</v>
      </c>
      <c r="H1755" s="8"/>
      <c r="I1755" s="14">
        <v>1</v>
      </c>
      <c r="J1755" s="14">
        <v>1</v>
      </c>
      <c r="K1755" s="6" t="str">
        <f t="shared" ref="K1755:K1757" si="330">HYPERLINK("https://mobile.twitter.com","Twitter Web App")</f>
        <v>Twitter Web App</v>
      </c>
      <c r="L1755" s="15">
        <v>61</v>
      </c>
      <c r="M1755" s="15">
        <v>93</v>
      </c>
      <c r="N1755" s="15">
        <v>0</v>
      </c>
      <c r="O1755" s="9"/>
      <c r="P1755" s="10">
        <v>44090.365069444444</v>
      </c>
      <c r="Q1755" s="8"/>
      <c r="R1755" s="14" t="s">
        <v>7156</v>
      </c>
      <c r="S1755" s="7" t="s">
        <v>7157</v>
      </c>
      <c r="T1755" s="8"/>
      <c r="U1755" s="11" t="str">
        <f>HYPERLINK("https://pbs.twimg.com/profile_images/1306122162986651648/C0juWAMQ.jpg","View")</f>
        <v>View</v>
      </c>
      <c r="V1755" s="8"/>
      <c r="W1755" s="8"/>
      <c r="X1755" s="8"/>
      <c r="Y1755" s="8"/>
      <c r="Z1755" s="8"/>
    </row>
    <row r="1756" spans="1:26" ht="13.2">
      <c r="A1756" s="13">
        <v>44250.320821759262</v>
      </c>
      <c r="B1756" s="6" t="str">
        <f>HYPERLINK("https://twitter.com/rasangarocks","@rasangarocks")</f>
        <v>@rasangarocks</v>
      </c>
      <c r="C1756" s="14" t="s">
        <v>5437</v>
      </c>
      <c r="D1756" s="14" t="s">
        <v>7158</v>
      </c>
      <c r="E1756" s="6" t="str">
        <f>HYPERLINK("https://twitter.com/rasangarocks/status/1364103192217219073","1364103192217219073")</f>
        <v>1364103192217219073</v>
      </c>
      <c r="F1756" s="7" t="s">
        <v>7159</v>
      </c>
      <c r="G1756" s="8"/>
      <c r="H1756" s="8"/>
      <c r="I1756" s="14">
        <v>10</v>
      </c>
      <c r="J1756" s="14">
        <v>6</v>
      </c>
      <c r="K1756" s="6" t="str">
        <f t="shared" si="330"/>
        <v>Twitter Web App</v>
      </c>
      <c r="L1756" s="15">
        <v>50654</v>
      </c>
      <c r="M1756" s="15">
        <v>49987</v>
      </c>
      <c r="N1756" s="15">
        <v>624</v>
      </c>
      <c r="O1756" s="9"/>
      <c r="P1756" s="10">
        <v>42071.75949074074</v>
      </c>
      <c r="Q1756" s="8"/>
      <c r="R1756" s="14" t="s">
        <v>5440</v>
      </c>
      <c r="S1756" s="7" t="s">
        <v>5441</v>
      </c>
      <c r="T1756" s="8"/>
      <c r="U1756" s="11" t="str">
        <f>HYPERLINK("https://pbs.twimg.com/profile_images/771872242300956672/j1H-OInO.jpg","View")</f>
        <v>View</v>
      </c>
      <c r="V1756" s="8"/>
      <c r="W1756" s="8"/>
      <c r="X1756" s="8"/>
      <c r="Y1756" s="8"/>
      <c r="Z1756" s="8"/>
    </row>
    <row r="1757" spans="1:26" ht="13.2">
      <c r="A1757" s="13">
        <v>44250.320729166662</v>
      </c>
      <c r="B1757" s="6" t="str">
        <f>HYPERLINK("https://twitter.com/Advatera","@Advatera")</f>
        <v>@Advatera</v>
      </c>
      <c r="C1757" s="14" t="s">
        <v>7160</v>
      </c>
      <c r="D1757" s="14" t="s">
        <v>7161</v>
      </c>
      <c r="E1757" s="6" t="str">
        <f>HYPERLINK("https://twitter.com/Advatera/status/1364103160688689156","1364103160688689156")</f>
        <v>1364103160688689156</v>
      </c>
      <c r="F1757" s="7" t="s">
        <v>7162</v>
      </c>
      <c r="G1757" s="7" t="s">
        <v>7163</v>
      </c>
      <c r="H1757" s="8"/>
      <c r="I1757" s="14">
        <v>1</v>
      </c>
      <c r="J1757" s="14">
        <v>0</v>
      </c>
      <c r="K1757" s="6" t="str">
        <f t="shared" si="330"/>
        <v>Twitter Web App</v>
      </c>
      <c r="L1757" s="15">
        <v>599</v>
      </c>
      <c r="M1757" s="15">
        <v>556</v>
      </c>
      <c r="N1757" s="15">
        <v>42</v>
      </c>
      <c r="O1757" s="9"/>
      <c r="P1757" s="10">
        <v>41490.99077546296</v>
      </c>
      <c r="Q1757" s="8"/>
      <c r="R1757" s="14" t="s">
        <v>7164</v>
      </c>
      <c r="S1757" s="7" t="s">
        <v>7165</v>
      </c>
      <c r="T1757" s="8"/>
      <c r="U1757" s="11" t="str">
        <f>HYPERLINK("https://pbs.twimg.com/profile_images/378800000303999395/ec90c4b2d444a3efd4dac93e2ae3d1a4.jpeg","View")</f>
        <v>View</v>
      </c>
      <c r="V1757" s="8"/>
      <c r="W1757" s="8"/>
      <c r="X1757" s="8"/>
      <c r="Y1757" s="8"/>
      <c r="Z1757" s="8"/>
    </row>
    <row r="1758" spans="1:26" ht="13.2">
      <c r="A1758" s="13">
        <v>44250.320405092592</v>
      </c>
      <c r="B1758" s="6" t="str">
        <f>HYPERLINK("https://twitter.com/last_crusaderr","@last_crusaderr")</f>
        <v>@last_crusaderr</v>
      </c>
      <c r="C1758" s="14" t="s">
        <v>7166</v>
      </c>
      <c r="D1758" s="14" t="s">
        <v>7167</v>
      </c>
      <c r="E1758" s="6" t="str">
        <f>HYPERLINK("https://twitter.com/last_crusaderr/status/1364103041914261504","1364103041914261504")</f>
        <v>1364103041914261504</v>
      </c>
      <c r="F1758" s="8"/>
      <c r="G1758" s="8"/>
      <c r="H1758" s="8"/>
      <c r="I1758" s="14">
        <v>19</v>
      </c>
      <c r="J1758" s="14">
        <v>12</v>
      </c>
      <c r="K1758" s="6" t="str">
        <f>HYPERLINK("http://twitter.com/download/iphone","Twitter for iPhone")</f>
        <v>Twitter for iPhone</v>
      </c>
      <c r="L1758" s="15">
        <v>206</v>
      </c>
      <c r="M1758" s="15">
        <v>44</v>
      </c>
      <c r="N1758" s="15">
        <v>1</v>
      </c>
      <c r="O1758" s="9"/>
      <c r="P1758" s="10">
        <v>43787.936643518522</v>
      </c>
      <c r="Q1758" s="8"/>
      <c r="R1758" s="14" t="s">
        <v>7168</v>
      </c>
      <c r="S1758" s="8"/>
      <c r="T1758" s="8"/>
      <c r="U1758" s="11" t="str">
        <f>HYPERLINK("https://pbs.twimg.com/profile_images/1353012546974998528/OIGAEkBG.jpg","View")</f>
        <v>View</v>
      </c>
      <c r="V1758" s="8"/>
      <c r="W1758" s="8"/>
      <c r="X1758" s="8"/>
      <c r="Y1758" s="8"/>
      <c r="Z1758" s="8"/>
    </row>
    <row r="1759" spans="1:26" ht="13.2">
      <c r="A1759" s="13">
        <v>44250.319444444445</v>
      </c>
      <c r="B1759" s="6" t="str">
        <f>HYPERLINK("https://twitter.com/Kevindd","@Kevindd")</f>
        <v>@Kevindd</v>
      </c>
      <c r="C1759" s="14" t="s">
        <v>7169</v>
      </c>
      <c r="D1759" s="14" t="s">
        <v>7170</v>
      </c>
      <c r="E1759" s="6" t="str">
        <f>HYPERLINK("https://twitter.com/Kevindd/status/1364102691094360066","1364102691094360066")</f>
        <v>1364102691094360066</v>
      </c>
      <c r="F1759" s="14" t="s">
        <v>7171</v>
      </c>
      <c r="G1759" s="8"/>
      <c r="H1759" s="8"/>
      <c r="I1759" s="14">
        <v>1</v>
      </c>
      <c r="J1759" s="14">
        <v>0</v>
      </c>
      <c r="K1759" s="6" t="str">
        <f>HYPERLINK("http://www.linkedin.com/","LinkedIn")</f>
        <v>LinkedIn</v>
      </c>
      <c r="L1759" s="15">
        <v>1027</v>
      </c>
      <c r="M1759" s="15">
        <v>897</v>
      </c>
      <c r="N1759" s="15">
        <v>69</v>
      </c>
      <c r="O1759" s="9"/>
      <c r="P1759" s="10">
        <v>39960.112500000003</v>
      </c>
      <c r="Q1759" s="14" t="s">
        <v>7172</v>
      </c>
      <c r="R1759" s="14" t="s">
        <v>7173</v>
      </c>
      <c r="S1759" s="7" t="s">
        <v>7174</v>
      </c>
      <c r="T1759" s="8"/>
      <c r="U1759" s="11" t="str">
        <f>HYPERLINK("https://pbs.twimg.com/profile_images/1075974640/kevinpic_small.jpg","View")</f>
        <v>View</v>
      </c>
      <c r="V1759" s="8"/>
      <c r="W1759" s="8"/>
      <c r="X1759" s="8"/>
      <c r="Y1759" s="8"/>
      <c r="Z1759" s="8"/>
    </row>
    <row r="1760" spans="1:26" ht="13.2">
      <c r="A1760" s="13">
        <v>44250.318761574075</v>
      </c>
      <c r="B1760" s="6" t="str">
        <f>HYPERLINK("https://twitter.com/anoushk77","@anoushk77")</f>
        <v>@anoushk77</v>
      </c>
      <c r="C1760" s="14" t="s">
        <v>7175</v>
      </c>
      <c r="D1760" s="14" t="s">
        <v>7176</v>
      </c>
      <c r="E1760" s="6" t="str">
        <f>HYPERLINK("https://twitter.com/anoushk77/status/1364102445903806467","1364102445903806467")</f>
        <v>1364102445903806467</v>
      </c>
      <c r="F1760" s="8"/>
      <c r="G1760" s="7" t="s">
        <v>7177</v>
      </c>
      <c r="H1760" s="8"/>
      <c r="I1760" s="14">
        <v>27</v>
      </c>
      <c r="J1760" s="14">
        <v>20</v>
      </c>
      <c r="K1760" s="6" t="str">
        <f>HYPERLINK("https://yala.social","YalaBot")</f>
        <v>YalaBot</v>
      </c>
      <c r="L1760" s="15">
        <v>136</v>
      </c>
      <c r="M1760" s="15">
        <v>390</v>
      </c>
      <c r="N1760" s="15">
        <v>1</v>
      </c>
      <c r="O1760" s="9"/>
      <c r="P1760" s="10">
        <v>42555.830636574072</v>
      </c>
      <c r="Q1760" s="14" t="s">
        <v>7178</v>
      </c>
      <c r="R1760" s="14" t="s">
        <v>7179</v>
      </c>
      <c r="S1760" s="7" t="s">
        <v>7180</v>
      </c>
      <c r="T1760" s="8"/>
      <c r="U1760" s="11" t="str">
        <f>HYPERLINK("https://pbs.twimg.com/profile_images/1340294695054766082/Qbod0NiD.jpg","View")</f>
        <v>View</v>
      </c>
      <c r="V1760" s="8"/>
      <c r="W1760" s="8"/>
      <c r="X1760" s="8"/>
      <c r="Y1760" s="8"/>
      <c r="Z1760" s="8"/>
    </row>
    <row r="1761" spans="1:26" ht="13.2">
      <c r="A1761" s="13">
        <v>44250.317939814813</v>
      </c>
      <c r="B1761" s="6" t="str">
        <f>HYPERLINK("https://twitter.com/jblefevre60","@jblefevre60")</f>
        <v>@jblefevre60</v>
      </c>
      <c r="C1761" s="14" t="s">
        <v>464</v>
      </c>
      <c r="D1761" s="14" t="s">
        <v>7181</v>
      </c>
      <c r="E1761" s="6" t="str">
        <f>HYPERLINK("https://twitter.com/jblefevre60/status/1364102146879332355","1364102146879332355")</f>
        <v>1364102146879332355</v>
      </c>
      <c r="F1761" s="8"/>
      <c r="G1761" s="7" t="s">
        <v>5208</v>
      </c>
      <c r="H1761" s="8"/>
      <c r="I1761" s="14">
        <v>59</v>
      </c>
      <c r="J1761" s="14">
        <v>116</v>
      </c>
      <c r="K1761" s="6" t="str">
        <f>HYPERLINK("http://twitter.com/download/android","Twitter for Android")</f>
        <v>Twitter for Android</v>
      </c>
      <c r="L1761" s="15">
        <v>80848</v>
      </c>
      <c r="M1761" s="15">
        <v>5582</v>
      </c>
      <c r="N1761" s="15">
        <v>5070</v>
      </c>
      <c r="O1761" s="9"/>
      <c r="P1761" s="10">
        <v>42342.801134259258</v>
      </c>
      <c r="Q1761" s="14" t="s">
        <v>106</v>
      </c>
      <c r="R1761" s="14" t="s">
        <v>467</v>
      </c>
      <c r="S1761" s="7" t="s">
        <v>468</v>
      </c>
      <c r="T1761" s="8"/>
      <c r="U1761" s="11" t="str">
        <f>HYPERLINK("https://pbs.twimg.com/profile_images/915247803248599040/GsF3avSn.jpg","View")</f>
        <v>View</v>
      </c>
      <c r="V1761" s="8"/>
      <c r="W1761" s="8"/>
      <c r="X1761" s="8"/>
      <c r="Y1761" s="8"/>
      <c r="Z1761" s="8"/>
    </row>
    <row r="1762" spans="1:26" ht="13.2">
      <c r="A1762" s="13">
        <v>44250.31759259259</v>
      </c>
      <c r="B1762" s="6" t="str">
        <f>HYPERLINK("https://twitter.com/FeatSystems","@FeatSystems")</f>
        <v>@FeatSystems</v>
      </c>
      <c r="C1762" s="14" t="s">
        <v>7182</v>
      </c>
      <c r="D1762" s="14" t="s">
        <v>7183</v>
      </c>
      <c r="E1762" s="6" t="str">
        <f>HYPERLINK("https://twitter.com/FeatSystems/status/1364102020987318275","1364102020987318275")</f>
        <v>1364102020987318275</v>
      </c>
      <c r="F1762" s="8"/>
      <c r="G1762" s="7" t="s">
        <v>7184</v>
      </c>
      <c r="H1762" s="8"/>
      <c r="I1762" s="14">
        <v>0</v>
      </c>
      <c r="J1762" s="14">
        <v>3</v>
      </c>
      <c r="K1762" s="6" t="str">
        <f t="shared" ref="K1762:K1763" si="331">HYPERLINK("https://mobile.twitter.com","Twitter Web App")</f>
        <v>Twitter Web App</v>
      </c>
      <c r="L1762" s="15">
        <v>512</v>
      </c>
      <c r="M1762" s="15">
        <v>761</v>
      </c>
      <c r="N1762" s="15">
        <v>1</v>
      </c>
      <c r="O1762" s="9"/>
      <c r="P1762" s="10">
        <v>41404.582754629628</v>
      </c>
      <c r="Q1762" s="14" t="s">
        <v>3685</v>
      </c>
      <c r="R1762" s="14" t="s">
        <v>7185</v>
      </c>
      <c r="S1762" s="7" t="s">
        <v>7186</v>
      </c>
      <c r="T1762" s="8"/>
      <c r="U1762" s="11" t="str">
        <f>HYPERLINK("https://pbs.twimg.com/profile_images/977961121129943041/JxBR1MlO.jpg","View")</f>
        <v>View</v>
      </c>
      <c r="V1762" s="8"/>
      <c r="W1762" s="8"/>
      <c r="X1762" s="8"/>
      <c r="Y1762" s="8"/>
      <c r="Z1762" s="8"/>
    </row>
    <row r="1763" spans="1:26" ht="13.2">
      <c r="A1763" s="13">
        <v>44250.31726851852</v>
      </c>
      <c r="B1763" s="6" t="str">
        <f>HYPERLINK("https://twitter.com/QAValley","@QAValley")</f>
        <v>@QAValley</v>
      </c>
      <c r="C1763" s="14" t="s">
        <v>5315</v>
      </c>
      <c r="D1763" s="14" t="s">
        <v>7187</v>
      </c>
      <c r="E1763" s="6" t="str">
        <f>HYPERLINK("https://twitter.com/QAValley/status/1364101906218459137","1364101906218459137")</f>
        <v>1364101906218459137</v>
      </c>
      <c r="F1763" s="7" t="s">
        <v>7188</v>
      </c>
      <c r="G1763" s="7" t="s">
        <v>7189</v>
      </c>
      <c r="H1763" s="8"/>
      <c r="I1763" s="14">
        <v>0</v>
      </c>
      <c r="J1763" s="14">
        <v>1</v>
      </c>
      <c r="K1763" s="6" t="str">
        <f t="shared" si="331"/>
        <v>Twitter Web App</v>
      </c>
      <c r="L1763" s="15">
        <v>6419</v>
      </c>
      <c r="M1763" s="15">
        <v>7053</v>
      </c>
      <c r="N1763" s="15">
        <v>15</v>
      </c>
      <c r="O1763" s="9"/>
      <c r="P1763" s="10">
        <v>42058.749386574069</v>
      </c>
      <c r="Q1763" s="14" t="s">
        <v>191</v>
      </c>
      <c r="R1763" s="14" t="s">
        <v>5319</v>
      </c>
      <c r="S1763" s="7" t="s">
        <v>5320</v>
      </c>
      <c r="T1763" s="8"/>
      <c r="U1763" s="11" t="str">
        <f>HYPERLINK("https://pbs.twimg.com/profile_images/976909546240307200/3Gy-rd2X.jpg","View")</f>
        <v>View</v>
      </c>
      <c r="V1763" s="8"/>
      <c r="W1763" s="8"/>
      <c r="X1763" s="8"/>
      <c r="Y1763" s="8"/>
      <c r="Z1763" s="8"/>
    </row>
    <row r="1764" spans="1:26" ht="13.2">
      <c r="A1764" s="13">
        <v>44250.316979166666</v>
      </c>
      <c r="B1764" s="6" t="str">
        <f>HYPERLINK("https://twitter.com/machinelearnflx","@machinelearnflx")</f>
        <v>@machinelearnflx</v>
      </c>
      <c r="C1764" s="14" t="s">
        <v>279</v>
      </c>
      <c r="D1764" s="14" t="s">
        <v>7190</v>
      </c>
      <c r="E1764" s="6" t="str">
        <f>HYPERLINK("https://twitter.com/machinelearnflx/status/1364101801503576067","1364101801503576067")</f>
        <v>1364101801503576067</v>
      </c>
      <c r="F1764" s="7" t="s">
        <v>7191</v>
      </c>
      <c r="G1764" s="8"/>
      <c r="H1764" s="8"/>
      <c r="I1764" s="14">
        <v>9</v>
      </c>
      <c r="J1764" s="14">
        <v>16</v>
      </c>
      <c r="K1764" s="6" t="str">
        <f>HYPERLINK("https://twitter.com/pythonbot_","Postmatico")</f>
        <v>Postmatico</v>
      </c>
      <c r="L1764" s="15">
        <v>90451</v>
      </c>
      <c r="M1764" s="15">
        <v>35464</v>
      </c>
      <c r="N1764" s="15">
        <v>2228</v>
      </c>
      <c r="O1764" s="9"/>
      <c r="P1764" s="10">
        <v>42386.538865740746</v>
      </c>
      <c r="Q1764" s="8"/>
      <c r="R1764" s="14" t="s">
        <v>282</v>
      </c>
      <c r="S1764" s="7" t="s">
        <v>283</v>
      </c>
      <c r="T1764" s="8"/>
      <c r="U1764" s="11" t="str">
        <f>HYPERLINK("https://pbs.twimg.com/profile_images/688735459892195329/v8sHaWSG.jpg","View")</f>
        <v>View</v>
      </c>
      <c r="V1764" s="8"/>
      <c r="W1764" s="8"/>
      <c r="X1764" s="8"/>
      <c r="Y1764" s="8"/>
      <c r="Z1764" s="8"/>
    </row>
    <row r="1765" spans="1:26" ht="13.2">
      <c r="A1765" s="13">
        <v>44250.316018518519</v>
      </c>
      <c r="B1765" s="6" t="str">
        <f>HYPERLINK("https://twitter.com/AI_PlainEnglish","@AI_PlainEnglish")</f>
        <v>@AI_PlainEnglish</v>
      </c>
      <c r="C1765" s="14" t="s">
        <v>2282</v>
      </c>
      <c r="D1765" s="14" t="s">
        <v>7192</v>
      </c>
      <c r="E1765" s="6" t="str">
        <f>HYPERLINK("https://twitter.com/AI_PlainEnglish/status/1364101452612988929","1364101452612988929")</f>
        <v>1364101452612988929</v>
      </c>
      <c r="F1765" s="7" t="s">
        <v>7193</v>
      </c>
      <c r="G1765" s="8"/>
      <c r="H1765" s="8"/>
      <c r="I1765" s="14">
        <v>0</v>
      </c>
      <c r="J1765" s="14">
        <v>0</v>
      </c>
      <c r="K1765" s="8"/>
      <c r="L1765" s="15">
        <v>32</v>
      </c>
      <c r="M1765" s="15">
        <v>5</v>
      </c>
      <c r="N1765" s="15">
        <v>0</v>
      </c>
      <c r="O1765" s="9"/>
      <c r="P1765" s="10">
        <v>44206.451215277775</v>
      </c>
      <c r="Q1765" s="14" t="s">
        <v>2285</v>
      </c>
      <c r="R1765" s="14" t="s">
        <v>2286</v>
      </c>
      <c r="S1765" s="7" t="s">
        <v>2287</v>
      </c>
      <c r="T1765" s="8"/>
      <c r="U1765" s="11" t="str">
        <f>HYPERLINK("https://pbs.twimg.com/profile_images/1359444764098260999/C6-rgvq0.jpg","View")</f>
        <v>View</v>
      </c>
      <c r="V1765" s="8"/>
      <c r="W1765" s="8"/>
      <c r="X1765" s="8"/>
      <c r="Y1765" s="8"/>
      <c r="Z1765" s="8"/>
    </row>
    <row r="1766" spans="1:26" ht="13.2">
      <c r="A1766" s="13">
        <v>44250.315312499995</v>
      </c>
      <c r="B1766" s="6" t="str">
        <f>HYPERLINK("https://twitter.com/gp_pulipaka","@gp_pulipaka")</f>
        <v>@gp_pulipaka</v>
      </c>
      <c r="C1766" s="14" t="s">
        <v>2230</v>
      </c>
      <c r="D1766" s="14" t="s">
        <v>4622</v>
      </c>
      <c r="E1766" s="6" t="str">
        <f>HYPERLINK("https://twitter.com/gp_pulipaka/status/1364101193815965697","1364101193815965697")</f>
        <v>1364101193815965697</v>
      </c>
      <c r="F1766" s="7" t="s">
        <v>7194</v>
      </c>
      <c r="G1766" s="7" t="s">
        <v>7195</v>
      </c>
      <c r="H1766" s="8"/>
      <c r="I1766" s="14">
        <v>42</v>
      </c>
      <c r="J1766" s="14">
        <v>29</v>
      </c>
      <c r="K1766" s="6" t="str">
        <f>HYPERLINK("https://buffer.com","Buffer")</f>
        <v>Buffer</v>
      </c>
      <c r="L1766" s="15">
        <v>109083</v>
      </c>
      <c r="M1766" s="15">
        <v>22723</v>
      </c>
      <c r="N1766" s="15">
        <v>3558</v>
      </c>
      <c r="O1766" s="9"/>
      <c r="P1766" s="10">
        <v>42325.138298611113</v>
      </c>
      <c r="Q1766" s="14" t="s">
        <v>2234</v>
      </c>
      <c r="R1766" s="14" t="s">
        <v>2235</v>
      </c>
      <c r="S1766" s="7" t="s">
        <v>2236</v>
      </c>
      <c r="T1766" s="8"/>
      <c r="U1766" s="11" t="str">
        <f>HYPERLINK("https://pbs.twimg.com/profile_images/1354974939887988736/P9wzBxgk.jpg","View")</f>
        <v>View</v>
      </c>
      <c r="V1766" s="8"/>
      <c r="W1766" s="8"/>
      <c r="X1766" s="8"/>
      <c r="Y1766" s="8"/>
      <c r="Z1766" s="8"/>
    </row>
    <row r="1767" spans="1:26" ht="13.2">
      <c r="A1767" s="13">
        <v>44250.313761574071</v>
      </c>
      <c r="B1767" s="6" t="str">
        <f t="shared" ref="B1767:B1770" si="332">HYPERLINK("https://twitter.com/into_AI","@into_AI")</f>
        <v>@into_AI</v>
      </c>
      <c r="C1767" s="14" t="s">
        <v>2021</v>
      </c>
      <c r="D1767" s="14" t="s">
        <v>7196</v>
      </c>
      <c r="E1767" s="6" t="str">
        <f>HYPERLINK("https://twitter.com/into_AI/status/1364100635482800128","1364100635482800128")</f>
        <v>1364100635482800128</v>
      </c>
      <c r="F1767" s="7" t="s">
        <v>7197</v>
      </c>
      <c r="G1767" s="8"/>
      <c r="H1767" s="8"/>
      <c r="I1767" s="14">
        <v>2</v>
      </c>
      <c r="J1767" s="14">
        <v>2</v>
      </c>
      <c r="K1767" s="6" t="str">
        <f t="shared" ref="K1767:K1770" si="333">HYPERLINK("http://into.AI","into.AI")</f>
        <v>into.AI</v>
      </c>
      <c r="L1767" s="15">
        <v>19374</v>
      </c>
      <c r="M1767" s="15">
        <v>1707</v>
      </c>
      <c r="N1767" s="15">
        <v>3164</v>
      </c>
      <c r="O1767" s="9"/>
      <c r="P1767" s="10">
        <v>42133.721620370372</v>
      </c>
      <c r="Q1767" s="14" t="s">
        <v>2024</v>
      </c>
      <c r="R1767" s="14" t="s">
        <v>2025</v>
      </c>
      <c r="S1767" s="7" t="s">
        <v>2026</v>
      </c>
      <c r="T1767" s="8"/>
      <c r="U1767" s="11" t="str">
        <f t="shared" ref="U1767:U1770" si="334">HYPERLINK("https://pbs.twimg.com/profile_images/967341160124608512/LM2Y5Q5m.jpg","View")</f>
        <v>View</v>
      </c>
      <c r="V1767" s="8"/>
      <c r="W1767" s="8"/>
      <c r="X1767" s="8"/>
      <c r="Y1767" s="8"/>
      <c r="Z1767" s="8"/>
    </row>
    <row r="1768" spans="1:26" ht="13.2">
      <c r="A1768" s="13">
        <v>44250.313680555555</v>
      </c>
      <c r="B1768" s="6" t="str">
        <f t="shared" si="332"/>
        <v>@into_AI</v>
      </c>
      <c r="C1768" s="14" t="s">
        <v>2021</v>
      </c>
      <c r="D1768" s="14" t="s">
        <v>7198</v>
      </c>
      <c r="E1768" s="6" t="str">
        <f>HYPERLINK("https://twitter.com/into_AI/status/1364100605975920641","1364100605975920641")</f>
        <v>1364100605975920641</v>
      </c>
      <c r="F1768" s="7" t="s">
        <v>7199</v>
      </c>
      <c r="G1768" s="8"/>
      <c r="H1768" s="8"/>
      <c r="I1768" s="14">
        <v>3</v>
      </c>
      <c r="J1768" s="14">
        <v>2</v>
      </c>
      <c r="K1768" s="6" t="str">
        <f t="shared" si="333"/>
        <v>into.AI</v>
      </c>
      <c r="L1768" s="15">
        <v>19374</v>
      </c>
      <c r="M1768" s="15">
        <v>1707</v>
      </c>
      <c r="N1768" s="15">
        <v>3164</v>
      </c>
      <c r="O1768" s="9"/>
      <c r="P1768" s="10">
        <v>42133.721620370372</v>
      </c>
      <c r="Q1768" s="14" t="s">
        <v>2024</v>
      </c>
      <c r="R1768" s="14" t="s">
        <v>2025</v>
      </c>
      <c r="S1768" s="7" t="s">
        <v>2026</v>
      </c>
      <c r="T1768" s="8"/>
      <c r="U1768" s="11" t="str">
        <f t="shared" si="334"/>
        <v>View</v>
      </c>
      <c r="V1768" s="8"/>
      <c r="W1768" s="8"/>
      <c r="X1768" s="8"/>
      <c r="Y1768" s="8"/>
      <c r="Z1768" s="8"/>
    </row>
    <row r="1769" spans="1:26" ht="13.2">
      <c r="A1769" s="13">
        <v>44250.313611111109</v>
      </c>
      <c r="B1769" s="6" t="str">
        <f t="shared" si="332"/>
        <v>@into_AI</v>
      </c>
      <c r="C1769" s="14" t="s">
        <v>2021</v>
      </c>
      <c r="D1769" s="14" t="s">
        <v>7200</v>
      </c>
      <c r="E1769" s="6" t="str">
        <f>HYPERLINK("https://twitter.com/into_AI/status/1364100578738061313","1364100578738061313")</f>
        <v>1364100578738061313</v>
      </c>
      <c r="F1769" s="7" t="s">
        <v>7201</v>
      </c>
      <c r="G1769" s="8"/>
      <c r="H1769" s="8"/>
      <c r="I1769" s="14">
        <v>4</v>
      </c>
      <c r="J1769" s="14">
        <v>2</v>
      </c>
      <c r="K1769" s="6" t="str">
        <f t="shared" si="333"/>
        <v>into.AI</v>
      </c>
      <c r="L1769" s="15">
        <v>19374</v>
      </c>
      <c r="M1769" s="15">
        <v>1707</v>
      </c>
      <c r="N1769" s="15">
        <v>3164</v>
      </c>
      <c r="O1769" s="9"/>
      <c r="P1769" s="10">
        <v>42133.721620370372</v>
      </c>
      <c r="Q1769" s="14" t="s">
        <v>2024</v>
      </c>
      <c r="R1769" s="14" t="s">
        <v>2025</v>
      </c>
      <c r="S1769" s="7" t="s">
        <v>2026</v>
      </c>
      <c r="T1769" s="8"/>
      <c r="U1769" s="11" t="str">
        <f t="shared" si="334"/>
        <v>View</v>
      </c>
      <c r="V1769" s="8"/>
      <c r="W1769" s="8"/>
      <c r="X1769" s="8"/>
      <c r="Y1769" s="8"/>
      <c r="Z1769" s="8"/>
    </row>
    <row r="1770" spans="1:26" ht="13.2">
      <c r="A1770" s="13">
        <v>44250.313541666663</v>
      </c>
      <c r="B1770" s="6" t="str">
        <f t="shared" si="332"/>
        <v>@into_AI</v>
      </c>
      <c r="C1770" s="14" t="s">
        <v>2021</v>
      </c>
      <c r="D1770" s="14" t="s">
        <v>7202</v>
      </c>
      <c r="E1770" s="6" t="str">
        <f>HYPERLINK("https://twitter.com/into_AI/status/1364100554385932295","1364100554385932295")</f>
        <v>1364100554385932295</v>
      </c>
      <c r="F1770" s="7" t="s">
        <v>7203</v>
      </c>
      <c r="G1770" s="8"/>
      <c r="H1770" s="8"/>
      <c r="I1770" s="14">
        <v>3</v>
      </c>
      <c r="J1770" s="14">
        <v>3</v>
      </c>
      <c r="K1770" s="6" t="str">
        <f t="shared" si="333"/>
        <v>into.AI</v>
      </c>
      <c r="L1770" s="15">
        <v>19374</v>
      </c>
      <c r="M1770" s="15">
        <v>1707</v>
      </c>
      <c r="N1770" s="15">
        <v>3164</v>
      </c>
      <c r="O1770" s="9"/>
      <c r="P1770" s="10">
        <v>42133.721620370372</v>
      </c>
      <c r="Q1770" s="14" t="s">
        <v>2024</v>
      </c>
      <c r="R1770" s="14" t="s">
        <v>2025</v>
      </c>
      <c r="S1770" s="7" t="s">
        <v>2026</v>
      </c>
      <c r="T1770" s="8"/>
      <c r="U1770" s="11" t="str">
        <f t="shared" si="334"/>
        <v>View</v>
      </c>
      <c r="V1770" s="8"/>
      <c r="W1770" s="8"/>
      <c r="X1770" s="8"/>
      <c r="Y1770" s="8"/>
      <c r="Z1770" s="8"/>
    </row>
    <row r="1771" spans="1:26" ht="13.2">
      <c r="A1771" s="13">
        <v>44250.312789351854</v>
      </c>
      <c r="B1771" s="6" t="str">
        <f>HYPERLINK("https://twitter.com/EngBigData","@EngBigData")</f>
        <v>@EngBigData</v>
      </c>
      <c r="C1771" s="14" t="s">
        <v>7204</v>
      </c>
      <c r="D1771" s="14" t="s">
        <v>7205</v>
      </c>
      <c r="E1771" s="6" t="str">
        <f>HYPERLINK("https://twitter.com/EngBigData/status/1364100280124661761","1364100280124661761")</f>
        <v>1364100280124661761</v>
      </c>
      <c r="F1771" s="7" t="s">
        <v>7206</v>
      </c>
      <c r="G1771" s="8"/>
      <c r="H1771" s="8"/>
      <c r="I1771" s="14">
        <v>3</v>
      </c>
      <c r="J1771" s="14">
        <v>2</v>
      </c>
      <c r="K1771" s="6" t="str">
        <f>HYPERLINK("https://www.engineeringbigdata.com/","Auto Tweets with Python")</f>
        <v>Auto Tweets with Python</v>
      </c>
      <c r="L1771" s="15">
        <v>889</v>
      </c>
      <c r="M1771" s="15">
        <v>995</v>
      </c>
      <c r="N1771" s="15">
        <v>9</v>
      </c>
      <c r="O1771" s="9"/>
      <c r="P1771" s="10">
        <v>43120.128680555557</v>
      </c>
      <c r="Q1771" s="14" t="s">
        <v>7207</v>
      </c>
      <c r="R1771" s="14" t="s">
        <v>7208</v>
      </c>
      <c r="S1771" s="7" t="s">
        <v>7209</v>
      </c>
      <c r="T1771" s="8"/>
      <c r="U1771" s="11" t="str">
        <f>HYPERLINK("https://pbs.twimg.com/profile_images/1345364875611090952/KIIaFSI3.jpg","View")</f>
        <v>View</v>
      </c>
      <c r="V1771" s="8"/>
      <c r="W1771" s="8"/>
      <c r="X1771" s="8"/>
      <c r="Y1771" s="8"/>
      <c r="Z1771" s="8"/>
    </row>
    <row r="1772" spans="1:26" ht="13.2">
      <c r="A1772" s="13">
        <v>44250.312627314815</v>
      </c>
      <c r="B1772" s="6" t="str">
        <f>HYPERLINK("https://twitter.com/seeingmachines","@seeingmachines")</f>
        <v>@seeingmachines</v>
      </c>
      <c r="C1772" s="14" t="s">
        <v>7210</v>
      </c>
      <c r="D1772" s="14" t="s">
        <v>7211</v>
      </c>
      <c r="E1772" s="6" t="str">
        <f>HYPERLINK("https://twitter.com/seeingmachines/status/1364100222109036546","1364100222109036546")</f>
        <v>1364100222109036546</v>
      </c>
      <c r="F1772" s="8"/>
      <c r="G1772" s="7" t="s">
        <v>7212</v>
      </c>
      <c r="H1772" s="8"/>
      <c r="I1772" s="14">
        <v>10</v>
      </c>
      <c r="J1772" s="14">
        <v>22</v>
      </c>
      <c r="K1772" s="6" t="str">
        <f>HYPERLINK("https://www.hootsuite.com","Hootsuite Inc.")</f>
        <v>Hootsuite Inc.</v>
      </c>
      <c r="L1772" s="15">
        <v>2358</v>
      </c>
      <c r="M1772" s="15">
        <v>711</v>
      </c>
      <c r="N1772" s="15">
        <v>43</v>
      </c>
      <c r="O1772" s="9"/>
      <c r="P1772" s="10">
        <v>40583.912291666667</v>
      </c>
      <c r="Q1772" s="8"/>
      <c r="R1772" s="14" t="s">
        <v>7213</v>
      </c>
      <c r="S1772" s="7" t="s">
        <v>7214</v>
      </c>
      <c r="T1772" s="8"/>
      <c r="U1772" s="11" t="str">
        <f>HYPERLINK("https://pbs.twimg.com/profile_images/930944923565670403/bwGJZT8Z.jpg","View")</f>
        <v>View</v>
      </c>
      <c r="V1772" s="8"/>
      <c r="W1772" s="8"/>
      <c r="X1772" s="8"/>
      <c r="Y1772" s="8"/>
      <c r="Z1772" s="8"/>
    </row>
    <row r="1773" spans="1:26" ht="13.2">
      <c r="A1773" s="13">
        <v>44250.312581018516</v>
      </c>
      <c r="B1773" s="6" t="str">
        <f>HYPERLINK("https://twitter.com/ipfconline1","@ipfconline1")</f>
        <v>@ipfconline1</v>
      </c>
      <c r="C1773" s="14" t="s">
        <v>65</v>
      </c>
      <c r="D1773" s="14" t="s">
        <v>7215</v>
      </c>
      <c r="E1773" s="6" t="str">
        <f>HYPERLINK("https://twitter.com/ipfconline1/status/1364100204027338753","1364100204027338753")</f>
        <v>1364100204027338753</v>
      </c>
      <c r="F1773" s="7" t="s">
        <v>7216</v>
      </c>
      <c r="G1773" s="7" t="s">
        <v>7217</v>
      </c>
      <c r="H1773" s="8"/>
      <c r="I1773" s="14">
        <v>15</v>
      </c>
      <c r="J1773" s="14">
        <v>13</v>
      </c>
      <c r="K1773" s="6" t="str">
        <f>HYPERLINK("https://twittimer.com","Twittimer")</f>
        <v>Twittimer</v>
      </c>
      <c r="L1773" s="15">
        <v>112675</v>
      </c>
      <c r="M1773" s="15">
        <v>107162</v>
      </c>
      <c r="N1773" s="15">
        <v>7806</v>
      </c>
      <c r="O1773" s="9"/>
      <c r="P1773" s="10">
        <v>42433.031967592593</v>
      </c>
      <c r="Q1773" s="14" t="s">
        <v>69</v>
      </c>
      <c r="R1773" s="14" t="s">
        <v>70</v>
      </c>
      <c r="S1773" s="7" t="s">
        <v>71</v>
      </c>
      <c r="T1773" s="8"/>
      <c r="U1773" s="11" t="str">
        <f>HYPERLINK("https://pbs.twimg.com/profile_images/729065804004769793/St2_Pum9.jpg","View")</f>
        <v>View</v>
      </c>
      <c r="V1773" s="8"/>
      <c r="W1773" s="8"/>
      <c r="X1773" s="8"/>
      <c r="Y1773" s="8"/>
      <c r="Z1773" s="8"/>
    </row>
    <row r="1774" spans="1:26" ht="13.2">
      <c r="A1774" s="13">
        <v>44250.31251157407</v>
      </c>
      <c r="B1774" s="6" t="str">
        <f>HYPERLINK("https://twitter.com/LeMagIT","@LeMagIT")</f>
        <v>@LeMagIT</v>
      </c>
      <c r="C1774" s="14" t="s">
        <v>7218</v>
      </c>
      <c r="D1774" s="14" t="s">
        <v>7219</v>
      </c>
      <c r="E1774" s="6" t="str">
        <f>HYPERLINK("https://twitter.com/LeMagIT/status/1364100180648353793","1364100180648353793")</f>
        <v>1364100180648353793</v>
      </c>
      <c r="F1774" s="7" t="s">
        <v>7220</v>
      </c>
      <c r="G1774" s="8"/>
      <c r="H1774" s="8"/>
      <c r="I1774" s="14">
        <v>3</v>
      </c>
      <c r="J1774" s="14">
        <v>3</v>
      </c>
      <c r="K1774" s="6" t="str">
        <f>HYPERLINK("https://sproutsocial.com","Sprout Social")</f>
        <v>Sprout Social</v>
      </c>
      <c r="L1774" s="15">
        <v>16025</v>
      </c>
      <c r="M1774" s="15">
        <v>1170</v>
      </c>
      <c r="N1774" s="15">
        <v>912</v>
      </c>
      <c r="O1774" s="15" t="s">
        <v>130</v>
      </c>
      <c r="P1774" s="10">
        <v>39570.38721064815</v>
      </c>
      <c r="Q1774" s="14" t="s">
        <v>7221</v>
      </c>
      <c r="R1774" s="14" t="s">
        <v>7222</v>
      </c>
      <c r="S1774" s="7" t="s">
        <v>7223</v>
      </c>
      <c r="T1774" s="8"/>
      <c r="U1774" s="11" t="str">
        <f>HYPERLINK("https://pbs.twimg.com/profile_images/1057948353705664513/SupN6P5i.jpg","View")</f>
        <v>View</v>
      </c>
      <c r="V1774" s="8"/>
      <c r="W1774" s="8"/>
      <c r="X1774" s="8"/>
      <c r="Y1774" s="8"/>
      <c r="Z1774" s="8"/>
    </row>
    <row r="1775" spans="1:26" ht="13.2">
      <c r="A1775" s="13">
        <v>44250.3125</v>
      </c>
      <c r="B1775" s="6" t="str">
        <f>HYPERLINK("https://twitter.com/hopsworks","@hopsworks")</f>
        <v>@hopsworks</v>
      </c>
      <c r="C1775" s="14" t="s">
        <v>7224</v>
      </c>
      <c r="D1775" s="14" t="s">
        <v>7225</v>
      </c>
      <c r="E1775" s="6" t="str">
        <f>HYPERLINK("https://twitter.com/hopsworks/status/1364100177804611584","1364100177804611584")</f>
        <v>1364100177804611584</v>
      </c>
      <c r="F1775" s="8"/>
      <c r="G1775" s="7" t="s">
        <v>7226</v>
      </c>
      <c r="H1775" s="8"/>
      <c r="I1775" s="14">
        <v>2</v>
      </c>
      <c r="J1775" s="14">
        <v>11</v>
      </c>
      <c r="K1775" s="6" t="str">
        <f>HYPERLINK("http://www.hubspot.com/","HubSpot")</f>
        <v>HubSpot</v>
      </c>
      <c r="L1775" s="15">
        <v>625</v>
      </c>
      <c r="M1775" s="15">
        <v>536</v>
      </c>
      <c r="N1775" s="15">
        <v>10</v>
      </c>
      <c r="O1775" s="9"/>
      <c r="P1775" s="10">
        <v>41942.586087962962</v>
      </c>
      <c r="Q1775" s="14" t="s">
        <v>7227</v>
      </c>
      <c r="R1775" s="14" t="s">
        <v>7228</v>
      </c>
      <c r="S1775" s="7" t="s">
        <v>7229</v>
      </c>
      <c r="T1775" s="8"/>
      <c r="U1775" s="11" t="str">
        <f>HYPERLINK("https://pbs.twimg.com/profile_images/1305445287318745094/f42WiBS0.png","View")</f>
        <v>View</v>
      </c>
      <c r="V1775" s="8"/>
      <c r="W1775" s="8"/>
      <c r="X1775" s="8"/>
      <c r="Y1775" s="8"/>
      <c r="Z1775" s="8"/>
    </row>
    <row r="1776" spans="1:26" ht="13.2">
      <c r="A1776" s="13">
        <v>44250.3125</v>
      </c>
      <c r="B1776" s="6" t="str">
        <f>HYPERLINK("https://twitter.com/_Harinivas_","@_Harinivas_")</f>
        <v>@_Harinivas_</v>
      </c>
      <c r="C1776" s="14" t="s">
        <v>3156</v>
      </c>
      <c r="D1776" s="14" t="s">
        <v>7230</v>
      </c>
      <c r="E1776" s="6" t="str">
        <f>HYPERLINK("https://twitter.com/_Harinivas_/status/1364100175765987329","1364100175765987329")</f>
        <v>1364100175765987329</v>
      </c>
      <c r="F1776" s="8"/>
      <c r="G1776" s="7" t="s">
        <v>7231</v>
      </c>
      <c r="H1776" s="8"/>
      <c r="I1776" s="14">
        <v>3</v>
      </c>
      <c r="J1776" s="14">
        <v>4</v>
      </c>
      <c r="K1776" s="6" t="str">
        <f>HYPERLINK("https://mobile.twitter.com","Twitter Web App")</f>
        <v>Twitter Web App</v>
      </c>
      <c r="L1776" s="15">
        <v>16</v>
      </c>
      <c r="M1776" s="15">
        <v>85</v>
      </c>
      <c r="N1776" s="15">
        <v>0</v>
      </c>
      <c r="O1776" s="9"/>
      <c r="P1776" s="10">
        <v>44245.6091087963</v>
      </c>
      <c r="Q1776" s="8"/>
      <c r="R1776" s="14" t="s">
        <v>3159</v>
      </c>
      <c r="S1776" s="8"/>
      <c r="T1776" s="8"/>
      <c r="U1776" s="11" t="str">
        <f>HYPERLINK("https://pbs.twimg.com/profile_images/1363061419797716994/2Yn7O2fH.jpg","View")</f>
        <v>View</v>
      </c>
      <c r="V1776" s="8"/>
      <c r="W1776" s="8"/>
      <c r="X1776" s="8"/>
      <c r="Y1776" s="8"/>
      <c r="Z1776" s="8"/>
    </row>
    <row r="1777" spans="1:26" ht="13.2">
      <c r="A1777" s="13">
        <v>44250.310057870374</v>
      </c>
      <c r="B1777" s="6" t="str">
        <f>HYPERLINK("https://twitter.com/PandhareSidhesh","@PandhareSidhesh")</f>
        <v>@PandhareSidhesh</v>
      </c>
      <c r="C1777" s="14" t="s">
        <v>2399</v>
      </c>
      <c r="D1777" s="14" t="s">
        <v>5021</v>
      </c>
      <c r="E1777" s="6" t="str">
        <f>HYPERLINK("https://twitter.com/PandhareSidhesh/status/1364099290231169025","1364099290231169025")</f>
        <v>1364099290231169025</v>
      </c>
      <c r="F1777" s="14" t="s">
        <v>4928</v>
      </c>
      <c r="G1777" s="8"/>
      <c r="H1777" s="8"/>
      <c r="I1777" s="14">
        <v>1</v>
      </c>
      <c r="J1777" s="14">
        <v>1</v>
      </c>
      <c r="K1777" s="6" t="str">
        <f>HYPERLINK("http://twinybots.com","TwinyBots")</f>
        <v>TwinyBots</v>
      </c>
      <c r="L1777" s="15">
        <v>811</v>
      </c>
      <c r="M1777" s="15">
        <v>965</v>
      </c>
      <c r="N1777" s="15">
        <v>17</v>
      </c>
      <c r="O1777" s="9"/>
      <c r="P1777" s="10">
        <v>41917.38753472222</v>
      </c>
      <c r="Q1777" s="14" t="s">
        <v>2167</v>
      </c>
      <c r="R1777" s="14" t="s">
        <v>2400</v>
      </c>
      <c r="S1777" s="7" t="s">
        <v>2401</v>
      </c>
      <c r="T1777" s="8"/>
      <c r="U1777" s="11" t="str">
        <f>HYPERLINK("https://pbs.twimg.com/profile_images/1089412063355637761/6l3zV4bs.jpg","View")</f>
        <v>View</v>
      </c>
      <c r="V1777" s="8"/>
      <c r="W1777" s="8"/>
      <c r="X1777" s="8"/>
      <c r="Y1777" s="8"/>
      <c r="Z1777" s="8"/>
    </row>
    <row r="1778" spans="1:26" ht="13.2">
      <c r="A1778" s="13">
        <v>44250.308645833335</v>
      </c>
      <c r="B1778" s="6" t="str">
        <f>HYPERLINK("https://twitter.com/machinelearnflx","@machinelearnflx")</f>
        <v>@machinelearnflx</v>
      </c>
      <c r="C1778" s="14" t="s">
        <v>279</v>
      </c>
      <c r="D1778" s="14" t="s">
        <v>7232</v>
      </c>
      <c r="E1778" s="6" t="str">
        <f>HYPERLINK("https://twitter.com/machinelearnflx/status/1364098779918594049","1364098779918594049")</f>
        <v>1364098779918594049</v>
      </c>
      <c r="F1778" s="7" t="s">
        <v>7233</v>
      </c>
      <c r="G1778" s="8"/>
      <c r="H1778" s="8"/>
      <c r="I1778" s="14">
        <v>2</v>
      </c>
      <c r="J1778" s="14">
        <v>8</v>
      </c>
      <c r="K1778" s="6" t="str">
        <f>HYPERLINK("https://twitter.com/pythonbot_","Postmatico")</f>
        <v>Postmatico</v>
      </c>
      <c r="L1778" s="15">
        <v>90451</v>
      </c>
      <c r="M1778" s="15">
        <v>35464</v>
      </c>
      <c r="N1778" s="15">
        <v>2228</v>
      </c>
      <c r="O1778" s="9"/>
      <c r="P1778" s="10">
        <v>42386.538865740746</v>
      </c>
      <c r="Q1778" s="8"/>
      <c r="R1778" s="14" t="s">
        <v>282</v>
      </c>
      <c r="S1778" s="7" t="s">
        <v>283</v>
      </c>
      <c r="T1778" s="8"/>
      <c r="U1778" s="11" t="str">
        <f>HYPERLINK("https://pbs.twimg.com/profile_images/688735459892195329/v8sHaWSG.jpg","View")</f>
        <v>View</v>
      </c>
      <c r="V1778" s="8"/>
      <c r="W1778" s="8"/>
      <c r="X1778" s="8"/>
      <c r="Y1778" s="8"/>
      <c r="Z1778" s="8"/>
    </row>
    <row r="1779" spans="1:26" ht="13.2">
      <c r="A1779" s="13">
        <v>44250.308298611111</v>
      </c>
      <c r="B1779" s="6" t="str">
        <f>HYPERLINK("https://twitter.com/AllsoftI","@AllsoftI")</f>
        <v>@AllsoftI</v>
      </c>
      <c r="C1779" s="14" t="s">
        <v>7234</v>
      </c>
      <c r="D1779" s="14" t="s">
        <v>7235</v>
      </c>
      <c r="E1779" s="6" t="str">
        <f>HYPERLINK("https://twitter.com/AllsoftI/status/1364098655951613954","1364098655951613954")</f>
        <v>1364098655951613954</v>
      </c>
      <c r="F1779" s="7" t="s">
        <v>7236</v>
      </c>
      <c r="G1779" s="7" t="s">
        <v>7237</v>
      </c>
      <c r="H1779" s="8"/>
      <c r="I1779" s="14">
        <v>2</v>
      </c>
      <c r="J1779" s="14">
        <v>5</v>
      </c>
      <c r="K1779" s="6" t="str">
        <f t="shared" ref="K1779:K1781" si="335">HYPERLINK("https://mobile.twitter.com","Twitter Web App")</f>
        <v>Twitter Web App</v>
      </c>
      <c r="L1779" s="15">
        <v>22</v>
      </c>
      <c r="M1779" s="15">
        <v>197</v>
      </c>
      <c r="N1779" s="15">
        <v>0</v>
      </c>
      <c r="O1779" s="9"/>
      <c r="P1779" s="10">
        <v>43882.609722222223</v>
      </c>
      <c r="Q1779" s="14" t="s">
        <v>7238</v>
      </c>
      <c r="R1779" s="14" t="s">
        <v>7239</v>
      </c>
      <c r="S1779" s="7" t="s">
        <v>7236</v>
      </c>
      <c r="T1779" s="8"/>
      <c r="U1779" s="11" t="str">
        <f>HYPERLINK("https://pbs.twimg.com/profile_images/1279015240529821697/COM8AAPA.jpg","View")</f>
        <v>View</v>
      </c>
      <c r="V1779" s="8"/>
      <c r="W1779" s="8"/>
      <c r="X1779" s="8"/>
      <c r="Y1779" s="8"/>
      <c r="Z1779" s="8"/>
    </row>
    <row r="1780" spans="1:26" ht="13.2">
      <c r="A1780" s="13">
        <v>44250.308275462958</v>
      </c>
      <c r="B1780" s="6" t="str">
        <f>HYPERLINK("https://twitter.com/rasangarocks","@rasangarocks")</f>
        <v>@rasangarocks</v>
      </c>
      <c r="C1780" s="14" t="s">
        <v>5437</v>
      </c>
      <c r="D1780" s="14" t="s">
        <v>7240</v>
      </c>
      <c r="E1780" s="6" t="str">
        <f>HYPERLINK("https://twitter.com/rasangarocks/status/1364098645721636865","1364098645721636865")</f>
        <v>1364098645721636865</v>
      </c>
      <c r="F1780" s="7" t="s">
        <v>7241</v>
      </c>
      <c r="G1780" s="8"/>
      <c r="H1780" s="8"/>
      <c r="I1780" s="14">
        <v>25</v>
      </c>
      <c r="J1780" s="14">
        <v>12</v>
      </c>
      <c r="K1780" s="6" t="str">
        <f t="shared" si="335"/>
        <v>Twitter Web App</v>
      </c>
      <c r="L1780" s="15">
        <v>50654</v>
      </c>
      <c r="M1780" s="15">
        <v>49987</v>
      </c>
      <c r="N1780" s="15">
        <v>624</v>
      </c>
      <c r="O1780" s="9"/>
      <c r="P1780" s="10">
        <v>42071.75949074074</v>
      </c>
      <c r="Q1780" s="8"/>
      <c r="R1780" s="14" t="s">
        <v>5440</v>
      </c>
      <c r="S1780" s="7" t="s">
        <v>5441</v>
      </c>
      <c r="T1780" s="8"/>
      <c r="U1780" s="11" t="str">
        <f>HYPERLINK("https://pbs.twimg.com/profile_images/771872242300956672/j1H-OInO.jpg","View")</f>
        <v>View</v>
      </c>
      <c r="V1780" s="8"/>
      <c r="W1780" s="8"/>
      <c r="X1780" s="8"/>
      <c r="Y1780" s="8"/>
      <c r="Z1780" s="8"/>
    </row>
    <row r="1781" spans="1:26" ht="13.2">
      <c r="A1781" s="13">
        <v>44250.307743055557</v>
      </c>
      <c r="B1781" s="6" t="str">
        <f>HYPERLINK("https://twitter.com/ml_india_","@ml_india_")</f>
        <v>@ml_india_</v>
      </c>
      <c r="C1781" s="14" t="s">
        <v>7242</v>
      </c>
      <c r="D1781" s="12" t="s">
        <v>7243</v>
      </c>
      <c r="E1781" s="6" t="str">
        <f>HYPERLINK("https://twitter.com/ml_india_/status/1364098454637604866","1364098454637604866")</f>
        <v>1364098454637604866</v>
      </c>
      <c r="F1781" s="8"/>
      <c r="G1781" s="7" t="s">
        <v>7244</v>
      </c>
      <c r="H1781" s="8"/>
      <c r="I1781" s="14">
        <v>3</v>
      </c>
      <c r="J1781" s="14">
        <v>17</v>
      </c>
      <c r="K1781" s="6" t="str">
        <f t="shared" si="335"/>
        <v>Twitter Web App</v>
      </c>
      <c r="L1781" s="15">
        <v>3137</v>
      </c>
      <c r="M1781" s="15">
        <v>156</v>
      </c>
      <c r="N1781" s="15">
        <v>28</v>
      </c>
      <c r="O1781" s="9"/>
      <c r="P1781" s="10">
        <v>43225.634675925925</v>
      </c>
      <c r="Q1781" s="14" t="s">
        <v>2167</v>
      </c>
      <c r="R1781" s="14" t="s">
        <v>7245</v>
      </c>
      <c r="S1781" s="7" t="s">
        <v>7246</v>
      </c>
      <c r="T1781" s="8"/>
      <c r="U1781" s="11" t="str">
        <f>HYPERLINK("https://pbs.twimg.com/profile_images/1313664930470535168/aTDgleUb.jpg","View")</f>
        <v>View</v>
      </c>
      <c r="V1781" s="8"/>
      <c r="W1781" s="8"/>
      <c r="X1781" s="8"/>
      <c r="Y1781" s="8"/>
      <c r="Z1781" s="8"/>
    </row>
    <row r="1782" spans="1:26" ht="13.2">
      <c r="A1782" s="13">
        <v>44250.307534722218</v>
      </c>
      <c r="B1782" s="6" t="str">
        <f>HYPERLINK("https://twitter.com/AbhijeetAjoynil","@AbhijeetAjoynil")</f>
        <v>@AbhijeetAjoynil</v>
      </c>
      <c r="C1782" s="14" t="s">
        <v>7247</v>
      </c>
      <c r="D1782" s="14" t="s">
        <v>7248</v>
      </c>
      <c r="E1782" s="6" t="str">
        <f>HYPERLINK("https://twitter.com/AbhijeetAjoynil/status/1364098378078904328","1364098378078904328")</f>
        <v>1364098378078904328</v>
      </c>
      <c r="F1782" s="7" t="s">
        <v>7249</v>
      </c>
      <c r="G1782" s="8"/>
      <c r="H1782" s="8"/>
      <c r="I1782" s="14">
        <v>0</v>
      </c>
      <c r="J1782" s="14">
        <v>1</v>
      </c>
      <c r="K1782" s="6" t="str">
        <f>HYPERLINK("http://www.linkedin.com/","LinkedIn")</f>
        <v>LinkedIn</v>
      </c>
      <c r="L1782" s="15">
        <v>132</v>
      </c>
      <c r="M1782" s="15">
        <v>147</v>
      </c>
      <c r="N1782" s="15">
        <v>22</v>
      </c>
      <c r="O1782" s="9"/>
      <c r="P1782" s="10">
        <v>41578.794386574074</v>
      </c>
      <c r="Q1782" s="14" t="s">
        <v>3176</v>
      </c>
      <c r="R1782" s="14" t="s">
        <v>7250</v>
      </c>
      <c r="S1782" s="7" t="s">
        <v>7251</v>
      </c>
      <c r="T1782" s="8"/>
      <c r="U1782" s="11" t="str">
        <f>HYPERLINK("https://pbs.twimg.com/profile_images/977991973884739585/clW7zaV-.jpg","View")</f>
        <v>View</v>
      </c>
      <c r="V1782" s="8"/>
      <c r="W1782" s="8"/>
      <c r="X1782" s="8"/>
      <c r="Y1782" s="8"/>
      <c r="Z1782" s="8"/>
    </row>
    <row r="1783" spans="1:26" ht="13.2">
      <c r="A1783" s="13">
        <v>44250.306273148148</v>
      </c>
      <c r="B1783" s="6" t="str">
        <f>HYPERLINK("https://twitter.com/milocamj","@milocamj")</f>
        <v>@milocamj</v>
      </c>
      <c r="C1783" s="14" t="s">
        <v>1805</v>
      </c>
      <c r="D1783" s="14" t="s">
        <v>7252</v>
      </c>
      <c r="E1783" s="6" t="str">
        <f>HYPERLINK("https://twitter.com/milocamj/status/1364097920530739200","1364097920530739200")</f>
        <v>1364097920530739200</v>
      </c>
      <c r="F1783" s="7" t="s">
        <v>7253</v>
      </c>
      <c r="G1783" s="8"/>
      <c r="H1783" s="8"/>
      <c r="I1783" s="14">
        <v>3</v>
      </c>
      <c r="J1783" s="14">
        <v>0</v>
      </c>
      <c r="K1783" s="6" t="str">
        <f>HYPERLINK("https://dlvrit.com/","dlvr.it")</f>
        <v>dlvr.it</v>
      </c>
      <c r="L1783" s="15">
        <v>2595</v>
      </c>
      <c r="M1783" s="15">
        <v>48</v>
      </c>
      <c r="N1783" s="15">
        <v>1282</v>
      </c>
      <c r="O1783" s="9"/>
      <c r="P1783" s="10">
        <v>39904.699837962966</v>
      </c>
      <c r="Q1783" s="14" t="s">
        <v>1809</v>
      </c>
      <c r="R1783" s="14" t="s">
        <v>1810</v>
      </c>
      <c r="S1783" s="7" t="s">
        <v>1811</v>
      </c>
      <c r="T1783" s="8"/>
      <c r="U1783" s="11" t="str">
        <f>HYPERLINK("https://pbs.twimg.com/profile_images/1108578778018709505/56I0aOhL.jpg","View")</f>
        <v>View</v>
      </c>
      <c r="V1783" s="8"/>
      <c r="W1783" s="8"/>
      <c r="X1783" s="8"/>
      <c r="Y1783" s="8"/>
      <c r="Z1783" s="8"/>
    </row>
    <row r="1784" spans="1:26" ht="13.2">
      <c r="A1784" s="13">
        <v>44250.306273148148</v>
      </c>
      <c r="B1784" s="6" t="str">
        <f>HYPERLINK("https://twitter.com/Veracitiz","@Veracitiz")</f>
        <v>@Veracitiz</v>
      </c>
      <c r="C1784" s="14" t="s">
        <v>7254</v>
      </c>
      <c r="D1784" s="14" t="s">
        <v>7255</v>
      </c>
      <c r="E1784" s="6" t="str">
        <f>HYPERLINK("https://twitter.com/Veracitiz/status/1364097919461261313","1364097919461261313")</f>
        <v>1364097919461261313</v>
      </c>
      <c r="F1784" s="8"/>
      <c r="G1784" s="7" t="s">
        <v>7256</v>
      </c>
      <c r="H1784" s="8"/>
      <c r="I1784" s="14">
        <v>8</v>
      </c>
      <c r="J1784" s="14">
        <v>5</v>
      </c>
      <c r="K1784" s="6" t="str">
        <f>HYPERLINK("https://buffer.com","Buffer")</f>
        <v>Buffer</v>
      </c>
      <c r="L1784" s="15">
        <v>782</v>
      </c>
      <c r="M1784" s="15">
        <v>348</v>
      </c>
      <c r="N1784" s="15">
        <v>9</v>
      </c>
      <c r="O1784" s="9"/>
      <c r="P1784" s="10">
        <v>41086.362442129626</v>
      </c>
      <c r="Q1784" s="8"/>
      <c r="R1784" s="14" t="s">
        <v>7257</v>
      </c>
      <c r="S1784" s="7" t="s">
        <v>7258</v>
      </c>
      <c r="T1784" s="8"/>
      <c r="U1784" s="11" t="str">
        <f>HYPERLINK("https://pbs.twimg.com/profile_images/1256933067429523457/fhEOqEHn.jpg","View")</f>
        <v>View</v>
      </c>
      <c r="V1784" s="8"/>
      <c r="W1784" s="8"/>
      <c r="X1784" s="8"/>
      <c r="Y1784" s="8"/>
      <c r="Z1784" s="8"/>
    </row>
    <row r="1785" spans="1:26" ht="13.2">
      <c r="A1785" s="13">
        <v>44250.305520833332</v>
      </c>
      <c r="B1785" s="6" t="str">
        <f>HYPERLINK("https://twitter.com/xlmdev","@xlmdev")</f>
        <v>@xlmdev</v>
      </c>
      <c r="C1785" s="14" t="s">
        <v>7259</v>
      </c>
      <c r="D1785" s="14" t="s">
        <v>7260</v>
      </c>
      <c r="E1785" s="6" t="str">
        <f>HYPERLINK("https://twitter.com/xlmdev/status/1364097648509161472","1364097648509161472")</f>
        <v>1364097648509161472</v>
      </c>
      <c r="F1785" s="8"/>
      <c r="G1785" s="8"/>
      <c r="H1785" s="8"/>
      <c r="I1785" s="14">
        <v>4</v>
      </c>
      <c r="J1785" s="14">
        <v>4</v>
      </c>
      <c r="K1785" s="6" t="str">
        <f>HYPERLINK("http://twitter.com/download/android","Twitter for Android")</f>
        <v>Twitter for Android</v>
      </c>
      <c r="L1785" s="15">
        <v>110</v>
      </c>
      <c r="M1785" s="15">
        <v>566</v>
      </c>
      <c r="N1785" s="15">
        <v>1</v>
      </c>
      <c r="O1785" s="9"/>
      <c r="P1785" s="10">
        <v>43757.193275462967</v>
      </c>
      <c r="Q1785" s="14" t="s">
        <v>7261</v>
      </c>
      <c r="R1785" s="14" t="s">
        <v>7262</v>
      </c>
      <c r="S1785" s="7" t="s">
        <v>7263</v>
      </c>
      <c r="T1785" s="8"/>
      <c r="U1785" s="11" t="str">
        <f>HYPERLINK("https://pbs.twimg.com/profile_images/1347398336291082243/gUz-oVVd.jpg","View")</f>
        <v>View</v>
      </c>
      <c r="V1785" s="8"/>
      <c r="W1785" s="8"/>
      <c r="X1785" s="8"/>
      <c r="Y1785" s="8"/>
      <c r="Z1785" s="8"/>
    </row>
    <row r="1786" spans="1:26" ht="13.2">
      <c r="A1786" s="13">
        <v>44250.30469907407</v>
      </c>
      <c r="B1786" s="6" t="str">
        <f>HYPERLINK("https://twitter.com/bhatnagarkush","@bhatnagarkush")</f>
        <v>@bhatnagarkush</v>
      </c>
      <c r="C1786" s="14" t="s">
        <v>7264</v>
      </c>
      <c r="D1786" s="14" t="s">
        <v>7265</v>
      </c>
      <c r="E1786" s="6" t="str">
        <f>HYPERLINK("https://twitter.com/bhatnagarkush/status/1364097350977810433","1364097350977810433")</f>
        <v>1364097350977810433</v>
      </c>
      <c r="F1786" s="8"/>
      <c r="G1786" s="8"/>
      <c r="H1786" s="8"/>
      <c r="I1786" s="14">
        <v>3</v>
      </c>
      <c r="J1786" s="14">
        <v>1</v>
      </c>
      <c r="K1786" s="6" t="str">
        <f t="shared" ref="K1786:K1787" si="336">HYPERLINK("https://mobile.twitter.com","Twitter Web App")</f>
        <v>Twitter Web App</v>
      </c>
      <c r="L1786" s="15">
        <v>23</v>
      </c>
      <c r="M1786" s="15">
        <v>71</v>
      </c>
      <c r="N1786" s="15">
        <v>0</v>
      </c>
      <c r="O1786" s="9"/>
      <c r="P1786" s="10">
        <v>40479.833101851851</v>
      </c>
      <c r="Q1786" s="14" t="s">
        <v>1742</v>
      </c>
      <c r="R1786" s="14" t="s">
        <v>7266</v>
      </c>
      <c r="S1786" s="8"/>
      <c r="T1786" s="8"/>
      <c r="U1786" s="11" t="str">
        <f>HYPERLINK("https://pbs.twimg.com/profile_images/1218916577212391424/_5Vi-0HN.jpg","View")</f>
        <v>View</v>
      </c>
      <c r="V1786" s="8"/>
      <c r="W1786" s="8"/>
      <c r="X1786" s="8"/>
      <c r="Y1786" s="8"/>
      <c r="Z1786" s="8"/>
    </row>
    <row r="1787" spans="1:26" ht="13.2">
      <c r="A1787" s="13">
        <v>44250.302777777775</v>
      </c>
      <c r="B1787" s="6" t="str">
        <f>HYPERLINK("https://twitter.com/itvibesau","@itvibesau")</f>
        <v>@itvibesau</v>
      </c>
      <c r="C1787" s="7" t="s">
        <v>7267</v>
      </c>
      <c r="D1787" s="14" t="s">
        <v>7268</v>
      </c>
      <c r="E1787" s="6" t="str">
        <f>HYPERLINK("https://twitter.com/itvibesau/status/1364096652282265600","1364096652282265600")</f>
        <v>1364096652282265600</v>
      </c>
      <c r="F1787" s="7" t="s">
        <v>7269</v>
      </c>
      <c r="G1787" s="8"/>
      <c r="H1787" s="8"/>
      <c r="I1787" s="14">
        <v>3</v>
      </c>
      <c r="J1787" s="14">
        <v>3</v>
      </c>
      <c r="K1787" s="6" t="str">
        <f t="shared" si="336"/>
        <v>Twitter Web App</v>
      </c>
      <c r="L1787" s="15">
        <v>28</v>
      </c>
      <c r="M1787" s="15">
        <v>88</v>
      </c>
      <c r="N1787" s="15">
        <v>1</v>
      </c>
      <c r="O1787" s="9"/>
      <c r="P1787" s="10">
        <v>43946.407835648148</v>
      </c>
      <c r="Q1787" s="14" t="s">
        <v>2405</v>
      </c>
      <c r="R1787" s="14" t="s">
        <v>7270</v>
      </c>
      <c r="S1787" s="7" t="s">
        <v>7271</v>
      </c>
      <c r="T1787" s="8"/>
      <c r="U1787" s="11" t="str">
        <f>HYPERLINK("https://pbs.twimg.com/profile_images/1257859344449728512/7ehAk6-d.jpg","View")</f>
        <v>View</v>
      </c>
      <c r="V1787" s="8"/>
      <c r="W1787" s="8"/>
      <c r="X1787" s="8"/>
      <c r="Y1787" s="8"/>
      <c r="Z1787" s="8"/>
    </row>
    <row r="1788" spans="1:26" ht="13.2">
      <c r="A1788" s="13">
        <v>44250.302453703705</v>
      </c>
      <c r="B1788" s="6" t="str">
        <f>HYPERLINK("https://twitter.com/iamalvaromacias","@iamalvaromacias")</f>
        <v>@iamalvaromacias</v>
      </c>
      <c r="C1788" s="14" t="s">
        <v>7272</v>
      </c>
      <c r="D1788" s="14" t="s">
        <v>7273</v>
      </c>
      <c r="E1788" s="6" t="str">
        <f>HYPERLINK("https://twitter.com/iamalvaromacias/status/1364096535533936640","1364096535533936640")</f>
        <v>1364096535533936640</v>
      </c>
      <c r="F1788" s="14" t="s">
        <v>7274</v>
      </c>
      <c r="G1788" s="7" t="s">
        <v>7275</v>
      </c>
      <c r="H1788" s="8"/>
      <c r="I1788" s="14">
        <v>8</v>
      </c>
      <c r="J1788" s="14">
        <v>7</v>
      </c>
      <c r="K1788" s="6" t="str">
        <f>HYPERLINK("http://twitter.com/download/android","Twitter for Android")</f>
        <v>Twitter for Android</v>
      </c>
      <c r="L1788" s="15">
        <v>42</v>
      </c>
      <c r="M1788" s="15">
        <v>94</v>
      </c>
      <c r="N1788" s="15">
        <v>0</v>
      </c>
      <c r="O1788" s="9"/>
      <c r="P1788" s="10">
        <v>43924.274895833332</v>
      </c>
      <c r="Q1788" s="14" t="s">
        <v>7276</v>
      </c>
      <c r="R1788" s="14" t="s">
        <v>7277</v>
      </c>
      <c r="S1788" s="7" t="s">
        <v>7278</v>
      </c>
      <c r="T1788" s="8"/>
      <c r="U1788" s="11" t="str">
        <f>HYPERLINK("https://pbs.twimg.com/profile_images/1355327730221543424/hdWT6ITs.jpg","View")</f>
        <v>View</v>
      </c>
      <c r="V1788" s="8"/>
      <c r="W1788" s="8"/>
      <c r="X1788" s="8"/>
      <c r="Y1788" s="8"/>
      <c r="Z1788" s="8"/>
    </row>
    <row r="1789" spans="1:26" ht="13.2">
      <c r="A1789" s="13">
        <v>44250.302430555559</v>
      </c>
      <c r="B1789" s="6" t="str">
        <f>HYPERLINK("https://twitter.com/PawanSomanchi","@PawanSomanchi")</f>
        <v>@PawanSomanchi</v>
      </c>
      <c r="C1789" s="14" t="s">
        <v>6714</v>
      </c>
      <c r="D1789" s="14" t="s">
        <v>7279</v>
      </c>
      <c r="E1789" s="6" t="str">
        <f>HYPERLINK("https://twitter.com/PawanSomanchi/status/1364096525979254784","1364096525979254784")</f>
        <v>1364096525979254784</v>
      </c>
      <c r="F1789" s="14" t="s">
        <v>7280</v>
      </c>
      <c r="G1789" s="8"/>
      <c r="H1789" s="8"/>
      <c r="I1789" s="14">
        <v>2</v>
      </c>
      <c r="J1789" s="14">
        <v>1</v>
      </c>
      <c r="K1789" s="6" t="str">
        <f>HYPERLINK("http://twinybots.com","TwinyBots")</f>
        <v>TwinyBots</v>
      </c>
      <c r="L1789" s="15">
        <v>895</v>
      </c>
      <c r="M1789" s="15">
        <v>1377</v>
      </c>
      <c r="N1789" s="15">
        <v>12</v>
      </c>
      <c r="O1789" s="9"/>
      <c r="P1789" s="10">
        <v>42629.507384259261</v>
      </c>
      <c r="Q1789" s="14" t="s">
        <v>4166</v>
      </c>
      <c r="R1789" s="14" t="s">
        <v>6715</v>
      </c>
      <c r="S1789" s="7" t="s">
        <v>6716</v>
      </c>
      <c r="T1789" s="8"/>
      <c r="U1789" s="11" t="str">
        <f>HYPERLINK("https://pbs.twimg.com/profile_images/1234794854355369984/b5uzwAtt.jpg","View")</f>
        <v>View</v>
      </c>
      <c r="V1789" s="8"/>
      <c r="W1789" s="8"/>
      <c r="X1789" s="8"/>
      <c r="Y1789" s="8"/>
      <c r="Z1789" s="8"/>
    </row>
    <row r="1790" spans="1:26" ht="13.2">
      <c r="A1790" s="13">
        <v>44250.302152777775</v>
      </c>
      <c r="B1790" s="6" t="str">
        <f>HYPERLINK("https://twitter.com/beyond_machine","@beyond_machine")</f>
        <v>@beyond_machine</v>
      </c>
      <c r="C1790" s="14" t="s">
        <v>3461</v>
      </c>
      <c r="D1790" s="14" t="s">
        <v>7281</v>
      </c>
      <c r="E1790" s="6" t="str">
        <f>HYPERLINK("https://twitter.com/beyond_machine/status/1364096428600135681","1364096428600135681")</f>
        <v>1364096428600135681</v>
      </c>
      <c r="F1790" s="7" t="s">
        <v>7282</v>
      </c>
      <c r="G1790" s="8"/>
      <c r="H1790" s="8"/>
      <c r="I1790" s="14">
        <v>2</v>
      </c>
      <c r="J1790" s="14">
        <v>0</v>
      </c>
      <c r="K1790" s="6" t="str">
        <f>HYPERLINK("https://crowdfireapp.com","Crowdfire App")</f>
        <v>Crowdfire App</v>
      </c>
      <c r="L1790" s="15">
        <v>333</v>
      </c>
      <c r="M1790" s="15">
        <v>1059</v>
      </c>
      <c r="N1790" s="15">
        <v>48</v>
      </c>
      <c r="O1790" s="9"/>
      <c r="P1790" s="10">
        <v>42555.596180555556</v>
      </c>
      <c r="Q1790" s="14" t="s">
        <v>3464</v>
      </c>
      <c r="R1790" s="14" t="s">
        <v>3465</v>
      </c>
      <c r="S1790" s="7" t="s">
        <v>3466</v>
      </c>
      <c r="T1790" s="8"/>
      <c r="U1790" s="11" t="str">
        <f>HYPERLINK("https://pbs.twimg.com/profile_images/929034669781344257/RizBrVJT.jpg","View")</f>
        <v>View</v>
      </c>
      <c r="V1790" s="8"/>
      <c r="W1790" s="8"/>
      <c r="X1790" s="8"/>
      <c r="Y1790" s="8"/>
      <c r="Z1790" s="8"/>
    </row>
    <row r="1791" spans="1:26" ht="13.2">
      <c r="A1791" s="13">
        <v>44250.301354166666</v>
      </c>
      <c r="B1791" s="6" t="str">
        <f>HYPERLINK("https://twitter.com/iamalvaromacias","@iamalvaromacias")</f>
        <v>@iamalvaromacias</v>
      </c>
      <c r="C1791" s="14" t="s">
        <v>7272</v>
      </c>
      <c r="D1791" s="14" t="s">
        <v>7283</v>
      </c>
      <c r="E1791" s="6" t="str">
        <f>HYPERLINK("https://twitter.com/iamalvaromacias/status/1364096136374595584","1364096136374595584")</f>
        <v>1364096136374595584</v>
      </c>
      <c r="F1791" s="7" t="s">
        <v>7284</v>
      </c>
      <c r="G1791" s="7" t="s">
        <v>7285</v>
      </c>
      <c r="H1791" s="8"/>
      <c r="I1791" s="14">
        <v>8</v>
      </c>
      <c r="J1791" s="14">
        <v>3</v>
      </c>
      <c r="K1791" s="6" t="str">
        <f>HYPERLINK("http://twitter.com/download/android","Twitter for Android")</f>
        <v>Twitter for Android</v>
      </c>
      <c r="L1791" s="15">
        <v>42</v>
      </c>
      <c r="M1791" s="15">
        <v>94</v>
      </c>
      <c r="N1791" s="15">
        <v>0</v>
      </c>
      <c r="O1791" s="9"/>
      <c r="P1791" s="10">
        <v>43924.274895833332</v>
      </c>
      <c r="Q1791" s="14" t="s">
        <v>7276</v>
      </c>
      <c r="R1791" s="14" t="s">
        <v>7277</v>
      </c>
      <c r="S1791" s="7" t="s">
        <v>7278</v>
      </c>
      <c r="T1791" s="8"/>
      <c r="U1791" s="11" t="str">
        <f>HYPERLINK("https://pbs.twimg.com/profile_images/1355327730221543424/hdWT6ITs.jpg","View")</f>
        <v>View</v>
      </c>
      <c r="V1791" s="8"/>
      <c r="W1791" s="8"/>
      <c r="X1791" s="8"/>
      <c r="Y1791" s="8"/>
      <c r="Z1791" s="8"/>
    </row>
    <row r="1792" spans="1:26" ht="13.2">
      <c r="A1792" s="13">
        <v>44250.300405092596</v>
      </c>
      <c r="B1792" s="6" t="str">
        <f>HYPERLINK("https://twitter.com/Vitti_AI","@Vitti_AI")</f>
        <v>@Vitti_AI</v>
      </c>
      <c r="C1792" s="14" t="s">
        <v>7286</v>
      </c>
      <c r="D1792" s="14" t="s">
        <v>7287</v>
      </c>
      <c r="E1792" s="6" t="str">
        <f>HYPERLINK("https://twitter.com/Vitti_AI/status/1364095792466694147","1364095792466694147")</f>
        <v>1364095792466694147</v>
      </c>
      <c r="F1792" s="8"/>
      <c r="G1792" s="7" t="s">
        <v>7288</v>
      </c>
      <c r="H1792" s="8"/>
      <c r="I1792" s="14">
        <v>11</v>
      </c>
      <c r="J1792" s="14">
        <v>0</v>
      </c>
      <c r="K1792" s="6" t="str">
        <f t="shared" ref="K1792:K1793" si="337">HYPERLINK("https://mobile.twitter.com","Twitter Web App")</f>
        <v>Twitter Web App</v>
      </c>
      <c r="L1792" s="15">
        <v>36</v>
      </c>
      <c r="M1792" s="15">
        <v>87</v>
      </c>
      <c r="N1792" s="15">
        <v>0</v>
      </c>
      <c r="O1792" s="9"/>
      <c r="P1792" s="10">
        <v>43825.512546296297</v>
      </c>
      <c r="Q1792" s="14" t="s">
        <v>7289</v>
      </c>
      <c r="R1792" s="14" t="s">
        <v>7290</v>
      </c>
      <c r="S1792" s="7" t="s">
        <v>7291</v>
      </c>
      <c r="T1792" s="8"/>
      <c r="U1792" s="11" t="str">
        <f>HYPERLINK("https://pbs.twimg.com/profile_images/1251813425543446528/wIehgD44.jpg","View")</f>
        <v>View</v>
      </c>
      <c r="V1792" s="8"/>
      <c r="W1792" s="8"/>
      <c r="X1792" s="8"/>
      <c r="Y1792" s="8"/>
      <c r="Z1792" s="8"/>
    </row>
    <row r="1793" spans="1:26" ht="13.2">
      <c r="A1793" s="13">
        <v>44250.299687499995</v>
      </c>
      <c r="B1793" s="6" t="str">
        <f>HYPERLINK("https://twitter.com/moueller1961","@moueller1961")</f>
        <v>@moueller1961</v>
      </c>
      <c r="C1793" s="14" t="s">
        <v>6414</v>
      </c>
      <c r="D1793" s="14" t="s">
        <v>7292</v>
      </c>
      <c r="E1793" s="6" t="str">
        <f>HYPERLINK("https://twitter.com/moueller1961/status/1364095532340305923","1364095532340305923")</f>
        <v>1364095532340305923</v>
      </c>
      <c r="F1793" s="7" t="s">
        <v>7293</v>
      </c>
      <c r="G1793" s="7" t="s">
        <v>7294</v>
      </c>
      <c r="H1793" s="8"/>
      <c r="I1793" s="14">
        <v>4</v>
      </c>
      <c r="J1793" s="14">
        <v>4</v>
      </c>
      <c r="K1793" s="6" t="str">
        <f t="shared" si="337"/>
        <v>Twitter Web App</v>
      </c>
      <c r="L1793" s="15">
        <v>2581</v>
      </c>
      <c r="M1793" s="15">
        <v>26</v>
      </c>
      <c r="N1793" s="15">
        <v>256</v>
      </c>
      <c r="O1793" s="9"/>
      <c r="P1793" s="10">
        <v>42106.853055555555</v>
      </c>
      <c r="Q1793" s="8"/>
      <c r="R1793" s="14" t="s">
        <v>6418</v>
      </c>
      <c r="S1793" s="8"/>
      <c r="T1793" s="8"/>
      <c r="U1793" s="11" t="str">
        <f>HYPERLINK("https://pbs.twimg.com/profile_images/1202572262156713985/_52Q3Trv.jpg","View")</f>
        <v>View</v>
      </c>
      <c r="V1793" s="8"/>
      <c r="W1793" s="8"/>
      <c r="X1793" s="8"/>
      <c r="Y1793" s="8"/>
      <c r="Z1793" s="8"/>
    </row>
    <row r="1794" spans="1:26" ht="13.2">
      <c r="A1794" s="13">
        <v>44250.298576388886</v>
      </c>
      <c r="B1794" s="6" t="str">
        <f>HYPERLINK("https://twitter.com/iamalvaromacias","@iamalvaromacias")</f>
        <v>@iamalvaromacias</v>
      </c>
      <c r="C1794" s="14" t="s">
        <v>7272</v>
      </c>
      <c r="D1794" s="14" t="s">
        <v>7295</v>
      </c>
      <c r="E1794" s="6" t="str">
        <f>HYPERLINK("https://twitter.com/iamalvaromacias/status/1364095129041141767","1364095129041141767")</f>
        <v>1364095129041141767</v>
      </c>
      <c r="F1794" s="14" t="s">
        <v>7296</v>
      </c>
      <c r="G1794" s="7" t="s">
        <v>7145</v>
      </c>
      <c r="H1794" s="8"/>
      <c r="I1794" s="14">
        <v>8</v>
      </c>
      <c r="J1794" s="14">
        <v>3</v>
      </c>
      <c r="K1794" s="6" t="str">
        <f>HYPERLINK("http://twitter.com/download/android","Twitter for Android")</f>
        <v>Twitter for Android</v>
      </c>
      <c r="L1794" s="15">
        <v>42</v>
      </c>
      <c r="M1794" s="15">
        <v>94</v>
      </c>
      <c r="N1794" s="15">
        <v>0</v>
      </c>
      <c r="O1794" s="9"/>
      <c r="P1794" s="10">
        <v>43924.274895833332</v>
      </c>
      <c r="Q1794" s="14" t="s">
        <v>7276</v>
      </c>
      <c r="R1794" s="14" t="s">
        <v>7277</v>
      </c>
      <c r="S1794" s="7" t="s">
        <v>7278</v>
      </c>
      <c r="T1794" s="8"/>
      <c r="U1794" s="11" t="str">
        <f>HYPERLINK("https://pbs.twimg.com/profile_images/1355327730221543424/hdWT6ITs.jpg","View")</f>
        <v>View</v>
      </c>
      <c r="V1794" s="8"/>
      <c r="W1794" s="8"/>
      <c r="X1794" s="8"/>
      <c r="Y1794" s="8"/>
      <c r="Z1794" s="8"/>
    </row>
    <row r="1795" spans="1:26" ht="13.2">
      <c r="A1795" s="13">
        <v>44250.296678240746</v>
      </c>
      <c r="B1795" s="6" t="str">
        <f>HYPERLINK("https://twitter.com/edapthere","@edapthere")</f>
        <v>@edapthere</v>
      </c>
      <c r="C1795" s="14" t="s">
        <v>7297</v>
      </c>
      <c r="D1795" s="14" t="s">
        <v>7298</v>
      </c>
      <c r="E1795" s="6" t="str">
        <f>HYPERLINK("https://twitter.com/edapthere/status/1364094442794192900","1364094442794192900")</f>
        <v>1364094442794192900</v>
      </c>
      <c r="F1795" s="7" t="s">
        <v>7299</v>
      </c>
      <c r="G1795" s="7" t="s">
        <v>7300</v>
      </c>
      <c r="H1795" s="8"/>
      <c r="I1795" s="14">
        <v>3</v>
      </c>
      <c r="J1795" s="14">
        <v>4</v>
      </c>
      <c r="K1795" s="6" t="str">
        <f t="shared" ref="K1795:K1796" si="338">HYPERLINK("https://mobile.twitter.com","Twitter Web App")</f>
        <v>Twitter Web App</v>
      </c>
      <c r="L1795" s="15">
        <v>142</v>
      </c>
      <c r="M1795" s="15">
        <v>92</v>
      </c>
      <c r="N1795" s="15">
        <v>0</v>
      </c>
      <c r="O1795" s="9"/>
      <c r="P1795" s="10">
        <v>43507.721215277779</v>
      </c>
      <c r="Q1795" s="14" t="s">
        <v>5572</v>
      </c>
      <c r="R1795" s="14" t="s">
        <v>7301</v>
      </c>
      <c r="S1795" s="7" t="s">
        <v>7302</v>
      </c>
      <c r="T1795" s="8"/>
      <c r="U1795" s="11" t="str">
        <f>HYPERLINK("https://pbs.twimg.com/profile_images/1304331110327828480/r4Ipu7eD.jpg","View")</f>
        <v>View</v>
      </c>
      <c r="V1795" s="8"/>
      <c r="W1795" s="8"/>
      <c r="X1795" s="8"/>
      <c r="Y1795" s="8"/>
      <c r="Z1795" s="8"/>
    </row>
    <row r="1796" spans="1:26" ht="13.2">
      <c r="A1796" s="13">
        <v>44250.296087962968</v>
      </c>
      <c r="B1796" s="6" t="str">
        <f>HYPERLINK("https://twitter.com/teksands","@teksands")</f>
        <v>@teksands</v>
      </c>
      <c r="C1796" s="7" t="s">
        <v>7303</v>
      </c>
      <c r="D1796" s="14" t="s">
        <v>7304</v>
      </c>
      <c r="E1796" s="6" t="str">
        <f>HYPERLINK("https://twitter.com/teksands/status/1364094227286691843","1364094227286691843")</f>
        <v>1364094227286691843</v>
      </c>
      <c r="F1796" s="7" t="s">
        <v>7305</v>
      </c>
      <c r="G1796" s="7" t="s">
        <v>7306</v>
      </c>
      <c r="H1796" s="8"/>
      <c r="I1796" s="14">
        <v>5</v>
      </c>
      <c r="J1796" s="14">
        <v>2</v>
      </c>
      <c r="K1796" s="6" t="str">
        <f t="shared" si="338"/>
        <v>Twitter Web App</v>
      </c>
      <c r="L1796" s="15">
        <v>183</v>
      </c>
      <c r="M1796" s="15">
        <v>21</v>
      </c>
      <c r="N1796" s="15">
        <v>0</v>
      </c>
      <c r="O1796" s="9"/>
      <c r="P1796" s="10">
        <v>44201.483182870375</v>
      </c>
      <c r="Q1796" s="14" t="s">
        <v>364</v>
      </c>
      <c r="R1796" s="14" t="s">
        <v>7307</v>
      </c>
      <c r="S1796" s="7" t="s">
        <v>7308</v>
      </c>
      <c r="T1796" s="8"/>
      <c r="U1796" s="11" t="str">
        <f>HYPERLINK("https://pbs.twimg.com/profile_images/1349253602913619968/2D1GMJZu.jpg","View")</f>
        <v>View</v>
      </c>
      <c r="V1796" s="8"/>
      <c r="W1796" s="8"/>
      <c r="X1796" s="8"/>
      <c r="Y1796" s="8"/>
      <c r="Z1796" s="8"/>
    </row>
    <row r="1797" spans="1:26" ht="13.2">
      <c r="A1797" s="13">
        <v>44250.29586805556</v>
      </c>
      <c r="B1797" s="6" t="str">
        <f>HYPERLINK("https://twitter.com/SpirosMargaris","@SpirosMargaris")</f>
        <v>@SpirosMargaris</v>
      </c>
      <c r="C1797" s="14" t="s">
        <v>3558</v>
      </c>
      <c r="D1797" s="14" t="s">
        <v>7309</v>
      </c>
      <c r="E1797" s="6" t="str">
        <f>HYPERLINK("https://twitter.com/SpirosMargaris/status/1364094149419536385","1364094149419536385")</f>
        <v>1364094149419536385</v>
      </c>
      <c r="F1797" s="7" t="s">
        <v>7310</v>
      </c>
      <c r="G1797" s="7" t="s">
        <v>7311</v>
      </c>
      <c r="H1797" s="8"/>
      <c r="I1797" s="14">
        <v>9</v>
      </c>
      <c r="J1797" s="14">
        <v>9</v>
      </c>
      <c r="K1797" s="6" t="str">
        <f>HYPERLINK("https://buffer.com","Buffer")</f>
        <v>Buffer</v>
      </c>
      <c r="L1797" s="15">
        <v>107389</v>
      </c>
      <c r="M1797" s="15">
        <v>15890</v>
      </c>
      <c r="N1797" s="15">
        <v>5693</v>
      </c>
      <c r="O1797" s="15" t="s">
        <v>130</v>
      </c>
      <c r="P1797" s="10">
        <v>41857.30574074074</v>
      </c>
      <c r="Q1797" s="14" t="s">
        <v>3562</v>
      </c>
      <c r="R1797" s="14" t="s">
        <v>3563</v>
      </c>
      <c r="S1797" s="7" t="s">
        <v>3564</v>
      </c>
      <c r="T1797" s="8"/>
      <c r="U1797" s="11" t="str">
        <f>HYPERLINK("https://pbs.twimg.com/profile_images/1346443960986775553/TGeiH97s.jpg","View")</f>
        <v>View</v>
      </c>
      <c r="V1797" s="8"/>
      <c r="W1797" s="8"/>
      <c r="X1797" s="8"/>
      <c r="Y1797" s="8"/>
      <c r="Z1797" s="8"/>
    </row>
    <row r="1798" spans="1:26" ht="13.2">
      <c r="A1798" s="13">
        <v>44250.295648148152</v>
      </c>
      <c r="B1798" s="6" t="str">
        <f>HYPERLINK("https://twitter.com/sergy_alpin","@sergy_alpin")</f>
        <v>@sergy_alpin</v>
      </c>
      <c r="C1798" s="14" t="s">
        <v>7312</v>
      </c>
      <c r="D1798" s="14" t="s">
        <v>7313</v>
      </c>
      <c r="E1798" s="6" t="str">
        <f>HYPERLINK("https://twitter.com/sergy_alpin/status/1364094070084280324","1364094070084280324")</f>
        <v>1364094070084280324</v>
      </c>
      <c r="F1798" s="8"/>
      <c r="G1798" s="8"/>
      <c r="H1798" s="8"/>
      <c r="I1798" s="14">
        <v>0</v>
      </c>
      <c r="J1798" s="14">
        <v>0</v>
      </c>
      <c r="K1798" s="6" t="str">
        <f>HYPERLINK("http://twitter.com/download/android","Twitter for Android")</f>
        <v>Twitter for Android</v>
      </c>
      <c r="L1798" s="15">
        <v>107</v>
      </c>
      <c r="M1798" s="15">
        <v>389</v>
      </c>
      <c r="N1798" s="15">
        <v>8</v>
      </c>
      <c r="O1798" s="9"/>
      <c r="P1798" s="10">
        <v>39984.516226851854</v>
      </c>
      <c r="Q1798" s="8"/>
      <c r="R1798" s="14" t="s">
        <v>7314</v>
      </c>
      <c r="S1798" s="7" t="s">
        <v>7315</v>
      </c>
      <c r="T1798" s="8"/>
      <c r="U1798" s="11" t="str">
        <f>HYPERLINK("https://pbs.twimg.com/profile_images/378800000518592876/cfc9771737540616d7f54ff708e3ce91.jpeg","View")</f>
        <v>View</v>
      </c>
      <c r="V1798" s="8"/>
      <c r="W1798" s="8"/>
      <c r="X1798" s="8"/>
      <c r="Y1798" s="8"/>
      <c r="Z1798" s="8"/>
    </row>
    <row r="1799" spans="1:26" ht="13.2">
      <c r="A1799" s="13">
        <v>44250.294178240743</v>
      </c>
      <c r="B1799" s="6" t="str">
        <f>HYPERLINK("https://twitter.com/Sirlupinwatson","@Sirlupinwatson")</f>
        <v>@Sirlupinwatson</v>
      </c>
      <c r="C1799" s="14" t="s">
        <v>7033</v>
      </c>
      <c r="D1799" s="14" t="s">
        <v>7316</v>
      </c>
      <c r="E1799" s="6" t="str">
        <f>HYPERLINK("https://twitter.com/Sirlupinwatson/status/1364093535901937664","1364093535901937664")</f>
        <v>1364093535901937664</v>
      </c>
      <c r="F1799" s="7" t="s">
        <v>7317</v>
      </c>
      <c r="G1799" s="7" t="s">
        <v>7318</v>
      </c>
      <c r="H1799" s="8"/>
      <c r="I1799" s="14">
        <v>47</v>
      </c>
      <c r="J1799" s="14">
        <v>14</v>
      </c>
      <c r="K1799" s="6" t="str">
        <f>HYPERLINK("https://mobile.twitter.com","Twitter Web App")</f>
        <v>Twitter Web App</v>
      </c>
      <c r="L1799" s="15">
        <v>1449</v>
      </c>
      <c r="M1799" s="15">
        <v>4070</v>
      </c>
      <c r="N1799" s="15">
        <v>7</v>
      </c>
      <c r="O1799" s="9"/>
      <c r="P1799" s="10">
        <v>42651.939120370371</v>
      </c>
      <c r="Q1799" s="14" t="s">
        <v>2649</v>
      </c>
      <c r="R1799" s="14" t="s">
        <v>7036</v>
      </c>
      <c r="S1799" s="7" t="s">
        <v>7037</v>
      </c>
      <c r="T1799" s="8"/>
      <c r="U1799" s="11" t="str">
        <f>HYPERLINK("https://pbs.twimg.com/profile_images/1310177334708887552/9Q1XMJW2.jpg","View")</f>
        <v>View</v>
      </c>
      <c r="V1799" s="8"/>
      <c r="W1799" s="8"/>
      <c r="X1799" s="8"/>
      <c r="Y1799" s="8"/>
      <c r="Z1799" s="8"/>
    </row>
    <row r="1800" spans="1:26" ht="13.2">
      <c r="A1800" s="13">
        <v>44250.294050925921</v>
      </c>
      <c r="B1800" s="6" t="str">
        <f>HYPERLINK("https://twitter.com/machinelearnflx","@machinelearnflx")</f>
        <v>@machinelearnflx</v>
      </c>
      <c r="C1800" s="14" t="s">
        <v>279</v>
      </c>
      <c r="D1800" s="14" t="s">
        <v>7319</v>
      </c>
      <c r="E1800" s="6" t="str">
        <f>HYPERLINK("https://twitter.com/machinelearnflx/status/1364093491769462784","1364093491769462784")</f>
        <v>1364093491769462784</v>
      </c>
      <c r="F1800" s="7" t="s">
        <v>7320</v>
      </c>
      <c r="G1800" s="8"/>
      <c r="H1800" s="8"/>
      <c r="I1800" s="14">
        <v>2</v>
      </c>
      <c r="J1800" s="14">
        <v>6</v>
      </c>
      <c r="K1800" s="6" t="str">
        <f>HYPERLINK("https://twitter.com/pythonbot_","Postmatico")</f>
        <v>Postmatico</v>
      </c>
      <c r="L1800" s="15">
        <v>90451</v>
      </c>
      <c r="M1800" s="15">
        <v>35464</v>
      </c>
      <c r="N1800" s="15">
        <v>2228</v>
      </c>
      <c r="O1800" s="9"/>
      <c r="P1800" s="10">
        <v>42386.538865740746</v>
      </c>
      <c r="Q1800" s="8"/>
      <c r="R1800" s="14" t="s">
        <v>282</v>
      </c>
      <c r="S1800" s="7" t="s">
        <v>283</v>
      </c>
      <c r="T1800" s="8"/>
      <c r="U1800" s="11" t="str">
        <f>HYPERLINK("https://pbs.twimg.com/profile_images/688735459892195329/v8sHaWSG.jpg","View")</f>
        <v>View</v>
      </c>
      <c r="V1800" s="8"/>
      <c r="W1800" s="8"/>
      <c r="X1800" s="8"/>
      <c r="Y1800" s="8"/>
      <c r="Z1800" s="8"/>
    </row>
    <row r="1801" spans="1:26" ht="13.2">
      <c r="A1801" s="13">
        <v>44250.292662037042</v>
      </c>
      <c r="B1801" s="6" t="str">
        <f>HYPERLINK("https://twitter.com/MarineBonduell1","@MarineBonduell1")</f>
        <v>@MarineBonduell1</v>
      </c>
      <c r="C1801" s="14" t="s">
        <v>733</v>
      </c>
      <c r="D1801" s="14" t="s">
        <v>7321</v>
      </c>
      <c r="E1801" s="6" t="str">
        <f>HYPERLINK("https://twitter.com/MarineBonduell1/status/1364092986037010438","1364092986037010438")</f>
        <v>1364092986037010438</v>
      </c>
      <c r="F1801" s="7" t="s">
        <v>7322</v>
      </c>
      <c r="G1801" s="8"/>
      <c r="H1801" s="8"/>
      <c r="I1801" s="14">
        <v>27</v>
      </c>
      <c r="J1801" s="14">
        <v>15</v>
      </c>
      <c r="K1801" s="6" t="str">
        <f>HYPERLINK("https://socxopte.com/","SocxoPte")</f>
        <v>SocxoPte</v>
      </c>
      <c r="L1801" s="15">
        <v>155</v>
      </c>
      <c r="M1801" s="15">
        <v>148</v>
      </c>
      <c r="N1801" s="15">
        <v>3</v>
      </c>
      <c r="O1801" s="9"/>
      <c r="P1801" s="10">
        <v>44029.710879629631</v>
      </c>
      <c r="Q1801" s="8"/>
      <c r="R1801" s="14" t="s">
        <v>737</v>
      </c>
      <c r="S1801" s="8"/>
      <c r="T1801" s="8"/>
      <c r="U1801" s="11" t="str">
        <f>HYPERLINK("https://pbs.twimg.com/profile_images/1284141799905341441/I_BIa5zR.jpg","View")</f>
        <v>View</v>
      </c>
      <c r="V1801" s="8"/>
      <c r="W1801" s="8"/>
      <c r="X1801" s="8"/>
      <c r="Y1801" s="8"/>
      <c r="Z1801" s="8"/>
    </row>
    <row r="1802" spans="1:26" ht="13.2">
      <c r="A1802" s="13">
        <v>44250.292395833334</v>
      </c>
      <c r="B1802" s="6" t="str">
        <f>HYPERLINK("https://twitter.com/ipfconline1","@ipfconline1")</f>
        <v>@ipfconline1</v>
      </c>
      <c r="C1802" s="14" t="s">
        <v>65</v>
      </c>
      <c r="D1802" s="14" t="s">
        <v>7323</v>
      </c>
      <c r="E1802" s="6" t="str">
        <f>HYPERLINK("https://twitter.com/ipfconline1/status/1364092891417747457","1364092891417747457")</f>
        <v>1364092891417747457</v>
      </c>
      <c r="F1802" s="7" t="s">
        <v>7324</v>
      </c>
      <c r="G1802" s="7" t="s">
        <v>7325</v>
      </c>
      <c r="H1802" s="8"/>
      <c r="I1802" s="14">
        <v>8</v>
      </c>
      <c r="J1802" s="14">
        <v>3</v>
      </c>
      <c r="K1802" s="6" t="str">
        <f>HYPERLINK("https://twittimer.com","Twittimer")</f>
        <v>Twittimer</v>
      </c>
      <c r="L1802" s="15">
        <v>112675</v>
      </c>
      <c r="M1802" s="15">
        <v>107162</v>
      </c>
      <c r="N1802" s="15">
        <v>7806</v>
      </c>
      <c r="O1802" s="9"/>
      <c r="P1802" s="10">
        <v>42433.031967592593</v>
      </c>
      <c r="Q1802" s="14" t="s">
        <v>69</v>
      </c>
      <c r="R1802" s="14" t="s">
        <v>70</v>
      </c>
      <c r="S1802" s="7" t="s">
        <v>71</v>
      </c>
      <c r="T1802" s="8"/>
      <c r="U1802" s="11" t="str">
        <f>HYPERLINK("https://pbs.twimg.com/profile_images/729065804004769793/St2_Pum9.jpg","View")</f>
        <v>View</v>
      </c>
      <c r="V1802" s="8"/>
      <c r="W1802" s="8"/>
      <c r="X1802" s="8"/>
      <c r="Y1802" s="8"/>
      <c r="Z1802" s="8"/>
    </row>
    <row r="1803" spans="1:26" ht="13.2">
      <c r="A1803" s="13">
        <v>44250.291944444441</v>
      </c>
      <c r="B1803" s="6" t="str">
        <f>HYPERLINK("https://twitter.com/Deep_In_Depth","@Deep_In_Depth")</f>
        <v>@Deep_In_Depth</v>
      </c>
      <c r="C1803" s="14" t="s">
        <v>312</v>
      </c>
      <c r="D1803" s="14" t="s">
        <v>7326</v>
      </c>
      <c r="E1803" s="6" t="str">
        <f>HYPERLINK("https://twitter.com/Deep_In_Depth/status/1364092725499428866","1364092725499428866")</f>
        <v>1364092725499428866</v>
      </c>
      <c r="F1803" s="7" t="s">
        <v>7327</v>
      </c>
      <c r="G1803" s="8"/>
      <c r="H1803" s="8"/>
      <c r="I1803" s="14">
        <v>6</v>
      </c>
      <c r="J1803" s="14">
        <v>2</v>
      </c>
      <c r="K1803" s="6" t="str">
        <f>HYPERLINK("https://buffer.com","Buffer")</f>
        <v>Buffer</v>
      </c>
      <c r="L1803" s="15">
        <v>10954</v>
      </c>
      <c r="M1803" s="15">
        <v>9176</v>
      </c>
      <c r="N1803" s="15">
        <v>159</v>
      </c>
      <c r="O1803" s="9"/>
      <c r="P1803" s="10">
        <v>42864.439525462964</v>
      </c>
      <c r="Q1803" s="14" t="s">
        <v>315</v>
      </c>
      <c r="R1803" s="14" t="s">
        <v>316</v>
      </c>
      <c r="S1803" s="7" t="s">
        <v>317</v>
      </c>
      <c r="T1803" s="8"/>
      <c r="U1803" s="11" t="str">
        <f>HYPERLINK("https://pbs.twimg.com/profile_images/861866967493431296/PIjaSD4g.jpg","View")</f>
        <v>View</v>
      </c>
      <c r="V1803" s="8"/>
      <c r="W1803" s="8"/>
      <c r="X1803" s="8"/>
      <c r="Y1803" s="8"/>
      <c r="Z1803" s="8"/>
    </row>
    <row r="1804" spans="1:26" ht="13.2">
      <c r="A1804" s="13">
        <v>44250.29173611111</v>
      </c>
      <c r="B1804" s="6" t="str">
        <f>HYPERLINK("https://twitter.com/themlguru","@themlguru")</f>
        <v>@themlguru</v>
      </c>
      <c r="C1804" s="14" t="s">
        <v>362</v>
      </c>
      <c r="D1804" s="14" t="s">
        <v>7328</v>
      </c>
      <c r="E1804" s="6" t="str">
        <f>HYPERLINK("https://twitter.com/themlguru/status/1364092653575536640","1364092653575536640")</f>
        <v>1364092653575536640</v>
      </c>
      <c r="F1804" s="8"/>
      <c r="G1804" s="8"/>
      <c r="H1804" s="8"/>
      <c r="I1804" s="14">
        <v>2</v>
      </c>
      <c r="J1804" s="14">
        <v>1</v>
      </c>
      <c r="K1804" s="6" t="str">
        <f>HYPERLINK("https://twittimer.com","Twittimer")</f>
        <v>Twittimer</v>
      </c>
      <c r="L1804" s="15">
        <v>10</v>
      </c>
      <c r="M1804" s="15">
        <v>33</v>
      </c>
      <c r="N1804" s="15">
        <v>0</v>
      </c>
      <c r="O1804" s="9"/>
      <c r="P1804" s="10">
        <v>44242.188148148147</v>
      </c>
      <c r="Q1804" s="14" t="s">
        <v>364</v>
      </c>
      <c r="R1804" s="8"/>
      <c r="S1804" s="8"/>
      <c r="T1804" s="8"/>
      <c r="U1804" s="11" t="str">
        <f>HYPERLINK("https://pbs.twimg.com/profile_images/1361967087623700484/-6UQQ_sZ.jpg","View")</f>
        <v>View</v>
      </c>
      <c r="V1804" s="8"/>
      <c r="W1804" s="8"/>
      <c r="X1804" s="8"/>
      <c r="Y1804" s="8"/>
      <c r="Z1804" s="8"/>
    </row>
    <row r="1805" spans="1:26" ht="13.2">
      <c r="A1805" s="13">
        <v>44250.29173611111</v>
      </c>
      <c r="B1805" s="6" t="str">
        <f>HYPERLINK("https://twitter.com/Verinite","@Verinite")</f>
        <v>@Verinite</v>
      </c>
      <c r="C1805" s="14" t="s">
        <v>7329</v>
      </c>
      <c r="D1805" s="14" t="s">
        <v>7330</v>
      </c>
      <c r="E1805" s="6" t="str">
        <f>HYPERLINK("https://twitter.com/Verinite/status/1364092651616804865","1364092651616804865")</f>
        <v>1364092651616804865</v>
      </c>
      <c r="F1805" s="7" t="s">
        <v>7331</v>
      </c>
      <c r="G1805" s="7" t="s">
        <v>7332</v>
      </c>
      <c r="H1805" s="8"/>
      <c r="I1805" s="14">
        <v>12</v>
      </c>
      <c r="J1805" s="14">
        <v>5</v>
      </c>
      <c r="K1805" s="6" t="str">
        <f>HYPERLINK("https://buffer.com","Buffer")</f>
        <v>Buffer</v>
      </c>
      <c r="L1805" s="15">
        <v>1612</v>
      </c>
      <c r="M1805" s="15">
        <v>4941</v>
      </c>
      <c r="N1805" s="15">
        <v>20</v>
      </c>
      <c r="O1805" s="9"/>
      <c r="P1805" s="10">
        <v>40681.464398148149</v>
      </c>
      <c r="Q1805" s="14" t="s">
        <v>7333</v>
      </c>
      <c r="R1805" s="14" t="s">
        <v>7334</v>
      </c>
      <c r="S1805" s="7" t="s">
        <v>7335</v>
      </c>
      <c r="T1805" s="8"/>
      <c r="U1805" s="11" t="str">
        <f>HYPERLINK("https://pbs.twimg.com/profile_images/1359447308/Verinite_FinalLogo_Twitter.jpg","View")</f>
        <v>View</v>
      </c>
      <c r="V1805" s="8"/>
      <c r="W1805" s="8"/>
      <c r="X1805" s="8"/>
      <c r="Y1805" s="8"/>
      <c r="Z1805" s="8"/>
    </row>
    <row r="1806" spans="1:26" ht="13.2">
      <c r="A1806" s="13">
        <v>44250.291666666672</v>
      </c>
      <c r="B1806" s="6" t="str">
        <f>HYPERLINK("https://twitter.com/atentec1","@atentec1")</f>
        <v>@atentec1</v>
      </c>
      <c r="C1806" s="14" t="s">
        <v>7336</v>
      </c>
      <c r="D1806" s="14" t="s">
        <v>7337</v>
      </c>
      <c r="E1806" s="6" t="str">
        <f>HYPERLINK("https://twitter.com/atentec1/status/1364092626517991425","1364092626517991425")</f>
        <v>1364092626517991425</v>
      </c>
      <c r="F1806" s="7" t="s">
        <v>7338</v>
      </c>
      <c r="G1806" s="7" t="s">
        <v>7339</v>
      </c>
      <c r="H1806" s="8"/>
      <c r="I1806" s="14">
        <v>2</v>
      </c>
      <c r="J1806" s="14">
        <v>1</v>
      </c>
      <c r="K1806" s="6" t="str">
        <f t="shared" ref="K1806:K1807" si="339">HYPERLINK("https://mobile.twitter.com","Twitter Web App")</f>
        <v>Twitter Web App</v>
      </c>
      <c r="L1806" s="15">
        <v>15</v>
      </c>
      <c r="M1806" s="15">
        <v>145</v>
      </c>
      <c r="N1806" s="15">
        <v>0</v>
      </c>
      <c r="O1806" s="9"/>
      <c r="P1806" s="10">
        <v>43866.3590162037</v>
      </c>
      <c r="Q1806" s="14" t="s">
        <v>7340</v>
      </c>
      <c r="R1806" s="14" t="s">
        <v>7341</v>
      </c>
      <c r="S1806" s="7" t="s">
        <v>7342</v>
      </c>
      <c r="T1806" s="8"/>
      <c r="U1806" s="11" t="str">
        <f>HYPERLINK("https://pbs.twimg.com/profile_images/1360512239011299329/dkJHeB_C.jpg","View")</f>
        <v>View</v>
      </c>
      <c r="V1806" s="8"/>
      <c r="W1806" s="8"/>
      <c r="X1806" s="8"/>
      <c r="Y1806" s="8"/>
      <c r="Z1806" s="8"/>
    </row>
    <row r="1807" spans="1:26" ht="13.2">
      <c r="A1807" s="13">
        <v>44250.291666666672</v>
      </c>
      <c r="B1807" s="6" t="str">
        <f>HYPERLINK("https://twitter.com/mekatronik_p","@mekatronik_p")</f>
        <v>@mekatronik_p</v>
      </c>
      <c r="C1807" s="14" t="s">
        <v>384</v>
      </c>
      <c r="D1807" s="14" t="s">
        <v>7343</v>
      </c>
      <c r="E1807" s="6" t="str">
        <f>HYPERLINK("https://twitter.com/mekatronik_p/status/1364092625494568962","1364092625494568962")</f>
        <v>1364092625494568962</v>
      </c>
      <c r="F1807" s="8"/>
      <c r="G1807" s="7" t="s">
        <v>7344</v>
      </c>
      <c r="H1807" s="8"/>
      <c r="I1807" s="14">
        <v>5</v>
      </c>
      <c r="J1807" s="14">
        <v>2</v>
      </c>
      <c r="K1807" s="6" t="str">
        <f t="shared" si="339"/>
        <v>Twitter Web App</v>
      </c>
      <c r="L1807" s="15">
        <v>67</v>
      </c>
      <c r="M1807" s="15">
        <v>1</v>
      </c>
      <c r="N1807" s="15">
        <v>0</v>
      </c>
      <c r="O1807" s="9"/>
      <c r="P1807" s="10">
        <v>44109.854756944449</v>
      </c>
      <c r="Q1807" s="8"/>
      <c r="R1807" s="14" t="s">
        <v>387</v>
      </c>
      <c r="S1807" s="8"/>
      <c r="T1807" s="8"/>
      <c r="U1807" s="11" t="str">
        <f>HYPERLINK("https://pbs.twimg.com/profile_images/1313188373624958976/SPe0w7x4.jpg","View")</f>
        <v>View</v>
      </c>
      <c r="V1807" s="8"/>
      <c r="W1807" s="8"/>
      <c r="X1807" s="8"/>
      <c r="Y1807" s="8"/>
      <c r="Z1807" s="8"/>
    </row>
    <row r="1808" spans="1:26" ht="13.2">
      <c r="A1808" s="13">
        <v>44250.291446759264</v>
      </c>
      <c r="B1808" s="6" t="str">
        <f>HYPERLINK("https://twitter.com/NeurAutomata","@NeurAutomata")</f>
        <v>@NeurAutomata</v>
      </c>
      <c r="C1808" s="14" t="s">
        <v>400</v>
      </c>
      <c r="D1808" s="14" t="s">
        <v>401</v>
      </c>
      <c r="E1808" s="6" t="str">
        <f>HYPERLINK("https://twitter.com/NeurAutomata/status/1364092547698745344","1364092547698745344")</f>
        <v>1364092547698745344</v>
      </c>
      <c r="F1808" s="7" t="s">
        <v>7345</v>
      </c>
      <c r="G1808" s="8"/>
      <c r="H1808" s="8"/>
      <c r="I1808" s="14">
        <v>3</v>
      </c>
      <c r="J1808" s="14">
        <v>0</v>
      </c>
      <c r="K1808" s="6" t="str">
        <f>HYPERLINK("https://ifttt.com","IFTTT")</f>
        <v>IFTTT</v>
      </c>
      <c r="L1808" s="15">
        <v>83</v>
      </c>
      <c r="M1808" s="15">
        <v>14</v>
      </c>
      <c r="N1808" s="15">
        <v>3</v>
      </c>
      <c r="O1808" s="9"/>
      <c r="P1808" s="10">
        <v>42862.083414351851</v>
      </c>
      <c r="Q1808" s="14" t="s">
        <v>403</v>
      </c>
      <c r="R1808" s="14" t="s">
        <v>404</v>
      </c>
      <c r="S1808" s="8"/>
      <c r="T1808" s="8"/>
      <c r="U1808" s="11" t="str">
        <f>HYPERLINK("https://pbs.twimg.com/profile_images/861050448672718848/oHUlrvEK.jpg","View")</f>
        <v>View</v>
      </c>
      <c r="V1808" s="8"/>
      <c r="W1808" s="8"/>
      <c r="X1808" s="8"/>
      <c r="Y1808" s="8"/>
      <c r="Z1808" s="8"/>
    </row>
    <row r="1809" spans="1:26" ht="13.2">
      <c r="A1809" s="13">
        <v>44250.290462962963</v>
      </c>
      <c r="B1809" s="6" t="str">
        <f>HYPERLINK("https://twitter.com/iamBrianGraham","@iamBrianGraham")</f>
        <v>@iamBrianGraham</v>
      </c>
      <c r="C1809" s="14" t="s">
        <v>4259</v>
      </c>
      <c r="D1809" s="14" t="s">
        <v>7346</v>
      </c>
      <c r="E1809" s="6" t="str">
        <f>HYPERLINK("https://twitter.com/iamBrianGraham/status/1364092189983330307","1364092189983330307")</f>
        <v>1364092189983330307</v>
      </c>
      <c r="F1809" s="8"/>
      <c r="G1809" s="7" t="s">
        <v>7347</v>
      </c>
      <c r="H1809" s="8"/>
      <c r="I1809" s="14">
        <v>24</v>
      </c>
      <c r="J1809" s="14">
        <v>9</v>
      </c>
      <c r="K1809" s="6" t="str">
        <f>HYPERLINK("https://bypeers.net","ByPeers Social CRM (1)")</f>
        <v>ByPeers Social CRM (1)</v>
      </c>
      <c r="L1809" s="15">
        <v>5759</v>
      </c>
      <c r="M1809" s="15">
        <v>4549</v>
      </c>
      <c r="N1809" s="15">
        <v>211</v>
      </c>
      <c r="O1809" s="9"/>
      <c r="P1809" s="10">
        <v>42570.927037037036</v>
      </c>
      <c r="Q1809" s="14" t="s">
        <v>4262</v>
      </c>
      <c r="R1809" s="14" t="s">
        <v>4263</v>
      </c>
      <c r="S1809" s="7" t="s">
        <v>4264</v>
      </c>
      <c r="T1809" s="8"/>
      <c r="U1809" s="11" t="str">
        <f>HYPERLINK("https://pbs.twimg.com/profile_images/1099684609703510017/zcsjRYt2.png","View")</f>
        <v>View</v>
      </c>
      <c r="V1809" s="8"/>
      <c r="W1809" s="8"/>
      <c r="X1809" s="8"/>
      <c r="Y1809" s="8"/>
      <c r="Z1809" s="8"/>
    </row>
    <row r="1810" spans="1:26" ht="13.2">
      <c r="A1810" s="13">
        <v>44250.289583333331</v>
      </c>
      <c r="B1810" s="6" t="str">
        <f>HYPERLINK("https://twitter.com/MIRANDA78191470","@MIRANDA78191470")</f>
        <v>@MIRANDA78191470</v>
      </c>
      <c r="C1810" s="14" t="s">
        <v>7348</v>
      </c>
      <c r="D1810" s="14" t="s">
        <v>7349</v>
      </c>
      <c r="E1810" s="6" t="str">
        <f>HYPERLINK("https://twitter.com/MIRANDA78191470/status/1364091870595346438","1364091870595346438")</f>
        <v>1364091870595346438</v>
      </c>
      <c r="F1810" s="8"/>
      <c r="G1810" s="7" t="s">
        <v>7350</v>
      </c>
      <c r="H1810" s="8"/>
      <c r="I1810" s="14">
        <v>0</v>
      </c>
      <c r="J1810" s="14">
        <v>0</v>
      </c>
      <c r="K1810" s="6" t="str">
        <f>HYPERLINK("https://mobile.twitter.com","Twitter Web App")</f>
        <v>Twitter Web App</v>
      </c>
      <c r="L1810" s="15">
        <v>6</v>
      </c>
      <c r="M1810" s="15">
        <v>18</v>
      </c>
      <c r="N1810" s="15">
        <v>0</v>
      </c>
      <c r="O1810" s="9"/>
      <c r="P1810" s="10">
        <v>44224.642777777779</v>
      </c>
      <c r="Q1810" s="8"/>
      <c r="R1810" s="14" t="s">
        <v>7351</v>
      </c>
      <c r="S1810" s="7" t="s">
        <v>7352</v>
      </c>
      <c r="T1810" s="8"/>
      <c r="U1810" s="11" t="str">
        <f>HYPERLINK("https://pbs.twimg.com/profile_images/1354799148529115153/_1HMwMgu.jpg","View")</f>
        <v>View</v>
      </c>
      <c r="V1810" s="8"/>
      <c r="W1810" s="8"/>
      <c r="X1810" s="8"/>
      <c r="Y1810" s="8"/>
      <c r="Z1810" s="8"/>
    </row>
    <row r="1811" spans="1:26" ht="13.2">
      <c r="A1811" s="13">
        <v>44250.288657407407</v>
      </c>
      <c r="B1811" s="6" t="str">
        <f>HYPERLINK("https://twitter.com/IsTheArchitect","@IsTheArchitect")</f>
        <v>@IsTheArchitect</v>
      </c>
      <c r="C1811" s="14" t="s">
        <v>7353</v>
      </c>
      <c r="D1811" s="14" t="s">
        <v>7354</v>
      </c>
      <c r="E1811" s="6" t="str">
        <f>HYPERLINK("https://twitter.com/IsTheArchitect/status/1364091534954483714","1364091534954483714")</f>
        <v>1364091534954483714</v>
      </c>
      <c r="F1811" s="7" t="s">
        <v>7355</v>
      </c>
      <c r="G1811" s="8"/>
      <c r="H1811" s="8"/>
      <c r="I1811" s="14">
        <v>2</v>
      </c>
      <c r="J1811" s="14">
        <v>1</v>
      </c>
      <c r="K1811" s="6" t="str">
        <f>HYPERLINK("http://twitter.com/download/android","Twitter for Android")</f>
        <v>Twitter for Android</v>
      </c>
      <c r="L1811" s="15">
        <v>1022</v>
      </c>
      <c r="M1811" s="15">
        <v>1590</v>
      </c>
      <c r="N1811" s="15">
        <v>15</v>
      </c>
      <c r="O1811" s="9"/>
      <c r="P1811" s="10">
        <v>41024.118067129632</v>
      </c>
      <c r="Q1811" s="14" t="s">
        <v>5767</v>
      </c>
      <c r="R1811" s="14" t="s">
        <v>7356</v>
      </c>
      <c r="S1811" s="7" t="s">
        <v>7357</v>
      </c>
      <c r="T1811" s="8"/>
      <c r="U1811" s="11" t="str">
        <f>HYPERLINK("https://pbs.twimg.com/profile_images/1352440008070709248/x6CUCRgj.jpg","View")</f>
        <v>View</v>
      </c>
      <c r="V1811" s="8"/>
      <c r="W1811" s="8"/>
      <c r="X1811" s="8"/>
      <c r="Y1811" s="8"/>
      <c r="Z1811" s="8"/>
    </row>
    <row r="1812" spans="1:26" ht="13.2">
      <c r="A1812" s="13">
        <v>44250.287395833337</v>
      </c>
      <c r="B1812" s="6" t="str">
        <f>HYPERLINK("https://twitter.com/SpirosMargaris","@SpirosMargaris")</f>
        <v>@SpirosMargaris</v>
      </c>
      <c r="C1812" s="14" t="s">
        <v>3558</v>
      </c>
      <c r="D1812" s="14" t="s">
        <v>7358</v>
      </c>
      <c r="E1812" s="6" t="str">
        <f>HYPERLINK("https://twitter.com/SpirosMargaris/status/1364091079600050176","1364091079600050176")</f>
        <v>1364091079600050176</v>
      </c>
      <c r="F1812" s="7" t="s">
        <v>7359</v>
      </c>
      <c r="G1812" s="7" t="s">
        <v>7360</v>
      </c>
      <c r="H1812" s="8"/>
      <c r="I1812" s="14">
        <v>8</v>
      </c>
      <c r="J1812" s="14">
        <v>3</v>
      </c>
      <c r="K1812" s="6" t="str">
        <f>HYPERLINK("https://buffer.com","Buffer")</f>
        <v>Buffer</v>
      </c>
      <c r="L1812" s="15">
        <v>107389</v>
      </c>
      <c r="M1812" s="15">
        <v>15890</v>
      </c>
      <c r="N1812" s="15">
        <v>5693</v>
      </c>
      <c r="O1812" s="15" t="s">
        <v>130</v>
      </c>
      <c r="P1812" s="10">
        <v>41857.30574074074</v>
      </c>
      <c r="Q1812" s="14" t="s">
        <v>3562</v>
      </c>
      <c r="R1812" s="14" t="s">
        <v>3563</v>
      </c>
      <c r="S1812" s="7" t="s">
        <v>3564</v>
      </c>
      <c r="T1812" s="8"/>
      <c r="U1812" s="11" t="str">
        <f>HYPERLINK("https://pbs.twimg.com/profile_images/1346443960986775553/TGeiH97s.jpg","View")</f>
        <v>View</v>
      </c>
      <c r="V1812" s="8"/>
      <c r="W1812" s="8"/>
      <c r="X1812" s="8"/>
      <c r="Y1812" s="8"/>
      <c r="Z1812" s="8"/>
    </row>
    <row r="1813" spans="1:26" ht="13.2">
      <c r="A1813" s="13">
        <v>44250.28696759259</v>
      </c>
      <c r="B1813" s="6" t="str">
        <f>HYPERLINK("https://twitter.com/IndiaIspma","@IndiaIspma")</f>
        <v>@IndiaIspma</v>
      </c>
      <c r="C1813" s="14" t="s">
        <v>7361</v>
      </c>
      <c r="D1813" s="14" t="s">
        <v>7362</v>
      </c>
      <c r="E1813" s="6" t="str">
        <f>HYPERLINK("https://twitter.com/IndiaIspma/status/1364090924813312003","1364090924813312003")</f>
        <v>1364090924813312003</v>
      </c>
      <c r="F1813" s="7" t="s">
        <v>7363</v>
      </c>
      <c r="G1813" s="7" t="s">
        <v>7364</v>
      </c>
      <c r="H1813" s="8"/>
      <c r="I1813" s="14">
        <v>2</v>
      </c>
      <c r="J1813" s="14">
        <v>0</v>
      </c>
      <c r="K1813" s="6" t="str">
        <f>HYPERLINK("https://mobile.twitter.com","Twitter Web App")</f>
        <v>Twitter Web App</v>
      </c>
      <c r="L1813" s="15">
        <v>6</v>
      </c>
      <c r="M1813" s="15">
        <v>35</v>
      </c>
      <c r="N1813" s="15">
        <v>0</v>
      </c>
      <c r="O1813" s="9"/>
      <c r="P1813" s="10">
        <v>44238.286041666666</v>
      </c>
      <c r="Q1813" s="14" t="s">
        <v>3176</v>
      </c>
      <c r="R1813" s="14" t="s">
        <v>7365</v>
      </c>
      <c r="S1813" s="7" t="s">
        <v>7366</v>
      </c>
      <c r="T1813" s="8"/>
      <c r="U1813" s="11" t="str">
        <f>HYPERLINK("https://pbs.twimg.com/profile_images/1359742041429663744/rYwLpVrQ.jpg","View")</f>
        <v>View</v>
      </c>
      <c r="V1813" s="8"/>
      <c r="W1813" s="8"/>
      <c r="X1813" s="8"/>
      <c r="Y1813" s="8"/>
      <c r="Z1813" s="8"/>
    </row>
    <row r="1814" spans="1:26" ht="13.2">
      <c r="A1814" s="13">
        <v>44250.286851851852</v>
      </c>
      <c r="B1814" s="6" t="str">
        <f>HYPERLINK("https://twitter.com/RotzetteP","@RotzetteP")</f>
        <v>@RotzetteP</v>
      </c>
      <c r="C1814" s="14" t="s">
        <v>7367</v>
      </c>
      <c r="D1814" s="14" t="s">
        <v>7368</v>
      </c>
      <c r="E1814" s="6" t="str">
        <f>HYPERLINK("https://twitter.com/RotzetteP/status/1364090883759611905","1364090883759611905")</f>
        <v>1364090883759611905</v>
      </c>
      <c r="F1814" s="7" t="s">
        <v>6458</v>
      </c>
      <c r="G1814" s="8"/>
      <c r="H1814" s="8"/>
      <c r="I1814" s="14">
        <v>2</v>
      </c>
      <c r="J1814" s="14">
        <v>0</v>
      </c>
      <c r="K1814" s="6" t="str">
        <f>HYPERLINK("http://twitter.com/download/android","Twitter for Android")</f>
        <v>Twitter for Android</v>
      </c>
      <c r="L1814" s="15">
        <v>640</v>
      </c>
      <c r="M1814" s="15">
        <v>754</v>
      </c>
      <c r="N1814" s="15">
        <v>75</v>
      </c>
      <c r="O1814" s="9"/>
      <c r="P1814" s="10">
        <v>41294.627974537041</v>
      </c>
      <c r="Q1814" s="14" t="s">
        <v>1319</v>
      </c>
      <c r="R1814" s="14" t="s">
        <v>7369</v>
      </c>
      <c r="S1814" s="7" t="s">
        <v>7370</v>
      </c>
      <c r="T1814" s="8"/>
      <c r="U1814" s="11" t="str">
        <f>HYPERLINK("https://pbs.twimg.com/profile_images/1177223987891490822/73vyar88.jpg","View")</f>
        <v>View</v>
      </c>
      <c r="V1814" s="8"/>
      <c r="W1814" s="8"/>
      <c r="X1814" s="8"/>
      <c r="Y1814" s="8"/>
      <c r="Z1814" s="8"/>
    </row>
    <row r="1815" spans="1:26" ht="13.2">
      <c r="A1815" s="13">
        <v>44250.286539351851</v>
      </c>
      <c r="B1815" s="6" t="str">
        <f>HYPERLINK("https://twitter.com/machinelearnflx","@machinelearnflx")</f>
        <v>@machinelearnflx</v>
      </c>
      <c r="C1815" s="14" t="s">
        <v>279</v>
      </c>
      <c r="D1815" s="14" t="s">
        <v>7371</v>
      </c>
      <c r="E1815" s="6" t="str">
        <f>HYPERLINK("https://twitter.com/machinelearnflx/status/1364090767837380609","1364090767837380609")</f>
        <v>1364090767837380609</v>
      </c>
      <c r="F1815" s="7" t="s">
        <v>7372</v>
      </c>
      <c r="G1815" s="8"/>
      <c r="H1815" s="8"/>
      <c r="I1815" s="14">
        <v>8</v>
      </c>
      <c r="J1815" s="14">
        <v>11</v>
      </c>
      <c r="K1815" s="6" t="str">
        <f>HYPERLINK("https://twitter.com/pythonbot_","Postmatico")</f>
        <v>Postmatico</v>
      </c>
      <c r="L1815" s="15">
        <v>90451</v>
      </c>
      <c r="M1815" s="15">
        <v>35464</v>
      </c>
      <c r="N1815" s="15">
        <v>2228</v>
      </c>
      <c r="O1815" s="9"/>
      <c r="P1815" s="10">
        <v>42386.538865740746</v>
      </c>
      <c r="Q1815" s="8"/>
      <c r="R1815" s="14" t="s">
        <v>282</v>
      </c>
      <c r="S1815" s="7" t="s">
        <v>283</v>
      </c>
      <c r="T1815" s="8"/>
      <c r="U1815" s="11" t="str">
        <f>HYPERLINK("https://pbs.twimg.com/profile_images/688735459892195329/v8sHaWSG.jpg","View")</f>
        <v>View</v>
      </c>
      <c r="V1815" s="8"/>
      <c r="W1815" s="8"/>
      <c r="X1815" s="8"/>
      <c r="Y1815" s="8"/>
      <c r="Z1815" s="8"/>
    </row>
    <row r="1816" spans="1:26" ht="13.2">
      <c r="A1816" s="13">
        <v>44250.286111111112</v>
      </c>
      <c r="B1816" s="6" t="str">
        <f>HYPERLINK("https://twitter.com/IT_TurkishSAI","@IT_TurkishSAI")</f>
        <v>@IT_TurkishSAI</v>
      </c>
      <c r="C1816" s="14" t="s">
        <v>7373</v>
      </c>
      <c r="D1816" s="14" t="s">
        <v>7374</v>
      </c>
      <c r="E1816" s="6" t="str">
        <f>HYPERLINK("https://twitter.com/IT_TurkishSAI/status/1364090612463644672","1364090612463644672")</f>
        <v>1364090612463644672</v>
      </c>
      <c r="F1816" s="7" t="s">
        <v>7375</v>
      </c>
      <c r="G1816" s="8"/>
      <c r="H1816" s="8"/>
      <c r="I1816" s="14">
        <v>3</v>
      </c>
      <c r="J1816" s="14">
        <v>2</v>
      </c>
      <c r="K1816" s="6" t="str">
        <f>HYPERLINK("https://mobile.twitter.com","Twitter Web App")</f>
        <v>Twitter Web App</v>
      </c>
      <c r="L1816" s="15">
        <v>183</v>
      </c>
      <c r="M1816" s="15">
        <v>65</v>
      </c>
      <c r="N1816" s="15">
        <v>0</v>
      </c>
      <c r="O1816" s="9"/>
      <c r="P1816" s="10">
        <v>43690.485324074078</v>
      </c>
      <c r="Q1816" s="8"/>
      <c r="R1816" s="14" t="s">
        <v>7376</v>
      </c>
      <c r="S1816" s="8"/>
      <c r="T1816" s="8"/>
      <c r="U1816" s="11" t="str">
        <f>HYPERLINK("https://pbs.twimg.com/profile_images/1161214729609760768/v2EIqzeK.jpg","View")</f>
        <v>View</v>
      </c>
      <c r="V1816" s="8"/>
      <c r="W1816" s="8"/>
      <c r="X1816" s="8"/>
      <c r="Y1816" s="8"/>
      <c r="Z1816" s="8"/>
    </row>
    <row r="1817" spans="1:26" ht="13.2">
      <c r="A1817" s="13">
        <v>44250.285590277781</v>
      </c>
      <c r="B1817" s="6" t="str">
        <f>HYPERLINK("https://twitter.com/RotzetteP","@RotzetteP")</f>
        <v>@RotzetteP</v>
      </c>
      <c r="C1817" s="14" t="s">
        <v>7367</v>
      </c>
      <c r="D1817" s="14" t="s">
        <v>7377</v>
      </c>
      <c r="E1817" s="6" t="str">
        <f>HYPERLINK("https://twitter.com/RotzetteP/status/1364090424684601346","1364090424684601346")</f>
        <v>1364090424684601346</v>
      </c>
      <c r="F1817" s="7" t="s">
        <v>2579</v>
      </c>
      <c r="G1817" s="8"/>
      <c r="H1817" s="8"/>
      <c r="I1817" s="14">
        <v>4</v>
      </c>
      <c r="J1817" s="14">
        <v>4</v>
      </c>
      <c r="K1817" s="6" t="str">
        <f>HYPERLINK("http://twitter.com/download/android","Twitter for Android")</f>
        <v>Twitter for Android</v>
      </c>
      <c r="L1817" s="15">
        <v>640</v>
      </c>
      <c r="M1817" s="15">
        <v>754</v>
      </c>
      <c r="N1817" s="15">
        <v>75</v>
      </c>
      <c r="O1817" s="9"/>
      <c r="P1817" s="10">
        <v>41294.627974537041</v>
      </c>
      <c r="Q1817" s="14" t="s">
        <v>1319</v>
      </c>
      <c r="R1817" s="14" t="s">
        <v>7369</v>
      </c>
      <c r="S1817" s="7" t="s">
        <v>7370</v>
      </c>
      <c r="T1817" s="8"/>
      <c r="U1817" s="11" t="str">
        <f>HYPERLINK("https://pbs.twimg.com/profile_images/1177223987891490822/73vyar88.jpg","View")</f>
        <v>View</v>
      </c>
      <c r="V1817" s="8"/>
      <c r="W1817" s="8"/>
      <c r="X1817" s="8"/>
      <c r="Y1817" s="8"/>
      <c r="Z1817" s="8"/>
    </row>
    <row r="1818" spans="1:26" ht="13.2">
      <c r="A1818" s="13">
        <v>44250.284745370373</v>
      </c>
      <c r="B1818" s="6" t="str">
        <f>HYPERLINK("https://twitter.com/junaidfaridkhan","@junaidfaridkhan")</f>
        <v>@junaidfaridkhan</v>
      </c>
      <c r="C1818" s="14" t="s">
        <v>7378</v>
      </c>
      <c r="D1818" s="14" t="s">
        <v>7379</v>
      </c>
      <c r="E1818" s="6" t="str">
        <f>HYPERLINK("https://twitter.com/junaidfaridkhan/status/1364090118026461185","1364090118026461185")</f>
        <v>1364090118026461185</v>
      </c>
      <c r="F1818" s="7" t="s">
        <v>7380</v>
      </c>
      <c r="G1818" s="8"/>
      <c r="H1818" s="8"/>
      <c r="I1818" s="14">
        <v>3</v>
      </c>
      <c r="J1818" s="14">
        <v>1</v>
      </c>
      <c r="K1818" s="6" t="str">
        <f>HYPERLINK("https://www.hootsuite.com","Hootsuite Inc.")</f>
        <v>Hootsuite Inc.</v>
      </c>
      <c r="L1818" s="15">
        <v>3776</v>
      </c>
      <c r="M1818" s="15">
        <v>2879</v>
      </c>
      <c r="N1818" s="15">
        <v>76</v>
      </c>
      <c r="O1818" s="9"/>
      <c r="P1818" s="10">
        <v>40250.573761574073</v>
      </c>
      <c r="Q1818" s="14" t="s">
        <v>2222</v>
      </c>
      <c r="R1818" s="14" t="s">
        <v>7381</v>
      </c>
      <c r="S1818" s="7" t="s">
        <v>7382</v>
      </c>
      <c r="T1818" s="8"/>
      <c r="U1818" s="11" t="str">
        <f>HYPERLINK("https://pbs.twimg.com/profile_images/768648246096822272/kxvGutF-.jpg","View")</f>
        <v>View</v>
      </c>
      <c r="V1818" s="8"/>
      <c r="W1818" s="8"/>
      <c r="X1818" s="8"/>
      <c r="Y1818" s="8"/>
      <c r="Z1818" s="8"/>
    </row>
    <row r="1819" spans="1:26" ht="13.2">
      <c r="A1819" s="13">
        <v>44250.283391203702</v>
      </c>
      <c r="B1819" s="6" t="str">
        <f>HYPERLINK("https://twitter.com/rtirumalaraju","@rtirumalaraju")</f>
        <v>@rtirumalaraju</v>
      </c>
      <c r="C1819" s="14" t="s">
        <v>7383</v>
      </c>
      <c r="D1819" s="14" t="s">
        <v>7384</v>
      </c>
      <c r="E1819" s="6" t="str">
        <f>HYPERLINK("https://twitter.com/rtirumalaraju/status/1364089626575572995","1364089626575572995")</f>
        <v>1364089626575572995</v>
      </c>
      <c r="F1819" s="7" t="s">
        <v>7385</v>
      </c>
      <c r="G1819" s="7" t="s">
        <v>7386</v>
      </c>
      <c r="H1819" s="8"/>
      <c r="I1819" s="14">
        <v>3</v>
      </c>
      <c r="J1819" s="14">
        <v>1</v>
      </c>
      <c r="K1819" s="6" t="str">
        <f>HYPERLINK("https://mobile.twitter.com","Twitter Web App")</f>
        <v>Twitter Web App</v>
      </c>
      <c r="L1819" s="15">
        <v>167</v>
      </c>
      <c r="M1819" s="15">
        <v>416</v>
      </c>
      <c r="N1819" s="15">
        <v>17</v>
      </c>
      <c r="O1819" s="9"/>
      <c r="P1819" s="10">
        <v>40045.367268518516</v>
      </c>
      <c r="Q1819" s="14" t="s">
        <v>4166</v>
      </c>
      <c r="R1819" s="14" t="s">
        <v>7387</v>
      </c>
      <c r="S1819" s="7" t="s">
        <v>7388</v>
      </c>
      <c r="T1819" s="8"/>
      <c r="U1819" s="11" t="str">
        <f>HYPERLINK("https://pbs.twimg.com/profile_images/928625674859847681/m5OkZ40v.jpg","View")</f>
        <v>View</v>
      </c>
      <c r="V1819" s="8"/>
      <c r="W1819" s="8"/>
      <c r="X1819" s="8"/>
      <c r="Y1819" s="8"/>
      <c r="Z1819" s="8"/>
    </row>
    <row r="1820" spans="1:26" ht="13.2">
      <c r="A1820" s="13">
        <v>44250.283055555556</v>
      </c>
      <c r="B1820" s="6" t="str">
        <f>HYPERLINK("https://twitter.com/SpirosMargaris","@SpirosMargaris")</f>
        <v>@SpirosMargaris</v>
      </c>
      <c r="C1820" s="14" t="s">
        <v>3558</v>
      </c>
      <c r="D1820" s="14" t="s">
        <v>7389</v>
      </c>
      <c r="E1820" s="6" t="str">
        <f>HYPERLINK("https://twitter.com/SpirosMargaris/status/1364089505842663425","1364089505842663425")</f>
        <v>1364089505842663425</v>
      </c>
      <c r="F1820" s="7" t="s">
        <v>7390</v>
      </c>
      <c r="G1820" s="7" t="s">
        <v>7391</v>
      </c>
      <c r="H1820" s="8"/>
      <c r="I1820" s="14">
        <v>12</v>
      </c>
      <c r="J1820" s="14">
        <v>11</v>
      </c>
      <c r="K1820" s="6" t="str">
        <f>HYPERLINK("https://buffer.com","Buffer")</f>
        <v>Buffer</v>
      </c>
      <c r="L1820" s="15">
        <v>107389</v>
      </c>
      <c r="M1820" s="15">
        <v>15890</v>
      </c>
      <c r="N1820" s="15">
        <v>5693</v>
      </c>
      <c r="O1820" s="15" t="s">
        <v>130</v>
      </c>
      <c r="P1820" s="10">
        <v>41857.30574074074</v>
      </c>
      <c r="Q1820" s="14" t="s">
        <v>3562</v>
      </c>
      <c r="R1820" s="14" t="s">
        <v>3563</v>
      </c>
      <c r="S1820" s="7" t="s">
        <v>3564</v>
      </c>
      <c r="T1820" s="8"/>
      <c r="U1820" s="11" t="str">
        <f>HYPERLINK("https://pbs.twimg.com/profile_images/1346443960986775553/TGeiH97s.jpg","View")</f>
        <v>View</v>
      </c>
      <c r="V1820" s="8"/>
      <c r="W1820" s="8"/>
      <c r="X1820" s="8"/>
      <c r="Y1820" s="8"/>
      <c r="Z1820" s="8"/>
    </row>
    <row r="1821" spans="1:26" ht="13.2">
      <c r="A1821" s="13">
        <v>44250.282789351855</v>
      </c>
      <c r="B1821" s="6" t="str">
        <f>HYPERLINK("https://twitter.com/Deep__AI","@Deep__AI")</f>
        <v>@Deep__AI</v>
      </c>
      <c r="C1821" s="14" t="s">
        <v>1904</v>
      </c>
      <c r="D1821" s="14" t="s">
        <v>7392</v>
      </c>
      <c r="E1821" s="6" t="str">
        <f>HYPERLINK("https://twitter.com/Deep__AI/status/1364089407670640640","1364089407670640640")</f>
        <v>1364089407670640640</v>
      </c>
      <c r="F1821" s="7" t="s">
        <v>7393</v>
      </c>
      <c r="G1821" s="8"/>
      <c r="H1821" s="8"/>
      <c r="I1821" s="14">
        <v>1</v>
      </c>
      <c r="J1821" s="14">
        <v>0</v>
      </c>
      <c r="K1821" s="6" t="str">
        <f>HYPERLINK("https://deepai.org/","DeepAI")</f>
        <v>DeepAI</v>
      </c>
      <c r="L1821" s="15">
        <v>36483</v>
      </c>
      <c r="M1821" s="15">
        <v>1642</v>
      </c>
      <c r="N1821" s="15">
        <v>406</v>
      </c>
      <c r="O1821" s="9"/>
      <c r="P1821" s="10">
        <v>42826.414039351846</v>
      </c>
      <c r="Q1821" s="14" t="s">
        <v>1907</v>
      </c>
      <c r="R1821" s="14" t="s">
        <v>1908</v>
      </c>
      <c r="S1821" s="7" t="s">
        <v>1909</v>
      </c>
      <c r="T1821" s="8"/>
      <c r="U1821" s="11" t="str">
        <f>HYPERLINK("https://pbs.twimg.com/profile_images/1118532973203079168/8VTzkyzD.png","View")</f>
        <v>View</v>
      </c>
      <c r="V1821" s="8"/>
      <c r="W1821" s="8"/>
      <c r="X1821" s="8"/>
      <c r="Y1821" s="8"/>
      <c r="Z1821" s="8"/>
    </row>
    <row r="1822" spans="1:26" ht="13.2">
      <c r="A1822" s="13">
        <v>44250.281944444447</v>
      </c>
      <c r="B1822" s="6" t="str">
        <f>HYPERLINK("https://twitter.com/ai_summary","@ai_summary")</f>
        <v>@ai_summary</v>
      </c>
      <c r="C1822" s="14" t="s">
        <v>528</v>
      </c>
      <c r="D1822" s="14" t="s">
        <v>7394</v>
      </c>
      <c r="E1822" s="6" t="str">
        <f>HYPERLINK("https://twitter.com/ai_summary/status/1364089105026584579","1364089105026584579")</f>
        <v>1364089105026584579</v>
      </c>
      <c r="F1822" s="7" t="s">
        <v>7395</v>
      </c>
      <c r="G1822" s="8"/>
      <c r="H1822" s="8"/>
      <c r="I1822" s="14">
        <v>0</v>
      </c>
      <c r="J1822" s="14">
        <v>0</v>
      </c>
      <c r="K1822" s="8"/>
      <c r="L1822" s="15">
        <v>47</v>
      </c>
      <c r="M1822" s="15">
        <v>7</v>
      </c>
      <c r="N1822" s="15">
        <v>2</v>
      </c>
      <c r="O1822" s="9"/>
      <c r="P1822" s="10">
        <v>44039.504699074074</v>
      </c>
      <c r="Q1822" s="8"/>
      <c r="R1822" s="14" t="s">
        <v>531</v>
      </c>
      <c r="S1822" s="8"/>
      <c r="T1822" s="8"/>
      <c r="U1822" s="11" t="str">
        <f>HYPERLINK("https://pbs.twimg.com/profile_images/1315240281206382592/-i10o6Yg.jpg","View")</f>
        <v>View</v>
      </c>
      <c r="V1822" s="8"/>
      <c r="W1822" s="8"/>
      <c r="X1822" s="8"/>
      <c r="Y1822" s="8"/>
      <c r="Z1822" s="8"/>
    </row>
    <row r="1823" spans="1:26" ht="13.2">
      <c r="A1823" s="13">
        <v>44250.281493055554</v>
      </c>
      <c r="B1823" s="6" t="str">
        <f>HYPERLINK("https://twitter.com/maria_freiria","@maria_freiria")</f>
        <v>@maria_freiria</v>
      </c>
      <c r="C1823" s="14" t="s">
        <v>7396</v>
      </c>
      <c r="D1823" s="14" t="s">
        <v>7397</v>
      </c>
      <c r="E1823" s="6" t="str">
        <f>HYPERLINK("https://twitter.com/maria_freiria/status/1364088938042953730","1364088938042953730")</f>
        <v>1364088938042953730</v>
      </c>
      <c r="F1823" s="7" t="s">
        <v>7398</v>
      </c>
      <c r="G1823" s="7" t="s">
        <v>7399</v>
      </c>
      <c r="H1823" s="8"/>
      <c r="I1823" s="14">
        <v>0</v>
      </c>
      <c r="J1823" s="14">
        <v>0</v>
      </c>
      <c r="K1823" s="6" t="str">
        <f>HYPERLINK("http://twitter.com/download/iphone","Twitter for iPhone")</f>
        <v>Twitter for iPhone</v>
      </c>
      <c r="L1823" s="15">
        <v>4503</v>
      </c>
      <c r="M1823" s="15">
        <v>4712</v>
      </c>
      <c r="N1823" s="15">
        <v>380</v>
      </c>
      <c r="O1823" s="9"/>
      <c r="P1823" s="10">
        <v>40475.841574074075</v>
      </c>
      <c r="Q1823" s="14" t="s">
        <v>848</v>
      </c>
      <c r="R1823" s="14" t="s">
        <v>7400</v>
      </c>
      <c r="S1823" s="7" t="s">
        <v>7401</v>
      </c>
      <c r="T1823" s="8"/>
      <c r="U1823" s="11" t="str">
        <f>HYPERLINK("https://pbs.twimg.com/profile_images/774975659663847425/UZgHLxKG.jpg","View")</f>
        <v>View</v>
      </c>
      <c r="V1823" s="8"/>
      <c r="W1823" s="8"/>
      <c r="X1823" s="8"/>
      <c r="Y1823" s="8"/>
      <c r="Z1823" s="8"/>
    </row>
    <row r="1824" spans="1:26" ht="13.2">
      <c r="A1824" s="13">
        <v>44250.281018518523</v>
      </c>
      <c r="B1824" s="6" t="str">
        <f>HYPERLINK("https://twitter.com/cornichecorp","@cornichecorp")</f>
        <v>@cornichecorp</v>
      </c>
      <c r="C1824" s="14" t="s">
        <v>2271</v>
      </c>
      <c r="D1824" s="14" t="s">
        <v>3455</v>
      </c>
      <c r="E1824" s="6" t="str">
        <f>HYPERLINK("https://twitter.com/cornichecorp/status/1364088767556902913","1364088767556902913")</f>
        <v>1364088767556902913</v>
      </c>
      <c r="F1824" s="14" t="s">
        <v>3456</v>
      </c>
      <c r="G1824" s="8"/>
      <c r="H1824" s="8"/>
      <c r="I1824" s="14">
        <v>2</v>
      </c>
      <c r="J1824" s="14">
        <v>1</v>
      </c>
      <c r="K1824" s="6" t="str">
        <f t="shared" ref="K1824:K1825" si="340">HYPERLINK("http://twinybots.com","TwinyBots")</f>
        <v>TwinyBots</v>
      </c>
      <c r="L1824" s="15">
        <v>2349</v>
      </c>
      <c r="M1824" s="15">
        <v>2163</v>
      </c>
      <c r="N1824" s="15">
        <v>30</v>
      </c>
      <c r="O1824" s="9"/>
      <c r="P1824" s="10">
        <v>42246.917499999996</v>
      </c>
      <c r="Q1824" s="14" t="s">
        <v>2274</v>
      </c>
      <c r="R1824" s="14" t="s">
        <v>2275</v>
      </c>
      <c r="S1824" s="8"/>
      <c r="T1824" s="8"/>
      <c r="U1824" s="11" t="str">
        <f>HYPERLINK("https://pbs.twimg.com/profile_images/1135863200396775424/vPe8Htor.png","View")</f>
        <v>View</v>
      </c>
      <c r="V1824" s="8"/>
      <c r="W1824" s="8"/>
      <c r="X1824" s="8"/>
      <c r="Y1824" s="8"/>
      <c r="Z1824" s="8"/>
    </row>
    <row r="1825" spans="1:26" ht="13.2">
      <c r="A1825" s="13">
        <v>44250.281018518523</v>
      </c>
      <c r="B1825" s="6" t="str">
        <f>HYPERLINK("https://twitter.com/corizance","@corizance")</f>
        <v>@corizance</v>
      </c>
      <c r="C1825" s="14" t="s">
        <v>2550</v>
      </c>
      <c r="D1825" s="14" t="s">
        <v>5542</v>
      </c>
      <c r="E1825" s="6" t="str">
        <f>HYPERLINK("https://twitter.com/corizance/status/1364088766961451012","1364088766961451012")</f>
        <v>1364088766961451012</v>
      </c>
      <c r="F1825" s="14" t="s">
        <v>7402</v>
      </c>
      <c r="G1825" s="8"/>
      <c r="H1825" s="8"/>
      <c r="I1825" s="14">
        <v>0</v>
      </c>
      <c r="J1825" s="14">
        <v>0</v>
      </c>
      <c r="K1825" s="6" t="str">
        <f t="shared" si="340"/>
        <v>TwinyBots</v>
      </c>
      <c r="L1825" s="15">
        <v>488</v>
      </c>
      <c r="M1825" s="15">
        <v>434</v>
      </c>
      <c r="N1825" s="15">
        <v>13</v>
      </c>
      <c r="O1825" s="9"/>
      <c r="P1825" s="10">
        <v>43789.49145833333</v>
      </c>
      <c r="Q1825" s="14" t="s">
        <v>2551</v>
      </c>
      <c r="R1825" s="14" t="s">
        <v>2552</v>
      </c>
      <c r="S1825" s="7" t="s">
        <v>2553</v>
      </c>
      <c r="T1825" s="8"/>
      <c r="U1825" s="11" t="str">
        <f>HYPERLINK("https://pbs.twimg.com/profile_images/1223176339697565697/q38i7r9K.jpg","View")</f>
        <v>View</v>
      </c>
      <c r="V1825" s="8"/>
      <c r="W1825" s="8"/>
      <c r="X1825" s="8"/>
      <c r="Y1825" s="8"/>
      <c r="Z1825" s="8"/>
    </row>
    <row r="1826" spans="1:26" ht="13.2">
      <c r="A1826" s="13">
        <v>44250.280995370369</v>
      </c>
      <c r="B1826" s="6" t="str">
        <f>HYPERLINK("https://twitter.com/CaitDoogan","@CaitDoogan")</f>
        <v>@CaitDoogan</v>
      </c>
      <c r="C1826" s="14" t="s">
        <v>7403</v>
      </c>
      <c r="D1826" s="14" t="s">
        <v>7404</v>
      </c>
      <c r="E1826" s="6" t="str">
        <f>HYPERLINK("https://twitter.com/CaitDoogan/status/1364088758136569856","1364088758136569856")</f>
        <v>1364088758136569856</v>
      </c>
      <c r="F1826" s="8"/>
      <c r="G1826" s="7" t="s">
        <v>7405</v>
      </c>
      <c r="H1826" s="8"/>
      <c r="I1826" s="14">
        <v>0</v>
      </c>
      <c r="J1826" s="14">
        <v>3</v>
      </c>
      <c r="K1826" s="6" t="str">
        <f>HYPERLINK("https://mobile.twitter.com","Twitter Web App")</f>
        <v>Twitter Web App</v>
      </c>
      <c r="L1826" s="15">
        <v>2455</v>
      </c>
      <c r="M1826" s="15">
        <v>663</v>
      </c>
      <c r="N1826" s="15">
        <v>32</v>
      </c>
      <c r="O1826" s="9"/>
      <c r="P1826" s="10">
        <v>43245.044814814813</v>
      </c>
      <c r="Q1826" s="14" t="s">
        <v>7406</v>
      </c>
      <c r="R1826" s="14" t="s">
        <v>7407</v>
      </c>
      <c r="S1826" s="7" t="s">
        <v>7408</v>
      </c>
      <c r="T1826" s="8"/>
      <c r="U1826" s="11" t="str">
        <f>HYPERLINK("https://pbs.twimg.com/profile_images/1300912087191887872/9s4sIg3E.jpg","View")</f>
        <v>View</v>
      </c>
      <c r="V1826" s="8"/>
      <c r="W1826" s="8"/>
      <c r="X1826" s="8"/>
      <c r="Y1826" s="8"/>
      <c r="Z1826" s="8"/>
    </row>
    <row r="1827" spans="1:26" ht="13.2">
      <c r="A1827" s="13">
        <v>44250.279363425929</v>
      </c>
      <c r="B1827" s="6" t="str">
        <f>HYPERLINK("https://twitter.com/Techfuturenew","@Techfuturenew")</f>
        <v>@Techfuturenew</v>
      </c>
      <c r="C1827" s="14" t="s">
        <v>1725</v>
      </c>
      <c r="D1827" s="14" t="s">
        <v>39</v>
      </c>
      <c r="E1827" s="6" t="str">
        <f>HYPERLINK("https://twitter.com/Techfuturenew/status/1364088168178454528","1364088168178454528")</f>
        <v>1364088168178454528</v>
      </c>
      <c r="F1827" s="14" t="s">
        <v>7409</v>
      </c>
      <c r="G1827" s="8"/>
      <c r="H1827" s="8"/>
      <c r="I1827" s="14">
        <v>2</v>
      </c>
      <c r="J1827" s="14">
        <v>1</v>
      </c>
      <c r="K1827" s="6" t="str">
        <f>HYPERLINK("http://twinybots.com","TwinyBots")</f>
        <v>TwinyBots</v>
      </c>
      <c r="L1827" s="15">
        <v>961</v>
      </c>
      <c r="M1827" s="15">
        <v>411</v>
      </c>
      <c r="N1827" s="15">
        <v>17</v>
      </c>
      <c r="O1827" s="9"/>
      <c r="P1827" s="10">
        <v>43080.534120370372</v>
      </c>
      <c r="Q1827" s="14" t="s">
        <v>322</v>
      </c>
      <c r="R1827" s="14" t="s">
        <v>1727</v>
      </c>
      <c r="S1827" s="8"/>
      <c r="T1827" s="8"/>
      <c r="U1827" s="11" t="str">
        <f>HYPERLINK("https://pbs.twimg.com/profile_images/1201246977150922755/lKxY2XSy.jpg","View")</f>
        <v>View</v>
      </c>
      <c r="V1827" s="8"/>
      <c r="W1827" s="8"/>
      <c r="X1827" s="8"/>
      <c r="Y1827" s="8"/>
      <c r="Z1827" s="8"/>
    </row>
    <row r="1828" spans="1:26" ht="13.2">
      <c r="A1828" s="13">
        <v>44250.27789351852</v>
      </c>
      <c r="B1828" s="6" t="str">
        <f>HYPERLINK("https://twitter.com/i2tutorials","@i2tutorials")</f>
        <v>@i2tutorials</v>
      </c>
      <c r="C1828" s="14" t="s">
        <v>7410</v>
      </c>
      <c r="D1828" s="14" t="s">
        <v>7411</v>
      </c>
      <c r="E1828" s="6" t="str">
        <f>HYPERLINK("https://twitter.com/i2tutorials/status/1364087636114087938","1364087636114087938")</f>
        <v>1364087636114087938</v>
      </c>
      <c r="F1828" s="7" t="s">
        <v>7412</v>
      </c>
      <c r="G1828" s="8"/>
      <c r="H1828" s="8"/>
      <c r="I1828" s="14">
        <v>1</v>
      </c>
      <c r="J1828" s="14">
        <v>2</v>
      </c>
      <c r="K1828" s="6" t="str">
        <f>HYPERLINK("https://mobile.twitter.com","Twitter Web App")</f>
        <v>Twitter Web App</v>
      </c>
      <c r="L1828" s="15">
        <v>28</v>
      </c>
      <c r="M1828" s="15">
        <v>84</v>
      </c>
      <c r="N1828" s="15">
        <v>2</v>
      </c>
      <c r="O1828" s="9"/>
      <c r="P1828" s="10">
        <v>43082.221550925926</v>
      </c>
      <c r="Q1828" s="14" t="s">
        <v>7413</v>
      </c>
      <c r="R1828" s="14" t="s">
        <v>7414</v>
      </c>
      <c r="S1828" s="8"/>
      <c r="T1828" s="8"/>
      <c r="U1828" s="11" t="str">
        <f>HYPERLINK("https://pbs.twimg.com/profile_images/940799311503294465/X3oqt2UF.jpg","View")</f>
        <v>View</v>
      </c>
      <c r="V1828" s="8"/>
      <c r="W1828" s="8"/>
      <c r="X1828" s="8"/>
      <c r="Y1828" s="8"/>
      <c r="Z1828" s="8"/>
    </row>
    <row r="1829" spans="1:26" ht="13.2">
      <c r="A1829" s="13">
        <v>44250.277800925927</v>
      </c>
      <c r="B1829" s="6" t="str">
        <f>HYPERLINK("https://twitter.com/KloudqT","@KloudqT")</f>
        <v>@KloudqT</v>
      </c>
      <c r="C1829" s="14" t="s">
        <v>7415</v>
      </c>
      <c r="D1829" s="14" t="s">
        <v>7416</v>
      </c>
      <c r="E1829" s="6" t="str">
        <f>HYPERLINK("https://twitter.com/KloudqT/status/1364087602824040449","1364087602824040449")</f>
        <v>1364087602824040449</v>
      </c>
      <c r="F1829" s="8"/>
      <c r="G1829" s="7" t="s">
        <v>7417</v>
      </c>
      <c r="H1829" s="8"/>
      <c r="I1829" s="14">
        <v>8</v>
      </c>
      <c r="J1829" s="14">
        <v>10</v>
      </c>
      <c r="K1829" s="6" t="str">
        <f>HYPERLINK("https://buffer.com","Buffer")</f>
        <v>Buffer</v>
      </c>
      <c r="L1829" s="15">
        <v>485</v>
      </c>
      <c r="M1829" s="15">
        <v>395</v>
      </c>
      <c r="N1829" s="15">
        <v>5</v>
      </c>
      <c r="O1829" s="9"/>
      <c r="P1829" s="10">
        <v>43000.45103009259</v>
      </c>
      <c r="Q1829" s="14" t="s">
        <v>2167</v>
      </c>
      <c r="R1829" s="14" t="s">
        <v>7418</v>
      </c>
      <c r="S1829" s="7" t="s">
        <v>7419</v>
      </c>
      <c r="T1829" s="8"/>
      <c r="U1829" s="11" t="str">
        <f>HYPERLINK("https://pbs.twimg.com/profile_images/911155878996398081/Im5AMPFh.jpg","View")</f>
        <v>View</v>
      </c>
      <c r="V1829" s="8"/>
      <c r="W1829" s="8"/>
      <c r="X1829" s="8"/>
      <c r="Y1829" s="8"/>
      <c r="Z1829" s="8"/>
    </row>
    <row r="1830" spans="1:26" ht="13.2">
      <c r="A1830" s="13">
        <v>44250.277777777781</v>
      </c>
      <c r="B1830" s="6" t="str">
        <f>HYPERLINK("https://twitter.com/BacancyTech","@BacancyTech")</f>
        <v>@BacancyTech</v>
      </c>
      <c r="C1830" s="14" t="s">
        <v>7420</v>
      </c>
      <c r="D1830" s="14" t="s">
        <v>7421</v>
      </c>
      <c r="E1830" s="6" t="str">
        <f>HYPERLINK("https://twitter.com/BacancyTech/status/1364087592354914311","1364087592354914311")</f>
        <v>1364087592354914311</v>
      </c>
      <c r="F1830" s="7" t="s">
        <v>4419</v>
      </c>
      <c r="G1830" s="8"/>
      <c r="H1830" s="8"/>
      <c r="I1830" s="14">
        <v>12</v>
      </c>
      <c r="J1830" s="14">
        <v>10</v>
      </c>
      <c r="K1830" s="6" t="str">
        <f t="shared" ref="K1830:K1835" si="341">HYPERLINK("https://mobile.twitter.com","Twitter Web App")</f>
        <v>Twitter Web App</v>
      </c>
      <c r="L1830" s="15">
        <v>923</v>
      </c>
      <c r="M1830" s="15">
        <v>1904</v>
      </c>
      <c r="N1830" s="15">
        <v>290</v>
      </c>
      <c r="O1830" s="9"/>
      <c r="P1830" s="10">
        <v>41330.324097222227</v>
      </c>
      <c r="Q1830" s="14" t="s">
        <v>364</v>
      </c>
      <c r="R1830" s="14" t="s">
        <v>7422</v>
      </c>
      <c r="S1830" s="7" t="s">
        <v>7423</v>
      </c>
      <c r="T1830" s="8"/>
      <c r="U1830" s="11" t="str">
        <f>HYPERLINK("https://pbs.twimg.com/profile_images/1220694968894779394/FZLZABGw.jpg","View")</f>
        <v>View</v>
      </c>
      <c r="V1830" s="8"/>
      <c r="W1830" s="8"/>
      <c r="X1830" s="8"/>
      <c r="Y1830" s="8"/>
      <c r="Z1830" s="8"/>
    </row>
    <row r="1831" spans="1:26" ht="13.2">
      <c r="A1831" s="13">
        <v>44250.276134259257</v>
      </c>
      <c r="B1831" s="6" t="str">
        <f>HYPERLINK("https://twitter.com/karry6021","@karry6021")</f>
        <v>@karry6021</v>
      </c>
      <c r="C1831" s="14" t="s">
        <v>7424</v>
      </c>
      <c r="D1831" s="14" t="s">
        <v>7425</v>
      </c>
      <c r="E1831" s="6" t="str">
        <f>HYPERLINK("https://twitter.com/karry6021/status/1364086997443223553","1364086997443223553")</f>
        <v>1364086997443223553</v>
      </c>
      <c r="F1831" s="7" t="s">
        <v>4419</v>
      </c>
      <c r="G1831" s="8"/>
      <c r="H1831" s="8"/>
      <c r="I1831" s="14">
        <v>9</v>
      </c>
      <c r="J1831" s="14">
        <v>10</v>
      </c>
      <c r="K1831" s="6" t="str">
        <f t="shared" si="341"/>
        <v>Twitter Web App</v>
      </c>
      <c r="L1831" s="15">
        <v>246</v>
      </c>
      <c r="M1831" s="15">
        <v>564</v>
      </c>
      <c r="N1831" s="15">
        <v>6</v>
      </c>
      <c r="O1831" s="9"/>
      <c r="P1831" s="10">
        <v>43138.483483796299</v>
      </c>
      <c r="Q1831" s="14" t="s">
        <v>138</v>
      </c>
      <c r="R1831" s="14" t="s">
        <v>7426</v>
      </c>
      <c r="S1831" s="7" t="s">
        <v>7427</v>
      </c>
      <c r="T1831" s="8"/>
      <c r="U1831" s="11" t="str">
        <f>HYPERLINK("https://pbs.twimg.com/profile_images/961193311716376577/tfk6gKvb.jpg","View")</f>
        <v>View</v>
      </c>
      <c r="V1831" s="8"/>
      <c r="W1831" s="8"/>
      <c r="X1831" s="8"/>
      <c r="Y1831" s="8"/>
      <c r="Z1831" s="8"/>
    </row>
    <row r="1832" spans="1:26" ht="13.2">
      <c r="A1832" s="13">
        <v>44250.275995370372</v>
      </c>
      <c r="B1832" s="6" t="str">
        <f>HYPERLINK("https://twitter.com/katyslemon","@katyslemon")</f>
        <v>@katyslemon</v>
      </c>
      <c r="C1832" s="14" t="s">
        <v>7428</v>
      </c>
      <c r="D1832" s="14" t="s">
        <v>7425</v>
      </c>
      <c r="E1832" s="6" t="str">
        <f>HYPERLINK("https://twitter.com/katyslemon/status/1364086946327273472","1364086946327273472")</f>
        <v>1364086946327273472</v>
      </c>
      <c r="F1832" s="7" t="s">
        <v>4419</v>
      </c>
      <c r="G1832" s="8"/>
      <c r="H1832" s="8"/>
      <c r="I1832" s="14">
        <v>2</v>
      </c>
      <c r="J1832" s="14">
        <v>2</v>
      </c>
      <c r="K1832" s="6" t="str">
        <f t="shared" si="341"/>
        <v>Twitter Web App</v>
      </c>
      <c r="L1832" s="15">
        <v>1823</v>
      </c>
      <c r="M1832" s="15">
        <v>3210</v>
      </c>
      <c r="N1832" s="15">
        <v>424</v>
      </c>
      <c r="O1832" s="9"/>
      <c r="P1832" s="10">
        <v>41897.395254629628</v>
      </c>
      <c r="Q1832" s="14" t="s">
        <v>7429</v>
      </c>
      <c r="R1832" s="14" t="s">
        <v>7430</v>
      </c>
      <c r="S1832" s="7" t="s">
        <v>7431</v>
      </c>
      <c r="T1832" s="8"/>
      <c r="U1832" s="11" t="str">
        <f>HYPERLINK("https://pbs.twimg.com/profile_images/611881737371521024/OW9rqaeJ.jpg","View")</f>
        <v>View</v>
      </c>
      <c r="V1832" s="8"/>
      <c r="W1832" s="8"/>
      <c r="X1832" s="8"/>
      <c r="Y1832" s="8"/>
      <c r="Z1832" s="8"/>
    </row>
    <row r="1833" spans="1:26" ht="13.2">
      <c r="A1833" s="13">
        <v>44250.275740740741</v>
      </c>
      <c r="B1833" s="6" t="str">
        <f>HYPERLINK("https://twitter.com/PSaucet","@PSaucet")</f>
        <v>@PSaucet</v>
      </c>
      <c r="C1833" s="14" t="s">
        <v>7432</v>
      </c>
      <c r="D1833" s="14" t="s">
        <v>7433</v>
      </c>
      <c r="E1833" s="6" t="str">
        <f>HYPERLINK("https://twitter.com/PSaucet/status/1364086853805162496","1364086853805162496")</f>
        <v>1364086853805162496</v>
      </c>
      <c r="F1833" s="14" t="s">
        <v>7434</v>
      </c>
      <c r="G1833" s="7" t="s">
        <v>7435</v>
      </c>
      <c r="H1833" s="8"/>
      <c r="I1833" s="14">
        <v>1</v>
      </c>
      <c r="J1833" s="14">
        <v>2</v>
      </c>
      <c r="K1833" s="6" t="str">
        <f t="shared" si="341"/>
        <v>Twitter Web App</v>
      </c>
      <c r="L1833" s="15">
        <v>2804</v>
      </c>
      <c r="M1833" s="15">
        <v>2447</v>
      </c>
      <c r="N1833" s="15">
        <v>1026</v>
      </c>
      <c r="O1833" s="9"/>
      <c r="P1833" s="10">
        <v>40886.650625000002</v>
      </c>
      <c r="Q1833" s="14" t="s">
        <v>1468</v>
      </c>
      <c r="R1833" s="14" t="s">
        <v>7436</v>
      </c>
      <c r="S1833" s="7" t="s">
        <v>7437</v>
      </c>
      <c r="T1833" s="8"/>
      <c r="U1833" s="11" t="str">
        <f>HYPERLINK("https://pbs.twimg.com/profile_images/875653040623149058/sV7ayKvV.jpg","View")</f>
        <v>View</v>
      </c>
      <c r="V1833" s="8"/>
      <c r="W1833" s="8"/>
      <c r="X1833" s="8"/>
      <c r="Y1833" s="8"/>
      <c r="Z1833" s="8"/>
    </row>
    <row r="1834" spans="1:26" ht="13.2">
      <c r="A1834" s="13">
        <v>44250.275682870371</v>
      </c>
      <c r="B1834" s="6" t="str">
        <f>HYPERLINK("https://twitter.com/Vitti_AI","@Vitti_AI")</f>
        <v>@Vitti_AI</v>
      </c>
      <c r="C1834" s="14" t="s">
        <v>7286</v>
      </c>
      <c r="D1834" s="14" t="s">
        <v>7438</v>
      </c>
      <c r="E1834" s="6" t="str">
        <f>HYPERLINK("https://twitter.com/Vitti_AI/status/1364086835266211843","1364086835266211843")</f>
        <v>1364086835266211843</v>
      </c>
      <c r="F1834" s="8"/>
      <c r="G1834" s="7" t="s">
        <v>7439</v>
      </c>
      <c r="H1834" s="8"/>
      <c r="I1834" s="14">
        <v>7</v>
      </c>
      <c r="J1834" s="14">
        <v>2</v>
      </c>
      <c r="K1834" s="6" t="str">
        <f t="shared" si="341"/>
        <v>Twitter Web App</v>
      </c>
      <c r="L1834" s="15">
        <v>36</v>
      </c>
      <c r="M1834" s="15">
        <v>87</v>
      </c>
      <c r="N1834" s="15">
        <v>0</v>
      </c>
      <c r="O1834" s="9"/>
      <c r="P1834" s="10">
        <v>43825.512546296297</v>
      </c>
      <c r="Q1834" s="14" t="s">
        <v>7289</v>
      </c>
      <c r="R1834" s="14" t="s">
        <v>7290</v>
      </c>
      <c r="S1834" s="7" t="s">
        <v>7291</v>
      </c>
      <c r="T1834" s="8"/>
      <c r="U1834" s="11" t="str">
        <f>HYPERLINK("https://pbs.twimg.com/profile_images/1251813425543446528/wIehgD44.jpg","View")</f>
        <v>View</v>
      </c>
      <c r="V1834" s="8"/>
      <c r="W1834" s="8"/>
      <c r="X1834" s="8"/>
      <c r="Y1834" s="8"/>
      <c r="Z1834" s="8"/>
    </row>
    <row r="1835" spans="1:26" ht="13.2">
      <c r="A1835" s="13">
        <v>44250.27553240741</v>
      </c>
      <c r="B1835" s="6" t="str">
        <f>HYPERLINK("https://twitter.com/instancelabs","@instancelabs")</f>
        <v>@instancelabs</v>
      </c>
      <c r="C1835" s="14" t="s">
        <v>7440</v>
      </c>
      <c r="D1835" s="14" t="s">
        <v>7441</v>
      </c>
      <c r="E1835" s="6" t="str">
        <f>HYPERLINK("https://twitter.com/instancelabs/status/1364086779071111169","1364086779071111169")</f>
        <v>1364086779071111169</v>
      </c>
      <c r="F1835" s="7" t="s">
        <v>7442</v>
      </c>
      <c r="G1835" s="7" t="s">
        <v>7443</v>
      </c>
      <c r="H1835" s="8"/>
      <c r="I1835" s="14">
        <v>2</v>
      </c>
      <c r="J1835" s="14">
        <v>0</v>
      </c>
      <c r="K1835" s="6" t="str">
        <f t="shared" si="341"/>
        <v>Twitter Web App</v>
      </c>
      <c r="L1835" s="15">
        <v>1</v>
      </c>
      <c r="M1835" s="15">
        <v>24</v>
      </c>
      <c r="N1835" s="15">
        <v>0</v>
      </c>
      <c r="O1835" s="9"/>
      <c r="P1835" s="10">
        <v>41038.656377314815</v>
      </c>
      <c r="Q1835" s="8"/>
      <c r="R1835" s="14" t="s">
        <v>7444</v>
      </c>
      <c r="S1835" s="7" t="s">
        <v>7445</v>
      </c>
      <c r="T1835" s="8"/>
      <c r="U1835" s="11" t="str">
        <f>HYPERLINK("https://pbs.twimg.com/profile_images/1363784002453315584/A2VRExrC.png","View")</f>
        <v>View</v>
      </c>
      <c r="V1835" s="8"/>
      <c r="W1835" s="8"/>
      <c r="X1835" s="8"/>
      <c r="Y1835" s="8"/>
      <c r="Z1835" s="8"/>
    </row>
    <row r="1836" spans="1:26" ht="13.2">
      <c r="A1836" s="13">
        <v>44250.275196759263</v>
      </c>
      <c r="B1836" s="6" t="str">
        <f>HYPERLINK("https://twitter.com/1nterestingTech","@1nterestingTech")</f>
        <v>@1nterestingTech</v>
      </c>
      <c r="C1836" s="14" t="s">
        <v>7446</v>
      </c>
      <c r="D1836" s="14" t="s">
        <v>7447</v>
      </c>
      <c r="E1836" s="6" t="str">
        <f>HYPERLINK("https://twitter.com/1nterestingTech/status/1364086657805352960","1364086657805352960")</f>
        <v>1364086657805352960</v>
      </c>
      <c r="F1836" s="14" t="s">
        <v>4434</v>
      </c>
      <c r="G1836" s="8"/>
      <c r="H1836" s="8"/>
      <c r="I1836" s="14">
        <v>0</v>
      </c>
      <c r="J1836" s="14">
        <v>0</v>
      </c>
      <c r="K1836" s="6" t="str">
        <f t="shared" ref="K1836:K1838" si="342">HYPERLINK("http://twinybots.com","TwinyBots")</f>
        <v>TwinyBots</v>
      </c>
      <c r="L1836" s="15">
        <v>996</v>
      </c>
      <c r="M1836" s="15">
        <v>2324</v>
      </c>
      <c r="N1836" s="15">
        <v>22</v>
      </c>
      <c r="O1836" s="9"/>
      <c r="P1836" s="10">
        <v>43671.640625</v>
      </c>
      <c r="Q1836" s="14" t="s">
        <v>203</v>
      </c>
      <c r="R1836" s="14" t="s">
        <v>7448</v>
      </c>
      <c r="S1836" s="7" t="s">
        <v>7449</v>
      </c>
      <c r="T1836" s="8"/>
      <c r="U1836" s="11" t="str">
        <f>HYPERLINK("https://pbs.twimg.com/profile_images/1154383562088599552/RbyNTvSg.jpg","View")</f>
        <v>View</v>
      </c>
      <c r="V1836" s="8"/>
      <c r="W1836" s="8"/>
      <c r="X1836" s="8"/>
      <c r="Y1836" s="8"/>
      <c r="Z1836" s="8"/>
    </row>
    <row r="1837" spans="1:26" ht="13.2">
      <c r="A1837" s="13">
        <v>44250.27511574074</v>
      </c>
      <c r="B1837" s="6" t="str">
        <f>HYPERLINK("https://twitter.com/neuzida","@neuzida")</f>
        <v>@neuzida</v>
      </c>
      <c r="C1837" s="14" t="s">
        <v>789</v>
      </c>
      <c r="D1837" s="14" t="s">
        <v>7450</v>
      </c>
      <c r="E1837" s="6" t="str">
        <f>HYPERLINK("https://twitter.com/neuzida/status/1364086630110416896","1364086630110416896")</f>
        <v>1364086630110416896</v>
      </c>
      <c r="F1837" s="7" t="s">
        <v>7451</v>
      </c>
      <c r="G1837" s="8"/>
      <c r="H1837" s="8"/>
      <c r="I1837" s="14">
        <v>2</v>
      </c>
      <c r="J1837" s="14">
        <v>0</v>
      </c>
      <c r="K1837" s="6" t="str">
        <f t="shared" si="342"/>
        <v>TwinyBots</v>
      </c>
      <c r="L1837" s="15">
        <v>1326</v>
      </c>
      <c r="M1837" s="15">
        <v>1118</v>
      </c>
      <c r="N1837" s="15">
        <v>32</v>
      </c>
      <c r="O1837" s="9"/>
      <c r="P1837" s="10">
        <v>40553.300625000003</v>
      </c>
      <c r="Q1837" s="14" t="s">
        <v>792</v>
      </c>
      <c r="R1837" s="14" t="s">
        <v>793</v>
      </c>
      <c r="S1837" s="7" t="s">
        <v>794</v>
      </c>
      <c r="T1837" s="8"/>
      <c r="U1837" s="11" t="str">
        <f>HYPERLINK("https://pbs.twimg.com/profile_images/1306288338765111296/Um2EYi15.jpg","View")</f>
        <v>View</v>
      </c>
      <c r="V1837" s="8"/>
      <c r="W1837" s="8"/>
      <c r="X1837" s="8"/>
      <c r="Y1837" s="8"/>
      <c r="Z1837" s="8"/>
    </row>
    <row r="1838" spans="1:26" ht="13.2">
      <c r="A1838" s="13">
        <v>44250.274756944447</v>
      </c>
      <c r="B1838" s="6" t="str">
        <f>HYPERLINK("https://twitter.com/KimPgch","@KimPgch")</f>
        <v>@KimPgch</v>
      </c>
      <c r="C1838" s="14" t="s">
        <v>1311</v>
      </c>
      <c r="D1838" s="14" t="s">
        <v>7452</v>
      </c>
      <c r="E1838" s="6" t="str">
        <f>HYPERLINK("https://twitter.com/KimPgch/status/1364086500187602955","1364086500187602955")</f>
        <v>1364086500187602955</v>
      </c>
      <c r="F1838" s="14" t="s">
        <v>7453</v>
      </c>
      <c r="G1838" s="8"/>
      <c r="H1838" s="8"/>
      <c r="I1838" s="14">
        <v>0</v>
      </c>
      <c r="J1838" s="14">
        <v>0</v>
      </c>
      <c r="K1838" s="6" t="str">
        <f t="shared" si="342"/>
        <v>TwinyBots</v>
      </c>
      <c r="L1838" s="15">
        <v>5717</v>
      </c>
      <c r="M1838" s="15">
        <v>5802</v>
      </c>
      <c r="N1838" s="15">
        <v>37</v>
      </c>
      <c r="O1838" s="9"/>
      <c r="P1838" s="10">
        <v>41926.214687500003</v>
      </c>
      <c r="Q1838" s="14" t="s">
        <v>650</v>
      </c>
      <c r="R1838" s="14" t="s">
        <v>1314</v>
      </c>
      <c r="S1838" s="7" t="s">
        <v>1315</v>
      </c>
      <c r="T1838" s="8"/>
      <c r="U1838" s="11" t="str">
        <f>HYPERLINK("https://pbs.twimg.com/profile_images/525481353182072832/qd_bfvn9.jpeg","View")</f>
        <v>View</v>
      </c>
      <c r="V1838" s="8"/>
      <c r="W1838" s="8"/>
      <c r="X1838" s="8"/>
      <c r="Y1838" s="8"/>
      <c r="Z1838" s="8"/>
    </row>
    <row r="1839" spans="1:26" ht="13.2">
      <c r="A1839" s="13">
        <v>44250.274097222224</v>
      </c>
      <c r="B1839" s="6" t="str">
        <f>HYPERLINK("https://twitter.com/Poussun","@Poussun")</f>
        <v>@Poussun</v>
      </c>
      <c r="C1839" s="14" t="s">
        <v>7454</v>
      </c>
      <c r="D1839" s="14" t="s">
        <v>7455</v>
      </c>
      <c r="E1839" s="6" t="str">
        <f>HYPERLINK("https://twitter.com/Poussun/status/1364086258012745733","1364086258012745733")</f>
        <v>1364086258012745733</v>
      </c>
      <c r="F1839" s="7" t="s">
        <v>7456</v>
      </c>
      <c r="G1839" s="8"/>
      <c r="H1839" s="8"/>
      <c r="I1839" s="14">
        <v>5</v>
      </c>
      <c r="J1839" s="14">
        <v>4</v>
      </c>
      <c r="K1839" s="6" t="str">
        <f t="shared" ref="K1839:K1840" si="343">HYPERLINK("https://mobile.twitter.com","Twitter Web App")</f>
        <v>Twitter Web App</v>
      </c>
      <c r="L1839" s="15">
        <v>10477</v>
      </c>
      <c r="M1839" s="15">
        <v>9114</v>
      </c>
      <c r="N1839" s="15">
        <v>952</v>
      </c>
      <c r="O1839" s="9"/>
      <c r="P1839" s="10">
        <v>40781.637627314813</v>
      </c>
      <c r="Q1839" s="14" t="s">
        <v>7457</v>
      </c>
      <c r="R1839" s="14" t="s">
        <v>7458</v>
      </c>
      <c r="S1839" s="8"/>
      <c r="T1839" s="8"/>
      <c r="U1839" s="11" t="str">
        <f>HYPERLINK("https://pbs.twimg.com/profile_images/577820682198740992/-RaRvc87.png","View")</f>
        <v>View</v>
      </c>
      <c r="V1839" s="8"/>
      <c r="W1839" s="8"/>
      <c r="X1839" s="8"/>
      <c r="Y1839" s="8"/>
      <c r="Z1839" s="8"/>
    </row>
    <row r="1840" spans="1:26" ht="13.2">
      <c r="A1840" s="13">
        <v>44250.273969907408</v>
      </c>
      <c r="B1840" s="6" t="str">
        <f>HYPERLINK("https://twitter.com/rasangarocks","@rasangarocks")</f>
        <v>@rasangarocks</v>
      </c>
      <c r="C1840" s="14" t="s">
        <v>5437</v>
      </c>
      <c r="D1840" s="14" t="s">
        <v>7459</v>
      </c>
      <c r="E1840" s="6" t="str">
        <f>HYPERLINK("https://twitter.com/rasangarocks/status/1364086214861627396","1364086214861627396")</f>
        <v>1364086214861627396</v>
      </c>
      <c r="F1840" s="7" t="s">
        <v>7460</v>
      </c>
      <c r="G1840" s="8"/>
      <c r="H1840" s="8"/>
      <c r="I1840" s="14">
        <v>41</v>
      </c>
      <c r="J1840" s="14">
        <v>25</v>
      </c>
      <c r="K1840" s="6" t="str">
        <f t="shared" si="343"/>
        <v>Twitter Web App</v>
      </c>
      <c r="L1840" s="15">
        <v>50654</v>
      </c>
      <c r="M1840" s="15">
        <v>49987</v>
      </c>
      <c r="N1840" s="15">
        <v>624</v>
      </c>
      <c r="O1840" s="9"/>
      <c r="P1840" s="10">
        <v>42071.75949074074</v>
      </c>
      <c r="Q1840" s="8"/>
      <c r="R1840" s="14" t="s">
        <v>5440</v>
      </c>
      <c r="S1840" s="7" t="s">
        <v>5441</v>
      </c>
      <c r="T1840" s="8"/>
      <c r="U1840" s="11" t="str">
        <f>HYPERLINK("https://pbs.twimg.com/profile_images/771872242300956672/j1H-OInO.jpg","View")</f>
        <v>View</v>
      </c>
      <c r="V1840" s="8"/>
      <c r="W1840" s="8"/>
      <c r="X1840" s="8"/>
      <c r="Y1840" s="8"/>
      <c r="Z1840" s="8"/>
    </row>
    <row r="1841" spans="1:26" ht="13.2">
      <c r="A1841" s="13">
        <v>44250.273692129631</v>
      </c>
      <c r="B1841" s="6" t="str">
        <f>HYPERLINK("https://twitter.com/WriteX12","@WriteX12")</f>
        <v>@WriteX12</v>
      </c>
      <c r="C1841" s="14" t="s">
        <v>5480</v>
      </c>
      <c r="D1841" s="14" t="s">
        <v>7461</v>
      </c>
      <c r="E1841" s="6" t="str">
        <f>HYPERLINK("https://twitter.com/WriteX12/status/1364086114886119424","1364086114886119424")</f>
        <v>1364086114886119424</v>
      </c>
      <c r="F1841" s="7" t="s">
        <v>7462</v>
      </c>
      <c r="G1841" s="7" t="s">
        <v>7463</v>
      </c>
      <c r="H1841" s="8"/>
      <c r="I1841" s="14">
        <v>11</v>
      </c>
      <c r="J1841" s="14">
        <v>5</v>
      </c>
      <c r="K1841" s="6" t="str">
        <f>HYPERLINK("http://twitter.com/download/android","Twitter for Android")</f>
        <v>Twitter for Android</v>
      </c>
      <c r="L1841" s="15">
        <v>21</v>
      </c>
      <c r="M1841" s="15">
        <v>178</v>
      </c>
      <c r="N1841" s="15">
        <v>0</v>
      </c>
      <c r="O1841" s="9"/>
      <c r="P1841" s="10">
        <v>44118.455312499995</v>
      </c>
      <c r="Q1841" s="8"/>
      <c r="R1841" s="14" t="s">
        <v>5483</v>
      </c>
      <c r="S1841" s="7" t="s">
        <v>5484</v>
      </c>
      <c r="T1841" s="8"/>
      <c r="U1841" s="11" t="str">
        <f>HYPERLINK("https://pbs.twimg.com/profile_images/1316301767731109888/kmWlNQMs.jpg","View")</f>
        <v>View</v>
      </c>
      <c r="V1841" s="8"/>
      <c r="W1841" s="8"/>
      <c r="X1841" s="8"/>
      <c r="Y1841" s="8"/>
      <c r="Z1841" s="8"/>
    </row>
    <row r="1842" spans="1:26" ht="13.2">
      <c r="A1842" s="13">
        <v>44250.273506944446</v>
      </c>
      <c r="B1842" s="6" t="str">
        <f>HYPERLINK("https://twitter.com/codebyamy","@codebyamy")</f>
        <v>@codebyamy</v>
      </c>
      <c r="C1842" s="14" t="s">
        <v>7464</v>
      </c>
      <c r="D1842" s="14" t="s">
        <v>7465</v>
      </c>
      <c r="E1842" s="6" t="str">
        <f>HYPERLINK("https://twitter.com/codebyamy/status/1364086047253164032","1364086047253164032")</f>
        <v>1364086047253164032</v>
      </c>
      <c r="F1842" s="8"/>
      <c r="G1842" s="8"/>
      <c r="H1842" s="8"/>
      <c r="I1842" s="14">
        <v>3</v>
      </c>
      <c r="J1842" s="14">
        <v>0</v>
      </c>
      <c r="K1842" s="6" t="str">
        <f>HYPERLINK("http://twitter.com/download/iphone","Twitter for iPhone")</f>
        <v>Twitter for iPhone</v>
      </c>
      <c r="L1842" s="15">
        <v>464</v>
      </c>
      <c r="M1842" s="15">
        <v>775</v>
      </c>
      <c r="N1842" s="15">
        <v>6</v>
      </c>
      <c r="O1842" s="9"/>
      <c r="P1842" s="10">
        <v>43519.661828703705</v>
      </c>
      <c r="Q1842" s="14" t="s">
        <v>215</v>
      </c>
      <c r="R1842" s="14" t="s">
        <v>7466</v>
      </c>
      <c r="S1842" s="7" t="s">
        <v>7467</v>
      </c>
      <c r="T1842" s="8"/>
      <c r="U1842" s="11" t="str">
        <f>HYPERLINK("https://pbs.twimg.com/profile_images/1227495593456500736/vIUisEm-.jpg","View")</f>
        <v>View</v>
      </c>
      <c r="V1842" s="8"/>
      <c r="W1842" s="8"/>
      <c r="X1842" s="8"/>
      <c r="Y1842" s="8"/>
      <c r="Z1842" s="8"/>
    </row>
    <row r="1843" spans="1:26" ht="13.2">
      <c r="A1843" s="13">
        <v>44250.273483796293</v>
      </c>
      <c r="B1843" s="6" t="str">
        <f>HYPERLINK("https://twitter.com/SumitKothiyal","@SumitKothiyal")</f>
        <v>@SumitKothiyal</v>
      </c>
      <c r="C1843" s="14" t="s">
        <v>7468</v>
      </c>
      <c r="D1843" s="14" t="s">
        <v>7469</v>
      </c>
      <c r="E1843" s="6" t="str">
        <f>HYPERLINK("https://twitter.com/SumitKothiyal/status/1364086036482023424","1364086036482023424")</f>
        <v>1364086036482023424</v>
      </c>
      <c r="F1843" s="7" t="s">
        <v>7470</v>
      </c>
      <c r="G1843" s="8"/>
      <c r="H1843" s="8"/>
      <c r="I1843" s="14">
        <v>1</v>
      </c>
      <c r="J1843" s="14">
        <v>1</v>
      </c>
      <c r="K1843" s="6" t="str">
        <f>HYPERLINK("http://www.linkedin.com/","LinkedIn")</f>
        <v>LinkedIn</v>
      </c>
      <c r="L1843" s="15">
        <v>320</v>
      </c>
      <c r="M1843" s="15">
        <v>427</v>
      </c>
      <c r="N1843" s="15">
        <v>7</v>
      </c>
      <c r="O1843" s="9"/>
      <c r="P1843" s="10">
        <v>40946.71837962963</v>
      </c>
      <c r="Q1843" s="14" t="s">
        <v>4767</v>
      </c>
      <c r="R1843" s="14" t="s">
        <v>7471</v>
      </c>
      <c r="S1843" s="8"/>
      <c r="T1843" s="8"/>
      <c r="U1843" s="11" t="str">
        <f>HYPERLINK("https://pbs.twimg.com/profile_images/1355154146739982341/XVhUy25J.jpg","View")</f>
        <v>View</v>
      </c>
      <c r="V1843" s="8"/>
      <c r="W1843" s="8"/>
      <c r="X1843" s="8"/>
      <c r="Y1843" s="8"/>
      <c r="Z1843" s="8"/>
    </row>
    <row r="1844" spans="1:26" ht="13.2">
      <c r="A1844" s="13">
        <v>44250.272812499999</v>
      </c>
      <c r="B1844" s="6" t="str">
        <f>HYPERLINK("https://twitter.com/Techlif70142330","@Techlif70142330")</f>
        <v>@Techlif70142330</v>
      </c>
      <c r="C1844" s="14" t="s">
        <v>7472</v>
      </c>
      <c r="D1844" s="14" t="s">
        <v>7473</v>
      </c>
      <c r="E1844" s="6" t="str">
        <f>HYPERLINK("https://twitter.com/Techlif70142330/status/1364085796014223360","1364085796014223360")</f>
        <v>1364085796014223360</v>
      </c>
      <c r="F1844" s="8"/>
      <c r="G1844" s="7" t="s">
        <v>7474</v>
      </c>
      <c r="H1844" s="8"/>
      <c r="I1844" s="14">
        <v>4</v>
      </c>
      <c r="J1844" s="14">
        <v>3</v>
      </c>
      <c r="K1844" s="6" t="str">
        <f>HYPERLINK("http://twitter.com/download/android","Twitter for Android")</f>
        <v>Twitter for Android</v>
      </c>
      <c r="L1844" s="15">
        <v>119</v>
      </c>
      <c r="M1844" s="15">
        <v>896</v>
      </c>
      <c r="N1844" s="15">
        <v>0</v>
      </c>
      <c r="O1844" s="9"/>
      <c r="P1844" s="10">
        <v>44015.320011574076</v>
      </c>
      <c r="Q1844" s="8"/>
      <c r="R1844" s="14" t="s">
        <v>7475</v>
      </c>
      <c r="S1844" s="8"/>
      <c r="T1844" s="8"/>
      <c r="U1844" s="11" t="str">
        <f>HYPERLINK("https://pbs.twimg.com/profile_images/1361583568233762817/3esWqdlh.jpg","View")</f>
        <v>View</v>
      </c>
      <c r="V1844" s="8"/>
      <c r="W1844" s="8"/>
      <c r="X1844" s="8"/>
      <c r="Y1844" s="8"/>
      <c r="Z1844" s="8"/>
    </row>
    <row r="1845" spans="1:26" ht="13.2">
      <c r="A1845" s="13">
        <v>44250.272789351853</v>
      </c>
      <c r="B1845" s="6" t="str">
        <f>HYPERLINK("https://twitter.com/prdictly","@prdictly")</f>
        <v>@prdictly</v>
      </c>
      <c r="C1845" s="14" t="s">
        <v>7476</v>
      </c>
      <c r="D1845" s="14" t="s">
        <v>7477</v>
      </c>
      <c r="E1845" s="6" t="str">
        <f>HYPERLINK("https://twitter.com/prdictly/status/1364085786425970688","1364085786425970688")</f>
        <v>1364085786425970688</v>
      </c>
      <c r="F1845" s="7" t="s">
        <v>7478</v>
      </c>
      <c r="G1845" s="8"/>
      <c r="H1845" s="8"/>
      <c r="I1845" s="14">
        <v>3</v>
      </c>
      <c r="J1845" s="14">
        <v>1</v>
      </c>
      <c r="K1845" s="6" t="str">
        <f>HYPERLINK("https://mobile.twitter.com","Twitter Web App")</f>
        <v>Twitter Web App</v>
      </c>
      <c r="L1845" s="15">
        <v>574</v>
      </c>
      <c r="M1845" s="15">
        <v>1815</v>
      </c>
      <c r="N1845" s="15">
        <v>76</v>
      </c>
      <c r="O1845" s="9"/>
      <c r="P1845" s="10">
        <v>42173.527314814812</v>
      </c>
      <c r="Q1845" s="14" t="s">
        <v>1742</v>
      </c>
      <c r="R1845" s="14" t="s">
        <v>7479</v>
      </c>
      <c r="S1845" s="7" t="s">
        <v>7480</v>
      </c>
      <c r="T1845" s="8"/>
      <c r="U1845" s="11" t="str">
        <f>HYPERLINK("https://pbs.twimg.com/profile_images/611483983088521216/Bi_7dlZs.jpg","View")</f>
        <v>View</v>
      </c>
      <c r="V1845" s="8"/>
      <c r="W1845" s="8"/>
      <c r="X1845" s="8"/>
      <c r="Y1845" s="8"/>
      <c r="Z1845" s="8"/>
    </row>
    <row r="1846" spans="1:26" ht="13.2">
      <c r="A1846" s="13">
        <v>44250.272164351853</v>
      </c>
      <c r="B1846" s="6" t="str">
        <f>HYPERLINK("https://twitter.com/Techlif70142330","@Techlif70142330")</f>
        <v>@Techlif70142330</v>
      </c>
      <c r="C1846" s="14" t="s">
        <v>7472</v>
      </c>
      <c r="D1846" s="14" t="s">
        <v>7481</v>
      </c>
      <c r="E1846" s="6" t="str">
        <f>HYPERLINK("https://twitter.com/Techlif70142330/status/1364085561447706626","1364085561447706626")</f>
        <v>1364085561447706626</v>
      </c>
      <c r="F1846" s="8"/>
      <c r="G1846" s="7" t="s">
        <v>7482</v>
      </c>
      <c r="H1846" s="8"/>
      <c r="I1846" s="14">
        <v>25</v>
      </c>
      <c r="J1846" s="14">
        <v>8</v>
      </c>
      <c r="K1846" s="6" t="str">
        <f>HYPERLINK("http://twitter.com/download/android","Twitter for Android")</f>
        <v>Twitter for Android</v>
      </c>
      <c r="L1846" s="15">
        <v>119</v>
      </c>
      <c r="M1846" s="15">
        <v>896</v>
      </c>
      <c r="N1846" s="15">
        <v>0</v>
      </c>
      <c r="O1846" s="9"/>
      <c r="P1846" s="10">
        <v>44015.320011574076</v>
      </c>
      <c r="Q1846" s="8"/>
      <c r="R1846" s="14" t="s">
        <v>7475</v>
      </c>
      <c r="S1846" s="8"/>
      <c r="T1846" s="8"/>
      <c r="U1846" s="11" t="str">
        <f>HYPERLINK("https://pbs.twimg.com/profile_images/1361583568233762817/3esWqdlh.jpg","View")</f>
        <v>View</v>
      </c>
      <c r="V1846" s="8"/>
      <c r="W1846" s="8"/>
      <c r="X1846" s="8"/>
      <c r="Y1846" s="8"/>
      <c r="Z1846" s="8"/>
    </row>
    <row r="1847" spans="1:26" ht="13.2">
      <c r="A1847" s="13">
        <v>44250.272048611107</v>
      </c>
      <c r="B1847" s="6" t="str">
        <f>HYPERLINK("https://twitter.com/AIApparelStore","@AIApparelStore")</f>
        <v>@AIApparelStore</v>
      </c>
      <c r="C1847" s="14" t="s">
        <v>7483</v>
      </c>
      <c r="D1847" s="14" t="s">
        <v>7484</v>
      </c>
      <c r="E1847" s="6" t="str">
        <f>HYPERLINK("https://twitter.com/AIApparelStore/status/1364085519450329088","1364085519450329088")</f>
        <v>1364085519450329088</v>
      </c>
      <c r="F1847" s="8"/>
      <c r="G1847" s="7" t="s">
        <v>7485</v>
      </c>
      <c r="H1847" s="8"/>
      <c r="I1847" s="14">
        <v>1</v>
      </c>
      <c r="J1847" s="14">
        <v>0</v>
      </c>
      <c r="K1847" s="6" t="str">
        <f>HYPERLINK("https://ifttt.com","IFTTT")</f>
        <v>IFTTT</v>
      </c>
      <c r="L1847" s="15">
        <v>386</v>
      </c>
      <c r="M1847" s="15">
        <v>524</v>
      </c>
      <c r="N1847" s="15">
        <v>15</v>
      </c>
      <c r="O1847" s="9"/>
      <c r="P1847" s="10">
        <v>43331.869895833333</v>
      </c>
      <c r="Q1847" s="14" t="s">
        <v>1505</v>
      </c>
      <c r="R1847" s="14" t="s">
        <v>7486</v>
      </c>
      <c r="S1847" s="7" t="s">
        <v>7487</v>
      </c>
      <c r="T1847" s="8"/>
      <c r="U1847" s="11" t="str">
        <f>HYPERLINK("https://pbs.twimg.com/profile_images/1031255768845021184/CEFgCC0y.jpg","View")</f>
        <v>View</v>
      </c>
      <c r="V1847" s="8"/>
      <c r="W1847" s="8"/>
      <c r="X1847" s="8"/>
      <c r="Y1847" s="8"/>
      <c r="Z1847" s="8"/>
    </row>
    <row r="1848" spans="1:26" ht="13.2">
      <c r="A1848" s="13">
        <v>44250.271840277783</v>
      </c>
      <c r="B1848" s="6" t="str">
        <f>HYPERLINK("https://twitter.com/gigacb","@gigacb")</f>
        <v>@gigacb</v>
      </c>
      <c r="C1848" s="14" t="s">
        <v>7488</v>
      </c>
      <c r="D1848" s="14" t="s">
        <v>7489</v>
      </c>
      <c r="E1848" s="6" t="str">
        <f>HYPERLINK("https://twitter.com/gigacb/status/1364085442027601921","1364085442027601921")</f>
        <v>1364085442027601921</v>
      </c>
      <c r="F1848" s="7" t="s">
        <v>452</v>
      </c>
      <c r="G1848" s="7" t="s">
        <v>7490</v>
      </c>
      <c r="H1848" s="8"/>
      <c r="I1848" s="14">
        <v>5</v>
      </c>
      <c r="J1848" s="14">
        <v>2</v>
      </c>
      <c r="K1848" s="6" t="str">
        <f>HYPERLINK("https://www.integromat.com","Integromat")</f>
        <v>Integromat</v>
      </c>
      <c r="L1848" s="15">
        <v>75</v>
      </c>
      <c r="M1848" s="15">
        <v>138</v>
      </c>
      <c r="N1848" s="15">
        <v>0</v>
      </c>
      <c r="O1848" s="9"/>
      <c r="P1848" s="10">
        <v>43834.543981481482</v>
      </c>
      <c r="Q1848" s="14" t="s">
        <v>7491</v>
      </c>
      <c r="R1848" s="14" t="s">
        <v>7492</v>
      </c>
      <c r="S1848" s="8"/>
      <c r="T1848" s="8"/>
      <c r="U1848" s="11" t="str">
        <f>HYPERLINK("https://pbs.twimg.com/profile_images/1314083619502202882/K81cab7l.jpg","View")</f>
        <v>View</v>
      </c>
      <c r="V1848" s="8"/>
      <c r="W1848" s="8"/>
      <c r="X1848" s="8"/>
      <c r="Y1848" s="8"/>
      <c r="Z1848" s="8"/>
    </row>
    <row r="1849" spans="1:26" ht="13.2">
      <c r="A1849" s="13">
        <v>44250.271145833336</v>
      </c>
      <c r="B1849" s="6" t="str">
        <f>HYPERLINK("https://twitter.com/gp_pulipaka","@gp_pulipaka")</f>
        <v>@gp_pulipaka</v>
      </c>
      <c r="C1849" s="14" t="s">
        <v>2230</v>
      </c>
      <c r="D1849" s="14" t="s">
        <v>7493</v>
      </c>
      <c r="E1849" s="6" t="str">
        <f>HYPERLINK("https://twitter.com/gp_pulipaka/status/1364085190293938176","1364085190293938176")</f>
        <v>1364085190293938176</v>
      </c>
      <c r="F1849" s="7" t="s">
        <v>7494</v>
      </c>
      <c r="G1849" s="7" t="s">
        <v>7495</v>
      </c>
      <c r="H1849" s="8"/>
      <c r="I1849" s="14">
        <v>71</v>
      </c>
      <c r="J1849" s="14">
        <v>61</v>
      </c>
      <c r="K1849" s="6" t="str">
        <f>HYPERLINK("https://buffer.com","Buffer")</f>
        <v>Buffer</v>
      </c>
      <c r="L1849" s="15">
        <v>109083</v>
      </c>
      <c r="M1849" s="15">
        <v>22723</v>
      </c>
      <c r="N1849" s="15">
        <v>3558</v>
      </c>
      <c r="O1849" s="9"/>
      <c r="P1849" s="10">
        <v>42325.138298611113</v>
      </c>
      <c r="Q1849" s="14" t="s">
        <v>2234</v>
      </c>
      <c r="R1849" s="14" t="s">
        <v>2235</v>
      </c>
      <c r="S1849" s="7" t="s">
        <v>2236</v>
      </c>
      <c r="T1849" s="8"/>
      <c r="U1849" s="11" t="str">
        <f>HYPERLINK("https://pbs.twimg.com/profile_images/1354974939887988736/P9wzBxgk.jpg","View")</f>
        <v>View</v>
      </c>
      <c r="V1849" s="8"/>
      <c r="W1849" s="8"/>
      <c r="X1849" s="8"/>
      <c r="Y1849" s="8"/>
      <c r="Z1849" s="8"/>
    </row>
    <row r="1850" spans="1:26" ht="13.2">
      <c r="A1850" s="13">
        <v>44250.271111111113</v>
      </c>
      <c r="B1850" s="6" t="str">
        <f>HYPERLINK("https://twitter.com/Analytics_699","@Analytics_699")</f>
        <v>@Analytics_699</v>
      </c>
      <c r="C1850" s="14" t="s">
        <v>32</v>
      </c>
      <c r="D1850" s="14" t="s">
        <v>7496</v>
      </c>
      <c r="E1850" s="6" t="str">
        <f>HYPERLINK("https://twitter.com/Analytics_699/status/1364085177073344512","1364085177073344512")</f>
        <v>1364085177073344512</v>
      </c>
      <c r="F1850" s="7" t="s">
        <v>7497</v>
      </c>
      <c r="G1850" s="7" t="s">
        <v>7498</v>
      </c>
      <c r="H1850" s="8"/>
      <c r="I1850" s="14">
        <v>51</v>
      </c>
      <c r="J1850" s="14">
        <v>24</v>
      </c>
      <c r="K1850" s="6" t="str">
        <f>HYPERLINK("http://twitter.com/download/android","Twitter for Android")</f>
        <v>Twitter for Android</v>
      </c>
      <c r="L1850" s="15">
        <v>6859</v>
      </c>
      <c r="M1850" s="15">
        <v>5645</v>
      </c>
      <c r="N1850" s="15">
        <v>48</v>
      </c>
      <c r="O1850" s="9"/>
      <c r="P1850" s="10">
        <v>43674.644641203704</v>
      </c>
      <c r="Q1850" s="8"/>
      <c r="R1850" s="14" t="s">
        <v>36</v>
      </c>
      <c r="S1850" s="7" t="s">
        <v>37</v>
      </c>
      <c r="T1850" s="8"/>
      <c r="U1850" s="11" t="str">
        <f>HYPERLINK("https://pbs.twimg.com/profile_images/1270928144229437440/Ie08vEBd.jpg","View")</f>
        <v>View</v>
      </c>
      <c r="V1850" s="8"/>
      <c r="W1850" s="8"/>
      <c r="X1850" s="8"/>
      <c r="Y1850" s="8"/>
      <c r="Z1850" s="8"/>
    </row>
    <row r="1851" spans="1:26" ht="13.2">
      <c r="A1851" s="13">
        <v>44250.270925925928</v>
      </c>
      <c r="B1851" s="6" t="str">
        <f>HYPERLINK("https://twitter.com/datatrained","@datatrained")</f>
        <v>@datatrained</v>
      </c>
      <c r="C1851" s="14" t="s">
        <v>7499</v>
      </c>
      <c r="D1851" s="14" t="s">
        <v>7500</v>
      </c>
      <c r="E1851" s="6" t="str">
        <f>HYPERLINK("https://twitter.com/datatrained/status/1364085110581166080","1364085110581166080")</f>
        <v>1364085110581166080</v>
      </c>
      <c r="F1851" s="8"/>
      <c r="G1851" s="7" t="s">
        <v>7501</v>
      </c>
      <c r="H1851" s="8"/>
      <c r="I1851" s="14">
        <v>2</v>
      </c>
      <c r="J1851" s="14">
        <v>6</v>
      </c>
      <c r="K1851" s="6" t="str">
        <f>HYPERLINK("https://www.hootsuite.com","Hootsuite Inc.")</f>
        <v>Hootsuite Inc.</v>
      </c>
      <c r="L1851" s="15">
        <v>72</v>
      </c>
      <c r="M1851" s="15">
        <v>75</v>
      </c>
      <c r="N1851" s="15">
        <v>2</v>
      </c>
      <c r="O1851" s="9"/>
      <c r="P1851" s="10">
        <v>43142.633344907408</v>
      </c>
      <c r="Q1851" s="14" t="s">
        <v>7502</v>
      </c>
      <c r="R1851" s="14" t="s">
        <v>7503</v>
      </c>
      <c r="S1851" s="7" t="s">
        <v>7504</v>
      </c>
      <c r="T1851" s="8"/>
      <c r="U1851" s="11" t="str">
        <f>HYPERLINK("https://pbs.twimg.com/profile_images/1342698358897598465/TyfyxlkE.jpg","View")</f>
        <v>View</v>
      </c>
      <c r="V1851" s="8"/>
      <c r="W1851" s="8"/>
      <c r="X1851" s="8"/>
      <c r="Y1851" s="8"/>
      <c r="Z1851" s="8"/>
    </row>
    <row r="1852" spans="1:26" ht="13.2">
      <c r="A1852" s="13">
        <v>44250.270902777775</v>
      </c>
      <c r="B1852" s="6" t="str">
        <f>HYPERLINK("https://twitter.com/mightydutchman","@mightydutchman")</f>
        <v>@mightydutchman</v>
      </c>
      <c r="C1852" s="14" t="s">
        <v>7505</v>
      </c>
      <c r="D1852" s="14" t="s">
        <v>7506</v>
      </c>
      <c r="E1852" s="6" t="str">
        <f>HYPERLINK("https://twitter.com/mightydutchman/status/1364085101592801281","1364085101592801281")</f>
        <v>1364085101592801281</v>
      </c>
      <c r="F1852" s="7" t="s">
        <v>7507</v>
      </c>
      <c r="G1852" s="8"/>
      <c r="H1852" s="8"/>
      <c r="I1852" s="14">
        <v>1</v>
      </c>
      <c r="J1852" s="14">
        <v>0</v>
      </c>
      <c r="K1852" s="6" t="str">
        <f>HYPERLINK("https://paper.li","Paper.li")</f>
        <v>Paper.li</v>
      </c>
      <c r="L1852" s="15">
        <v>1886</v>
      </c>
      <c r="M1852" s="15">
        <v>3409</v>
      </c>
      <c r="N1852" s="15">
        <v>110</v>
      </c>
      <c r="O1852" s="9"/>
      <c r="P1852" s="10">
        <v>39828.332766203705</v>
      </c>
      <c r="Q1852" s="14" t="s">
        <v>7508</v>
      </c>
      <c r="R1852" s="14" t="s">
        <v>7509</v>
      </c>
      <c r="S1852" s="7" t="s">
        <v>7510</v>
      </c>
      <c r="T1852" s="8"/>
      <c r="U1852" s="11" t="str">
        <f>HYPERLINK("https://pbs.twimg.com/profile_images/1337815137990946817/avax04Dd.jpg","View")</f>
        <v>View</v>
      </c>
      <c r="V1852" s="8"/>
      <c r="W1852" s="8"/>
      <c r="X1852" s="8"/>
      <c r="Y1852" s="8"/>
      <c r="Z1852" s="8"/>
    </row>
    <row r="1853" spans="1:26" ht="13.2">
      <c r="A1853" s="13">
        <v>44250.270833333328</v>
      </c>
      <c r="B1853" s="6" t="str">
        <f>HYPERLINK("https://twitter.com/aicareersforall","@aicareersforall")</f>
        <v>@aicareersforall</v>
      </c>
      <c r="C1853" s="14" t="s">
        <v>7511</v>
      </c>
      <c r="D1853" s="14" t="s">
        <v>7512</v>
      </c>
      <c r="E1853" s="6" t="str">
        <f>HYPERLINK("https://twitter.com/aicareersforall/status/1364085076116398081","1364085076116398081")</f>
        <v>1364085076116398081</v>
      </c>
      <c r="F1853" s="8"/>
      <c r="G1853" s="7" t="s">
        <v>7513</v>
      </c>
      <c r="H1853" s="8"/>
      <c r="I1853" s="14">
        <v>2</v>
      </c>
      <c r="J1853" s="14">
        <v>0</v>
      </c>
      <c r="K1853" s="6" t="str">
        <f>HYPERLINK("https://mobile.twitter.com","Twitter Web App")</f>
        <v>Twitter Web App</v>
      </c>
      <c r="L1853" s="15">
        <v>2270</v>
      </c>
      <c r="M1853" s="15">
        <v>4751</v>
      </c>
      <c r="N1853" s="15">
        <v>69</v>
      </c>
      <c r="O1853" s="9"/>
      <c r="P1853" s="10">
        <v>40100.32849537037</v>
      </c>
      <c r="Q1853" s="8"/>
      <c r="R1853" s="14" t="s">
        <v>7514</v>
      </c>
      <c r="S1853" s="7" t="s">
        <v>7515</v>
      </c>
      <c r="T1853" s="8"/>
      <c r="U1853" s="11" t="str">
        <f>HYPERLINK("https://pbs.twimg.com/profile_images/535704697294708737/tCDpcP2m.png","View")</f>
        <v>View</v>
      </c>
      <c r="V1853" s="8"/>
      <c r="W1853" s="8"/>
      <c r="X1853" s="8"/>
      <c r="Y1853" s="8"/>
      <c r="Z1853" s="8"/>
    </row>
    <row r="1854" spans="1:26" ht="13.2">
      <c r="A1854" s="13">
        <v>44250.270150462966</v>
      </c>
      <c r="B1854" s="6" t="str">
        <f>HYPERLINK("https://twitter.com/VonageDev","@VonageDev")</f>
        <v>@VonageDev</v>
      </c>
      <c r="C1854" s="14" t="s">
        <v>7516</v>
      </c>
      <c r="D1854" s="14" t="s">
        <v>7517</v>
      </c>
      <c r="E1854" s="6" t="str">
        <f>HYPERLINK("https://twitter.com/VonageDev/status/1364084829378252800","1364084829378252800")</f>
        <v>1364084829378252800</v>
      </c>
      <c r="F1854" s="7" t="s">
        <v>7518</v>
      </c>
      <c r="G1854" s="8"/>
      <c r="H1854" s="8"/>
      <c r="I1854" s="14">
        <v>5</v>
      </c>
      <c r="J1854" s="14">
        <v>2</v>
      </c>
      <c r="K1854" s="6" t="str">
        <f>HYPERLINK("https://buffer.com","Buffer")</f>
        <v>Buffer</v>
      </c>
      <c r="L1854" s="15">
        <v>1972</v>
      </c>
      <c r="M1854" s="15">
        <v>112</v>
      </c>
      <c r="N1854" s="15">
        <v>30</v>
      </c>
      <c r="O1854" s="9"/>
      <c r="P1854" s="10">
        <v>42958.548460648148</v>
      </c>
      <c r="Q1854" s="14" t="s">
        <v>7519</v>
      </c>
      <c r="R1854" s="14" t="s">
        <v>7520</v>
      </c>
      <c r="S1854" s="7" t="s">
        <v>7521</v>
      </c>
      <c r="T1854" s="8"/>
      <c r="U1854" s="11" t="str">
        <f>HYPERLINK("https://pbs.twimg.com/profile_images/1279323250468806659/_YemOyeH.jpg","View")</f>
        <v>View</v>
      </c>
      <c r="V1854" s="8"/>
      <c r="W1854" s="8"/>
      <c r="X1854" s="8"/>
      <c r="Y1854" s="8"/>
      <c r="Z1854" s="8"/>
    </row>
    <row r="1855" spans="1:26" ht="13.2">
      <c r="A1855" s="13">
        <v>44250.270127314812</v>
      </c>
      <c r="B1855" s="6" t="str">
        <f>HYPERLINK("https://twitter.com/moueller1961","@moueller1961")</f>
        <v>@moueller1961</v>
      </c>
      <c r="C1855" s="14" t="s">
        <v>6414</v>
      </c>
      <c r="D1855" s="14" t="s">
        <v>7522</v>
      </c>
      <c r="E1855" s="6" t="str">
        <f>HYPERLINK("https://twitter.com/moueller1961/status/1364084821492916227","1364084821492916227")</f>
        <v>1364084821492916227</v>
      </c>
      <c r="F1855" s="7" t="s">
        <v>7523</v>
      </c>
      <c r="G1855" s="7" t="s">
        <v>7524</v>
      </c>
      <c r="H1855" s="8"/>
      <c r="I1855" s="14">
        <v>4</v>
      </c>
      <c r="J1855" s="14">
        <v>3</v>
      </c>
      <c r="K1855" s="6" t="str">
        <f>HYPERLINK("https://mobile.twitter.com","Twitter Web App")</f>
        <v>Twitter Web App</v>
      </c>
      <c r="L1855" s="15">
        <v>2581</v>
      </c>
      <c r="M1855" s="15">
        <v>26</v>
      </c>
      <c r="N1855" s="15">
        <v>256</v>
      </c>
      <c r="O1855" s="9"/>
      <c r="P1855" s="10">
        <v>42106.853055555555</v>
      </c>
      <c r="Q1855" s="8"/>
      <c r="R1855" s="14" t="s">
        <v>6418</v>
      </c>
      <c r="S1855" s="8"/>
      <c r="T1855" s="8"/>
      <c r="U1855" s="11" t="str">
        <f>HYPERLINK("https://pbs.twimg.com/profile_images/1202572262156713985/_52Q3Trv.jpg","View")</f>
        <v>View</v>
      </c>
      <c r="V1855" s="8"/>
      <c r="W1855" s="8"/>
      <c r="X1855" s="8"/>
      <c r="Y1855" s="8"/>
      <c r="Z1855" s="8"/>
    </row>
    <row r="1856" spans="1:26" ht="13.2">
      <c r="A1856" s="13">
        <v>44250.269884259258</v>
      </c>
      <c r="B1856" s="6" t="str">
        <f>HYPERLINK("https://twitter.com/SayaSetona","@SayaSetona")</f>
        <v>@SayaSetona</v>
      </c>
      <c r="C1856" s="14" t="s">
        <v>7525</v>
      </c>
      <c r="D1856" s="14" t="s">
        <v>7526</v>
      </c>
      <c r="E1856" s="6" t="str">
        <f>HYPERLINK("https://twitter.com/SayaSetona/status/1364084735128010754","1364084735128010754")</f>
        <v>1364084735128010754</v>
      </c>
      <c r="F1856" s="8"/>
      <c r="G1856" s="7" t="s">
        <v>7527</v>
      </c>
      <c r="H1856" s="8"/>
      <c r="I1856" s="14">
        <v>20</v>
      </c>
      <c r="J1856" s="14">
        <v>6</v>
      </c>
      <c r="K1856" s="6" t="str">
        <f>HYPERLINK("http://twitter.com/download/iphone","Twitter for iPhone")</f>
        <v>Twitter for iPhone</v>
      </c>
      <c r="L1856" s="15">
        <v>1203</v>
      </c>
      <c r="M1856" s="15">
        <v>5001</v>
      </c>
      <c r="N1856" s="15">
        <v>9</v>
      </c>
      <c r="O1856" s="9"/>
      <c r="P1856" s="10">
        <v>41695.798900462964</v>
      </c>
      <c r="Q1856" s="14" t="s">
        <v>1152</v>
      </c>
      <c r="R1856" s="14" t="s">
        <v>7528</v>
      </c>
      <c r="S1856" s="7" t="s">
        <v>7529</v>
      </c>
      <c r="T1856" s="8"/>
      <c r="U1856" s="11" t="str">
        <f>HYPERLINK("https://pbs.twimg.com/profile_images/927615567435005958/5PSvpFBy.jpg","View")</f>
        <v>View</v>
      </c>
      <c r="V1856" s="8"/>
      <c r="W1856" s="8"/>
      <c r="X1856" s="8"/>
      <c r="Y1856" s="8"/>
      <c r="Z1856" s="8"/>
    </row>
    <row r="1857" spans="1:26" ht="13.2">
      <c r="A1857" s="13">
        <v>44250.269050925926</v>
      </c>
      <c r="B1857" s="6" t="str">
        <f>HYPERLINK("https://twitter.com/machinelearnflx","@machinelearnflx")</f>
        <v>@machinelearnflx</v>
      </c>
      <c r="C1857" s="14" t="s">
        <v>279</v>
      </c>
      <c r="D1857" s="14" t="s">
        <v>7530</v>
      </c>
      <c r="E1857" s="6" t="str">
        <f>HYPERLINK("https://twitter.com/machinelearnflx/status/1364084430147584001","1364084430147584001")</f>
        <v>1364084430147584001</v>
      </c>
      <c r="F1857" s="7" t="s">
        <v>7531</v>
      </c>
      <c r="G1857" s="8"/>
      <c r="H1857" s="8"/>
      <c r="I1857" s="14">
        <v>6</v>
      </c>
      <c r="J1857" s="14">
        <v>7</v>
      </c>
      <c r="K1857" s="6" t="str">
        <f>HYPERLINK("https://twitter.com/pythonbot_","Postmatico")</f>
        <v>Postmatico</v>
      </c>
      <c r="L1857" s="15">
        <v>90451</v>
      </c>
      <c r="M1857" s="15">
        <v>35464</v>
      </c>
      <c r="N1857" s="15">
        <v>2228</v>
      </c>
      <c r="O1857" s="9"/>
      <c r="P1857" s="10">
        <v>42386.538865740746</v>
      </c>
      <c r="Q1857" s="8"/>
      <c r="R1857" s="14" t="s">
        <v>282</v>
      </c>
      <c r="S1857" s="7" t="s">
        <v>283</v>
      </c>
      <c r="T1857" s="8"/>
      <c r="U1857" s="11" t="str">
        <f>HYPERLINK("https://pbs.twimg.com/profile_images/688735459892195329/v8sHaWSG.jpg","View")</f>
        <v>View</v>
      </c>
      <c r="V1857" s="8"/>
      <c r="W1857" s="8"/>
      <c r="X1857" s="8"/>
      <c r="Y1857" s="8"/>
      <c r="Z1857" s="8"/>
    </row>
    <row r="1858" spans="1:26" ht="13.2">
      <c r="A1858" s="13">
        <v>44250.268692129626</v>
      </c>
      <c r="B1858" s="6" t="str">
        <f>HYPERLINK("https://twitter.com/BlackWomenInAI","@BlackWomenInAI")</f>
        <v>@BlackWomenInAI</v>
      </c>
      <c r="C1858" s="14" t="s">
        <v>4913</v>
      </c>
      <c r="D1858" s="14" t="s">
        <v>7532</v>
      </c>
      <c r="E1858" s="6" t="str">
        <f>HYPERLINK("https://twitter.com/BlackWomenInAI/status/1364084299729760257","1364084299729760257")</f>
        <v>1364084299729760257</v>
      </c>
      <c r="F1858" s="8"/>
      <c r="G1858" s="7" t="s">
        <v>7533</v>
      </c>
      <c r="H1858" s="8"/>
      <c r="I1858" s="14">
        <v>29</v>
      </c>
      <c r="J1858" s="14">
        <v>10</v>
      </c>
      <c r="K1858" s="6" t="str">
        <f t="shared" ref="K1858:K1860" si="344">HYPERLINK("https://mobile.twitter.com","Twitter Web App")</f>
        <v>Twitter Web App</v>
      </c>
      <c r="L1858" s="15">
        <v>2602</v>
      </c>
      <c r="M1858" s="15">
        <v>561</v>
      </c>
      <c r="N1858" s="15">
        <v>62</v>
      </c>
      <c r="O1858" s="9"/>
      <c r="P1858" s="10">
        <v>43093.338275462964</v>
      </c>
      <c r="Q1858" s="14" t="s">
        <v>1815</v>
      </c>
      <c r="R1858" s="14" t="s">
        <v>4916</v>
      </c>
      <c r="S1858" s="7" t="s">
        <v>4917</v>
      </c>
      <c r="T1858" s="8"/>
      <c r="U1858" s="11" t="str">
        <f>HYPERLINK("https://pbs.twimg.com/profile_images/1128561130857742336/HEk8TZ7g.png","View")</f>
        <v>View</v>
      </c>
      <c r="V1858" s="8"/>
      <c r="W1858" s="8"/>
      <c r="X1858" s="8"/>
      <c r="Y1858" s="8"/>
      <c r="Z1858" s="8"/>
    </row>
    <row r="1859" spans="1:26" ht="13.2">
      <c r="A1859" s="13">
        <v>44250.268599537041</v>
      </c>
      <c r="B1859" s="6" t="str">
        <f>HYPERLINK("https://twitter.com/edurelearning","@edurelearning")</f>
        <v>@edurelearning</v>
      </c>
      <c r="C1859" s="14" t="s">
        <v>7534</v>
      </c>
      <c r="D1859" s="14" t="s">
        <v>7535</v>
      </c>
      <c r="E1859" s="6" t="str">
        <f>HYPERLINK("https://twitter.com/edurelearning/status/1364084268687708161","1364084268687708161")</f>
        <v>1364084268687708161</v>
      </c>
      <c r="F1859" s="8"/>
      <c r="G1859" s="7" t="s">
        <v>7536</v>
      </c>
      <c r="H1859" s="8"/>
      <c r="I1859" s="14">
        <v>0</v>
      </c>
      <c r="J1859" s="14">
        <v>0</v>
      </c>
      <c r="K1859" s="6" t="str">
        <f t="shared" si="344"/>
        <v>Twitter Web App</v>
      </c>
      <c r="L1859" s="15">
        <v>9</v>
      </c>
      <c r="M1859" s="15">
        <v>2</v>
      </c>
      <c r="N1859" s="15">
        <v>0</v>
      </c>
      <c r="O1859" s="9"/>
      <c r="P1859" s="10">
        <v>43530.259791666671</v>
      </c>
      <c r="Q1859" s="14" t="s">
        <v>7537</v>
      </c>
      <c r="R1859" s="14" t="s">
        <v>7538</v>
      </c>
      <c r="S1859" s="7" t="s">
        <v>7539</v>
      </c>
      <c r="T1859" s="8"/>
      <c r="U1859" s="11" t="str">
        <f>HYPERLINK("https://pbs.twimg.com/profile_images/1346031054117687296/Hl0vgbg8.jpg","View")</f>
        <v>View</v>
      </c>
      <c r="V1859" s="8"/>
      <c r="W1859" s="8"/>
      <c r="X1859" s="8"/>
      <c r="Y1859" s="8"/>
      <c r="Z1859" s="8"/>
    </row>
    <row r="1860" spans="1:26" ht="13.2">
      <c r="A1860" s="13">
        <v>44250.268587962964</v>
      </c>
      <c r="B1860" s="6" t="str">
        <f>HYPERLINK("https://twitter.com/erlingasjokvist","@erlingasjokvist")</f>
        <v>@erlingasjokvist</v>
      </c>
      <c r="C1860" s="14" t="s">
        <v>7540</v>
      </c>
      <c r="D1860" s="14" t="s">
        <v>7541</v>
      </c>
      <c r="E1860" s="6" t="str">
        <f>HYPERLINK("https://twitter.com/erlingasjokvist/status/1364084263977705473","1364084263977705473")</f>
        <v>1364084263977705473</v>
      </c>
      <c r="F1860" s="7" t="s">
        <v>7542</v>
      </c>
      <c r="G1860" s="7" t="s">
        <v>7543</v>
      </c>
      <c r="H1860" s="8"/>
      <c r="I1860" s="14">
        <v>2</v>
      </c>
      <c r="J1860" s="14">
        <v>0</v>
      </c>
      <c r="K1860" s="6" t="str">
        <f t="shared" si="344"/>
        <v>Twitter Web App</v>
      </c>
      <c r="L1860" s="15">
        <v>3665</v>
      </c>
      <c r="M1860" s="15">
        <v>3648</v>
      </c>
      <c r="N1860" s="15">
        <v>96</v>
      </c>
      <c r="O1860" s="9"/>
      <c r="P1860" s="10">
        <v>40057.935532407406</v>
      </c>
      <c r="Q1860" s="14" t="s">
        <v>7544</v>
      </c>
      <c r="R1860" s="14" t="s">
        <v>7545</v>
      </c>
      <c r="S1860" s="7" t="s">
        <v>7546</v>
      </c>
      <c r="T1860" s="8"/>
      <c r="U1860" s="11" t="str">
        <f>HYPERLINK("https://pbs.twimg.com/profile_images/994624376564797440/Y65hn58p.jpg","View")</f>
        <v>View</v>
      </c>
      <c r="V1860" s="8"/>
      <c r="W1860" s="8"/>
      <c r="X1860" s="8"/>
      <c r="Y1860" s="8"/>
      <c r="Z1860" s="8"/>
    </row>
    <row r="1861" spans="1:26" ht="13.2">
      <c r="A1861" s="13">
        <v>44250.268194444448</v>
      </c>
      <c r="B1861" s="6" t="str">
        <f>HYPERLINK("https://twitter.com/last_crusaderr","@last_crusaderr")</f>
        <v>@last_crusaderr</v>
      </c>
      <c r="C1861" s="14" t="s">
        <v>7166</v>
      </c>
      <c r="D1861" s="14" t="s">
        <v>7547</v>
      </c>
      <c r="E1861" s="6" t="str">
        <f>HYPERLINK("https://twitter.com/last_crusaderr/status/1364084119764787202","1364084119764787202")</f>
        <v>1364084119764787202</v>
      </c>
      <c r="F1861" s="8"/>
      <c r="G1861" s="8"/>
      <c r="H1861" s="8"/>
      <c r="I1861" s="14">
        <v>34</v>
      </c>
      <c r="J1861" s="14">
        <v>15</v>
      </c>
      <c r="K1861" s="6" t="str">
        <f>HYPERLINK("http://twitter.com/download/iphone","Twitter for iPhone")</f>
        <v>Twitter for iPhone</v>
      </c>
      <c r="L1861" s="15">
        <v>206</v>
      </c>
      <c r="M1861" s="15">
        <v>44</v>
      </c>
      <c r="N1861" s="15">
        <v>1</v>
      </c>
      <c r="O1861" s="9"/>
      <c r="P1861" s="10">
        <v>43787.936643518522</v>
      </c>
      <c r="Q1861" s="8"/>
      <c r="R1861" s="14" t="s">
        <v>7168</v>
      </c>
      <c r="S1861" s="8"/>
      <c r="T1861" s="8"/>
      <c r="U1861" s="11" t="str">
        <f>HYPERLINK("https://pbs.twimg.com/profile_images/1353012546974998528/OIGAEkBG.jpg","View")</f>
        <v>View</v>
      </c>
      <c r="V1861" s="8"/>
      <c r="W1861" s="8"/>
      <c r="X1861" s="8"/>
      <c r="Y1861" s="8"/>
      <c r="Z1861" s="8"/>
    </row>
    <row r="1862" spans="1:26" ht="13.2">
      <c r="A1862" s="13">
        <v>44250.266666666663</v>
      </c>
      <c r="B1862" s="6" t="str">
        <f>HYPERLINK("https://twitter.com/selfdriving360","@selfdriving360")</f>
        <v>@selfdriving360</v>
      </c>
      <c r="C1862" s="14" t="s">
        <v>5938</v>
      </c>
      <c r="D1862" s="14" t="s">
        <v>7548</v>
      </c>
      <c r="E1862" s="6" t="str">
        <f>HYPERLINK("https://twitter.com/selfdriving360/status/1364083565915480068","1364083565915480068")</f>
        <v>1364083565915480068</v>
      </c>
      <c r="F1862" s="7" t="s">
        <v>5940</v>
      </c>
      <c r="G1862" s="7" t="s">
        <v>7549</v>
      </c>
      <c r="H1862" s="8"/>
      <c r="I1862" s="14">
        <v>1</v>
      </c>
      <c r="J1862" s="14">
        <v>6</v>
      </c>
      <c r="K1862" s="6" t="str">
        <f>HYPERLINK("https://about.twitter.com/products/tweetdeck","TweetDeck")</f>
        <v>TweetDeck</v>
      </c>
      <c r="L1862" s="15">
        <v>2550</v>
      </c>
      <c r="M1862" s="15">
        <v>4510</v>
      </c>
      <c r="N1862" s="15">
        <v>35</v>
      </c>
      <c r="O1862" s="9"/>
      <c r="P1862" s="10">
        <v>43214.737951388888</v>
      </c>
      <c r="Q1862" s="8"/>
      <c r="R1862" s="14" t="s">
        <v>5942</v>
      </c>
      <c r="S1862" s="7" t="s">
        <v>5943</v>
      </c>
      <c r="T1862" s="8"/>
      <c r="U1862" s="11" t="str">
        <f>HYPERLINK("https://pbs.twimg.com/profile_images/1191932725734850562/0EjaL8Ga.jpg","View")</f>
        <v>View</v>
      </c>
      <c r="V1862" s="8"/>
      <c r="W1862" s="8"/>
      <c r="X1862" s="8"/>
      <c r="Y1862" s="8"/>
      <c r="Z1862" s="8"/>
    </row>
    <row r="1863" spans="1:26" ht="13.2">
      <c r="A1863" s="13">
        <v>44250.26626157407</v>
      </c>
      <c r="B1863" s="6" t="str">
        <f>HYPERLINK("https://twitter.com/KushMansPicks","@KushMansPicks")</f>
        <v>@KushMansPicks</v>
      </c>
      <c r="C1863" s="14" t="s">
        <v>7550</v>
      </c>
      <c r="D1863" s="14" t="s">
        <v>7551</v>
      </c>
      <c r="E1863" s="6" t="str">
        <f>HYPERLINK("https://twitter.com/KushMansPicks/status/1364083419752374273","1364083419752374273")</f>
        <v>1364083419752374273</v>
      </c>
      <c r="F1863" s="14" t="s">
        <v>7552</v>
      </c>
      <c r="G1863" s="8"/>
      <c r="H1863" s="8"/>
      <c r="I1863" s="14">
        <v>6</v>
      </c>
      <c r="J1863" s="14">
        <v>19</v>
      </c>
      <c r="K1863" s="6" t="str">
        <f>HYPERLINK("https://mobile.twitter.com","Twitter Web App")</f>
        <v>Twitter Web App</v>
      </c>
      <c r="L1863" s="15">
        <v>8632</v>
      </c>
      <c r="M1863" s="15">
        <v>234</v>
      </c>
      <c r="N1863" s="15">
        <v>133</v>
      </c>
      <c r="O1863" s="9"/>
      <c r="P1863" s="10">
        <v>43113.951423611114</v>
      </c>
      <c r="Q1863" s="14" t="s">
        <v>811</v>
      </c>
      <c r="R1863" s="14" t="s">
        <v>7553</v>
      </c>
      <c r="S1863" s="7" t="s">
        <v>7554</v>
      </c>
      <c r="T1863" s="8"/>
      <c r="U1863" s="11" t="str">
        <f>HYPERLINK("https://pbs.twimg.com/profile_images/1302764829795647488/SgH4LAvt.jpg","View")</f>
        <v>View</v>
      </c>
      <c r="V1863" s="8"/>
      <c r="W1863" s="8"/>
      <c r="X1863" s="8"/>
      <c r="Y1863" s="8"/>
      <c r="Z1863" s="8"/>
    </row>
    <row r="1864" spans="1:26" ht="13.2">
      <c r="A1864" s="13">
        <v>44250.266076388885</v>
      </c>
      <c r="B1864" s="6" t="str">
        <f>HYPERLINK("https://twitter.com/Analytics_699","@Analytics_699")</f>
        <v>@Analytics_699</v>
      </c>
      <c r="C1864" s="14" t="s">
        <v>32</v>
      </c>
      <c r="D1864" s="14" t="s">
        <v>7555</v>
      </c>
      <c r="E1864" s="6" t="str">
        <f>HYPERLINK("https://twitter.com/Analytics_699/status/1364083355076026368","1364083355076026368")</f>
        <v>1364083355076026368</v>
      </c>
      <c r="F1864" s="7" t="s">
        <v>7556</v>
      </c>
      <c r="G1864" s="7" t="s">
        <v>7557</v>
      </c>
      <c r="H1864" s="8"/>
      <c r="I1864" s="14">
        <v>51</v>
      </c>
      <c r="J1864" s="14">
        <v>25</v>
      </c>
      <c r="K1864" s="6" t="str">
        <f t="shared" ref="K1864:K1865" si="345">HYPERLINK("http://twitter.com/download/android","Twitter for Android")</f>
        <v>Twitter for Android</v>
      </c>
      <c r="L1864" s="15">
        <v>6859</v>
      </c>
      <c r="M1864" s="15">
        <v>5645</v>
      </c>
      <c r="N1864" s="15">
        <v>48</v>
      </c>
      <c r="O1864" s="9"/>
      <c r="P1864" s="10">
        <v>43674.644641203704</v>
      </c>
      <c r="Q1864" s="8"/>
      <c r="R1864" s="14" t="s">
        <v>36</v>
      </c>
      <c r="S1864" s="7" t="s">
        <v>37</v>
      </c>
      <c r="T1864" s="8"/>
      <c r="U1864" s="11" t="str">
        <f>HYPERLINK("https://pbs.twimg.com/profile_images/1270928144229437440/Ie08vEBd.jpg","View")</f>
        <v>View</v>
      </c>
      <c r="V1864" s="8"/>
      <c r="W1864" s="8"/>
      <c r="X1864" s="8"/>
      <c r="Y1864" s="8"/>
      <c r="Z1864" s="8"/>
    </row>
    <row r="1865" spans="1:26" ht="13.2">
      <c r="A1865" s="13">
        <v>44250.2653587963</v>
      </c>
      <c r="B1865" s="6" t="str">
        <f>HYPERLINK("https://twitter.com/_arpit_bhushan_","@_arpit_bhushan_")</f>
        <v>@_arpit_bhushan_</v>
      </c>
      <c r="C1865" s="14" t="s">
        <v>7558</v>
      </c>
      <c r="D1865" s="14" t="s">
        <v>7559</v>
      </c>
      <c r="E1865" s="6" t="str">
        <f>HYPERLINK("https://twitter.com/_arpit_bhushan_/status/1364083091124326409","1364083091124326409")</f>
        <v>1364083091124326409</v>
      </c>
      <c r="F1865" s="8"/>
      <c r="G1865" s="7" t="s">
        <v>7560</v>
      </c>
      <c r="H1865" s="8"/>
      <c r="I1865" s="14">
        <v>1</v>
      </c>
      <c r="J1865" s="14">
        <v>2</v>
      </c>
      <c r="K1865" s="6" t="str">
        <f t="shared" si="345"/>
        <v>Twitter for Android</v>
      </c>
      <c r="L1865" s="15">
        <v>76</v>
      </c>
      <c r="M1865" s="15">
        <v>280</v>
      </c>
      <c r="N1865" s="15">
        <v>0</v>
      </c>
      <c r="O1865" s="9"/>
      <c r="P1865" s="10">
        <v>42115.385763888888</v>
      </c>
      <c r="Q1865" s="14" t="s">
        <v>7561</v>
      </c>
      <c r="R1865" s="14" t="s">
        <v>7562</v>
      </c>
      <c r="S1865" s="7" t="s">
        <v>7563</v>
      </c>
      <c r="T1865" s="8"/>
      <c r="U1865" s="11" t="str">
        <f>HYPERLINK("https://pbs.twimg.com/profile_images/1350896709841293312/CIDR4dmA.jpg","View")</f>
        <v>View</v>
      </c>
      <c r="V1865" s="8"/>
      <c r="W1865" s="8"/>
      <c r="X1865" s="8"/>
      <c r="Y1865" s="8"/>
      <c r="Z1865" s="8"/>
    </row>
    <row r="1866" spans="1:26" ht="13.2">
      <c r="A1866" s="13">
        <v>44250.264675925922</v>
      </c>
      <c r="B1866" s="6" t="str">
        <f>HYPERLINK("https://twitter.com/Karunadutechno","@Karunadutechno")</f>
        <v>@Karunadutechno</v>
      </c>
      <c r="C1866" s="14" t="s">
        <v>5999</v>
      </c>
      <c r="D1866" s="14" t="s">
        <v>6000</v>
      </c>
      <c r="E1866" s="6" t="str">
        <f>HYPERLINK("https://twitter.com/Karunadutechno/status/1364082845866618888","1364082845866618888")</f>
        <v>1364082845866618888</v>
      </c>
      <c r="F1866" s="7" t="s">
        <v>6001</v>
      </c>
      <c r="G1866" s="7" t="s">
        <v>7564</v>
      </c>
      <c r="H1866" s="8"/>
      <c r="I1866" s="14">
        <v>3</v>
      </c>
      <c r="J1866" s="14">
        <v>1</v>
      </c>
      <c r="K1866" s="6" t="str">
        <f t="shared" ref="K1866:K1867" si="346">HYPERLINK("https://mobile.twitter.com","Twitter Web App")</f>
        <v>Twitter Web App</v>
      </c>
      <c r="L1866" s="15">
        <v>11</v>
      </c>
      <c r="M1866" s="15">
        <v>6</v>
      </c>
      <c r="N1866" s="15">
        <v>0</v>
      </c>
      <c r="O1866" s="9"/>
      <c r="P1866" s="10">
        <v>41967.73369212963</v>
      </c>
      <c r="Q1866" s="14" t="s">
        <v>6003</v>
      </c>
      <c r="R1866" s="14" t="s">
        <v>6004</v>
      </c>
      <c r="S1866" s="7" t="s">
        <v>6005</v>
      </c>
      <c r="T1866" s="8"/>
      <c r="U1866" s="11" t="str">
        <f>HYPERLINK("https://pbs.twimg.com/profile_images/1198568064322654208/rO4F-kPT.jpg","View")</f>
        <v>View</v>
      </c>
      <c r="V1866" s="8"/>
      <c r="W1866" s="8"/>
      <c r="X1866" s="8"/>
      <c r="Y1866" s="8"/>
      <c r="Z1866" s="8"/>
    </row>
    <row r="1867" spans="1:26" ht="13.2">
      <c r="A1867" s="13">
        <v>44250.264513888891</v>
      </c>
      <c r="B1867" s="6" t="str">
        <f>HYPERLINK("https://twitter.com/AiKatonic","@AiKatonic")</f>
        <v>@AiKatonic</v>
      </c>
      <c r="C1867" s="7" t="s">
        <v>7565</v>
      </c>
      <c r="D1867" s="14" t="s">
        <v>7566</v>
      </c>
      <c r="E1867" s="6" t="str">
        <f>HYPERLINK("https://twitter.com/AiKatonic/status/1364082786655608838","1364082786655608838")</f>
        <v>1364082786655608838</v>
      </c>
      <c r="F1867" s="7" t="s">
        <v>7567</v>
      </c>
      <c r="G1867" s="7" t="s">
        <v>7568</v>
      </c>
      <c r="H1867" s="8"/>
      <c r="I1867" s="14">
        <v>3</v>
      </c>
      <c r="J1867" s="14">
        <v>0</v>
      </c>
      <c r="K1867" s="6" t="str">
        <f t="shared" si="346"/>
        <v>Twitter Web App</v>
      </c>
      <c r="L1867" s="15">
        <v>10</v>
      </c>
      <c r="M1867" s="15">
        <v>10</v>
      </c>
      <c r="N1867" s="15">
        <v>0</v>
      </c>
      <c r="O1867" s="9"/>
      <c r="P1867" s="10">
        <v>44083.480173611111</v>
      </c>
      <c r="Q1867" s="14" t="s">
        <v>1965</v>
      </c>
      <c r="R1867" s="14" t="s">
        <v>7569</v>
      </c>
      <c r="S1867" s="7" t="s">
        <v>7570</v>
      </c>
      <c r="T1867" s="8"/>
      <c r="U1867" s="11" t="str">
        <f>HYPERLINK("https://pbs.twimg.com/profile_images/1305493217308110849/GzaGIfUf.jpg","View")</f>
        <v>View</v>
      </c>
      <c r="V1867" s="8"/>
      <c r="W1867" s="8"/>
      <c r="X1867" s="8"/>
      <c r="Y1867" s="8"/>
      <c r="Z1867" s="8"/>
    </row>
    <row r="1868" spans="1:26" ht="13.2">
      <c r="A1868" s="13">
        <v>44250.263958333337</v>
      </c>
      <c r="B1868" s="6" t="str">
        <f>HYPERLINK("https://twitter.com/AustraliaAi","@AustraliaAi")</f>
        <v>@AustraliaAi</v>
      </c>
      <c r="C1868" s="14" t="s">
        <v>1962</v>
      </c>
      <c r="D1868" s="14" t="s">
        <v>7571</v>
      </c>
      <c r="E1868" s="6" t="str">
        <f>HYPERLINK("https://twitter.com/AustraliaAi/status/1364082587241709568","1364082587241709568")</f>
        <v>1364082587241709568</v>
      </c>
      <c r="F1868" s="7" t="s">
        <v>7572</v>
      </c>
      <c r="G1868" s="7" t="s">
        <v>7573</v>
      </c>
      <c r="H1868" s="8"/>
      <c r="I1868" s="14">
        <v>2</v>
      </c>
      <c r="J1868" s="14">
        <v>0</v>
      </c>
      <c r="K1868" s="6" t="str">
        <f>HYPERLINK("https://app.sendible.com","Sendible")</f>
        <v>Sendible</v>
      </c>
      <c r="L1868" s="15">
        <v>372</v>
      </c>
      <c r="M1868" s="15">
        <v>156</v>
      </c>
      <c r="N1868" s="15">
        <v>15</v>
      </c>
      <c r="O1868" s="9"/>
      <c r="P1868" s="10">
        <v>43238.426400462966</v>
      </c>
      <c r="Q1868" s="14" t="s">
        <v>1965</v>
      </c>
      <c r="R1868" s="14" t="s">
        <v>1966</v>
      </c>
      <c r="S1868" s="7" t="s">
        <v>1967</v>
      </c>
      <c r="T1868" s="8"/>
      <c r="U1868" s="11" t="str">
        <f>HYPERLINK("https://pbs.twimg.com/profile_images/997395542169694208/C8IypA30.jpg","View")</f>
        <v>View</v>
      </c>
      <c r="V1868" s="8"/>
      <c r="W1868" s="8"/>
      <c r="X1868" s="8"/>
      <c r="Y1868" s="8"/>
      <c r="Z1868" s="8"/>
    </row>
    <row r="1869" spans="1:26" ht="13.2">
      <c r="A1869" s="13">
        <v>44250.263564814813</v>
      </c>
      <c r="B1869" s="6" t="str">
        <f>HYPERLINK("https://twitter.com/zestexposed","@zestexposed")</f>
        <v>@zestexposed</v>
      </c>
      <c r="C1869" s="14" t="s">
        <v>7574</v>
      </c>
      <c r="D1869" s="14" t="s">
        <v>7575</v>
      </c>
      <c r="E1869" s="6" t="str">
        <f>HYPERLINK("https://twitter.com/zestexposed/status/1364082443922378752","1364082443922378752")</f>
        <v>1364082443922378752</v>
      </c>
      <c r="F1869" s="8"/>
      <c r="G1869" s="7" t="s">
        <v>7576</v>
      </c>
      <c r="H1869" s="8"/>
      <c r="I1869" s="14">
        <v>4</v>
      </c>
      <c r="J1869" s="14">
        <v>1</v>
      </c>
      <c r="K1869" s="6" t="str">
        <f>HYPERLINK("https://mobile.twitter.com","Twitter Web App")</f>
        <v>Twitter Web App</v>
      </c>
      <c r="L1869" s="15">
        <v>221</v>
      </c>
      <c r="M1869" s="15">
        <v>1796</v>
      </c>
      <c r="N1869" s="15">
        <v>1</v>
      </c>
      <c r="O1869" s="9"/>
      <c r="P1869" s="10">
        <v>40694.317847222221</v>
      </c>
      <c r="Q1869" s="14" t="s">
        <v>7577</v>
      </c>
      <c r="R1869" s="14" t="s">
        <v>7578</v>
      </c>
      <c r="S1869" s="7" t="s">
        <v>7579</v>
      </c>
      <c r="T1869" s="8"/>
      <c r="U1869" s="11" t="str">
        <f>HYPERLINK("https://pbs.twimg.com/profile_images/1217429286564614144/dY6yBe4r.jpg","View")</f>
        <v>View</v>
      </c>
      <c r="V1869" s="8"/>
      <c r="W1869" s="8"/>
      <c r="X1869" s="8"/>
      <c r="Y1869" s="8"/>
      <c r="Z1869" s="8"/>
    </row>
    <row r="1870" spans="1:26" ht="13.2">
      <c r="A1870" s="13">
        <v>44250.263217592597</v>
      </c>
      <c r="B1870" s="6" t="str">
        <f>HYPERLINK("https://twitter.com/2morrowknight","@2morrowknight")</f>
        <v>@2morrowknight</v>
      </c>
      <c r="C1870" s="14" t="s">
        <v>7580</v>
      </c>
      <c r="D1870" s="14" t="s">
        <v>7581</v>
      </c>
      <c r="E1870" s="6" t="str">
        <f>HYPERLINK("https://twitter.com/2morrowknight/status/1364082316704849920","1364082316704849920")</f>
        <v>1364082316704849920</v>
      </c>
      <c r="F1870" s="8"/>
      <c r="G1870" s="7" t="s">
        <v>7582</v>
      </c>
      <c r="H1870" s="8"/>
      <c r="I1870" s="14">
        <v>2</v>
      </c>
      <c r="J1870" s="14">
        <v>2</v>
      </c>
      <c r="K1870" s="6" t="str">
        <f>HYPERLINK("http://twitter.com/download/iphone","Twitter for iPhone")</f>
        <v>Twitter for iPhone</v>
      </c>
      <c r="L1870" s="15">
        <v>800499</v>
      </c>
      <c r="M1870" s="15">
        <v>477</v>
      </c>
      <c r="N1870" s="15">
        <v>14583</v>
      </c>
      <c r="O1870" s="15" t="s">
        <v>130</v>
      </c>
      <c r="P1870" s="10">
        <v>39838.248831018514</v>
      </c>
      <c r="Q1870" s="14" t="s">
        <v>7583</v>
      </c>
      <c r="R1870" s="14" t="s">
        <v>7584</v>
      </c>
      <c r="S1870" s="7" t="s">
        <v>7585</v>
      </c>
      <c r="T1870" s="8"/>
      <c r="U1870" s="11" t="str">
        <f>HYPERLINK("https://pbs.twimg.com/profile_images/1032426870740934657/zX4rEcqK.jpg","View")</f>
        <v>View</v>
      </c>
      <c r="V1870" s="8"/>
      <c r="W1870" s="8"/>
      <c r="X1870" s="8"/>
      <c r="Y1870" s="8"/>
      <c r="Z1870" s="8"/>
    </row>
    <row r="1871" spans="1:26" ht="13.2">
      <c r="A1871" s="13">
        <v>44250.260798611111</v>
      </c>
      <c r="B1871" s="6" t="str">
        <f>HYPERLINK("https://twitter.com/IndonesiaEtc","@IndonesiaEtc")</f>
        <v>@IndonesiaEtc</v>
      </c>
      <c r="C1871" s="14" t="s">
        <v>7586</v>
      </c>
      <c r="D1871" s="14" t="s">
        <v>7587</v>
      </c>
      <c r="E1871" s="6" t="str">
        <f>HYPERLINK("https://twitter.com/IndonesiaEtc/status/1364081440665858048","1364081440665858048")</f>
        <v>1364081440665858048</v>
      </c>
      <c r="F1871" s="14" t="s">
        <v>7588</v>
      </c>
      <c r="G1871" s="8"/>
      <c r="H1871" s="8"/>
      <c r="I1871" s="14">
        <v>2</v>
      </c>
      <c r="J1871" s="14">
        <v>1</v>
      </c>
      <c r="K1871" s="6" t="str">
        <f t="shared" ref="K1871:K1872" si="347">HYPERLINK("http://twinybots.com","TwinyBots")</f>
        <v>TwinyBots</v>
      </c>
      <c r="L1871" s="15">
        <v>52</v>
      </c>
      <c r="M1871" s="15">
        <v>184</v>
      </c>
      <c r="N1871" s="15">
        <v>1</v>
      </c>
      <c r="O1871" s="9"/>
      <c r="P1871" s="10">
        <v>43602.258726851855</v>
      </c>
      <c r="Q1871" s="14" t="s">
        <v>7589</v>
      </c>
      <c r="R1871" s="14" t="s">
        <v>7590</v>
      </c>
      <c r="S1871" s="7" t="s">
        <v>7591</v>
      </c>
      <c r="T1871" s="8"/>
      <c r="U1871" s="11" t="str">
        <f>HYPERLINK("https://pbs.twimg.com/profile_images/1301429217771401218/qdRSbl1s.jpg","View")</f>
        <v>View</v>
      </c>
      <c r="V1871" s="8"/>
      <c r="W1871" s="8"/>
      <c r="X1871" s="8"/>
      <c r="Y1871" s="8"/>
      <c r="Z1871" s="8"/>
    </row>
    <row r="1872" spans="1:26" ht="13.2">
      <c r="A1872" s="13">
        <v>44250.260752314818</v>
      </c>
      <c r="B1872" s="6" t="str">
        <f>HYPERLINK("https://twitter.com/IdrisOlasunka13","@IdrisOlasunka13")</f>
        <v>@IdrisOlasunka13</v>
      </c>
      <c r="C1872" s="14" t="s">
        <v>7592</v>
      </c>
      <c r="D1872" s="14" t="s">
        <v>1639</v>
      </c>
      <c r="E1872" s="6" t="str">
        <f>HYPERLINK("https://twitter.com/IdrisOlasunka13/status/1364081424362569729","1364081424362569729")</f>
        <v>1364081424362569729</v>
      </c>
      <c r="F1872" s="14" t="s">
        <v>1640</v>
      </c>
      <c r="G1872" s="8"/>
      <c r="H1872" s="8"/>
      <c r="I1872" s="14">
        <v>24</v>
      </c>
      <c r="J1872" s="14">
        <v>15</v>
      </c>
      <c r="K1872" s="6" t="str">
        <f t="shared" si="347"/>
        <v>TwinyBots</v>
      </c>
      <c r="L1872" s="15">
        <v>605</v>
      </c>
      <c r="M1872" s="15">
        <v>2314</v>
      </c>
      <c r="N1872" s="15">
        <v>0</v>
      </c>
      <c r="O1872" s="9"/>
      <c r="P1872" s="10">
        <v>43568.867731481485</v>
      </c>
      <c r="Q1872" s="14" t="s">
        <v>4217</v>
      </c>
      <c r="R1872" s="14" t="s">
        <v>7593</v>
      </c>
      <c r="S1872" s="7" t="s">
        <v>7594</v>
      </c>
      <c r="T1872" s="8"/>
      <c r="U1872" s="11" t="str">
        <f>HYPERLINK("https://pbs.twimg.com/profile_images/1324228953859596288/oJlu9-yy.jpg","View")</f>
        <v>View</v>
      </c>
      <c r="V1872" s="8"/>
      <c r="W1872" s="8"/>
      <c r="X1872" s="8"/>
      <c r="Y1872" s="8"/>
      <c r="Z1872" s="8"/>
    </row>
    <row r="1873" spans="1:26" ht="13.2">
      <c r="A1873" s="13">
        <v>44250.260474537034</v>
      </c>
      <c r="B1873" s="6" t="str">
        <f>HYPERLINK("https://twitter.com/ipfconline1","@ipfconline1")</f>
        <v>@ipfconline1</v>
      </c>
      <c r="C1873" s="14" t="s">
        <v>65</v>
      </c>
      <c r="D1873" s="14" t="s">
        <v>7595</v>
      </c>
      <c r="E1873" s="6" t="str">
        <f>HYPERLINK("https://twitter.com/ipfconline1/status/1364081321090420738","1364081321090420738")</f>
        <v>1364081321090420738</v>
      </c>
      <c r="F1873" s="7" t="s">
        <v>7596</v>
      </c>
      <c r="G1873" s="7" t="s">
        <v>7597</v>
      </c>
      <c r="H1873" s="8"/>
      <c r="I1873" s="14">
        <v>10</v>
      </c>
      <c r="J1873" s="14">
        <v>8</v>
      </c>
      <c r="K1873" s="6" t="str">
        <f>HYPERLINK("https://twittimer.com","Twittimer")</f>
        <v>Twittimer</v>
      </c>
      <c r="L1873" s="15">
        <v>112675</v>
      </c>
      <c r="M1873" s="15">
        <v>107162</v>
      </c>
      <c r="N1873" s="15">
        <v>7806</v>
      </c>
      <c r="O1873" s="9"/>
      <c r="P1873" s="10">
        <v>42433.031967592593</v>
      </c>
      <c r="Q1873" s="14" t="s">
        <v>69</v>
      </c>
      <c r="R1873" s="14" t="s">
        <v>70</v>
      </c>
      <c r="S1873" s="7" t="s">
        <v>71</v>
      </c>
      <c r="T1873" s="8"/>
      <c r="U1873" s="11" t="str">
        <f>HYPERLINK("https://pbs.twimg.com/profile_images/729065804004769793/St2_Pum9.jpg","View")</f>
        <v>View</v>
      </c>
      <c r="V1873" s="8"/>
      <c r="W1873" s="8"/>
      <c r="X1873" s="8"/>
      <c r="Y1873" s="8"/>
      <c r="Z1873" s="8"/>
    </row>
    <row r="1874" spans="1:26" ht="13.2">
      <c r="A1874" s="13">
        <v>44250.260439814811</v>
      </c>
      <c r="B1874" s="6" t="str">
        <f>HYPERLINK("https://twitter.com/RadiologyGamuts","@RadiologyGamuts")</f>
        <v>@RadiologyGamuts</v>
      </c>
      <c r="C1874" s="14" t="s">
        <v>1481</v>
      </c>
      <c r="D1874" s="14" t="s">
        <v>7598</v>
      </c>
      <c r="E1874" s="6" t="str">
        <f>HYPERLINK("https://twitter.com/RadiologyGamuts/status/1364081309149057024","1364081309149057024")</f>
        <v>1364081309149057024</v>
      </c>
      <c r="F1874" s="7" t="s">
        <v>7599</v>
      </c>
      <c r="G1874" s="8"/>
      <c r="H1874" s="8"/>
      <c r="I1874" s="14">
        <v>1</v>
      </c>
      <c r="J1874" s="14">
        <v>4</v>
      </c>
      <c r="K1874" s="6" t="str">
        <f>HYPERLINK("https://www.gamuts.net","RadiologyGamuts")</f>
        <v>RadiologyGamuts</v>
      </c>
      <c r="L1874" s="15">
        <v>4633</v>
      </c>
      <c r="M1874" s="15">
        <v>3528</v>
      </c>
      <c r="N1874" s="15">
        <v>62</v>
      </c>
      <c r="O1874" s="9"/>
      <c r="P1874" s="10">
        <v>41019.020555555559</v>
      </c>
      <c r="Q1874" s="14" t="s">
        <v>1485</v>
      </c>
      <c r="R1874" s="14" t="s">
        <v>1486</v>
      </c>
      <c r="S1874" s="7" t="s">
        <v>1487</v>
      </c>
      <c r="T1874" s="8"/>
      <c r="U1874" s="11" t="str">
        <f>HYPERLINK("https://pbs.twimg.com/profile_images/2148080535/color-wheel.jpg","View")</f>
        <v>View</v>
      </c>
      <c r="V1874" s="8"/>
      <c r="W1874" s="8"/>
      <c r="X1874" s="8"/>
      <c r="Y1874" s="8"/>
      <c r="Z1874" s="8"/>
    </row>
    <row r="1875" spans="1:26" ht="13.2">
      <c r="A1875" s="13">
        <v>44250.25944444444</v>
      </c>
      <c r="B1875" s="6" t="str">
        <f>HYPERLINK("https://twitter.com/techbytesorg","@techbytesorg")</f>
        <v>@techbytesorg</v>
      </c>
      <c r="C1875" s="14" t="s">
        <v>7600</v>
      </c>
      <c r="D1875" s="14" t="s">
        <v>7601</v>
      </c>
      <c r="E1875" s="6" t="str">
        <f>HYPERLINK("https://twitter.com/techbytesorg/status/1364080951068868608","1364080951068868608")</f>
        <v>1364080951068868608</v>
      </c>
      <c r="F1875" s="8"/>
      <c r="G1875" s="7" t="s">
        <v>7602</v>
      </c>
      <c r="H1875" s="8"/>
      <c r="I1875" s="14">
        <v>31</v>
      </c>
      <c r="J1875" s="14">
        <v>9</v>
      </c>
      <c r="K1875" s="6" t="str">
        <f>HYPERLINK("https://www.hootsuite.com","Hootsuite Inc.")</f>
        <v>Hootsuite Inc.</v>
      </c>
      <c r="L1875" s="15">
        <v>175</v>
      </c>
      <c r="M1875" s="15">
        <v>143</v>
      </c>
      <c r="N1875" s="15">
        <v>1</v>
      </c>
      <c r="O1875" s="9"/>
      <c r="P1875" s="10">
        <v>43601.684664351851</v>
      </c>
      <c r="Q1875" s="14" t="s">
        <v>7603</v>
      </c>
      <c r="R1875" s="14" t="s">
        <v>7604</v>
      </c>
      <c r="S1875" s="7" t="s">
        <v>7605</v>
      </c>
      <c r="T1875" s="8"/>
      <c r="U1875" s="11" t="str">
        <f>HYPERLINK("https://pbs.twimg.com/profile_images/1334136418046672896/k9U3Jguf.jpg","View")</f>
        <v>View</v>
      </c>
      <c r="V1875" s="8"/>
      <c r="W1875" s="8"/>
      <c r="X1875" s="8"/>
      <c r="Y1875" s="8"/>
      <c r="Z1875" s="8"/>
    </row>
    <row r="1876" spans="1:26" ht="13.2">
      <c r="A1876" s="13">
        <v>44250.259340277778</v>
      </c>
      <c r="B1876" s="6" t="str">
        <f>HYPERLINK("https://twitter.com/77Aerorider77","@77Aerorider77")</f>
        <v>@77Aerorider77</v>
      </c>
      <c r="C1876" s="14" t="s">
        <v>7606</v>
      </c>
      <c r="D1876" s="14" t="s">
        <v>7607</v>
      </c>
      <c r="E1876" s="6" t="str">
        <f>HYPERLINK("https://twitter.com/77Aerorider77/status/1364080910988058628","1364080910988058628")</f>
        <v>1364080910988058628</v>
      </c>
      <c r="F1876" s="7" t="s">
        <v>7608</v>
      </c>
      <c r="G1876" s="8"/>
      <c r="H1876" s="8"/>
      <c r="I1876" s="14">
        <v>6</v>
      </c>
      <c r="J1876" s="14">
        <v>2</v>
      </c>
      <c r="K1876" s="6" t="str">
        <f>HYPERLINK("http://www.linkedin.com/","LinkedIn")</f>
        <v>LinkedIn</v>
      </c>
      <c r="L1876" s="15">
        <v>139</v>
      </c>
      <c r="M1876" s="15">
        <v>432</v>
      </c>
      <c r="N1876" s="15">
        <v>0</v>
      </c>
      <c r="O1876" s="9"/>
      <c r="P1876" s="10">
        <v>40613.288356481484</v>
      </c>
      <c r="Q1876" s="14" t="s">
        <v>7609</v>
      </c>
      <c r="R1876" s="14" t="s">
        <v>7610</v>
      </c>
      <c r="S1876" s="7" t="s">
        <v>7611</v>
      </c>
      <c r="T1876" s="8"/>
      <c r="U1876" s="11" t="str">
        <f>HYPERLINK("https://pbs.twimg.com/profile_images/1346255061295325184/KIIH0_9d.jpg","View")</f>
        <v>View</v>
      </c>
      <c r="V1876" s="8"/>
      <c r="W1876" s="8"/>
      <c r="X1876" s="8"/>
      <c r="Y1876" s="8"/>
      <c r="Z1876" s="8"/>
    </row>
    <row r="1877" spans="1:26" ht="13.2">
      <c r="A1877" s="13">
        <v>44250.259317129632</v>
      </c>
      <c r="B1877" s="6" t="str">
        <f>HYPERLINK("https://twitter.com/Analyticsindiam","@Analyticsindiam")</f>
        <v>@Analyticsindiam</v>
      </c>
      <c r="C1877" s="14" t="s">
        <v>5870</v>
      </c>
      <c r="D1877" s="14" t="s">
        <v>7612</v>
      </c>
      <c r="E1877" s="6" t="str">
        <f>HYPERLINK("https://twitter.com/Analyticsindiam/status/1364080902066696198","1364080902066696198")</f>
        <v>1364080902066696198</v>
      </c>
      <c r="F1877" s="7" t="s">
        <v>7613</v>
      </c>
      <c r="G1877" s="8"/>
      <c r="H1877" s="8"/>
      <c r="I1877" s="14">
        <v>4</v>
      </c>
      <c r="J1877" s="14">
        <v>4</v>
      </c>
      <c r="K1877" s="6" t="str">
        <f>HYPERLINK("https://mobile.twitter.com","Twitter Web App")</f>
        <v>Twitter Web App</v>
      </c>
      <c r="L1877" s="15">
        <v>12466</v>
      </c>
      <c r="M1877" s="15">
        <v>353</v>
      </c>
      <c r="N1877" s="15">
        <v>284</v>
      </c>
      <c r="O1877" s="9"/>
      <c r="P1877" s="10">
        <v>41209.688425925924</v>
      </c>
      <c r="Q1877" s="14" t="s">
        <v>1742</v>
      </c>
      <c r="R1877" s="14" t="s">
        <v>5873</v>
      </c>
      <c r="S1877" s="7" t="s">
        <v>5874</v>
      </c>
      <c r="T1877" s="8"/>
      <c r="U1877" s="11" t="str">
        <f>HYPERLINK("https://pbs.twimg.com/profile_images/1346368144391118848/X7OaLwQ5.jpg","View")</f>
        <v>View</v>
      </c>
      <c r="V1877" s="8"/>
      <c r="W1877" s="8"/>
      <c r="X1877" s="8"/>
      <c r="Y1877" s="8"/>
      <c r="Z1877" s="8"/>
    </row>
    <row r="1878" spans="1:26" ht="13.2">
      <c r="A1878" s="13">
        <v>44250.258530092593</v>
      </c>
      <c r="B1878" s="6" t="str">
        <f>HYPERLINK("https://twitter.com/jis_pena","@jis_pena")</f>
        <v>@jis_pena</v>
      </c>
      <c r="C1878" s="14" t="s">
        <v>7614</v>
      </c>
      <c r="D1878" s="14" t="s">
        <v>7615</v>
      </c>
      <c r="E1878" s="6" t="str">
        <f>HYPERLINK("https://twitter.com/jis_pena/status/1364080616434761730","1364080616434761730")</f>
        <v>1364080616434761730</v>
      </c>
      <c r="F1878" s="8"/>
      <c r="G1878" s="7" t="s">
        <v>7616</v>
      </c>
      <c r="H1878" s="8"/>
      <c r="I1878" s="14">
        <v>0</v>
      </c>
      <c r="J1878" s="14">
        <v>3</v>
      </c>
      <c r="K1878" s="6" t="str">
        <f>HYPERLINK("http://twitter.com/download/iphone","Twitter for iPhone")</f>
        <v>Twitter for iPhone</v>
      </c>
      <c r="L1878" s="15">
        <v>394</v>
      </c>
      <c r="M1878" s="15">
        <v>454</v>
      </c>
      <c r="N1878" s="15">
        <v>0</v>
      </c>
      <c r="O1878" s="9"/>
      <c r="P1878" s="10">
        <v>43879.10429398148</v>
      </c>
      <c r="Q1878" s="14" t="s">
        <v>7617</v>
      </c>
      <c r="R1878" s="14" t="s">
        <v>7618</v>
      </c>
      <c r="S1878" s="8"/>
      <c r="T1878" s="8"/>
      <c r="U1878" s="11" t="str">
        <f>HYPERLINK("https://pbs.twimg.com/profile_images/1229581092300247040/mqE2KlJe.jpg","View")</f>
        <v>View</v>
      </c>
      <c r="V1878" s="8"/>
      <c r="W1878" s="8"/>
      <c r="X1878" s="8"/>
      <c r="Y1878" s="8"/>
      <c r="Z1878" s="8"/>
    </row>
    <row r="1879" spans="1:26" ht="13.2">
      <c r="A1879" s="13">
        <v>44250.257245370369</v>
      </c>
      <c r="B1879" s="6" t="str">
        <f>HYPERLINK("https://twitter.com/bigmlcom","@bigmlcom")</f>
        <v>@bigmlcom</v>
      </c>
      <c r="C1879" s="14" t="s">
        <v>4616</v>
      </c>
      <c r="D1879" s="14" t="s">
        <v>7619</v>
      </c>
      <c r="E1879" s="6" t="str">
        <f>HYPERLINK("https://twitter.com/bigmlcom/status/1364080152720809990","1364080152720809990")</f>
        <v>1364080152720809990</v>
      </c>
      <c r="F1879" s="7" t="s">
        <v>7620</v>
      </c>
      <c r="G1879" s="7" t="s">
        <v>7621</v>
      </c>
      <c r="H1879" s="8"/>
      <c r="I1879" s="14">
        <v>2</v>
      </c>
      <c r="J1879" s="14">
        <v>6</v>
      </c>
      <c r="K1879" s="6" t="str">
        <f>HYPERLINK("https://about.twitter.com/products/tweetdeck","TweetDeck")</f>
        <v>TweetDeck</v>
      </c>
      <c r="L1879" s="15">
        <v>6725</v>
      </c>
      <c r="M1879" s="15">
        <v>43</v>
      </c>
      <c r="N1879" s="15">
        <v>492</v>
      </c>
      <c r="O1879" s="9"/>
      <c r="P1879" s="10">
        <v>40552.231423611112</v>
      </c>
      <c r="Q1879" s="14" t="s">
        <v>4619</v>
      </c>
      <c r="R1879" s="14" t="s">
        <v>4620</v>
      </c>
      <c r="S1879" s="7" t="s">
        <v>4621</v>
      </c>
      <c r="T1879" s="8"/>
      <c r="U1879" s="11" t="str">
        <f>HYPERLINK("https://pbs.twimg.com/profile_images/1053243999237087235/j87pTK0n.jpg","View")</f>
        <v>View</v>
      </c>
      <c r="V1879" s="8"/>
      <c r="W1879" s="8"/>
      <c r="X1879" s="8"/>
      <c r="Y1879" s="8"/>
      <c r="Z1879" s="8"/>
    </row>
    <row r="1880" spans="1:26" ht="13.2">
      <c r="A1880" s="13">
        <v>44250.255659722221</v>
      </c>
      <c r="B1880" s="6" t="str">
        <f>HYPERLINK("https://twitter.com/timokissel","@timokissel")</f>
        <v>@timokissel</v>
      </c>
      <c r="C1880" s="14" t="s">
        <v>7622</v>
      </c>
      <c r="D1880" s="14" t="s">
        <v>7623</v>
      </c>
      <c r="E1880" s="6" t="str">
        <f>HYPERLINK("https://twitter.com/timokissel/status/1364079576926744577","1364079576926744577")</f>
        <v>1364079576926744577</v>
      </c>
      <c r="F1880" s="7" t="s">
        <v>7624</v>
      </c>
      <c r="G1880" s="8"/>
      <c r="H1880" s="8"/>
      <c r="I1880" s="14">
        <v>2</v>
      </c>
      <c r="J1880" s="14">
        <v>2</v>
      </c>
      <c r="K1880" s="6" t="str">
        <f>HYPERLINK("https://mobile.twitter.com","Twitter Web App")</f>
        <v>Twitter Web App</v>
      </c>
      <c r="L1880" s="15">
        <v>156</v>
      </c>
      <c r="M1880" s="15">
        <v>194</v>
      </c>
      <c r="N1880" s="15">
        <v>26</v>
      </c>
      <c r="O1880" s="9"/>
      <c r="P1880" s="10">
        <v>40533.844895833332</v>
      </c>
      <c r="Q1880" s="14" t="s">
        <v>7625</v>
      </c>
      <c r="R1880" s="14" t="s">
        <v>7626</v>
      </c>
      <c r="S1880" s="8"/>
      <c r="T1880" s="8"/>
      <c r="U1880" s="11" t="str">
        <f>HYPERLINK("https://pbs.twimg.com/profile_images/2688375451/4909c594dc0fbad5a2d653eed1d432c0.jpeg","View")</f>
        <v>View</v>
      </c>
      <c r="V1880" s="8"/>
      <c r="W1880" s="8"/>
      <c r="X1880" s="8"/>
      <c r="Y1880" s="8"/>
      <c r="Z1880" s="8"/>
    </row>
    <row r="1881" spans="1:26" ht="13.2">
      <c r="A1881" s="13">
        <v>44250.254884259259</v>
      </c>
      <c r="B1881" s="6" t="str">
        <f>HYPERLINK("https://twitter.com/andi_staub","@andi_staub")</f>
        <v>@andi_staub</v>
      </c>
      <c r="C1881" s="14" t="s">
        <v>7627</v>
      </c>
      <c r="D1881" s="14" t="s">
        <v>7628</v>
      </c>
      <c r="E1881" s="6" t="str">
        <f>HYPERLINK("https://twitter.com/andi_staub/status/1364079296382455808","1364079296382455808")</f>
        <v>1364079296382455808</v>
      </c>
      <c r="F1881" s="7" t="s">
        <v>7629</v>
      </c>
      <c r="G1881" s="7" t="s">
        <v>7630</v>
      </c>
      <c r="H1881" s="8"/>
      <c r="I1881" s="14">
        <v>17</v>
      </c>
      <c r="J1881" s="14">
        <v>19</v>
      </c>
      <c r="K1881" s="6" t="str">
        <f>HYPERLINK("https://buffer.com","Buffer")</f>
        <v>Buffer</v>
      </c>
      <c r="L1881" s="15">
        <v>61453</v>
      </c>
      <c r="M1881" s="15">
        <v>7961</v>
      </c>
      <c r="N1881" s="15">
        <v>4257</v>
      </c>
      <c r="O1881" s="9"/>
      <c r="P1881" s="10">
        <v>40677.910370370373</v>
      </c>
      <c r="Q1881" s="8"/>
      <c r="R1881" s="14" t="s">
        <v>7631</v>
      </c>
      <c r="S1881" s="8"/>
      <c r="T1881" s="8"/>
      <c r="U1881" s="11" t="str">
        <f>HYPERLINK("https://pbs.twimg.com/profile_images/732482833407582210/TDe-Ph8r.jpg","View")</f>
        <v>View</v>
      </c>
      <c r="V1881" s="8"/>
      <c r="W1881" s="8"/>
      <c r="X1881" s="8"/>
      <c r="Y1881" s="8"/>
      <c r="Z1881" s="8"/>
    </row>
    <row r="1882" spans="1:26" ht="13.2">
      <c r="A1882" s="13">
        <v>44250.254201388889</v>
      </c>
      <c r="B1882" s="6" t="str">
        <f>HYPERLINK("https://twitter.com/lopezunwired","@lopezunwired")</f>
        <v>@lopezunwired</v>
      </c>
      <c r="C1882" s="14" t="s">
        <v>224</v>
      </c>
      <c r="D1882" s="14" t="s">
        <v>7632</v>
      </c>
      <c r="E1882" s="6" t="str">
        <f>HYPERLINK("https://twitter.com/lopezunwired/status/1364079049363001345","1364079049363001345")</f>
        <v>1364079049363001345</v>
      </c>
      <c r="F1882" s="7" t="s">
        <v>7633</v>
      </c>
      <c r="G1882" s="7" t="s">
        <v>7634</v>
      </c>
      <c r="H1882" s="8"/>
      <c r="I1882" s="14">
        <v>2</v>
      </c>
      <c r="J1882" s="14">
        <v>1</v>
      </c>
      <c r="K1882" s="6" t="str">
        <f>HYPERLINK("https://dlvrit.com/","dlvr.it")</f>
        <v>dlvr.it</v>
      </c>
      <c r="L1882" s="15">
        <v>1803</v>
      </c>
      <c r="M1882" s="15">
        <v>800</v>
      </c>
      <c r="N1882" s="15">
        <v>586</v>
      </c>
      <c r="O1882" s="9"/>
      <c r="P1882" s="10">
        <v>39831.947152777779</v>
      </c>
      <c r="Q1882" s="14" t="s">
        <v>228</v>
      </c>
      <c r="R1882" s="14" t="s">
        <v>229</v>
      </c>
      <c r="S1882" s="7" t="s">
        <v>230</v>
      </c>
      <c r="T1882" s="8"/>
      <c r="U1882" s="11" t="str">
        <f>HYPERLINK("https://pbs.twimg.com/profile_images/3326137784/c6c1c2570fc7b9711dd8de812b996a66.jpeg","View")</f>
        <v>View</v>
      </c>
      <c r="V1882" s="8"/>
      <c r="W1882" s="8"/>
      <c r="X1882" s="8"/>
      <c r="Y1882" s="8"/>
      <c r="Z1882" s="8"/>
    </row>
    <row r="1883" spans="1:26" ht="13.2">
      <c r="A1883" s="13">
        <v>44250.252372685187</v>
      </c>
      <c r="B1883" s="6" t="str">
        <f>HYPERLINK("https://twitter.com/machinelearnflx","@machinelearnflx")</f>
        <v>@machinelearnflx</v>
      </c>
      <c r="C1883" s="14" t="s">
        <v>279</v>
      </c>
      <c r="D1883" s="14" t="s">
        <v>7635</v>
      </c>
      <c r="E1883" s="6" t="str">
        <f>HYPERLINK("https://twitter.com/machinelearnflx/status/1364078388407918593","1364078388407918593")</f>
        <v>1364078388407918593</v>
      </c>
      <c r="F1883" s="7" t="s">
        <v>7636</v>
      </c>
      <c r="G1883" s="8"/>
      <c r="H1883" s="8"/>
      <c r="I1883" s="14">
        <v>2</v>
      </c>
      <c r="J1883" s="14">
        <v>4</v>
      </c>
      <c r="K1883" s="6" t="str">
        <f>HYPERLINK("https://twitter.com/pythonbot_","Postmatico")</f>
        <v>Postmatico</v>
      </c>
      <c r="L1883" s="15">
        <v>90451</v>
      </c>
      <c r="M1883" s="15">
        <v>35464</v>
      </c>
      <c r="N1883" s="15">
        <v>2228</v>
      </c>
      <c r="O1883" s="9"/>
      <c r="P1883" s="10">
        <v>42386.538865740746</v>
      </c>
      <c r="Q1883" s="8"/>
      <c r="R1883" s="14" t="s">
        <v>282</v>
      </c>
      <c r="S1883" s="7" t="s">
        <v>283</v>
      </c>
      <c r="T1883" s="8"/>
      <c r="U1883" s="11" t="str">
        <f>HYPERLINK("https://pbs.twimg.com/profile_images/688735459892195329/v8sHaWSG.jpg","View")</f>
        <v>View</v>
      </c>
      <c r="V1883" s="8"/>
      <c r="W1883" s="8"/>
      <c r="X1883" s="8"/>
      <c r="Y1883" s="8"/>
      <c r="Z1883" s="8"/>
    </row>
    <row r="1884" spans="1:26" ht="13.2">
      <c r="A1884" s="13">
        <v>44250.251666666663</v>
      </c>
      <c r="B1884" s="6" t="str">
        <f>HYPERLINK("https://twitter.com/SpirosMargaris","@SpirosMargaris")</f>
        <v>@SpirosMargaris</v>
      </c>
      <c r="C1884" s="14" t="s">
        <v>3558</v>
      </c>
      <c r="D1884" s="14" t="s">
        <v>7637</v>
      </c>
      <c r="E1884" s="6" t="str">
        <f>HYPERLINK("https://twitter.com/SpirosMargaris/status/1364078133020884993","1364078133020884993")</f>
        <v>1364078133020884993</v>
      </c>
      <c r="F1884" s="7" t="s">
        <v>7638</v>
      </c>
      <c r="G1884" s="8"/>
      <c r="H1884" s="8"/>
      <c r="I1884" s="14">
        <v>18</v>
      </c>
      <c r="J1884" s="14">
        <v>21</v>
      </c>
      <c r="K1884" s="6" t="str">
        <f>HYPERLINK("https://mobile.twitter.com","Twitter Web App")</f>
        <v>Twitter Web App</v>
      </c>
      <c r="L1884" s="15">
        <v>107389</v>
      </c>
      <c r="M1884" s="15">
        <v>15890</v>
      </c>
      <c r="N1884" s="15">
        <v>5693</v>
      </c>
      <c r="O1884" s="15" t="s">
        <v>130</v>
      </c>
      <c r="P1884" s="10">
        <v>41857.30574074074</v>
      </c>
      <c r="Q1884" s="14" t="s">
        <v>3562</v>
      </c>
      <c r="R1884" s="14" t="s">
        <v>3563</v>
      </c>
      <c r="S1884" s="7" t="s">
        <v>3564</v>
      </c>
      <c r="T1884" s="8"/>
      <c r="U1884" s="11" t="str">
        <f>HYPERLINK("https://pbs.twimg.com/profile_images/1346443960986775553/TGeiH97s.jpg","View")</f>
        <v>View</v>
      </c>
      <c r="V1884" s="8"/>
      <c r="W1884" s="8"/>
      <c r="X1884" s="8"/>
      <c r="Y1884" s="8"/>
      <c r="Z1884" s="8"/>
    </row>
    <row r="1885" spans="1:26" ht="13.2">
      <c r="A1885" s="13">
        <v>44250.251400462963</v>
      </c>
      <c r="B1885" s="6" t="str">
        <f>HYPERLINK("https://twitter.com/Deiv101","@Deiv101")</f>
        <v>@Deiv101</v>
      </c>
      <c r="C1885" s="14" t="s">
        <v>7639</v>
      </c>
      <c r="D1885" s="14" t="s">
        <v>7640</v>
      </c>
      <c r="E1885" s="6" t="str">
        <f>HYPERLINK("https://twitter.com/Deiv101/status/1364078035079684099","1364078035079684099")</f>
        <v>1364078035079684099</v>
      </c>
      <c r="F1885" s="8"/>
      <c r="G1885" s="8"/>
      <c r="H1885" s="8"/>
      <c r="I1885" s="14">
        <v>15</v>
      </c>
      <c r="J1885" s="14">
        <v>13</v>
      </c>
      <c r="K1885" s="6" t="str">
        <f>HYPERLINK("http://twitter.com/download/iphone","Twitter for iPhone")</f>
        <v>Twitter for iPhone</v>
      </c>
      <c r="L1885" s="15">
        <v>3202</v>
      </c>
      <c r="M1885" s="15">
        <v>2775</v>
      </c>
      <c r="N1885" s="15">
        <v>38</v>
      </c>
      <c r="O1885" s="9"/>
      <c r="P1885" s="10">
        <v>41070.30259259259</v>
      </c>
      <c r="Q1885" s="14" t="s">
        <v>7641</v>
      </c>
      <c r="R1885" s="14" t="s">
        <v>7642</v>
      </c>
      <c r="S1885" s="7" t="s">
        <v>7643</v>
      </c>
      <c r="T1885" s="8"/>
      <c r="U1885" s="11" t="str">
        <f>HYPERLINK("https://pbs.twimg.com/profile_images/1358659588447498240/ORy6XmvL.jpg","View")</f>
        <v>View</v>
      </c>
      <c r="V1885" s="8"/>
      <c r="W1885" s="8"/>
      <c r="X1885" s="8"/>
      <c r="Y1885" s="8"/>
      <c r="Z1885" s="8"/>
    </row>
    <row r="1886" spans="1:26" ht="13.2">
      <c r="A1886" s="13">
        <v>44250.251319444447</v>
      </c>
      <c r="B1886" s="6" t="str">
        <f>HYPERLINK("https://twitter.com/Deep_In_Depth","@Deep_In_Depth")</f>
        <v>@Deep_In_Depth</v>
      </c>
      <c r="C1886" s="14" t="s">
        <v>312</v>
      </c>
      <c r="D1886" s="14" t="s">
        <v>7644</v>
      </c>
      <c r="E1886" s="6" t="str">
        <f>HYPERLINK("https://twitter.com/Deep_In_Depth/status/1364078005140811776","1364078005140811776")</f>
        <v>1364078005140811776</v>
      </c>
      <c r="F1886" s="14" t="s">
        <v>7645</v>
      </c>
      <c r="G1886" s="8"/>
      <c r="H1886" s="8"/>
      <c r="I1886" s="14">
        <v>2</v>
      </c>
      <c r="J1886" s="14">
        <v>0</v>
      </c>
      <c r="K1886" s="6" t="str">
        <f>HYPERLINK("https://buffer.com","Buffer")</f>
        <v>Buffer</v>
      </c>
      <c r="L1886" s="15">
        <v>10954</v>
      </c>
      <c r="M1886" s="15">
        <v>9176</v>
      </c>
      <c r="N1886" s="15">
        <v>159</v>
      </c>
      <c r="O1886" s="9"/>
      <c r="P1886" s="10">
        <v>42864.439525462964</v>
      </c>
      <c r="Q1886" s="14" t="s">
        <v>315</v>
      </c>
      <c r="R1886" s="14" t="s">
        <v>316</v>
      </c>
      <c r="S1886" s="7" t="s">
        <v>317</v>
      </c>
      <c r="T1886" s="8"/>
      <c r="U1886" s="11" t="str">
        <f>HYPERLINK("https://pbs.twimg.com/profile_images/861866967493431296/PIjaSD4g.jpg","View")</f>
        <v>View</v>
      </c>
      <c r="V1886" s="8"/>
      <c r="W1886" s="8"/>
      <c r="X1886" s="8"/>
      <c r="Y1886" s="8"/>
      <c r="Z1886" s="8"/>
    </row>
    <row r="1887" spans="1:26" ht="13.2">
      <c r="A1887" s="13">
        <v>44250.25099537037</v>
      </c>
      <c r="B1887" s="6" t="str">
        <f t="shared" ref="B1887:B1888" si="348">HYPERLINK("https://twitter.com/into_AI","@into_AI")</f>
        <v>@into_AI</v>
      </c>
      <c r="C1887" s="14" t="s">
        <v>2021</v>
      </c>
      <c r="D1887" s="14" t="s">
        <v>7646</v>
      </c>
      <c r="E1887" s="6" t="str">
        <f>HYPERLINK("https://twitter.com/into_AI/status/1364077885997383680","1364077885997383680")</f>
        <v>1364077885997383680</v>
      </c>
      <c r="F1887" s="7" t="s">
        <v>7647</v>
      </c>
      <c r="G1887" s="8"/>
      <c r="H1887" s="8"/>
      <c r="I1887" s="14">
        <v>1</v>
      </c>
      <c r="J1887" s="14">
        <v>0</v>
      </c>
      <c r="K1887" s="6" t="str">
        <f t="shared" ref="K1887:K1888" si="349">HYPERLINK("http://into.AI","into.AI")</f>
        <v>into.AI</v>
      </c>
      <c r="L1887" s="15">
        <v>19374</v>
      </c>
      <c r="M1887" s="15">
        <v>1707</v>
      </c>
      <c r="N1887" s="15">
        <v>3164</v>
      </c>
      <c r="O1887" s="9"/>
      <c r="P1887" s="10">
        <v>42133.721620370372</v>
      </c>
      <c r="Q1887" s="14" t="s">
        <v>2024</v>
      </c>
      <c r="R1887" s="14" t="s">
        <v>2025</v>
      </c>
      <c r="S1887" s="7" t="s">
        <v>2026</v>
      </c>
      <c r="T1887" s="8"/>
      <c r="U1887" s="11" t="str">
        <f t="shared" ref="U1887:U1888" si="350">HYPERLINK("https://pbs.twimg.com/profile_images/967341160124608512/LM2Y5Q5m.jpg","View")</f>
        <v>View</v>
      </c>
      <c r="V1887" s="8"/>
      <c r="W1887" s="8"/>
      <c r="X1887" s="8"/>
      <c r="Y1887" s="8"/>
      <c r="Z1887" s="8"/>
    </row>
    <row r="1888" spans="1:26" ht="13.2">
      <c r="A1888" s="13">
        <v>44250.250810185185</v>
      </c>
      <c r="B1888" s="6" t="str">
        <f t="shared" si="348"/>
        <v>@into_AI</v>
      </c>
      <c r="C1888" s="14" t="s">
        <v>2021</v>
      </c>
      <c r="D1888" s="14" t="s">
        <v>7648</v>
      </c>
      <c r="E1888" s="6" t="str">
        <f>HYPERLINK("https://twitter.com/into_AI/status/1364077822248161282","1364077822248161282")</f>
        <v>1364077822248161282</v>
      </c>
      <c r="F1888" s="7" t="s">
        <v>7649</v>
      </c>
      <c r="G1888" s="8"/>
      <c r="H1888" s="8"/>
      <c r="I1888" s="14">
        <v>2</v>
      </c>
      <c r="J1888" s="14">
        <v>0</v>
      </c>
      <c r="K1888" s="6" t="str">
        <f t="shared" si="349"/>
        <v>into.AI</v>
      </c>
      <c r="L1888" s="15">
        <v>19374</v>
      </c>
      <c r="M1888" s="15">
        <v>1707</v>
      </c>
      <c r="N1888" s="15">
        <v>3164</v>
      </c>
      <c r="O1888" s="9"/>
      <c r="P1888" s="10">
        <v>42133.721620370372</v>
      </c>
      <c r="Q1888" s="14" t="s">
        <v>2024</v>
      </c>
      <c r="R1888" s="14" t="s">
        <v>2025</v>
      </c>
      <c r="S1888" s="7" t="s">
        <v>2026</v>
      </c>
      <c r="T1888" s="8"/>
      <c r="U1888" s="11" t="str">
        <f t="shared" si="350"/>
        <v>View</v>
      </c>
      <c r="V1888" s="8"/>
      <c r="W1888" s="8"/>
      <c r="X1888" s="8"/>
      <c r="Y1888" s="8"/>
      <c r="Z1888" s="8"/>
    </row>
    <row r="1889" spans="1:26" ht="13.2">
      <c r="A1889" s="13">
        <v>44250.250289351854</v>
      </c>
      <c r="B1889" s="6" t="str">
        <f>HYPERLINK("https://twitter.com/Marktechpost","@Marktechpost")</f>
        <v>@Marktechpost</v>
      </c>
      <c r="C1889" s="7" t="s">
        <v>1071</v>
      </c>
      <c r="D1889" s="14" t="s">
        <v>7650</v>
      </c>
      <c r="E1889" s="6" t="str">
        <f>HYPERLINK("https://twitter.com/Marktechpost/status/1364077630157389824","1364077630157389824")</f>
        <v>1364077630157389824</v>
      </c>
      <c r="F1889" s="7" t="s">
        <v>7651</v>
      </c>
      <c r="G1889" s="7" t="s">
        <v>7652</v>
      </c>
      <c r="H1889" s="8"/>
      <c r="I1889" s="14">
        <v>1</v>
      </c>
      <c r="J1889" s="14">
        <v>3</v>
      </c>
      <c r="K1889" s="6" t="str">
        <f>HYPERLINK("https://www.hootsuite.com","Hootsuite Inc.")</f>
        <v>Hootsuite Inc.</v>
      </c>
      <c r="L1889" s="15">
        <v>2673</v>
      </c>
      <c r="M1889" s="15">
        <v>461</v>
      </c>
      <c r="N1889" s="15">
        <v>24</v>
      </c>
      <c r="O1889" s="9"/>
      <c r="P1889" s="10">
        <v>42467.265682870369</v>
      </c>
      <c r="Q1889" s="14" t="s">
        <v>56</v>
      </c>
      <c r="R1889" s="14" t="s">
        <v>1075</v>
      </c>
      <c r="S1889" s="7" t="s">
        <v>58</v>
      </c>
      <c r="T1889" s="8"/>
      <c r="U1889" s="11" t="str">
        <f>HYPERLINK("https://pbs.twimg.com/profile_images/994114664874180608/tD0vcytP.jpg","View")</f>
        <v>View</v>
      </c>
      <c r="V1889" s="8"/>
      <c r="W1889" s="8"/>
      <c r="X1889" s="8"/>
      <c r="Y1889" s="8"/>
      <c r="Z1889" s="8"/>
    </row>
    <row r="1890" spans="1:26" ht="13.2">
      <c r="A1890" s="13">
        <v>44250.250092592592</v>
      </c>
      <c r="B1890" s="6" t="str">
        <f>HYPERLINK("https://twitter.com/CDOTrends","@CDOTrends")</f>
        <v>@CDOTrends</v>
      </c>
      <c r="C1890" s="14" t="s">
        <v>6754</v>
      </c>
      <c r="D1890" s="14" t="s">
        <v>7653</v>
      </c>
      <c r="E1890" s="6" t="str">
        <f>HYPERLINK("https://twitter.com/CDOTrends/status/1364077562830479361","1364077562830479361")</f>
        <v>1364077562830479361</v>
      </c>
      <c r="F1890" s="14" t="s">
        <v>7654</v>
      </c>
      <c r="G1890" s="7" t="s">
        <v>7655</v>
      </c>
      <c r="H1890" s="8"/>
      <c r="I1890" s="14">
        <v>3</v>
      </c>
      <c r="J1890" s="14">
        <v>1</v>
      </c>
      <c r="K1890" s="6" t="str">
        <f>HYPERLINK("https://buffer.com","Buffer")</f>
        <v>Buffer</v>
      </c>
      <c r="L1890" s="15">
        <v>945</v>
      </c>
      <c r="M1890" s="15">
        <v>2502</v>
      </c>
      <c r="N1890" s="15">
        <v>15</v>
      </c>
      <c r="O1890" s="9"/>
      <c r="P1890" s="10">
        <v>43169.472048611111</v>
      </c>
      <c r="Q1890" s="14" t="s">
        <v>5760</v>
      </c>
      <c r="R1890" s="14" t="s">
        <v>6758</v>
      </c>
      <c r="S1890" s="8"/>
      <c r="T1890" s="8"/>
      <c r="U1890" s="11" t="str">
        <f>HYPERLINK("https://pbs.twimg.com/profile_images/972427641532764162/6Xu1sxja.jpg","View")</f>
        <v>View</v>
      </c>
      <c r="V1890" s="8"/>
      <c r="W1890" s="8"/>
      <c r="X1890" s="8"/>
      <c r="Y1890" s="8"/>
      <c r="Z1890" s="8"/>
    </row>
    <row r="1891" spans="1:26" ht="13.2">
      <c r="A1891" s="13">
        <v>44250.250057870369</v>
      </c>
      <c r="B1891" s="6" t="str">
        <f>HYPERLINK("https://twitter.com/s_kampakis","@s_kampakis")</f>
        <v>@s_kampakis</v>
      </c>
      <c r="C1891" s="14" t="s">
        <v>823</v>
      </c>
      <c r="D1891" s="14" t="s">
        <v>7656</v>
      </c>
      <c r="E1891" s="6" t="str">
        <f>HYPERLINK("https://twitter.com/s_kampakis/status/1364077550054612992","1364077550054612992")</f>
        <v>1364077550054612992</v>
      </c>
      <c r="F1891" s="7" t="s">
        <v>7657</v>
      </c>
      <c r="G1891" s="8"/>
      <c r="H1891" s="8"/>
      <c r="I1891" s="14">
        <v>1</v>
      </c>
      <c r="J1891" s="14">
        <v>1</v>
      </c>
      <c r="K1891" s="6" t="str">
        <f>HYPERLINK("https://crowdfireapp.com","Crowdfire App")</f>
        <v>Crowdfire App</v>
      </c>
      <c r="L1891" s="15">
        <v>1205</v>
      </c>
      <c r="M1891" s="15">
        <v>2076</v>
      </c>
      <c r="N1891" s="15">
        <v>87</v>
      </c>
      <c r="O1891" s="9"/>
      <c r="P1891" s="10">
        <v>41877.766087962962</v>
      </c>
      <c r="Q1891" s="14" t="s">
        <v>753</v>
      </c>
      <c r="R1891" s="14" t="s">
        <v>826</v>
      </c>
      <c r="S1891" s="7" t="s">
        <v>827</v>
      </c>
      <c r="T1891" s="8"/>
      <c r="U1891" s="11" t="str">
        <f>HYPERLINK("https://pbs.twimg.com/profile_images/1175015480496726019/1UxlBHvw.jpg","View")</f>
        <v>View</v>
      </c>
      <c r="V1891" s="8"/>
      <c r="W1891" s="8"/>
      <c r="X1891" s="8"/>
      <c r="Y1891" s="8"/>
      <c r="Z1891" s="8"/>
    </row>
    <row r="1892" spans="1:26" ht="13.2">
      <c r="A1892" s="13">
        <v>44250.250057870369</v>
      </c>
      <c r="B1892" s="6" t="str">
        <f>HYPERLINK("https://twitter.com/Radiology_AI","@Radiology_AI")</f>
        <v>@Radiology_AI</v>
      </c>
      <c r="C1892" s="14" t="s">
        <v>2729</v>
      </c>
      <c r="D1892" s="14" t="s">
        <v>7658</v>
      </c>
      <c r="E1892" s="6" t="str">
        <f>HYPERLINK("https://twitter.com/Radiology_AI/status/1364077548091576320","1364077548091576320")</f>
        <v>1364077548091576320</v>
      </c>
      <c r="F1892" s="7" t="s">
        <v>7659</v>
      </c>
      <c r="G1892" s="7" t="s">
        <v>7660</v>
      </c>
      <c r="H1892" s="8"/>
      <c r="I1892" s="14">
        <v>3</v>
      </c>
      <c r="J1892" s="14">
        <v>4</v>
      </c>
      <c r="K1892" s="6" t="str">
        <f>HYPERLINK("https://pubs.rsna.org/journal/ai","Radiology: AI app")</f>
        <v>Radiology: AI app</v>
      </c>
      <c r="L1892" s="15">
        <v>7117</v>
      </c>
      <c r="M1892" s="15">
        <v>18</v>
      </c>
      <c r="N1892" s="15">
        <v>91</v>
      </c>
      <c r="O1892" s="9"/>
      <c r="P1892" s="10">
        <v>43412.634467592594</v>
      </c>
      <c r="Q1892" s="14" t="s">
        <v>2733</v>
      </c>
      <c r="R1892" s="14" t="s">
        <v>2734</v>
      </c>
      <c r="S1892" s="7" t="s">
        <v>2735</v>
      </c>
      <c r="T1892" s="8"/>
      <c r="U1892" s="11" t="str">
        <f>HYPERLINK("https://pbs.twimg.com/profile_images/1088215563233579008/a69L4EZB.jpg","View")</f>
        <v>View</v>
      </c>
      <c r="V1892" s="8"/>
      <c r="W1892" s="8"/>
      <c r="X1892" s="8"/>
      <c r="Y1892" s="8"/>
      <c r="Z1892" s="8"/>
    </row>
    <row r="1893" spans="1:26" ht="13.2">
      <c r="A1893" s="13">
        <v>44250.250046296293</v>
      </c>
      <c r="B1893" s="6" t="str">
        <f>HYPERLINK("https://twitter.com/rbukralia","@rbukralia")</f>
        <v>@rbukralia</v>
      </c>
      <c r="C1893" s="14" t="s">
        <v>7661</v>
      </c>
      <c r="D1893" s="14" t="s">
        <v>7662</v>
      </c>
      <c r="E1893" s="6" t="str">
        <f>HYPERLINK("https://twitter.com/rbukralia/status/1364077545294094337","1364077545294094337")</f>
        <v>1364077545294094337</v>
      </c>
      <c r="F1893" s="7" t="s">
        <v>7663</v>
      </c>
      <c r="G1893" s="8"/>
      <c r="H1893" s="8"/>
      <c r="I1893" s="14">
        <v>3</v>
      </c>
      <c r="J1893" s="14">
        <v>1</v>
      </c>
      <c r="K1893" s="6" t="str">
        <f>HYPERLINK("https://www.hootsuite.com","Hootsuite Inc.")</f>
        <v>Hootsuite Inc.</v>
      </c>
      <c r="L1893" s="15">
        <v>10204</v>
      </c>
      <c r="M1893" s="15">
        <v>4879</v>
      </c>
      <c r="N1893" s="15">
        <v>937</v>
      </c>
      <c r="O1893" s="9"/>
      <c r="P1893" s="10">
        <v>41567.934606481482</v>
      </c>
      <c r="Q1893" s="14" t="s">
        <v>322</v>
      </c>
      <c r="R1893" s="14" t="s">
        <v>7664</v>
      </c>
      <c r="S1893" s="8"/>
      <c r="T1893" s="8"/>
      <c r="U1893" s="11" t="str">
        <f>HYPERLINK("https://pbs.twimg.com/profile_images/930676116074975234/vjZpXfwA.jpg","View")</f>
        <v>View</v>
      </c>
      <c r="V1893" s="8"/>
      <c r="W1893" s="8"/>
      <c r="X1893" s="8"/>
      <c r="Y1893" s="8"/>
      <c r="Z1893" s="8"/>
    </row>
    <row r="1894" spans="1:26" ht="13.2">
      <c r="A1894" s="13">
        <v>44250.250034722223</v>
      </c>
      <c r="B1894" s="6" t="str">
        <f>HYPERLINK("https://twitter.com/AnnePordon","@AnnePordon")</f>
        <v>@AnnePordon</v>
      </c>
      <c r="C1894" s="14" t="s">
        <v>1138</v>
      </c>
      <c r="D1894" s="14" t="s">
        <v>7665</v>
      </c>
      <c r="E1894" s="6" t="str">
        <f>HYPERLINK("https://twitter.com/AnnePordon/status/1364077538675363842","1364077538675363842")</f>
        <v>1364077538675363842</v>
      </c>
      <c r="F1894" s="7" t="s">
        <v>7666</v>
      </c>
      <c r="G1894" s="8"/>
      <c r="H1894" s="8"/>
      <c r="I1894" s="14">
        <v>1</v>
      </c>
      <c r="J1894" s="14">
        <v>1</v>
      </c>
      <c r="K1894" s="6" t="str">
        <f>HYPERLINK("http://www.linkedin.com/","LinkedIn")</f>
        <v>LinkedIn</v>
      </c>
      <c r="L1894" s="15">
        <v>265</v>
      </c>
      <c r="M1894" s="15">
        <v>565</v>
      </c>
      <c r="N1894" s="15">
        <v>5</v>
      </c>
      <c r="O1894" s="9"/>
      <c r="P1894" s="10">
        <v>43714.793321759258</v>
      </c>
      <c r="Q1894" s="14" t="s">
        <v>1141</v>
      </c>
      <c r="R1894" s="14" t="s">
        <v>1142</v>
      </c>
      <c r="S1894" s="8"/>
      <c r="T1894" s="8"/>
      <c r="U1894" s="11" t="str">
        <f>HYPERLINK("https://pbs.twimg.com/profile_images/1170020149455462401/KK9I4zZR.jpg","View")</f>
        <v>View</v>
      </c>
      <c r="V1894" s="8"/>
      <c r="W1894" s="8"/>
      <c r="X1894" s="8"/>
      <c r="Y1894" s="8"/>
      <c r="Z1894" s="8"/>
    </row>
    <row r="1895" spans="1:26" ht="13.2">
      <c r="A1895" s="13">
        <v>44250.249421296292</v>
      </c>
      <c r="B1895" s="6" t="str">
        <f>HYPERLINK("https://twitter.com/NeurAutomata","@NeurAutomata")</f>
        <v>@NeurAutomata</v>
      </c>
      <c r="C1895" s="14" t="s">
        <v>400</v>
      </c>
      <c r="D1895" s="14" t="s">
        <v>401</v>
      </c>
      <c r="E1895" s="6" t="str">
        <f>HYPERLINK("https://twitter.com/NeurAutomata/status/1364077319116185600","1364077319116185600")</f>
        <v>1364077319116185600</v>
      </c>
      <c r="F1895" s="7" t="s">
        <v>7667</v>
      </c>
      <c r="G1895" s="8"/>
      <c r="H1895" s="8"/>
      <c r="I1895" s="14">
        <v>2</v>
      </c>
      <c r="J1895" s="14">
        <v>1</v>
      </c>
      <c r="K1895" s="6" t="str">
        <f>HYPERLINK("https://ifttt.com","IFTTT")</f>
        <v>IFTTT</v>
      </c>
      <c r="L1895" s="15">
        <v>83</v>
      </c>
      <c r="M1895" s="15">
        <v>14</v>
      </c>
      <c r="N1895" s="15">
        <v>3</v>
      </c>
      <c r="O1895" s="9"/>
      <c r="P1895" s="10">
        <v>42862.083414351851</v>
      </c>
      <c r="Q1895" s="14" t="s">
        <v>403</v>
      </c>
      <c r="R1895" s="14" t="s">
        <v>404</v>
      </c>
      <c r="S1895" s="8"/>
      <c r="T1895" s="8"/>
      <c r="U1895" s="11" t="str">
        <f>HYPERLINK("https://pbs.twimg.com/profile_images/861050448672718848/oHUlrvEK.jpg","View")</f>
        <v>View</v>
      </c>
      <c r="V1895" s="8"/>
      <c r="W1895" s="8"/>
      <c r="X1895" s="8"/>
      <c r="Y1895" s="8"/>
      <c r="Z1895" s="8"/>
    </row>
    <row r="1896" spans="1:26" ht="13.2">
      <c r="A1896" s="13">
        <v>44250.249328703707</v>
      </c>
      <c r="B1896" s="6" t="str">
        <f>HYPERLINK("https://twitter.com/SMEClabs","@SMEClabs")</f>
        <v>@SMEClabs</v>
      </c>
      <c r="C1896" s="14" t="s">
        <v>7668</v>
      </c>
      <c r="D1896" s="14" t="s">
        <v>7669</v>
      </c>
      <c r="E1896" s="6" t="str">
        <f>HYPERLINK("https://twitter.com/SMEClabs/status/1364077285368688640","1364077285368688640")</f>
        <v>1364077285368688640</v>
      </c>
      <c r="F1896" s="7" t="s">
        <v>7670</v>
      </c>
      <c r="G1896" s="7" t="s">
        <v>7671</v>
      </c>
      <c r="H1896" s="8"/>
      <c r="I1896" s="14">
        <v>6</v>
      </c>
      <c r="J1896" s="14">
        <v>4</v>
      </c>
      <c r="K1896" s="6" t="str">
        <f t="shared" ref="K1896:K1897" si="351">HYPERLINK("https://mobile.twitter.com","Twitter Web App")</f>
        <v>Twitter Web App</v>
      </c>
      <c r="L1896" s="15">
        <v>2765</v>
      </c>
      <c r="M1896" s="15">
        <v>177</v>
      </c>
      <c r="N1896" s="15">
        <v>0</v>
      </c>
      <c r="O1896" s="9"/>
      <c r="P1896" s="10">
        <v>40438.512997685189</v>
      </c>
      <c r="Q1896" s="14" t="s">
        <v>364</v>
      </c>
      <c r="R1896" s="14" t="s">
        <v>7672</v>
      </c>
      <c r="S1896" s="7" t="s">
        <v>7673</v>
      </c>
      <c r="T1896" s="8"/>
      <c r="U1896" s="11" t="str">
        <f>HYPERLINK("https://pbs.twimg.com/profile_images/1339167402978734082/pNnfD7W-.jpg","View")</f>
        <v>View</v>
      </c>
      <c r="V1896" s="8"/>
      <c r="W1896" s="8"/>
      <c r="X1896" s="8"/>
      <c r="Y1896" s="8"/>
      <c r="Z1896" s="8"/>
    </row>
    <row r="1897" spans="1:26" ht="13.2">
      <c r="A1897" s="13">
        <v>44250.248668981483</v>
      </c>
      <c r="B1897" s="6" t="str">
        <f>HYPERLINK("https://twitter.com/Shradha55989917","@Shradha55989917")</f>
        <v>@Shradha55989917</v>
      </c>
      <c r="C1897" s="14" t="s">
        <v>7674</v>
      </c>
      <c r="D1897" s="14" t="s">
        <v>7675</v>
      </c>
      <c r="E1897" s="6" t="str">
        <f>HYPERLINK("https://twitter.com/Shradha55989917/status/1364077046977167369","1364077046977167369")</f>
        <v>1364077046977167369</v>
      </c>
      <c r="F1897" s="7" t="s">
        <v>7676</v>
      </c>
      <c r="G1897" s="8"/>
      <c r="H1897" s="8"/>
      <c r="I1897" s="14">
        <v>31</v>
      </c>
      <c r="J1897" s="14">
        <v>18</v>
      </c>
      <c r="K1897" s="6" t="str">
        <f t="shared" si="351"/>
        <v>Twitter Web App</v>
      </c>
      <c r="L1897" s="15">
        <v>182</v>
      </c>
      <c r="M1897" s="15">
        <v>466</v>
      </c>
      <c r="N1897" s="15">
        <v>2</v>
      </c>
      <c r="O1897" s="9"/>
      <c r="P1897" s="10">
        <v>44026.397141203706</v>
      </c>
      <c r="Q1897" s="14" t="s">
        <v>7677</v>
      </c>
      <c r="R1897" s="14" t="s">
        <v>7678</v>
      </c>
      <c r="S1897" s="8"/>
      <c r="T1897" s="8"/>
      <c r="U1897" s="11" t="str">
        <f>HYPERLINK("https://pbs.twimg.com/profile_images/1282940934544556033/s0mnpZVg.jpg","View")</f>
        <v>View</v>
      </c>
      <c r="V1897" s="8"/>
      <c r="W1897" s="8"/>
      <c r="X1897" s="8"/>
      <c r="Y1897" s="8"/>
      <c r="Z1897" s="8"/>
    </row>
    <row r="1898" spans="1:26" ht="13.2">
      <c r="A1898" s="13">
        <v>44250.247939814813</v>
      </c>
      <c r="B1898" s="6" t="str">
        <f>HYPERLINK("https://twitter.com/globaliqx","@globaliqx")</f>
        <v>@globaliqx</v>
      </c>
      <c r="C1898" s="14" t="s">
        <v>305</v>
      </c>
      <c r="D1898" s="14" t="s">
        <v>7679</v>
      </c>
      <c r="E1898" s="6" t="str">
        <f>HYPERLINK("https://twitter.com/globaliqx/status/1364076781653884929","1364076781653884929")</f>
        <v>1364076781653884929</v>
      </c>
      <c r="F1898" s="7" t="s">
        <v>7680</v>
      </c>
      <c r="G1898" s="7" t="s">
        <v>7681</v>
      </c>
      <c r="H1898" s="8"/>
      <c r="I1898" s="14">
        <v>17</v>
      </c>
      <c r="J1898" s="14">
        <v>14</v>
      </c>
      <c r="K1898" s="6" t="str">
        <f>HYPERLINK("https://buffer.com","Buffer")</f>
        <v>Buffer</v>
      </c>
      <c r="L1898" s="15">
        <v>10339</v>
      </c>
      <c r="M1898" s="15">
        <v>7808</v>
      </c>
      <c r="N1898" s="15">
        <v>868</v>
      </c>
      <c r="O1898" s="9"/>
      <c r="P1898" s="10">
        <v>41565.721296296295</v>
      </c>
      <c r="Q1898" s="14" t="s">
        <v>309</v>
      </c>
      <c r="R1898" s="14" t="s">
        <v>310</v>
      </c>
      <c r="S1898" s="7" t="s">
        <v>311</v>
      </c>
      <c r="T1898" s="8"/>
      <c r="U1898" s="11" t="str">
        <f>HYPERLINK("https://pbs.twimg.com/profile_images/695005663492247556/v0EQSRal.jpg","View")</f>
        <v>View</v>
      </c>
      <c r="V1898" s="8"/>
      <c r="W1898" s="8"/>
      <c r="X1898" s="8"/>
      <c r="Y1898" s="8"/>
      <c r="Z1898" s="8"/>
    </row>
    <row r="1899" spans="1:26" ht="13.2">
      <c r="A1899" s="13">
        <v>44250.246504629627</v>
      </c>
      <c r="B1899" s="6" t="str">
        <f>HYPERLINK("https://twitter.com/PiyushRaj714","@PiyushRaj714")</f>
        <v>@PiyushRaj714</v>
      </c>
      <c r="C1899" s="14" t="s">
        <v>7682</v>
      </c>
      <c r="D1899" s="14" t="s">
        <v>7683</v>
      </c>
      <c r="E1899" s="6" t="str">
        <f>HYPERLINK("https://twitter.com/PiyushRaj714/status/1364076258674401284","1364076258674401284")</f>
        <v>1364076258674401284</v>
      </c>
      <c r="F1899" s="8"/>
      <c r="G1899" s="7" t="s">
        <v>7684</v>
      </c>
      <c r="H1899" s="8"/>
      <c r="I1899" s="14">
        <v>13</v>
      </c>
      <c r="J1899" s="14">
        <v>6</v>
      </c>
      <c r="K1899" s="6" t="str">
        <f>HYPERLINK("https://mobile.twitter.com","Twitter Web App")</f>
        <v>Twitter Web App</v>
      </c>
      <c r="L1899" s="15">
        <v>297</v>
      </c>
      <c r="M1899" s="15">
        <v>172</v>
      </c>
      <c r="N1899" s="15">
        <v>3</v>
      </c>
      <c r="O1899" s="9"/>
      <c r="P1899" s="10">
        <v>43941.373425925922</v>
      </c>
      <c r="Q1899" s="14" t="s">
        <v>364</v>
      </c>
      <c r="R1899" s="14" t="s">
        <v>7685</v>
      </c>
      <c r="S1899" s="7" t="s">
        <v>7686</v>
      </c>
      <c r="T1899" s="8"/>
      <c r="U1899" s="11" t="str">
        <f>HYPERLINK("https://pbs.twimg.com/profile_images/1257010755662163971/MPOSNqBB.jpg","View")</f>
        <v>View</v>
      </c>
      <c r="V1899" s="8"/>
      <c r="W1899" s="8"/>
      <c r="X1899" s="8"/>
      <c r="Y1899" s="8"/>
      <c r="Z1899" s="8"/>
    </row>
    <row r="1900" spans="1:26" ht="13.2">
      <c r="A1900" s="13">
        <v>44250.245532407411</v>
      </c>
      <c r="B1900" s="6" t="str">
        <f>HYPERLINK("https://twitter.com/techlazy_msft","@techlazy_msft")</f>
        <v>@techlazy_msft</v>
      </c>
      <c r="C1900" s="14" t="s">
        <v>2027</v>
      </c>
      <c r="D1900" s="14" t="s">
        <v>7687</v>
      </c>
      <c r="E1900" s="6" t="str">
        <f>HYPERLINK("https://twitter.com/techlazy_msft/status/1364075908093669376","1364075908093669376")</f>
        <v>1364075908093669376</v>
      </c>
      <c r="F1900" s="8"/>
      <c r="G1900" s="7" t="s">
        <v>7688</v>
      </c>
      <c r="H1900" s="8"/>
      <c r="I1900" s="14">
        <v>37</v>
      </c>
      <c r="J1900" s="14">
        <v>26</v>
      </c>
      <c r="K1900" s="6" t="str">
        <f>HYPERLINK("http://azure.microsoft.com/en-us/services/app-service/logic/","Microsoft Azure Logic Apps")</f>
        <v>Microsoft Azure Logic Apps</v>
      </c>
      <c r="L1900" s="15">
        <v>1493</v>
      </c>
      <c r="M1900" s="15">
        <v>81</v>
      </c>
      <c r="N1900" s="15">
        <v>804</v>
      </c>
      <c r="O1900" s="9"/>
      <c r="P1900" s="10">
        <v>40443.435752314814</v>
      </c>
      <c r="Q1900" s="14" t="s">
        <v>2030</v>
      </c>
      <c r="R1900" s="14" t="s">
        <v>2031</v>
      </c>
      <c r="S1900" s="7" t="s">
        <v>2032</v>
      </c>
      <c r="T1900" s="8"/>
      <c r="U1900" s="11" t="str">
        <f>HYPERLINK("https://pbs.twimg.com/profile_images/716220444651753472/q6PwsQ8V.jpg","View")</f>
        <v>View</v>
      </c>
      <c r="V1900" s="8"/>
      <c r="W1900" s="8"/>
      <c r="X1900" s="8"/>
      <c r="Y1900" s="8"/>
      <c r="Z1900" s="8"/>
    </row>
    <row r="1901" spans="1:26" ht="13.2">
      <c r="A1901" s="13">
        <v>44250.244537037041</v>
      </c>
      <c r="B1901" s="6" t="str">
        <f>HYPERLINK("https://twitter.com/linkcxo","@linkcxo")</f>
        <v>@linkcxo</v>
      </c>
      <c r="C1901" s="14" t="s">
        <v>7689</v>
      </c>
      <c r="D1901" s="14" t="s">
        <v>7690</v>
      </c>
      <c r="E1901" s="6" t="str">
        <f>HYPERLINK("https://twitter.com/linkcxo/status/1364075548528439296","1364075548528439296")</f>
        <v>1364075548528439296</v>
      </c>
      <c r="F1901" s="8"/>
      <c r="G1901" s="7" t="s">
        <v>7691</v>
      </c>
      <c r="H1901" s="8"/>
      <c r="I1901" s="14">
        <v>3</v>
      </c>
      <c r="J1901" s="14">
        <v>3</v>
      </c>
      <c r="K1901" s="6" t="str">
        <f>HYPERLINK("https://mobile.twitter.com","Twitter Web App")</f>
        <v>Twitter Web App</v>
      </c>
      <c r="L1901" s="15">
        <v>56</v>
      </c>
      <c r="M1901" s="15">
        <v>249</v>
      </c>
      <c r="N1901" s="15">
        <v>3</v>
      </c>
      <c r="O1901" s="9"/>
      <c r="P1901" s="10">
        <v>42374.239837962959</v>
      </c>
      <c r="Q1901" s="14" t="s">
        <v>3176</v>
      </c>
      <c r="R1901" s="14" t="s">
        <v>7692</v>
      </c>
      <c r="S1901" s="7" t="s">
        <v>7693</v>
      </c>
      <c r="T1901" s="8"/>
      <c r="U1901" s="11" t="str">
        <f>HYPERLINK("https://pbs.twimg.com/profile_images/1319523150564999169/v9Tnvtev.jpg","View")</f>
        <v>View</v>
      </c>
      <c r="V1901" s="8"/>
      <c r="W1901" s="8"/>
      <c r="X1901" s="8"/>
      <c r="Y1901" s="8"/>
      <c r="Z1901" s="8"/>
    </row>
    <row r="1902" spans="1:26" ht="13.2">
      <c r="A1902" s="13">
        <v>44250.243703703702</v>
      </c>
      <c r="B1902" s="6" t="str">
        <f>HYPERLINK("https://twitter.com/Datascience__","@Datascience__")</f>
        <v>@Datascience__</v>
      </c>
      <c r="C1902" s="14" t="s">
        <v>1082</v>
      </c>
      <c r="D1902" s="14" t="s">
        <v>7694</v>
      </c>
      <c r="E1902" s="6" t="str">
        <f>HYPERLINK("https://twitter.com/Datascience__/status/1364075244655423491","1364075244655423491")</f>
        <v>1364075244655423491</v>
      </c>
      <c r="F1902" s="7" t="s">
        <v>7695</v>
      </c>
      <c r="G1902" s="8"/>
      <c r="H1902" s="8"/>
      <c r="I1902" s="14">
        <v>4</v>
      </c>
      <c r="J1902" s="14">
        <v>2</v>
      </c>
      <c r="K1902" s="6" t="str">
        <f>HYPERLINK("https://twitter.com/pythonbot_","Postmatico")</f>
        <v>Postmatico</v>
      </c>
      <c r="L1902" s="15">
        <v>21499</v>
      </c>
      <c r="M1902" s="15">
        <v>11071</v>
      </c>
      <c r="N1902" s="15">
        <v>0</v>
      </c>
      <c r="O1902" s="9"/>
      <c r="P1902" s="10">
        <v>42735.551377314812</v>
      </c>
      <c r="Q1902" s="8"/>
      <c r="R1902" s="14" t="s">
        <v>1085</v>
      </c>
      <c r="S1902" s="7" t="s">
        <v>1086</v>
      </c>
      <c r="T1902" s="8"/>
      <c r="U1902" s="11" t="str">
        <f>HYPERLINK("https://pbs.twimg.com/profile_images/989066461435097088/AQZSFyuk.jpg","View")</f>
        <v>View</v>
      </c>
      <c r="V1902" s="8"/>
      <c r="W1902" s="8"/>
      <c r="X1902" s="8"/>
      <c r="Y1902" s="8"/>
      <c r="Z1902" s="8"/>
    </row>
    <row r="1903" spans="1:26" ht="13.2">
      <c r="A1903" s="13">
        <v>44250.24319444444</v>
      </c>
      <c r="B1903" s="6" t="str">
        <f>HYPERLINK("https://twitter.com/iihmjpr","@iihmjpr")</f>
        <v>@iihmjpr</v>
      </c>
      <c r="C1903" s="14" t="s">
        <v>7696</v>
      </c>
      <c r="D1903" s="14" t="s">
        <v>7697</v>
      </c>
      <c r="E1903" s="6" t="str">
        <f>HYPERLINK("https://twitter.com/iihmjpr/status/1364075061129355265","1364075061129355265")</f>
        <v>1364075061129355265</v>
      </c>
      <c r="F1903" s="7" t="s">
        <v>2068</v>
      </c>
      <c r="G1903" s="7" t="s">
        <v>7698</v>
      </c>
      <c r="H1903" s="8"/>
      <c r="I1903" s="14">
        <v>1</v>
      </c>
      <c r="J1903" s="14">
        <v>1</v>
      </c>
      <c r="K1903" s="6" t="str">
        <f>HYPERLINK("http://twitter.com/download/android","Twitter for Android")</f>
        <v>Twitter for Android</v>
      </c>
      <c r="L1903" s="15">
        <v>43</v>
      </c>
      <c r="M1903" s="15">
        <v>45</v>
      </c>
      <c r="N1903" s="15">
        <v>0</v>
      </c>
      <c r="O1903" s="9"/>
      <c r="P1903" s="10">
        <v>44141.269409722227</v>
      </c>
      <c r="Q1903" s="14" t="s">
        <v>7699</v>
      </c>
      <c r="R1903" s="8"/>
      <c r="S1903" s="8"/>
      <c r="T1903" s="8"/>
      <c r="U1903" s="11" t="str">
        <f>HYPERLINK("https://pbs.twimg.com/profile_images/1324585136428523520/kClKcLz8.jpg","View")</f>
        <v>View</v>
      </c>
      <c r="V1903" s="8"/>
      <c r="W1903" s="8"/>
      <c r="X1903" s="8"/>
      <c r="Y1903" s="8"/>
      <c r="Z1903" s="8"/>
    </row>
    <row r="1904" spans="1:26" ht="13.2">
      <c r="A1904" s="13">
        <v>44250.24255787037</v>
      </c>
      <c r="B1904" s="6" t="str">
        <f>HYPERLINK("https://twitter.com/VIncelius","@VIncelius")</f>
        <v>@VIncelius</v>
      </c>
      <c r="C1904" s="14" t="s">
        <v>7700</v>
      </c>
      <c r="D1904" s="14" t="s">
        <v>7701</v>
      </c>
      <c r="E1904" s="6" t="str">
        <f>HYPERLINK("https://twitter.com/VIncelius/status/1364074828781731842","1364074828781731842")</f>
        <v>1364074828781731842</v>
      </c>
      <c r="F1904" s="7" t="s">
        <v>7702</v>
      </c>
      <c r="G1904" s="7" t="s">
        <v>7703</v>
      </c>
      <c r="H1904" s="8"/>
      <c r="I1904" s="14">
        <v>1</v>
      </c>
      <c r="J1904" s="14">
        <v>1</v>
      </c>
      <c r="K1904" s="6" t="str">
        <f>HYPERLINK("https://ifttt.com","IFTTT")</f>
        <v>IFTTT</v>
      </c>
      <c r="L1904" s="15">
        <v>40</v>
      </c>
      <c r="M1904" s="15">
        <v>321</v>
      </c>
      <c r="N1904" s="15">
        <v>0</v>
      </c>
      <c r="O1904" s="9"/>
      <c r="P1904" s="10">
        <v>43622.762442129635</v>
      </c>
      <c r="Q1904" s="8"/>
      <c r="R1904" s="14" t="s">
        <v>7704</v>
      </c>
      <c r="S1904" s="8"/>
      <c r="T1904" s="8"/>
      <c r="U1904" s="11" t="str">
        <f>HYPERLINK("https://pbs.twimg.com/profile_images/1136690424192671750/Fy2RU_8v.png","View")</f>
        <v>View</v>
      </c>
      <c r="V1904" s="8"/>
      <c r="W1904" s="8"/>
      <c r="X1904" s="8"/>
      <c r="Y1904" s="8"/>
      <c r="Z1904" s="8"/>
    </row>
    <row r="1905" spans="1:26" ht="13.2">
      <c r="A1905" s="13">
        <v>44250.241435185184</v>
      </c>
      <c r="B1905" s="6" t="str">
        <f>HYPERLINK("https://twitter.com/danieberg1","@danieberg1")</f>
        <v>@danieberg1</v>
      </c>
      <c r="C1905" s="14" t="s">
        <v>7705</v>
      </c>
      <c r="D1905" s="14" t="s">
        <v>7706</v>
      </c>
      <c r="E1905" s="6" t="str">
        <f>HYPERLINK("https://twitter.com/danieberg1/status/1364074422630424581","1364074422630424581")</f>
        <v>1364074422630424581</v>
      </c>
      <c r="F1905" s="8"/>
      <c r="G1905" s="7" t="s">
        <v>7707</v>
      </c>
      <c r="H1905" s="8"/>
      <c r="I1905" s="14">
        <v>4</v>
      </c>
      <c r="J1905" s="14">
        <v>3</v>
      </c>
      <c r="K1905" s="6" t="str">
        <f>HYPERLINK("https://mobile.twitter.com","Twitter Web App")</f>
        <v>Twitter Web App</v>
      </c>
      <c r="L1905" s="15">
        <v>24</v>
      </c>
      <c r="M1905" s="15">
        <v>68</v>
      </c>
      <c r="N1905" s="15">
        <v>0</v>
      </c>
      <c r="O1905" s="9"/>
      <c r="P1905" s="10">
        <v>44162.491435185184</v>
      </c>
      <c r="Q1905" s="8"/>
      <c r="R1905" s="14" t="s">
        <v>7708</v>
      </c>
      <c r="S1905" s="8"/>
      <c r="T1905" s="8"/>
      <c r="U1905" s="11" t="str">
        <f>HYPERLINK("https://pbs.twimg.com/profile_images/1342073404627820544/wRvdayNC.jpg","View")</f>
        <v>View</v>
      </c>
      <c r="V1905" s="8"/>
      <c r="W1905" s="8"/>
      <c r="X1905" s="8"/>
      <c r="Y1905" s="8"/>
      <c r="Z1905" s="8"/>
    </row>
    <row r="1906" spans="1:26" ht="13.2">
      <c r="A1906" s="13">
        <v>44250.240162037036</v>
      </c>
      <c r="B1906" s="6" t="str">
        <f>HYPERLINK("https://twitter.com/ai_summary","@ai_summary")</f>
        <v>@ai_summary</v>
      </c>
      <c r="C1906" s="14" t="s">
        <v>528</v>
      </c>
      <c r="D1906" s="14" t="s">
        <v>7709</v>
      </c>
      <c r="E1906" s="6" t="str">
        <f>HYPERLINK("https://twitter.com/ai_summary/status/1364073961013805058","1364073961013805058")</f>
        <v>1364073961013805058</v>
      </c>
      <c r="F1906" s="7" t="s">
        <v>7710</v>
      </c>
      <c r="G1906" s="8"/>
      <c r="H1906" s="8"/>
      <c r="I1906" s="14">
        <v>2</v>
      </c>
      <c r="J1906" s="14">
        <v>0</v>
      </c>
      <c r="K1906" s="8"/>
      <c r="L1906" s="15">
        <v>47</v>
      </c>
      <c r="M1906" s="15">
        <v>7</v>
      </c>
      <c r="N1906" s="15">
        <v>2</v>
      </c>
      <c r="O1906" s="9"/>
      <c r="P1906" s="10">
        <v>44039.504699074074</v>
      </c>
      <c r="Q1906" s="8"/>
      <c r="R1906" s="14" t="s">
        <v>531</v>
      </c>
      <c r="S1906" s="8"/>
      <c r="T1906" s="8"/>
      <c r="U1906" s="11" t="str">
        <f>HYPERLINK("https://pbs.twimg.com/profile_images/1315240281206382592/-i10o6Yg.jpg","View")</f>
        <v>View</v>
      </c>
      <c r="V1906" s="8"/>
      <c r="W1906" s="8"/>
      <c r="X1906" s="8"/>
      <c r="Y1906" s="8"/>
      <c r="Z1906" s="8"/>
    </row>
    <row r="1907" spans="1:26" ht="13.2">
      <c r="A1907" s="13">
        <v>44250.24009259259</v>
      </c>
      <c r="B1907" s="6" t="str">
        <f>HYPERLINK("https://twitter.com/HRFahmedabad","@HRFahmedabad")</f>
        <v>@HRFahmedabad</v>
      </c>
      <c r="C1907" s="14" t="s">
        <v>7711</v>
      </c>
      <c r="D1907" s="14" t="s">
        <v>7712</v>
      </c>
      <c r="E1907" s="6" t="str">
        <f>HYPERLINK("https://twitter.com/HRFahmedabad/status/1364073936518975488","1364073936518975488")</f>
        <v>1364073936518975488</v>
      </c>
      <c r="F1907" s="8"/>
      <c r="G1907" s="7" t="s">
        <v>7713</v>
      </c>
      <c r="H1907" s="8"/>
      <c r="I1907" s="14">
        <v>18</v>
      </c>
      <c r="J1907" s="14">
        <v>11</v>
      </c>
      <c r="K1907" s="6" t="str">
        <f t="shared" ref="K1907:K1910" si="352">HYPERLINK("https://mobile.twitter.com","Twitter Web App")</f>
        <v>Twitter Web App</v>
      </c>
      <c r="L1907" s="15">
        <v>921</v>
      </c>
      <c r="M1907" s="15">
        <v>2498</v>
      </c>
      <c r="N1907" s="15">
        <v>4</v>
      </c>
      <c r="O1907" s="9"/>
      <c r="P1907" s="10">
        <v>43264.648587962962</v>
      </c>
      <c r="Q1907" s="14" t="s">
        <v>7714</v>
      </c>
      <c r="R1907" s="14" t="s">
        <v>7715</v>
      </c>
      <c r="S1907" s="8"/>
      <c r="T1907" s="8"/>
      <c r="U1907" s="11" t="str">
        <f>HYPERLINK("https://pbs.twimg.com/profile_images/1245711488213450754/yTYcLX9q.jpg","View")</f>
        <v>View</v>
      </c>
      <c r="V1907" s="8"/>
      <c r="W1907" s="8"/>
      <c r="X1907" s="8"/>
      <c r="Y1907" s="8"/>
      <c r="Z1907" s="8"/>
    </row>
    <row r="1908" spans="1:26" ht="13.2">
      <c r="A1908" s="13">
        <v>44250.239363425921</v>
      </c>
      <c r="B1908" s="6" t="str">
        <f>HYPERLINK("https://twitter.com/CardanoAE","@CardanoAE")</f>
        <v>@CardanoAE</v>
      </c>
      <c r="C1908" s="14" t="s">
        <v>7716</v>
      </c>
      <c r="D1908" s="14" t="s">
        <v>7717</v>
      </c>
      <c r="E1908" s="6" t="str">
        <f>HYPERLINK("https://twitter.com/CardanoAE/status/1364073671053119490","1364073671053119490")</f>
        <v>1364073671053119490</v>
      </c>
      <c r="F1908" s="14" t="s">
        <v>7718</v>
      </c>
      <c r="G1908" s="14" t="s">
        <v>7719</v>
      </c>
      <c r="H1908" s="8"/>
      <c r="I1908" s="14">
        <v>0</v>
      </c>
      <c r="J1908" s="14">
        <v>0</v>
      </c>
      <c r="K1908" s="6" t="str">
        <f t="shared" si="352"/>
        <v>Twitter Web App</v>
      </c>
      <c r="L1908" s="15">
        <v>2970</v>
      </c>
      <c r="M1908" s="15">
        <v>2839</v>
      </c>
      <c r="N1908" s="15">
        <v>8</v>
      </c>
      <c r="O1908" s="9"/>
      <c r="P1908" s="10">
        <v>42650.980393518519</v>
      </c>
      <c r="Q1908" s="14" t="s">
        <v>7720</v>
      </c>
      <c r="R1908" s="14" t="s">
        <v>7721</v>
      </c>
      <c r="S1908" s="7" t="s">
        <v>7722</v>
      </c>
      <c r="T1908" s="8"/>
      <c r="U1908" s="11" t="str">
        <f>HYPERLINK("https://pbs.twimg.com/profile_images/784508288960389120/0GwxBnr1.jpg","View")</f>
        <v>View</v>
      </c>
      <c r="V1908" s="8"/>
      <c r="W1908" s="8"/>
      <c r="X1908" s="8"/>
      <c r="Y1908" s="8"/>
      <c r="Z1908" s="8"/>
    </row>
    <row r="1909" spans="1:26" ht="13.2">
      <c r="A1909" s="13">
        <v>44250.238587962958</v>
      </c>
      <c r="B1909" s="6" t="str">
        <f>HYPERLINK("https://twitter.com/Tech_Taff","@Tech_Taff")</f>
        <v>@Tech_Taff</v>
      </c>
      <c r="C1909" s="14" t="s">
        <v>7723</v>
      </c>
      <c r="D1909" s="14" t="s">
        <v>7724</v>
      </c>
      <c r="E1909" s="6" t="str">
        <f>HYPERLINK("https://twitter.com/Tech_Taff/status/1364073390009708548","1364073390009708548")</f>
        <v>1364073390009708548</v>
      </c>
      <c r="F1909" s="7" t="s">
        <v>7725</v>
      </c>
      <c r="G1909" s="7" t="s">
        <v>7726</v>
      </c>
      <c r="H1909" s="8"/>
      <c r="I1909" s="14">
        <v>3</v>
      </c>
      <c r="J1909" s="14">
        <v>4</v>
      </c>
      <c r="K1909" s="6" t="str">
        <f t="shared" si="352"/>
        <v>Twitter Web App</v>
      </c>
      <c r="L1909" s="15">
        <v>756</v>
      </c>
      <c r="M1909" s="15">
        <v>4975</v>
      </c>
      <c r="N1909" s="15">
        <v>5</v>
      </c>
      <c r="O1909" s="9"/>
      <c r="P1909" s="10">
        <v>43899.430231481485</v>
      </c>
      <c r="Q1909" s="14" t="s">
        <v>7727</v>
      </c>
      <c r="R1909" s="14" t="s">
        <v>7728</v>
      </c>
      <c r="S1909" s="7" t="s">
        <v>7729</v>
      </c>
      <c r="T1909" s="8"/>
      <c r="U1909" s="11" t="str">
        <f>HYPERLINK("https://pbs.twimg.com/profile_images/1240161992494608386/qqMe339H.jpg","View")</f>
        <v>View</v>
      </c>
      <c r="V1909" s="8"/>
      <c r="W1909" s="8"/>
      <c r="X1909" s="8"/>
      <c r="Y1909" s="8"/>
      <c r="Z1909" s="8"/>
    </row>
    <row r="1910" spans="1:26" ht="13.2">
      <c r="A1910" s="13">
        <v>44250.237534722226</v>
      </c>
      <c r="B1910" s="6" t="str">
        <f>HYPERLINK("https://twitter.com/ClassCat_AI_Lab","@ClassCat_AI_Lab")</f>
        <v>@ClassCat_AI_Lab</v>
      </c>
      <c r="C1910" s="14" t="s">
        <v>7730</v>
      </c>
      <c r="D1910" s="14" t="s">
        <v>7731</v>
      </c>
      <c r="E1910" s="6" t="str">
        <f>HYPERLINK("https://twitter.com/ClassCat_AI_Lab/status/1364073009728745476","1364073009728745476")</f>
        <v>1364073009728745476</v>
      </c>
      <c r="F1910" s="7" t="s">
        <v>7732</v>
      </c>
      <c r="G1910" s="8"/>
      <c r="H1910" s="8"/>
      <c r="I1910" s="14">
        <v>0</v>
      </c>
      <c r="J1910" s="14">
        <v>2</v>
      </c>
      <c r="K1910" s="6" t="str">
        <f t="shared" si="352"/>
        <v>Twitter Web App</v>
      </c>
      <c r="L1910" s="15">
        <v>161</v>
      </c>
      <c r="M1910" s="15">
        <v>69</v>
      </c>
      <c r="N1910" s="15">
        <v>7</v>
      </c>
      <c r="O1910" s="9"/>
      <c r="P1910" s="10">
        <v>42742.136597222227</v>
      </c>
      <c r="Q1910" s="14" t="s">
        <v>7733</v>
      </c>
      <c r="R1910" s="14" t="s">
        <v>7734</v>
      </c>
      <c r="S1910" s="7" t="s">
        <v>7735</v>
      </c>
      <c r="T1910" s="8"/>
      <c r="U1910" s="11" t="str">
        <f>HYPERLINK("https://pbs.twimg.com/profile_images/817556107417636864/TTYFgKIZ.jpg","View")</f>
        <v>View</v>
      </c>
      <c r="V1910" s="8"/>
      <c r="W1910" s="8"/>
      <c r="X1910" s="8"/>
      <c r="Y1910" s="8"/>
      <c r="Z1910" s="8"/>
    </row>
    <row r="1911" spans="1:26" ht="13.2">
      <c r="A1911" s="13">
        <v>44250.236944444448</v>
      </c>
      <c r="B1911" s="6" t="str">
        <f t="shared" ref="B1911:B1912" si="353">HYPERLINK("https://twitter.com/ISS_TEC","@ISS_TEC")</f>
        <v>@ISS_TEC</v>
      </c>
      <c r="C1911" s="14" t="s">
        <v>7736</v>
      </c>
      <c r="D1911" s="14" t="s">
        <v>7737</v>
      </c>
      <c r="E1911" s="6" t="str">
        <f>HYPERLINK("https://twitter.com/ISS_TEC/status/1364072794246369282","1364072794246369282")</f>
        <v>1364072794246369282</v>
      </c>
      <c r="F1911" s="7" t="s">
        <v>7738</v>
      </c>
      <c r="G1911" s="8"/>
      <c r="H1911" s="8"/>
      <c r="I1911" s="14">
        <v>3</v>
      </c>
      <c r="J1911" s="14">
        <v>1</v>
      </c>
      <c r="K1911" s="6" t="str">
        <f t="shared" ref="K1911:K1912" si="354">HYPERLINK("https://www.contentmx.com","ContentMX")</f>
        <v>ContentMX</v>
      </c>
      <c r="L1911" s="15">
        <v>49</v>
      </c>
      <c r="M1911" s="15">
        <v>31</v>
      </c>
      <c r="N1911" s="15">
        <v>3</v>
      </c>
      <c r="O1911" s="9"/>
      <c r="P1911" s="10">
        <v>42850.541944444441</v>
      </c>
      <c r="Q1911" s="14" t="s">
        <v>4166</v>
      </c>
      <c r="R1911" s="14" t="s">
        <v>7739</v>
      </c>
      <c r="S1911" s="7" t="s">
        <v>7740</v>
      </c>
      <c r="T1911" s="8"/>
      <c r="U1911" s="11" t="str">
        <f t="shared" ref="U1911:U1912" si="355">HYPERLINK("https://pbs.twimg.com/profile_images/924856990647455745/fNrHo160.jpg","View")</f>
        <v>View</v>
      </c>
      <c r="V1911" s="8"/>
      <c r="W1911" s="8"/>
      <c r="X1911" s="8"/>
      <c r="Y1911" s="8"/>
      <c r="Z1911" s="8"/>
    </row>
    <row r="1912" spans="1:26" ht="13.2">
      <c r="A1912" s="13">
        <v>44250.236932870372</v>
      </c>
      <c r="B1912" s="6" t="str">
        <f t="shared" si="353"/>
        <v>@ISS_TEC</v>
      </c>
      <c r="C1912" s="14" t="s">
        <v>7736</v>
      </c>
      <c r="D1912" s="14" t="s">
        <v>7741</v>
      </c>
      <c r="E1912" s="6" t="str">
        <f>HYPERLINK("https://twitter.com/ISS_TEC/status/1364072791280996355","1364072791280996355")</f>
        <v>1364072791280996355</v>
      </c>
      <c r="F1912" s="7" t="s">
        <v>7742</v>
      </c>
      <c r="G1912" s="8"/>
      <c r="H1912" s="8"/>
      <c r="I1912" s="14">
        <v>2</v>
      </c>
      <c r="J1912" s="14">
        <v>2</v>
      </c>
      <c r="K1912" s="6" t="str">
        <f t="shared" si="354"/>
        <v>ContentMX</v>
      </c>
      <c r="L1912" s="15">
        <v>49</v>
      </c>
      <c r="M1912" s="15">
        <v>31</v>
      </c>
      <c r="N1912" s="15">
        <v>3</v>
      </c>
      <c r="O1912" s="9"/>
      <c r="P1912" s="10">
        <v>42850.541944444441</v>
      </c>
      <c r="Q1912" s="14" t="s">
        <v>4166</v>
      </c>
      <c r="R1912" s="14" t="s">
        <v>7739</v>
      </c>
      <c r="S1912" s="7" t="s">
        <v>7740</v>
      </c>
      <c r="T1912" s="8"/>
      <c r="U1912" s="11" t="str">
        <f t="shared" si="355"/>
        <v>View</v>
      </c>
      <c r="V1912" s="8"/>
      <c r="W1912" s="8"/>
      <c r="X1912" s="8"/>
      <c r="Y1912" s="8"/>
      <c r="Z1912" s="8"/>
    </row>
    <row r="1913" spans="1:26" ht="13.2">
      <c r="A1913" s="13">
        <v>44250.236111111109</v>
      </c>
      <c r="B1913" s="6" t="str">
        <f>HYPERLINK("https://twitter.com/WevolverApp","@WevolverApp")</f>
        <v>@WevolverApp</v>
      </c>
      <c r="C1913" s="14" t="s">
        <v>7743</v>
      </c>
      <c r="D1913" s="14" t="s">
        <v>7744</v>
      </c>
      <c r="E1913" s="6" t="str">
        <f>HYPERLINK("https://twitter.com/WevolverApp/status/1364072494739693573","1364072494739693573")</f>
        <v>1364072494739693573</v>
      </c>
      <c r="F1913" s="7" t="s">
        <v>7745</v>
      </c>
      <c r="G1913" s="8"/>
      <c r="H1913" s="8"/>
      <c r="I1913" s="14">
        <v>4</v>
      </c>
      <c r="J1913" s="14">
        <v>3</v>
      </c>
      <c r="K1913" s="6" t="str">
        <f>HYPERLINK("https://sproutsocial.com","Sprout Social")</f>
        <v>Sprout Social</v>
      </c>
      <c r="L1913" s="15">
        <v>16096</v>
      </c>
      <c r="M1913" s="15">
        <v>2689</v>
      </c>
      <c r="N1913" s="15">
        <v>697</v>
      </c>
      <c r="O1913" s="9"/>
      <c r="P1913" s="10">
        <v>40774.777037037034</v>
      </c>
      <c r="Q1913" s="14" t="s">
        <v>7746</v>
      </c>
      <c r="R1913" s="14" t="s">
        <v>7747</v>
      </c>
      <c r="S1913" s="7" t="s">
        <v>7748</v>
      </c>
      <c r="T1913" s="8"/>
      <c r="U1913" s="11" t="str">
        <f>HYPERLINK("https://pbs.twimg.com/profile_images/1146689717733343232/pcLjpGkp.jpg","View")</f>
        <v>View</v>
      </c>
      <c r="V1913" s="8"/>
      <c r="W1913" s="8"/>
      <c r="X1913" s="8"/>
      <c r="Y1913" s="8"/>
      <c r="Z1913" s="8"/>
    </row>
    <row r="1914" spans="1:26" ht="13.2">
      <c r="A1914" s="13">
        <v>44250.235324074078</v>
      </c>
      <c r="B1914" s="6" t="str">
        <f>HYPERLINK("https://twitter.com/DiverseInAI","@DiverseInAI")</f>
        <v>@DiverseInAI</v>
      </c>
      <c r="C1914" s="14" t="s">
        <v>7749</v>
      </c>
      <c r="D1914" s="14" t="s">
        <v>7750</v>
      </c>
      <c r="E1914" s="6" t="str">
        <f>HYPERLINK("https://twitter.com/DiverseInAI/status/1364072210961289226","1364072210961289226")</f>
        <v>1364072210961289226</v>
      </c>
      <c r="F1914" s="14" t="s">
        <v>7751</v>
      </c>
      <c r="G1914" s="7" t="s">
        <v>7752</v>
      </c>
      <c r="H1914" s="8"/>
      <c r="I1914" s="14">
        <v>4</v>
      </c>
      <c r="J1914" s="14">
        <v>3</v>
      </c>
      <c r="K1914" s="6" t="str">
        <f>HYPERLINK("https://mobile.twitter.com","Twitter Web App")</f>
        <v>Twitter Web App</v>
      </c>
      <c r="L1914" s="15">
        <v>2484</v>
      </c>
      <c r="M1914" s="15">
        <v>194</v>
      </c>
      <c r="N1914" s="15">
        <v>49</v>
      </c>
      <c r="O1914" s="9"/>
      <c r="P1914" s="10">
        <v>43808.037511574075</v>
      </c>
      <c r="Q1914" s="14" t="s">
        <v>215</v>
      </c>
      <c r="R1914" s="14" t="s">
        <v>7753</v>
      </c>
      <c r="S1914" s="7" t="s">
        <v>7754</v>
      </c>
      <c r="T1914" s="8"/>
      <c r="U1914" s="11" t="str">
        <f>HYPERLINK("https://pbs.twimg.com/profile_images/1208647405756993536/k9uP9H3f.jpg","View")</f>
        <v>View</v>
      </c>
      <c r="V1914" s="8"/>
      <c r="W1914" s="8"/>
      <c r="X1914" s="8"/>
      <c r="Y1914" s="8"/>
      <c r="Z1914" s="8"/>
    </row>
    <row r="1915" spans="1:26" ht="13.2">
      <c r="A1915" s="13">
        <v>44250.235312500001</v>
      </c>
      <c r="B1915" s="6" t="str">
        <f>HYPERLINK("https://twitter.com/saqibali_ca","@saqibali_ca")</f>
        <v>@saqibali_ca</v>
      </c>
      <c r="C1915" s="14" t="s">
        <v>965</v>
      </c>
      <c r="D1915" s="14" t="s">
        <v>7755</v>
      </c>
      <c r="E1915" s="6" t="str">
        <f>HYPERLINK("https://twitter.com/saqibali_ca/status/1364072202677538818","1364072202677538818")</f>
        <v>1364072202677538818</v>
      </c>
      <c r="F1915" s="7" t="s">
        <v>7756</v>
      </c>
      <c r="G1915" s="8"/>
      <c r="H1915" s="8"/>
      <c r="I1915" s="14">
        <v>2</v>
      </c>
      <c r="J1915" s="14">
        <v>3</v>
      </c>
      <c r="K1915" s="8"/>
      <c r="L1915" s="15">
        <v>270</v>
      </c>
      <c r="M1915" s="15">
        <v>0</v>
      </c>
      <c r="N1915" s="15">
        <v>3</v>
      </c>
      <c r="O1915" s="9"/>
      <c r="P1915" s="10">
        <v>43119.848680555559</v>
      </c>
      <c r="Q1915" s="14" t="s">
        <v>968</v>
      </c>
      <c r="R1915" s="14" t="s">
        <v>969</v>
      </c>
      <c r="S1915" s="7" t="s">
        <v>970</v>
      </c>
      <c r="T1915" s="8"/>
      <c r="U1915" s="11" t="str">
        <f>HYPERLINK("https://pbs.twimg.com/profile_images/1142963749285855233/c6NRGCvi.jpg","View")</f>
        <v>View</v>
      </c>
      <c r="V1915" s="8"/>
      <c r="W1915" s="8"/>
      <c r="X1915" s="8"/>
      <c r="Y1915" s="8"/>
      <c r="Z1915" s="8"/>
    </row>
    <row r="1916" spans="1:26" ht="13.2">
      <c r="A1916" s="13">
        <v>44250.2346412037</v>
      </c>
      <c r="B1916" s="6" t="str">
        <f>HYPERLINK("https://twitter.com/MistralSoln","@MistralSoln")</f>
        <v>@MistralSoln</v>
      </c>
      <c r="C1916" s="14" t="s">
        <v>7757</v>
      </c>
      <c r="D1916" s="14" t="s">
        <v>7758</v>
      </c>
      <c r="E1916" s="6" t="str">
        <f>HYPERLINK("https://twitter.com/MistralSoln/status/1364071960548810754","1364071960548810754")</f>
        <v>1364071960548810754</v>
      </c>
      <c r="F1916" s="7" t="s">
        <v>7759</v>
      </c>
      <c r="G1916" s="8"/>
      <c r="H1916" s="8"/>
      <c r="I1916" s="14">
        <v>6</v>
      </c>
      <c r="J1916" s="14">
        <v>5</v>
      </c>
      <c r="K1916" s="6" t="str">
        <f t="shared" ref="K1916:K1918" si="356">HYPERLINK("https://mobile.twitter.com","Twitter Web App")</f>
        <v>Twitter Web App</v>
      </c>
      <c r="L1916" s="15">
        <v>2039</v>
      </c>
      <c r="M1916" s="15">
        <v>848</v>
      </c>
      <c r="N1916" s="15">
        <v>23</v>
      </c>
      <c r="O1916" s="9"/>
      <c r="P1916" s="10">
        <v>40228.495763888888</v>
      </c>
      <c r="Q1916" s="14" t="s">
        <v>7760</v>
      </c>
      <c r="R1916" s="14" t="s">
        <v>7761</v>
      </c>
      <c r="S1916" s="7" t="s">
        <v>7762</v>
      </c>
      <c r="T1916" s="8"/>
      <c r="U1916" s="11" t="str">
        <f>HYPERLINK("https://pbs.twimg.com/profile_images/986622520919863297/U9OE9vZ5.jpg","View")</f>
        <v>View</v>
      </c>
      <c r="V1916" s="8"/>
      <c r="W1916" s="8"/>
      <c r="X1916" s="8"/>
      <c r="Y1916" s="8"/>
      <c r="Z1916" s="8"/>
    </row>
    <row r="1917" spans="1:26" ht="13.2">
      <c r="A1917" s="13">
        <v>44250.234432870369</v>
      </c>
      <c r="B1917" s="6" t="str">
        <f>HYPERLINK("https://twitter.com/meisshaily","@meisshaily")</f>
        <v>@meisshaily</v>
      </c>
      <c r="C1917" s="14" t="s">
        <v>5764</v>
      </c>
      <c r="D1917" s="14" t="s">
        <v>7763</v>
      </c>
      <c r="E1917" s="6" t="str">
        <f>HYPERLINK("https://twitter.com/meisshaily/status/1364071885718216712","1364071885718216712")</f>
        <v>1364071885718216712</v>
      </c>
      <c r="F1917" s="7" t="s">
        <v>7764</v>
      </c>
      <c r="G1917" s="8"/>
      <c r="H1917" s="8"/>
      <c r="I1917" s="14">
        <v>2</v>
      </c>
      <c r="J1917" s="14">
        <v>5</v>
      </c>
      <c r="K1917" s="6" t="str">
        <f t="shared" si="356"/>
        <v>Twitter Web App</v>
      </c>
      <c r="L1917" s="15">
        <v>51270</v>
      </c>
      <c r="M1917" s="15">
        <v>38485</v>
      </c>
      <c r="N1917" s="15">
        <v>881</v>
      </c>
      <c r="O1917" s="9"/>
      <c r="P1917" s="10">
        <v>42315.205775462964</v>
      </c>
      <c r="Q1917" s="14" t="s">
        <v>5767</v>
      </c>
      <c r="R1917" s="14" t="s">
        <v>5768</v>
      </c>
      <c r="S1917" s="7" t="s">
        <v>5769</v>
      </c>
      <c r="T1917" s="8"/>
      <c r="U1917" s="11" t="str">
        <f>HYPERLINK("https://pbs.twimg.com/profile_images/1036229921075425280/09bXnSZJ.jpg","View")</f>
        <v>View</v>
      </c>
      <c r="V1917" s="8"/>
      <c r="W1917" s="8"/>
      <c r="X1917" s="8"/>
      <c r="Y1917" s="8"/>
      <c r="Z1917" s="8"/>
    </row>
    <row r="1918" spans="1:26" ht="13.2">
      <c r="A1918" s="13">
        <v>44250.23337962963</v>
      </c>
      <c r="B1918" s="6" t="str">
        <f>HYPERLINK("https://twitter.com/Social_Molly","@Social_Molly")</f>
        <v>@Social_Molly</v>
      </c>
      <c r="C1918" s="14" t="s">
        <v>3631</v>
      </c>
      <c r="D1918" s="14" t="s">
        <v>7765</v>
      </c>
      <c r="E1918" s="6" t="str">
        <f>HYPERLINK("https://twitter.com/Social_Molly/status/1364071504317587456","1364071504317587456")</f>
        <v>1364071504317587456</v>
      </c>
      <c r="F1918" s="7" t="s">
        <v>7766</v>
      </c>
      <c r="G1918" s="7" t="s">
        <v>7767</v>
      </c>
      <c r="H1918" s="8"/>
      <c r="I1918" s="14">
        <v>6</v>
      </c>
      <c r="J1918" s="14">
        <v>2</v>
      </c>
      <c r="K1918" s="6" t="str">
        <f t="shared" si="356"/>
        <v>Twitter Web App</v>
      </c>
      <c r="L1918" s="15">
        <v>12130</v>
      </c>
      <c r="M1918" s="15">
        <v>6463</v>
      </c>
      <c r="N1918" s="15">
        <v>103</v>
      </c>
      <c r="O1918" s="9"/>
      <c r="P1918" s="10">
        <v>43174.238796296297</v>
      </c>
      <c r="Q1918" s="14" t="s">
        <v>3635</v>
      </c>
      <c r="R1918" s="14" t="s">
        <v>3636</v>
      </c>
      <c r="S1918" s="8"/>
      <c r="T1918" s="8"/>
      <c r="U1918" s="11" t="str">
        <f>HYPERLINK("https://pbs.twimg.com/profile_images/981743224749408256/OTsOfujW.jpg","View")</f>
        <v>View</v>
      </c>
      <c r="V1918" s="8"/>
      <c r="W1918" s="8"/>
      <c r="X1918" s="8"/>
      <c r="Y1918" s="8"/>
      <c r="Z1918" s="8"/>
    </row>
    <row r="1919" spans="1:26" ht="13.2">
      <c r="A1919" s="13">
        <v>44250.232858796298</v>
      </c>
      <c r="B1919" s="6" t="str">
        <f>HYPERLINK("https://twitter.com/enderton_justin","@enderton_justin")</f>
        <v>@enderton_justin</v>
      </c>
      <c r="C1919" s="14" t="s">
        <v>7768</v>
      </c>
      <c r="D1919" s="14" t="s">
        <v>1369</v>
      </c>
      <c r="E1919" s="6" t="str">
        <f>HYPERLINK("https://twitter.com/enderton_justin/status/1364071317071425536","1364071317071425536")</f>
        <v>1364071317071425536</v>
      </c>
      <c r="F1919" s="14" t="s">
        <v>7769</v>
      </c>
      <c r="G1919" s="8"/>
      <c r="H1919" s="8"/>
      <c r="I1919" s="14">
        <v>3</v>
      </c>
      <c r="J1919" s="14">
        <v>3</v>
      </c>
      <c r="K1919" s="6" t="str">
        <f>HYPERLINK("http://twinybots.com","TwinyBots")</f>
        <v>TwinyBots</v>
      </c>
      <c r="L1919" s="15">
        <v>2265</v>
      </c>
      <c r="M1919" s="15">
        <v>4347</v>
      </c>
      <c r="N1919" s="15">
        <v>11</v>
      </c>
      <c r="O1919" s="9"/>
      <c r="P1919" s="10">
        <v>42257.204351851848</v>
      </c>
      <c r="Q1919" s="14" t="s">
        <v>322</v>
      </c>
      <c r="R1919" s="14" t="s">
        <v>7770</v>
      </c>
      <c r="S1919" s="7" t="s">
        <v>7771</v>
      </c>
      <c r="T1919" s="8"/>
      <c r="U1919" s="11" t="str">
        <f>HYPERLINK("https://pbs.twimg.com/profile_images/820170359970246656/ReYplGDA.jpg","View")</f>
        <v>View</v>
      </c>
      <c r="V1919" s="8"/>
      <c r="W1919" s="8"/>
      <c r="X1919" s="8"/>
      <c r="Y1919" s="8"/>
      <c r="Z1919" s="8"/>
    </row>
    <row r="1920" spans="1:26" ht="13.2">
      <c r="A1920" s="13">
        <v>44250.232662037037</v>
      </c>
      <c r="B1920" s="6" t="str">
        <f>HYPERLINK("https://twitter.com/MedTectales","@MedTectales")</f>
        <v>@MedTectales</v>
      </c>
      <c r="C1920" s="14" t="s">
        <v>7772</v>
      </c>
      <c r="D1920" s="14" t="s">
        <v>7773</v>
      </c>
      <c r="E1920" s="6" t="str">
        <f>HYPERLINK("https://twitter.com/MedTectales/status/1364071243675279360","1364071243675279360")</f>
        <v>1364071243675279360</v>
      </c>
      <c r="F1920" s="7" t="s">
        <v>7774</v>
      </c>
      <c r="G1920" s="7" t="s">
        <v>7775</v>
      </c>
      <c r="H1920" s="8"/>
      <c r="I1920" s="14">
        <v>1</v>
      </c>
      <c r="J1920" s="14">
        <v>1</v>
      </c>
      <c r="K1920" s="6" t="str">
        <f>HYPERLINK("https://www.hootsuite.com","Hootsuite Inc.")</f>
        <v>Hootsuite Inc.</v>
      </c>
      <c r="L1920" s="15">
        <v>978</v>
      </c>
      <c r="M1920" s="15">
        <v>393</v>
      </c>
      <c r="N1920" s="15">
        <v>14</v>
      </c>
      <c r="O1920" s="9"/>
      <c r="P1920" s="10">
        <v>43055.721875000003</v>
      </c>
      <c r="Q1920" s="8"/>
      <c r="R1920" s="14" t="s">
        <v>7776</v>
      </c>
      <c r="S1920" s="7" t="s">
        <v>7777</v>
      </c>
      <c r="T1920" s="8"/>
      <c r="U1920" s="11" t="str">
        <f>HYPERLINK("https://pbs.twimg.com/profile_images/1223196176998109184/YnwNj7tZ.png","View")</f>
        <v>View</v>
      </c>
      <c r="V1920" s="8"/>
      <c r="W1920" s="8"/>
      <c r="X1920" s="8"/>
      <c r="Y1920" s="8"/>
      <c r="Z1920" s="8"/>
    </row>
    <row r="1921" spans="1:26" ht="13.2">
      <c r="A1921" s="13">
        <v>44250.232511574075</v>
      </c>
      <c r="B1921" s="6" t="str">
        <f>HYPERLINK("https://twitter.com/adnan_hashmi","@adnan_hashmi")</f>
        <v>@adnan_hashmi</v>
      </c>
      <c r="C1921" s="14" t="s">
        <v>6991</v>
      </c>
      <c r="D1921" s="14" t="s">
        <v>7778</v>
      </c>
      <c r="E1921" s="6" t="str">
        <f>HYPERLINK("https://twitter.com/adnan_hashmi/status/1364071190864818176","1364071190864818176")</f>
        <v>1364071190864818176</v>
      </c>
      <c r="F1921" s="7" t="s">
        <v>7779</v>
      </c>
      <c r="G1921" s="8"/>
      <c r="H1921" s="8"/>
      <c r="I1921" s="14">
        <v>3</v>
      </c>
      <c r="J1921" s="14">
        <v>1</v>
      </c>
      <c r="K1921" s="6" t="str">
        <f t="shared" ref="K1921:K1923" si="357">HYPERLINK("https://mobile.twitter.com","Twitter Web App")</f>
        <v>Twitter Web App</v>
      </c>
      <c r="L1921" s="15">
        <v>2330</v>
      </c>
      <c r="M1921" s="15">
        <v>4579</v>
      </c>
      <c r="N1921" s="15">
        <v>551</v>
      </c>
      <c r="O1921" s="9"/>
      <c r="P1921" s="10">
        <v>39834.348483796297</v>
      </c>
      <c r="Q1921" s="14" t="s">
        <v>2853</v>
      </c>
      <c r="R1921" s="14" t="s">
        <v>6995</v>
      </c>
      <c r="S1921" s="7" t="s">
        <v>6996</v>
      </c>
      <c r="T1921" s="8"/>
      <c r="U1921" s="11" t="str">
        <f>HYPERLINK("https://pbs.twimg.com/profile_images/965682432367300611/j4syUFC2.jpg","View")</f>
        <v>View</v>
      </c>
      <c r="V1921" s="8"/>
      <c r="W1921" s="8"/>
      <c r="X1921" s="8"/>
      <c r="Y1921" s="8"/>
      <c r="Z1921" s="8"/>
    </row>
    <row r="1922" spans="1:26" ht="13.2">
      <c r="A1922" s="13">
        <v>44250.232349537036</v>
      </c>
      <c r="B1922" s="6" t="str">
        <f>HYPERLINK("https://twitter.com/AnnetteSophonie","@AnnetteSophonie")</f>
        <v>@AnnetteSophonie</v>
      </c>
      <c r="C1922" s="14" t="s">
        <v>2177</v>
      </c>
      <c r="D1922" s="14" t="s">
        <v>7780</v>
      </c>
      <c r="E1922" s="6" t="str">
        <f>HYPERLINK("https://twitter.com/AnnetteSophonie/status/1364071129569132550","1364071129569132550")</f>
        <v>1364071129569132550</v>
      </c>
      <c r="F1922" s="7" t="s">
        <v>7781</v>
      </c>
      <c r="G1922" s="7" t="s">
        <v>7782</v>
      </c>
      <c r="H1922" s="8"/>
      <c r="I1922" s="14">
        <v>1</v>
      </c>
      <c r="J1922" s="14">
        <v>2</v>
      </c>
      <c r="K1922" s="6" t="str">
        <f t="shared" si="357"/>
        <v>Twitter Web App</v>
      </c>
      <c r="L1922" s="15">
        <v>1254</v>
      </c>
      <c r="M1922" s="15">
        <v>1237</v>
      </c>
      <c r="N1922" s="15">
        <v>11</v>
      </c>
      <c r="O1922" s="9"/>
      <c r="P1922" s="10">
        <v>43514.004745370374</v>
      </c>
      <c r="Q1922" s="14" t="s">
        <v>2181</v>
      </c>
      <c r="R1922" s="14" t="s">
        <v>2182</v>
      </c>
      <c r="S1922" s="8"/>
      <c r="T1922" s="8"/>
      <c r="U1922" s="11" t="str">
        <f>HYPERLINK("https://pbs.twimg.com/profile_images/1097274157040128000/kbJdFYDd.jpg","View")</f>
        <v>View</v>
      </c>
      <c r="V1922" s="8"/>
      <c r="W1922" s="8"/>
      <c r="X1922" s="8"/>
      <c r="Y1922" s="8"/>
      <c r="Z1922" s="8"/>
    </row>
    <row r="1923" spans="1:26" ht="13.2">
      <c r="A1923" s="13">
        <v>44250.231030092589</v>
      </c>
      <c r="B1923" s="6" t="str">
        <f>HYPERLINK("https://twitter.com/adnan_hashmi","@adnan_hashmi")</f>
        <v>@adnan_hashmi</v>
      </c>
      <c r="C1923" s="14" t="s">
        <v>6991</v>
      </c>
      <c r="D1923" s="14" t="s">
        <v>7783</v>
      </c>
      <c r="E1923" s="6" t="str">
        <f>HYPERLINK("https://twitter.com/adnan_hashmi/status/1364070652706238464","1364070652706238464")</f>
        <v>1364070652706238464</v>
      </c>
      <c r="F1923" s="7" t="s">
        <v>7784</v>
      </c>
      <c r="G1923" s="7" t="s">
        <v>7785</v>
      </c>
      <c r="H1923" s="8"/>
      <c r="I1923" s="14">
        <v>0</v>
      </c>
      <c r="J1923" s="14">
        <v>1</v>
      </c>
      <c r="K1923" s="6" t="str">
        <f t="shared" si="357"/>
        <v>Twitter Web App</v>
      </c>
      <c r="L1923" s="15">
        <v>2330</v>
      </c>
      <c r="M1923" s="15">
        <v>4579</v>
      </c>
      <c r="N1923" s="15">
        <v>551</v>
      </c>
      <c r="O1923" s="9"/>
      <c r="P1923" s="10">
        <v>39834.348483796297</v>
      </c>
      <c r="Q1923" s="14" t="s">
        <v>2853</v>
      </c>
      <c r="R1923" s="14" t="s">
        <v>6995</v>
      </c>
      <c r="S1923" s="7" t="s">
        <v>6996</v>
      </c>
      <c r="T1923" s="8"/>
      <c r="U1923" s="11" t="str">
        <f>HYPERLINK("https://pbs.twimg.com/profile_images/965682432367300611/j4syUFC2.jpg","View")</f>
        <v>View</v>
      </c>
      <c r="V1923" s="8"/>
      <c r="W1923" s="8"/>
      <c r="X1923" s="8"/>
      <c r="Y1923" s="8"/>
      <c r="Z1923" s="8"/>
    </row>
    <row r="1924" spans="1:26" ht="13.2">
      <c r="A1924" s="13">
        <v>44250.230208333334</v>
      </c>
      <c r="B1924" s="6" t="str">
        <f>HYPERLINK("https://twitter.com/GannyMcGANFace","@GannyMcGANFace")</f>
        <v>@GannyMcGANFace</v>
      </c>
      <c r="C1924" s="14" t="s">
        <v>677</v>
      </c>
      <c r="D1924" s="14" t="s">
        <v>7786</v>
      </c>
      <c r="E1924" s="6" t="str">
        <f>HYPERLINK("https://twitter.com/GannyMcGANFace/status/1364070353010622467","1364070353010622467")</f>
        <v>1364070353010622467</v>
      </c>
      <c r="F1924" s="8"/>
      <c r="G1924" s="7" t="s">
        <v>7787</v>
      </c>
      <c r="H1924" s="8"/>
      <c r="I1924" s="14">
        <v>0</v>
      </c>
      <c r="J1924" s="14">
        <v>0</v>
      </c>
      <c r="K1924" s="6" t="str">
        <f>HYPERLINK("https://cheapbotsdonequick.com","Cheap Bots, Done Quick!")</f>
        <v>Cheap Bots, Done Quick!</v>
      </c>
      <c r="L1924" s="15">
        <v>109</v>
      </c>
      <c r="M1924" s="15">
        <v>241</v>
      </c>
      <c r="N1924" s="15">
        <v>1</v>
      </c>
      <c r="O1924" s="9"/>
      <c r="P1924" s="10">
        <v>42779.006909722222</v>
      </c>
      <c r="Q1924" s="8"/>
      <c r="R1924" s="14" t="s">
        <v>680</v>
      </c>
      <c r="S1924" s="8"/>
      <c r="T1924" s="8"/>
      <c r="U1924" s="11" t="str">
        <f>HYPERLINK("https://pbs.twimg.com/profile_images/1323328546505428994/-DcHTlvo.png","View")</f>
        <v>View</v>
      </c>
      <c r="V1924" s="8"/>
      <c r="W1924" s="8"/>
      <c r="X1924" s="8"/>
      <c r="Y1924" s="8"/>
      <c r="Z1924" s="8"/>
    </row>
    <row r="1925" spans="1:26" ht="13.2">
      <c r="A1925" s="13">
        <v>44250.229305555556</v>
      </c>
      <c r="B1925" s="6" t="str">
        <f>HYPERLINK("https://twitter.com/henry_education","@henry_education")</f>
        <v>@henry_education</v>
      </c>
      <c r="C1925" s="14" t="s">
        <v>5423</v>
      </c>
      <c r="D1925" s="14" t="s">
        <v>7788</v>
      </c>
      <c r="E1925" s="6" t="str">
        <f>HYPERLINK("https://twitter.com/henry_education/status/1364070029432672257","1364070029432672257")</f>
        <v>1364070029432672257</v>
      </c>
      <c r="F1925" s="8"/>
      <c r="G1925" s="7" t="s">
        <v>7789</v>
      </c>
      <c r="H1925" s="8"/>
      <c r="I1925" s="14">
        <v>4</v>
      </c>
      <c r="J1925" s="14">
        <v>0</v>
      </c>
      <c r="K1925" s="6" t="str">
        <f>HYPERLINK("https://buffer.com","Buffer")</f>
        <v>Buffer</v>
      </c>
      <c r="L1925" s="15">
        <v>25</v>
      </c>
      <c r="M1925" s="15">
        <v>3</v>
      </c>
      <c r="N1925" s="15">
        <v>0</v>
      </c>
      <c r="O1925" s="9"/>
      <c r="P1925" s="10">
        <v>43973.601597222223</v>
      </c>
      <c r="Q1925" s="14" t="s">
        <v>5426</v>
      </c>
      <c r="R1925" s="14" t="s">
        <v>5427</v>
      </c>
      <c r="S1925" s="7" t="s">
        <v>5428</v>
      </c>
      <c r="T1925" s="8"/>
      <c r="U1925" s="11" t="str">
        <f>HYPERLINK("https://pbs.twimg.com/profile_images/1264068748710801409/xjp42EEi.jpg","View")</f>
        <v>View</v>
      </c>
      <c r="V1925" s="8"/>
      <c r="W1925" s="8"/>
      <c r="X1925" s="8"/>
      <c r="Y1925" s="8"/>
      <c r="Z1925" s="8"/>
    </row>
    <row r="1926" spans="1:26" ht="13.2">
      <c r="A1926" s="13">
        <v>44250.229247685187</v>
      </c>
      <c r="B1926" s="6" t="str">
        <f>HYPERLINK("https://twitter.com/rbukralia","@rbukralia")</f>
        <v>@rbukralia</v>
      </c>
      <c r="C1926" s="14" t="s">
        <v>7661</v>
      </c>
      <c r="D1926" s="14" t="s">
        <v>7790</v>
      </c>
      <c r="E1926" s="6" t="str">
        <f>HYPERLINK("https://twitter.com/rbukralia/status/1364070008041725955","1364070008041725955")</f>
        <v>1364070008041725955</v>
      </c>
      <c r="F1926" s="7" t="s">
        <v>7791</v>
      </c>
      <c r="G1926" s="8"/>
      <c r="H1926" s="8"/>
      <c r="I1926" s="14">
        <v>3</v>
      </c>
      <c r="J1926" s="14">
        <v>1</v>
      </c>
      <c r="K1926" s="6" t="str">
        <f>HYPERLINK("https://www.hootsuite.com","Hootsuite Inc.")</f>
        <v>Hootsuite Inc.</v>
      </c>
      <c r="L1926" s="15">
        <v>10204</v>
      </c>
      <c r="M1926" s="15">
        <v>4879</v>
      </c>
      <c r="N1926" s="15">
        <v>937</v>
      </c>
      <c r="O1926" s="9"/>
      <c r="P1926" s="10">
        <v>41567.934606481482</v>
      </c>
      <c r="Q1926" s="14" t="s">
        <v>322</v>
      </c>
      <c r="R1926" s="14" t="s">
        <v>7664</v>
      </c>
      <c r="S1926" s="8"/>
      <c r="T1926" s="8"/>
      <c r="U1926" s="11" t="str">
        <f>HYPERLINK("https://pbs.twimg.com/profile_images/930676116074975234/vjZpXfwA.jpg","View")</f>
        <v>View</v>
      </c>
      <c r="V1926" s="8"/>
      <c r="W1926" s="8"/>
      <c r="X1926" s="8"/>
      <c r="Y1926" s="8"/>
      <c r="Z1926" s="8"/>
    </row>
    <row r="1927" spans="1:26" ht="13.2">
      <c r="A1927" s="13">
        <v>44250.229224537034</v>
      </c>
      <c r="B1927" s="6" t="str">
        <f>HYPERLINK("https://twitter.com/ipfconline1","@ipfconline1")</f>
        <v>@ipfconline1</v>
      </c>
      <c r="C1927" s="14" t="s">
        <v>65</v>
      </c>
      <c r="D1927" s="14" t="s">
        <v>7792</v>
      </c>
      <c r="E1927" s="6" t="str">
        <f>HYPERLINK("https://twitter.com/ipfconline1/status/1364069996905852928","1364069996905852928")</f>
        <v>1364069996905852928</v>
      </c>
      <c r="F1927" s="7" t="s">
        <v>7793</v>
      </c>
      <c r="G1927" s="8"/>
      <c r="H1927" s="8"/>
      <c r="I1927" s="14">
        <v>7</v>
      </c>
      <c r="J1927" s="14">
        <v>6</v>
      </c>
      <c r="K1927" s="6" t="str">
        <f>HYPERLINK("https://twittimer.com","Twittimer")</f>
        <v>Twittimer</v>
      </c>
      <c r="L1927" s="15">
        <v>112675</v>
      </c>
      <c r="M1927" s="15">
        <v>107162</v>
      </c>
      <c r="N1927" s="15">
        <v>7806</v>
      </c>
      <c r="O1927" s="9"/>
      <c r="P1927" s="10">
        <v>42433.031967592593</v>
      </c>
      <c r="Q1927" s="14" t="s">
        <v>69</v>
      </c>
      <c r="R1927" s="14" t="s">
        <v>70</v>
      </c>
      <c r="S1927" s="7" t="s">
        <v>71</v>
      </c>
      <c r="T1927" s="8"/>
      <c r="U1927" s="11" t="str">
        <f>HYPERLINK("https://pbs.twimg.com/profile_images/729065804004769793/St2_Pum9.jpg","View")</f>
        <v>View</v>
      </c>
      <c r="V1927" s="8"/>
      <c r="W1927" s="8"/>
      <c r="X1927" s="8"/>
      <c r="Y1927" s="8"/>
      <c r="Z1927" s="8"/>
    </row>
    <row r="1928" spans="1:26" ht="13.2">
      <c r="A1928" s="13">
        <v>44250.229166666672</v>
      </c>
      <c r="B1928" s="6" t="str">
        <f>HYPERLINK("https://twitter.com/VisiveAI","@VisiveAI")</f>
        <v>@VisiveAI</v>
      </c>
      <c r="C1928" s="14" t="s">
        <v>1586</v>
      </c>
      <c r="D1928" s="14" t="s">
        <v>7794</v>
      </c>
      <c r="E1928" s="6" t="str">
        <f>HYPERLINK("https://twitter.com/VisiveAI/status/1364069976492097537","1364069976492097537")</f>
        <v>1364069976492097537</v>
      </c>
      <c r="F1928" s="8"/>
      <c r="G1928" s="7" t="s">
        <v>7795</v>
      </c>
      <c r="H1928" s="8"/>
      <c r="I1928" s="14">
        <v>5</v>
      </c>
      <c r="J1928" s="14">
        <v>3</v>
      </c>
      <c r="K1928" s="6" t="str">
        <f>HYPERLINK("https://about.twitter.com/products/tweetdeck","TweetDeck")</f>
        <v>TweetDeck</v>
      </c>
      <c r="L1928" s="15">
        <v>1370</v>
      </c>
      <c r="M1928" s="15">
        <v>722</v>
      </c>
      <c r="N1928" s="15">
        <v>19</v>
      </c>
      <c r="O1928" s="9"/>
      <c r="P1928" s="10">
        <v>44020.318541666667</v>
      </c>
      <c r="Q1928" s="14" t="s">
        <v>914</v>
      </c>
      <c r="R1928" s="14" t="s">
        <v>1589</v>
      </c>
      <c r="S1928" s="7" t="s">
        <v>1590</v>
      </c>
      <c r="T1928" s="8"/>
      <c r="U1928" s="11" t="str">
        <f>HYPERLINK("https://pbs.twimg.com/profile_images/1280742386784546816/yppKuStA.jpg","View")</f>
        <v>View</v>
      </c>
      <c r="V1928" s="8"/>
      <c r="W1928" s="8"/>
      <c r="X1928" s="8"/>
      <c r="Y1928" s="8"/>
      <c r="Z1928" s="8"/>
    </row>
    <row r="1929" spans="1:26" ht="13.2">
      <c r="A1929" s="13">
        <v>44250.228541666671</v>
      </c>
      <c r="B1929" s="6" t="str">
        <f>HYPERLINK("https://twitter.com/sajidmirza","@sajidmirza")</f>
        <v>@sajidmirza</v>
      </c>
      <c r="C1929" s="14" t="s">
        <v>200</v>
      </c>
      <c r="D1929" s="14" t="s">
        <v>5542</v>
      </c>
      <c r="E1929" s="6" t="str">
        <f>HYPERLINK("https://twitter.com/sajidmirza/status/1364069752319188995","1364069752319188995")</f>
        <v>1364069752319188995</v>
      </c>
      <c r="F1929" s="14" t="s">
        <v>7402</v>
      </c>
      <c r="G1929" s="8"/>
      <c r="H1929" s="8"/>
      <c r="I1929" s="14">
        <v>3</v>
      </c>
      <c r="J1929" s="14">
        <v>0</v>
      </c>
      <c r="K1929" s="6" t="str">
        <f>HYPERLINK("http://twinybots.com","TwinyBots")</f>
        <v>TwinyBots</v>
      </c>
      <c r="L1929" s="15">
        <v>2160</v>
      </c>
      <c r="M1929" s="15">
        <v>1495</v>
      </c>
      <c r="N1929" s="15">
        <v>43</v>
      </c>
      <c r="O1929" s="9"/>
      <c r="P1929" s="10">
        <v>39986.264884259261</v>
      </c>
      <c r="Q1929" s="14" t="s">
        <v>203</v>
      </c>
      <c r="R1929" s="14" t="s">
        <v>204</v>
      </c>
      <c r="S1929" s="7" t="s">
        <v>205</v>
      </c>
      <c r="T1929" s="8"/>
      <c r="U1929" s="11" t="str">
        <f>HYPERLINK("https://pbs.twimg.com/profile_images/900709336309276672/M5XpdeQJ.jpg","View")</f>
        <v>View</v>
      </c>
      <c r="V1929" s="8"/>
      <c r="W1929" s="8"/>
      <c r="X1929" s="8"/>
      <c r="Y1929" s="8"/>
      <c r="Z1929" s="8"/>
    </row>
    <row r="1930" spans="1:26" ht="13.2">
      <c r="A1930" s="13">
        <v>44250.228252314817</v>
      </c>
      <c r="B1930" s="6" t="str">
        <f>HYPERLINK("https://twitter.com/nareshitech","@nareshitech")</f>
        <v>@nareshitech</v>
      </c>
      <c r="C1930" s="14" t="s">
        <v>7796</v>
      </c>
      <c r="D1930" s="14" t="s">
        <v>7797</v>
      </c>
      <c r="E1930" s="6" t="str">
        <f>HYPERLINK("https://twitter.com/nareshitech/status/1364069647608254466","1364069647608254466")</f>
        <v>1364069647608254466</v>
      </c>
      <c r="F1930" s="7" t="s">
        <v>7798</v>
      </c>
      <c r="G1930" s="8"/>
      <c r="H1930" s="8"/>
      <c r="I1930" s="14">
        <v>8</v>
      </c>
      <c r="J1930" s="14">
        <v>3</v>
      </c>
      <c r="K1930" s="6" t="str">
        <f>HYPERLINK("https://social.zoho.com","Zoho Social")</f>
        <v>Zoho Social</v>
      </c>
      <c r="L1930" s="15">
        <v>2844</v>
      </c>
      <c r="M1930" s="15">
        <v>33</v>
      </c>
      <c r="N1930" s="15">
        <v>39</v>
      </c>
      <c r="O1930" s="9"/>
      <c r="P1930" s="10">
        <v>41359.549421296295</v>
      </c>
      <c r="Q1930" s="14" t="s">
        <v>7799</v>
      </c>
      <c r="R1930" s="14" t="s">
        <v>7800</v>
      </c>
      <c r="S1930" s="7" t="s">
        <v>7801</v>
      </c>
      <c r="T1930" s="8"/>
      <c r="U1930" s="11" t="str">
        <f>HYPERLINK("https://pbs.twimg.com/profile_images/1131103786368299010/77WWG0xk.png","View")</f>
        <v>View</v>
      </c>
      <c r="V1930" s="8"/>
      <c r="W1930" s="8"/>
      <c r="X1930" s="8"/>
      <c r="Y1930" s="8"/>
      <c r="Z1930" s="8"/>
    </row>
    <row r="1931" spans="1:26" ht="13.2">
      <c r="A1931" s="13">
        <v>44250.227974537032</v>
      </c>
      <c r="B1931" s="6" t="str">
        <f>HYPERLINK("https://twitter.com/Ark_Infosoft","@Ark_Infosoft")</f>
        <v>@Ark_Infosoft</v>
      </c>
      <c r="C1931" s="14" t="s">
        <v>7802</v>
      </c>
      <c r="D1931" s="14" t="s">
        <v>7803</v>
      </c>
      <c r="E1931" s="6" t="str">
        <f>HYPERLINK("https://twitter.com/Ark_Infosoft/status/1364069544818397186","1364069544818397186")</f>
        <v>1364069544818397186</v>
      </c>
      <c r="F1931" s="8"/>
      <c r="G1931" s="7" t="s">
        <v>7804</v>
      </c>
      <c r="H1931" s="8"/>
      <c r="I1931" s="14">
        <v>13</v>
      </c>
      <c r="J1931" s="14">
        <v>6</v>
      </c>
      <c r="K1931" s="6" t="str">
        <f t="shared" ref="K1931:K1933" si="358">HYPERLINK("https://mobile.twitter.com","Twitter Web App")</f>
        <v>Twitter Web App</v>
      </c>
      <c r="L1931" s="15">
        <v>58</v>
      </c>
      <c r="M1931" s="15">
        <v>195</v>
      </c>
      <c r="N1931" s="15">
        <v>2</v>
      </c>
      <c r="O1931" s="9"/>
      <c r="P1931" s="10">
        <v>41836.513749999998</v>
      </c>
      <c r="Q1931" s="14" t="s">
        <v>7805</v>
      </c>
      <c r="R1931" s="14" t="s">
        <v>7806</v>
      </c>
      <c r="S1931" s="7" t="s">
        <v>7807</v>
      </c>
      <c r="T1931" s="8"/>
      <c r="U1931" s="11" t="str">
        <f>HYPERLINK("https://pbs.twimg.com/profile_images/1161595570852524032/048N8HMO.jpg","View")</f>
        <v>View</v>
      </c>
      <c r="V1931" s="8"/>
      <c r="W1931" s="8"/>
      <c r="X1931" s="8"/>
      <c r="Y1931" s="8"/>
      <c r="Z1931" s="8"/>
    </row>
    <row r="1932" spans="1:26" ht="13.2">
      <c r="A1932" s="13">
        <v>44250.226168981477</v>
      </c>
      <c r="B1932" s="6" t="str">
        <f>HYPERLINK("https://twitter.com/adnan_hashmi","@adnan_hashmi")</f>
        <v>@adnan_hashmi</v>
      </c>
      <c r="C1932" s="14" t="s">
        <v>6991</v>
      </c>
      <c r="D1932" s="14" t="s">
        <v>7808</v>
      </c>
      <c r="E1932" s="6" t="str">
        <f>HYPERLINK("https://twitter.com/adnan_hashmi/status/1364068891429924864","1364068891429924864")</f>
        <v>1364068891429924864</v>
      </c>
      <c r="F1932" s="7" t="s">
        <v>7809</v>
      </c>
      <c r="G1932" s="7" t="s">
        <v>7810</v>
      </c>
      <c r="H1932" s="8"/>
      <c r="I1932" s="14">
        <v>4</v>
      </c>
      <c r="J1932" s="14">
        <v>2</v>
      </c>
      <c r="K1932" s="6" t="str">
        <f t="shared" si="358"/>
        <v>Twitter Web App</v>
      </c>
      <c r="L1932" s="15">
        <v>2330</v>
      </c>
      <c r="M1932" s="15">
        <v>4579</v>
      </c>
      <c r="N1932" s="15">
        <v>551</v>
      </c>
      <c r="O1932" s="9"/>
      <c r="P1932" s="10">
        <v>39834.348483796297</v>
      </c>
      <c r="Q1932" s="14" t="s">
        <v>2853</v>
      </c>
      <c r="R1932" s="14" t="s">
        <v>6995</v>
      </c>
      <c r="S1932" s="7" t="s">
        <v>6996</v>
      </c>
      <c r="T1932" s="8"/>
      <c r="U1932" s="11" t="str">
        <f>HYPERLINK("https://pbs.twimg.com/profile_images/965682432367300611/j4syUFC2.jpg","View")</f>
        <v>View</v>
      </c>
      <c r="V1932" s="8"/>
      <c r="W1932" s="8"/>
      <c r="X1932" s="8"/>
      <c r="Y1932" s="8"/>
      <c r="Z1932" s="8"/>
    </row>
    <row r="1933" spans="1:26" ht="13.2">
      <c r="A1933" s="13">
        <v>44250.225543981476</v>
      </c>
      <c r="B1933" s="6" t="str">
        <f>HYPERLINK("https://twitter.com/kdmdelhincr","@kdmdelhincr")</f>
        <v>@kdmdelhincr</v>
      </c>
      <c r="C1933" s="14" t="s">
        <v>7811</v>
      </c>
      <c r="D1933" s="14" t="s">
        <v>7812</v>
      </c>
      <c r="E1933" s="6" t="str">
        <f>HYPERLINK("https://twitter.com/kdmdelhincr/status/1364068663771295745","1364068663771295745")</f>
        <v>1364068663771295745</v>
      </c>
      <c r="F1933" s="7" t="s">
        <v>7813</v>
      </c>
      <c r="G1933" s="7" t="s">
        <v>7814</v>
      </c>
      <c r="H1933" s="8"/>
      <c r="I1933" s="14">
        <v>4</v>
      </c>
      <c r="J1933" s="14">
        <v>2</v>
      </c>
      <c r="K1933" s="6" t="str">
        <f t="shared" si="358"/>
        <v>Twitter Web App</v>
      </c>
      <c r="L1933" s="15">
        <v>490</v>
      </c>
      <c r="M1933" s="15">
        <v>4</v>
      </c>
      <c r="N1933" s="15">
        <v>1</v>
      </c>
      <c r="O1933" s="9"/>
      <c r="P1933" s="10">
        <v>43630.410578703704</v>
      </c>
      <c r="Q1933" s="14" t="s">
        <v>7815</v>
      </c>
      <c r="R1933" s="14" t="s">
        <v>7816</v>
      </c>
      <c r="S1933" s="7" t="s">
        <v>7817</v>
      </c>
      <c r="T1933" s="8"/>
      <c r="U1933" s="11" t="str">
        <f>HYPERLINK("https://pbs.twimg.com/profile_images/1298466792495394817/DqlSXiO1.jpg","View")</f>
        <v>View</v>
      </c>
      <c r="V1933" s="8"/>
      <c r="W1933" s="8"/>
      <c r="X1933" s="8"/>
      <c r="Y1933" s="8"/>
      <c r="Z1933" s="8"/>
    </row>
    <row r="1934" spans="1:26" ht="13.2">
      <c r="A1934" s="13">
        <v>44250.225219907406</v>
      </c>
      <c r="B1934" s="6" t="str">
        <f>HYPERLINK("https://twitter.com/WriteX12","@WriteX12")</f>
        <v>@WriteX12</v>
      </c>
      <c r="C1934" s="14" t="s">
        <v>5480</v>
      </c>
      <c r="D1934" s="14" t="s">
        <v>7818</v>
      </c>
      <c r="E1934" s="6" t="str">
        <f>HYPERLINK("https://twitter.com/WriteX12/status/1364068548922933251","1364068548922933251")</f>
        <v>1364068548922933251</v>
      </c>
      <c r="F1934" s="7" t="s">
        <v>7819</v>
      </c>
      <c r="G1934" s="7" t="s">
        <v>7820</v>
      </c>
      <c r="H1934" s="8"/>
      <c r="I1934" s="14">
        <v>21</v>
      </c>
      <c r="J1934" s="14">
        <v>9</v>
      </c>
      <c r="K1934" s="6" t="str">
        <f>HYPERLINK("http://twitter.com/download/android","Twitter for Android")</f>
        <v>Twitter for Android</v>
      </c>
      <c r="L1934" s="15">
        <v>21</v>
      </c>
      <c r="M1934" s="15">
        <v>178</v>
      </c>
      <c r="N1934" s="15">
        <v>0</v>
      </c>
      <c r="O1934" s="9"/>
      <c r="P1934" s="10">
        <v>44118.455312499995</v>
      </c>
      <c r="Q1934" s="8"/>
      <c r="R1934" s="14" t="s">
        <v>5483</v>
      </c>
      <c r="S1934" s="7" t="s">
        <v>5484</v>
      </c>
      <c r="T1934" s="8"/>
      <c r="U1934" s="11" t="str">
        <f>HYPERLINK("https://pbs.twimg.com/profile_images/1316301767731109888/kmWlNQMs.jpg","View")</f>
        <v>View</v>
      </c>
      <c r="V1934" s="8"/>
      <c r="W1934" s="8"/>
      <c r="X1934" s="8"/>
      <c r="Y1934" s="8"/>
      <c r="Z1934" s="8"/>
    </row>
    <row r="1935" spans="1:26" ht="13.2">
      <c r="A1935" s="13">
        <v>44250.225185185191</v>
      </c>
      <c r="B1935" s="6" t="str">
        <f>HYPERLINK("https://twitter.com/Analyticsindiam","@Analyticsindiam")</f>
        <v>@Analyticsindiam</v>
      </c>
      <c r="C1935" s="14" t="s">
        <v>5870</v>
      </c>
      <c r="D1935" s="14" t="s">
        <v>7821</v>
      </c>
      <c r="E1935" s="6" t="str">
        <f>HYPERLINK("https://twitter.com/Analyticsindiam/status/1364068534800711681","1364068534800711681")</f>
        <v>1364068534800711681</v>
      </c>
      <c r="F1935" s="7" t="s">
        <v>7822</v>
      </c>
      <c r="G1935" s="7" t="s">
        <v>7823</v>
      </c>
      <c r="H1935" s="8"/>
      <c r="I1935" s="14">
        <v>0</v>
      </c>
      <c r="J1935" s="14">
        <v>0</v>
      </c>
      <c r="K1935" s="6" t="str">
        <f>HYPERLINK("https://mobile.twitter.com","Twitter Web App")</f>
        <v>Twitter Web App</v>
      </c>
      <c r="L1935" s="15">
        <v>12466</v>
      </c>
      <c r="M1935" s="15">
        <v>353</v>
      </c>
      <c r="N1935" s="15">
        <v>284</v>
      </c>
      <c r="O1935" s="9"/>
      <c r="P1935" s="10">
        <v>41209.688425925924</v>
      </c>
      <c r="Q1935" s="14" t="s">
        <v>1742</v>
      </c>
      <c r="R1935" s="14" t="s">
        <v>5873</v>
      </c>
      <c r="S1935" s="7" t="s">
        <v>5874</v>
      </c>
      <c r="T1935" s="8"/>
      <c r="U1935" s="11" t="str">
        <f>HYPERLINK("https://pbs.twimg.com/profile_images/1346368144391118848/X7OaLwQ5.jpg","View")</f>
        <v>View</v>
      </c>
      <c r="V1935" s="8"/>
      <c r="W1935" s="8"/>
      <c r="X1935" s="8"/>
      <c r="Y1935" s="8"/>
      <c r="Z1935" s="8"/>
    </row>
    <row r="1936" spans="1:26" ht="13.2">
      <c r="A1936" s="13">
        <v>44250.225115740745</v>
      </c>
      <c r="B1936" s="6" t="str">
        <f>HYPERLINK("https://twitter.com/SalomonOli","@SalomonOli")</f>
        <v>@SalomonOli</v>
      </c>
      <c r="C1936" s="14" t="s">
        <v>5731</v>
      </c>
      <c r="D1936" s="14" t="s">
        <v>5542</v>
      </c>
      <c r="E1936" s="6" t="str">
        <f>HYPERLINK("https://twitter.com/SalomonOli/status/1364068508280246272","1364068508280246272")</f>
        <v>1364068508280246272</v>
      </c>
      <c r="F1936" s="14" t="s">
        <v>7402</v>
      </c>
      <c r="G1936" s="8"/>
      <c r="H1936" s="8"/>
      <c r="I1936" s="14">
        <v>1</v>
      </c>
      <c r="J1936" s="14">
        <v>0</v>
      </c>
      <c r="K1936" s="6" t="str">
        <f t="shared" ref="K1936:K1937" si="359">HYPERLINK("http://twinybots.com","TwinyBots")</f>
        <v>TwinyBots</v>
      </c>
      <c r="L1936" s="15">
        <v>3207</v>
      </c>
      <c r="M1936" s="15">
        <v>2673</v>
      </c>
      <c r="N1936" s="15">
        <v>242</v>
      </c>
      <c r="O1936" s="9"/>
      <c r="P1936" s="10">
        <v>42449.350486111114</v>
      </c>
      <c r="Q1936" s="14" t="s">
        <v>5732</v>
      </c>
      <c r="R1936" s="14" t="s">
        <v>5733</v>
      </c>
      <c r="S1936" s="7" t="s">
        <v>5734</v>
      </c>
      <c r="T1936" s="8"/>
      <c r="U1936" s="11" t="str">
        <f>HYPERLINK("https://pbs.twimg.com/profile_images/1245323945924087808/p3xtOUw4.jpg","View")</f>
        <v>View</v>
      </c>
      <c r="V1936" s="8"/>
      <c r="W1936" s="8"/>
      <c r="X1936" s="8"/>
      <c r="Y1936" s="8"/>
      <c r="Z1936" s="8"/>
    </row>
    <row r="1937" spans="1:26" ht="13.2">
      <c r="A1937" s="13">
        <v>44250.225104166668</v>
      </c>
      <c r="B1937" s="6" t="str">
        <f>HYPERLINK("https://twitter.com/Necio_news","@Necio_news")</f>
        <v>@Necio_news</v>
      </c>
      <c r="C1937" s="14" t="s">
        <v>4073</v>
      </c>
      <c r="D1937" s="14" t="s">
        <v>5007</v>
      </c>
      <c r="E1937" s="6" t="str">
        <f>HYPERLINK("https://twitter.com/Necio_news/status/1364068507424538625","1364068507424538625")</f>
        <v>1364068507424538625</v>
      </c>
      <c r="F1937" s="7" t="s">
        <v>5008</v>
      </c>
      <c r="G1937" s="8"/>
      <c r="H1937" s="8"/>
      <c r="I1937" s="14">
        <v>0</v>
      </c>
      <c r="J1937" s="14">
        <v>0</v>
      </c>
      <c r="K1937" s="6" t="str">
        <f t="shared" si="359"/>
        <v>TwinyBots</v>
      </c>
      <c r="L1937" s="15">
        <v>10032</v>
      </c>
      <c r="M1937" s="15">
        <v>3391</v>
      </c>
      <c r="N1937" s="15">
        <v>1115</v>
      </c>
      <c r="O1937" s="9"/>
      <c r="P1937" s="10">
        <v>42430.515879629631</v>
      </c>
      <c r="Q1937" s="14" t="s">
        <v>4074</v>
      </c>
      <c r="R1937" s="14" t="s">
        <v>4075</v>
      </c>
      <c r="S1937" s="7" t="s">
        <v>4076</v>
      </c>
      <c r="T1937" s="8"/>
      <c r="U1937" s="11" t="str">
        <f>HYPERLINK("https://pbs.twimg.com/profile_images/756504133985767425/ulCoCLvF.jpg","View")</f>
        <v>View</v>
      </c>
      <c r="V1937" s="8"/>
      <c r="W1937" s="8"/>
      <c r="X1937" s="8"/>
      <c r="Y1937" s="8"/>
      <c r="Z1937" s="8"/>
    </row>
    <row r="1938" spans="1:26" ht="13.2">
      <c r="A1938" s="13">
        <v>44250.223634259259</v>
      </c>
      <c r="B1938" s="6" t="str">
        <f>HYPERLINK("https://twitter.com/xorlogics","@xorlogics")</f>
        <v>@xorlogics</v>
      </c>
      <c r="C1938" s="14" t="s">
        <v>7824</v>
      </c>
      <c r="D1938" s="14" t="s">
        <v>7825</v>
      </c>
      <c r="E1938" s="6" t="str">
        <f>HYPERLINK("https://twitter.com/xorlogics/status/1364067974278246401","1364067974278246401")</f>
        <v>1364067974278246401</v>
      </c>
      <c r="F1938" s="7" t="s">
        <v>7826</v>
      </c>
      <c r="G1938" s="7" t="s">
        <v>7827</v>
      </c>
      <c r="H1938" s="8"/>
      <c r="I1938" s="14">
        <v>0</v>
      </c>
      <c r="J1938" s="14">
        <v>5</v>
      </c>
      <c r="K1938" s="6" t="str">
        <f>HYPERLINK("https://buffer.com","Buffer")</f>
        <v>Buffer</v>
      </c>
      <c r="L1938" s="15">
        <v>4456</v>
      </c>
      <c r="M1938" s="15">
        <v>3725</v>
      </c>
      <c r="N1938" s="15">
        <v>670</v>
      </c>
      <c r="O1938" s="9"/>
      <c r="P1938" s="10">
        <v>40758.758703703701</v>
      </c>
      <c r="Q1938" s="14" t="s">
        <v>7828</v>
      </c>
      <c r="R1938" s="14" t="s">
        <v>7829</v>
      </c>
      <c r="S1938" s="7" t="s">
        <v>7830</v>
      </c>
      <c r="T1938" s="8"/>
      <c r="U1938" s="11" t="str">
        <f>HYPERLINK("https://pbs.twimg.com/profile_images/699882412247879681/g2iWi4bD.jpg","View")</f>
        <v>View</v>
      </c>
      <c r="V1938" s="8"/>
      <c r="W1938" s="8"/>
      <c r="X1938" s="8"/>
      <c r="Y1938" s="8"/>
      <c r="Z1938" s="8"/>
    </row>
    <row r="1939" spans="1:26" ht="13.2">
      <c r="A1939" s="13">
        <v>44250.223599537036</v>
      </c>
      <c r="B1939" s="6" t="str">
        <f>HYPERLINK("https://twitter.com/Vikezmedia","@Vikezmedia")</f>
        <v>@Vikezmedia</v>
      </c>
      <c r="C1939" s="14" t="s">
        <v>1625</v>
      </c>
      <c r="D1939" s="14" t="s">
        <v>7831</v>
      </c>
      <c r="E1939" s="6" t="str">
        <f>HYPERLINK("https://twitter.com/Vikezmedia/status/1364067958050287617","1364067958050287617")</f>
        <v>1364067958050287617</v>
      </c>
      <c r="F1939" s="8"/>
      <c r="G1939" s="7" t="s">
        <v>7832</v>
      </c>
      <c r="H1939" s="8"/>
      <c r="I1939" s="14">
        <v>8</v>
      </c>
      <c r="J1939" s="14">
        <v>10</v>
      </c>
      <c r="K1939" s="6" t="str">
        <f>HYPERLINK("http://twitter.com/download/iphone","Twitter for iPhone")</f>
        <v>Twitter for iPhone</v>
      </c>
      <c r="L1939" s="15">
        <v>5492</v>
      </c>
      <c r="M1939" s="15">
        <v>6041</v>
      </c>
      <c r="N1939" s="15">
        <v>1526</v>
      </c>
      <c r="O1939" s="9"/>
      <c r="P1939" s="10">
        <v>42258.697187500002</v>
      </c>
      <c r="Q1939" s="14" t="s">
        <v>1629</v>
      </c>
      <c r="R1939" s="14" t="s">
        <v>1630</v>
      </c>
      <c r="S1939" s="7" t="s">
        <v>1631</v>
      </c>
      <c r="T1939" s="8"/>
      <c r="U1939" s="11" t="str">
        <f>HYPERLINK("https://pbs.twimg.com/profile_images/642348669564416000/hqC3m0nb.png","View")</f>
        <v>View</v>
      </c>
      <c r="V1939" s="8"/>
      <c r="W1939" s="8"/>
      <c r="X1939" s="8"/>
      <c r="Y1939" s="8"/>
      <c r="Z1939" s="8"/>
    </row>
    <row r="1940" spans="1:26" ht="13.2">
      <c r="A1940" s="13">
        <v>44250.223368055551</v>
      </c>
      <c r="B1940" s="6" t="str">
        <f>HYPERLINK("https://twitter.com/pranjalsharma","@pranjalsharma")</f>
        <v>@pranjalsharma</v>
      </c>
      <c r="C1940" s="14" t="s">
        <v>7833</v>
      </c>
      <c r="D1940" s="14" t="s">
        <v>7834</v>
      </c>
      <c r="E1940" s="6" t="str">
        <f>HYPERLINK("https://twitter.com/pranjalsharma/status/1364067877121191940","1364067877121191940")</f>
        <v>1364067877121191940</v>
      </c>
      <c r="F1940" s="14" t="s">
        <v>7835</v>
      </c>
      <c r="G1940" s="8"/>
      <c r="H1940" s="8"/>
      <c r="I1940" s="14">
        <v>7</v>
      </c>
      <c r="J1940" s="14">
        <v>15</v>
      </c>
      <c r="K1940" s="6" t="str">
        <f t="shared" ref="K1940:K1941" si="360">HYPERLINK("http://twitter.com/download/android","Twitter for Android")</f>
        <v>Twitter for Android</v>
      </c>
      <c r="L1940" s="15">
        <v>4524</v>
      </c>
      <c r="M1940" s="15">
        <v>1529</v>
      </c>
      <c r="N1940" s="15">
        <v>156</v>
      </c>
      <c r="O1940" s="15" t="s">
        <v>130</v>
      </c>
      <c r="P1940" s="10">
        <v>39952.638402777782</v>
      </c>
      <c r="Q1940" s="14" t="s">
        <v>3787</v>
      </c>
      <c r="R1940" s="14" t="s">
        <v>7836</v>
      </c>
      <c r="S1940" s="7" t="s">
        <v>7837</v>
      </c>
      <c r="T1940" s="8"/>
      <c r="U1940" s="11" t="str">
        <f>HYPERLINK("https://pbs.twimg.com/profile_images/654323753929740288/ads34h7Y.jpg","View")</f>
        <v>View</v>
      </c>
      <c r="V1940" s="8"/>
      <c r="W1940" s="8"/>
      <c r="X1940" s="8"/>
      <c r="Y1940" s="8"/>
      <c r="Z1940" s="8"/>
    </row>
    <row r="1941" spans="1:26" ht="13.2">
      <c r="A1941" s="13">
        <v>44250.222858796296</v>
      </c>
      <c r="B1941" s="6" t="str">
        <f>HYPERLINK("https://twitter.com/KausarNajeeb1","@KausarNajeeb1")</f>
        <v>@KausarNajeeb1</v>
      </c>
      <c r="C1941" s="14" t="s">
        <v>7838</v>
      </c>
      <c r="D1941" s="14" t="s">
        <v>7839</v>
      </c>
      <c r="E1941" s="6" t="str">
        <f>HYPERLINK("https://twitter.com/KausarNajeeb1/status/1364067691279962114","1364067691279962114")</f>
        <v>1364067691279962114</v>
      </c>
      <c r="F1941" s="8"/>
      <c r="G1941" s="8"/>
      <c r="H1941" s="8"/>
      <c r="I1941" s="14">
        <v>3</v>
      </c>
      <c r="J1941" s="14">
        <v>2</v>
      </c>
      <c r="K1941" s="6" t="str">
        <f t="shared" si="360"/>
        <v>Twitter for Android</v>
      </c>
      <c r="L1941" s="15">
        <v>419</v>
      </c>
      <c r="M1941" s="15">
        <v>395</v>
      </c>
      <c r="N1941" s="15">
        <v>0</v>
      </c>
      <c r="O1941" s="9"/>
      <c r="P1941" s="10">
        <v>44215.476215277777</v>
      </c>
      <c r="Q1941" s="8"/>
      <c r="R1941" s="14" t="s">
        <v>7840</v>
      </c>
      <c r="S1941" s="8"/>
      <c r="T1941" s="8"/>
      <c r="U1941" s="11" t="str">
        <f>HYPERLINK("https://pbs.twimg.com/profile_images/1351480640210812931/zCM4-82r.jpg","View")</f>
        <v>View</v>
      </c>
      <c r="V1941" s="8"/>
      <c r="W1941" s="8"/>
      <c r="X1941" s="8"/>
      <c r="Y1941" s="8"/>
      <c r="Z1941" s="8"/>
    </row>
    <row r="1942" spans="1:26" ht="13.2">
      <c r="A1942" s="13">
        <v>44250.222210648149</v>
      </c>
      <c r="B1942" s="6" t="str">
        <f>HYPERLINK("https://twitter.com/AremDzemal","@AremDzemal")</f>
        <v>@AremDzemal</v>
      </c>
      <c r="C1942" s="14" t="s">
        <v>5770</v>
      </c>
      <c r="D1942" s="14" t="s">
        <v>7841</v>
      </c>
      <c r="E1942" s="6" t="str">
        <f>HYPERLINK("https://twitter.com/AremDzemal/status/1364067455841296384","1364067455841296384")</f>
        <v>1364067455841296384</v>
      </c>
      <c r="F1942" s="7" t="s">
        <v>7842</v>
      </c>
      <c r="G1942" s="7" t="s">
        <v>7843</v>
      </c>
      <c r="H1942" s="8"/>
      <c r="I1942" s="14">
        <v>2</v>
      </c>
      <c r="J1942" s="14">
        <v>0</v>
      </c>
      <c r="K1942" s="6" t="str">
        <f>HYPERLINK("https://mobile.twitter.com","Twitter Web App")</f>
        <v>Twitter Web App</v>
      </c>
      <c r="L1942" s="15">
        <v>1592</v>
      </c>
      <c r="M1942" s="15">
        <v>1775</v>
      </c>
      <c r="N1942" s="15">
        <v>16</v>
      </c>
      <c r="O1942" s="9"/>
      <c r="P1942" s="10">
        <v>43513.969027777777</v>
      </c>
      <c r="Q1942" s="14" t="s">
        <v>3596</v>
      </c>
      <c r="R1942" s="14" t="s">
        <v>5774</v>
      </c>
      <c r="S1942" s="8"/>
      <c r="T1942" s="8"/>
      <c r="U1942" s="11" t="str">
        <f>HYPERLINK("https://pbs.twimg.com/profile_images/1097261547213213701/8Pl01wLU.jpg","View")</f>
        <v>View</v>
      </c>
      <c r="V1942" s="8"/>
      <c r="W1942" s="8"/>
      <c r="X1942" s="8"/>
      <c r="Y1942" s="8"/>
      <c r="Z1942" s="8"/>
    </row>
    <row r="1943" spans="1:26" ht="13.2">
      <c r="A1943" s="13">
        <v>44250.221701388888</v>
      </c>
      <c r="B1943" s="6" t="str">
        <f>HYPERLINK("https://twitter.com/ds_vault","@ds_vault")</f>
        <v>@ds_vault</v>
      </c>
      <c r="C1943" s="14" t="s">
        <v>6603</v>
      </c>
      <c r="D1943" s="14" t="s">
        <v>7844</v>
      </c>
      <c r="E1943" s="6" t="str">
        <f>HYPERLINK("https://twitter.com/ds_vault/status/1364067272021708800","1364067272021708800")</f>
        <v>1364067272021708800</v>
      </c>
      <c r="F1943" s="7" t="s">
        <v>7845</v>
      </c>
      <c r="G1943" s="8"/>
      <c r="H1943" s="8"/>
      <c r="I1943" s="14">
        <v>2</v>
      </c>
      <c r="J1943" s="14">
        <v>0</v>
      </c>
      <c r="K1943" s="6" t="str">
        <f>HYPERLINK("https://datasciencevault.com/","Data Science Vault")</f>
        <v>Data Science Vault</v>
      </c>
      <c r="L1943" s="15">
        <v>266</v>
      </c>
      <c r="M1943" s="15">
        <v>2</v>
      </c>
      <c r="N1943" s="15">
        <v>5</v>
      </c>
      <c r="O1943" s="9"/>
      <c r="P1943" s="10">
        <v>43286.570069444446</v>
      </c>
      <c r="Q1943" s="8"/>
      <c r="R1943" s="14" t="s">
        <v>6605</v>
      </c>
      <c r="S1943" s="7" t="s">
        <v>6606</v>
      </c>
      <c r="T1943" s="8"/>
      <c r="U1943" s="11" t="str">
        <f>HYPERLINK("https://pbs.twimg.com/profile_images/1017392978338467842/sXrppUVY.jpg","View")</f>
        <v>View</v>
      </c>
      <c r="V1943" s="8"/>
      <c r="W1943" s="8"/>
      <c r="X1943" s="8"/>
      <c r="Y1943" s="8"/>
      <c r="Z1943" s="8"/>
    </row>
    <row r="1944" spans="1:26" ht="13.2">
      <c r="A1944" s="13">
        <v>44250.220023148147</v>
      </c>
      <c r="B1944" s="6" t="str">
        <f>HYPERLINK("https://twitter.com/SantosFefe4","@SantosFefe4")</f>
        <v>@SantosFefe4</v>
      </c>
      <c r="C1944" s="14" t="s">
        <v>7846</v>
      </c>
      <c r="D1944" s="14" t="s">
        <v>7847</v>
      </c>
      <c r="E1944" s="6" t="str">
        <f>HYPERLINK("https://twitter.com/SantosFefe4/status/1364066664208334848","1364066664208334848")</f>
        <v>1364066664208334848</v>
      </c>
      <c r="F1944" s="7" t="s">
        <v>7848</v>
      </c>
      <c r="G1944" s="8"/>
      <c r="H1944" s="8"/>
      <c r="I1944" s="14">
        <v>15</v>
      </c>
      <c r="J1944" s="14">
        <v>9</v>
      </c>
      <c r="K1944" s="6" t="str">
        <f>HYPERLINK("https://mobile.twitter.com","Twitter Web App")</f>
        <v>Twitter Web App</v>
      </c>
      <c r="L1944" s="15">
        <v>37</v>
      </c>
      <c r="M1944" s="15">
        <v>259</v>
      </c>
      <c r="N1944" s="15">
        <v>0</v>
      </c>
      <c r="O1944" s="9"/>
      <c r="P1944" s="10">
        <v>43448.797615740739</v>
      </c>
      <c r="Q1944" s="14" t="s">
        <v>7849</v>
      </c>
      <c r="R1944" s="14" t="s">
        <v>7850</v>
      </c>
      <c r="S1944" s="7" t="s">
        <v>7851</v>
      </c>
      <c r="T1944" s="8"/>
      <c r="U1944" s="11" t="str">
        <f>HYPERLINK("https://pbs.twimg.com/profile_images/1168234912366956544/MFY_lzbX.jpg","View")</f>
        <v>View</v>
      </c>
      <c r="V1944" s="8"/>
      <c r="W1944" s="8"/>
      <c r="X1944" s="8"/>
      <c r="Y1944" s="8"/>
      <c r="Z1944" s="8"/>
    </row>
    <row r="1945" spans="1:26" ht="13.2">
      <c r="A1945" s="13">
        <v>44250.219548611116</v>
      </c>
      <c r="B1945" s="6" t="str">
        <f>HYPERLINK("https://twitter.com/DecisionsSmart","@DecisionsSmart")</f>
        <v>@DecisionsSmart</v>
      </c>
      <c r="C1945" s="14" t="s">
        <v>212</v>
      </c>
      <c r="D1945" s="14" t="s">
        <v>2495</v>
      </c>
      <c r="E1945" s="6" t="str">
        <f>HYPERLINK("https://twitter.com/DecisionsSmart/status/1364066492980068352","1364066492980068352")</f>
        <v>1364066492980068352</v>
      </c>
      <c r="F1945" s="14" t="s">
        <v>2496</v>
      </c>
      <c r="G1945" s="8"/>
      <c r="H1945" s="8"/>
      <c r="I1945" s="14">
        <v>4</v>
      </c>
      <c r="J1945" s="14">
        <v>3</v>
      </c>
      <c r="K1945" s="6" t="str">
        <f>HYPERLINK("http://twinybots.com","TwinyBots")</f>
        <v>TwinyBots</v>
      </c>
      <c r="L1945" s="15">
        <v>6690</v>
      </c>
      <c r="M1945" s="15">
        <v>5126</v>
      </c>
      <c r="N1945" s="15">
        <v>88</v>
      </c>
      <c r="O1945" s="9"/>
      <c r="P1945" s="10">
        <v>43282.143495370372</v>
      </c>
      <c r="Q1945" s="14" t="s">
        <v>215</v>
      </c>
      <c r="R1945" s="14" t="s">
        <v>216</v>
      </c>
      <c r="S1945" s="8"/>
      <c r="T1945" s="8"/>
      <c r="U1945" s="11" t="str">
        <f>HYPERLINK("https://pbs.twimg.com/profile_images/1273753380373004289/crFq1msz.jpg","View")</f>
        <v>View</v>
      </c>
      <c r="V1945" s="8"/>
      <c r="W1945" s="8"/>
      <c r="X1945" s="8"/>
      <c r="Y1945" s="8"/>
      <c r="Z1945" s="8"/>
    </row>
    <row r="1946" spans="1:26" ht="13.2">
      <c r="A1946" s="13">
        <v>44250.219525462962</v>
      </c>
      <c r="B1946" s="6" t="str">
        <f>HYPERLINK("https://twitter.com/ActivistManjeet","@ActivistManjeet")</f>
        <v>@ActivistManjeet</v>
      </c>
      <c r="C1946" s="14" t="s">
        <v>7852</v>
      </c>
      <c r="D1946" s="14" t="s">
        <v>7853</v>
      </c>
      <c r="E1946" s="6" t="str">
        <f>HYPERLINK("https://twitter.com/ActivistManjeet/status/1364066481860870146","1364066481860870146")</f>
        <v>1364066481860870146</v>
      </c>
      <c r="F1946" s="7" t="s">
        <v>7854</v>
      </c>
      <c r="G1946" s="8"/>
      <c r="H1946" s="8"/>
      <c r="I1946" s="14">
        <v>0</v>
      </c>
      <c r="J1946" s="14">
        <v>1</v>
      </c>
      <c r="K1946" s="6" t="str">
        <f>HYPERLINK("https://mobile.twitter.com","Twitter Web App")</f>
        <v>Twitter Web App</v>
      </c>
      <c r="L1946" s="15">
        <v>19</v>
      </c>
      <c r="M1946" s="15">
        <v>13</v>
      </c>
      <c r="N1946" s="15">
        <v>0</v>
      </c>
      <c r="O1946" s="9"/>
      <c r="P1946" s="10">
        <v>43383.49596064815</v>
      </c>
      <c r="Q1946" s="14" t="s">
        <v>2969</v>
      </c>
      <c r="R1946" s="14" t="s">
        <v>7855</v>
      </c>
      <c r="S1946" s="8"/>
      <c r="T1946" s="8"/>
      <c r="U1946" s="11" t="str">
        <f>HYPERLINK("https://pbs.twimg.com/profile_images/1050320156478464000/N2XcMO4O.jpg","View")</f>
        <v>View</v>
      </c>
      <c r="V1946" s="8"/>
      <c r="W1946" s="8"/>
      <c r="X1946" s="8"/>
      <c r="Y1946" s="8"/>
      <c r="Z1946" s="8"/>
    </row>
    <row r="1947" spans="1:26" ht="13.2">
      <c r="A1947" s="13">
        <v>44250.219513888893</v>
      </c>
      <c r="B1947" s="6" t="str">
        <f>HYPERLINK("https://twitter.com/a_colab","@a_colab")</f>
        <v>@a_colab</v>
      </c>
      <c r="C1947" s="14" t="s">
        <v>7856</v>
      </c>
      <c r="D1947" s="14" t="s">
        <v>7857</v>
      </c>
      <c r="E1947" s="6" t="str">
        <f>HYPERLINK("https://twitter.com/a_colab/status/1364066478069178368","1364066478069178368")</f>
        <v>1364066478069178368</v>
      </c>
      <c r="F1947" s="7" t="s">
        <v>7858</v>
      </c>
      <c r="G1947" s="7" t="s">
        <v>7859</v>
      </c>
      <c r="H1947" s="8"/>
      <c r="I1947" s="14">
        <v>1</v>
      </c>
      <c r="J1947" s="14">
        <v>1</v>
      </c>
      <c r="K1947" s="6" t="str">
        <f>HYPERLINK("http://twitter.com/download/android","Twitter for Android")</f>
        <v>Twitter for Android</v>
      </c>
      <c r="L1947" s="15">
        <v>17</v>
      </c>
      <c r="M1947" s="15">
        <v>14</v>
      </c>
      <c r="N1947" s="15">
        <v>1</v>
      </c>
      <c r="O1947" s="9"/>
      <c r="P1947" s="10">
        <v>43975.615694444445</v>
      </c>
      <c r="Q1947" s="14" t="s">
        <v>3176</v>
      </c>
      <c r="R1947" s="14" t="s">
        <v>7860</v>
      </c>
      <c r="S1947" s="7" t="s">
        <v>7861</v>
      </c>
      <c r="T1947" s="8"/>
      <c r="U1947" s="11" t="str">
        <f>HYPERLINK("https://pbs.twimg.com/profile_images/1264538427615256577/MBmMWFGT.jpg","View")</f>
        <v>View</v>
      </c>
      <c r="V1947" s="8"/>
      <c r="W1947" s="8"/>
      <c r="X1947" s="8"/>
      <c r="Y1947" s="8"/>
      <c r="Z1947" s="8"/>
    </row>
    <row r="1948" spans="1:26" ht="13.2">
      <c r="A1948" s="13">
        <v>44250.2190625</v>
      </c>
      <c r="B1948" s="6" t="str">
        <f>HYPERLINK("https://twitter.com/gp_pulipaka","@gp_pulipaka")</f>
        <v>@gp_pulipaka</v>
      </c>
      <c r="C1948" s="14" t="s">
        <v>2230</v>
      </c>
      <c r="D1948" s="14" t="s">
        <v>7862</v>
      </c>
      <c r="E1948" s="6" t="str">
        <f>HYPERLINK("https://twitter.com/gp_pulipaka/status/1364066316135649280","1364066316135649280")</f>
        <v>1364066316135649280</v>
      </c>
      <c r="F1948" s="7" t="s">
        <v>7863</v>
      </c>
      <c r="G1948" s="7" t="s">
        <v>7864</v>
      </c>
      <c r="H1948" s="8"/>
      <c r="I1948" s="14">
        <v>64</v>
      </c>
      <c r="J1948" s="14">
        <v>42</v>
      </c>
      <c r="K1948" s="6" t="str">
        <f>HYPERLINK("https://buffer.com","Buffer")</f>
        <v>Buffer</v>
      </c>
      <c r="L1948" s="15">
        <v>109083</v>
      </c>
      <c r="M1948" s="15">
        <v>22723</v>
      </c>
      <c r="N1948" s="15">
        <v>3558</v>
      </c>
      <c r="O1948" s="9"/>
      <c r="P1948" s="10">
        <v>42325.138298611113</v>
      </c>
      <c r="Q1948" s="14" t="s">
        <v>2234</v>
      </c>
      <c r="R1948" s="14" t="s">
        <v>2235</v>
      </c>
      <c r="S1948" s="7" t="s">
        <v>2236</v>
      </c>
      <c r="T1948" s="8"/>
      <c r="U1948" s="11" t="str">
        <f>HYPERLINK("https://pbs.twimg.com/profile_images/1354974939887988736/P9wzBxgk.jpg","View")</f>
        <v>View</v>
      </c>
      <c r="V1948" s="8"/>
      <c r="W1948" s="8"/>
      <c r="X1948" s="8"/>
      <c r="Y1948" s="8"/>
      <c r="Z1948" s="8"/>
    </row>
    <row r="1949" spans="1:26" ht="13.2">
      <c r="A1949" s="13">
        <v>44250.21675925926</v>
      </c>
      <c r="B1949" s="6" t="str">
        <f>HYPERLINK("https://twitter.com/RevInfotech","@RevInfotech")</f>
        <v>@RevInfotech</v>
      </c>
      <c r="C1949" s="14" t="s">
        <v>7865</v>
      </c>
      <c r="D1949" s="14" t="s">
        <v>7866</v>
      </c>
      <c r="E1949" s="6" t="str">
        <f>HYPERLINK("https://twitter.com/RevInfotech/status/1364065482391785472","1364065482391785472")</f>
        <v>1364065482391785472</v>
      </c>
      <c r="F1949" s="7" t="s">
        <v>7867</v>
      </c>
      <c r="G1949" s="7" t="s">
        <v>7868</v>
      </c>
      <c r="H1949" s="8"/>
      <c r="I1949" s="14">
        <v>6</v>
      </c>
      <c r="J1949" s="14">
        <v>2</v>
      </c>
      <c r="K1949" s="6" t="str">
        <f>HYPERLINK("https://about.twitter.com/products/tweetdeck","TweetDeck")</f>
        <v>TweetDeck</v>
      </c>
      <c r="L1949" s="15">
        <v>208</v>
      </c>
      <c r="M1949" s="15">
        <v>9</v>
      </c>
      <c r="N1949" s="15">
        <v>17</v>
      </c>
      <c r="O1949" s="9"/>
      <c r="P1949" s="10">
        <v>39877.360185185185</v>
      </c>
      <c r="Q1949" s="14" t="s">
        <v>322</v>
      </c>
      <c r="R1949" s="14" t="s">
        <v>7869</v>
      </c>
      <c r="S1949" s="7" t="s">
        <v>7870</v>
      </c>
      <c r="T1949" s="8"/>
      <c r="U1949" s="11" t="str">
        <f>HYPERLINK("https://pbs.twimg.com/profile_images/1257065480025772033/pqw7Czm2.jpg","View")</f>
        <v>View</v>
      </c>
      <c r="V1949" s="8"/>
      <c r="W1949" s="8"/>
      <c r="X1949" s="8"/>
      <c r="Y1949" s="8"/>
      <c r="Z1949" s="8"/>
    </row>
    <row r="1950" spans="1:26" ht="13.2">
      <c r="A1950" s="13">
        <v>44250.216412037036</v>
      </c>
      <c r="B1950" s="6" t="str">
        <f>HYPERLINK("https://twitter.com/jamyjake1","@jamyjake1")</f>
        <v>@jamyjake1</v>
      </c>
      <c r="C1950" s="14" t="s">
        <v>7871</v>
      </c>
      <c r="D1950" s="14" t="s">
        <v>7872</v>
      </c>
      <c r="E1950" s="6" t="str">
        <f>HYPERLINK("https://twitter.com/jamyjake1/status/1364065354423685121","1364065354423685121")</f>
        <v>1364065354423685121</v>
      </c>
      <c r="F1950" s="7" t="s">
        <v>7873</v>
      </c>
      <c r="G1950" s="8"/>
      <c r="H1950" s="8"/>
      <c r="I1950" s="14">
        <v>14</v>
      </c>
      <c r="J1950" s="14">
        <v>3</v>
      </c>
      <c r="K1950" s="6" t="str">
        <f>HYPERLINK("https://mobile.twitter.com","Twitter Web App")</f>
        <v>Twitter Web App</v>
      </c>
      <c r="L1950" s="15">
        <v>3</v>
      </c>
      <c r="M1950" s="15">
        <v>10</v>
      </c>
      <c r="N1950" s="15">
        <v>0</v>
      </c>
      <c r="O1950" s="9"/>
      <c r="P1950" s="10">
        <v>44116.190949074073</v>
      </c>
      <c r="Q1950" s="8"/>
      <c r="R1950" s="14" t="s">
        <v>7874</v>
      </c>
      <c r="S1950" s="8"/>
      <c r="T1950" s="8"/>
      <c r="U1950" s="11" t="str">
        <f>HYPERLINK("https://pbs.twimg.com/profile_images/1315481153487372290/0QcJY32l.png","View")</f>
        <v>View</v>
      </c>
      <c r="V1950" s="8"/>
      <c r="W1950" s="8"/>
      <c r="X1950" s="8"/>
      <c r="Y1950" s="8"/>
      <c r="Z1950" s="8"/>
    </row>
    <row r="1951" spans="1:26" ht="13.2">
      <c r="A1951" s="13">
        <v>44250.216226851851</v>
      </c>
      <c r="B1951" s="6" t="str">
        <f>HYPERLINK("https://twitter.com/nordicinst","@nordicinst")</f>
        <v>@nordicinst</v>
      </c>
      <c r="C1951" s="14" t="s">
        <v>1812</v>
      </c>
      <c r="D1951" s="14" t="s">
        <v>7875</v>
      </c>
      <c r="E1951" s="6" t="str">
        <f>HYPERLINK("https://twitter.com/nordicinst/status/1364065287868469249","1364065287868469249")</f>
        <v>1364065287868469249</v>
      </c>
      <c r="F1951" s="7" t="s">
        <v>7876</v>
      </c>
      <c r="G1951" s="8"/>
      <c r="H1951" s="8"/>
      <c r="I1951" s="14">
        <v>2</v>
      </c>
      <c r="J1951" s="14">
        <v>3</v>
      </c>
      <c r="K1951" s="6" t="str">
        <f>HYPERLINK("https://ifttt.com","IFTTT")</f>
        <v>IFTTT</v>
      </c>
      <c r="L1951" s="15">
        <v>18247</v>
      </c>
      <c r="M1951" s="15">
        <v>17</v>
      </c>
      <c r="N1951" s="15">
        <v>306</v>
      </c>
      <c r="O1951" s="9"/>
      <c r="P1951" s="10">
        <v>42796.734710648147</v>
      </c>
      <c r="Q1951" s="14" t="s">
        <v>1815</v>
      </c>
      <c r="R1951" s="14" t="s">
        <v>1816</v>
      </c>
      <c r="S1951" s="7" t="s">
        <v>1817</v>
      </c>
      <c r="T1951" s="8"/>
      <c r="U1951" s="11" t="str">
        <f>HYPERLINK("https://pbs.twimg.com/profile_images/894659016705556480/_CJhwfbx.jpg","View")</f>
        <v>View</v>
      </c>
      <c r="V1951" s="8"/>
      <c r="W1951" s="8"/>
      <c r="X1951" s="8"/>
      <c r="Y1951" s="8"/>
      <c r="Z1951" s="8"/>
    </row>
    <row r="1952" spans="1:26" ht="13.2">
      <c r="A1952" s="13">
        <v>44250.215937500005</v>
      </c>
      <c r="B1952" s="6" t="str">
        <f>HYPERLINK("https://twitter.com/SantosFefe4","@SantosFefe4")</f>
        <v>@SantosFefe4</v>
      </c>
      <c r="C1952" s="14" t="s">
        <v>7846</v>
      </c>
      <c r="D1952" s="14" t="s">
        <v>7877</v>
      </c>
      <c r="E1952" s="6" t="str">
        <f>HYPERLINK("https://twitter.com/SantosFefe4/status/1364065185074454529","1364065185074454529")</f>
        <v>1364065185074454529</v>
      </c>
      <c r="F1952" s="7" t="s">
        <v>7848</v>
      </c>
      <c r="G1952" s="8"/>
      <c r="H1952" s="8"/>
      <c r="I1952" s="14">
        <v>12</v>
      </c>
      <c r="J1952" s="14">
        <v>2</v>
      </c>
      <c r="K1952" s="6" t="str">
        <f>HYPERLINK("https://mobile.twitter.com","Twitter Web App")</f>
        <v>Twitter Web App</v>
      </c>
      <c r="L1952" s="15">
        <v>37</v>
      </c>
      <c r="M1952" s="15">
        <v>259</v>
      </c>
      <c r="N1952" s="15">
        <v>0</v>
      </c>
      <c r="O1952" s="9"/>
      <c r="P1952" s="10">
        <v>43448.797615740739</v>
      </c>
      <c r="Q1952" s="14" t="s">
        <v>7849</v>
      </c>
      <c r="R1952" s="14" t="s">
        <v>7850</v>
      </c>
      <c r="S1952" s="7" t="s">
        <v>7851</v>
      </c>
      <c r="T1952" s="8"/>
      <c r="U1952" s="11" t="str">
        <f>HYPERLINK("https://pbs.twimg.com/profile_images/1168234912366956544/MFY_lzbX.jpg","View")</f>
        <v>View</v>
      </c>
      <c r="V1952" s="8"/>
      <c r="W1952" s="8"/>
      <c r="X1952" s="8"/>
      <c r="Y1952" s="8"/>
      <c r="Z1952" s="8"/>
    </row>
    <row r="1953" spans="1:26" ht="13.2">
      <c r="A1953" s="13">
        <v>44250.215266203704</v>
      </c>
      <c r="B1953" s="6" t="str">
        <f>HYPERLINK("https://twitter.com/AdhavadeAshish","@AdhavadeAshish")</f>
        <v>@AdhavadeAshish</v>
      </c>
      <c r="C1953" s="14" t="s">
        <v>7878</v>
      </c>
      <c r="D1953" s="14" t="s">
        <v>7697</v>
      </c>
      <c r="E1953" s="6" t="str">
        <f>HYPERLINK("https://twitter.com/AdhavadeAshish/status/1364064941699858432","1364064941699858432")</f>
        <v>1364064941699858432</v>
      </c>
      <c r="F1953" s="7" t="s">
        <v>2068</v>
      </c>
      <c r="G1953" s="7" t="s">
        <v>7879</v>
      </c>
      <c r="H1953" s="8"/>
      <c r="I1953" s="14">
        <v>0</v>
      </c>
      <c r="J1953" s="14">
        <v>0</v>
      </c>
      <c r="K1953" s="6" t="str">
        <f>HYPERLINK("http://twitter.com/download/android","Twitter for Android")</f>
        <v>Twitter for Android</v>
      </c>
      <c r="L1953" s="15">
        <v>10</v>
      </c>
      <c r="M1953" s="15">
        <v>34</v>
      </c>
      <c r="N1953" s="15">
        <v>0</v>
      </c>
      <c r="O1953" s="9"/>
      <c r="P1953" s="10">
        <v>44230.202870370369</v>
      </c>
      <c r="Q1953" s="14" t="s">
        <v>1854</v>
      </c>
      <c r="R1953" s="14" t="s">
        <v>7880</v>
      </c>
      <c r="S1953" s="8"/>
      <c r="T1953" s="8"/>
      <c r="U1953" s="11" t="str">
        <f>HYPERLINK("https://pbs.twimg.com/profile_images/1356812780989526016/bsz5HRtp.jpg","View")</f>
        <v>View</v>
      </c>
      <c r="V1953" s="8"/>
      <c r="W1953" s="8"/>
      <c r="X1953" s="8"/>
      <c r="Y1953" s="8"/>
      <c r="Z1953" s="8"/>
    </row>
    <row r="1954" spans="1:26" ht="13.2">
      <c r="A1954" s="13">
        <v>44250.214143518519</v>
      </c>
      <c r="B1954" s="6" t="str">
        <f>HYPERLINK("https://twitter.com/designnation20","@designnation20")</f>
        <v>@designnation20</v>
      </c>
      <c r="C1954" s="14" t="s">
        <v>4887</v>
      </c>
      <c r="D1954" s="14" t="s">
        <v>7881</v>
      </c>
      <c r="E1954" s="6" t="str">
        <f>HYPERLINK("https://twitter.com/designnation20/status/1364064535351590916","1364064535351590916")</f>
        <v>1364064535351590916</v>
      </c>
      <c r="F1954" s="7" t="s">
        <v>7882</v>
      </c>
      <c r="G1954" s="8"/>
      <c r="H1954" s="8"/>
      <c r="I1954" s="14">
        <v>12</v>
      </c>
      <c r="J1954" s="14">
        <v>8</v>
      </c>
      <c r="K1954" s="6" t="str">
        <f>HYPERLINK("https://www.hootsuite.com","Hootsuite Inc.")</f>
        <v>Hootsuite Inc.</v>
      </c>
      <c r="L1954" s="15">
        <v>94</v>
      </c>
      <c r="M1954" s="15">
        <v>161</v>
      </c>
      <c r="N1954" s="15">
        <v>0</v>
      </c>
      <c r="O1954" s="9"/>
      <c r="P1954" s="10">
        <v>43936.451412037037</v>
      </c>
      <c r="Q1954" s="14" t="s">
        <v>4890</v>
      </c>
      <c r="R1954" s="14" t="s">
        <v>4891</v>
      </c>
      <c r="S1954" s="7" t="s">
        <v>4892</v>
      </c>
      <c r="T1954" s="8"/>
      <c r="U1954" s="11" t="str">
        <f>HYPERLINK("https://pbs.twimg.com/profile_images/1285972465571647489/OoVAc2X9.jpg","View")</f>
        <v>View</v>
      </c>
      <c r="V1954" s="8"/>
      <c r="W1954" s="8"/>
      <c r="X1954" s="8"/>
      <c r="Y1954" s="8"/>
      <c r="Z1954" s="8"/>
    </row>
    <row r="1955" spans="1:26" ht="13.2">
      <c r="A1955" s="13">
        <v>44250.213900462964</v>
      </c>
      <c r="B1955" s="6" t="str">
        <f>HYPERLINK("https://twitter.com/mpyllan","@mpyllan")</f>
        <v>@mpyllan</v>
      </c>
      <c r="C1955" s="14" t="s">
        <v>7883</v>
      </c>
      <c r="D1955" s="14" t="s">
        <v>7884</v>
      </c>
      <c r="E1955" s="6" t="str">
        <f>HYPERLINK("https://twitter.com/mpyllan/status/1364064444112904193","1364064444112904193")</f>
        <v>1364064444112904193</v>
      </c>
      <c r="F1955" s="7" t="s">
        <v>7885</v>
      </c>
      <c r="G1955" s="8"/>
      <c r="H1955" s="8"/>
      <c r="I1955" s="14">
        <v>1</v>
      </c>
      <c r="J1955" s="14">
        <v>1</v>
      </c>
      <c r="K1955" s="6" t="str">
        <f>HYPERLINK("https://buffer.com","Buffer")</f>
        <v>Buffer</v>
      </c>
      <c r="L1955" s="15">
        <v>799</v>
      </c>
      <c r="M1955" s="15">
        <v>389</v>
      </c>
      <c r="N1955" s="15">
        <v>1164</v>
      </c>
      <c r="O1955" s="9"/>
      <c r="P1955" s="10">
        <v>39658.941886574074</v>
      </c>
      <c r="Q1955" s="14" t="s">
        <v>7886</v>
      </c>
      <c r="R1955" s="14" t="s">
        <v>7887</v>
      </c>
      <c r="S1955" s="7" t="s">
        <v>7888</v>
      </c>
      <c r="T1955" s="8"/>
      <c r="U1955" s="11" t="str">
        <f>HYPERLINK("https://pbs.twimg.com/profile_images/57429082/manu.jpg","View")</f>
        <v>View</v>
      </c>
      <c r="V1955" s="8"/>
      <c r="W1955" s="8"/>
      <c r="X1955" s="8"/>
      <c r="Y1955" s="8"/>
      <c r="Z1955" s="8"/>
    </row>
    <row r="1956" spans="1:26" ht="13.2">
      <c r="A1956" s="13">
        <v>44250.213252314818</v>
      </c>
      <c r="B1956" s="6" t="str">
        <f>HYPERLINK("https://twitter.com/alwaysPratik","@alwaysPratik")</f>
        <v>@alwaysPratik</v>
      </c>
      <c r="C1956" s="14" t="s">
        <v>7889</v>
      </c>
      <c r="D1956" s="14" t="s">
        <v>5647</v>
      </c>
      <c r="E1956" s="6" t="str">
        <f>HYPERLINK("https://twitter.com/alwaysPratik/status/1364064212457299970","1364064212457299970")</f>
        <v>1364064212457299970</v>
      </c>
      <c r="F1956" s="7" t="s">
        <v>7890</v>
      </c>
      <c r="G1956" s="7" t="s">
        <v>7891</v>
      </c>
      <c r="H1956" s="8"/>
      <c r="I1956" s="14">
        <v>1</v>
      </c>
      <c r="J1956" s="14">
        <v>0</v>
      </c>
      <c r="K1956" s="6" t="str">
        <f>HYPERLINK("https://www.oktopost.com","Oktopost")</f>
        <v>Oktopost</v>
      </c>
      <c r="L1956" s="15">
        <v>20</v>
      </c>
      <c r="M1956" s="15">
        <v>18</v>
      </c>
      <c r="N1956" s="15">
        <v>1</v>
      </c>
      <c r="O1956" s="9"/>
      <c r="P1956" s="10">
        <v>39945.382754629631</v>
      </c>
      <c r="Q1956" s="14" t="s">
        <v>7892</v>
      </c>
      <c r="R1956" s="14" t="s">
        <v>7893</v>
      </c>
      <c r="S1956" s="8"/>
      <c r="T1956" s="8"/>
      <c r="U1956" s="11" t="str">
        <f>HYPERLINK("https://pbs.twimg.com/profile_images/687943593319882753/dAzUsaxX.jpg","View")</f>
        <v>View</v>
      </c>
      <c r="V1956" s="8"/>
      <c r="W1956" s="8"/>
      <c r="X1956" s="8"/>
      <c r="Y1956" s="8"/>
      <c r="Z1956" s="8"/>
    </row>
    <row r="1957" spans="1:26" ht="13.2">
      <c r="A1957" s="13">
        <v>44250.21261574074</v>
      </c>
      <c r="B1957" s="6" t="str">
        <f>HYPERLINK("https://twitter.com/kashifmanzoor","@kashifmanzoor")</f>
        <v>@kashifmanzoor</v>
      </c>
      <c r="C1957" s="14" t="s">
        <v>7894</v>
      </c>
      <c r="D1957" s="14" t="s">
        <v>7895</v>
      </c>
      <c r="E1957" s="6" t="str">
        <f>HYPERLINK("https://twitter.com/kashifmanzoor/status/1364063980457721864","1364063980457721864")</f>
        <v>1364063980457721864</v>
      </c>
      <c r="F1957" s="7" t="s">
        <v>7896</v>
      </c>
      <c r="G1957" s="8"/>
      <c r="H1957" s="8"/>
      <c r="I1957" s="14">
        <v>2</v>
      </c>
      <c r="J1957" s="14">
        <v>0</v>
      </c>
      <c r="K1957" s="6" t="str">
        <f>HYPERLINK("https://contentstudio.io","ContentStudio.io")</f>
        <v>ContentStudio.io</v>
      </c>
      <c r="L1957" s="15">
        <v>2320</v>
      </c>
      <c r="M1957" s="15">
        <v>4462</v>
      </c>
      <c r="N1957" s="15">
        <v>226</v>
      </c>
      <c r="O1957" s="9"/>
      <c r="P1957" s="10">
        <v>40161.87636574074</v>
      </c>
      <c r="Q1957" s="14" t="s">
        <v>3701</v>
      </c>
      <c r="R1957" s="14" t="s">
        <v>7897</v>
      </c>
      <c r="S1957" s="7" t="s">
        <v>7898</v>
      </c>
      <c r="T1957" s="8"/>
      <c r="U1957" s="11" t="str">
        <f>HYPERLINK("https://pbs.twimg.com/profile_images/378800000452523707/c87e1249051311e4e174d5a1555b67ff.jpeg","View")</f>
        <v>View</v>
      </c>
      <c r="V1957" s="8"/>
      <c r="W1957" s="8"/>
      <c r="X1957" s="8"/>
      <c r="Y1957" s="8"/>
      <c r="Z1957" s="8"/>
    </row>
    <row r="1958" spans="1:26" ht="13.2">
      <c r="A1958" s="13">
        <v>44250.212511574078</v>
      </c>
      <c r="B1958" s="6" t="str">
        <f>HYPERLINK("https://twitter.com/mpyllan","@mpyllan")</f>
        <v>@mpyllan</v>
      </c>
      <c r="C1958" s="14" t="s">
        <v>7883</v>
      </c>
      <c r="D1958" s="14" t="s">
        <v>7899</v>
      </c>
      <c r="E1958" s="6" t="str">
        <f>HYPERLINK("https://twitter.com/mpyllan/status/1364063942293786624","1364063942293786624")</f>
        <v>1364063942293786624</v>
      </c>
      <c r="F1958" s="7" t="s">
        <v>7900</v>
      </c>
      <c r="G1958" s="8"/>
      <c r="H1958" s="8"/>
      <c r="I1958" s="14">
        <v>1</v>
      </c>
      <c r="J1958" s="14">
        <v>0</v>
      </c>
      <c r="K1958" s="6" t="str">
        <f>HYPERLINK("https://buffer.com","Buffer")</f>
        <v>Buffer</v>
      </c>
      <c r="L1958" s="15">
        <v>799</v>
      </c>
      <c r="M1958" s="15">
        <v>389</v>
      </c>
      <c r="N1958" s="15">
        <v>1164</v>
      </c>
      <c r="O1958" s="9"/>
      <c r="P1958" s="10">
        <v>39658.941886574074</v>
      </c>
      <c r="Q1958" s="14" t="s">
        <v>7886</v>
      </c>
      <c r="R1958" s="14" t="s">
        <v>7887</v>
      </c>
      <c r="S1958" s="7" t="s">
        <v>7888</v>
      </c>
      <c r="T1958" s="8"/>
      <c r="U1958" s="11" t="str">
        <f>HYPERLINK("https://pbs.twimg.com/profile_images/57429082/manu.jpg","View")</f>
        <v>View</v>
      </c>
      <c r="V1958" s="8"/>
      <c r="W1958" s="8"/>
      <c r="X1958" s="8"/>
      <c r="Y1958" s="8"/>
      <c r="Z1958" s="8"/>
    </row>
    <row r="1959" spans="1:26" ht="13.2">
      <c r="A1959" s="13">
        <v>44250.211111111115</v>
      </c>
      <c r="B1959" s="6" t="str">
        <f>HYPERLINK("https://twitter.com/odsc","@odsc")</f>
        <v>@odsc</v>
      </c>
      <c r="C1959" s="14" t="s">
        <v>217</v>
      </c>
      <c r="D1959" s="14" t="s">
        <v>7901</v>
      </c>
      <c r="E1959" s="6" t="str">
        <f>HYPERLINK("https://twitter.com/odsc/status/1364063433243697155","1364063433243697155")</f>
        <v>1364063433243697155</v>
      </c>
      <c r="F1959" s="7" t="s">
        <v>7902</v>
      </c>
      <c r="G1959" s="7" t="s">
        <v>7903</v>
      </c>
      <c r="H1959" s="8"/>
      <c r="I1959" s="14">
        <v>2</v>
      </c>
      <c r="J1959" s="14">
        <v>0</v>
      </c>
      <c r="K1959" s="6" t="str">
        <f>HYPERLINK("http://www.hubspot.com/","HubSpot")</f>
        <v>HubSpot</v>
      </c>
      <c r="L1959" s="15">
        <v>78817</v>
      </c>
      <c r="M1959" s="15">
        <v>27883</v>
      </c>
      <c r="N1959" s="15">
        <v>2461</v>
      </c>
      <c r="O1959" s="9"/>
      <c r="P1959" s="10">
        <v>42039.982766203699</v>
      </c>
      <c r="Q1959" s="14" t="s">
        <v>221</v>
      </c>
      <c r="R1959" s="14" t="s">
        <v>222</v>
      </c>
      <c r="S1959" s="7" t="s">
        <v>223</v>
      </c>
      <c r="T1959" s="8"/>
      <c r="U1959" s="11" t="str">
        <f>HYPERLINK("https://pbs.twimg.com/profile_images/1115210960271228929/lHua2G3l.png","View")</f>
        <v>View</v>
      </c>
      <c r="V1959" s="8"/>
      <c r="W1959" s="8"/>
      <c r="X1959" s="8"/>
      <c r="Y1959" s="8"/>
      <c r="Z1959" s="8"/>
    </row>
    <row r="1960" spans="1:26" ht="13.2">
      <c r="A1960" s="13">
        <v>44250.210636574076</v>
      </c>
      <c r="B1960" s="6" t="str">
        <f>HYPERLINK("https://twitter.com/PrintableEtsy","@PrintableEtsy")</f>
        <v>@PrintableEtsy</v>
      </c>
      <c r="C1960" s="14" t="s">
        <v>5752</v>
      </c>
      <c r="D1960" s="14" t="s">
        <v>7904</v>
      </c>
      <c r="E1960" s="6" t="str">
        <f>HYPERLINK("https://twitter.com/PrintableEtsy/status/1364063263399501827","1364063263399501827")</f>
        <v>1364063263399501827</v>
      </c>
      <c r="F1960" s="14" t="s">
        <v>7905</v>
      </c>
      <c r="G1960" s="8"/>
      <c r="H1960" s="8"/>
      <c r="I1960" s="14">
        <v>3</v>
      </c>
      <c r="J1960" s="14">
        <v>0</v>
      </c>
      <c r="K1960" s="6" t="str">
        <f>HYPERLINK("http://twinybots.com","TwinyBots")</f>
        <v>TwinyBots</v>
      </c>
      <c r="L1960" s="15">
        <v>302</v>
      </c>
      <c r="M1960" s="15">
        <v>705</v>
      </c>
      <c r="N1960" s="15">
        <v>7</v>
      </c>
      <c r="O1960" s="9"/>
      <c r="P1960" s="10">
        <v>43319.598854166667</v>
      </c>
      <c r="Q1960" s="14" t="s">
        <v>5754</v>
      </c>
      <c r="R1960" s="14" t="s">
        <v>5755</v>
      </c>
      <c r="S1960" s="7" t="s">
        <v>5756</v>
      </c>
      <c r="T1960" s="8"/>
      <c r="U1960" s="11" t="str">
        <f>HYPERLINK("https://pbs.twimg.com/profile_images/1329742869914136582/sVdyU9dn.jpg","View")</f>
        <v>View</v>
      </c>
      <c r="V1960" s="8"/>
      <c r="W1960" s="8"/>
      <c r="X1960" s="8"/>
      <c r="Y1960" s="8"/>
      <c r="Z1960" s="8"/>
    </row>
    <row r="1961" spans="1:26" ht="13.2">
      <c r="A1961" s="13">
        <v>44250.210451388892</v>
      </c>
      <c r="B1961" s="6" t="str">
        <f>HYPERLINK("https://twitter.com/danieluriol","@danieluriol")</f>
        <v>@danieluriol</v>
      </c>
      <c r="C1961" s="14" t="s">
        <v>517</v>
      </c>
      <c r="D1961" s="14" t="s">
        <v>7906</v>
      </c>
      <c r="E1961" s="6" t="str">
        <f>HYPERLINK("https://twitter.com/danieluriol/status/1364063195095322626","1364063195095322626")</f>
        <v>1364063195095322626</v>
      </c>
      <c r="F1961" s="7" t="s">
        <v>7907</v>
      </c>
      <c r="G1961" s="7" t="s">
        <v>7908</v>
      </c>
      <c r="H1961" s="8"/>
      <c r="I1961" s="14">
        <v>22</v>
      </c>
      <c r="J1961" s="14">
        <v>11</v>
      </c>
      <c r="K1961" s="6" t="str">
        <f>HYPERLINK("https://buffer.com","Buffer")</f>
        <v>Buffer</v>
      </c>
      <c r="L1961" s="15">
        <v>3441</v>
      </c>
      <c r="M1961" s="15">
        <v>455</v>
      </c>
      <c r="N1961" s="15">
        <v>8</v>
      </c>
      <c r="O1961" s="9"/>
      <c r="P1961" s="10">
        <v>39707.014618055553</v>
      </c>
      <c r="Q1961" s="8"/>
      <c r="R1961" s="14" t="s">
        <v>521</v>
      </c>
      <c r="S1961" s="7" t="s">
        <v>522</v>
      </c>
      <c r="T1961" s="8"/>
      <c r="U1961" s="11" t="str">
        <f>HYPERLINK("https://pbs.twimg.com/profile_images/1284935813604814848/mVDJVdEi.jpg","View")</f>
        <v>View</v>
      </c>
      <c r="V1961" s="8"/>
      <c r="W1961" s="8"/>
      <c r="X1961" s="8"/>
      <c r="Y1961" s="8"/>
      <c r="Z1961" s="8"/>
    </row>
    <row r="1962" spans="1:26" ht="13.2">
      <c r="A1962" s="13">
        <v>44250.210451388892</v>
      </c>
      <c r="B1962" s="6" t="str">
        <f>HYPERLINK("https://twitter.com/ipfconline1","@ipfconline1")</f>
        <v>@ipfconline1</v>
      </c>
      <c r="C1962" s="14" t="s">
        <v>65</v>
      </c>
      <c r="D1962" s="14" t="s">
        <v>7909</v>
      </c>
      <c r="E1962" s="6" t="str">
        <f>HYPERLINK("https://twitter.com/ipfconline1/status/1364063193774047235","1364063193774047235")</f>
        <v>1364063193774047235</v>
      </c>
      <c r="F1962" s="7" t="s">
        <v>7910</v>
      </c>
      <c r="G1962" s="7" t="s">
        <v>7911</v>
      </c>
      <c r="H1962" s="8"/>
      <c r="I1962" s="14">
        <v>12</v>
      </c>
      <c r="J1962" s="14">
        <v>17</v>
      </c>
      <c r="K1962" s="6" t="str">
        <f>HYPERLINK("https://twittimer.com","Twittimer")</f>
        <v>Twittimer</v>
      </c>
      <c r="L1962" s="15">
        <v>112675</v>
      </c>
      <c r="M1962" s="15">
        <v>107162</v>
      </c>
      <c r="N1962" s="15">
        <v>7806</v>
      </c>
      <c r="O1962" s="9"/>
      <c r="P1962" s="10">
        <v>42433.031967592593</v>
      </c>
      <c r="Q1962" s="14" t="s">
        <v>69</v>
      </c>
      <c r="R1962" s="14" t="s">
        <v>70</v>
      </c>
      <c r="S1962" s="7" t="s">
        <v>71</v>
      </c>
      <c r="T1962" s="8"/>
      <c r="U1962" s="11" t="str">
        <f>HYPERLINK("https://pbs.twimg.com/profile_images/729065804004769793/St2_Pum9.jpg","View")</f>
        <v>View</v>
      </c>
      <c r="V1962" s="8"/>
      <c r="W1962" s="8"/>
      <c r="X1962" s="8"/>
      <c r="Y1962" s="8"/>
      <c r="Z1962" s="8"/>
    </row>
    <row r="1963" spans="1:26" ht="13.2">
      <c r="A1963" s="13">
        <v>44250.209664351853</v>
      </c>
      <c r="B1963" s="6" t="str">
        <f>HYPERLINK("https://twitter.com/WiMLDS_Pune","@WiMLDS_Pune")</f>
        <v>@WiMLDS_Pune</v>
      </c>
      <c r="C1963" s="14" t="s">
        <v>7912</v>
      </c>
      <c r="D1963" s="14" t="s">
        <v>7913</v>
      </c>
      <c r="E1963" s="6" t="str">
        <f>HYPERLINK("https://twitter.com/WiMLDS_Pune/status/1364062909274329088","1364062909274329088")</f>
        <v>1364062909274329088</v>
      </c>
      <c r="F1963" s="7" t="s">
        <v>7914</v>
      </c>
      <c r="G1963" s="7" t="s">
        <v>7915</v>
      </c>
      <c r="H1963" s="8"/>
      <c r="I1963" s="14">
        <v>0</v>
      </c>
      <c r="J1963" s="14">
        <v>2</v>
      </c>
      <c r="K1963" s="6" t="str">
        <f>HYPERLINK("http://twitter.com/download/android","Twitter for Android")</f>
        <v>Twitter for Android</v>
      </c>
      <c r="L1963" s="15">
        <v>142</v>
      </c>
      <c r="M1963" s="15">
        <v>133</v>
      </c>
      <c r="N1963" s="15">
        <v>1</v>
      </c>
      <c r="O1963" s="9"/>
      <c r="P1963" s="10">
        <v>43315.799722222218</v>
      </c>
      <c r="Q1963" s="14" t="s">
        <v>2167</v>
      </c>
      <c r="R1963" s="14" t="s">
        <v>7916</v>
      </c>
      <c r="S1963" s="7" t="s">
        <v>7917</v>
      </c>
      <c r="T1963" s="8"/>
      <c r="U1963" s="11" t="str">
        <f>HYPERLINK("https://pbs.twimg.com/profile_images/1025437972743651333/Q97b6__w.jpg","View")</f>
        <v>View</v>
      </c>
      <c r="V1963" s="8"/>
      <c r="W1963" s="8"/>
      <c r="X1963" s="8"/>
      <c r="Y1963" s="8"/>
      <c r="Z1963" s="8"/>
    </row>
    <row r="1964" spans="1:26" ht="13.2">
      <c r="A1964" s="13">
        <v>44250.208564814813</v>
      </c>
      <c r="B1964" s="6" t="str">
        <f>HYPERLINK("https://twitter.com/Paula_Piccard","@Paula_Piccard")</f>
        <v>@Paula_Piccard</v>
      </c>
      <c r="C1964" s="14" t="s">
        <v>1116</v>
      </c>
      <c r="D1964" s="14" t="s">
        <v>7918</v>
      </c>
      <c r="E1964" s="6" t="str">
        <f>HYPERLINK("https://twitter.com/Paula_Piccard/status/1364062511155281920","1364062511155281920")</f>
        <v>1364062511155281920</v>
      </c>
      <c r="F1964" s="7" t="s">
        <v>7919</v>
      </c>
      <c r="G1964" s="7" t="s">
        <v>7920</v>
      </c>
      <c r="H1964" s="8"/>
      <c r="I1964" s="14">
        <v>63</v>
      </c>
      <c r="J1964" s="14">
        <v>35</v>
      </c>
      <c r="K1964" s="6" t="str">
        <f>HYPERLINK("https://smarterqueue.com","SmarterQueue")</f>
        <v>SmarterQueue</v>
      </c>
      <c r="L1964" s="15">
        <v>61067</v>
      </c>
      <c r="M1964" s="15">
        <v>9852</v>
      </c>
      <c r="N1964" s="15">
        <v>1284</v>
      </c>
      <c r="O1964" s="9"/>
      <c r="P1964" s="10">
        <v>40665.824629629627</v>
      </c>
      <c r="Q1964" s="14" t="s">
        <v>1120</v>
      </c>
      <c r="R1964" s="14" t="s">
        <v>1121</v>
      </c>
      <c r="S1964" s="7" t="s">
        <v>1122</v>
      </c>
      <c r="T1964" s="8"/>
      <c r="U1964" s="11" t="str">
        <f>HYPERLINK("https://pbs.twimg.com/profile_images/1307804375981621254/KT6ID8H9.png","View")</f>
        <v>View</v>
      </c>
      <c r="V1964" s="8"/>
      <c r="W1964" s="8"/>
      <c r="X1964" s="8"/>
      <c r="Y1964" s="8"/>
      <c r="Z1964" s="8"/>
    </row>
    <row r="1965" spans="1:26" ht="13.2">
      <c r="A1965" s="13">
        <v>44250.208483796298</v>
      </c>
      <c r="B1965" s="6" t="str">
        <f>HYPERLINK("https://twitter.com/ScienceMagazine","@ScienceMagazine")</f>
        <v>@ScienceMagazine</v>
      </c>
      <c r="C1965" s="14" t="s">
        <v>7921</v>
      </c>
      <c r="D1965" s="14" t="s">
        <v>7922</v>
      </c>
      <c r="E1965" s="6" t="str">
        <f>HYPERLINK("https://twitter.com/ScienceMagazine/status/1364062484055920641","1364062484055920641")</f>
        <v>1364062484055920641</v>
      </c>
      <c r="F1965" s="7" t="s">
        <v>7702</v>
      </c>
      <c r="G1965" s="7" t="s">
        <v>7923</v>
      </c>
      <c r="H1965" s="8"/>
      <c r="I1965" s="14">
        <v>9</v>
      </c>
      <c r="J1965" s="14">
        <v>29</v>
      </c>
      <c r="K1965" s="6" t="str">
        <f>HYPERLINK("https://twitter.facelift-cloud.com/","Facelift-Cloud")</f>
        <v>Facelift-Cloud</v>
      </c>
      <c r="L1965" s="15">
        <v>2075827</v>
      </c>
      <c r="M1965" s="15">
        <v>497</v>
      </c>
      <c r="N1965" s="15">
        <v>17419</v>
      </c>
      <c r="O1965" s="15" t="s">
        <v>130</v>
      </c>
      <c r="P1965" s="10">
        <v>39920.567499999997</v>
      </c>
      <c r="Q1965" s="14" t="s">
        <v>7924</v>
      </c>
      <c r="R1965" s="14" t="s">
        <v>7925</v>
      </c>
      <c r="S1965" s="7" t="s">
        <v>7926</v>
      </c>
      <c r="T1965" s="8"/>
      <c r="U1965" s="11" t="str">
        <f>HYPERLINK("https://pbs.twimg.com/profile_images/1001918231752429568/wUNPvDdW.jpg","View")</f>
        <v>View</v>
      </c>
      <c r="V1965" s="8"/>
      <c r="W1965" s="8"/>
      <c r="X1965" s="8"/>
      <c r="Y1965" s="8"/>
      <c r="Z1965" s="8"/>
    </row>
    <row r="1966" spans="1:26" ht="13.2">
      <c r="A1966" s="13">
        <v>44250.208402777775</v>
      </c>
      <c r="B1966" s="6" t="str">
        <f>HYPERLINK("https://twitter.com/Verinite","@Verinite")</f>
        <v>@Verinite</v>
      </c>
      <c r="C1966" s="14" t="s">
        <v>7329</v>
      </c>
      <c r="D1966" s="14" t="s">
        <v>7927</v>
      </c>
      <c r="E1966" s="6" t="str">
        <f>HYPERLINK("https://twitter.com/Verinite/status/1364062454574161921","1364062454574161921")</f>
        <v>1364062454574161921</v>
      </c>
      <c r="F1966" s="7" t="s">
        <v>7928</v>
      </c>
      <c r="G1966" s="7" t="s">
        <v>7929</v>
      </c>
      <c r="H1966" s="8"/>
      <c r="I1966" s="14">
        <v>7</v>
      </c>
      <c r="J1966" s="14">
        <v>2</v>
      </c>
      <c r="K1966" s="6" t="str">
        <f t="shared" ref="K1966:K1967" si="361">HYPERLINK("https://buffer.com","Buffer")</f>
        <v>Buffer</v>
      </c>
      <c r="L1966" s="15">
        <v>1612</v>
      </c>
      <c r="M1966" s="15">
        <v>4941</v>
      </c>
      <c r="N1966" s="15">
        <v>20</v>
      </c>
      <c r="O1966" s="9"/>
      <c r="P1966" s="10">
        <v>40681.464398148149</v>
      </c>
      <c r="Q1966" s="14" t="s">
        <v>7333</v>
      </c>
      <c r="R1966" s="14" t="s">
        <v>7334</v>
      </c>
      <c r="S1966" s="7" t="s">
        <v>7335</v>
      </c>
      <c r="T1966" s="8"/>
      <c r="U1966" s="11" t="str">
        <f>HYPERLINK("https://pbs.twimg.com/profile_images/1359447308/Verinite_FinalLogo_Twitter.jpg","View")</f>
        <v>View</v>
      </c>
      <c r="V1966" s="8"/>
      <c r="W1966" s="8"/>
      <c r="X1966" s="8"/>
      <c r="Y1966" s="8"/>
      <c r="Z1966" s="8"/>
    </row>
    <row r="1967" spans="1:26" ht="13.2">
      <c r="A1967" s="13">
        <v>44250.208391203705</v>
      </c>
      <c r="B1967" s="6" t="str">
        <f>HYPERLINK("https://twitter.com/Deep_In_Depth","@Deep_In_Depth")</f>
        <v>@Deep_In_Depth</v>
      </c>
      <c r="C1967" s="14" t="s">
        <v>312</v>
      </c>
      <c r="D1967" s="14" t="s">
        <v>7930</v>
      </c>
      <c r="E1967" s="6" t="str">
        <f>HYPERLINK("https://twitter.com/Deep_In_Depth/status/1364062449671012354","1364062449671012354")</f>
        <v>1364062449671012354</v>
      </c>
      <c r="F1967" s="7" t="s">
        <v>7931</v>
      </c>
      <c r="G1967" s="8"/>
      <c r="H1967" s="8"/>
      <c r="I1967" s="14">
        <v>3</v>
      </c>
      <c r="J1967" s="14">
        <v>4</v>
      </c>
      <c r="K1967" s="6" t="str">
        <f t="shared" si="361"/>
        <v>Buffer</v>
      </c>
      <c r="L1967" s="15">
        <v>10954</v>
      </c>
      <c r="M1967" s="15">
        <v>9176</v>
      </c>
      <c r="N1967" s="15">
        <v>159</v>
      </c>
      <c r="O1967" s="9"/>
      <c r="P1967" s="10">
        <v>42864.439525462964</v>
      </c>
      <c r="Q1967" s="14" t="s">
        <v>315</v>
      </c>
      <c r="R1967" s="14" t="s">
        <v>316</v>
      </c>
      <c r="S1967" s="7" t="s">
        <v>317</v>
      </c>
      <c r="T1967" s="8"/>
      <c r="U1967" s="11" t="str">
        <f>HYPERLINK("https://pbs.twimg.com/profile_images/861866967493431296/PIjaSD4g.jpg","View")</f>
        <v>View</v>
      </c>
      <c r="V1967" s="8"/>
      <c r="W1967" s="8"/>
      <c r="X1967" s="8"/>
      <c r="Y1967" s="8"/>
      <c r="Z1967" s="8"/>
    </row>
    <row r="1968" spans="1:26" ht="13.2">
      <c r="A1968" s="13">
        <v>44250.208344907413</v>
      </c>
      <c r="B1968" s="6" t="str">
        <f>HYPERLINK("https://twitter.com/therealjpittman","@therealjpittman")</f>
        <v>@therealjpittman</v>
      </c>
      <c r="C1968" s="14" t="s">
        <v>3386</v>
      </c>
      <c r="D1968" s="14" t="s">
        <v>7932</v>
      </c>
      <c r="E1968" s="6" t="str">
        <f>HYPERLINK("https://twitter.com/therealjpittman/status/1364062433594249218","1364062433594249218")</f>
        <v>1364062433594249218</v>
      </c>
      <c r="F1968" s="7" t="s">
        <v>7933</v>
      </c>
      <c r="G1968" s="8"/>
      <c r="H1968" s="8"/>
      <c r="I1968" s="14">
        <v>1</v>
      </c>
      <c r="J1968" s="14">
        <v>0</v>
      </c>
      <c r="K1968" s="6" t="str">
        <f>HYPERLINK("https://github.com/jasonmpittman/retweet-bot-ng","retweet-bot-ng")</f>
        <v>retweet-bot-ng</v>
      </c>
      <c r="L1968" s="15">
        <v>776</v>
      </c>
      <c r="M1968" s="15">
        <v>749</v>
      </c>
      <c r="N1968" s="15">
        <v>106</v>
      </c>
      <c r="O1968" s="9"/>
      <c r="P1968" s="10">
        <v>41837.757106481484</v>
      </c>
      <c r="Q1968" s="14" t="s">
        <v>3389</v>
      </c>
      <c r="R1968" s="14" t="s">
        <v>3390</v>
      </c>
      <c r="S1968" s="7" t="s">
        <v>3391</v>
      </c>
      <c r="T1968" s="8"/>
      <c r="U1968" s="11" t="str">
        <f>HYPERLINK("https://pbs.twimg.com/profile_images/1175408228978626561/xVOYMpZ3.jpg","View")</f>
        <v>View</v>
      </c>
      <c r="V1968" s="8"/>
      <c r="W1968" s="8"/>
      <c r="X1968" s="8"/>
      <c r="Y1968" s="8"/>
      <c r="Z1968" s="8"/>
    </row>
    <row r="1969" spans="1:26" ht="13.2">
      <c r="A1969" s="13">
        <v>44250.20694444445</v>
      </c>
      <c r="B1969" s="6" t="str">
        <f>HYPERLINK("https://twitter.com/WiDSPune2019","@WiDSPune2019")</f>
        <v>@WiDSPune2019</v>
      </c>
      <c r="C1969" s="14" t="s">
        <v>7934</v>
      </c>
      <c r="D1969" s="14" t="s">
        <v>7935</v>
      </c>
      <c r="E1969" s="6" t="str">
        <f>HYPERLINK("https://twitter.com/WiDSPune2019/status/1364061923474608128","1364061923474608128")</f>
        <v>1364061923474608128</v>
      </c>
      <c r="F1969" s="7" t="s">
        <v>7914</v>
      </c>
      <c r="G1969" s="7" t="s">
        <v>7936</v>
      </c>
      <c r="H1969" s="8"/>
      <c r="I1969" s="14">
        <v>4</v>
      </c>
      <c r="J1969" s="14">
        <v>1</v>
      </c>
      <c r="K1969" s="6" t="str">
        <f>HYPERLINK("http://twitter.com/download/android","Twitter for Android")</f>
        <v>Twitter for Android</v>
      </c>
      <c r="L1969" s="15">
        <v>97</v>
      </c>
      <c r="M1969" s="15">
        <v>7</v>
      </c>
      <c r="N1969" s="15">
        <v>1</v>
      </c>
      <c r="O1969" s="9"/>
      <c r="P1969" s="10">
        <v>43472.287812499999</v>
      </c>
      <c r="Q1969" s="14" t="s">
        <v>2167</v>
      </c>
      <c r="R1969" s="8"/>
      <c r="S1969" s="7" t="s">
        <v>7937</v>
      </c>
      <c r="T1969" s="8"/>
      <c r="U1969" s="11" t="str">
        <f>HYPERLINK("https://pbs.twimg.com/profile_images/1085844360631992320/r-eqCVCg.jpg","View")</f>
        <v>View</v>
      </c>
      <c r="V1969" s="8"/>
      <c r="W1969" s="8"/>
      <c r="X1969" s="8"/>
      <c r="Y1969" s="8"/>
      <c r="Z1969" s="8"/>
    </row>
    <row r="1970" spans="1:26" ht="13.2">
      <c r="A1970" s="13">
        <v>44250.205891203703</v>
      </c>
      <c r="B1970" s="6" t="str">
        <f>HYPERLINK("https://twitter.com/DesignMaster16","@DesignMaster16")</f>
        <v>@DesignMaster16</v>
      </c>
      <c r="C1970" s="14" t="s">
        <v>7938</v>
      </c>
      <c r="D1970" s="14" t="s">
        <v>7939</v>
      </c>
      <c r="E1970" s="6" t="str">
        <f>HYPERLINK("https://twitter.com/DesignMaster16/status/1364061542484828166","1364061542484828166")</f>
        <v>1364061542484828166</v>
      </c>
      <c r="F1970" s="7" t="s">
        <v>7940</v>
      </c>
      <c r="G1970" s="8"/>
      <c r="H1970" s="8"/>
      <c r="I1970" s="14">
        <v>0</v>
      </c>
      <c r="J1970" s="14">
        <v>1</v>
      </c>
      <c r="K1970" s="6" t="str">
        <f>HYPERLINK("https://mobile.twitter.com","Twitter Web App")</f>
        <v>Twitter Web App</v>
      </c>
      <c r="L1970" s="15">
        <v>340</v>
      </c>
      <c r="M1970" s="15">
        <v>3775</v>
      </c>
      <c r="N1970" s="15">
        <v>3</v>
      </c>
      <c r="O1970" s="9"/>
      <c r="P1970" s="10">
        <v>43557.757592592592</v>
      </c>
      <c r="Q1970" s="14" t="s">
        <v>7941</v>
      </c>
      <c r="R1970" s="14" t="s">
        <v>7942</v>
      </c>
      <c r="S1970" s="7" t="s">
        <v>7943</v>
      </c>
      <c r="T1970" s="8"/>
      <c r="U1970" s="11" t="str">
        <f>HYPERLINK("https://pbs.twimg.com/profile_images/1337599717744623618/rFZf-Z8q.jpg","View")</f>
        <v>View</v>
      </c>
      <c r="V1970" s="8"/>
      <c r="W1970" s="8"/>
      <c r="X1970" s="8"/>
      <c r="Y1970" s="8"/>
      <c r="Z1970" s="8"/>
    </row>
    <row r="1971" spans="1:26" ht="13.2">
      <c r="A1971" s="13">
        <v>44250.205358796295</v>
      </c>
      <c r="B1971" s="6" t="str">
        <f>HYPERLINK("https://twitter.com/realColinMac","@realColinMac")</f>
        <v>@realColinMac</v>
      </c>
      <c r="C1971" s="14" t="s">
        <v>2664</v>
      </c>
      <c r="D1971" s="14" t="s">
        <v>7944</v>
      </c>
      <c r="E1971" s="6" t="str">
        <f>HYPERLINK("https://twitter.com/realColinMac/status/1364061350599692291","1364061350599692291")</f>
        <v>1364061350599692291</v>
      </c>
      <c r="F1971" s="8"/>
      <c r="G1971" s="7" t="s">
        <v>7945</v>
      </c>
      <c r="H1971" s="8"/>
      <c r="I1971" s="14">
        <v>11</v>
      </c>
      <c r="J1971" s="14">
        <v>9</v>
      </c>
      <c r="K1971" s="6" t="str">
        <f>HYPERLINK("http://twitter.com/download/android","Twitter for Android")</f>
        <v>Twitter for Android</v>
      </c>
      <c r="L1971" s="15">
        <v>13875</v>
      </c>
      <c r="M1971" s="15">
        <v>7889</v>
      </c>
      <c r="N1971" s="15">
        <v>183</v>
      </c>
      <c r="O1971" s="9"/>
      <c r="P1971" s="10">
        <v>42948.196782407409</v>
      </c>
      <c r="Q1971" s="14" t="s">
        <v>2667</v>
      </c>
      <c r="R1971" s="14" t="s">
        <v>2668</v>
      </c>
      <c r="S1971" s="8"/>
      <c r="T1971" s="8"/>
      <c r="U1971" s="11" t="str">
        <f>HYPERLINK("https://pbs.twimg.com/profile_images/1013521217540837376/3BmkgDBO.jpg","View")</f>
        <v>View</v>
      </c>
      <c r="V1971" s="8"/>
      <c r="W1971" s="8"/>
      <c r="X1971" s="8"/>
      <c r="Y1971" s="8"/>
      <c r="Z1971" s="8"/>
    </row>
    <row r="1972" spans="1:26" ht="13.2">
      <c r="A1972" s="13">
        <v>44250.205046296294</v>
      </c>
      <c r="B1972" s="6" t="str">
        <f>HYPERLINK("https://twitter.com/bigdata_engnr","@bigdata_engnr")</f>
        <v>@bigdata_engnr</v>
      </c>
      <c r="C1972" s="14" t="s">
        <v>7946</v>
      </c>
      <c r="D1972" s="14" t="s">
        <v>7947</v>
      </c>
      <c r="E1972" s="6" t="str">
        <f>HYPERLINK("https://twitter.com/bigdata_engnr/status/1364061237261209608","1364061237261209608")</f>
        <v>1364061237261209608</v>
      </c>
      <c r="F1972" s="7" t="s">
        <v>7948</v>
      </c>
      <c r="G1972" s="8"/>
      <c r="H1972" s="8"/>
      <c r="I1972" s="14">
        <v>3</v>
      </c>
      <c r="J1972" s="14">
        <v>0</v>
      </c>
      <c r="K1972" s="6" t="str">
        <f>HYPERLINK("https://mobile.twitter.com","Twitter Web App")</f>
        <v>Twitter Web App</v>
      </c>
      <c r="L1972" s="15">
        <v>770</v>
      </c>
      <c r="M1972" s="15">
        <v>2829</v>
      </c>
      <c r="N1972" s="15">
        <v>11</v>
      </c>
      <c r="O1972" s="9"/>
      <c r="P1972" s="10">
        <v>42335.338078703702</v>
      </c>
      <c r="Q1972" s="14" t="s">
        <v>3685</v>
      </c>
      <c r="R1972" s="14" t="s">
        <v>7949</v>
      </c>
      <c r="S1972" s="8"/>
      <c r="T1972" s="8"/>
      <c r="U1972" s="11" t="str">
        <f>HYPERLINK("https://pbs.twimg.com/profile_images/1326029619414233088/FXEFkk43.jpg","View")</f>
        <v>View</v>
      </c>
      <c r="V1972" s="8"/>
      <c r="W1972" s="8"/>
      <c r="X1972" s="8"/>
      <c r="Y1972" s="8"/>
      <c r="Z1972" s="8"/>
    </row>
    <row r="1973" spans="1:26" ht="13.2">
      <c r="A1973" s="13">
        <v>44250.204884259263</v>
      </c>
      <c r="B1973" s="6" t="str">
        <f>HYPERLINK("https://twitter.com/sujatvis","@sujatvis")</f>
        <v>@sujatvis</v>
      </c>
      <c r="C1973" s="14" t="s">
        <v>7950</v>
      </c>
      <c r="D1973" s="14" t="s">
        <v>7951</v>
      </c>
      <c r="E1973" s="6" t="str">
        <f>HYPERLINK("https://twitter.com/sujatvis/status/1364061177286963201","1364061177286963201")</f>
        <v>1364061177286963201</v>
      </c>
      <c r="F1973" s="7" t="s">
        <v>7952</v>
      </c>
      <c r="G1973" s="7" t="s">
        <v>7953</v>
      </c>
      <c r="H1973" s="8"/>
      <c r="I1973" s="14">
        <v>7</v>
      </c>
      <c r="J1973" s="14">
        <v>3</v>
      </c>
      <c r="K1973" s="6" t="str">
        <f>HYPERLINK("https://buffer.com","Buffer")</f>
        <v>Buffer</v>
      </c>
      <c r="L1973" s="15">
        <v>1748</v>
      </c>
      <c r="M1973" s="15">
        <v>2341</v>
      </c>
      <c r="N1973" s="15">
        <v>14</v>
      </c>
      <c r="O1973" s="9"/>
      <c r="P1973" s="10">
        <v>40333.669861111113</v>
      </c>
      <c r="Q1973" s="14" t="s">
        <v>1742</v>
      </c>
      <c r="R1973" s="14" t="s">
        <v>7954</v>
      </c>
      <c r="S1973" s="7" t="s">
        <v>7955</v>
      </c>
      <c r="T1973" s="8"/>
      <c r="U1973" s="11" t="str">
        <f>HYPERLINK("https://pbs.twimg.com/profile_images/1339604446632767488/rGmd-3v8.jpg","View")</f>
        <v>View</v>
      </c>
      <c r="V1973" s="8"/>
      <c r="W1973" s="8"/>
      <c r="X1973" s="8"/>
      <c r="Y1973" s="8"/>
      <c r="Z1973" s="8"/>
    </row>
    <row r="1974" spans="1:26" ht="13.2">
      <c r="A1974" s="13">
        <v>44250.204722222217</v>
      </c>
      <c r="B1974" s="6" t="str">
        <f>HYPERLINK("https://twitter.com/Relecura","@Relecura")</f>
        <v>@Relecura</v>
      </c>
      <c r="C1974" s="14" t="s">
        <v>7956</v>
      </c>
      <c r="D1974" s="14" t="s">
        <v>7957</v>
      </c>
      <c r="E1974" s="6" t="str">
        <f>HYPERLINK("https://twitter.com/Relecura/status/1364061117891272706","1364061117891272706")</f>
        <v>1364061117891272706</v>
      </c>
      <c r="F1974" s="7" t="s">
        <v>7958</v>
      </c>
      <c r="G1974" s="7" t="s">
        <v>7959</v>
      </c>
      <c r="H1974" s="8"/>
      <c r="I1974" s="14">
        <v>2</v>
      </c>
      <c r="J1974" s="14">
        <v>2</v>
      </c>
      <c r="K1974" s="6" t="str">
        <f>HYPERLINK("http://twitter.com/download/iphone","Twitter for iPhone")</f>
        <v>Twitter for iPhone</v>
      </c>
      <c r="L1974" s="15">
        <v>372</v>
      </c>
      <c r="M1974" s="15">
        <v>494</v>
      </c>
      <c r="N1974" s="15">
        <v>19</v>
      </c>
      <c r="O1974" s="9"/>
      <c r="P1974" s="10">
        <v>41078.391921296294</v>
      </c>
      <c r="Q1974" s="14" t="s">
        <v>7960</v>
      </c>
      <c r="R1974" s="14" t="s">
        <v>7961</v>
      </c>
      <c r="S1974" s="7" t="s">
        <v>7962</v>
      </c>
      <c r="T1974" s="8"/>
      <c r="U1974" s="11" t="str">
        <f>HYPERLINK("https://pbs.twimg.com/profile_images/504523408017616896/QJWouJIo.png","View")</f>
        <v>View</v>
      </c>
      <c r="V1974" s="8"/>
      <c r="W1974" s="8"/>
      <c r="X1974" s="8"/>
      <c r="Y1974" s="8"/>
      <c r="Z1974" s="8"/>
    </row>
    <row r="1975" spans="1:26" ht="13.2">
      <c r="A1975" s="13">
        <v>44250.204629629632</v>
      </c>
      <c r="B1975" s="6" t="str">
        <f>HYPERLINK("https://twitter.com/thatneedle","@thatneedle")</f>
        <v>@thatneedle</v>
      </c>
      <c r="C1975" s="14" t="s">
        <v>1014</v>
      </c>
      <c r="D1975" s="14" t="s">
        <v>7963</v>
      </c>
      <c r="E1975" s="6" t="str">
        <f>HYPERLINK("https://twitter.com/thatneedle/status/1364061087386148864","1364061087386148864")</f>
        <v>1364061087386148864</v>
      </c>
      <c r="F1975" s="8"/>
      <c r="G1975" s="8"/>
      <c r="H1975" s="8"/>
      <c r="I1975" s="14">
        <v>4</v>
      </c>
      <c r="J1975" s="14">
        <v>0</v>
      </c>
      <c r="K1975" s="6" t="str">
        <f t="shared" ref="K1975:K1976" si="362">HYPERLINK("https://mobile.twitter.com","Twitter Web App")</f>
        <v>Twitter Web App</v>
      </c>
      <c r="L1975" s="15">
        <v>63</v>
      </c>
      <c r="M1975" s="15">
        <v>228</v>
      </c>
      <c r="N1975" s="15">
        <v>4</v>
      </c>
      <c r="O1975" s="9"/>
      <c r="P1975" s="10">
        <v>41827.808807870373</v>
      </c>
      <c r="Q1975" s="8"/>
      <c r="R1975" s="14" t="s">
        <v>1016</v>
      </c>
      <c r="S1975" s="7" t="s">
        <v>1017</v>
      </c>
      <c r="T1975" s="8"/>
      <c r="U1975" s="11" t="str">
        <f>HYPERLINK("https://pbs.twimg.com/profile_images/642575774973751296/USJh0DNN.jpg","View")</f>
        <v>View</v>
      </c>
      <c r="V1975" s="8"/>
      <c r="W1975" s="8"/>
      <c r="X1975" s="8"/>
      <c r="Y1975" s="8"/>
      <c r="Z1975" s="8"/>
    </row>
    <row r="1976" spans="1:26" ht="13.2">
      <c r="A1976" s="13">
        <v>44250.204421296294</v>
      </c>
      <c r="B1976" s="6" t="str">
        <f>HYPERLINK("https://twitter.com/DesignMaster16","@DesignMaster16")</f>
        <v>@DesignMaster16</v>
      </c>
      <c r="C1976" s="14" t="s">
        <v>7938</v>
      </c>
      <c r="D1976" s="14" t="s">
        <v>7964</v>
      </c>
      <c r="E1976" s="6" t="str">
        <f>HYPERLINK("https://twitter.com/DesignMaster16/status/1364061010877849611","1364061010877849611")</f>
        <v>1364061010877849611</v>
      </c>
      <c r="F1976" s="7" t="s">
        <v>7940</v>
      </c>
      <c r="G1976" s="8"/>
      <c r="H1976" s="8"/>
      <c r="I1976" s="14">
        <v>16</v>
      </c>
      <c r="J1976" s="14">
        <v>4</v>
      </c>
      <c r="K1976" s="6" t="str">
        <f t="shared" si="362"/>
        <v>Twitter Web App</v>
      </c>
      <c r="L1976" s="15">
        <v>340</v>
      </c>
      <c r="M1976" s="15">
        <v>3775</v>
      </c>
      <c r="N1976" s="15">
        <v>3</v>
      </c>
      <c r="O1976" s="9"/>
      <c r="P1976" s="10">
        <v>43557.757592592592</v>
      </c>
      <c r="Q1976" s="14" t="s">
        <v>7941</v>
      </c>
      <c r="R1976" s="14" t="s">
        <v>7942</v>
      </c>
      <c r="S1976" s="7" t="s">
        <v>7943</v>
      </c>
      <c r="T1976" s="8"/>
      <c r="U1976" s="11" t="str">
        <f>HYPERLINK("https://pbs.twimg.com/profile_images/1337599717744623618/rFZf-Z8q.jpg","View")</f>
        <v>View</v>
      </c>
      <c r="V1976" s="8"/>
      <c r="W1976" s="8"/>
      <c r="X1976" s="8"/>
      <c r="Y1976" s="8"/>
      <c r="Z1976" s="8"/>
    </row>
    <row r="1977" spans="1:26" ht="13.2">
      <c r="A1977" s="13">
        <v>44250.20040509259</v>
      </c>
      <c r="B1977" s="6" t="str">
        <f t="shared" ref="B1977:B1978" si="363">HYPERLINK("https://twitter.com/machinelearnflx","@machinelearnflx")</f>
        <v>@machinelearnflx</v>
      </c>
      <c r="C1977" s="14" t="s">
        <v>279</v>
      </c>
      <c r="D1977" s="14" t="s">
        <v>7965</v>
      </c>
      <c r="E1977" s="6" t="str">
        <f>HYPERLINK("https://twitter.com/machinelearnflx/status/1364059554930167813","1364059554930167813")</f>
        <v>1364059554930167813</v>
      </c>
      <c r="F1977" s="7" t="s">
        <v>7966</v>
      </c>
      <c r="G1977" s="8"/>
      <c r="H1977" s="8"/>
      <c r="I1977" s="14">
        <v>7</v>
      </c>
      <c r="J1977" s="14">
        <v>7</v>
      </c>
      <c r="K1977" s="6" t="str">
        <f t="shared" ref="K1977:K1978" si="364">HYPERLINK("https://twitter.com/pythonbot_","Postmatico")</f>
        <v>Postmatico</v>
      </c>
      <c r="L1977" s="15">
        <v>90451</v>
      </c>
      <c r="M1977" s="15">
        <v>35464</v>
      </c>
      <c r="N1977" s="15">
        <v>2228</v>
      </c>
      <c r="O1977" s="9"/>
      <c r="P1977" s="10">
        <v>42386.538865740746</v>
      </c>
      <c r="Q1977" s="8"/>
      <c r="R1977" s="14" t="s">
        <v>282</v>
      </c>
      <c r="S1977" s="7" t="s">
        <v>283</v>
      </c>
      <c r="T1977" s="8"/>
      <c r="U1977" s="11" t="str">
        <f t="shared" ref="U1977:U1978" si="365">HYPERLINK("https://pbs.twimg.com/profile_images/688735459892195329/v8sHaWSG.jpg","View")</f>
        <v>View</v>
      </c>
      <c r="V1977" s="8"/>
      <c r="W1977" s="8"/>
      <c r="X1977" s="8"/>
      <c r="Y1977" s="8"/>
      <c r="Z1977" s="8"/>
    </row>
    <row r="1978" spans="1:26" ht="13.2">
      <c r="A1978" s="13">
        <v>44250.199594907404</v>
      </c>
      <c r="B1978" s="6" t="str">
        <f t="shared" si="363"/>
        <v>@machinelearnflx</v>
      </c>
      <c r="C1978" s="14" t="s">
        <v>279</v>
      </c>
      <c r="D1978" s="14" t="s">
        <v>7967</v>
      </c>
      <c r="E1978" s="6" t="str">
        <f>HYPERLINK("https://twitter.com/machinelearnflx/status/1364059260414545922","1364059260414545922")</f>
        <v>1364059260414545922</v>
      </c>
      <c r="F1978" s="7" t="s">
        <v>7968</v>
      </c>
      <c r="G1978" s="8"/>
      <c r="H1978" s="8"/>
      <c r="I1978" s="14">
        <v>4</v>
      </c>
      <c r="J1978" s="14">
        <v>6</v>
      </c>
      <c r="K1978" s="6" t="str">
        <f t="shared" si="364"/>
        <v>Postmatico</v>
      </c>
      <c r="L1978" s="15">
        <v>90451</v>
      </c>
      <c r="M1978" s="15">
        <v>35464</v>
      </c>
      <c r="N1978" s="15">
        <v>2228</v>
      </c>
      <c r="O1978" s="9"/>
      <c r="P1978" s="10">
        <v>42386.538865740746</v>
      </c>
      <c r="Q1978" s="8"/>
      <c r="R1978" s="14" t="s">
        <v>282</v>
      </c>
      <c r="S1978" s="7" t="s">
        <v>283</v>
      </c>
      <c r="T1978" s="8"/>
      <c r="U1978" s="11" t="str">
        <f t="shared" si="365"/>
        <v>View</v>
      </c>
      <c r="V1978" s="8"/>
      <c r="W1978" s="8"/>
      <c r="X1978" s="8"/>
      <c r="Y1978" s="8"/>
      <c r="Z1978" s="8"/>
    </row>
    <row r="1979" spans="1:26" ht="13.2">
      <c r="A1979" s="13">
        <v>44250.199363425927</v>
      </c>
      <c r="B1979" s="6" t="str">
        <f>HYPERLINK("https://twitter.com/Fabriziobustama","@Fabriziobustama")</f>
        <v>@Fabriziobustama</v>
      </c>
      <c r="C1979" s="14" t="s">
        <v>7969</v>
      </c>
      <c r="D1979" s="14" t="s">
        <v>7970</v>
      </c>
      <c r="E1979" s="6" t="str">
        <f>HYPERLINK("https://twitter.com/Fabriziobustama/status/1364059175794462721","1364059175794462721")</f>
        <v>1364059175794462721</v>
      </c>
      <c r="F1979" s="8"/>
      <c r="G1979" s="7" t="s">
        <v>7971</v>
      </c>
      <c r="H1979" s="8"/>
      <c r="I1979" s="14">
        <v>23</v>
      </c>
      <c r="J1979" s="14">
        <v>28</v>
      </c>
      <c r="K1979" s="6" t="str">
        <f>HYPERLINK("http://twitter.com/download/android","Twitter for Android")</f>
        <v>Twitter for Android</v>
      </c>
      <c r="L1979" s="15">
        <v>29476</v>
      </c>
      <c r="M1979" s="15">
        <v>7792</v>
      </c>
      <c r="N1979" s="15">
        <v>774</v>
      </c>
      <c r="O1979" s="9"/>
      <c r="P1979" s="10">
        <v>40723.746944444443</v>
      </c>
      <c r="Q1979" s="8"/>
      <c r="R1979" s="14" t="s">
        <v>7972</v>
      </c>
      <c r="S1979" s="7" t="s">
        <v>7973</v>
      </c>
      <c r="T1979" s="8"/>
      <c r="U1979" s="11" t="str">
        <f>HYPERLINK("https://pbs.twimg.com/profile_images/1090266389724549126/TYtz96Vb.jpg","View")</f>
        <v>View</v>
      </c>
      <c r="V1979" s="8"/>
      <c r="W1979" s="8"/>
      <c r="X1979" s="8"/>
      <c r="Y1979" s="8"/>
      <c r="Z1979" s="8"/>
    </row>
    <row r="1980" spans="1:26" ht="13.2">
      <c r="A1980" s="13">
        <v>44250.19930555555</v>
      </c>
      <c r="B1980" s="6" t="str">
        <f>HYPERLINK("https://twitter.com/rzembo","@rzembo")</f>
        <v>@rzembo</v>
      </c>
      <c r="C1980" s="14" t="s">
        <v>7974</v>
      </c>
      <c r="D1980" s="14" t="s">
        <v>7975</v>
      </c>
      <c r="E1980" s="6" t="str">
        <f>HYPERLINK("https://twitter.com/rzembo/status/1364059158329384961","1364059158329384961")</f>
        <v>1364059158329384961</v>
      </c>
      <c r="F1980" s="7" t="s">
        <v>7976</v>
      </c>
      <c r="G1980" s="8"/>
      <c r="H1980" s="8"/>
      <c r="I1980" s="14">
        <v>1</v>
      </c>
      <c r="J1980" s="14">
        <v>0</v>
      </c>
      <c r="K1980" s="6" t="str">
        <f t="shared" ref="K1980:K1981" si="366">HYPERLINK("https://buffer.com","Buffer")</f>
        <v>Buffer</v>
      </c>
      <c r="L1980" s="15">
        <v>5473</v>
      </c>
      <c r="M1980" s="15">
        <v>5956</v>
      </c>
      <c r="N1980" s="15">
        <v>217</v>
      </c>
      <c r="O1980" s="9"/>
      <c r="P1980" s="10">
        <v>39675.932523148149</v>
      </c>
      <c r="Q1980" s="14" t="s">
        <v>7977</v>
      </c>
      <c r="R1980" s="14" t="s">
        <v>7978</v>
      </c>
      <c r="S1980" s="8"/>
      <c r="T1980" s="8"/>
      <c r="U1980" s="11" t="str">
        <f>HYPERLINK("https://pbs.twimg.com/profile_images/761975642300743680/QaDftVzk.jpg","View")</f>
        <v>View</v>
      </c>
      <c r="V1980" s="8"/>
      <c r="W1980" s="8"/>
      <c r="X1980" s="8"/>
      <c r="Y1980" s="8"/>
      <c r="Z1980" s="8"/>
    </row>
    <row r="1981" spans="1:26" ht="13.2">
      <c r="A1981" s="13">
        <v>44250.197939814811</v>
      </c>
      <c r="B1981" s="6" t="str">
        <f>HYPERLINK("https://twitter.com/fintech_S2T","@fintech_S2T")</f>
        <v>@fintech_S2T</v>
      </c>
      <c r="C1981" s="14" t="s">
        <v>7979</v>
      </c>
      <c r="D1981" s="14" t="s">
        <v>7980</v>
      </c>
      <c r="E1981" s="6" t="str">
        <f>HYPERLINK("https://twitter.com/fintech_S2T/status/1364058662067658754","1364058662067658754")</f>
        <v>1364058662067658754</v>
      </c>
      <c r="F1981" s="8"/>
      <c r="G1981" s="7" t="s">
        <v>7981</v>
      </c>
      <c r="H1981" s="8"/>
      <c r="I1981" s="14">
        <v>0</v>
      </c>
      <c r="J1981" s="14">
        <v>3</v>
      </c>
      <c r="K1981" s="6" t="str">
        <f t="shared" si="366"/>
        <v>Buffer</v>
      </c>
      <c r="L1981" s="15">
        <v>268</v>
      </c>
      <c r="M1981" s="15">
        <v>419</v>
      </c>
      <c r="N1981" s="15">
        <v>0</v>
      </c>
      <c r="O1981" s="9"/>
      <c r="P1981" s="10">
        <v>43104.264849537038</v>
      </c>
      <c r="Q1981" s="14" t="s">
        <v>2222</v>
      </c>
      <c r="R1981" s="14" t="s">
        <v>7982</v>
      </c>
      <c r="S1981" s="7" t="s">
        <v>7983</v>
      </c>
      <c r="T1981" s="8"/>
      <c r="U1981" s="11" t="str">
        <f>HYPERLINK("https://pbs.twimg.com/profile_images/955753019211096065/7FGl2Wv7.jpg","View")</f>
        <v>View</v>
      </c>
      <c r="V1981" s="8"/>
      <c r="W1981" s="8"/>
      <c r="X1981" s="8"/>
      <c r="Y1981" s="8"/>
      <c r="Z1981" s="8"/>
    </row>
    <row r="1982" spans="1:26" ht="13.2">
      <c r="A1982" s="13">
        <v>44250.195648148147</v>
      </c>
      <c r="B1982" s="6" t="str">
        <f>HYPERLINK("https://twitter.com/aravind_ml","@aravind_ml")</f>
        <v>@aravind_ml</v>
      </c>
      <c r="C1982" s="14" t="s">
        <v>7984</v>
      </c>
      <c r="D1982" s="14" t="s">
        <v>7985</v>
      </c>
      <c r="E1982" s="6" t="str">
        <f>HYPERLINK("https://twitter.com/aravind_ml/status/1364057831117258752","1364057831117258752")</f>
        <v>1364057831117258752</v>
      </c>
      <c r="F1982" s="8"/>
      <c r="G1982" s="8"/>
      <c r="H1982" s="8"/>
      <c r="I1982" s="14">
        <v>2</v>
      </c>
      <c r="J1982" s="14">
        <v>1</v>
      </c>
      <c r="K1982" s="6" t="str">
        <f>HYPERLINK("https://mobile.twitter.com","Twitter Web App")</f>
        <v>Twitter Web App</v>
      </c>
      <c r="L1982" s="15">
        <v>59</v>
      </c>
      <c r="M1982" s="15">
        <v>286</v>
      </c>
      <c r="N1982" s="15">
        <v>1</v>
      </c>
      <c r="O1982" s="9"/>
      <c r="P1982" s="10">
        <v>41784.763159722221</v>
      </c>
      <c r="Q1982" s="14" t="s">
        <v>7986</v>
      </c>
      <c r="R1982" s="14" t="s">
        <v>7987</v>
      </c>
      <c r="S1982" s="7" t="s">
        <v>7988</v>
      </c>
      <c r="T1982" s="8"/>
      <c r="U1982" s="11" t="str">
        <f>HYPERLINK("https://pbs.twimg.com/profile_images/781780682481729537/mjZ2UG2P.jpg","View")</f>
        <v>View</v>
      </c>
      <c r="V1982" s="8"/>
      <c r="W1982" s="8"/>
      <c r="X1982" s="8"/>
      <c r="Y1982" s="8"/>
      <c r="Z1982" s="8"/>
    </row>
    <row r="1983" spans="1:26" ht="13.2">
      <c r="A1983" s="13">
        <v>44250.193645833337</v>
      </c>
      <c r="B1983" s="6" t="str">
        <f>HYPERLINK("https://twitter.com/techopcode","@techopcode")</f>
        <v>@techopcode</v>
      </c>
      <c r="C1983" s="14" t="s">
        <v>7989</v>
      </c>
      <c r="D1983" s="14" t="s">
        <v>7990</v>
      </c>
      <c r="E1983" s="6" t="str">
        <f>HYPERLINK("https://twitter.com/techopcode/status/1364057105309687814","1364057105309687814")</f>
        <v>1364057105309687814</v>
      </c>
      <c r="F1983" s="7" t="s">
        <v>7991</v>
      </c>
      <c r="G1983" s="8"/>
      <c r="H1983" s="8"/>
      <c r="I1983" s="14">
        <v>20</v>
      </c>
      <c r="J1983" s="14">
        <v>7</v>
      </c>
      <c r="K1983" s="6" t="str">
        <f t="shared" ref="K1983:K1988" si="367">HYPERLINK("http://www.tweetcaster.com","TweetCaster for Android")</f>
        <v>TweetCaster for Android</v>
      </c>
      <c r="L1983" s="15">
        <v>10664</v>
      </c>
      <c r="M1983" s="15">
        <v>9185</v>
      </c>
      <c r="N1983" s="15">
        <v>892</v>
      </c>
      <c r="O1983" s="9"/>
      <c r="P1983" s="10">
        <v>42210.592175925922</v>
      </c>
      <c r="Q1983" s="14" t="s">
        <v>364</v>
      </c>
      <c r="R1983" s="14" t="s">
        <v>7992</v>
      </c>
      <c r="S1983" s="8"/>
      <c r="T1983" s="8"/>
      <c r="U1983" s="11" t="str">
        <f>HYPERLINK("https://pbs.twimg.com/profile_images/1306930385448701954/2Id5yJKD.jpg","View")</f>
        <v>View</v>
      </c>
      <c r="V1983" s="8"/>
      <c r="W1983" s="8"/>
      <c r="X1983" s="8"/>
      <c r="Y1983" s="8"/>
      <c r="Z1983" s="8"/>
    </row>
    <row r="1984" spans="1:26" ht="13.2">
      <c r="A1984" s="13">
        <v>44250.19363425926</v>
      </c>
      <c r="B1984" s="6" t="str">
        <f>HYPERLINK("https://twitter.com/thisisgulshan","@thisisgulshan")</f>
        <v>@thisisgulshan</v>
      </c>
      <c r="C1984" s="14" t="s">
        <v>7993</v>
      </c>
      <c r="D1984" s="14" t="s">
        <v>7990</v>
      </c>
      <c r="E1984" s="6" t="str">
        <f>HYPERLINK("https://twitter.com/thisisgulshan/status/1364057100234579971","1364057100234579971")</f>
        <v>1364057100234579971</v>
      </c>
      <c r="F1984" s="7" t="s">
        <v>7991</v>
      </c>
      <c r="G1984" s="8"/>
      <c r="H1984" s="8"/>
      <c r="I1984" s="14">
        <v>19</v>
      </c>
      <c r="J1984" s="14">
        <v>6</v>
      </c>
      <c r="K1984" s="6" t="str">
        <f t="shared" si="367"/>
        <v>TweetCaster for Android</v>
      </c>
      <c r="L1984" s="15">
        <v>5148</v>
      </c>
      <c r="M1984" s="15">
        <v>4253</v>
      </c>
      <c r="N1984" s="15">
        <v>255</v>
      </c>
      <c r="O1984" s="9"/>
      <c r="P1984" s="10">
        <v>41587.857685185183</v>
      </c>
      <c r="Q1984" s="14" t="s">
        <v>6970</v>
      </c>
      <c r="R1984" s="14" t="s">
        <v>7994</v>
      </c>
      <c r="S1984" s="7" t="s">
        <v>7995</v>
      </c>
      <c r="T1984" s="8"/>
      <c r="U1984" s="11" t="str">
        <f>HYPERLINK("https://pbs.twimg.com/profile_images/1321352269359542272/xMtucH6-.jpg","View")</f>
        <v>View</v>
      </c>
      <c r="V1984" s="8"/>
      <c r="W1984" s="8"/>
      <c r="X1984" s="8"/>
      <c r="Y1984" s="8"/>
      <c r="Z1984" s="8"/>
    </row>
    <row r="1985" spans="1:26" ht="13.2">
      <c r="A1985" s="13">
        <v>44250.19332175926</v>
      </c>
      <c r="B1985" s="6" t="str">
        <f>HYPERLINK("https://twitter.com/techopcode","@techopcode")</f>
        <v>@techopcode</v>
      </c>
      <c r="C1985" s="14" t="s">
        <v>7989</v>
      </c>
      <c r="D1985" s="14" t="s">
        <v>7996</v>
      </c>
      <c r="E1985" s="6" t="str">
        <f>HYPERLINK("https://twitter.com/techopcode/status/1364056989425278976","1364056989425278976")</f>
        <v>1364056989425278976</v>
      </c>
      <c r="F1985" s="7" t="s">
        <v>7997</v>
      </c>
      <c r="G1985" s="8"/>
      <c r="H1985" s="8"/>
      <c r="I1985" s="14">
        <v>16</v>
      </c>
      <c r="J1985" s="14">
        <v>7</v>
      </c>
      <c r="K1985" s="6" t="str">
        <f t="shared" si="367"/>
        <v>TweetCaster for Android</v>
      </c>
      <c r="L1985" s="15">
        <v>10664</v>
      </c>
      <c r="M1985" s="15">
        <v>9185</v>
      </c>
      <c r="N1985" s="15">
        <v>892</v>
      </c>
      <c r="O1985" s="9"/>
      <c r="P1985" s="10">
        <v>42210.592175925922</v>
      </c>
      <c r="Q1985" s="14" t="s">
        <v>364</v>
      </c>
      <c r="R1985" s="14" t="s">
        <v>7992</v>
      </c>
      <c r="S1985" s="8"/>
      <c r="T1985" s="8"/>
      <c r="U1985" s="11" t="str">
        <f>HYPERLINK("https://pbs.twimg.com/profile_images/1306930385448701954/2Id5yJKD.jpg","View")</f>
        <v>View</v>
      </c>
      <c r="V1985" s="8"/>
      <c r="W1985" s="8"/>
      <c r="X1985" s="8"/>
      <c r="Y1985" s="8"/>
      <c r="Z1985" s="8"/>
    </row>
    <row r="1986" spans="1:26" ht="13.2">
      <c r="A1986" s="13">
        <v>44250.19332175926</v>
      </c>
      <c r="B1986" s="6" t="str">
        <f>HYPERLINK("https://twitter.com/thisisgulshan","@thisisgulshan")</f>
        <v>@thisisgulshan</v>
      </c>
      <c r="C1986" s="14" t="s">
        <v>7993</v>
      </c>
      <c r="D1986" s="14" t="s">
        <v>7996</v>
      </c>
      <c r="E1986" s="6" t="str">
        <f>HYPERLINK("https://twitter.com/thisisgulshan/status/1364056985809809414","1364056985809809414")</f>
        <v>1364056985809809414</v>
      </c>
      <c r="F1986" s="7" t="s">
        <v>7997</v>
      </c>
      <c r="G1986" s="8"/>
      <c r="H1986" s="8"/>
      <c r="I1986" s="14">
        <v>21</v>
      </c>
      <c r="J1986" s="14">
        <v>11</v>
      </c>
      <c r="K1986" s="6" t="str">
        <f t="shared" si="367"/>
        <v>TweetCaster for Android</v>
      </c>
      <c r="L1986" s="15">
        <v>5148</v>
      </c>
      <c r="M1986" s="15">
        <v>4253</v>
      </c>
      <c r="N1986" s="15">
        <v>255</v>
      </c>
      <c r="O1986" s="9"/>
      <c r="P1986" s="10">
        <v>41587.857685185183</v>
      </c>
      <c r="Q1986" s="14" t="s">
        <v>6970</v>
      </c>
      <c r="R1986" s="14" t="s">
        <v>7994</v>
      </c>
      <c r="S1986" s="7" t="s">
        <v>7995</v>
      </c>
      <c r="T1986" s="8"/>
      <c r="U1986" s="11" t="str">
        <f>HYPERLINK("https://pbs.twimg.com/profile_images/1321352269359542272/xMtucH6-.jpg","View")</f>
        <v>View</v>
      </c>
      <c r="V1986" s="8"/>
      <c r="W1986" s="8"/>
      <c r="X1986" s="8"/>
      <c r="Y1986" s="8"/>
      <c r="Z1986" s="8"/>
    </row>
    <row r="1987" spans="1:26" ht="13.2">
      <c r="A1987" s="13">
        <v>44250.191423611112</v>
      </c>
      <c r="B1987" s="6" t="str">
        <f>HYPERLINK("https://twitter.com/techopcode","@techopcode")</f>
        <v>@techopcode</v>
      </c>
      <c r="C1987" s="14" t="s">
        <v>7989</v>
      </c>
      <c r="D1987" s="14" t="s">
        <v>7998</v>
      </c>
      <c r="E1987" s="6" t="str">
        <f>HYPERLINK("https://twitter.com/techopcode/status/1364056300854763522","1364056300854763522")</f>
        <v>1364056300854763522</v>
      </c>
      <c r="F1987" s="7" t="s">
        <v>7999</v>
      </c>
      <c r="G1987" s="8"/>
      <c r="H1987" s="8"/>
      <c r="I1987" s="14">
        <v>13</v>
      </c>
      <c r="J1987" s="14">
        <v>7</v>
      </c>
      <c r="K1987" s="6" t="str">
        <f t="shared" si="367"/>
        <v>TweetCaster for Android</v>
      </c>
      <c r="L1987" s="15">
        <v>10664</v>
      </c>
      <c r="M1987" s="15">
        <v>9185</v>
      </c>
      <c r="N1987" s="15">
        <v>892</v>
      </c>
      <c r="O1987" s="9"/>
      <c r="P1987" s="10">
        <v>42210.592175925922</v>
      </c>
      <c r="Q1987" s="14" t="s">
        <v>364</v>
      </c>
      <c r="R1987" s="14" t="s">
        <v>7992</v>
      </c>
      <c r="S1987" s="8"/>
      <c r="T1987" s="8"/>
      <c r="U1987" s="11" t="str">
        <f>HYPERLINK("https://pbs.twimg.com/profile_images/1306930385448701954/2Id5yJKD.jpg","View")</f>
        <v>View</v>
      </c>
      <c r="V1987" s="8"/>
      <c r="W1987" s="8"/>
      <c r="X1987" s="8"/>
      <c r="Y1987" s="8"/>
      <c r="Z1987" s="8"/>
    </row>
    <row r="1988" spans="1:26" ht="13.2">
      <c r="A1988" s="13">
        <v>44250.191412037035</v>
      </c>
      <c r="B1988" s="6" t="str">
        <f>HYPERLINK("https://twitter.com/thisisgulshan","@thisisgulshan")</f>
        <v>@thisisgulshan</v>
      </c>
      <c r="C1988" s="14" t="s">
        <v>7993</v>
      </c>
      <c r="D1988" s="14" t="s">
        <v>7998</v>
      </c>
      <c r="E1988" s="6" t="str">
        <f>HYPERLINK("https://twitter.com/thisisgulshan/status/1364056296542990336","1364056296542990336")</f>
        <v>1364056296542990336</v>
      </c>
      <c r="F1988" s="7" t="s">
        <v>7999</v>
      </c>
      <c r="G1988" s="8"/>
      <c r="H1988" s="8"/>
      <c r="I1988" s="14">
        <v>28</v>
      </c>
      <c r="J1988" s="14">
        <v>18</v>
      </c>
      <c r="K1988" s="6" t="str">
        <f t="shared" si="367"/>
        <v>TweetCaster for Android</v>
      </c>
      <c r="L1988" s="15">
        <v>5148</v>
      </c>
      <c r="M1988" s="15">
        <v>4253</v>
      </c>
      <c r="N1988" s="15">
        <v>255</v>
      </c>
      <c r="O1988" s="9"/>
      <c r="P1988" s="10">
        <v>41587.857685185183</v>
      </c>
      <c r="Q1988" s="14" t="s">
        <v>6970</v>
      </c>
      <c r="R1988" s="14" t="s">
        <v>7994</v>
      </c>
      <c r="S1988" s="7" t="s">
        <v>7995</v>
      </c>
      <c r="T1988" s="8"/>
      <c r="U1988" s="11" t="str">
        <f>HYPERLINK("https://pbs.twimg.com/profile_images/1321352269359542272/xMtucH6-.jpg","View")</f>
        <v>View</v>
      </c>
      <c r="V1988" s="8"/>
      <c r="W1988" s="8"/>
      <c r="X1988" s="8"/>
      <c r="Y1988" s="8"/>
      <c r="Z1988" s="8"/>
    </row>
    <row r="1989" spans="1:26" ht="13.2">
      <c r="A1989" s="13">
        <v>44250.191203703704</v>
      </c>
      <c r="B1989" s="6" t="str">
        <f>HYPERLINK("https://twitter.com/MichaelMallari","@MichaelMallari")</f>
        <v>@MichaelMallari</v>
      </c>
      <c r="C1989" s="14" t="s">
        <v>638</v>
      </c>
      <c r="D1989" s="14" t="s">
        <v>8000</v>
      </c>
      <c r="E1989" s="6" t="str">
        <f>HYPERLINK("https://twitter.com/MichaelMallari/status/1364056221616119811","1364056221616119811")</f>
        <v>1364056221616119811</v>
      </c>
      <c r="F1989" s="14" t="s">
        <v>4954</v>
      </c>
      <c r="G1989" s="7" t="s">
        <v>4955</v>
      </c>
      <c r="H1989" s="8"/>
      <c r="I1989" s="14">
        <v>1</v>
      </c>
      <c r="J1989" s="14">
        <v>0</v>
      </c>
      <c r="K1989" s="6" t="str">
        <f>HYPERLINK("https://ifttt.com","IFTTT")</f>
        <v>IFTTT</v>
      </c>
      <c r="L1989" s="15">
        <v>323</v>
      </c>
      <c r="M1989" s="15">
        <v>877</v>
      </c>
      <c r="N1989" s="15">
        <v>31</v>
      </c>
      <c r="O1989" s="9"/>
      <c r="P1989" s="10">
        <v>39985.855231481481</v>
      </c>
      <c r="Q1989" s="14" t="s">
        <v>642</v>
      </c>
      <c r="R1989" s="14" t="s">
        <v>643</v>
      </c>
      <c r="S1989" s="7" t="s">
        <v>644</v>
      </c>
      <c r="T1989" s="8"/>
      <c r="U1989" s="11" t="str">
        <f>HYPERLINK("https://pbs.twimg.com/profile_images/1238625460239532032/OJW4jiyV.jpg","View")</f>
        <v>View</v>
      </c>
      <c r="V1989" s="8"/>
      <c r="W1989" s="8"/>
      <c r="X1989" s="8"/>
      <c r="Y1989" s="8"/>
      <c r="Z1989" s="8"/>
    </row>
    <row r="1990" spans="1:26" ht="13.2">
      <c r="A1990" s="13">
        <v>44250.191122685181</v>
      </c>
      <c r="B1990" s="6" t="str">
        <f>HYPERLINK("https://twitter.com/AISydneyEvents","@AISydneyEvents")</f>
        <v>@AISydneyEvents</v>
      </c>
      <c r="C1990" s="14" t="s">
        <v>8001</v>
      </c>
      <c r="D1990" s="14" t="s">
        <v>8002</v>
      </c>
      <c r="E1990" s="6" t="str">
        <f>HYPERLINK("https://twitter.com/AISydneyEvents/status/1364056192306343941","1364056192306343941")</f>
        <v>1364056192306343941</v>
      </c>
      <c r="F1990" s="7" t="s">
        <v>8003</v>
      </c>
      <c r="G1990" s="7" t="s">
        <v>8004</v>
      </c>
      <c r="H1990" s="8"/>
      <c r="I1990" s="14">
        <v>0</v>
      </c>
      <c r="J1990" s="14">
        <v>1</v>
      </c>
      <c r="K1990" s="6" t="str">
        <f>HYPERLINK("https://app.sendible.com","Sendible")</f>
        <v>Sendible</v>
      </c>
      <c r="L1990" s="15">
        <v>175</v>
      </c>
      <c r="M1990" s="15">
        <v>18</v>
      </c>
      <c r="N1990" s="15">
        <v>3</v>
      </c>
      <c r="O1990" s="9"/>
      <c r="P1990" s="10">
        <v>42954.322604166664</v>
      </c>
      <c r="Q1990" s="14" t="s">
        <v>1965</v>
      </c>
      <c r="R1990" s="14" t="s">
        <v>8005</v>
      </c>
      <c r="S1990" s="7" t="s">
        <v>8006</v>
      </c>
      <c r="T1990" s="8"/>
      <c r="U1990" s="11" t="str">
        <f>HYPERLINK("https://pbs.twimg.com/profile_images/894437378349178880/vaLVmWE8.jpg","View")</f>
        <v>View</v>
      </c>
      <c r="V1990" s="8"/>
      <c r="W1990" s="8"/>
      <c r="X1990" s="8"/>
      <c r="Y1990" s="8"/>
      <c r="Z1990" s="8"/>
    </row>
    <row r="1991" spans="1:26" ht="13.2">
      <c r="A1991" s="13">
        <v>44250.189675925925</v>
      </c>
      <c r="B1991" s="6" t="str">
        <f>HYPERLINK("https://twitter.com/enetwork_ai","@enetwork_ai")</f>
        <v>@enetwork_ai</v>
      </c>
      <c r="C1991" s="7" t="s">
        <v>8007</v>
      </c>
      <c r="D1991" s="14" t="s">
        <v>8008</v>
      </c>
      <c r="E1991" s="6" t="str">
        <f>HYPERLINK("https://twitter.com/enetwork_ai/status/1364055668034990091","1364055668034990091")</f>
        <v>1364055668034990091</v>
      </c>
      <c r="F1991" s="7" t="s">
        <v>8009</v>
      </c>
      <c r="G1991" s="8"/>
      <c r="H1991" s="8"/>
      <c r="I1991" s="14">
        <v>0</v>
      </c>
      <c r="J1991" s="14">
        <v>2</v>
      </c>
      <c r="K1991" s="6" t="str">
        <f>HYPERLINK("http://twitter.com/download/android","Twitter for Android")</f>
        <v>Twitter for Android</v>
      </c>
      <c r="L1991" s="15">
        <v>35</v>
      </c>
      <c r="M1991" s="15">
        <v>115</v>
      </c>
      <c r="N1991" s="15">
        <v>0</v>
      </c>
      <c r="O1991" s="9"/>
      <c r="P1991" s="10">
        <v>43584.35292824074</v>
      </c>
      <c r="Q1991" s="14" t="s">
        <v>8010</v>
      </c>
      <c r="R1991" s="14" t="s">
        <v>8011</v>
      </c>
      <c r="S1991" s="7" t="s">
        <v>8012</v>
      </c>
      <c r="T1991" s="8"/>
      <c r="U1991" s="11" t="str">
        <f>HYPERLINK("https://pbs.twimg.com/profile_images/1222506421419294725/z5FLgzby.jpg","View")</f>
        <v>View</v>
      </c>
      <c r="V1991" s="8"/>
      <c r="W1991" s="8"/>
      <c r="X1991" s="8"/>
      <c r="Y1991" s="8"/>
      <c r="Z1991" s="8"/>
    </row>
    <row r="1992" spans="1:26" ht="13.2">
      <c r="A1992" s="13">
        <v>44250.189618055556</v>
      </c>
      <c r="B1992" s="6" t="str">
        <f>HYPERLINK("https://twitter.com/ipfconline1","@ipfconline1")</f>
        <v>@ipfconline1</v>
      </c>
      <c r="C1992" s="14" t="s">
        <v>65</v>
      </c>
      <c r="D1992" s="14" t="s">
        <v>8013</v>
      </c>
      <c r="E1992" s="6" t="str">
        <f>HYPERLINK("https://twitter.com/ipfconline1/status/1364055645079678978","1364055645079678978")</f>
        <v>1364055645079678978</v>
      </c>
      <c r="F1992" s="7" t="s">
        <v>8014</v>
      </c>
      <c r="G1992" s="7" t="s">
        <v>8015</v>
      </c>
      <c r="H1992" s="8"/>
      <c r="I1992" s="14">
        <v>21</v>
      </c>
      <c r="J1992" s="14">
        <v>14</v>
      </c>
      <c r="K1992" s="6" t="str">
        <f>HYPERLINK("https://twittimer.com","Twittimer")</f>
        <v>Twittimer</v>
      </c>
      <c r="L1992" s="15">
        <v>112675</v>
      </c>
      <c r="M1992" s="15">
        <v>107162</v>
      </c>
      <c r="N1992" s="15">
        <v>7806</v>
      </c>
      <c r="O1992" s="9"/>
      <c r="P1992" s="10">
        <v>42433.031967592593</v>
      </c>
      <c r="Q1992" s="14" t="s">
        <v>69</v>
      </c>
      <c r="R1992" s="14" t="s">
        <v>70</v>
      </c>
      <c r="S1992" s="7" t="s">
        <v>71</v>
      </c>
      <c r="T1992" s="8"/>
      <c r="U1992" s="11" t="str">
        <f>HYPERLINK("https://pbs.twimg.com/profile_images/729065804004769793/St2_Pum9.jpg","View")</f>
        <v>View</v>
      </c>
      <c r="V1992" s="8"/>
      <c r="W1992" s="8"/>
      <c r="X1992" s="8"/>
      <c r="Y1992" s="8"/>
      <c r="Z1992" s="8"/>
    </row>
    <row r="1993" spans="1:26" ht="13.2">
      <c r="A1993" s="13">
        <v>44250.18822916667</v>
      </c>
      <c r="B1993" s="6" t="str">
        <f>HYPERLINK("https://twitter.com/clari5_AI","@clari5_AI")</f>
        <v>@clari5_AI</v>
      </c>
      <c r="C1993" s="14" t="s">
        <v>8016</v>
      </c>
      <c r="D1993" s="14" t="s">
        <v>8017</v>
      </c>
      <c r="E1993" s="6" t="str">
        <f>HYPERLINK("https://twitter.com/clari5_AI/status/1364055143004561410","1364055143004561410")</f>
        <v>1364055143004561410</v>
      </c>
      <c r="F1993" s="7" t="s">
        <v>8018</v>
      </c>
      <c r="G1993" s="7" t="s">
        <v>8019</v>
      </c>
      <c r="H1993" s="8"/>
      <c r="I1993" s="14">
        <v>1</v>
      </c>
      <c r="J1993" s="14">
        <v>1</v>
      </c>
      <c r="K1993" s="6" t="str">
        <f>HYPERLINK("https://social.zoho.com","Zoho Social")</f>
        <v>Zoho Social</v>
      </c>
      <c r="L1993" s="15">
        <v>1642</v>
      </c>
      <c r="M1993" s="15">
        <v>2012</v>
      </c>
      <c r="N1993" s="15">
        <v>223</v>
      </c>
      <c r="O1993" s="9"/>
      <c r="P1993" s="10">
        <v>40456.51152777778</v>
      </c>
      <c r="Q1993" s="14" t="s">
        <v>8020</v>
      </c>
      <c r="R1993" s="14" t="s">
        <v>8021</v>
      </c>
      <c r="S1993" s="7" t="s">
        <v>8022</v>
      </c>
      <c r="T1993" s="8"/>
      <c r="U1993" s="11" t="str">
        <f>HYPERLINK("https://pbs.twimg.com/profile_images/799700931638009856/pomFSDhK.jpg","View")</f>
        <v>View</v>
      </c>
      <c r="V1993" s="8"/>
      <c r="W1993" s="8"/>
      <c r="X1993" s="8"/>
      <c r="Y1993" s="8"/>
      <c r="Z1993" s="8"/>
    </row>
    <row r="1994" spans="1:26" ht="13.2">
      <c r="A1994" s="13">
        <v>44250.188020833331</v>
      </c>
      <c r="B1994" s="6" t="str">
        <f>HYPERLINK("https://twitter.com/into_AI","@into_AI")</f>
        <v>@into_AI</v>
      </c>
      <c r="C1994" s="14" t="s">
        <v>2021</v>
      </c>
      <c r="D1994" s="14" t="s">
        <v>8023</v>
      </c>
      <c r="E1994" s="6" t="str">
        <f>HYPERLINK("https://twitter.com/into_AI/status/1364055067821760517","1364055067821760517")</f>
        <v>1364055067821760517</v>
      </c>
      <c r="F1994" s="7" t="s">
        <v>8024</v>
      </c>
      <c r="G1994" s="8"/>
      <c r="H1994" s="8"/>
      <c r="I1994" s="14">
        <v>0</v>
      </c>
      <c r="J1994" s="14">
        <v>0</v>
      </c>
      <c r="K1994" s="6" t="str">
        <f>HYPERLINK("http://into.AI","into.AI")</f>
        <v>into.AI</v>
      </c>
      <c r="L1994" s="15">
        <v>19374</v>
      </c>
      <c r="M1994" s="15">
        <v>1707</v>
      </c>
      <c r="N1994" s="15">
        <v>3164</v>
      </c>
      <c r="O1994" s="9"/>
      <c r="P1994" s="10">
        <v>42133.721620370372</v>
      </c>
      <c r="Q1994" s="14" t="s">
        <v>2024</v>
      </c>
      <c r="R1994" s="14" t="s">
        <v>2025</v>
      </c>
      <c r="S1994" s="7" t="s">
        <v>2026</v>
      </c>
      <c r="T1994" s="8"/>
      <c r="U1994" s="11" t="str">
        <f>HYPERLINK("https://pbs.twimg.com/profile_images/967341160124608512/LM2Y5Q5m.jpg","View")</f>
        <v>View</v>
      </c>
      <c r="V1994" s="8"/>
      <c r="W1994" s="8"/>
      <c r="X1994" s="8"/>
      <c r="Y1994" s="8"/>
      <c r="Z1994" s="8"/>
    </row>
    <row r="1995" spans="1:26" ht="13.2">
      <c r="A1995" s="13">
        <v>44250.187581018516</v>
      </c>
      <c r="B1995" s="6" t="str">
        <f>HYPERLINK("https://twitter.com/dp_network","@dp_network")</f>
        <v>@dp_network</v>
      </c>
      <c r="C1995" s="14" t="s">
        <v>8025</v>
      </c>
      <c r="D1995" s="14" t="s">
        <v>8026</v>
      </c>
      <c r="E1995" s="6" t="str">
        <f>HYPERLINK("https://twitter.com/dp_network/status/1364054905477099522","1364054905477099522")</f>
        <v>1364054905477099522</v>
      </c>
      <c r="F1995" s="7" t="s">
        <v>8027</v>
      </c>
      <c r="G1995" s="7" t="s">
        <v>8028</v>
      </c>
      <c r="H1995" s="8"/>
      <c r="I1995" s="14">
        <v>0</v>
      </c>
      <c r="J1995" s="14">
        <v>0</v>
      </c>
      <c r="K1995" s="6" t="str">
        <f>HYPERLINK("https://publer.io","Publer ")</f>
        <v xml:space="preserve">Publer </v>
      </c>
      <c r="L1995" s="15">
        <v>232</v>
      </c>
      <c r="M1995" s="15">
        <v>240</v>
      </c>
      <c r="N1995" s="15">
        <v>22</v>
      </c>
      <c r="O1995" s="9"/>
      <c r="P1995" s="10">
        <v>41397.503865740742</v>
      </c>
      <c r="Q1995" s="14" t="s">
        <v>901</v>
      </c>
      <c r="R1995" s="14" t="s">
        <v>8029</v>
      </c>
      <c r="S1995" s="7" t="s">
        <v>8030</v>
      </c>
      <c r="T1995" s="8"/>
      <c r="U1995" s="11" t="str">
        <f>HYPERLINK("https://pbs.twimg.com/profile_images/1260079059616190466/QRBqDb8h.jpg","View")</f>
        <v>View</v>
      </c>
      <c r="V1995" s="8"/>
      <c r="W1995" s="8"/>
      <c r="X1995" s="8"/>
      <c r="Y1995" s="8"/>
      <c r="Z1995" s="8"/>
    </row>
    <row r="1996" spans="1:26" ht="13.2">
      <c r="A1996" s="13">
        <v>44250.185335648144</v>
      </c>
      <c r="B1996" s="6" t="str">
        <f>HYPERLINK("https://twitter.com/ehsanmok","@ehsanmok")</f>
        <v>@ehsanmok</v>
      </c>
      <c r="C1996" s="14" t="s">
        <v>8031</v>
      </c>
      <c r="D1996" s="14" t="s">
        <v>8032</v>
      </c>
      <c r="E1996" s="6" t="str">
        <f>HYPERLINK("https://twitter.com/ehsanmok/status/1364054095162601474","1364054095162601474")</f>
        <v>1364054095162601474</v>
      </c>
      <c r="F1996" s="8"/>
      <c r="G1996" s="7" t="s">
        <v>8033</v>
      </c>
      <c r="H1996" s="8"/>
      <c r="I1996" s="14">
        <v>2</v>
      </c>
      <c r="J1996" s="14">
        <v>2</v>
      </c>
      <c r="K1996" s="6" t="str">
        <f>HYPERLINK("http://twitter.com/download/android","Twitter for Android")</f>
        <v>Twitter for Android</v>
      </c>
      <c r="L1996" s="15">
        <v>279</v>
      </c>
      <c r="M1996" s="15">
        <v>70</v>
      </c>
      <c r="N1996" s="15">
        <v>47</v>
      </c>
      <c r="O1996" s="9"/>
      <c r="P1996" s="10">
        <v>41823.697604166664</v>
      </c>
      <c r="Q1996" s="14" t="s">
        <v>8034</v>
      </c>
      <c r="R1996" s="14" t="s">
        <v>8035</v>
      </c>
      <c r="S1996" s="7" t="s">
        <v>8036</v>
      </c>
      <c r="T1996" s="8"/>
      <c r="U1996" s="11" t="str">
        <f>HYPERLINK("https://pbs.twimg.com/profile_images/1269269453583204355/1l5-zViG.jpg","View")</f>
        <v>View</v>
      </c>
      <c r="V1996" s="8"/>
      <c r="W1996" s="8"/>
      <c r="X1996" s="8"/>
      <c r="Y1996" s="8"/>
      <c r="Z1996" s="8"/>
    </row>
    <row r="1997" spans="1:26" ht="13.2">
      <c r="A1997" s="13">
        <v>44250.185011574074</v>
      </c>
      <c r="B1997" s="6" t="str">
        <f>HYPERLINK("https://twitter.com/Superdigital9","@Superdigital9")</f>
        <v>@Superdigital9</v>
      </c>
      <c r="C1997" s="14" t="s">
        <v>4132</v>
      </c>
      <c r="D1997" s="14" t="s">
        <v>8037</v>
      </c>
      <c r="E1997" s="6" t="str">
        <f>HYPERLINK("https://twitter.com/Superdigital9/status/1364053978279993345","1364053978279993345")</f>
        <v>1364053978279993345</v>
      </c>
      <c r="F1997" s="14" t="s">
        <v>8038</v>
      </c>
      <c r="G1997" s="8"/>
      <c r="H1997" s="8"/>
      <c r="I1997" s="14">
        <v>1</v>
      </c>
      <c r="J1997" s="14">
        <v>0</v>
      </c>
      <c r="K1997" s="6" t="str">
        <f>HYPERLINK("http://twinybots.com","TwinyBots")</f>
        <v>TwinyBots</v>
      </c>
      <c r="L1997" s="15">
        <v>796</v>
      </c>
      <c r="M1997" s="15">
        <v>1112</v>
      </c>
      <c r="N1997" s="15">
        <v>11</v>
      </c>
      <c r="O1997" s="9"/>
      <c r="P1997" s="10">
        <v>43821.75409722222</v>
      </c>
      <c r="Q1997" s="14" t="s">
        <v>3176</v>
      </c>
      <c r="R1997" s="14" t="s">
        <v>4135</v>
      </c>
      <c r="S1997" s="7" t="s">
        <v>4136</v>
      </c>
      <c r="T1997" s="8"/>
      <c r="U1997" s="11" t="str">
        <f>HYPERLINK("https://pbs.twimg.com/profile_images/1208795846831067138/cpdkWTEq.jpg","View")</f>
        <v>View</v>
      </c>
      <c r="V1997" s="8"/>
      <c r="W1997" s="8"/>
      <c r="X1997" s="8"/>
      <c r="Y1997" s="8"/>
      <c r="Z1997" s="8"/>
    </row>
    <row r="1998" spans="1:26" ht="13.2">
      <c r="A1998" s="13">
        <v>44250.184942129628</v>
      </c>
      <c r="B1998" s="6" t="str">
        <f>HYPERLINK("https://twitter.com/FrostAnand","@FrostAnand")</f>
        <v>@FrostAnand</v>
      </c>
      <c r="C1998" s="14" t="s">
        <v>8039</v>
      </c>
      <c r="D1998" s="14" t="s">
        <v>8040</v>
      </c>
      <c r="E1998" s="6" t="str">
        <f>HYPERLINK("https://twitter.com/FrostAnand/status/1364053952992407552","1364053952992407552")</f>
        <v>1364053952992407552</v>
      </c>
      <c r="F1998" s="7" t="s">
        <v>8041</v>
      </c>
      <c r="G1998" s="8"/>
      <c r="H1998" s="8"/>
      <c r="I1998" s="14">
        <v>1</v>
      </c>
      <c r="J1998" s="14">
        <v>0</v>
      </c>
      <c r="K1998" s="6" t="str">
        <f>HYPERLINK("http://dynamicsignal.com/","Dynamic Signal")</f>
        <v>Dynamic Signal</v>
      </c>
      <c r="L1998" s="15">
        <v>52</v>
      </c>
      <c r="M1998" s="15">
        <v>38</v>
      </c>
      <c r="N1998" s="15">
        <v>9</v>
      </c>
      <c r="O1998" s="9"/>
      <c r="P1998" s="10">
        <v>42158.579432870371</v>
      </c>
      <c r="Q1998" s="8"/>
      <c r="R1998" s="8"/>
      <c r="S1998" s="8"/>
      <c r="T1998" s="8"/>
      <c r="U1998" s="11" t="str">
        <f>HYPERLINK("https://pbs.twimg.com/profile_images/737140193644269568/q296bC5S.jpg","View")</f>
        <v>View</v>
      </c>
      <c r="V1998" s="8"/>
      <c r="W1998" s="8"/>
      <c r="X1998" s="8"/>
      <c r="Y1998" s="8"/>
      <c r="Z1998" s="8"/>
    </row>
    <row r="1999" spans="1:26" ht="13.2">
      <c r="A1999" s="13">
        <v>44250.184710648144</v>
      </c>
      <c r="B1999" s="6" t="str">
        <f>HYPERLINK("https://twitter.com/Vision33_eGov","@Vision33_eGov")</f>
        <v>@Vision33_eGov</v>
      </c>
      <c r="C1999" s="14" t="s">
        <v>8042</v>
      </c>
      <c r="D1999" s="14" t="s">
        <v>8043</v>
      </c>
      <c r="E1999" s="6" t="str">
        <f>HYPERLINK("https://twitter.com/Vision33_eGov/status/1364053866837401608","1364053866837401608")</f>
        <v>1364053866837401608</v>
      </c>
      <c r="F1999" s="7" t="s">
        <v>8044</v>
      </c>
      <c r="G1999" s="8"/>
      <c r="H1999" s="8"/>
      <c r="I1999" s="14">
        <v>1</v>
      </c>
      <c r="J1999" s="14">
        <v>0</v>
      </c>
      <c r="K1999" s="6" t="str">
        <f>HYPERLINK("http://www.hubspot.com/","HubSpot")</f>
        <v>HubSpot</v>
      </c>
      <c r="L1999" s="15">
        <v>82</v>
      </c>
      <c r="M1999" s="15">
        <v>19</v>
      </c>
      <c r="N1999" s="15">
        <v>1</v>
      </c>
      <c r="O1999" s="9"/>
      <c r="P1999" s="10">
        <v>43355.809710648144</v>
      </c>
      <c r="Q1999" s="8"/>
      <c r="R1999" s="14" t="s">
        <v>8045</v>
      </c>
      <c r="S1999" s="7" t="s">
        <v>8046</v>
      </c>
      <c r="T1999" s="8"/>
      <c r="U1999" s="11" t="str">
        <f>HYPERLINK("https://pbs.twimg.com/profile_images/1046525152836562944/sKxeKPsD.jpg","View")</f>
        <v>View</v>
      </c>
      <c r="V1999" s="8"/>
      <c r="W1999" s="8"/>
      <c r="X1999" s="8"/>
      <c r="Y1999" s="8"/>
      <c r="Z1999" s="8"/>
    </row>
    <row r="2000" spans="1:26" ht="13.2">
      <c r="A2000" s="13">
        <v>44250.184305555551</v>
      </c>
      <c r="B2000" s="6" t="str">
        <f>HYPERLINK("https://twitter.com/machinelearnflx","@machinelearnflx")</f>
        <v>@machinelearnflx</v>
      </c>
      <c r="C2000" s="14" t="s">
        <v>279</v>
      </c>
      <c r="D2000" s="14" t="s">
        <v>8047</v>
      </c>
      <c r="E2000" s="6" t="str">
        <f>HYPERLINK("https://twitter.com/machinelearnflx/status/1364053722012262401","1364053722012262401")</f>
        <v>1364053722012262401</v>
      </c>
      <c r="F2000" s="7" t="s">
        <v>8048</v>
      </c>
      <c r="G2000" s="8"/>
      <c r="H2000" s="8"/>
      <c r="I2000" s="14">
        <v>2</v>
      </c>
      <c r="J2000" s="14">
        <v>4</v>
      </c>
      <c r="K2000" s="6" t="str">
        <f>HYPERLINK("https://twitter.com/pythonbot_","Postmatico")</f>
        <v>Postmatico</v>
      </c>
      <c r="L2000" s="15">
        <v>90451</v>
      </c>
      <c r="M2000" s="15">
        <v>35464</v>
      </c>
      <c r="N2000" s="15">
        <v>2228</v>
      </c>
      <c r="O2000" s="9"/>
      <c r="P2000" s="10">
        <v>42386.538865740746</v>
      </c>
      <c r="Q2000" s="8"/>
      <c r="R2000" s="14" t="s">
        <v>282</v>
      </c>
      <c r="S2000" s="7" t="s">
        <v>283</v>
      </c>
      <c r="T2000" s="8"/>
      <c r="U2000" s="11" t="str">
        <f>HYPERLINK("https://pbs.twimg.com/profile_images/688735459892195329/v8sHaWSG.jpg","View")</f>
        <v>View</v>
      </c>
      <c r="V2000" s="8"/>
      <c r="W2000" s="8"/>
      <c r="X2000" s="8"/>
      <c r="Y2000" s="8"/>
      <c r="Z2000" s="8"/>
    </row>
    <row r="2001" spans="1:26" ht="13.2">
      <c r="A2001" s="13">
        <v>44250.178831018522</v>
      </c>
      <c r="B2001" s="6" t="str">
        <f>HYPERLINK("https://twitter.com/SarbottamM","@SarbottamM")</f>
        <v>@SarbottamM</v>
      </c>
      <c r="C2001" s="14" t="s">
        <v>8049</v>
      </c>
      <c r="D2001" s="14" t="s">
        <v>8050</v>
      </c>
      <c r="E2001" s="6" t="str">
        <f>HYPERLINK("https://twitter.com/SarbottamM/status/1364051734780403715","1364051734780403715")</f>
        <v>1364051734780403715</v>
      </c>
      <c r="F2001" s="8"/>
      <c r="G2001" s="7" t="s">
        <v>8051</v>
      </c>
      <c r="H2001" s="8"/>
      <c r="I2001" s="14">
        <v>6</v>
      </c>
      <c r="J2001" s="14">
        <v>3</v>
      </c>
      <c r="K2001" s="6" t="str">
        <f>HYPERLINK("https://mobile.twitter.com","Twitter Web App")</f>
        <v>Twitter Web App</v>
      </c>
      <c r="L2001" s="15">
        <v>8</v>
      </c>
      <c r="M2001" s="15">
        <v>20</v>
      </c>
      <c r="N2001" s="15">
        <v>0</v>
      </c>
      <c r="O2001" s="9"/>
      <c r="P2001" s="10">
        <v>43519.753310185188</v>
      </c>
      <c r="Q2001" s="8"/>
      <c r="R2001" s="8"/>
      <c r="S2001" s="8"/>
      <c r="T2001" s="8"/>
      <c r="U2001" s="11" t="str">
        <f>HYPERLINK("https://pbs.twimg.com/profile_images/1345429440583643137/alE6AhdL.jpg","View")</f>
        <v>View</v>
      </c>
      <c r="V2001" s="8"/>
      <c r="W2001" s="8"/>
      <c r="X2001" s="8"/>
      <c r="Y2001" s="8"/>
      <c r="Z2001" s="8"/>
    </row>
    <row r="2002" spans="1:26" ht="13.2">
      <c r="A2002" s="13">
        <v>44250.177939814814</v>
      </c>
      <c r="B2002" s="6" t="str">
        <f>HYPERLINK("https://twitter.com/AhsanEhtesham1","@AhsanEhtesham1")</f>
        <v>@AhsanEhtesham1</v>
      </c>
      <c r="C2002" s="14" t="s">
        <v>8052</v>
      </c>
      <c r="D2002" s="14" t="s">
        <v>8053</v>
      </c>
      <c r="E2002" s="6" t="str">
        <f>HYPERLINK("https://twitter.com/AhsanEhtesham1/status/1364051415044390912","1364051415044390912")</f>
        <v>1364051415044390912</v>
      </c>
      <c r="F2002" s="14" t="s">
        <v>8054</v>
      </c>
      <c r="G2002" s="8"/>
      <c r="H2002" s="8"/>
      <c r="I2002" s="14">
        <v>2</v>
      </c>
      <c r="J2002" s="14">
        <v>0</v>
      </c>
      <c r="K2002" s="6" t="str">
        <f>HYPERLINK("http://twinybots.com","TwinyBots")</f>
        <v>TwinyBots</v>
      </c>
      <c r="L2002" s="15">
        <v>130</v>
      </c>
      <c r="M2002" s="15">
        <v>59</v>
      </c>
      <c r="N2002" s="15">
        <v>0</v>
      </c>
      <c r="O2002" s="9"/>
      <c r="P2002" s="10">
        <v>43514.85765046296</v>
      </c>
      <c r="Q2002" s="8"/>
      <c r="R2002" s="14" t="s">
        <v>8055</v>
      </c>
      <c r="S2002" s="7" t="s">
        <v>8056</v>
      </c>
      <c r="T2002" s="8"/>
      <c r="U2002" s="11" t="str">
        <f>HYPERLINK("https://pbs.twimg.com/profile_images/1160074672324653057/Uy0y3u39.jpg","View")</f>
        <v>View</v>
      </c>
      <c r="V2002" s="8"/>
      <c r="W2002" s="8"/>
      <c r="X2002" s="8"/>
      <c r="Y2002" s="8"/>
      <c r="Z2002" s="8"/>
    </row>
    <row r="2003" spans="1:26" ht="13.2">
      <c r="A2003" s="13">
        <v>44250.177118055552</v>
      </c>
      <c r="B2003" s="6" t="str">
        <f>HYPERLINK("https://twitter.com/SpirosMargaris","@SpirosMargaris")</f>
        <v>@SpirosMargaris</v>
      </c>
      <c r="C2003" s="14" t="s">
        <v>3558</v>
      </c>
      <c r="D2003" s="14" t="s">
        <v>8057</v>
      </c>
      <c r="E2003" s="6" t="str">
        <f>HYPERLINK("https://twitter.com/SpirosMargaris/status/1364051117190094848","1364051117190094848")</f>
        <v>1364051117190094848</v>
      </c>
      <c r="F2003" s="7" t="s">
        <v>8058</v>
      </c>
      <c r="G2003" s="7" t="s">
        <v>8059</v>
      </c>
      <c r="H2003" s="8"/>
      <c r="I2003" s="14">
        <v>5</v>
      </c>
      <c r="J2003" s="14">
        <v>4</v>
      </c>
      <c r="K2003" s="6" t="str">
        <f>HYPERLINK("https://buffer.com","Buffer")</f>
        <v>Buffer</v>
      </c>
      <c r="L2003" s="15">
        <v>107389</v>
      </c>
      <c r="M2003" s="15">
        <v>15890</v>
      </c>
      <c r="N2003" s="15">
        <v>5693</v>
      </c>
      <c r="O2003" s="15" t="s">
        <v>130</v>
      </c>
      <c r="P2003" s="10">
        <v>41857.30574074074</v>
      </c>
      <c r="Q2003" s="14" t="s">
        <v>3562</v>
      </c>
      <c r="R2003" s="14" t="s">
        <v>3563</v>
      </c>
      <c r="S2003" s="7" t="s">
        <v>3564</v>
      </c>
      <c r="T2003" s="8"/>
      <c r="U2003" s="11" t="str">
        <f>HYPERLINK("https://pbs.twimg.com/profile_images/1346443960986775553/TGeiH97s.jpg","View")</f>
        <v>View</v>
      </c>
      <c r="V2003" s="8"/>
      <c r="W2003" s="8"/>
      <c r="X2003" s="8"/>
      <c r="Y2003" s="8"/>
      <c r="Z2003" s="8"/>
    </row>
    <row r="2004" spans="1:26" ht="13.2">
      <c r="A2004" s="13">
        <v>44250.176736111112</v>
      </c>
      <c r="B2004" s="6" t="str">
        <f>HYPERLINK("https://twitter.com/cfregly","@cfregly")</f>
        <v>@cfregly</v>
      </c>
      <c r="C2004" s="14" t="s">
        <v>8060</v>
      </c>
      <c r="D2004" s="14" t="s">
        <v>8061</v>
      </c>
      <c r="E2004" s="6" t="str">
        <f>HYPERLINK("https://twitter.com/cfregly/status/1364050975560884226","1364050975560884226")</f>
        <v>1364050975560884226</v>
      </c>
      <c r="F2004" s="7" t="s">
        <v>8062</v>
      </c>
      <c r="G2004" s="8"/>
      <c r="H2004" s="8"/>
      <c r="I2004" s="14">
        <v>9</v>
      </c>
      <c r="J2004" s="14">
        <v>3</v>
      </c>
      <c r="K2004" s="6" t="str">
        <f>HYPERLINK("http://www.linkedin.com/","LinkedIn")</f>
        <v>LinkedIn</v>
      </c>
      <c r="L2004" s="15">
        <v>2606</v>
      </c>
      <c r="M2004" s="15">
        <v>1028</v>
      </c>
      <c r="N2004" s="15">
        <v>138</v>
      </c>
      <c r="O2004" s="9"/>
      <c r="P2004" s="10">
        <v>39929.054733796293</v>
      </c>
      <c r="Q2004" s="14" t="s">
        <v>390</v>
      </c>
      <c r="R2004" s="14" t="s">
        <v>8063</v>
      </c>
      <c r="S2004" s="7" t="s">
        <v>8064</v>
      </c>
      <c r="T2004" s="8"/>
      <c r="U2004" s="11" t="str">
        <f>HYPERLINK("https://pbs.twimg.com/profile_images/1201893489933344769/HyO4MV8f.jpg","View")</f>
        <v>View</v>
      </c>
      <c r="V2004" s="8"/>
      <c r="W2004" s="8"/>
      <c r="X2004" s="8"/>
      <c r="Y2004" s="8"/>
      <c r="Z2004" s="8"/>
    </row>
    <row r="2005" spans="1:26" ht="13.2">
      <c r="A2005" s="13">
        <v>44250.174039351856</v>
      </c>
      <c r="B2005" s="6" t="str">
        <f>HYPERLINK("https://twitter.com/RetailNZ","@RetailNZ")</f>
        <v>@RetailNZ</v>
      </c>
      <c r="C2005" s="14" t="s">
        <v>8065</v>
      </c>
      <c r="D2005" s="14" t="s">
        <v>8066</v>
      </c>
      <c r="E2005" s="6" t="str">
        <f>HYPERLINK("https://twitter.com/RetailNZ/status/1364049998300676101","1364049998300676101")</f>
        <v>1364049998300676101</v>
      </c>
      <c r="F2005" s="7" t="s">
        <v>8067</v>
      </c>
      <c r="G2005" s="7" t="s">
        <v>8068</v>
      </c>
      <c r="H2005" s="8"/>
      <c r="I2005" s="14">
        <v>6</v>
      </c>
      <c r="J2005" s="14">
        <v>0</v>
      </c>
      <c r="K2005" s="6" t="str">
        <f>HYPERLINK("https://mobile.twitter.com","Twitter Web App")</f>
        <v>Twitter Web App</v>
      </c>
      <c r="L2005" s="15">
        <v>1743</v>
      </c>
      <c r="M2005" s="15">
        <v>1248</v>
      </c>
      <c r="N2005" s="15">
        <v>55</v>
      </c>
      <c r="O2005" s="9"/>
      <c r="P2005" s="10">
        <v>40613.134687500002</v>
      </c>
      <c r="Q2005" s="14" t="s">
        <v>8069</v>
      </c>
      <c r="R2005" s="14" t="s">
        <v>8070</v>
      </c>
      <c r="S2005" s="7" t="s">
        <v>8071</v>
      </c>
      <c r="T2005" s="8"/>
      <c r="U2005" s="11" t="str">
        <f>HYPERLINK("https://pbs.twimg.com/profile_images/1159238161920167938/DpKzErsB.jpg","View")</f>
        <v>View</v>
      </c>
      <c r="V2005" s="8"/>
      <c r="W2005" s="8"/>
      <c r="X2005" s="8"/>
      <c r="Y2005" s="8"/>
      <c r="Z2005" s="8"/>
    </row>
    <row r="2006" spans="1:26" ht="13.2">
      <c r="A2006" s="13">
        <v>44250.173622685186</v>
      </c>
      <c r="B2006" s="6" t="str">
        <f>HYPERLINK("https://twitter.com/mpyllan","@mpyllan")</f>
        <v>@mpyllan</v>
      </c>
      <c r="C2006" s="14" t="s">
        <v>7883</v>
      </c>
      <c r="D2006" s="14" t="s">
        <v>8072</v>
      </c>
      <c r="E2006" s="6" t="str">
        <f>HYPERLINK("https://twitter.com/mpyllan/status/1364049850900377602","1364049850900377602")</f>
        <v>1364049850900377602</v>
      </c>
      <c r="F2006" s="7" t="s">
        <v>8073</v>
      </c>
      <c r="G2006" s="8"/>
      <c r="H2006" s="8"/>
      <c r="I2006" s="14">
        <v>3</v>
      </c>
      <c r="J2006" s="14">
        <v>2</v>
      </c>
      <c r="K2006" s="6" t="str">
        <f>HYPERLINK("https://buffer.com","Buffer")</f>
        <v>Buffer</v>
      </c>
      <c r="L2006" s="15">
        <v>799</v>
      </c>
      <c r="M2006" s="15">
        <v>389</v>
      </c>
      <c r="N2006" s="15">
        <v>1164</v>
      </c>
      <c r="O2006" s="9"/>
      <c r="P2006" s="10">
        <v>39658.941886574074</v>
      </c>
      <c r="Q2006" s="14" t="s">
        <v>7886</v>
      </c>
      <c r="R2006" s="14" t="s">
        <v>7887</v>
      </c>
      <c r="S2006" s="7" t="s">
        <v>7888</v>
      </c>
      <c r="T2006" s="8"/>
      <c r="U2006" s="11" t="str">
        <f>HYPERLINK("https://pbs.twimg.com/profile_images/57429082/manu.jpg","View")</f>
        <v>View</v>
      </c>
      <c r="V2006" s="8"/>
      <c r="W2006" s="8"/>
      <c r="X2006" s="8"/>
      <c r="Y2006" s="8"/>
      <c r="Z2006" s="8"/>
    </row>
    <row r="2007" spans="1:26" ht="13.2">
      <c r="A2007" s="13">
        <v>44250.172986111109</v>
      </c>
      <c r="B2007" s="6" t="str">
        <f>HYPERLINK("https://twitter.com/imtiyaz18689686","@imtiyaz18689686")</f>
        <v>@imtiyaz18689686</v>
      </c>
      <c r="C2007" s="14" t="s">
        <v>8074</v>
      </c>
      <c r="D2007" s="14" t="s">
        <v>8075</v>
      </c>
      <c r="E2007" s="6" t="str">
        <f>HYPERLINK("https://twitter.com/imtiyaz18689686/status/1364049619227799555","1364049619227799555")</f>
        <v>1364049619227799555</v>
      </c>
      <c r="F2007" s="7" t="s">
        <v>8076</v>
      </c>
      <c r="G2007" s="8"/>
      <c r="H2007" s="8"/>
      <c r="I2007" s="14">
        <v>30</v>
      </c>
      <c r="J2007" s="14">
        <v>15</v>
      </c>
      <c r="K2007" s="6" t="str">
        <f>HYPERLINK("https://mobile.twitter.com","Twitter Web App")</f>
        <v>Twitter Web App</v>
      </c>
      <c r="L2007" s="15">
        <v>28</v>
      </c>
      <c r="M2007" s="15">
        <v>269</v>
      </c>
      <c r="N2007" s="15">
        <v>0</v>
      </c>
      <c r="O2007" s="9"/>
      <c r="P2007" s="10">
        <v>44020.539189814815</v>
      </c>
      <c r="Q2007" s="8"/>
      <c r="R2007" s="8"/>
      <c r="S2007" s="8"/>
      <c r="T2007" s="8"/>
      <c r="U2007" s="15" t="s">
        <v>1879</v>
      </c>
      <c r="V2007" s="8"/>
      <c r="W2007" s="8"/>
      <c r="X2007" s="8"/>
      <c r="Y2007" s="8"/>
      <c r="Z2007" s="8"/>
    </row>
    <row r="2008" spans="1:26" ht="13.2">
      <c r="A2008" s="13">
        <v>44250.17224537037</v>
      </c>
      <c r="B2008" s="6" t="str">
        <f>HYPERLINK("https://twitter.com/Calsoft_Data","@Calsoft_Data")</f>
        <v>@Calsoft_Data</v>
      </c>
      <c r="C2008" s="14" t="s">
        <v>1001</v>
      </c>
      <c r="D2008" s="14" t="s">
        <v>7255</v>
      </c>
      <c r="E2008" s="6" t="str">
        <f>HYPERLINK("https://twitter.com/Calsoft_Data/status/1364049351144845312","1364049351144845312")</f>
        <v>1364049351144845312</v>
      </c>
      <c r="F2008" s="8"/>
      <c r="G2008" s="7" t="s">
        <v>8077</v>
      </c>
      <c r="H2008" s="8"/>
      <c r="I2008" s="14">
        <v>15</v>
      </c>
      <c r="J2008" s="14">
        <v>7</v>
      </c>
      <c r="K2008" s="6" t="str">
        <f>HYPERLINK("https://buffer.com","Buffer")</f>
        <v>Buffer</v>
      </c>
      <c r="L2008" s="15">
        <v>2700</v>
      </c>
      <c r="M2008" s="15">
        <v>960</v>
      </c>
      <c r="N2008" s="15">
        <v>20</v>
      </c>
      <c r="O2008" s="9"/>
      <c r="P2008" s="10">
        <v>43510.451793981483</v>
      </c>
      <c r="Q2008" s="8"/>
      <c r="R2008" s="14" t="s">
        <v>1005</v>
      </c>
      <c r="S2008" s="8"/>
      <c r="T2008" s="8"/>
      <c r="U2008" s="11" t="str">
        <f>HYPERLINK("https://pbs.twimg.com/profile_images/1095985545094651904/dL1oPs8X.png","View")</f>
        <v>View</v>
      </c>
      <c r="V2008" s="8"/>
      <c r="W2008" s="8"/>
      <c r="X2008" s="8"/>
      <c r="Y2008" s="8"/>
      <c r="Z2008" s="8"/>
    </row>
    <row r="2009" spans="1:26" ht="13.2">
      <c r="A2009" s="13">
        <v>44250.171643518523</v>
      </c>
      <c r="B2009" s="6" t="str">
        <f>HYPERLINK("https://twitter.com/AhsanEhtesham1","@AhsanEhtesham1")</f>
        <v>@AhsanEhtesham1</v>
      </c>
      <c r="C2009" s="14" t="s">
        <v>8052</v>
      </c>
      <c r="D2009" s="14" t="s">
        <v>8078</v>
      </c>
      <c r="E2009" s="6" t="str">
        <f>HYPERLINK("https://twitter.com/AhsanEhtesham1/status/1364049133426868224","1364049133426868224")</f>
        <v>1364049133426868224</v>
      </c>
      <c r="F2009" s="14" t="s">
        <v>8079</v>
      </c>
      <c r="G2009" s="8"/>
      <c r="H2009" s="8"/>
      <c r="I2009" s="14">
        <v>2</v>
      </c>
      <c r="J2009" s="14">
        <v>1</v>
      </c>
      <c r="K2009" s="6" t="str">
        <f>HYPERLINK("http://twinybots.com","TwinyBots")</f>
        <v>TwinyBots</v>
      </c>
      <c r="L2009" s="15">
        <v>130</v>
      </c>
      <c r="M2009" s="15">
        <v>59</v>
      </c>
      <c r="N2009" s="15">
        <v>0</v>
      </c>
      <c r="O2009" s="9"/>
      <c r="P2009" s="10">
        <v>43514.85765046296</v>
      </c>
      <c r="Q2009" s="8"/>
      <c r="R2009" s="14" t="s">
        <v>8055</v>
      </c>
      <c r="S2009" s="7" t="s">
        <v>8056</v>
      </c>
      <c r="T2009" s="8"/>
      <c r="U2009" s="11" t="str">
        <f>HYPERLINK("https://pbs.twimg.com/profile_images/1160074672324653057/Uy0y3u39.jpg","View")</f>
        <v>View</v>
      </c>
      <c r="V2009" s="8"/>
      <c r="W2009" s="8"/>
      <c r="X2009" s="8"/>
      <c r="Y2009" s="8"/>
      <c r="Z2009" s="8"/>
    </row>
    <row r="2010" spans="1:26" ht="13.2">
      <c r="A2010" s="13">
        <v>44250.170891203699</v>
      </c>
      <c r="B2010" s="6" t="str">
        <f>HYPERLINK("https://twitter.com/BlackWomenInAI","@BlackWomenInAI")</f>
        <v>@BlackWomenInAI</v>
      </c>
      <c r="C2010" s="14" t="s">
        <v>4913</v>
      </c>
      <c r="D2010" s="14" t="s">
        <v>8080</v>
      </c>
      <c r="E2010" s="6" t="str">
        <f>HYPERLINK("https://twitter.com/BlackWomenInAI/status/1364048861296168969","1364048861296168969")</f>
        <v>1364048861296168969</v>
      </c>
      <c r="F2010" s="8"/>
      <c r="G2010" s="7" t="s">
        <v>8081</v>
      </c>
      <c r="H2010" s="8"/>
      <c r="I2010" s="14">
        <v>14</v>
      </c>
      <c r="J2010" s="14">
        <v>9</v>
      </c>
      <c r="K2010" s="6" t="str">
        <f t="shared" ref="K2010:K2011" si="368">HYPERLINK("https://mobile.twitter.com","Twitter Web App")</f>
        <v>Twitter Web App</v>
      </c>
      <c r="L2010" s="15">
        <v>2602</v>
      </c>
      <c r="M2010" s="15">
        <v>561</v>
      </c>
      <c r="N2010" s="15">
        <v>62</v>
      </c>
      <c r="O2010" s="9"/>
      <c r="P2010" s="10">
        <v>43093.338275462964</v>
      </c>
      <c r="Q2010" s="14" t="s">
        <v>1815</v>
      </c>
      <c r="R2010" s="14" t="s">
        <v>4916</v>
      </c>
      <c r="S2010" s="7" t="s">
        <v>4917</v>
      </c>
      <c r="T2010" s="8"/>
      <c r="U2010" s="11" t="str">
        <f>HYPERLINK("https://pbs.twimg.com/profile_images/1128561130857742336/HEk8TZ7g.png","View")</f>
        <v>View</v>
      </c>
      <c r="V2010" s="8"/>
      <c r="W2010" s="8"/>
      <c r="X2010" s="8"/>
      <c r="Y2010" s="8"/>
      <c r="Z2010" s="8"/>
    </row>
    <row r="2011" spans="1:26" ht="13.2">
      <c r="A2011" s="13">
        <v>44250.170740740738</v>
      </c>
      <c r="B2011" s="6" t="str">
        <f>HYPERLINK("https://twitter.com/intriago_vanesa","@intriago_vanesa")</f>
        <v>@intriago_vanesa</v>
      </c>
      <c r="C2011" s="14" t="s">
        <v>8082</v>
      </c>
      <c r="D2011" s="14" t="s">
        <v>8083</v>
      </c>
      <c r="E2011" s="6" t="str">
        <f>HYPERLINK("https://twitter.com/intriago_vanesa/status/1364048803221880837","1364048803221880837")</f>
        <v>1364048803221880837</v>
      </c>
      <c r="F2011" s="7" t="s">
        <v>8084</v>
      </c>
      <c r="G2011" s="7" t="s">
        <v>8085</v>
      </c>
      <c r="H2011" s="8"/>
      <c r="I2011" s="14">
        <v>24</v>
      </c>
      <c r="J2011" s="14">
        <v>9</v>
      </c>
      <c r="K2011" s="6" t="str">
        <f t="shared" si="368"/>
        <v>Twitter Web App</v>
      </c>
      <c r="L2011" s="15">
        <v>37</v>
      </c>
      <c r="M2011" s="15">
        <v>69</v>
      </c>
      <c r="N2011" s="15">
        <v>0</v>
      </c>
      <c r="O2011" s="9"/>
      <c r="P2011" s="10">
        <v>44202.965543981481</v>
      </c>
      <c r="Q2011" s="8"/>
      <c r="R2011" s="14" t="s">
        <v>8086</v>
      </c>
      <c r="S2011" s="8"/>
      <c r="T2011" s="8"/>
      <c r="U2011" s="11" t="str">
        <f>HYPERLINK("https://pbs.twimg.com/profile_images/1346942486556631041/W_hPcqca.jpg","View")</f>
        <v>View</v>
      </c>
      <c r="V2011" s="8"/>
      <c r="W2011" s="8"/>
      <c r="X2011" s="8"/>
      <c r="Y2011" s="8"/>
      <c r="Z2011" s="8"/>
    </row>
    <row r="2012" spans="1:26" ht="13.2">
      <c r="A2012" s="13">
        <v>44250.170219907406</v>
      </c>
      <c r="B2012" s="6" t="str">
        <f>HYPERLINK("https://twitter.com/MiriamAsensi","@MiriamAsensi")</f>
        <v>@MiriamAsensi</v>
      </c>
      <c r="C2012" s="14" t="s">
        <v>2634</v>
      </c>
      <c r="D2012" s="14" t="s">
        <v>8087</v>
      </c>
      <c r="E2012" s="6" t="str">
        <f>HYPERLINK("https://twitter.com/MiriamAsensi/status/1364048617858871299","1364048617858871299")</f>
        <v>1364048617858871299</v>
      </c>
      <c r="F2012" s="7" t="s">
        <v>8088</v>
      </c>
      <c r="G2012" s="8"/>
      <c r="H2012" s="8"/>
      <c r="I2012" s="14">
        <v>4</v>
      </c>
      <c r="J2012" s="14">
        <v>4</v>
      </c>
      <c r="K2012" s="6" t="str">
        <f>HYPERLINK("https://socxopte.com/","SocxoPte")</f>
        <v>SocxoPte</v>
      </c>
      <c r="L2012" s="15">
        <v>746</v>
      </c>
      <c r="M2012" s="15">
        <v>882</v>
      </c>
      <c r="N2012" s="15">
        <v>5</v>
      </c>
      <c r="O2012" s="9"/>
      <c r="P2012" s="10">
        <v>43995.357581018514</v>
      </c>
      <c r="Q2012" s="14" t="s">
        <v>599</v>
      </c>
      <c r="R2012" s="14" t="s">
        <v>2637</v>
      </c>
      <c r="S2012" s="7" t="s">
        <v>2638</v>
      </c>
      <c r="T2012" s="8"/>
      <c r="U2012" s="11" t="str">
        <f>HYPERLINK("https://pbs.twimg.com/profile_images/1271692933683699712/Y4d_WLK4.jpg","View")</f>
        <v>View</v>
      </c>
      <c r="V2012" s="8"/>
      <c r="W2012" s="8"/>
      <c r="X2012" s="8"/>
      <c r="Y2012" s="8"/>
      <c r="Z2012" s="8"/>
    </row>
    <row r="2013" spans="1:26" ht="13.2">
      <c r="A2013" s="13">
        <v>44250.169432870374</v>
      </c>
      <c r="B2013" s="6" t="str">
        <f>HYPERLINK("https://twitter.com/DataScienceDojo","@DataScienceDojo")</f>
        <v>@DataScienceDojo</v>
      </c>
      <c r="C2013" s="14" t="s">
        <v>8089</v>
      </c>
      <c r="D2013" s="14" t="s">
        <v>8090</v>
      </c>
      <c r="E2013" s="6" t="str">
        <f>HYPERLINK("https://twitter.com/DataScienceDojo/status/1364048330767106048","1364048330767106048")</f>
        <v>1364048330767106048</v>
      </c>
      <c r="F2013" s="7" t="s">
        <v>8091</v>
      </c>
      <c r="G2013" s="8"/>
      <c r="H2013" s="8"/>
      <c r="I2013" s="14">
        <v>10</v>
      </c>
      <c r="J2013" s="14">
        <v>1</v>
      </c>
      <c r="K2013" s="6" t="str">
        <f>HYPERLINK("http://www.hubspot.com/","HubSpot")</f>
        <v>HubSpot</v>
      </c>
      <c r="L2013" s="15">
        <v>7398</v>
      </c>
      <c r="M2013" s="15">
        <v>999</v>
      </c>
      <c r="N2013" s="15">
        <v>880</v>
      </c>
      <c r="O2013" s="9"/>
      <c r="P2013" s="10">
        <v>41364.893020833333</v>
      </c>
      <c r="Q2013" s="14" t="s">
        <v>8092</v>
      </c>
      <c r="R2013" s="14" t="s">
        <v>8093</v>
      </c>
      <c r="S2013" s="7" t="s">
        <v>8094</v>
      </c>
      <c r="T2013" s="8"/>
      <c r="U2013" s="11" t="str">
        <f>HYPERLINK("https://pbs.twimg.com/profile_images/1191411823821479936/2MLLa0IP.jpg","View")</f>
        <v>View</v>
      </c>
      <c r="V2013" s="8"/>
      <c r="W2013" s="8"/>
      <c r="X2013" s="8"/>
      <c r="Y2013" s="8"/>
      <c r="Z2013" s="8"/>
    </row>
    <row r="2014" spans="1:26" ht="13.2">
      <c r="A2014" s="13">
        <v>44250.16851851852</v>
      </c>
      <c r="B2014" s="6" t="str">
        <f>HYPERLINK("https://twitter.com/BlackWomenInAI","@BlackWomenInAI")</f>
        <v>@BlackWomenInAI</v>
      </c>
      <c r="C2014" s="14" t="s">
        <v>4913</v>
      </c>
      <c r="D2014" s="14" t="s">
        <v>8095</v>
      </c>
      <c r="E2014" s="6" t="str">
        <f>HYPERLINK("https://twitter.com/BlackWomenInAI/status/1364048001161977856","1364048001161977856")</f>
        <v>1364048001161977856</v>
      </c>
      <c r="F2014" s="8"/>
      <c r="G2014" s="7" t="s">
        <v>8096</v>
      </c>
      <c r="H2014" s="8"/>
      <c r="I2014" s="14">
        <v>33</v>
      </c>
      <c r="J2014" s="14">
        <v>17</v>
      </c>
      <c r="K2014" s="6" t="str">
        <f t="shared" ref="K2014:K2015" si="369">HYPERLINK("https://mobile.twitter.com","Twitter Web App")</f>
        <v>Twitter Web App</v>
      </c>
      <c r="L2014" s="15">
        <v>2602</v>
      </c>
      <c r="M2014" s="15">
        <v>561</v>
      </c>
      <c r="N2014" s="15">
        <v>62</v>
      </c>
      <c r="O2014" s="9"/>
      <c r="P2014" s="10">
        <v>43093.338275462964</v>
      </c>
      <c r="Q2014" s="14" t="s">
        <v>1815</v>
      </c>
      <c r="R2014" s="14" t="s">
        <v>4916</v>
      </c>
      <c r="S2014" s="7" t="s">
        <v>4917</v>
      </c>
      <c r="T2014" s="8"/>
      <c r="U2014" s="11" t="str">
        <f>HYPERLINK("https://pbs.twimg.com/profile_images/1128561130857742336/HEk8TZ7g.png","View")</f>
        <v>View</v>
      </c>
      <c r="V2014" s="8"/>
      <c r="W2014" s="8"/>
      <c r="X2014" s="8"/>
      <c r="Y2014" s="8"/>
      <c r="Z2014" s="8"/>
    </row>
    <row r="2015" spans="1:26" ht="13.2">
      <c r="A2015" s="13">
        <v>44250.168379629627</v>
      </c>
      <c r="B2015" s="6" t="str">
        <f>HYPERLINK("https://twitter.com/FreeHipwee","@FreeHipwee")</f>
        <v>@FreeHipwee</v>
      </c>
      <c r="C2015" s="14" t="s">
        <v>1968</v>
      </c>
      <c r="D2015" s="14" t="s">
        <v>8097</v>
      </c>
      <c r="E2015" s="6" t="str">
        <f>HYPERLINK("https://twitter.com/FreeHipwee/status/1364047950368829441","1364047950368829441")</f>
        <v>1364047950368829441</v>
      </c>
      <c r="F2015" s="7" t="s">
        <v>8098</v>
      </c>
      <c r="G2015" s="8"/>
      <c r="H2015" s="8"/>
      <c r="I2015" s="14">
        <v>20</v>
      </c>
      <c r="J2015" s="14">
        <v>6</v>
      </c>
      <c r="K2015" s="6" t="str">
        <f t="shared" si="369"/>
        <v>Twitter Web App</v>
      </c>
      <c r="L2015" s="15">
        <v>444</v>
      </c>
      <c r="M2015" s="15">
        <v>152</v>
      </c>
      <c r="N2015" s="15">
        <v>7</v>
      </c>
      <c r="O2015" s="9"/>
      <c r="P2015" s="10">
        <v>43642.24018518519</v>
      </c>
      <c r="Q2015" s="8"/>
      <c r="R2015" s="14" t="s">
        <v>1971</v>
      </c>
      <c r="S2015" s="8"/>
      <c r="T2015" s="8"/>
      <c r="U2015" s="11" t="str">
        <f>HYPERLINK("https://pbs.twimg.com/profile_images/1143734724977762304/i9HNUbp4.png","View")</f>
        <v>View</v>
      </c>
      <c r="V2015" s="8"/>
      <c r="W2015" s="8"/>
      <c r="X2015" s="8"/>
      <c r="Y2015" s="8"/>
      <c r="Z2015" s="8"/>
    </row>
    <row r="2016" spans="1:26" ht="13.2">
      <c r="A2016" s="13">
        <v>44250.167384259257</v>
      </c>
      <c r="B2016" s="6" t="str">
        <f>HYPERLINK("https://twitter.com/ArthurGuttilla","@ArthurGuttilla")</f>
        <v>@ArthurGuttilla</v>
      </c>
      <c r="C2016" s="14" t="s">
        <v>8099</v>
      </c>
      <c r="D2016" s="14" t="s">
        <v>8100</v>
      </c>
      <c r="E2016" s="6" t="str">
        <f>HYPERLINK("https://twitter.com/ArthurGuttilla/status/1364047588232728580","1364047588232728580")</f>
        <v>1364047588232728580</v>
      </c>
      <c r="F2016" s="7" t="s">
        <v>8101</v>
      </c>
      <c r="G2016" s="7" t="s">
        <v>8102</v>
      </c>
      <c r="H2016" s="8"/>
      <c r="I2016" s="14">
        <v>0</v>
      </c>
      <c r="J2016" s="14">
        <v>0</v>
      </c>
      <c r="K2016" s="6" t="str">
        <f>HYPERLINK("http://www.everyonesocial.com","EveryoneSocial")</f>
        <v>EveryoneSocial</v>
      </c>
      <c r="L2016" s="15">
        <v>36</v>
      </c>
      <c r="M2016" s="15">
        <v>388</v>
      </c>
      <c r="N2016" s="15">
        <v>0</v>
      </c>
      <c r="O2016" s="9"/>
      <c r="P2016" s="10">
        <v>40077.855636574073</v>
      </c>
      <c r="Q2016" s="14" t="s">
        <v>3040</v>
      </c>
      <c r="R2016" s="14" t="s">
        <v>8103</v>
      </c>
      <c r="S2016" s="7" t="s">
        <v>8104</v>
      </c>
      <c r="T2016" s="8"/>
      <c r="U2016" s="11" t="str">
        <f>HYPERLINK("https://pbs.twimg.com/profile_images/1266353385659420673/SD2ML-vx.jpg","View")</f>
        <v>View</v>
      </c>
      <c r="V2016" s="8"/>
      <c r="W2016" s="8"/>
      <c r="X2016" s="8"/>
      <c r="Y2016" s="8"/>
      <c r="Z2016" s="8"/>
    </row>
    <row r="2017" spans="1:26" ht="13.2">
      <c r="A2017" s="13">
        <v>44250.167384259257</v>
      </c>
      <c r="B2017" s="6" t="str">
        <f>HYPERLINK("https://twitter.com/SpirosMargaris","@SpirosMargaris")</f>
        <v>@SpirosMargaris</v>
      </c>
      <c r="C2017" s="14" t="s">
        <v>3558</v>
      </c>
      <c r="D2017" s="14" t="s">
        <v>8105</v>
      </c>
      <c r="E2017" s="6" t="str">
        <f>HYPERLINK("https://twitter.com/SpirosMargaris/status/1364047587624558592","1364047587624558592")</f>
        <v>1364047587624558592</v>
      </c>
      <c r="F2017" s="7" t="s">
        <v>5920</v>
      </c>
      <c r="G2017" s="7" t="s">
        <v>8106</v>
      </c>
      <c r="H2017" s="8"/>
      <c r="I2017" s="14">
        <v>29</v>
      </c>
      <c r="J2017" s="14">
        <v>37</v>
      </c>
      <c r="K2017" s="6" t="str">
        <f>HYPERLINK("https://buffer.com","Buffer")</f>
        <v>Buffer</v>
      </c>
      <c r="L2017" s="15">
        <v>107389</v>
      </c>
      <c r="M2017" s="15">
        <v>15890</v>
      </c>
      <c r="N2017" s="15">
        <v>5693</v>
      </c>
      <c r="O2017" s="15" t="s">
        <v>130</v>
      </c>
      <c r="P2017" s="10">
        <v>41857.30574074074</v>
      </c>
      <c r="Q2017" s="14" t="s">
        <v>3562</v>
      </c>
      <c r="R2017" s="14" t="s">
        <v>3563</v>
      </c>
      <c r="S2017" s="7" t="s">
        <v>3564</v>
      </c>
      <c r="T2017" s="8"/>
      <c r="U2017" s="11" t="str">
        <f>HYPERLINK("https://pbs.twimg.com/profile_images/1346443960986775553/TGeiH97s.jpg","View")</f>
        <v>View</v>
      </c>
      <c r="V2017" s="8"/>
      <c r="W2017" s="8"/>
      <c r="X2017" s="8"/>
      <c r="Y2017" s="8"/>
      <c r="Z2017" s="8"/>
    </row>
    <row r="2018" spans="1:26" ht="13.2">
      <c r="A2018" s="13">
        <v>44250.167384259257</v>
      </c>
      <c r="B2018" s="6" t="str">
        <f>HYPERLINK("https://twitter.com/ArthurGuttilla","@ArthurGuttilla")</f>
        <v>@ArthurGuttilla</v>
      </c>
      <c r="C2018" s="14" t="s">
        <v>8099</v>
      </c>
      <c r="D2018" s="14" t="s">
        <v>8100</v>
      </c>
      <c r="E2018" s="6" t="str">
        <f>HYPERLINK("https://twitter.com/ArthurGuttilla/status/1364047586508824577","1364047586508824577")</f>
        <v>1364047586508824577</v>
      </c>
      <c r="F2018" s="7" t="s">
        <v>8101</v>
      </c>
      <c r="G2018" s="7" t="s">
        <v>8107</v>
      </c>
      <c r="H2018" s="8"/>
      <c r="I2018" s="14">
        <v>0</v>
      </c>
      <c r="J2018" s="14">
        <v>0</v>
      </c>
      <c r="K2018" s="6" t="str">
        <f>HYPERLINK("http://www.everyonesocial.com","EveryoneSocial")</f>
        <v>EveryoneSocial</v>
      </c>
      <c r="L2018" s="15">
        <v>36</v>
      </c>
      <c r="M2018" s="15">
        <v>388</v>
      </c>
      <c r="N2018" s="15">
        <v>0</v>
      </c>
      <c r="O2018" s="9"/>
      <c r="P2018" s="10">
        <v>40077.855636574073</v>
      </c>
      <c r="Q2018" s="14" t="s">
        <v>3040</v>
      </c>
      <c r="R2018" s="14" t="s">
        <v>8103</v>
      </c>
      <c r="S2018" s="7" t="s">
        <v>8104</v>
      </c>
      <c r="T2018" s="8"/>
      <c r="U2018" s="11" t="str">
        <f>HYPERLINK("https://pbs.twimg.com/profile_images/1266353385659420673/SD2ML-vx.jpg","View")</f>
        <v>View</v>
      </c>
      <c r="V2018" s="8"/>
      <c r="W2018" s="8"/>
      <c r="X2018" s="8"/>
      <c r="Y2018" s="8"/>
      <c r="Z2018" s="8"/>
    </row>
    <row r="2019" spans="1:26" ht="13.2">
      <c r="A2019" s="13">
        <v>44250.167025462964</v>
      </c>
      <c r="B2019" s="6" t="str">
        <f>HYPERLINK("https://twitter.com/Marktechpost","@Marktechpost")</f>
        <v>@Marktechpost</v>
      </c>
      <c r="C2019" s="7" t="s">
        <v>1071</v>
      </c>
      <c r="D2019" s="14" t="s">
        <v>8108</v>
      </c>
      <c r="E2019" s="6" t="str">
        <f>HYPERLINK("https://twitter.com/Marktechpost/status/1364047458171572225","1364047458171572225")</f>
        <v>1364047458171572225</v>
      </c>
      <c r="F2019" s="7" t="s">
        <v>8109</v>
      </c>
      <c r="G2019" s="7" t="s">
        <v>8110</v>
      </c>
      <c r="H2019" s="8"/>
      <c r="I2019" s="14">
        <v>2</v>
      </c>
      <c r="J2019" s="14">
        <v>1</v>
      </c>
      <c r="K2019" s="6" t="str">
        <f>HYPERLINK("https://www.hootsuite.com","Hootsuite Inc.")</f>
        <v>Hootsuite Inc.</v>
      </c>
      <c r="L2019" s="15">
        <v>2673</v>
      </c>
      <c r="M2019" s="15">
        <v>461</v>
      </c>
      <c r="N2019" s="15">
        <v>24</v>
      </c>
      <c r="O2019" s="9"/>
      <c r="P2019" s="10">
        <v>42467.265682870369</v>
      </c>
      <c r="Q2019" s="14" t="s">
        <v>56</v>
      </c>
      <c r="R2019" s="14" t="s">
        <v>1075</v>
      </c>
      <c r="S2019" s="7" t="s">
        <v>58</v>
      </c>
      <c r="T2019" s="8"/>
      <c r="U2019" s="11" t="str">
        <f>HYPERLINK("https://pbs.twimg.com/profile_images/994114664874180608/tD0vcytP.jpg","View")</f>
        <v>View</v>
      </c>
      <c r="V2019" s="8"/>
      <c r="W2019" s="8"/>
      <c r="X2019" s="8"/>
      <c r="Y2019" s="8"/>
      <c r="Z2019" s="8"/>
    </row>
    <row r="2020" spans="1:26" ht="13.2">
      <c r="A2020" s="13">
        <v>44250.166724537034</v>
      </c>
      <c r="B2020" s="6" t="str">
        <f>HYPERLINK("https://twitter.com/ipfconline1","@ipfconline1")</f>
        <v>@ipfconline1</v>
      </c>
      <c r="C2020" s="14" t="s">
        <v>65</v>
      </c>
      <c r="D2020" s="14" t="s">
        <v>8111</v>
      </c>
      <c r="E2020" s="6" t="str">
        <f>HYPERLINK("https://twitter.com/ipfconline1/status/1364047349610393604","1364047349610393604")</f>
        <v>1364047349610393604</v>
      </c>
      <c r="F2020" s="7" t="s">
        <v>8112</v>
      </c>
      <c r="G2020" s="7" t="s">
        <v>8113</v>
      </c>
      <c r="H2020" s="8"/>
      <c r="I2020" s="14">
        <v>13</v>
      </c>
      <c r="J2020" s="14">
        <v>12</v>
      </c>
      <c r="K2020" s="6" t="str">
        <f>HYPERLINK("https://twittimer.com","Twittimer")</f>
        <v>Twittimer</v>
      </c>
      <c r="L2020" s="15">
        <v>112675</v>
      </c>
      <c r="M2020" s="15">
        <v>107162</v>
      </c>
      <c r="N2020" s="15">
        <v>7806</v>
      </c>
      <c r="O2020" s="9"/>
      <c r="P2020" s="10">
        <v>42433.031967592593</v>
      </c>
      <c r="Q2020" s="14" t="s">
        <v>69</v>
      </c>
      <c r="R2020" s="14" t="s">
        <v>70</v>
      </c>
      <c r="S2020" s="7" t="s">
        <v>71</v>
      </c>
      <c r="T2020" s="8"/>
      <c r="U2020" s="11" t="str">
        <f>HYPERLINK("https://pbs.twimg.com/profile_images/729065804004769793/St2_Pum9.jpg","View")</f>
        <v>View</v>
      </c>
      <c r="V2020" s="8"/>
      <c r="W2020" s="8"/>
      <c r="X2020" s="8"/>
      <c r="Y2020" s="8"/>
      <c r="Z2020" s="8"/>
    </row>
    <row r="2021" spans="1:26" ht="13.2">
      <c r="A2021" s="13">
        <v>44250.166689814811</v>
      </c>
      <c r="B2021" s="6" t="str">
        <f t="shared" ref="B2021:B2022" si="370">HYPERLINK("https://twitter.com/reddit_ml","@reddit_ml")</f>
        <v>@reddit_ml</v>
      </c>
      <c r="C2021" s="14" t="s">
        <v>2744</v>
      </c>
      <c r="D2021" s="14" t="s">
        <v>8114</v>
      </c>
      <c r="E2021" s="6" t="str">
        <f>HYPERLINK("https://twitter.com/reddit_ml/status/1364047336742215687","1364047336742215687")</f>
        <v>1364047336742215687</v>
      </c>
      <c r="F2021" s="7" t="s">
        <v>8115</v>
      </c>
      <c r="G2021" s="8"/>
      <c r="H2021" s="8"/>
      <c r="I2021" s="14">
        <v>0</v>
      </c>
      <c r="J2021" s="14">
        <v>1</v>
      </c>
      <c r="K2021" s="6" t="str">
        <f t="shared" ref="K2021:K2022" si="371">HYPERLINK("https://www.reddit.com/r/MachineLearning/","reddit-ml-bot")</f>
        <v>reddit-ml-bot</v>
      </c>
      <c r="L2021" s="15">
        <v>411</v>
      </c>
      <c r="M2021" s="15">
        <v>93</v>
      </c>
      <c r="N2021" s="15">
        <v>35</v>
      </c>
      <c r="O2021" s="9"/>
      <c r="P2021" s="10">
        <v>42527.844641203701</v>
      </c>
      <c r="Q2021" s="8"/>
      <c r="R2021" s="8"/>
      <c r="S2021" s="7" t="s">
        <v>2746</v>
      </c>
      <c r="T2021" s="8"/>
      <c r="U2021" s="11" t="str">
        <f t="shared" ref="U2021:U2022" si="372">HYPERLINK("https://pbs.twimg.com/profile_images/739887457206996992/9NUmKQvu.jpg","View")</f>
        <v>View</v>
      </c>
      <c r="V2021" s="8"/>
      <c r="W2021" s="8"/>
      <c r="X2021" s="8"/>
      <c r="Y2021" s="8"/>
      <c r="Z2021" s="8"/>
    </row>
    <row r="2022" spans="1:26" ht="13.2">
      <c r="A2022" s="13">
        <v>44250.166689814811</v>
      </c>
      <c r="B2022" s="6" t="str">
        <f t="shared" si="370"/>
        <v>@reddit_ml</v>
      </c>
      <c r="C2022" s="14" t="s">
        <v>2744</v>
      </c>
      <c r="D2022" s="14" t="s">
        <v>8116</v>
      </c>
      <c r="E2022" s="6" t="str">
        <f>HYPERLINK("https://twitter.com/reddit_ml/status/1364047335643353090","1364047335643353090")</f>
        <v>1364047335643353090</v>
      </c>
      <c r="F2022" s="7" t="s">
        <v>8117</v>
      </c>
      <c r="G2022" s="8"/>
      <c r="H2022" s="8"/>
      <c r="I2022" s="14">
        <v>0</v>
      </c>
      <c r="J2022" s="14">
        <v>0</v>
      </c>
      <c r="K2022" s="6" t="str">
        <f t="shared" si="371"/>
        <v>reddit-ml-bot</v>
      </c>
      <c r="L2022" s="15">
        <v>411</v>
      </c>
      <c r="M2022" s="15">
        <v>93</v>
      </c>
      <c r="N2022" s="15">
        <v>35</v>
      </c>
      <c r="O2022" s="9"/>
      <c r="P2022" s="10">
        <v>42527.844641203701</v>
      </c>
      <c r="Q2022" s="8"/>
      <c r="R2022" s="8"/>
      <c r="S2022" s="7" t="s">
        <v>2746</v>
      </c>
      <c r="T2022" s="8"/>
      <c r="U2022" s="11" t="str">
        <f t="shared" si="372"/>
        <v>View</v>
      </c>
      <c r="V2022" s="8"/>
      <c r="W2022" s="8"/>
      <c r="X2022" s="8"/>
      <c r="Y2022" s="8"/>
      <c r="Z2022" s="8"/>
    </row>
    <row r="2023" spans="1:26" ht="13.2">
      <c r="A2023" s="13">
        <v>44250.166076388894</v>
      </c>
      <c r="B2023" s="6" t="str">
        <f>HYPERLINK("https://twitter.com/NeurAutomata","@NeurAutomata")</f>
        <v>@NeurAutomata</v>
      </c>
      <c r="C2023" s="14" t="s">
        <v>400</v>
      </c>
      <c r="D2023" s="14" t="s">
        <v>401</v>
      </c>
      <c r="E2023" s="6" t="str">
        <f>HYPERLINK("https://twitter.com/NeurAutomata/status/1364047114079191040","1364047114079191040")</f>
        <v>1364047114079191040</v>
      </c>
      <c r="F2023" s="7" t="s">
        <v>8118</v>
      </c>
      <c r="G2023" s="8"/>
      <c r="H2023" s="8"/>
      <c r="I2023" s="14">
        <v>3</v>
      </c>
      <c r="J2023" s="14">
        <v>1</v>
      </c>
      <c r="K2023" s="6" t="str">
        <f>HYPERLINK("https://ifttt.com","IFTTT")</f>
        <v>IFTTT</v>
      </c>
      <c r="L2023" s="15">
        <v>83</v>
      </c>
      <c r="M2023" s="15">
        <v>14</v>
      </c>
      <c r="N2023" s="15">
        <v>3</v>
      </c>
      <c r="O2023" s="9"/>
      <c r="P2023" s="10">
        <v>42862.083414351851</v>
      </c>
      <c r="Q2023" s="14" t="s">
        <v>403</v>
      </c>
      <c r="R2023" s="14" t="s">
        <v>404</v>
      </c>
      <c r="S2023" s="8"/>
      <c r="T2023" s="8"/>
      <c r="U2023" s="11" t="str">
        <f>HYPERLINK("https://pbs.twimg.com/profile_images/861050448672718848/oHUlrvEK.jpg","View")</f>
        <v>View</v>
      </c>
      <c r="V2023" s="8"/>
      <c r="W2023" s="8"/>
      <c r="X2023" s="8"/>
      <c r="Y2023" s="8"/>
      <c r="Z2023" s="8"/>
    </row>
    <row r="2024" spans="1:26" ht="13.2">
      <c r="A2024" s="13">
        <v>44250.165682870371</v>
      </c>
      <c r="B2024" s="6" t="str">
        <f>HYPERLINK("https://twitter.com/krigby38","@krigby38")</f>
        <v>@krigby38</v>
      </c>
      <c r="C2024" s="14" t="s">
        <v>8119</v>
      </c>
      <c r="D2024" s="14" t="s">
        <v>8120</v>
      </c>
      <c r="E2024" s="6" t="str">
        <f>HYPERLINK("https://twitter.com/krigby38/status/1364046971296747524","1364046971296747524")</f>
        <v>1364046971296747524</v>
      </c>
      <c r="F2024" s="7" t="s">
        <v>8121</v>
      </c>
      <c r="G2024" s="8"/>
      <c r="H2024" s="8"/>
      <c r="I2024" s="14">
        <v>3</v>
      </c>
      <c r="J2024" s="14">
        <v>1</v>
      </c>
      <c r="K2024" s="6" t="str">
        <f>HYPERLINK("https://paper.li","Paper.li")</f>
        <v>Paper.li</v>
      </c>
      <c r="L2024" s="15">
        <v>308</v>
      </c>
      <c r="M2024" s="15">
        <v>470</v>
      </c>
      <c r="N2024" s="15">
        <v>2</v>
      </c>
      <c r="O2024" s="9"/>
      <c r="P2024" s="10">
        <v>42867.164270833338</v>
      </c>
      <c r="Q2024" s="14" t="s">
        <v>3768</v>
      </c>
      <c r="R2024" s="14" t="s">
        <v>8122</v>
      </c>
      <c r="S2024" s="7" t="s">
        <v>8123</v>
      </c>
      <c r="T2024" s="8"/>
      <c r="U2024" s="11" t="str">
        <f>HYPERLINK("https://pbs.twimg.com/profile_images/947168666260516864/zg1CAUPY.jpg","View")</f>
        <v>View</v>
      </c>
      <c r="V2024" s="8"/>
      <c r="W2024" s="8"/>
      <c r="X2024" s="8"/>
      <c r="Y2024" s="8"/>
      <c r="Z2024" s="8"/>
    </row>
    <row r="2025" spans="1:26" ht="13.2">
      <c r="A2025" s="13">
        <v>44250.165324074071</v>
      </c>
      <c r="B2025" s="6" t="str">
        <f>HYPERLINK("https://twitter.com/JyotiSahai","@JyotiSahai")</f>
        <v>@JyotiSahai</v>
      </c>
      <c r="C2025" s="14" t="s">
        <v>3173</v>
      </c>
      <c r="D2025" s="14" t="s">
        <v>8124</v>
      </c>
      <c r="E2025" s="6" t="str">
        <f>HYPERLINK("https://twitter.com/JyotiSahai/status/1364046841503830017","1364046841503830017")</f>
        <v>1364046841503830017</v>
      </c>
      <c r="F2025" s="7" t="s">
        <v>5697</v>
      </c>
      <c r="G2025" s="8"/>
      <c r="H2025" s="8"/>
      <c r="I2025" s="14">
        <v>4</v>
      </c>
      <c r="J2025" s="14">
        <v>2</v>
      </c>
      <c r="K2025" s="6" t="str">
        <f>HYPERLINK("https://mobile.twitter.com","Twitter Web App")</f>
        <v>Twitter Web App</v>
      </c>
      <c r="L2025" s="15">
        <v>426</v>
      </c>
      <c r="M2025" s="15">
        <v>595</v>
      </c>
      <c r="N2025" s="15">
        <v>12</v>
      </c>
      <c r="O2025" s="9"/>
      <c r="P2025" s="10">
        <v>41622.584618055553</v>
      </c>
      <c r="Q2025" s="14" t="s">
        <v>3176</v>
      </c>
      <c r="R2025" s="14" t="s">
        <v>3177</v>
      </c>
      <c r="S2025" s="7" t="s">
        <v>3178</v>
      </c>
      <c r="T2025" s="8"/>
      <c r="U2025" s="11" t="str">
        <f>HYPERLINK("https://pbs.twimg.com/profile_images/414052426824421376/3G4eYsXQ.jpeg","View")</f>
        <v>View</v>
      </c>
      <c r="V2025" s="8"/>
      <c r="W2025" s="8"/>
      <c r="X2025" s="8"/>
      <c r="Y2025" s="8"/>
      <c r="Z2025" s="8"/>
    </row>
    <row r="2026" spans="1:26" ht="13.2">
      <c r="A2026" s="13">
        <v>44250.163206018522</v>
      </c>
      <c r="B2026" s="6" t="str">
        <f>HYPERLINK("https://twitter.com/analytikus1","@analytikus1")</f>
        <v>@analytikus1</v>
      </c>
      <c r="C2026" s="14" t="s">
        <v>8125</v>
      </c>
      <c r="D2026" s="14" t="s">
        <v>8126</v>
      </c>
      <c r="E2026" s="6" t="str">
        <f>HYPERLINK("https://twitter.com/analytikus1/status/1364046075322073089","1364046075322073089")</f>
        <v>1364046075322073089</v>
      </c>
      <c r="F2026" s="7" t="s">
        <v>8127</v>
      </c>
      <c r="G2026" s="8"/>
      <c r="H2026" s="8"/>
      <c r="I2026" s="14">
        <v>3</v>
      </c>
      <c r="J2026" s="14">
        <v>2</v>
      </c>
      <c r="K2026" s="6" t="str">
        <f>HYPERLINK("https://www.hootsuite.com","Hootsuite Inc.")</f>
        <v>Hootsuite Inc.</v>
      </c>
      <c r="L2026" s="15">
        <v>983</v>
      </c>
      <c r="M2026" s="15">
        <v>258</v>
      </c>
      <c r="N2026" s="15">
        <v>116</v>
      </c>
      <c r="O2026" s="9"/>
      <c r="P2026" s="10">
        <v>42161.835034722222</v>
      </c>
      <c r="Q2026" s="14" t="s">
        <v>8128</v>
      </c>
      <c r="R2026" s="14" t="s">
        <v>8129</v>
      </c>
      <c r="S2026" s="7" t="s">
        <v>8130</v>
      </c>
      <c r="T2026" s="8"/>
      <c r="U2026" s="11" t="str">
        <f>HYPERLINK("https://pbs.twimg.com/profile_images/1346228729052327937/3F_Laici.jpg","View")</f>
        <v>View</v>
      </c>
      <c r="V2026" s="8"/>
      <c r="W2026" s="8"/>
      <c r="X2026" s="8"/>
      <c r="Y2026" s="8"/>
      <c r="Z2026" s="8"/>
    </row>
    <row r="2027" spans="1:26" ht="13.2">
      <c r="A2027" s="13">
        <v>44250.162499999999</v>
      </c>
      <c r="B2027" s="6" t="str">
        <f>HYPERLINK("https://twitter.com/AnnoDomaini","@AnnoDomaini")</f>
        <v>@AnnoDomaini</v>
      </c>
      <c r="C2027" s="14" t="s">
        <v>8131</v>
      </c>
      <c r="D2027" s="14" t="s">
        <v>8132</v>
      </c>
      <c r="E2027" s="6" t="str">
        <f>HYPERLINK("https://twitter.com/AnnoDomaini/status/1364045817259167745","1364045817259167745")</f>
        <v>1364045817259167745</v>
      </c>
      <c r="F2027" s="7" t="s">
        <v>8133</v>
      </c>
      <c r="G2027" s="7" t="s">
        <v>8134</v>
      </c>
      <c r="H2027" s="8"/>
      <c r="I2027" s="14">
        <v>32</v>
      </c>
      <c r="J2027" s="14">
        <v>17</v>
      </c>
      <c r="K2027" s="6" t="str">
        <f>HYPERLINK("https://about.twitter.com/products/tweetdeck","TweetDeck")</f>
        <v>TweetDeck</v>
      </c>
      <c r="L2027" s="15">
        <v>1756</v>
      </c>
      <c r="M2027" s="15">
        <v>4573</v>
      </c>
      <c r="N2027" s="15">
        <v>495</v>
      </c>
      <c r="O2027" s="9"/>
      <c r="P2027" s="10">
        <v>41465.106273148151</v>
      </c>
      <c r="Q2027" s="14" t="s">
        <v>8135</v>
      </c>
      <c r="R2027" s="14" t="s">
        <v>8136</v>
      </c>
      <c r="S2027" s="7" t="s">
        <v>8137</v>
      </c>
      <c r="T2027" s="8"/>
      <c r="U2027" s="11" t="str">
        <f>HYPERLINK("https://pbs.twimg.com/profile_images/1101886568321769473/N6LH3j1l.png","View")</f>
        <v>View</v>
      </c>
      <c r="V2027" s="8"/>
      <c r="W2027" s="8"/>
      <c r="X2027" s="8"/>
      <c r="Y2027" s="8"/>
      <c r="Z2027" s="8"/>
    </row>
    <row r="2028" spans="1:26" ht="13.2">
      <c r="A2028" s="13">
        <v>44250.160810185189</v>
      </c>
      <c r="B2028" s="6" t="str">
        <f>HYPERLINK("https://twitter.com/SureshRukman","@SureshRukman")</f>
        <v>@SureshRukman</v>
      </c>
      <c r="C2028" s="14" t="s">
        <v>3313</v>
      </c>
      <c r="D2028" s="14" t="s">
        <v>8138</v>
      </c>
      <c r="E2028" s="6" t="str">
        <f>HYPERLINK("https://twitter.com/SureshRukman/status/1364045207981981700","1364045207981981700")</f>
        <v>1364045207981981700</v>
      </c>
      <c r="F2028" s="14" t="s">
        <v>8139</v>
      </c>
      <c r="G2028" s="8"/>
      <c r="H2028" s="8"/>
      <c r="I2028" s="14">
        <v>3</v>
      </c>
      <c r="J2028" s="14">
        <v>0</v>
      </c>
      <c r="K2028" s="6" t="str">
        <f t="shared" ref="K2028:K2029" si="373">HYPERLINK("http://twinybots.com","TwinyBots")</f>
        <v>TwinyBots</v>
      </c>
      <c r="L2028" s="15">
        <v>2176</v>
      </c>
      <c r="M2028" s="15">
        <v>2281</v>
      </c>
      <c r="N2028" s="15">
        <v>293</v>
      </c>
      <c r="O2028" s="9"/>
      <c r="P2028" s="10">
        <v>41359.54041666667</v>
      </c>
      <c r="Q2028" s="14" t="s">
        <v>2551</v>
      </c>
      <c r="R2028" s="14" t="s">
        <v>3314</v>
      </c>
      <c r="S2028" s="7" t="s">
        <v>2553</v>
      </c>
      <c r="T2028" s="8"/>
      <c r="U2028" s="11" t="str">
        <f>HYPERLINK("https://pbs.twimg.com/profile_images/1038762339368087554/JICJ5viP.jpg","View")</f>
        <v>View</v>
      </c>
      <c r="V2028" s="8"/>
      <c r="W2028" s="8"/>
      <c r="X2028" s="8"/>
      <c r="Y2028" s="8"/>
      <c r="Z2028" s="8"/>
    </row>
    <row r="2029" spans="1:26" ht="13.2">
      <c r="A2029" s="13">
        <v>44250.160810185189</v>
      </c>
      <c r="B2029" s="6" t="str">
        <f>HYPERLINK("https://twitter.com/The__Real__Gabo","@The__Real__Gabo")</f>
        <v>@The__Real__Gabo</v>
      </c>
      <c r="C2029" s="14" t="s">
        <v>8140</v>
      </c>
      <c r="D2029" s="14" t="s">
        <v>8141</v>
      </c>
      <c r="E2029" s="6" t="str">
        <f>HYPERLINK("https://twitter.com/The__Real__Gabo/status/1364045207977754624","1364045207977754624")</f>
        <v>1364045207977754624</v>
      </c>
      <c r="F2029" s="14" t="s">
        <v>8142</v>
      </c>
      <c r="G2029" s="8"/>
      <c r="H2029" s="8"/>
      <c r="I2029" s="14">
        <v>6</v>
      </c>
      <c r="J2029" s="14">
        <v>3</v>
      </c>
      <c r="K2029" s="6" t="str">
        <f t="shared" si="373"/>
        <v>TwinyBots</v>
      </c>
      <c r="L2029" s="15">
        <v>748</v>
      </c>
      <c r="M2029" s="15">
        <v>2039</v>
      </c>
      <c r="N2029" s="15">
        <v>13</v>
      </c>
      <c r="O2029" s="9"/>
      <c r="P2029" s="10">
        <v>42879.815659722226</v>
      </c>
      <c r="Q2029" s="14" t="s">
        <v>8143</v>
      </c>
      <c r="R2029" s="14" t="s">
        <v>8144</v>
      </c>
      <c r="S2029" s="7" t="s">
        <v>8145</v>
      </c>
      <c r="T2029" s="8"/>
      <c r="U2029" s="11" t="str">
        <f>HYPERLINK("https://pbs.twimg.com/profile_images/1360623761880408074/uv4_dv-4.jpg","View")</f>
        <v>View</v>
      </c>
      <c r="V2029" s="8"/>
      <c r="W2029" s="8"/>
      <c r="X2029" s="8"/>
      <c r="Y2029" s="8"/>
      <c r="Z2029" s="8"/>
    </row>
    <row r="2030" spans="1:26" ht="13.2">
      <c r="A2030" s="13">
        <v>44250.158472222218</v>
      </c>
      <c r="B2030" s="6" t="str">
        <f>HYPERLINK("https://twitter.com/Everyday_MBA","@Everyday_MBA")</f>
        <v>@Everyday_MBA</v>
      </c>
      <c r="C2030" s="14" t="s">
        <v>3546</v>
      </c>
      <c r="D2030" s="14" t="s">
        <v>8146</v>
      </c>
      <c r="E2030" s="6" t="str">
        <f>HYPERLINK("https://twitter.com/Everyday_MBA/status/1364044360170557441","1364044360170557441")</f>
        <v>1364044360170557441</v>
      </c>
      <c r="F2030" s="7" t="s">
        <v>8147</v>
      </c>
      <c r="G2030" s="8"/>
      <c r="H2030" s="8"/>
      <c r="I2030" s="14">
        <v>2</v>
      </c>
      <c r="J2030" s="14">
        <v>1</v>
      </c>
      <c r="K2030" s="6" t="str">
        <f>HYPERLINK("https://www.socialjukebox.com","The Social Jukebox")</f>
        <v>The Social Jukebox</v>
      </c>
      <c r="L2030" s="15">
        <v>3819</v>
      </c>
      <c r="M2030" s="15">
        <v>3185</v>
      </c>
      <c r="N2030" s="15">
        <v>1740</v>
      </c>
      <c r="O2030" s="9"/>
      <c r="P2030" s="10">
        <v>42070.982476851852</v>
      </c>
      <c r="Q2030" s="14" t="s">
        <v>3549</v>
      </c>
      <c r="R2030" s="14" t="s">
        <v>3550</v>
      </c>
      <c r="S2030" s="7" t="s">
        <v>3551</v>
      </c>
      <c r="T2030" s="8"/>
      <c r="U2030" s="11" t="str">
        <f>HYPERLINK("https://pbs.twimg.com/profile_images/574337677459202048/Q2PmXkVJ.jpeg","View")</f>
        <v>View</v>
      </c>
      <c r="V2030" s="8"/>
      <c r="W2030" s="8"/>
      <c r="X2030" s="8"/>
      <c r="Y2030" s="8"/>
      <c r="Z2030" s="8"/>
    </row>
    <row r="2031" spans="1:26" ht="13.2">
      <c r="A2031" s="13">
        <v>44250.158368055556</v>
      </c>
      <c r="B2031" s="6" t="str">
        <f>HYPERLINK("https://twitter.com/sachinjainphd","@sachinjainphd")</f>
        <v>@sachinjainphd</v>
      </c>
      <c r="C2031" s="14" t="s">
        <v>4312</v>
      </c>
      <c r="D2031" s="14" t="s">
        <v>8148</v>
      </c>
      <c r="E2031" s="6" t="str">
        <f>HYPERLINK("https://twitter.com/sachinjainphd/status/1364044319901024258","1364044319901024258")</f>
        <v>1364044319901024258</v>
      </c>
      <c r="F2031" s="7" t="s">
        <v>8149</v>
      </c>
      <c r="G2031" s="8"/>
      <c r="H2031" s="8"/>
      <c r="I2031" s="14">
        <v>12</v>
      </c>
      <c r="J2031" s="14">
        <v>4</v>
      </c>
      <c r="K2031" s="6" t="str">
        <f>HYPERLINK("http://twitter.com/download/android","Twitter for Android")</f>
        <v>Twitter for Android</v>
      </c>
      <c r="L2031" s="15">
        <v>151</v>
      </c>
      <c r="M2031" s="15">
        <v>90</v>
      </c>
      <c r="N2031" s="15">
        <v>1</v>
      </c>
      <c r="O2031" s="9"/>
      <c r="P2031" s="10">
        <v>40495.178032407406</v>
      </c>
      <c r="Q2031" s="14" t="s">
        <v>221</v>
      </c>
      <c r="R2031" s="14" t="s">
        <v>4315</v>
      </c>
      <c r="S2031" s="8"/>
      <c r="T2031" s="8"/>
      <c r="U2031" s="11" t="str">
        <f>HYPERLINK("https://pbs.twimg.com/profile_images/1248474611202658304/JZtqih-r.jpg","View")</f>
        <v>View</v>
      </c>
      <c r="V2031" s="8"/>
      <c r="W2031" s="8"/>
      <c r="X2031" s="8"/>
      <c r="Y2031" s="8"/>
      <c r="Z2031" s="8"/>
    </row>
    <row r="2032" spans="1:26" ht="13.2">
      <c r="A2032" s="13">
        <v>44250.158333333333</v>
      </c>
      <c r="B2032" s="6" t="str">
        <f>HYPERLINK("https://twitter.com/ArceoChoya","@ArceoChoya")</f>
        <v>@ArceoChoya</v>
      </c>
      <c r="C2032" s="14" t="s">
        <v>3670</v>
      </c>
      <c r="D2032" s="14" t="s">
        <v>8150</v>
      </c>
      <c r="E2032" s="6" t="str">
        <f>HYPERLINK("https://twitter.com/ArceoChoya/status/1364044310014873600","1364044310014873600")</f>
        <v>1364044310014873600</v>
      </c>
      <c r="F2032" s="7" t="s">
        <v>8151</v>
      </c>
      <c r="G2032" s="7" t="s">
        <v>8152</v>
      </c>
      <c r="H2032" s="8"/>
      <c r="I2032" s="14">
        <v>3</v>
      </c>
      <c r="J2032" s="14">
        <v>1</v>
      </c>
      <c r="K2032" s="6" t="str">
        <f>HYPERLINK("https://mobile.twitter.com","Twitter Web App")</f>
        <v>Twitter Web App</v>
      </c>
      <c r="L2032" s="15">
        <v>943</v>
      </c>
      <c r="M2032" s="15">
        <v>890</v>
      </c>
      <c r="N2032" s="15">
        <v>11</v>
      </c>
      <c r="O2032" s="9"/>
      <c r="P2032" s="10">
        <v>43514.004432870366</v>
      </c>
      <c r="Q2032" s="14" t="s">
        <v>3674</v>
      </c>
      <c r="R2032" s="14" t="s">
        <v>3675</v>
      </c>
      <c r="S2032" s="8"/>
      <c r="T2032" s="8"/>
      <c r="U2032" s="11" t="str">
        <f>HYPERLINK("https://pbs.twimg.com/profile_images/1116159551307255809/OK6d0ci1.png","View")</f>
        <v>View</v>
      </c>
      <c r="V2032" s="8"/>
      <c r="W2032" s="8"/>
      <c r="X2032" s="8"/>
      <c r="Y2032" s="8"/>
      <c r="Z2032" s="8"/>
    </row>
    <row r="2033" spans="1:26" ht="13.2">
      <c r="A2033" s="13">
        <v>44250.158020833333</v>
      </c>
      <c r="B2033" s="6" t="str">
        <f>HYPERLINK("https://twitter.com/machinelearnflx","@machinelearnflx")</f>
        <v>@machinelearnflx</v>
      </c>
      <c r="C2033" s="14" t="s">
        <v>279</v>
      </c>
      <c r="D2033" s="14" t="s">
        <v>8153</v>
      </c>
      <c r="E2033" s="6" t="str">
        <f>HYPERLINK("https://twitter.com/machinelearnflx/status/1364044196378800131","1364044196378800131")</f>
        <v>1364044196378800131</v>
      </c>
      <c r="F2033" s="7" t="s">
        <v>8154</v>
      </c>
      <c r="G2033" s="8"/>
      <c r="H2033" s="8"/>
      <c r="I2033" s="14">
        <v>6</v>
      </c>
      <c r="J2033" s="14">
        <v>5</v>
      </c>
      <c r="K2033" s="6" t="str">
        <f>HYPERLINK("https://twitter.com/pythonbot_","Postmatico")</f>
        <v>Postmatico</v>
      </c>
      <c r="L2033" s="15">
        <v>90451</v>
      </c>
      <c r="M2033" s="15">
        <v>35464</v>
      </c>
      <c r="N2033" s="15">
        <v>2228</v>
      </c>
      <c r="O2033" s="9"/>
      <c r="P2033" s="10">
        <v>42386.538865740746</v>
      </c>
      <c r="Q2033" s="8"/>
      <c r="R2033" s="14" t="s">
        <v>282</v>
      </c>
      <c r="S2033" s="7" t="s">
        <v>283</v>
      </c>
      <c r="T2033" s="8"/>
      <c r="U2033" s="11" t="str">
        <f>HYPERLINK("https://pbs.twimg.com/profile_images/688735459892195329/v8sHaWSG.jpg","View")</f>
        <v>View</v>
      </c>
      <c r="V2033" s="8"/>
      <c r="W2033" s="8"/>
      <c r="X2033" s="8"/>
      <c r="Y2033" s="8"/>
      <c r="Z2033" s="8"/>
    </row>
    <row r="2034" spans="1:26" ht="13.2">
      <c r="A2034" s="13">
        <v>44250.157175925924</v>
      </c>
      <c r="B2034" s="6" t="str">
        <f>HYPERLINK("https://twitter.com/DarsaAi","@DarsaAi")</f>
        <v>@DarsaAi</v>
      </c>
      <c r="C2034" s="14" t="s">
        <v>8155</v>
      </c>
      <c r="D2034" s="14" t="s">
        <v>8156</v>
      </c>
      <c r="E2034" s="6" t="str">
        <f>HYPERLINK("https://twitter.com/DarsaAi/status/1364043887854161929","1364043887854161929")</f>
        <v>1364043887854161929</v>
      </c>
      <c r="F2034" s="8"/>
      <c r="G2034" s="8"/>
      <c r="H2034" s="8"/>
      <c r="I2034" s="14">
        <v>3</v>
      </c>
      <c r="J2034" s="14">
        <v>2</v>
      </c>
      <c r="K2034" s="6" t="str">
        <f>HYPERLINK("http://twitter.com/download/android","Twitter for Android")</f>
        <v>Twitter for Android</v>
      </c>
      <c r="L2034" s="15">
        <v>22</v>
      </c>
      <c r="M2034" s="15">
        <v>57</v>
      </c>
      <c r="N2034" s="15">
        <v>0</v>
      </c>
      <c r="O2034" s="9"/>
      <c r="P2034" s="10">
        <v>43608.620381944449</v>
      </c>
      <c r="Q2034" s="14" t="s">
        <v>6895</v>
      </c>
      <c r="R2034" s="14" t="s">
        <v>8157</v>
      </c>
      <c r="S2034" s="7" t="s">
        <v>8158</v>
      </c>
      <c r="T2034" s="8"/>
      <c r="U2034" s="11" t="str">
        <f>HYPERLINK("https://pbs.twimg.com/profile_images/1275819817107206145/bUPigSlT.jpg","View")</f>
        <v>View</v>
      </c>
      <c r="V2034" s="8"/>
      <c r="W2034" s="8"/>
      <c r="X2034" s="8"/>
      <c r="Y2034" s="8"/>
      <c r="Z2034" s="8"/>
    </row>
    <row r="2035" spans="1:26" ht="13.2">
      <c r="A2035" s="13">
        <v>44250.156145833331</v>
      </c>
      <c r="B2035" s="6" t="str">
        <f>HYPERLINK("https://twitter.com/HeliodoroSantos","@HeliodoroSantos")</f>
        <v>@HeliodoroSantos</v>
      </c>
      <c r="C2035" s="14" t="s">
        <v>8159</v>
      </c>
      <c r="D2035" s="14" t="s">
        <v>8160</v>
      </c>
      <c r="E2035" s="6" t="str">
        <f>HYPERLINK("https://twitter.com/HeliodoroSantos/status/1364043517031424000","1364043517031424000")</f>
        <v>1364043517031424000</v>
      </c>
      <c r="F2035" s="8"/>
      <c r="G2035" s="7" t="s">
        <v>8161</v>
      </c>
      <c r="H2035" s="8"/>
      <c r="I2035" s="14">
        <v>9</v>
      </c>
      <c r="J2035" s="14">
        <v>7</v>
      </c>
      <c r="K2035" s="6" t="str">
        <f>HYPERLINK("https://www.heliosantos.org","pyt1")</f>
        <v>pyt1</v>
      </c>
      <c r="L2035" s="15">
        <v>280</v>
      </c>
      <c r="M2035" s="15">
        <v>769</v>
      </c>
      <c r="N2035" s="15">
        <v>6</v>
      </c>
      <c r="O2035" s="9"/>
      <c r="P2035" s="10">
        <v>40610.833437499998</v>
      </c>
      <c r="Q2035" s="14" t="s">
        <v>8162</v>
      </c>
      <c r="R2035" s="8"/>
      <c r="S2035" s="7" t="s">
        <v>8163</v>
      </c>
      <c r="T2035" s="8"/>
      <c r="U2035" s="11" t="str">
        <f>HYPERLINK("https://pbs.twimg.com/profile_images/1242256799715037185/YzdNmVH9.jpg","View")</f>
        <v>View</v>
      </c>
      <c r="V2035" s="8"/>
      <c r="W2035" s="8"/>
      <c r="X2035" s="8"/>
      <c r="Y2035" s="8"/>
      <c r="Z2035" s="8"/>
    </row>
    <row r="2036" spans="1:26" ht="13.2">
      <c r="A2036" s="13">
        <v>44250.154363425929</v>
      </c>
      <c r="B2036" s="6" t="str">
        <f>HYPERLINK("https://twitter.com/naikrd","@naikrd")</f>
        <v>@naikrd</v>
      </c>
      <c r="C2036" s="14" t="s">
        <v>3152</v>
      </c>
      <c r="D2036" s="14" t="s">
        <v>5854</v>
      </c>
      <c r="E2036" s="6" t="str">
        <f>HYPERLINK("https://twitter.com/naikrd/status/1364042871096172544","1364042871096172544")</f>
        <v>1364042871096172544</v>
      </c>
      <c r="F2036" s="14" t="s">
        <v>5855</v>
      </c>
      <c r="G2036" s="8"/>
      <c r="H2036" s="8"/>
      <c r="I2036" s="14">
        <v>2</v>
      </c>
      <c r="J2036" s="14">
        <v>0</v>
      </c>
      <c r="K2036" s="6" t="str">
        <f>HYPERLINK("http://twinybots.com","TwinyBots")</f>
        <v>TwinyBots</v>
      </c>
      <c r="L2036" s="15">
        <v>525</v>
      </c>
      <c r="M2036" s="15">
        <v>297</v>
      </c>
      <c r="N2036" s="15">
        <v>25</v>
      </c>
      <c r="O2036" s="9"/>
      <c r="P2036" s="10">
        <v>39946.865474537037</v>
      </c>
      <c r="Q2036" s="14" t="s">
        <v>914</v>
      </c>
      <c r="R2036" s="14" t="s">
        <v>3155</v>
      </c>
      <c r="S2036" s="8"/>
      <c r="T2036" s="8"/>
      <c r="U2036" s="11" t="str">
        <f>HYPERLINK("https://pbs.twimg.com/profile_images/1185037441696174080/kw-QxCdn.jpg","View")</f>
        <v>View</v>
      </c>
      <c r="V2036" s="8"/>
      <c r="W2036" s="8"/>
      <c r="X2036" s="8"/>
      <c r="Y2036" s="8"/>
      <c r="Z2036" s="8"/>
    </row>
    <row r="2037" spans="1:26" ht="13.2">
      <c r="A2037" s="13">
        <v>44250.15347222222</v>
      </c>
      <c r="B2037" s="6" t="str">
        <f>HYPERLINK("https://twitter.com/SourabhSKatoch","@SourabhSKatoch")</f>
        <v>@SourabhSKatoch</v>
      </c>
      <c r="C2037" s="14" t="s">
        <v>2965</v>
      </c>
      <c r="D2037" s="14" t="s">
        <v>8164</v>
      </c>
      <c r="E2037" s="6" t="str">
        <f>HYPERLINK("https://twitter.com/SourabhSKatoch/status/1364042545676906506","1364042545676906506")</f>
        <v>1364042545676906506</v>
      </c>
      <c r="F2037" s="7" t="s">
        <v>8165</v>
      </c>
      <c r="G2037" s="7" t="s">
        <v>8166</v>
      </c>
      <c r="H2037" s="8"/>
      <c r="I2037" s="14">
        <v>43</v>
      </c>
      <c r="J2037" s="14">
        <v>19</v>
      </c>
      <c r="K2037" s="6" t="str">
        <f t="shared" ref="K2037:K2039" si="374">HYPERLINK("https://mobile.twitter.com","Twitter Web App")</f>
        <v>Twitter Web App</v>
      </c>
      <c r="L2037" s="15">
        <v>12277</v>
      </c>
      <c r="M2037" s="15">
        <v>11846</v>
      </c>
      <c r="N2037" s="15">
        <v>59</v>
      </c>
      <c r="O2037" s="9"/>
      <c r="P2037" s="10">
        <v>42623.507314814815</v>
      </c>
      <c r="Q2037" s="14" t="s">
        <v>2969</v>
      </c>
      <c r="R2037" s="14" t="s">
        <v>2970</v>
      </c>
      <c r="S2037" s="8"/>
      <c r="T2037" s="8"/>
      <c r="U2037" s="11" t="str">
        <f>HYPERLINK("https://pbs.twimg.com/profile_images/1250501846709334017/WU0jzEqi.jpg","View")</f>
        <v>View</v>
      </c>
      <c r="V2037" s="8"/>
      <c r="W2037" s="8"/>
      <c r="X2037" s="8"/>
      <c r="Y2037" s="8"/>
      <c r="Z2037" s="8"/>
    </row>
    <row r="2038" spans="1:26" ht="13.2">
      <c r="A2038" s="13">
        <v>44250.15325231482</v>
      </c>
      <c r="B2038" s="6" t="str">
        <f>HYPERLINK("https://twitter.com/real_straxxxes","@real_straxxxes")</f>
        <v>@real_straxxxes</v>
      </c>
      <c r="C2038" s="14" t="s">
        <v>8167</v>
      </c>
      <c r="D2038" s="14" t="s">
        <v>8168</v>
      </c>
      <c r="E2038" s="6" t="str">
        <f>HYPERLINK("https://twitter.com/real_straxxxes/status/1364042467612459009","1364042467612459009")</f>
        <v>1364042467612459009</v>
      </c>
      <c r="F2038" s="8"/>
      <c r="G2038" s="7" t="s">
        <v>8169</v>
      </c>
      <c r="H2038" s="8"/>
      <c r="I2038" s="14">
        <v>26</v>
      </c>
      <c r="J2038" s="14">
        <v>7</v>
      </c>
      <c r="K2038" s="6" t="str">
        <f t="shared" si="374"/>
        <v>Twitter Web App</v>
      </c>
      <c r="L2038" s="15">
        <v>58</v>
      </c>
      <c r="M2038" s="15">
        <v>205</v>
      </c>
      <c r="N2038" s="15">
        <v>0</v>
      </c>
      <c r="O2038" s="9"/>
      <c r="P2038" s="10">
        <v>44080.25267361111</v>
      </c>
      <c r="Q2038" s="14" t="s">
        <v>6299</v>
      </c>
      <c r="R2038" s="14" t="s">
        <v>8170</v>
      </c>
      <c r="S2038" s="7" t="s">
        <v>8171</v>
      </c>
      <c r="T2038" s="8"/>
      <c r="U2038" s="11" t="str">
        <f>HYPERLINK("https://pbs.twimg.com/profile_images/1338713355616477184/aVeBzvxw.png","View")</f>
        <v>View</v>
      </c>
      <c r="V2038" s="8"/>
      <c r="W2038" s="8"/>
      <c r="X2038" s="8"/>
      <c r="Y2038" s="8"/>
      <c r="Z2038" s="8"/>
    </row>
    <row r="2039" spans="1:26" ht="13.2">
      <c r="A2039" s="13">
        <v>44250.152777777781</v>
      </c>
      <c r="B2039" s="6" t="str">
        <f>HYPERLINK("https://twitter.com/ANoorTech","@ANoorTech")</f>
        <v>@ANoorTech</v>
      </c>
      <c r="C2039" s="14" t="s">
        <v>2117</v>
      </c>
      <c r="D2039" s="14" t="s">
        <v>8172</v>
      </c>
      <c r="E2039" s="6" t="str">
        <f>HYPERLINK("https://twitter.com/ANoorTech/status/1364042293955596289","1364042293955596289")</f>
        <v>1364042293955596289</v>
      </c>
      <c r="F2039" s="8"/>
      <c r="G2039" s="7" t="s">
        <v>8173</v>
      </c>
      <c r="H2039" s="8"/>
      <c r="I2039" s="14">
        <v>23</v>
      </c>
      <c r="J2039" s="14">
        <v>27</v>
      </c>
      <c r="K2039" s="6" t="str">
        <f t="shared" si="374"/>
        <v>Twitter Web App</v>
      </c>
      <c r="L2039" s="15">
        <v>392</v>
      </c>
      <c r="M2039" s="15">
        <v>333</v>
      </c>
      <c r="N2039" s="15">
        <v>0</v>
      </c>
      <c r="O2039" s="9"/>
      <c r="P2039" s="10">
        <v>44241.511238425926</v>
      </c>
      <c r="Q2039" s="14" t="s">
        <v>2120</v>
      </c>
      <c r="R2039" s="14" t="s">
        <v>2121</v>
      </c>
      <c r="S2039" s="8"/>
      <c r="T2039" s="8"/>
      <c r="U2039" s="11" t="str">
        <f>HYPERLINK("https://pbs.twimg.com/profile_images/1361417183574839302/G5WcAJbe.jpg","View")</f>
        <v>View</v>
      </c>
      <c r="V2039" s="8"/>
      <c r="W2039" s="8"/>
      <c r="X2039" s="8"/>
      <c r="Y2039" s="8"/>
      <c r="Z2039" s="8"/>
    </row>
    <row r="2040" spans="1:26" ht="13.2">
      <c r="A2040" s="13">
        <v>44250.151956018519</v>
      </c>
      <c r="B2040" s="6" t="str">
        <f>HYPERLINK("https://twitter.com/saqibali_ca","@saqibali_ca")</f>
        <v>@saqibali_ca</v>
      </c>
      <c r="C2040" s="14" t="s">
        <v>965</v>
      </c>
      <c r="D2040" s="14" t="s">
        <v>8174</v>
      </c>
      <c r="E2040" s="6" t="str">
        <f>HYPERLINK("https://twitter.com/saqibali_ca/status/1364041997808410631","1364041997808410631")</f>
        <v>1364041997808410631</v>
      </c>
      <c r="F2040" s="7" t="s">
        <v>3213</v>
      </c>
      <c r="G2040" s="8"/>
      <c r="H2040" s="8"/>
      <c r="I2040" s="14">
        <v>1</v>
      </c>
      <c r="J2040" s="14">
        <v>0</v>
      </c>
      <c r="K2040" s="8"/>
      <c r="L2040" s="15">
        <v>270</v>
      </c>
      <c r="M2040" s="15">
        <v>0</v>
      </c>
      <c r="N2040" s="15">
        <v>3</v>
      </c>
      <c r="O2040" s="9"/>
      <c r="P2040" s="10">
        <v>43119.848680555559</v>
      </c>
      <c r="Q2040" s="14" t="s">
        <v>968</v>
      </c>
      <c r="R2040" s="14" t="s">
        <v>969</v>
      </c>
      <c r="S2040" s="7" t="s">
        <v>970</v>
      </c>
      <c r="T2040" s="8"/>
      <c r="U2040" s="11" t="str">
        <f>HYPERLINK("https://pbs.twimg.com/profile_images/1142963749285855233/c6NRGCvi.jpg","View")</f>
        <v>View</v>
      </c>
      <c r="V2040" s="8"/>
      <c r="W2040" s="8"/>
      <c r="X2040" s="8"/>
      <c r="Y2040" s="8"/>
      <c r="Z2040" s="8"/>
    </row>
    <row r="2041" spans="1:26" ht="13.2">
      <c r="A2041" s="13">
        <v>44250.149849537032</v>
      </c>
      <c r="B2041" s="6" t="str">
        <f>HYPERLINK("https://twitter.com/buysidereport","@buysidereport")</f>
        <v>@buysidereport</v>
      </c>
      <c r="C2041" s="14" t="s">
        <v>8175</v>
      </c>
      <c r="D2041" s="14" t="s">
        <v>8176</v>
      </c>
      <c r="E2041" s="6" t="str">
        <f>HYPERLINK("https://twitter.com/buysidereport/status/1364041235741179904","1364041235741179904")</f>
        <v>1364041235741179904</v>
      </c>
      <c r="F2041" s="7" t="s">
        <v>8177</v>
      </c>
      <c r="G2041" s="8"/>
      <c r="H2041" s="8"/>
      <c r="I2041" s="14">
        <v>2</v>
      </c>
      <c r="J2041" s="14">
        <v>6</v>
      </c>
      <c r="K2041" s="6" t="str">
        <f>HYPERLINK("http://twitter.com/download/iphone","Twitter for iPhone")</f>
        <v>Twitter for iPhone</v>
      </c>
      <c r="L2041" s="15">
        <v>959</v>
      </c>
      <c r="M2041" s="15">
        <v>2803</v>
      </c>
      <c r="N2041" s="15">
        <v>16</v>
      </c>
      <c r="O2041" s="9"/>
      <c r="P2041" s="10">
        <v>43750.078449074077</v>
      </c>
      <c r="Q2041" s="8"/>
      <c r="R2041" s="14" t="s">
        <v>8178</v>
      </c>
      <c r="S2041" s="7" t="s">
        <v>8179</v>
      </c>
      <c r="T2041" s="8"/>
      <c r="U2041" s="11" t="str">
        <f>HYPERLINK("https://pbs.twimg.com/profile_images/1182816001483784192/9W9mCfWO.jpg","View")</f>
        <v>View</v>
      </c>
      <c r="V2041" s="8"/>
      <c r="W2041" s="8"/>
      <c r="X2041" s="8"/>
      <c r="Y2041" s="8"/>
      <c r="Z2041" s="8"/>
    </row>
    <row r="2042" spans="1:26" ht="13.2">
      <c r="A2042" s="13">
        <v>44250.149722222224</v>
      </c>
      <c r="B2042" s="6" t="str">
        <f>HYPERLINK("https://twitter.com/corizance","@corizance")</f>
        <v>@corizance</v>
      </c>
      <c r="C2042" s="14" t="s">
        <v>2550</v>
      </c>
      <c r="D2042" s="14" t="s">
        <v>8180</v>
      </c>
      <c r="E2042" s="6" t="str">
        <f>HYPERLINK("https://twitter.com/corizance/status/1364041187137617921","1364041187137617921")</f>
        <v>1364041187137617921</v>
      </c>
      <c r="F2042" s="14" t="s">
        <v>8181</v>
      </c>
      <c r="G2042" s="8"/>
      <c r="H2042" s="8"/>
      <c r="I2042" s="14">
        <v>0</v>
      </c>
      <c r="J2042" s="14">
        <v>0</v>
      </c>
      <c r="K2042" s="6" t="str">
        <f>HYPERLINK("http://twinybots.com","TwinyBots")</f>
        <v>TwinyBots</v>
      </c>
      <c r="L2042" s="15">
        <v>488</v>
      </c>
      <c r="M2042" s="15">
        <v>434</v>
      </c>
      <c r="N2042" s="15">
        <v>13</v>
      </c>
      <c r="O2042" s="9"/>
      <c r="P2042" s="10">
        <v>43789.49145833333</v>
      </c>
      <c r="Q2042" s="14" t="s">
        <v>2551</v>
      </c>
      <c r="R2042" s="14" t="s">
        <v>2552</v>
      </c>
      <c r="S2042" s="7" t="s">
        <v>2553</v>
      </c>
      <c r="T2042" s="8"/>
      <c r="U2042" s="11" t="str">
        <f>HYPERLINK("https://pbs.twimg.com/profile_images/1223176339697565697/q38i7r9K.jpg","View")</f>
        <v>View</v>
      </c>
      <c r="V2042" s="8"/>
      <c r="W2042" s="8"/>
      <c r="X2042" s="8"/>
      <c r="Y2042" s="8"/>
      <c r="Z2042" s="8"/>
    </row>
    <row r="2043" spans="1:26" ht="13.2">
      <c r="A2043" s="13">
        <v>44250.149236111116</v>
      </c>
      <c r="B2043" s="6" t="str">
        <f>HYPERLINK("https://twitter.com/Datascience__","@Datascience__")</f>
        <v>@Datascience__</v>
      </c>
      <c r="C2043" s="14" t="s">
        <v>1082</v>
      </c>
      <c r="D2043" s="14" t="s">
        <v>8182</v>
      </c>
      <c r="E2043" s="6" t="str">
        <f>HYPERLINK("https://twitter.com/Datascience__/status/1364041012700581890","1364041012700581890")</f>
        <v>1364041012700581890</v>
      </c>
      <c r="F2043" s="7" t="s">
        <v>8183</v>
      </c>
      <c r="G2043" s="8"/>
      <c r="H2043" s="8"/>
      <c r="I2043" s="14">
        <v>3</v>
      </c>
      <c r="J2043" s="14">
        <v>3</v>
      </c>
      <c r="K2043" s="6" t="str">
        <f>HYPERLINK("https://twitter.com/pythonbot_","Postmatico")</f>
        <v>Postmatico</v>
      </c>
      <c r="L2043" s="15">
        <v>21499</v>
      </c>
      <c r="M2043" s="15">
        <v>11071</v>
      </c>
      <c r="N2043" s="15">
        <v>0</v>
      </c>
      <c r="O2043" s="9"/>
      <c r="P2043" s="10">
        <v>42735.551377314812</v>
      </c>
      <c r="Q2043" s="8"/>
      <c r="R2043" s="14" t="s">
        <v>1085</v>
      </c>
      <c r="S2043" s="7" t="s">
        <v>1086</v>
      </c>
      <c r="T2043" s="8"/>
      <c r="U2043" s="11" t="str">
        <f>HYPERLINK("https://pbs.twimg.com/profile_images/989066461435097088/AQZSFyuk.jpg","View")</f>
        <v>View</v>
      </c>
      <c r="V2043" s="8"/>
      <c r="W2043" s="8"/>
      <c r="X2043" s="8"/>
      <c r="Y2043" s="8"/>
      <c r="Z2043" s="8"/>
    </row>
    <row r="2044" spans="1:26" ht="13.2">
      <c r="A2044" s="13">
        <v>44250.148599537039</v>
      </c>
      <c r="B2044" s="6" t="str">
        <f>HYPERLINK("https://twitter.com/odsc","@odsc")</f>
        <v>@odsc</v>
      </c>
      <c r="C2044" s="14" t="s">
        <v>217</v>
      </c>
      <c r="D2044" s="14" t="s">
        <v>8184</v>
      </c>
      <c r="E2044" s="6" t="str">
        <f>HYPERLINK("https://twitter.com/odsc/status/1364040781133189120","1364040781133189120")</f>
        <v>1364040781133189120</v>
      </c>
      <c r="F2044" s="7" t="s">
        <v>8185</v>
      </c>
      <c r="G2044" s="8"/>
      <c r="H2044" s="8"/>
      <c r="I2044" s="14">
        <v>9</v>
      </c>
      <c r="J2044" s="14">
        <v>10</v>
      </c>
      <c r="K2044" s="6" t="str">
        <f>HYPERLINK("http://www.hubspot.com/","HubSpot")</f>
        <v>HubSpot</v>
      </c>
      <c r="L2044" s="15">
        <v>78817</v>
      </c>
      <c r="M2044" s="15">
        <v>27883</v>
      </c>
      <c r="N2044" s="15">
        <v>2461</v>
      </c>
      <c r="O2044" s="9"/>
      <c r="P2044" s="10">
        <v>42039.982766203699</v>
      </c>
      <c r="Q2044" s="14" t="s">
        <v>221</v>
      </c>
      <c r="R2044" s="14" t="s">
        <v>222</v>
      </c>
      <c r="S2044" s="7" t="s">
        <v>223</v>
      </c>
      <c r="T2044" s="8"/>
      <c r="U2044" s="11" t="str">
        <f>HYPERLINK("https://pbs.twimg.com/profile_images/1115210960271228929/lHua2G3l.png","View")</f>
        <v>View</v>
      </c>
      <c r="V2044" s="8"/>
      <c r="W2044" s="8"/>
      <c r="X2044" s="8"/>
      <c r="Y2044" s="8"/>
      <c r="Z2044" s="8"/>
    </row>
    <row r="2045" spans="1:26" ht="13.2">
      <c r="A2045" s="13">
        <v>44250.147256944445</v>
      </c>
      <c r="B2045" s="6" t="str">
        <f>HYPERLINK("https://twitter.com/ipfconline1","@ipfconline1")</f>
        <v>@ipfconline1</v>
      </c>
      <c r="C2045" s="14" t="s">
        <v>65</v>
      </c>
      <c r="D2045" s="14" t="s">
        <v>8186</v>
      </c>
      <c r="E2045" s="6" t="str">
        <f>HYPERLINK("https://twitter.com/ipfconline1/status/1364040292391911425","1364040292391911425")</f>
        <v>1364040292391911425</v>
      </c>
      <c r="F2045" s="7" t="s">
        <v>8187</v>
      </c>
      <c r="G2045" s="8"/>
      <c r="H2045" s="8"/>
      <c r="I2045" s="14">
        <v>12</v>
      </c>
      <c r="J2045" s="14">
        <v>9</v>
      </c>
      <c r="K2045" s="6" t="str">
        <f>HYPERLINK("https://twittimer.com","Twittimer")</f>
        <v>Twittimer</v>
      </c>
      <c r="L2045" s="15">
        <v>112675</v>
      </c>
      <c r="M2045" s="15">
        <v>107162</v>
      </c>
      <c r="N2045" s="15">
        <v>7806</v>
      </c>
      <c r="O2045" s="9"/>
      <c r="P2045" s="10">
        <v>42433.031967592593</v>
      </c>
      <c r="Q2045" s="14" t="s">
        <v>69</v>
      </c>
      <c r="R2045" s="14" t="s">
        <v>70</v>
      </c>
      <c r="S2045" s="7" t="s">
        <v>71</v>
      </c>
      <c r="T2045" s="8"/>
      <c r="U2045" s="11" t="str">
        <f>HYPERLINK("https://pbs.twimg.com/profile_images/729065804004769793/St2_Pum9.jpg","View")</f>
        <v>View</v>
      </c>
      <c r="V2045" s="8"/>
      <c r="W2045" s="8"/>
      <c r="X2045" s="8"/>
      <c r="Y2045" s="8"/>
      <c r="Z2045" s="8"/>
    </row>
    <row r="2046" spans="1:26" ht="13.2">
      <c r="A2046" s="13">
        <v>44250.147222222222</v>
      </c>
      <c r="B2046" s="6" t="str">
        <f>HYPERLINK("https://twitter.com/hashnode","@hashnode")</f>
        <v>@hashnode</v>
      </c>
      <c r="C2046" s="14" t="s">
        <v>8188</v>
      </c>
      <c r="D2046" s="14" t="s">
        <v>8189</v>
      </c>
      <c r="E2046" s="6" t="str">
        <f>HYPERLINK("https://twitter.com/hashnode/status/1364040281637744643","1364040281637744643")</f>
        <v>1364040281637744643</v>
      </c>
      <c r="F2046" s="7" t="s">
        <v>8190</v>
      </c>
      <c r="G2046" s="8"/>
      <c r="H2046" s="8"/>
      <c r="I2046" s="14">
        <v>1</v>
      </c>
      <c r="J2046" s="14">
        <v>5</v>
      </c>
      <c r="K2046" s="6" t="str">
        <f>HYPERLINK("https://www.loomly.com/","Loomly")</f>
        <v>Loomly</v>
      </c>
      <c r="L2046" s="15">
        <v>18044</v>
      </c>
      <c r="M2046" s="15">
        <v>337</v>
      </c>
      <c r="N2046" s="15">
        <v>418</v>
      </c>
      <c r="O2046" s="9"/>
      <c r="P2046" s="10">
        <v>42297.596689814818</v>
      </c>
      <c r="Q2046" s="14" t="s">
        <v>8191</v>
      </c>
      <c r="R2046" s="14" t="s">
        <v>8192</v>
      </c>
      <c r="S2046" s="7" t="s">
        <v>8193</v>
      </c>
      <c r="T2046" s="8"/>
      <c r="U2046" s="11" t="str">
        <f>HYPERLINK("https://pbs.twimg.com/profile_images/1275811077754781697/qtOiI8lk.jpg","View")</f>
        <v>View</v>
      </c>
      <c r="V2046" s="8"/>
      <c r="W2046" s="8"/>
      <c r="X2046" s="8"/>
      <c r="Y2046" s="8"/>
      <c r="Z2046" s="8"/>
    </row>
    <row r="2047" spans="1:26" ht="13.2">
      <c r="A2047" s="13">
        <v>44250.146956018521</v>
      </c>
      <c r="B2047" s="6" t="str">
        <f>HYPERLINK("https://twitter.com/netcarreiras","@netcarreiras")</f>
        <v>@netcarreiras</v>
      </c>
      <c r="C2047" s="14" t="s">
        <v>2831</v>
      </c>
      <c r="D2047" s="14" t="s">
        <v>2832</v>
      </c>
      <c r="E2047" s="6" t="str">
        <f>HYPERLINK("https://twitter.com/netcarreiras/status/1364040187232272384","1364040187232272384")</f>
        <v>1364040187232272384</v>
      </c>
      <c r="F2047" s="7" t="s">
        <v>8194</v>
      </c>
      <c r="G2047" s="8"/>
      <c r="H2047" s="8"/>
      <c r="I2047" s="14">
        <v>0</v>
      </c>
      <c r="J2047" s="14">
        <v>0</v>
      </c>
      <c r="K2047" s="6" t="str">
        <f t="shared" ref="K2047:K2048" si="375">HYPERLINK("https://mobile.twitter.com","Twitter Web App")</f>
        <v>Twitter Web App</v>
      </c>
      <c r="L2047" s="15">
        <v>1274</v>
      </c>
      <c r="M2047" s="15">
        <v>329</v>
      </c>
      <c r="N2047" s="15">
        <v>42</v>
      </c>
      <c r="O2047" s="9"/>
      <c r="P2047" s="10">
        <v>40239.792523148149</v>
      </c>
      <c r="Q2047" s="14" t="s">
        <v>2834</v>
      </c>
      <c r="R2047" s="14" t="s">
        <v>2835</v>
      </c>
      <c r="S2047" s="7" t="s">
        <v>2836</v>
      </c>
      <c r="T2047" s="8"/>
      <c r="U2047" s="11" t="str">
        <f>HYPERLINK("https://pbs.twimg.com/profile_images/1133795533573820417/dFZjCue4.png","View")</f>
        <v>View</v>
      </c>
      <c r="V2047" s="8"/>
      <c r="W2047" s="8"/>
      <c r="X2047" s="8"/>
      <c r="Y2047" s="8"/>
      <c r="Z2047" s="8"/>
    </row>
    <row r="2048" spans="1:26" ht="13.2">
      <c r="A2048" s="13">
        <v>44250.146944444445</v>
      </c>
      <c r="B2048" s="6" t="str">
        <f>HYPERLINK("https://twitter.com/Malinovskiy_V_V","@Malinovskiy_V_V")</f>
        <v>@Malinovskiy_V_V</v>
      </c>
      <c r="C2048" s="14" t="s">
        <v>5960</v>
      </c>
      <c r="D2048" s="14" t="s">
        <v>8195</v>
      </c>
      <c r="E2048" s="6" t="str">
        <f>HYPERLINK("https://twitter.com/Malinovskiy_V_V/status/1364040183021260800","1364040183021260800")</f>
        <v>1364040183021260800</v>
      </c>
      <c r="F2048" s="8"/>
      <c r="G2048" s="7" t="s">
        <v>8196</v>
      </c>
      <c r="H2048" s="8"/>
      <c r="I2048" s="14">
        <v>25</v>
      </c>
      <c r="J2048" s="14">
        <v>10</v>
      </c>
      <c r="K2048" s="6" t="str">
        <f t="shared" si="375"/>
        <v>Twitter Web App</v>
      </c>
      <c r="L2048" s="15">
        <v>32</v>
      </c>
      <c r="M2048" s="15">
        <v>275</v>
      </c>
      <c r="N2048" s="15">
        <v>1</v>
      </c>
      <c r="O2048" s="9"/>
      <c r="P2048" s="10">
        <v>42445.410451388889</v>
      </c>
      <c r="Q2048" s="8"/>
      <c r="R2048" s="8"/>
      <c r="S2048" s="7" t="s">
        <v>5963</v>
      </c>
      <c r="T2048" s="8"/>
      <c r="U2048" s="11" t="str">
        <f>HYPERLINK("https://pbs.twimg.com/profile_images/1346067960650207233/AI-S3ZiH.jpg","View")</f>
        <v>View</v>
      </c>
      <c r="V2048" s="8"/>
      <c r="W2048" s="8"/>
      <c r="X2048" s="8"/>
      <c r="Y2048" s="8"/>
      <c r="Z2048" s="8"/>
    </row>
    <row r="2049" spans="1:26" ht="13.2">
      <c r="A2049" s="13">
        <v>44250.146724537037</v>
      </c>
      <c r="B2049" s="6" t="str">
        <f>HYPERLINK("https://twitter.com/Jadirectivestwt","@Jadirectivestwt")</f>
        <v>@Jadirectivestwt</v>
      </c>
      <c r="C2049" s="14" t="s">
        <v>5404</v>
      </c>
      <c r="D2049" s="14" t="s">
        <v>8197</v>
      </c>
      <c r="E2049" s="6" t="str">
        <f>HYPERLINK("https://twitter.com/Jadirectivestwt/status/1364040100087218180","1364040100087218180")</f>
        <v>1364040100087218180</v>
      </c>
      <c r="F2049" s="7" t="s">
        <v>8198</v>
      </c>
      <c r="G2049" s="8"/>
      <c r="H2049" s="8"/>
      <c r="I2049" s="14">
        <v>0</v>
      </c>
      <c r="J2049" s="14">
        <v>0</v>
      </c>
      <c r="K2049" s="6" t="str">
        <f>HYPERLINK("https://app.socialpilot.co/","SocialPilot.co")</f>
        <v>SocialPilot.co</v>
      </c>
      <c r="L2049" s="15">
        <v>5733</v>
      </c>
      <c r="M2049" s="15">
        <v>5891</v>
      </c>
      <c r="N2049" s="15">
        <v>849</v>
      </c>
      <c r="O2049" s="9"/>
      <c r="P2049" s="10">
        <v>42216.877835648149</v>
      </c>
      <c r="Q2049" s="8"/>
      <c r="R2049" s="14" t="s">
        <v>5407</v>
      </c>
      <c r="S2049" s="7" t="s">
        <v>5408</v>
      </c>
      <c r="T2049" s="8"/>
      <c r="U2049" s="11" t="str">
        <f>HYPERLINK("https://pbs.twimg.com/profile_images/1292933771977617410/Tf1ixrZG.jpg","View")</f>
        <v>View</v>
      </c>
      <c r="V2049" s="8"/>
      <c r="W2049" s="8"/>
      <c r="X2049" s="8"/>
      <c r="Y2049" s="8"/>
      <c r="Z2049" s="8"/>
    </row>
    <row r="2050" spans="1:26" ht="13.2">
      <c r="A2050" s="13">
        <v>44250.14565972222</v>
      </c>
      <c r="B2050" s="6" t="str">
        <f>HYPERLINK("https://twitter.com/HeliodoroSantos","@HeliodoroSantos")</f>
        <v>@HeliodoroSantos</v>
      </c>
      <c r="C2050" s="14" t="s">
        <v>8159</v>
      </c>
      <c r="D2050" s="14" t="s">
        <v>8199</v>
      </c>
      <c r="E2050" s="6" t="str">
        <f>HYPERLINK("https://twitter.com/HeliodoroSantos/status/1364039715880505345","1364039715880505345")</f>
        <v>1364039715880505345</v>
      </c>
      <c r="F2050" s="8"/>
      <c r="G2050" s="7" t="s">
        <v>8200</v>
      </c>
      <c r="H2050" s="8"/>
      <c r="I2050" s="14">
        <v>8</v>
      </c>
      <c r="J2050" s="14">
        <v>0</v>
      </c>
      <c r="K2050" s="6" t="str">
        <f>HYPERLINK("https://www.heliosantos.org","pyt1")</f>
        <v>pyt1</v>
      </c>
      <c r="L2050" s="15">
        <v>280</v>
      </c>
      <c r="M2050" s="15">
        <v>769</v>
      </c>
      <c r="N2050" s="15">
        <v>6</v>
      </c>
      <c r="O2050" s="9"/>
      <c r="P2050" s="10">
        <v>40610.833437499998</v>
      </c>
      <c r="Q2050" s="14" t="s">
        <v>8162</v>
      </c>
      <c r="R2050" s="8"/>
      <c r="S2050" s="7" t="s">
        <v>8163</v>
      </c>
      <c r="T2050" s="8"/>
      <c r="U2050" s="11" t="str">
        <f>HYPERLINK("https://pbs.twimg.com/profile_images/1242256799715037185/YzdNmVH9.jpg","View")</f>
        <v>View</v>
      </c>
      <c r="V2050" s="8"/>
      <c r="W2050" s="8"/>
      <c r="X2050" s="8"/>
      <c r="Y2050" s="8"/>
      <c r="Z2050" s="8"/>
    </row>
    <row r="2051" spans="1:26" ht="13.2">
      <c r="A2051" s="13">
        <v>44250.145208333328</v>
      </c>
      <c r="B2051" s="6" t="str">
        <f>HYPERLINK("https://twitter.com/corizance","@corizance")</f>
        <v>@corizance</v>
      </c>
      <c r="C2051" s="14" t="s">
        <v>2550</v>
      </c>
      <c r="D2051" s="14" t="s">
        <v>8201</v>
      </c>
      <c r="E2051" s="6" t="str">
        <f>HYPERLINK("https://twitter.com/corizance/status/1364039552957112323","1364039552957112323")</f>
        <v>1364039552957112323</v>
      </c>
      <c r="F2051" s="14" t="s">
        <v>7905</v>
      </c>
      <c r="G2051" s="8"/>
      <c r="H2051" s="8"/>
      <c r="I2051" s="14">
        <v>1</v>
      </c>
      <c r="J2051" s="14">
        <v>0</v>
      </c>
      <c r="K2051" s="6" t="str">
        <f>HYPERLINK("http://twinybots.com","TwinyBots")</f>
        <v>TwinyBots</v>
      </c>
      <c r="L2051" s="15">
        <v>488</v>
      </c>
      <c r="M2051" s="15">
        <v>434</v>
      </c>
      <c r="N2051" s="15">
        <v>13</v>
      </c>
      <c r="O2051" s="9"/>
      <c r="P2051" s="10">
        <v>43789.49145833333</v>
      </c>
      <c r="Q2051" s="14" t="s">
        <v>2551</v>
      </c>
      <c r="R2051" s="14" t="s">
        <v>2552</v>
      </c>
      <c r="S2051" s="7" t="s">
        <v>2553</v>
      </c>
      <c r="T2051" s="8"/>
      <c r="U2051" s="11" t="str">
        <f>HYPERLINK("https://pbs.twimg.com/profile_images/1223176339697565697/q38i7r9K.jpg","View")</f>
        <v>View</v>
      </c>
      <c r="V2051" s="8"/>
      <c r="W2051" s="8"/>
      <c r="X2051" s="8"/>
      <c r="Y2051" s="8"/>
      <c r="Z2051" s="8"/>
    </row>
    <row r="2052" spans="1:26" ht="13.2">
      <c r="A2052" s="13">
        <v>44250.143206018518</v>
      </c>
      <c r="B2052" s="6" t="str">
        <f>HYPERLINK("https://twitter.com/rautsan","@rautsan")</f>
        <v>@rautsan</v>
      </c>
      <c r="C2052" s="14" t="s">
        <v>8202</v>
      </c>
      <c r="D2052" s="14" t="s">
        <v>8203</v>
      </c>
      <c r="E2052" s="6" t="str">
        <f>HYPERLINK("https://twitter.com/rautsan/status/1364038825371201537","1364038825371201537")</f>
        <v>1364038825371201537</v>
      </c>
      <c r="F2052" s="7" t="s">
        <v>8204</v>
      </c>
      <c r="G2052" s="8"/>
      <c r="H2052" s="8"/>
      <c r="I2052" s="14">
        <v>2</v>
      </c>
      <c r="J2052" s="14">
        <v>0</v>
      </c>
      <c r="K2052" s="6" t="str">
        <f>HYPERLINK("https://paper.li","Paper.li")</f>
        <v>Paper.li</v>
      </c>
      <c r="L2052" s="15">
        <v>15321</v>
      </c>
      <c r="M2052" s="15">
        <v>15714</v>
      </c>
      <c r="N2052" s="15">
        <v>3495</v>
      </c>
      <c r="O2052" s="9"/>
      <c r="P2052" s="10">
        <v>39971.757488425923</v>
      </c>
      <c r="Q2052" s="14" t="s">
        <v>8205</v>
      </c>
      <c r="R2052" s="14" t="s">
        <v>8206</v>
      </c>
      <c r="S2052" s="7" t="s">
        <v>8207</v>
      </c>
      <c r="T2052" s="8"/>
      <c r="U2052" s="11" t="str">
        <f>HYPERLINK("https://pbs.twimg.com/profile_images/1087750225870102529/GsQx_JfU.jpg","View")</f>
        <v>View</v>
      </c>
      <c r="V2052" s="8"/>
      <c r="W2052" s="8"/>
      <c r="X2052" s="8"/>
      <c r="Y2052" s="8"/>
      <c r="Z2052" s="8"/>
    </row>
    <row r="2053" spans="1:26" ht="13.2">
      <c r="A2053" s="13">
        <v>44250.141250000001</v>
      </c>
      <c r="B2053" s="6" t="str">
        <f>HYPERLINK("https://twitter.com/Mathias57203266","@Mathias57203266")</f>
        <v>@Mathias57203266</v>
      </c>
      <c r="C2053" s="14" t="s">
        <v>8208</v>
      </c>
      <c r="D2053" s="14" t="s">
        <v>8209</v>
      </c>
      <c r="E2053" s="6" t="str">
        <f>HYPERLINK("https://twitter.com/Mathias57203266/status/1364038117599150086","1364038117599150086")</f>
        <v>1364038117599150086</v>
      </c>
      <c r="F2053" s="8"/>
      <c r="G2053" s="7" t="s">
        <v>8210</v>
      </c>
      <c r="H2053" s="8"/>
      <c r="I2053" s="14">
        <v>6</v>
      </c>
      <c r="J2053" s="14">
        <v>5</v>
      </c>
      <c r="K2053" s="6" t="str">
        <f>HYPERLINK("http://twitter.com/download/iphone","Twitter for iPhone")</f>
        <v>Twitter for iPhone</v>
      </c>
      <c r="L2053" s="15">
        <v>11</v>
      </c>
      <c r="M2053" s="15">
        <v>77</v>
      </c>
      <c r="N2053" s="15">
        <v>0</v>
      </c>
      <c r="O2053" s="9"/>
      <c r="P2053" s="10">
        <v>43954.626377314809</v>
      </c>
      <c r="Q2053" s="8"/>
      <c r="R2053" s="14" t="s">
        <v>8211</v>
      </c>
      <c r="S2053" s="8"/>
      <c r="T2053" s="8"/>
      <c r="U2053" s="11" t="str">
        <f>HYPERLINK("https://pbs.twimg.com/profile_images/1345791168790069248/xs1Phrau.jpg","View")</f>
        <v>View</v>
      </c>
      <c r="V2053" s="8"/>
      <c r="W2053" s="8"/>
      <c r="X2053" s="8"/>
      <c r="Y2053" s="8"/>
      <c r="Z2053" s="8"/>
    </row>
    <row r="2054" spans="1:26" ht="13.2">
      <c r="A2054" s="13">
        <v>44250.14099537037</v>
      </c>
      <c r="B2054" s="6" t="str">
        <f>HYPERLINK("https://twitter.com/milocamj","@milocamj")</f>
        <v>@milocamj</v>
      </c>
      <c r="C2054" s="14" t="s">
        <v>1805</v>
      </c>
      <c r="D2054" s="14" t="s">
        <v>8212</v>
      </c>
      <c r="E2054" s="6" t="str">
        <f>HYPERLINK("https://twitter.com/milocamj/status/1364038026712682496","1364038026712682496")</f>
        <v>1364038026712682496</v>
      </c>
      <c r="F2054" s="7" t="s">
        <v>8213</v>
      </c>
      <c r="G2054" s="8"/>
      <c r="H2054" s="8"/>
      <c r="I2054" s="14">
        <v>2</v>
      </c>
      <c r="J2054" s="14">
        <v>0</v>
      </c>
      <c r="K2054" s="6" t="str">
        <f>HYPERLINK("https://dlvrit.com/","dlvr.it")</f>
        <v>dlvr.it</v>
      </c>
      <c r="L2054" s="15">
        <v>2595</v>
      </c>
      <c r="M2054" s="15">
        <v>48</v>
      </c>
      <c r="N2054" s="15">
        <v>1282</v>
      </c>
      <c r="O2054" s="9"/>
      <c r="P2054" s="10">
        <v>39904.699837962966</v>
      </c>
      <c r="Q2054" s="14" t="s">
        <v>1809</v>
      </c>
      <c r="R2054" s="14" t="s">
        <v>1810</v>
      </c>
      <c r="S2054" s="7" t="s">
        <v>1811</v>
      </c>
      <c r="T2054" s="8"/>
      <c r="U2054" s="11" t="str">
        <f>HYPERLINK("https://pbs.twimg.com/profile_images/1108578778018709505/56I0aOhL.jpg","View")</f>
        <v>View</v>
      </c>
      <c r="V2054" s="8"/>
      <c r="W2054" s="8"/>
      <c r="X2054" s="8"/>
      <c r="Y2054" s="8"/>
      <c r="Z2054" s="8"/>
    </row>
    <row r="2055" spans="1:26" ht="13.2">
      <c r="A2055" s="13">
        <v>44250.140520833331</v>
      </c>
      <c r="B2055" s="6" t="str">
        <f>HYPERLINK("https://twitter.com/slashML","@slashML")</f>
        <v>@slashML</v>
      </c>
      <c r="C2055" s="14" t="s">
        <v>779</v>
      </c>
      <c r="D2055" s="14" t="s">
        <v>8214</v>
      </c>
      <c r="E2055" s="6" t="str">
        <f>HYPERLINK("https://twitter.com/slashML/status/1364037854599409665","1364037854599409665")</f>
        <v>1364037854599409665</v>
      </c>
      <c r="F2055" s="7" t="s">
        <v>8117</v>
      </c>
      <c r="G2055" s="8"/>
      <c r="H2055" s="8"/>
      <c r="I2055" s="14">
        <v>1</v>
      </c>
      <c r="J2055" s="14">
        <v>6</v>
      </c>
      <c r="K2055" s="6" t="str">
        <f>HYPERLINK("https://www.reddit.com/r/MachineLearning/","From /r/MachineLearning")</f>
        <v>From /r/MachineLearning</v>
      </c>
      <c r="L2055" s="15">
        <v>44297</v>
      </c>
      <c r="M2055" s="15">
        <v>1</v>
      </c>
      <c r="N2055" s="15">
        <v>600</v>
      </c>
      <c r="O2055" s="9"/>
      <c r="P2055" s="10">
        <v>42710.818564814814</v>
      </c>
      <c r="Q2055" s="8"/>
      <c r="R2055" s="14" t="s">
        <v>782</v>
      </c>
      <c r="S2055" s="8"/>
      <c r="T2055" s="8"/>
      <c r="U2055" s="11" t="str">
        <f>HYPERLINK("https://pbs.twimg.com/profile_images/806213385545273344/s7sE4E8a.jpg","View")</f>
        <v>View</v>
      </c>
      <c r="V2055" s="8"/>
      <c r="W2055" s="8"/>
      <c r="X2055" s="8"/>
      <c r="Y2055" s="8"/>
      <c r="Z2055" s="8"/>
    </row>
    <row r="2056" spans="1:26" ht="13.2">
      <c r="A2056" s="13">
        <v>44250.1403587963</v>
      </c>
      <c r="B2056" s="6" t="str">
        <f>HYPERLINK("https://twitter.com/1nterestingTech","@1nterestingTech")</f>
        <v>@1nterestingTech</v>
      </c>
      <c r="C2056" s="14" t="s">
        <v>7446</v>
      </c>
      <c r="D2056" s="14" t="s">
        <v>8215</v>
      </c>
      <c r="E2056" s="6" t="str">
        <f>HYPERLINK("https://twitter.com/1nterestingTech/status/1364037796562948096","1364037796562948096")</f>
        <v>1364037796562948096</v>
      </c>
      <c r="F2056" s="14" t="s">
        <v>8216</v>
      </c>
      <c r="G2056" s="8"/>
      <c r="H2056" s="8"/>
      <c r="I2056" s="14">
        <v>3</v>
      </c>
      <c r="J2056" s="14">
        <v>0</v>
      </c>
      <c r="K2056" s="6" t="str">
        <f>HYPERLINK("http://twinybots.com","TwinyBots")</f>
        <v>TwinyBots</v>
      </c>
      <c r="L2056" s="15">
        <v>996</v>
      </c>
      <c r="M2056" s="15">
        <v>2324</v>
      </c>
      <c r="N2056" s="15">
        <v>22</v>
      </c>
      <c r="O2056" s="9"/>
      <c r="P2056" s="10">
        <v>43671.640625</v>
      </c>
      <c r="Q2056" s="14" t="s">
        <v>203</v>
      </c>
      <c r="R2056" s="14" t="s">
        <v>7448</v>
      </c>
      <c r="S2056" s="7" t="s">
        <v>7449</v>
      </c>
      <c r="T2056" s="8"/>
      <c r="U2056" s="11" t="str">
        <f>HYPERLINK("https://pbs.twimg.com/profile_images/1154383562088599552/RbyNTvSg.jpg","View")</f>
        <v>View</v>
      </c>
      <c r="V2056" s="8"/>
      <c r="W2056" s="8"/>
      <c r="X2056" s="8"/>
      <c r="Y2056" s="8"/>
      <c r="Z2056" s="8"/>
    </row>
    <row r="2057" spans="1:26" ht="13.2">
      <c r="A2057" s="13">
        <v>44250.139467592591</v>
      </c>
      <c r="B2057" s="6" t="str">
        <f t="shared" ref="B2057:B2061" si="376">HYPERLINK("https://twitter.com/into_AI","@into_AI")</f>
        <v>@into_AI</v>
      </c>
      <c r="C2057" s="14" t="s">
        <v>2021</v>
      </c>
      <c r="D2057" s="14" t="s">
        <v>8217</v>
      </c>
      <c r="E2057" s="6" t="str">
        <f>HYPERLINK("https://twitter.com/into_AI/status/1364037472947220480","1364037472947220480")</f>
        <v>1364037472947220480</v>
      </c>
      <c r="F2057" s="7" t="s">
        <v>8218</v>
      </c>
      <c r="G2057" s="8"/>
      <c r="H2057" s="8"/>
      <c r="I2057" s="14">
        <v>2</v>
      </c>
      <c r="J2057" s="14">
        <v>1</v>
      </c>
      <c r="K2057" s="6" t="str">
        <f t="shared" ref="K2057:K2061" si="377">HYPERLINK("http://into.AI","into.AI")</f>
        <v>into.AI</v>
      </c>
      <c r="L2057" s="15">
        <v>19374</v>
      </c>
      <c r="M2057" s="15">
        <v>1707</v>
      </c>
      <c r="N2057" s="15">
        <v>3164</v>
      </c>
      <c r="O2057" s="9"/>
      <c r="P2057" s="10">
        <v>42133.721620370372</v>
      </c>
      <c r="Q2057" s="14" t="s">
        <v>2024</v>
      </c>
      <c r="R2057" s="14" t="s">
        <v>2025</v>
      </c>
      <c r="S2057" s="7" t="s">
        <v>2026</v>
      </c>
      <c r="T2057" s="8"/>
      <c r="U2057" s="11" t="str">
        <f t="shared" ref="U2057:U2061" si="378">HYPERLINK("https://pbs.twimg.com/profile_images/967341160124608512/LM2Y5Q5m.jpg","View")</f>
        <v>View</v>
      </c>
      <c r="V2057" s="8"/>
      <c r="W2057" s="8"/>
      <c r="X2057" s="8"/>
      <c r="Y2057" s="8"/>
      <c r="Z2057" s="8"/>
    </row>
    <row r="2058" spans="1:26" ht="13.2">
      <c r="A2058" s="13">
        <v>44250.139386574076</v>
      </c>
      <c r="B2058" s="6" t="str">
        <f t="shared" si="376"/>
        <v>@into_AI</v>
      </c>
      <c r="C2058" s="14" t="s">
        <v>2021</v>
      </c>
      <c r="D2058" s="14" t="s">
        <v>8219</v>
      </c>
      <c r="E2058" s="6" t="str">
        <f>HYPERLINK("https://twitter.com/into_AI/status/1364037444006514688","1364037444006514688")</f>
        <v>1364037444006514688</v>
      </c>
      <c r="F2058" s="7" t="s">
        <v>8220</v>
      </c>
      <c r="G2058" s="8"/>
      <c r="H2058" s="8"/>
      <c r="I2058" s="14">
        <v>2</v>
      </c>
      <c r="J2058" s="14">
        <v>2</v>
      </c>
      <c r="K2058" s="6" t="str">
        <f t="shared" si="377"/>
        <v>into.AI</v>
      </c>
      <c r="L2058" s="15">
        <v>19374</v>
      </c>
      <c r="M2058" s="15">
        <v>1707</v>
      </c>
      <c r="N2058" s="15">
        <v>3164</v>
      </c>
      <c r="O2058" s="9"/>
      <c r="P2058" s="10">
        <v>42133.721620370372</v>
      </c>
      <c r="Q2058" s="14" t="s">
        <v>2024</v>
      </c>
      <c r="R2058" s="14" t="s">
        <v>2025</v>
      </c>
      <c r="S2058" s="7" t="s">
        <v>2026</v>
      </c>
      <c r="T2058" s="8"/>
      <c r="U2058" s="11" t="str">
        <f t="shared" si="378"/>
        <v>View</v>
      </c>
      <c r="V2058" s="8"/>
      <c r="W2058" s="8"/>
      <c r="X2058" s="8"/>
      <c r="Y2058" s="8"/>
      <c r="Z2058" s="8"/>
    </row>
    <row r="2059" spans="1:26" ht="13.2">
      <c r="A2059" s="13">
        <v>44250.139293981483</v>
      </c>
      <c r="B2059" s="6" t="str">
        <f t="shared" si="376"/>
        <v>@into_AI</v>
      </c>
      <c r="C2059" s="14" t="s">
        <v>2021</v>
      </c>
      <c r="D2059" s="14" t="s">
        <v>8221</v>
      </c>
      <c r="E2059" s="6" t="str">
        <f>HYPERLINK("https://twitter.com/into_AI/status/1364037407323095047","1364037407323095047")</f>
        <v>1364037407323095047</v>
      </c>
      <c r="F2059" s="7" t="s">
        <v>8222</v>
      </c>
      <c r="G2059" s="8"/>
      <c r="H2059" s="8"/>
      <c r="I2059" s="14">
        <v>1</v>
      </c>
      <c r="J2059" s="14">
        <v>1</v>
      </c>
      <c r="K2059" s="6" t="str">
        <f t="shared" si="377"/>
        <v>into.AI</v>
      </c>
      <c r="L2059" s="15">
        <v>19374</v>
      </c>
      <c r="M2059" s="15">
        <v>1707</v>
      </c>
      <c r="N2059" s="15">
        <v>3164</v>
      </c>
      <c r="O2059" s="9"/>
      <c r="P2059" s="10">
        <v>42133.721620370372</v>
      </c>
      <c r="Q2059" s="14" t="s">
        <v>2024</v>
      </c>
      <c r="R2059" s="14" t="s">
        <v>2025</v>
      </c>
      <c r="S2059" s="7" t="s">
        <v>2026</v>
      </c>
      <c r="T2059" s="8"/>
      <c r="U2059" s="11" t="str">
        <f t="shared" si="378"/>
        <v>View</v>
      </c>
      <c r="V2059" s="8"/>
      <c r="W2059" s="8"/>
      <c r="X2059" s="8"/>
      <c r="Y2059" s="8"/>
      <c r="Z2059" s="8"/>
    </row>
    <row r="2060" spans="1:26" ht="13.2">
      <c r="A2060" s="13">
        <v>44250.139224537037</v>
      </c>
      <c r="B2060" s="6" t="str">
        <f t="shared" si="376"/>
        <v>@into_AI</v>
      </c>
      <c r="C2060" s="14" t="s">
        <v>2021</v>
      </c>
      <c r="D2060" s="14" t="s">
        <v>8223</v>
      </c>
      <c r="E2060" s="6" t="str">
        <f>HYPERLINK("https://twitter.com/into_AI/status/1364037384615133187","1364037384615133187")</f>
        <v>1364037384615133187</v>
      </c>
      <c r="F2060" s="7" t="s">
        <v>8224</v>
      </c>
      <c r="G2060" s="8"/>
      <c r="H2060" s="8"/>
      <c r="I2060" s="14">
        <v>0</v>
      </c>
      <c r="J2060" s="14">
        <v>0</v>
      </c>
      <c r="K2060" s="6" t="str">
        <f t="shared" si="377"/>
        <v>into.AI</v>
      </c>
      <c r="L2060" s="15">
        <v>19374</v>
      </c>
      <c r="M2060" s="15">
        <v>1707</v>
      </c>
      <c r="N2060" s="15">
        <v>3164</v>
      </c>
      <c r="O2060" s="9"/>
      <c r="P2060" s="10">
        <v>42133.721620370372</v>
      </c>
      <c r="Q2060" s="14" t="s">
        <v>2024</v>
      </c>
      <c r="R2060" s="14" t="s">
        <v>2025</v>
      </c>
      <c r="S2060" s="7" t="s">
        <v>2026</v>
      </c>
      <c r="T2060" s="8"/>
      <c r="U2060" s="11" t="str">
        <f t="shared" si="378"/>
        <v>View</v>
      </c>
      <c r="V2060" s="8"/>
      <c r="W2060" s="8"/>
      <c r="X2060" s="8"/>
      <c r="Y2060" s="8"/>
      <c r="Z2060" s="8"/>
    </row>
    <row r="2061" spans="1:26" ht="13.2">
      <c r="A2061" s="13">
        <v>44250.139166666668</v>
      </c>
      <c r="B2061" s="6" t="str">
        <f t="shared" si="376"/>
        <v>@into_AI</v>
      </c>
      <c r="C2061" s="14" t="s">
        <v>2021</v>
      </c>
      <c r="D2061" s="14" t="s">
        <v>8225</v>
      </c>
      <c r="E2061" s="6" t="str">
        <f>HYPERLINK("https://twitter.com/into_AI/status/1364037362003623937","1364037362003623937")</f>
        <v>1364037362003623937</v>
      </c>
      <c r="F2061" s="7" t="s">
        <v>8226</v>
      </c>
      <c r="G2061" s="8"/>
      <c r="H2061" s="8"/>
      <c r="I2061" s="14">
        <v>3</v>
      </c>
      <c r="J2061" s="14">
        <v>1</v>
      </c>
      <c r="K2061" s="6" t="str">
        <f t="shared" si="377"/>
        <v>into.AI</v>
      </c>
      <c r="L2061" s="15">
        <v>19374</v>
      </c>
      <c r="M2061" s="15">
        <v>1707</v>
      </c>
      <c r="N2061" s="15">
        <v>3164</v>
      </c>
      <c r="O2061" s="9"/>
      <c r="P2061" s="10">
        <v>42133.721620370372</v>
      </c>
      <c r="Q2061" s="14" t="s">
        <v>2024</v>
      </c>
      <c r="R2061" s="14" t="s">
        <v>2025</v>
      </c>
      <c r="S2061" s="7" t="s">
        <v>2026</v>
      </c>
      <c r="T2061" s="8"/>
      <c r="U2061" s="11" t="str">
        <f t="shared" si="378"/>
        <v>View</v>
      </c>
      <c r="V2061" s="8"/>
      <c r="W2061" s="8"/>
      <c r="X2061" s="8"/>
      <c r="Y2061" s="8"/>
      <c r="Z2061" s="8"/>
    </row>
    <row r="2062" spans="1:26" ht="13.2">
      <c r="A2062" s="13">
        <v>44250.139120370368</v>
      </c>
      <c r="B2062" s="6" t="str">
        <f>HYPERLINK("https://twitter.com/contempediacom","@contempediacom")</f>
        <v>@contempediacom</v>
      </c>
      <c r="C2062" s="14" t="s">
        <v>8227</v>
      </c>
      <c r="D2062" s="14" t="s">
        <v>8228</v>
      </c>
      <c r="E2062" s="6" t="str">
        <f>HYPERLINK("https://twitter.com/contempediacom/status/1364037344572006401","1364037344572006401")</f>
        <v>1364037344572006401</v>
      </c>
      <c r="F2062" s="7" t="s">
        <v>6608</v>
      </c>
      <c r="G2062" s="8"/>
      <c r="H2062" s="8"/>
      <c r="I2062" s="14">
        <v>26</v>
      </c>
      <c r="J2062" s="14">
        <v>10</v>
      </c>
      <c r="K2062" s="6" t="str">
        <f>HYPERLINK("https://mobile.twitter.com","Twitter Web App")</f>
        <v>Twitter Web App</v>
      </c>
      <c r="L2062" s="15">
        <v>275</v>
      </c>
      <c r="M2062" s="15">
        <v>71</v>
      </c>
      <c r="N2062" s="15">
        <v>5</v>
      </c>
      <c r="O2062" s="9"/>
      <c r="P2062" s="10">
        <v>43644.431759259256</v>
      </c>
      <c r="Q2062" s="8"/>
      <c r="R2062" s="14" t="s">
        <v>8229</v>
      </c>
      <c r="S2062" s="8"/>
      <c r="T2062" s="8"/>
      <c r="U2062" s="11" t="str">
        <f>HYPERLINK("https://pbs.twimg.com/profile_images/1146954281838190592/5Om3hTLk.png","View")</f>
        <v>View</v>
      </c>
      <c r="V2062" s="8"/>
      <c r="W2062" s="8"/>
      <c r="X2062" s="8"/>
      <c r="Y2062" s="8"/>
      <c r="Z2062" s="8"/>
    </row>
    <row r="2063" spans="1:26" ht="13.2">
      <c r="A2063" s="13">
        <v>44250.138888888891</v>
      </c>
      <c r="B2063" s="6" t="str">
        <f>HYPERLINK("https://twitter.com/couponfree01","@couponfree01")</f>
        <v>@couponfree01</v>
      </c>
      <c r="C2063" s="14" t="s">
        <v>3074</v>
      </c>
      <c r="D2063" s="14" t="s">
        <v>8230</v>
      </c>
      <c r="E2063" s="6" t="str">
        <f>HYPERLINK("https://twitter.com/couponfree01/status/1364037260937736193","1364037260937736193")</f>
        <v>1364037260937736193</v>
      </c>
      <c r="F2063" s="7" t="s">
        <v>8231</v>
      </c>
      <c r="G2063" s="8"/>
      <c r="H2063" s="8"/>
      <c r="I2063" s="14">
        <v>13</v>
      </c>
      <c r="J2063" s="14">
        <v>8</v>
      </c>
      <c r="K2063" s="6" t="str">
        <f>HYPERLINK("https://about.twitter.com/products/tweetdeck","TweetDeck")</f>
        <v>TweetDeck</v>
      </c>
      <c r="L2063" s="15">
        <v>2207</v>
      </c>
      <c r="M2063" s="15">
        <v>4235</v>
      </c>
      <c r="N2063" s="15">
        <v>28</v>
      </c>
      <c r="O2063" s="9"/>
      <c r="P2063" s="10">
        <v>43164.382303240738</v>
      </c>
      <c r="Q2063" s="14" t="s">
        <v>3077</v>
      </c>
      <c r="R2063" s="14" t="s">
        <v>3078</v>
      </c>
      <c r="S2063" s="8"/>
      <c r="T2063" s="8"/>
      <c r="U2063" s="11" t="str">
        <f>HYPERLINK("https://pbs.twimg.com/profile_images/970573416821547009/oDkr4BWt.jpg","View")</f>
        <v>View</v>
      </c>
      <c r="V2063" s="8"/>
      <c r="W2063" s="8"/>
      <c r="X2063" s="8"/>
      <c r="Y2063" s="8"/>
      <c r="Z2063" s="8"/>
    </row>
    <row r="2064" spans="1:26" ht="13.2">
      <c r="A2064" s="13">
        <v>44250.137233796297</v>
      </c>
      <c r="B2064" s="6" t="str">
        <f>HYPERLINK("https://twitter.com/paula_abci","@paula_abci")</f>
        <v>@paula_abci</v>
      </c>
      <c r="C2064" s="14" t="s">
        <v>8232</v>
      </c>
      <c r="D2064" s="14" t="s">
        <v>8233</v>
      </c>
      <c r="E2064" s="6" t="str">
        <f>HYPERLINK("https://twitter.com/paula_abci/status/1364036663438053385","1364036663438053385")</f>
        <v>1364036663438053385</v>
      </c>
      <c r="F2064" s="7" t="s">
        <v>8234</v>
      </c>
      <c r="G2064" s="7" t="s">
        <v>8235</v>
      </c>
      <c r="H2064" s="8"/>
      <c r="I2064" s="14">
        <v>2</v>
      </c>
      <c r="J2064" s="14">
        <v>3</v>
      </c>
      <c r="K2064" s="6" t="str">
        <f>HYPERLINK("http://twitter.com/download/iphone","Twitter for iPhone")</f>
        <v>Twitter for iPhone</v>
      </c>
      <c r="L2064" s="15">
        <v>11295</v>
      </c>
      <c r="M2064" s="15">
        <v>6251</v>
      </c>
      <c r="N2064" s="15">
        <v>312</v>
      </c>
      <c r="O2064" s="9"/>
      <c r="P2064" s="10">
        <v>40039.937442129631</v>
      </c>
      <c r="Q2064" s="14" t="s">
        <v>8236</v>
      </c>
      <c r="R2064" s="14" t="s">
        <v>8237</v>
      </c>
      <c r="S2064" s="7" t="s">
        <v>8238</v>
      </c>
      <c r="T2064" s="8"/>
      <c r="U2064" s="11" t="str">
        <f>HYPERLINK("https://pbs.twimg.com/profile_images/1337074257663197184/phwoix9L.jpg","View")</f>
        <v>View</v>
      </c>
      <c r="V2064" s="8"/>
      <c r="W2064" s="8"/>
      <c r="X2064" s="8"/>
      <c r="Y2064" s="8"/>
      <c r="Z2064" s="8"/>
    </row>
    <row r="2065" spans="1:26" ht="13.2">
      <c r="A2065" s="13">
        <v>44250.137083333335</v>
      </c>
      <c r="B2065" s="6" t="str">
        <f>HYPERLINK("https://twitter.com/machinelearnflx","@machinelearnflx")</f>
        <v>@machinelearnflx</v>
      </c>
      <c r="C2065" s="14" t="s">
        <v>279</v>
      </c>
      <c r="D2065" s="14" t="s">
        <v>8239</v>
      </c>
      <c r="E2065" s="6" t="str">
        <f>HYPERLINK("https://twitter.com/machinelearnflx/status/1364036606982828034","1364036606982828034")</f>
        <v>1364036606982828034</v>
      </c>
      <c r="F2065" s="7" t="s">
        <v>8240</v>
      </c>
      <c r="G2065" s="8"/>
      <c r="H2065" s="8"/>
      <c r="I2065" s="14">
        <v>2</v>
      </c>
      <c r="J2065" s="14">
        <v>6</v>
      </c>
      <c r="K2065" s="6" t="str">
        <f>HYPERLINK("https://twitter.com/pythonbot_","Postmatico")</f>
        <v>Postmatico</v>
      </c>
      <c r="L2065" s="15">
        <v>90451</v>
      </c>
      <c r="M2065" s="15">
        <v>35464</v>
      </c>
      <c r="N2065" s="15">
        <v>2228</v>
      </c>
      <c r="O2065" s="9"/>
      <c r="P2065" s="10">
        <v>42386.538865740746</v>
      </c>
      <c r="Q2065" s="8"/>
      <c r="R2065" s="14" t="s">
        <v>282</v>
      </c>
      <c r="S2065" s="7" t="s">
        <v>283</v>
      </c>
      <c r="T2065" s="8"/>
      <c r="U2065" s="11" t="str">
        <f>HYPERLINK("https://pbs.twimg.com/profile_images/688735459892195329/v8sHaWSG.jpg","View")</f>
        <v>View</v>
      </c>
      <c r="V2065" s="8"/>
      <c r="W2065" s="8"/>
      <c r="X2065" s="8"/>
      <c r="Y2065" s="8"/>
      <c r="Z2065" s="8"/>
    </row>
    <row r="2066" spans="1:26" ht="13.2">
      <c r="A2066" s="13">
        <v>44250.136828703704</v>
      </c>
      <c r="B2066" s="6" t="str">
        <f>HYPERLINK("https://twitter.com/SpirosMargaris","@SpirosMargaris")</f>
        <v>@SpirosMargaris</v>
      </c>
      <c r="C2066" s="14" t="s">
        <v>3558</v>
      </c>
      <c r="D2066" s="14" t="s">
        <v>8241</v>
      </c>
      <c r="E2066" s="6" t="str">
        <f>HYPERLINK("https://twitter.com/SpirosMargaris/status/1364036515794403333","1364036515794403333")</f>
        <v>1364036515794403333</v>
      </c>
      <c r="F2066" s="7" t="s">
        <v>8242</v>
      </c>
      <c r="G2066" s="7" t="s">
        <v>8243</v>
      </c>
      <c r="H2066" s="8"/>
      <c r="I2066" s="14">
        <v>8</v>
      </c>
      <c r="J2066" s="14">
        <v>7</v>
      </c>
      <c r="K2066" s="6" t="str">
        <f>HYPERLINK("https://buffer.com","Buffer")</f>
        <v>Buffer</v>
      </c>
      <c r="L2066" s="15">
        <v>107389</v>
      </c>
      <c r="M2066" s="15">
        <v>15890</v>
      </c>
      <c r="N2066" s="15">
        <v>5693</v>
      </c>
      <c r="O2066" s="15" t="s">
        <v>130</v>
      </c>
      <c r="P2066" s="10">
        <v>41857.30574074074</v>
      </c>
      <c r="Q2066" s="14" t="s">
        <v>3562</v>
      </c>
      <c r="R2066" s="14" t="s">
        <v>3563</v>
      </c>
      <c r="S2066" s="7" t="s">
        <v>3564</v>
      </c>
      <c r="T2066" s="8"/>
      <c r="U2066" s="11" t="str">
        <f>HYPERLINK("https://pbs.twimg.com/profile_images/1346443960986775553/TGeiH97s.jpg","View")</f>
        <v>View</v>
      </c>
      <c r="V2066" s="8"/>
      <c r="W2066" s="8"/>
      <c r="X2066" s="8"/>
      <c r="Y2066" s="8"/>
      <c r="Z2066" s="8"/>
    </row>
    <row r="2067" spans="1:26" ht="13.2">
      <c r="A2067" s="13">
        <v>44250.13663194445</v>
      </c>
      <c r="B2067" s="6" t="str">
        <f>HYPERLINK("https://twitter.com/MargaretSiegien","@MargaretSiegien")</f>
        <v>@MargaretSiegien</v>
      </c>
      <c r="C2067" s="14" t="s">
        <v>8244</v>
      </c>
      <c r="D2067" s="14" t="s">
        <v>8245</v>
      </c>
      <c r="E2067" s="6" t="str">
        <f>HYPERLINK("https://twitter.com/MargaretSiegien/status/1364036443367231491","1364036443367231491")</f>
        <v>1364036443367231491</v>
      </c>
      <c r="F2067" s="8"/>
      <c r="G2067" s="7" t="s">
        <v>8085</v>
      </c>
      <c r="H2067" s="8"/>
      <c r="I2067" s="14">
        <v>48</v>
      </c>
      <c r="J2067" s="14">
        <v>46</v>
      </c>
      <c r="K2067" s="6" t="str">
        <f>HYPERLINK("http://twitter.com/#!/download/ipad","Twitter for iPad")</f>
        <v>Twitter for iPad</v>
      </c>
      <c r="L2067" s="15">
        <v>6806</v>
      </c>
      <c r="M2067" s="15">
        <v>2278</v>
      </c>
      <c r="N2067" s="15">
        <v>116</v>
      </c>
      <c r="O2067" s="9"/>
      <c r="P2067" s="10">
        <v>42631.542222222226</v>
      </c>
      <c r="Q2067" s="14" t="s">
        <v>8246</v>
      </c>
      <c r="R2067" s="14" t="s">
        <v>8247</v>
      </c>
      <c r="S2067" s="7" t="s">
        <v>8248</v>
      </c>
      <c r="T2067" s="8"/>
      <c r="U2067" s="11" t="str">
        <f>HYPERLINK("https://pbs.twimg.com/profile_images/1329686190853861376/ufKf5KkY.jpg","View")</f>
        <v>View</v>
      </c>
      <c r="V2067" s="8"/>
      <c r="W2067" s="8"/>
      <c r="X2067" s="8"/>
      <c r="Y2067" s="8"/>
      <c r="Z2067" s="8"/>
    </row>
    <row r="2068" spans="1:26" ht="13.2">
      <c r="A2068" s="13">
        <v>44250.135740740741</v>
      </c>
      <c r="B2068" s="6" t="str">
        <f>HYPERLINK("https://twitter.com/PawanSomanchi","@PawanSomanchi")</f>
        <v>@PawanSomanchi</v>
      </c>
      <c r="C2068" s="14" t="s">
        <v>6714</v>
      </c>
      <c r="D2068" s="14" t="s">
        <v>7452</v>
      </c>
      <c r="E2068" s="6" t="str">
        <f>HYPERLINK("https://twitter.com/PawanSomanchi/status/1364036119273353221","1364036119273353221")</f>
        <v>1364036119273353221</v>
      </c>
      <c r="F2068" s="14" t="s">
        <v>7453</v>
      </c>
      <c r="G2068" s="8"/>
      <c r="H2068" s="8"/>
      <c r="I2068" s="14">
        <v>2</v>
      </c>
      <c r="J2068" s="14">
        <v>2</v>
      </c>
      <c r="K2068" s="6" t="str">
        <f t="shared" ref="K2068:K2069" si="379">HYPERLINK("http://twinybots.com","TwinyBots")</f>
        <v>TwinyBots</v>
      </c>
      <c r="L2068" s="15">
        <v>895</v>
      </c>
      <c r="M2068" s="15">
        <v>1377</v>
      </c>
      <c r="N2068" s="15">
        <v>12</v>
      </c>
      <c r="O2068" s="9"/>
      <c r="P2068" s="10">
        <v>42629.507384259261</v>
      </c>
      <c r="Q2068" s="14" t="s">
        <v>4166</v>
      </c>
      <c r="R2068" s="14" t="s">
        <v>6715</v>
      </c>
      <c r="S2068" s="7" t="s">
        <v>6716</v>
      </c>
      <c r="T2068" s="8"/>
      <c r="U2068" s="11" t="str">
        <f>HYPERLINK("https://pbs.twimg.com/profile_images/1234794854355369984/b5uzwAtt.jpg","View")</f>
        <v>View</v>
      </c>
      <c r="V2068" s="8"/>
      <c r="W2068" s="8"/>
      <c r="X2068" s="8"/>
      <c r="Y2068" s="8"/>
      <c r="Z2068" s="8"/>
    </row>
    <row r="2069" spans="1:26" ht="13.2">
      <c r="A2069" s="13">
        <v>44250.135694444441</v>
      </c>
      <c r="B2069" s="6" t="str">
        <f>HYPERLINK("https://twitter.com/aisear_ch","@aisear_ch")</f>
        <v>@aisear_ch</v>
      </c>
      <c r="C2069" s="14" t="s">
        <v>739</v>
      </c>
      <c r="D2069" s="14" t="s">
        <v>7904</v>
      </c>
      <c r="E2069" s="6" t="str">
        <f>HYPERLINK("https://twitter.com/aisear_ch/status/1364036103699857413","1364036103699857413")</f>
        <v>1364036103699857413</v>
      </c>
      <c r="F2069" s="14" t="s">
        <v>7905</v>
      </c>
      <c r="G2069" s="8"/>
      <c r="H2069" s="8"/>
      <c r="I2069" s="14">
        <v>1</v>
      </c>
      <c r="J2069" s="14">
        <v>0</v>
      </c>
      <c r="K2069" s="6" t="str">
        <f t="shared" si="379"/>
        <v>TwinyBots</v>
      </c>
      <c r="L2069" s="15">
        <v>200</v>
      </c>
      <c r="M2069" s="15">
        <v>27</v>
      </c>
      <c r="N2069" s="15">
        <v>6</v>
      </c>
      <c r="O2069" s="9"/>
      <c r="P2069" s="10">
        <v>43992.386319444442</v>
      </c>
      <c r="Q2069" s="8"/>
      <c r="R2069" s="14" t="s">
        <v>742</v>
      </c>
      <c r="S2069" s="7" t="s">
        <v>743</v>
      </c>
      <c r="T2069" s="8"/>
      <c r="U2069" s="11" t="str">
        <f>HYPERLINK("https://pbs.twimg.com/profile_images/1271018990178045953/M-vBrs0H.png","View")</f>
        <v>View</v>
      </c>
      <c r="V2069" s="8"/>
      <c r="W2069" s="8"/>
      <c r="X2069" s="8"/>
      <c r="Y2069" s="8"/>
      <c r="Z2069" s="8"/>
    </row>
    <row r="2070" spans="1:26" ht="13.2">
      <c r="A2070" s="13">
        <v>44250.135416666672</v>
      </c>
      <c r="B2070" s="6" t="str">
        <f>HYPERLINK("https://twitter.com/couponfree01","@couponfree01")</f>
        <v>@couponfree01</v>
      </c>
      <c r="C2070" s="14" t="s">
        <v>3074</v>
      </c>
      <c r="D2070" s="14" t="s">
        <v>8249</v>
      </c>
      <c r="E2070" s="6" t="str">
        <f>HYPERLINK("https://twitter.com/couponfree01/status/1364036002558394378","1364036002558394378")</f>
        <v>1364036002558394378</v>
      </c>
      <c r="F2070" s="7" t="s">
        <v>8250</v>
      </c>
      <c r="G2070" s="8"/>
      <c r="H2070" s="8"/>
      <c r="I2070" s="14">
        <v>19</v>
      </c>
      <c r="J2070" s="14">
        <v>7</v>
      </c>
      <c r="K2070" s="6" t="str">
        <f>HYPERLINK("https://about.twitter.com/products/tweetdeck","TweetDeck")</f>
        <v>TweetDeck</v>
      </c>
      <c r="L2070" s="15">
        <v>2207</v>
      </c>
      <c r="M2070" s="15">
        <v>4235</v>
      </c>
      <c r="N2070" s="15">
        <v>28</v>
      </c>
      <c r="O2070" s="9"/>
      <c r="P2070" s="10">
        <v>43164.382303240738</v>
      </c>
      <c r="Q2070" s="14" t="s">
        <v>3077</v>
      </c>
      <c r="R2070" s="14" t="s">
        <v>3078</v>
      </c>
      <c r="S2070" s="8"/>
      <c r="T2070" s="8"/>
      <c r="U2070" s="11" t="str">
        <f>HYPERLINK("https://pbs.twimg.com/profile_images/970573416821547009/oDkr4BWt.jpg","View")</f>
        <v>View</v>
      </c>
      <c r="V2070" s="8"/>
      <c r="W2070" s="8"/>
      <c r="X2070" s="8"/>
      <c r="Y2070" s="8"/>
      <c r="Z2070" s="8"/>
    </row>
    <row r="2071" spans="1:26" ht="13.2">
      <c r="A2071" s="13">
        <v>44250.135150462964</v>
      </c>
      <c r="B2071" s="6" t="str">
        <f>HYPERLINK("https://twitter.com/HeliodoroSantos","@HeliodoroSantos")</f>
        <v>@HeliodoroSantos</v>
      </c>
      <c r="C2071" s="14" t="s">
        <v>8159</v>
      </c>
      <c r="D2071" s="14" t="s">
        <v>8251</v>
      </c>
      <c r="E2071" s="6" t="str">
        <f>HYPERLINK("https://twitter.com/HeliodoroSantos/status/1364035906961727490","1364035906961727490")</f>
        <v>1364035906961727490</v>
      </c>
      <c r="F2071" s="8"/>
      <c r="G2071" s="7" t="s">
        <v>8252</v>
      </c>
      <c r="H2071" s="8"/>
      <c r="I2071" s="14">
        <v>15</v>
      </c>
      <c r="J2071" s="14">
        <v>0</v>
      </c>
      <c r="K2071" s="6" t="str">
        <f>HYPERLINK("https://www.heliosantos.org","pyt1")</f>
        <v>pyt1</v>
      </c>
      <c r="L2071" s="15">
        <v>280</v>
      </c>
      <c r="M2071" s="15">
        <v>769</v>
      </c>
      <c r="N2071" s="15">
        <v>6</v>
      </c>
      <c r="O2071" s="9"/>
      <c r="P2071" s="10">
        <v>40610.833437499998</v>
      </c>
      <c r="Q2071" s="14" t="s">
        <v>8162</v>
      </c>
      <c r="R2071" s="8"/>
      <c r="S2071" s="7" t="s">
        <v>8163</v>
      </c>
      <c r="T2071" s="8"/>
      <c r="U2071" s="11" t="str">
        <f>HYPERLINK("https://pbs.twimg.com/profile_images/1242256799715037185/YzdNmVH9.jpg","View")</f>
        <v>View</v>
      </c>
      <c r="V2071" s="8"/>
      <c r="W2071" s="8"/>
      <c r="X2071" s="8"/>
      <c r="Y2071" s="8"/>
      <c r="Z2071" s="8"/>
    </row>
    <row r="2072" spans="1:26" ht="13.2">
      <c r="A2072" s="13">
        <v>44250.134571759263</v>
      </c>
      <c r="B2072" s="6" t="str">
        <f>HYPERLINK("https://twitter.com/SiMa_Inc","@SiMa_Inc")</f>
        <v>@SiMa_Inc</v>
      </c>
      <c r="C2072" s="7" t="s">
        <v>8253</v>
      </c>
      <c r="D2072" s="14" t="s">
        <v>8254</v>
      </c>
      <c r="E2072" s="6" t="str">
        <f>HYPERLINK("https://twitter.com/SiMa_Inc/status/1364035697682751489","1364035697682751489")</f>
        <v>1364035697682751489</v>
      </c>
      <c r="F2072" s="14" t="s">
        <v>8255</v>
      </c>
      <c r="G2072" s="8"/>
      <c r="H2072" s="8"/>
      <c r="I2072" s="14">
        <v>2</v>
      </c>
      <c r="J2072" s="14">
        <v>2</v>
      </c>
      <c r="K2072" s="6" t="str">
        <f t="shared" ref="K2072:K2073" si="380">HYPERLINK("https://mobile.twitter.com","Twitter Web App")</f>
        <v>Twitter Web App</v>
      </c>
      <c r="L2072" s="15">
        <v>63</v>
      </c>
      <c r="M2072" s="15">
        <v>54</v>
      </c>
      <c r="N2072" s="15">
        <v>5</v>
      </c>
      <c r="O2072" s="9"/>
      <c r="P2072" s="10">
        <v>43960.120347222226</v>
      </c>
      <c r="Q2072" s="14" t="s">
        <v>968</v>
      </c>
      <c r="R2072" s="14" t="s">
        <v>8256</v>
      </c>
      <c r="S2072" s="7" t="s">
        <v>8257</v>
      </c>
      <c r="T2072" s="8"/>
      <c r="U2072" s="11" t="str">
        <f>HYPERLINK("https://pbs.twimg.com/profile_images/1259187492416184320/zHPEjH2m.jpg","View")</f>
        <v>View</v>
      </c>
      <c r="V2072" s="8"/>
      <c r="W2072" s="8"/>
      <c r="X2072" s="8"/>
      <c r="Y2072" s="8"/>
      <c r="Z2072" s="8"/>
    </row>
    <row r="2073" spans="1:26" ht="13.2">
      <c r="A2073" s="13">
        <v>44250.132303240738</v>
      </c>
      <c r="B2073" s="6" t="str">
        <f>HYPERLINK("https://twitter.com/MTechSG","@MTechSG")</f>
        <v>@MTechSG</v>
      </c>
      <c r="C2073" s="14" t="s">
        <v>8258</v>
      </c>
      <c r="D2073" s="14" t="s">
        <v>8259</v>
      </c>
      <c r="E2073" s="6" t="str">
        <f>HYPERLINK("https://twitter.com/MTechSG/status/1364034875783716866","1364034875783716866")</f>
        <v>1364034875783716866</v>
      </c>
      <c r="F2073" s="7" t="s">
        <v>8260</v>
      </c>
      <c r="G2073" s="7" t="s">
        <v>8261</v>
      </c>
      <c r="H2073" s="8"/>
      <c r="I2073" s="14">
        <v>3</v>
      </c>
      <c r="J2073" s="14">
        <v>2</v>
      </c>
      <c r="K2073" s="6" t="str">
        <f t="shared" si="380"/>
        <v>Twitter Web App</v>
      </c>
      <c r="L2073" s="15">
        <v>104</v>
      </c>
      <c r="M2073" s="15">
        <v>105</v>
      </c>
      <c r="N2073" s="15">
        <v>10</v>
      </c>
      <c r="O2073" s="9"/>
      <c r="P2073" s="10">
        <v>41737.680277777778</v>
      </c>
      <c r="Q2073" s="8"/>
      <c r="R2073" s="14" t="s">
        <v>8262</v>
      </c>
      <c r="S2073" s="7" t="s">
        <v>8263</v>
      </c>
      <c r="T2073" s="8"/>
      <c r="U2073" s="11" t="str">
        <f>HYPERLINK("https://pbs.twimg.com/profile_images/1011461982778609664/640bStxW.jpg","View")</f>
        <v>View</v>
      </c>
      <c r="V2073" s="8"/>
      <c r="W2073" s="8"/>
      <c r="X2073" s="8"/>
      <c r="Y2073" s="8"/>
      <c r="Z2073" s="8"/>
    </row>
    <row r="2074" spans="1:26" ht="13.2">
      <c r="A2074" s="13">
        <v>44250.131273148145</v>
      </c>
      <c r="B2074" s="6" t="str">
        <f>HYPERLINK("https://twitter.com/globaliqx","@globaliqx")</f>
        <v>@globaliqx</v>
      </c>
      <c r="C2074" s="14" t="s">
        <v>305</v>
      </c>
      <c r="D2074" s="14" t="s">
        <v>8264</v>
      </c>
      <c r="E2074" s="6" t="str">
        <f>HYPERLINK("https://twitter.com/globaliqx/status/1364034501899399173","1364034501899399173")</f>
        <v>1364034501899399173</v>
      </c>
      <c r="F2074" s="7" t="s">
        <v>8265</v>
      </c>
      <c r="G2074" s="7" t="s">
        <v>8266</v>
      </c>
      <c r="H2074" s="8"/>
      <c r="I2074" s="14">
        <v>13</v>
      </c>
      <c r="J2074" s="14">
        <v>14</v>
      </c>
      <c r="K2074" s="6" t="str">
        <f>HYPERLINK("https://buffer.com","Buffer")</f>
        <v>Buffer</v>
      </c>
      <c r="L2074" s="15">
        <v>10339</v>
      </c>
      <c r="M2074" s="15">
        <v>7808</v>
      </c>
      <c r="N2074" s="15">
        <v>868</v>
      </c>
      <c r="O2074" s="9"/>
      <c r="P2074" s="10">
        <v>41565.721296296295</v>
      </c>
      <c r="Q2074" s="14" t="s">
        <v>309</v>
      </c>
      <c r="R2074" s="14" t="s">
        <v>310</v>
      </c>
      <c r="S2074" s="7" t="s">
        <v>311</v>
      </c>
      <c r="T2074" s="8"/>
      <c r="U2074" s="11" t="str">
        <f>HYPERLINK("https://pbs.twimg.com/profile_images/695005663492247556/v0EQSRal.jpg","View")</f>
        <v>View</v>
      </c>
      <c r="V2074" s="8"/>
      <c r="W2074" s="8"/>
      <c r="X2074" s="8"/>
      <c r="Y2074" s="8"/>
      <c r="Z2074" s="8"/>
    </row>
    <row r="2075" spans="1:26" ht="13.2">
      <c r="A2075" s="13">
        <v>44250.129756944443</v>
      </c>
      <c r="B2075" s="6" t="str">
        <f>HYPERLINK("https://twitter.com/AvolutionAbacus","@AvolutionAbacus")</f>
        <v>@AvolutionAbacus</v>
      </c>
      <c r="C2075" s="14" t="s">
        <v>8267</v>
      </c>
      <c r="D2075" s="14" t="s">
        <v>8268</v>
      </c>
      <c r="E2075" s="6" t="str">
        <f>HYPERLINK("https://twitter.com/AvolutionAbacus/status/1364033952835543043","1364033952835543043")</f>
        <v>1364033952835543043</v>
      </c>
      <c r="F2075" s="14" t="s">
        <v>8269</v>
      </c>
      <c r="G2075" s="8"/>
      <c r="H2075" s="8"/>
      <c r="I2075" s="14">
        <v>2</v>
      </c>
      <c r="J2075" s="14">
        <v>1</v>
      </c>
      <c r="K2075" s="6" t="str">
        <f>HYPERLINK("https://mobile.twitter.com","Twitter Web App")</f>
        <v>Twitter Web App</v>
      </c>
      <c r="L2075" s="15">
        <v>668</v>
      </c>
      <c r="M2075" s="15">
        <v>857</v>
      </c>
      <c r="N2075" s="15">
        <v>140</v>
      </c>
      <c r="O2075" s="9"/>
      <c r="P2075" s="10">
        <v>40484.020462962959</v>
      </c>
      <c r="Q2075" s="8"/>
      <c r="R2075" s="14" t="s">
        <v>8270</v>
      </c>
      <c r="S2075" s="7" t="s">
        <v>8271</v>
      </c>
      <c r="T2075" s="8"/>
      <c r="U2075" s="11" t="str">
        <f>HYPERLINK("https://pbs.twimg.com/profile_images/3594881560/6d9f0ca4960649e649f551d739bdfd9e.png","View")</f>
        <v>View</v>
      </c>
      <c r="V2075" s="8"/>
      <c r="W2075" s="8"/>
      <c r="X2075" s="8"/>
      <c r="Y2075" s="8"/>
      <c r="Z2075" s="8"/>
    </row>
    <row r="2076" spans="1:26" ht="13.2">
      <c r="A2076" s="13">
        <v>44250.129270833335</v>
      </c>
      <c r="B2076" s="6" t="str">
        <f>HYPERLINK("https://twitter.com/rautsan","@rautsan")</f>
        <v>@rautsan</v>
      </c>
      <c r="C2076" s="14" t="s">
        <v>8202</v>
      </c>
      <c r="D2076" s="14" t="s">
        <v>8272</v>
      </c>
      <c r="E2076" s="6" t="str">
        <f>HYPERLINK("https://twitter.com/rautsan/status/1364033777752760324","1364033777752760324")</f>
        <v>1364033777752760324</v>
      </c>
      <c r="F2076" s="7" t="s">
        <v>8273</v>
      </c>
      <c r="G2076" s="8"/>
      <c r="H2076" s="8"/>
      <c r="I2076" s="14">
        <v>1</v>
      </c>
      <c r="J2076" s="14">
        <v>0</v>
      </c>
      <c r="K2076" s="6" t="str">
        <f>HYPERLINK("https://paper.li","Paper.li")</f>
        <v>Paper.li</v>
      </c>
      <c r="L2076" s="15">
        <v>15321</v>
      </c>
      <c r="M2076" s="15">
        <v>15714</v>
      </c>
      <c r="N2076" s="15">
        <v>3495</v>
      </c>
      <c r="O2076" s="9"/>
      <c r="P2076" s="10">
        <v>39971.757488425923</v>
      </c>
      <c r="Q2076" s="14" t="s">
        <v>8205</v>
      </c>
      <c r="R2076" s="14" t="s">
        <v>8206</v>
      </c>
      <c r="S2076" s="7" t="s">
        <v>8207</v>
      </c>
      <c r="T2076" s="8"/>
      <c r="U2076" s="11" t="str">
        <f>HYPERLINK("https://pbs.twimg.com/profile_images/1087750225870102529/GsQx_JfU.jpg","View")</f>
        <v>View</v>
      </c>
      <c r="V2076" s="8"/>
      <c r="W2076" s="8"/>
      <c r="X2076" s="8"/>
      <c r="Y2076" s="8"/>
      <c r="Z2076" s="8"/>
    </row>
    <row r="2077" spans="1:26" ht="13.2">
      <c r="A2077" s="13">
        <v>44250.129189814819</v>
      </c>
      <c r="B2077" s="6" t="str">
        <f>HYPERLINK("https://twitter.com/lopezunwired","@lopezunwired")</f>
        <v>@lopezunwired</v>
      </c>
      <c r="C2077" s="14" t="s">
        <v>224</v>
      </c>
      <c r="D2077" s="14" t="s">
        <v>8274</v>
      </c>
      <c r="E2077" s="6" t="str">
        <f>HYPERLINK("https://twitter.com/lopezunwired/status/1364033747390058498","1364033747390058498")</f>
        <v>1364033747390058498</v>
      </c>
      <c r="F2077" s="7" t="s">
        <v>8275</v>
      </c>
      <c r="G2077" s="7" t="s">
        <v>8276</v>
      </c>
      <c r="H2077" s="8"/>
      <c r="I2077" s="14">
        <v>1</v>
      </c>
      <c r="J2077" s="14">
        <v>0</v>
      </c>
      <c r="K2077" s="6" t="str">
        <f>HYPERLINK("https://dlvrit.com/","dlvr.it")</f>
        <v>dlvr.it</v>
      </c>
      <c r="L2077" s="15">
        <v>1803</v>
      </c>
      <c r="M2077" s="15">
        <v>800</v>
      </c>
      <c r="N2077" s="15">
        <v>586</v>
      </c>
      <c r="O2077" s="9"/>
      <c r="P2077" s="10">
        <v>39831.947152777779</v>
      </c>
      <c r="Q2077" s="14" t="s">
        <v>228</v>
      </c>
      <c r="R2077" s="14" t="s">
        <v>229</v>
      </c>
      <c r="S2077" s="7" t="s">
        <v>230</v>
      </c>
      <c r="T2077" s="8"/>
      <c r="U2077" s="11" t="str">
        <f>HYPERLINK("https://pbs.twimg.com/profile_images/3326137784/c6c1c2570fc7b9711dd8de812b996a66.jpeg","View")</f>
        <v>View</v>
      </c>
      <c r="V2077" s="8"/>
      <c r="W2077" s="8"/>
      <c r="X2077" s="8"/>
      <c r="Y2077" s="8"/>
      <c r="Z2077" s="8"/>
    </row>
    <row r="2078" spans="1:26" ht="13.2">
      <c r="A2078" s="13">
        <v>44250.129178240742</v>
      </c>
      <c r="B2078" s="6" t="str">
        <f>HYPERLINK("https://twitter.com/rzembo","@rzembo")</f>
        <v>@rzembo</v>
      </c>
      <c r="C2078" s="14" t="s">
        <v>7974</v>
      </c>
      <c r="D2078" s="14" t="s">
        <v>8277</v>
      </c>
      <c r="E2078" s="6" t="str">
        <f>HYPERLINK("https://twitter.com/rzembo/status/1364033741191081984","1364033741191081984")</f>
        <v>1364033741191081984</v>
      </c>
      <c r="F2078" s="7" t="s">
        <v>8278</v>
      </c>
      <c r="G2078" s="8"/>
      <c r="H2078" s="8"/>
      <c r="I2078" s="14">
        <v>2</v>
      </c>
      <c r="J2078" s="14">
        <v>1</v>
      </c>
      <c r="K2078" s="6" t="str">
        <f>HYPERLINK("https://buffer.com","Buffer")</f>
        <v>Buffer</v>
      </c>
      <c r="L2078" s="15">
        <v>5473</v>
      </c>
      <c r="M2078" s="15">
        <v>5956</v>
      </c>
      <c r="N2078" s="15">
        <v>217</v>
      </c>
      <c r="O2078" s="9"/>
      <c r="P2078" s="10">
        <v>39675.932523148149</v>
      </c>
      <c r="Q2078" s="14" t="s">
        <v>7977</v>
      </c>
      <c r="R2078" s="14" t="s">
        <v>7978</v>
      </c>
      <c r="S2078" s="8"/>
      <c r="T2078" s="8"/>
      <c r="U2078" s="11" t="str">
        <f>HYPERLINK("https://pbs.twimg.com/profile_images/761975642300743680/QaDftVzk.jpg","View")</f>
        <v>View</v>
      </c>
      <c r="V2078" s="8"/>
      <c r="W2078" s="8"/>
      <c r="X2078" s="8"/>
      <c r="Y2078" s="8"/>
      <c r="Z2078" s="8"/>
    </row>
    <row r="2079" spans="1:26" ht="13.2">
      <c r="A2079" s="13">
        <v>44250.129016203704</v>
      </c>
      <c r="B2079" s="6" t="str">
        <f>HYPERLINK("https://twitter.com/FrankVTaylor","@FrankVTaylor")</f>
        <v>@FrankVTaylor</v>
      </c>
      <c r="C2079" s="14" t="s">
        <v>8279</v>
      </c>
      <c r="D2079" s="14" t="s">
        <v>8280</v>
      </c>
      <c r="E2079" s="6" t="str">
        <f>HYPERLINK("https://twitter.com/FrankVTaylor/status/1364033685155180544","1364033685155180544")</f>
        <v>1364033685155180544</v>
      </c>
      <c r="F2079" s="8"/>
      <c r="G2079" s="8"/>
      <c r="H2079" s="8"/>
      <c r="I2079" s="14">
        <v>5</v>
      </c>
      <c r="J2079" s="14">
        <v>1</v>
      </c>
      <c r="K2079" s="6" t="str">
        <f>HYPERLINK("http://twitter.com/download/iphone","Twitter for iPhone")</f>
        <v>Twitter for iPhone</v>
      </c>
      <c r="L2079" s="15">
        <v>2848</v>
      </c>
      <c r="M2079" s="15">
        <v>2620</v>
      </c>
      <c r="N2079" s="15">
        <v>327</v>
      </c>
      <c r="O2079" s="9"/>
      <c r="P2079" s="10">
        <v>40829.991805555554</v>
      </c>
      <c r="Q2079" s="14" t="s">
        <v>792</v>
      </c>
      <c r="R2079" s="14" t="s">
        <v>8281</v>
      </c>
      <c r="S2079" s="7" t="s">
        <v>8282</v>
      </c>
      <c r="T2079" s="8"/>
      <c r="U2079" s="11" t="str">
        <f>HYPERLINK("https://pbs.twimg.com/profile_images/1040090170412941314/MCkjeNeh.jpg","View")</f>
        <v>View</v>
      </c>
      <c r="V2079" s="8"/>
      <c r="W2079" s="8"/>
      <c r="X2079" s="8"/>
      <c r="Y2079" s="8"/>
      <c r="Z2079" s="8"/>
    </row>
    <row r="2080" spans="1:26" ht="13.2">
      <c r="A2080" s="13">
        <v>44250.128738425927</v>
      </c>
      <c r="B2080" s="6" t="str">
        <f>HYPERLINK("https://twitter.com/machinelearnflx","@machinelearnflx")</f>
        <v>@machinelearnflx</v>
      </c>
      <c r="C2080" s="14" t="s">
        <v>279</v>
      </c>
      <c r="D2080" s="14" t="s">
        <v>8283</v>
      </c>
      <c r="E2080" s="6" t="str">
        <f>HYPERLINK("https://twitter.com/machinelearnflx/status/1364033585435574273","1364033585435574273")</f>
        <v>1364033585435574273</v>
      </c>
      <c r="F2080" s="7" t="s">
        <v>8284</v>
      </c>
      <c r="G2080" s="8"/>
      <c r="H2080" s="8"/>
      <c r="I2080" s="14">
        <v>2</v>
      </c>
      <c r="J2080" s="14">
        <v>2</v>
      </c>
      <c r="K2080" s="6" t="str">
        <f>HYPERLINK("https://twitter.com/pythonbot_","Postmatico")</f>
        <v>Postmatico</v>
      </c>
      <c r="L2080" s="15">
        <v>90451</v>
      </c>
      <c r="M2080" s="15">
        <v>35464</v>
      </c>
      <c r="N2080" s="15">
        <v>2228</v>
      </c>
      <c r="O2080" s="9"/>
      <c r="P2080" s="10">
        <v>42386.538865740746</v>
      </c>
      <c r="Q2080" s="8"/>
      <c r="R2080" s="14" t="s">
        <v>282</v>
      </c>
      <c r="S2080" s="7" t="s">
        <v>283</v>
      </c>
      <c r="T2080" s="8"/>
      <c r="U2080" s="11" t="str">
        <f>HYPERLINK("https://pbs.twimg.com/profile_images/688735459892195329/v8sHaWSG.jpg","View")</f>
        <v>View</v>
      </c>
      <c r="V2080" s="8"/>
      <c r="W2080" s="8"/>
      <c r="X2080" s="8"/>
      <c r="Y2080" s="8"/>
      <c r="Z2080" s="8"/>
    </row>
    <row r="2081" spans="1:26" ht="13.2">
      <c r="A2081" s="13">
        <v>44250.128622685181</v>
      </c>
      <c r="B2081" s="6" t="str">
        <f>HYPERLINK("https://twitter.com/StephTweetChat","@StephTweetChat")</f>
        <v>@StephTweetChat</v>
      </c>
      <c r="C2081" s="14" t="s">
        <v>8285</v>
      </c>
      <c r="D2081" s="14" t="s">
        <v>8286</v>
      </c>
      <c r="E2081" s="6" t="str">
        <f>HYPERLINK("https://twitter.com/StephTweetChat/status/1364033542330572808","1364033542330572808")</f>
        <v>1364033542330572808</v>
      </c>
      <c r="F2081" s="7" t="s">
        <v>8287</v>
      </c>
      <c r="G2081" s="8"/>
      <c r="H2081" s="8"/>
      <c r="I2081" s="14">
        <v>2</v>
      </c>
      <c r="J2081" s="14">
        <v>0</v>
      </c>
      <c r="K2081" s="6" t="str">
        <f>HYPERLINK("http://www.linkedin.com/","LinkedIn")</f>
        <v>LinkedIn</v>
      </c>
      <c r="L2081" s="15">
        <v>8798</v>
      </c>
      <c r="M2081" s="15">
        <v>8182</v>
      </c>
      <c r="N2081" s="15">
        <v>117</v>
      </c>
      <c r="O2081" s="9"/>
      <c r="P2081" s="10">
        <v>42066.979166666672</v>
      </c>
      <c r="Q2081" s="14" t="s">
        <v>8288</v>
      </c>
      <c r="R2081" s="14" t="s">
        <v>8289</v>
      </c>
      <c r="S2081" s="7" t="s">
        <v>8290</v>
      </c>
      <c r="T2081" s="8"/>
      <c r="U2081" s="11" t="str">
        <f>HYPERLINK("https://pbs.twimg.com/profile_images/859198421420433409/Yu9b_2os.jpg","View")</f>
        <v>View</v>
      </c>
      <c r="V2081" s="8"/>
      <c r="W2081" s="8"/>
      <c r="X2081" s="8"/>
      <c r="Y2081" s="8"/>
      <c r="Z2081" s="8"/>
    </row>
    <row r="2082" spans="1:26" ht="13.2">
      <c r="A2082" s="13">
        <v>44250.128518518519</v>
      </c>
      <c r="B2082" s="6" t="str">
        <f>HYPERLINK("https://twitter.com/ipfconline1","@ipfconline1")</f>
        <v>@ipfconline1</v>
      </c>
      <c r="C2082" s="14" t="s">
        <v>65</v>
      </c>
      <c r="D2082" s="14" t="s">
        <v>8291</v>
      </c>
      <c r="E2082" s="6" t="str">
        <f>HYPERLINK("https://twitter.com/ipfconline1/status/1364033505517330434","1364033505517330434")</f>
        <v>1364033505517330434</v>
      </c>
      <c r="F2082" s="7" t="s">
        <v>8292</v>
      </c>
      <c r="G2082" s="7" t="s">
        <v>8293</v>
      </c>
      <c r="H2082" s="8"/>
      <c r="I2082" s="14">
        <v>13</v>
      </c>
      <c r="J2082" s="14">
        <v>9</v>
      </c>
      <c r="K2082" s="6" t="str">
        <f>HYPERLINK("https://twittimer.com","Twittimer")</f>
        <v>Twittimer</v>
      </c>
      <c r="L2082" s="15">
        <v>112675</v>
      </c>
      <c r="M2082" s="15">
        <v>107162</v>
      </c>
      <c r="N2082" s="15">
        <v>7806</v>
      </c>
      <c r="O2082" s="9"/>
      <c r="P2082" s="10">
        <v>42433.031967592593</v>
      </c>
      <c r="Q2082" s="14" t="s">
        <v>69</v>
      </c>
      <c r="R2082" s="14" t="s">
        <v>70</v>
      </c>
      <c r="S2082" s="7" t="s">
        <v>71</v>
      </c>
      <c r="T2082" s="8"/>
      <c r="U2082" s="11" t="str">
        <f>HYPERLINK("https://pbs.twimg.com/profile_images/729065804004769793/St2_Pum9.jpg","View")</f>
        <v>View</v>
      </c>
      <c r="V2082" s="8"/>
      <c r="W2082" s="8"/>
      <c r="X2082" s="8"/>
      <c r="Y2082" s="8"/>
      <c r="Z2082" s="8"/>
    </row>
    <row r="2083" spans="1:26" ht="13.2">
      <c r="A2083" s="13">
        <v>44250.127083333333</v>
      </c>
      <c r="B2083" s="6" t="str">
        <f>HYPERLINK("https://twitter.com/ANoorTech","@ANoorTech")</f>
        <v>@ANoorTech</v>
      </c>
      <c r="C2083" s="14" t="s">
        <v>2117</v>
      </c>
      <c r="D2083" s="14" t="s">
        <v>8294</v>
      </c>
      <c r="E2083" s="6" t="str">
        <f>HYPERLINK("https://twitter.com/ANoorTech/status/1364032983099826177","1364032983099826177")</f>
        <v>1364032983099826177</v>
      </c>
      <c r="F2083" s="8"/>
      <c r="G2083" s="7" t="s">
        <v>8295</v>
      </c>
      <c r="H2083" s="8"/>
      <c r="I2083" s="14">
        <v>21</v>
      </c>
      <c r="J2083" s="14">
        <v>13</v>
      </c>
      <c r="K2083" s="6" t="str">
        <f t="shared" ref="K2083:K2085" si="381">HYPERLINK("https://mobile.twitter.com","Twitter Web App")</f>
        <v>Twitter Web App</v>
      </c>
      <c r="L2083" s="15">
        <v>392</v>
      </c>
      <c r="M2083" s="15">
        <v>333</v>
      </c>
      <c r="N2083" s="15">
        <v>0</v>
      </c>
      <c r="O2083" s="9"/>
      <c r="P2083" s="10">
        <v>44241.511238425926</v>
      </c>
      <c r="Q2083" s="14" t="s">
        <v>2120</v>
      </c>
      <c r="R2083" s="14" t="s">
        <v>2121</v>
      </c>
      <c r="S2083" s="8"/>
      <c r="T2083" s="8"/>
      <c r="U2083" s="11" t="str">
        <f>HYPERLINK("https://pbs.twimg.com/profile_images/1361417183574839302/G5WcAJbe.jpg","View")</f>
        <v>View</v>
      </c>
      <c r="V2083" s="8"/>
      <c r="W2083" s="8"/>
      <c r="X2083" s="8"/>
      <c r="Y2083" s="8"/>
      <c r="Z2083" s="8"/>
    </row>
    <row r="2084" spans="1:26" ht="13.2">
      <c r="A2084" s="13">
        <v>44250.126388888893</v>
      </c>
      <c r="B2084" s="6" t="str">
        <f>HYPERLINK("https://twitter.com/ANoorTM","@ANoorTM")</f>
        <v>@ANoorTM</v>
      </c>
      <c r="C2084" s="14" t="s">
        <v>1720</v>
      </c>
      <c r="D2084" s="14" t="s">
        <v>8296</v>
      </c>
      <c r="E2084" s="6" t="str">
        <f>HYPERLINK("https://twitter.com/ANoorTM/status/1364032731424952320","1364032731424952320")</f>
        <v>1364032731424952320</v>
      </c>
      <c r="F2084" s="8"/>
      <c r="G2084" s="7" t="s">
        <v>8297</v>
      </c>
      <c r="H2084" s="8"/>
      <c r="I2084" s="14">
        <v>11</v>
      </c>
      <c r="J2084" s="14">
        <v>5</v>
      </c>
      <c r="K2084" s="6" t="str">
        <f t="shared" si="381"/>
        <v>Twitter Web App</v>
      </c>
      <c r="L2084" s="15">
        <v>115</v>
      </c>
      <c r="M2084" s="15">
        <v>396</v>
      </c>
      <c r="N2084" s="15">
        <v>0</v>
      </c>
      <c r="O2084" s="9"/>
      <c r="P2084" s="10">
        <v>41609.607916666668</v>
      </c>
      <c r="Q2084" s="14" t="s">
        <v>1722</v>
      </c>
      <c r="R2084" s="14" t="s">
        <v>1723</v>
      </c>
      <c r="S2084" s="7" t="s">
        <v>1724</v>
      </c>
      <c r="T2084" s="8"/>
      <c r="U2084" s="11" t="str">
        <f>HYPERLINK("https://pbs.twimg.com/profile_images/1360847327636955136/AMGDy86d.jpg","View")</f>
        <v>View</v>
      </c>
      <c r="V2084" s="8"/>
      <c r="W2084" s="8"/>
      <c r="X2084" s="8"/>
      <c r="Y2084" s="8"/>
      <c r="Z2084" s="8"/>
    </row>
    <row r="2085" spans="1:26" ht="13.2">
      <c r="A2085" s="13">
        <v>44250.126273148147</v>
      </c>
      <c r="B2085" s="6" t="str">
        <f>HYPERLINK("https://twitter.com/digilitiks","@digilitiks")</f>
        <v>@digilitiks</v>
      </c>
      <c r="C2085" s="14" t="s">
        <v>8298</v>
      </c>
      <c r="D2085" s="14" t="s">
        <v>8299</v>
      </c>
      <c r="E2085" s="6" t="str">
        <f>HYPERLINK("https://twitter.com/digilitiks/status/1364032691805380611","1364032691805380611")</f>
        <v>1364032691805380611</v>
      </c>
      <c r="F2085" s="7" t="s">
        <v>8300</v>
      </c>
      <c r="G2085" s="8"/>
      <c r="H2085" s="8"/>
      <c r="I2085" s="14">
        <v>4</v>
      </c>
      <c r="J2085" s="14">
        <v>1</v>
      </c>
      <c r="K2085" s="6" t="str">
        <f t="shared" si="381"/>
        <v>Twitter Web App</v>
      </c>
      <c r="L2085" s="15">
        <v>73</v>
      </c>
      <c r="M2085" s="15">
        <v>101</v>
      </c>
      <c r="N2085" s="15">
        <v>1</v>
      </c>
      <c r="O2085" s="9"/>
      <c r="P2085" s="10">
        <v>44013.333715277782</v>
      </c>
      <c r="Q2085" s="14" t="s">
        <v>8301</v>
      </c>
      <c r="R2085" s="14" t="s">
        <v>8302</v>
      </c>
      <c r="S2085" s="8"/>
      <c r="T2085" s="8"/>
      <c r="U2085" s="11" t="str">
        <f>HYPERLINK("https://pbs.twimg.com/profile_images/1278206928317853696/2UNYMsn6.jpg","View")</f>
        <v>View</v>
      </c>
      <c r="V2085" s="8"/>
      <c r="W2085" s="8"/>
      <c r="X2085" s="8"/>
      <c r="Y2085" s="8"/>
      <c r="Z2085" s="8"/>
    </row>
    <row r="2086" spans="1:26" ht="13.2">
      <c r="A2086" s="13">
        <v>44250.125717592593</v>
      </c>
      <c r="B2086" s="6" t="str">
        <f>HYPERLINK("https://twitter.com/MikeTamir","@MikeTamir")</f>
        <v>@MikeTamir</v>
      </c>
      <c r="C2086" s="14" t="s">
        <v>1458</v>
      </c>
      <c r="D2086" s="14" t="s">
        <v>8303</v>
      </c>
      <c r="E2086" s="6" t="str">
        <f>HYPERLINK("https://twitter.com/MikeTamir/status/1364032490848026625","1364032490848026625")</f>
        <v>1364032490848026625</v>
      </c>
      <c r="F2086" s="7" t="s">
        <v>8304</v>
      </c>
      <c r="G2086" s="7" t="s">
        <v>4955</v>
      </c>
      <c r="H2086" s="8"/>
      <c r="I2086" s="14">
        <v>33</v>
      </c>
      <c r="J2086" s="14">
        <v>43</v>
      </c>
      <c r="K2086" s="6" t="str">
        <f>HYPERLINK("https://buffer.com","Buffer")</f>
        <v>Buffer</v>
      </c>
      <c r="L2086" s="15">
        <v>22385</v>
      </c>
      <c r="M2086" s="15">
        <v>52</v>
      </c>
      <c r="N2086" s="15">
        <v>1067</v>
      </c>
      <c r="O2086" s="9"/>
      <c r="P2086" s="10">
        <v>40732.691851851851</v>
      </c>
      <c r="Q2086" s="14" t="s">
        <v>1461</v>
      </c>
      <c r="R2086" s="14" t="s">
        <v>1462</v>
      </c>
      <c r="S2086" s="7" t="s">
        <v>1463</v>
      </c>
      <c r="T2086" s="8"/>
      <c r="U2086" s="11" t="str">
        <f>HYPERLINK("https://pbs.twimg.com/profile_images/674658758472024064/1BWd5LDj.jpg","View")</f>
        <v>View</v>
      </c>
      <c r="V2086" s="8"/>
      <c r="W2086" s="8"/>
      <c r="X2086" s="8"/>
      <c r="Y2086" s="8"/>
      <c r="Z2086" s="8"/>
    </row>
    <row r="2087" spans="1:26" ht="13.2">
      <c r="A2087" s="13">
        <v>44250.125717592593</v>
      </c>
      <c r="B2087" s="6" t="str">
        <f>HYPERLINK("https://twitter.com/bernardleong","@bernardleong")</f>
        <v>@bernardleong</v>
      </c>
      <c r="C2087" s="14" t="s">
        <v>8305</v>
      </c>
      <c r="D2087" s="14" t="s">
        <v>8306</v>
      </c>
      <c r="E2087" s="6" t="str">
        <f>HYPERLINK("https://twitter.com/bernardleong/status/1364032489065492488","1364032489065492488")</f>
        <v>1364032489065492488</v>
      </c>
      <c r="F2087" s="7" t="s">
        <v>8307</v>
      </c>
      <c r="G2087" s="7" t="s">
        <v>8308</v>
      </c>
      <c r="H2087" s="8"/>
      <c r="I2087" s="14">
        <v>1</v>
      </c>
      <c r="J2087" s="14">
        <v>0</v>
      </c>
      <c r="K2087" s="6" t="str">
        <f>HYPERLINK("http://www.everyonesocial.com","EveryoneSocial")</f>
        <v>EveryoneSocial</v>
      </c>
      <c r="L2087" s="15">
        <v>6755</v>
      </c>
      <c r="M2087" s="15">
        <v>207</v>
      </c>
      <c r="N2087" s="15">
        <v>463</v>
      </c>
      <c r="O2087" s="15" t="s">
        <v>130</v>
      </c>
      <c r="P2087" s="10">
        <v>39166.836805555555</v>
      </c>
      <c r="Q2087" s="14" t="s">
        <v>322</v>
      </c>
      <c r="R2087" s="14" t="s">
        <v>8309</v>
      </c>
      <c r="S2087" s="7" t="s">
        <v>8310</v>
      </c>
      <c r="T2087" s="8"/>
      <c r="U2087" s="11" t="str">
        <f>HYPERLINK("https://pbs.twimg.com/profile_images/750746934801944576/wFn6x_6g.jpg","View")</f>
        <v>View</v>
      </c>
      <c r="V2087" s="8"/>
      <c r="W2087" s="8"/>
      <c r="X2087" s="8"/>
      <c r="Y2087" s="8"/>
      <c r="Z2087" s="8"/>
    </row>
    <row r="2088" spans="1:26" ht="13.2">
      <c r="A2088" s="13">
        <v>44250.125405092593</v>
      </c>
      <c r="B2088" s="6" t="str">
        <f>HYPERLINK("https://twitter.com/pythonwebconf","@pythonwebconf")</f>
        <v>@pythonwebconf</v>
      </c>
      <c r="C2088" s="14" t="s">
        <v>5145</v>
      </c>
      <c r="D2088" s="14" t="s">
        <v>5146</v>
      </c>
      <c r="E2088" s="6" t="str">
        <f>HYPERLINK("https://twitter.com/pythonwebconf/status/1364032373722071046","1364032373722071046")</f>
        <v>1364032373722071046</v>
      </c>
      <c r="F2088" s="7" t="s">
        <v>5147</v>
      </c>
      <c r="G2088" s="7" t="s">
        <v>8311</v>
      </c>
      <c r="H2088" s="8"/>
      <c r="I2088" s="14">
        <v>10</v>
      </c>
      <c r="J2088" s="14">
        <v>4</v>
      </c>
      <c r="K2088" s="6" t="str">
        <f>HYPERLINK("https://www.loomly.com/","Loomly")</f>
        <v>Loomly</v>
      </c>
      <c r="L2088" s="15">
        <v>111</v>
      </c>
      <c r="M2088" s="15">
        <v>145</v>
      </c>
      <c r="N2088" s="15">
        <v>3</v>
      </c>
      <c r="O2088" s="9"/>
      <c r="P2088" s="10">
        <v>44099.711886574078</v>
      </c>
      <c r="Q2088" s="14" t="s">
        <v>179</v>
      </c>
      <c r="R2088" s="14" t="s">
        <v>5149</v>
      </c>
      <c r="S2088" s="7" t="s">
        <v>5150</v>
      </c>
      <c r="T2088" s="8"/>
      <c r="U2088" s="11" t="str">
        <f>HYPERLINK("https://pbs.twimg.com/profile_images/1341147078328770563/5DE7iPIB.jpg","View")</f>
        <v>View</v>
      </c>
      <c r="V2088" s="8"/>
      <c r="W2088" s="8"/>
      <c r="X2088" s="8"/>
      <c r="Y2088" s="8"/>
      <c r="Z2088" s="8"/>
    </row>
    <row r="2089" spans="1:26" ht="13.2">
      <c r="A2089" s="13">
        <v>44250.125069444446</v>
      </c>
      <c r="B2089" s="6" t="str">
        <f>HYPERLINK("https://twitter.com/monaarishi","@monaarishi")</f>
        <v>@monaarishi</v>
      </c>
      <c r="C2089" s="14" t="s">
        <v>8312</v>
      </c>
      <c r="D2089" s="14" t="s">
        <v>8313</v>
      </c>
      <c r="E2089" s="6" t="str">
        <f>HYPERLINK("https://twitter.com/monaarishi/status/1364032255568588805","1364032255568588805")</f>
        <v>1364032255568588805</v>
      </c>
      <c r="F2089" s="7" t="s">
        <v>8314</v>
      </c>
      <c r="G2089" s="8"/>
      <c r="H2089" s="8"/>
      <c r="I2089" s="14">
        <v>2</v>
      </c>
      <c r="J2089" s="14">
        <v>0</v>
      </c>
      <c r="K2089" s="6" t="str">
        <f>HYPERLINK("http://www.linkedin.com/","LinkedIn")</f>
        <v>LinkedIn</v>
      </c>
      <c r="L2089" s="15">
        <v>1015</v>
      </c>
      <c r="M2089" s="15">
        <v>1515</v>
      </c>
      <c r="N2089" s="15">
        <v>46</v>
      </c>
      <c r="O2089" s="9"/>
      <c r="P2089" s="10">
        <v>40012.443715277775</v>
      </c>
      <c r="Q2089" s="14" t="s">
        <v>8315</v>
      </c>
      <c r="R2089" s="14" t="s">
        <v>8316</v>
      </c>
      <c r="S2089" s="7" t="s">
        <v>8317</v>
      </c>
      <c r="T2089" s="8"/>
      <c r="U2089" s="11" t="str">
        <f>HYPERLINK("https://pbs.twimg.com/profile_images/1240181274/Mona_by_karim_and_Yassmin.jpg","View")</f>
        <v>View</v>
      </c>
      <c r="V2089" s="8"/>
      <c r="W2089" s="8"/>
      <c r="X2089" s="8"/>
      <c r="Y2089" s="8"/>
      <c r="Z2089" s="8"/>
    </row>
    <row r="2090" spans="1:26" ht="13.2">
      <c r="A2090" s="13">
        <v>44250.125034722223</v>
      </c>
      <c r="B2090" s="6" t="str">
        <f>HYPERLINK("https://twitter.com/Deep_In_Depth","@Deep_In_Depth")</f>
        <v>@Deep_In_Depth</v>
      </c>
      <c r="C2090" s="14" t="s">
        <v>312</v>
      </c>
      <c r="D2090" s="14" t="s">
        <v>8318</v>
      </c>
      <c r="E2090" s="6" t="str">
        <f>HYPERLINK("https://twitter.com/Deep_In_Depth/status/1364032242268438532","1364032242268438532")</f>
        <v>1364032242268438532</v>
      </c>
      <c r="F2090" s="7" t="s">
        <v>8319</v>
      </c>
      <c r="G2090" s="8"/>
      <c r="H2090" s="8"/>
      <c r="I2090" s="14">
        <v>1</v>
      </c>
      <c r="J2090" s="14">
        <v>2</v>
      </c>
      <c r="K2090" s="6" t="str">
        <f>HYPERLINK("https://buffer.com","Buffer")</f>
        <v>Buffer</v>
      </c>
      <c r="L2090" s="15">
        <v>10954</v>
      </c>
      <c r="M2090" s="15">
        <v>9176</v>
      </c>
      <c r="N2090" s="15">
        <v>159</v>
      </c>
      <c r="O2090" s="9"/>
      <c r="P2090" s="10">
        <v>42864.439525462964</v>
      </c>
      <c r="Q2090" s="14" t="s">
        <v>315</v>
      </c>
      <c r="R2090" s="14" t="s">
        <v>316</v>
      </c>
      <c r="S2090" s="7" t="s">
        <v>317</v>
      </c>
      <c r="T2090" s="8"/>
      <c r="U2090" s="11" t="str">
        <f>HYPERLINK("https://pbs.twimg.com/profile_images/861866967493431296/PIjaSD4g.jpg","View")</f>
        <v>View</v>
      </c>
      <c r="V2090" s="8"/>
      <c r="W2090" s="8"/>
      <c r="X2090" s="8"/>
      <c r="Y2090" s="8"/>
      <c r="Z2090" s="8"/>
    </row>
    <row r="2091" spans="1:26" ht="13.2">
      <c r="A2091" s="13">
        <v>44250.125</v>
      </c>
      <c r="B2091" s="6" t="str">
        <f>HYPERLINK("https://twitter.com/9Course","@9Course")</f>
        <v>@9Course</v>
      </c>
      <c r="C2091" s="14" t="s">
        <v>8320</v>
      </c>
      <c r="D2091" s="14" t="s">
        <v>8321</v>
      </c>
      <c r="E2091" s="6" t="str">
        <f>HYPERLINK("https://twitter.com/9Course/status/1364032230675288064","1364032230675288064")</f>
        <v>1364032230675288064</v>
      </c>
      <c r="F2091" s="7" t="s">
        <v>8322</v>
      </c>
      <c r="G2091" s="8"/>
      <c r="H2091" s="8"/>
      <c r="I2091" s="14">
        <v>23</v>
      </c>
      <c r="J2091" s="14">
        <v>9</v>
      </c>
      <c r="K2091" s="6" t="str">
        <f>HYPERLINK("https://about.twitter.com/products/tweetdeck","TweetDeck")</f>
        <v>TweetDeck</v>
      </c>
      <c r="L2091" s="15">
        <v>58</v>
      </c>
      <c r="M2091" s="15">
        <v>0</v>
      </c>
      <c r="N2091" s="15">
        <v>0</v>
      </c>
      <c r="O2091" s="9"/>
      <c r="P2091" s="10">
        <v>43993.224756944444</v>
      </c>
      <c r="Q2091" s="8"/>
      <c r="R2091" s="14" t="s">
        <v>8323</v>
      </c>
      <c r="S2091" s="8"/>
      <c r="T2091" s="8"/>
      <c r="U2091" s="11" t="str">
        <f>HYPERLINK("https://pbs.twimg.com/profile_images/1272155875898056704/rGxDdeJs.jpg","View")</f>
        <v>View</v>
      </c>
      <c r="V2091" s="8"/>
      <c r="W2091" s="8"/>
      <c r="X2091" s="8"/>
      <c r="Y2091" s="8"/>
      <c r="Z2091" s="8"/>
    </row>
    <row r="2092" spans="1:26" ht="13.2">
      <c r="A2092" s="13">
        <v>44250.124930555554</v>
      </c>
      <c r="B2092" s="6" t="str">
        <f>HYPERLINK("https://twitter.com/Datascience__","@Datascience__")</f>
        <v>@Datascience__</v>
      </c>
      <c r="C2092" s="14" t="s">
        <v>1082</v>
      </c>
      <c r="D2092" s="14" t="s">
        <v>8324</v>
      </c>
      <c r="E2092" s="6" t="str">
        <f>HYPERLINK("https://twitter.com/Datascience__/status/1364032202430951424","1364032202430951424")</f>
        <v>1364032202430951424</v>
      </c>
      <c r="F2092" s="14" t="s">
        <v>8325</v>
      </c>
      <c r="G2092" s="8"/>
      <c r="H2092" s="8"/>
      <c r="I2092" s="14">
        <v>2</v>
      </c>
      <c r="J2092" s="14">
        <v>0</v>
      </c>
      <c r="K2092" s="6" t="str">
        <f>HYPERLINK("https://twitter.com/pythonbot_","Postmatico")</f>
        <v>Postmatico</v>
      </c>
      <c r="L2092" s="15">
        <v>21499</v>
      </c>
      <c r="M2092" s="15">
        <v>11071</v>
      </c>
      <c r="N2092" s="15">
        <v>0</v>
      </c>
      <c r="O2092" s="9"/>
      <c r="P2092" s="10">
        <v>42735.551377314812</v>
      </c>
      <c r="Q2092" s="8"/>
      <c r="R2092" s="14" t="s">
        <v>1085</v>
      </c>
      <c r="S2092" s="7" t="s">
        <v>1086</v>
      </c>
      <c r="T2092" s="8"/>
      <c r="U2092" s="11" t="str">
        <f>HYPERLINK("https://pbs.twimg.com/profile_images/989066461435097088/AQZSFyuk.jpg","View")</f>
        <v>View</v>
      </c>
      <c r="V2092" s="8"/>
      <c r="W2092" s="8"/>
      <c r="X2092" s="8"/>
      <c r="Y2092" s="8"/>
      <c r="Z2092" s="8"/>
    </row>
    <row r="2093" spans="1:26" ht="13.2">
      <c r="A2093" s="13">
        <v>44250.124664351853</v>
      </c>
      <c r="B2093" s="6" t="str">
        <f>HYPERLINK("https://twitter.com/HeliodoroSantos","@HeliodoroSantos")</f>
        <v>@HeliodoroSantos</v>
      </c>
      <c r="C2093" s="14" t="s">
        <v>8159</v>
      </c>
      <c r="D2093" s="14" t="s">
        <v>8326</v>
      </c>
      <c r="E2093" s="6" t="str">
        <f>HYPERLINK("https://twitter.com/HeliodoroSantos/status/1364032106544852996","1364032106544852996")</f>
        <v>1364032106544852996</v>
      </c>
      <c r="F2093" s="8"/>
      <c r="G2093" s="7" t="s">
        <v>8327</v>
      </c>
      <c r="H2093" s="8"/>
      <c r="I2093" s="14">
        <v>10</v>
      </c>
      <c r="J2093" s="14">
        <v>1</v>
      </c>
      <c r="K2093" s="6" t="str">
        <f>HYPERLINK("https://www.heliosantos.org","pyt1")</f>
        <v>pyt1</v>
      </c>
      <c r="L2093" s="15">
        <v>280</v>
      </c>
      <c r="M2093" s="15">
        <v>769</v>
      </c>
      <c r="N2093" s="15">
        <v>6</v>
      </c>
      <c r="O2093" s="9"/>
      <c r="P2093" s="10">
        <v>40610.833437499998</v>
      </c>
      <c r="Q2093" s="14" t="s">
        <v>8162</v>
      </c>
      <c r="R2093" s="8"/>
      <c r="S2093" s="7" t="s">
        <v>8163</v>
      </c>
      <c r="T2093" s="8"/>
      <c r="U2093" s="11" t="str">
        <f>HYPERLINK("https://pbs.twimg.com/profile_images/1242256799715037185/YzdNmVH9.jpg","View")</f>
        <v>View</v>
      </c>
      <c r="V2093" s="8"/>
      <c r="W2093" s="8"/>
      <c r="X2093" s="8"/>
      <c r="Y2093" s="8"/>
      <c r="Z2093" s="8"/>
    </row>
    <row r="2094" spans="1:26" ht="13.2">
      <c r="A2094" s="13">
        <v>44250.124537037038</v>
      </c>
      <c r="B2094" s="6" t="str">
        <f>HYPERLINK("https://twitter.com/Sheraj99","@Sheraj99")</f>
        <v>@Sheraj99</v>
      </c>
      <c r="C2094" s="14" t="s">
        <v>4576</v>
      </c>
      <c r="D2094" s="14" t="s">
        <v>8328</v>
      </c>
      <c r="E2094" s="6" t="str">
        <f>HYPERLINK("https://twitter.com/Sheraj99/status/1364032060160172039","1364032060160172039")</f>
        <v>1364032060160172039</v>
      </c>
      <c r="F2094" s="7" t="s">
        <v>8329</v>
      </c>
      <c r="G2094" s="8"/>
      <c r="H2094" s="8"/>
      <c r="I2094" s="14">
        <v>37</v>
      </c>
      <c r="J2094" s="14">
        <v>18</v>
      </c>
      <c r="K2094" s="6" t="str">
        <f>HYPERLINK("http://twitter.com/download/iphone","Twitter for iPhone")</f>
        <v>Twitter for iPhone</v>
      </c>
      <c r="L2094" s="15">
        <v>288</v>
      </c>
      <c r="M2094" s="15">
        <v>92</v>
      </c>
      <c r="N2094" s="15">
        <v>3</v>
      </c>
      <c r="O2094" s="9"/>
      <c r="P2094" s="10">
        <v>40621.211805555555</v>
      </c>
      <c r="Q2094" s="14" t="s">
        <v>696</v>
      </c>
      <c r="R2094" s="14" t="s">
        <v>4579</v>
      </c>
      <c r="S2094" s="8"/>
      <c r="T2094" s="8"/>
      <c r="U2094" s="11" t="str">
        <f>HYPERLINK("https://pbs.twimg.com/profile_images/1258879283877105664/_UZhqUDu.jpg","View")</f>
        <v>View</v>
      </c>
      <c r="V2094" s="8"/>
      <c r="W2094" s="8"/>
      <c r="X2094" s="8"/>
      <c r="Y2094" s="8"/>
      <c r="Z2094" s="8"/>
    </row>
    <row r="2095" spans="1:26" ht="13.2">
      <c r="A2095" s="13">
        <v>44250.12364583333</v>
      </c>
      <c r="B2095" s="6" t="str">
        <f>HYPERLINK("https://twitter.com/SpirosMargaris","@SpirosMargaris")</f>
        <v>@SpirosMargaris</v>
      </c>
      <c r="C2095" s="14" t="s">
        <v>3558</v>
      </c>
      <c r="D2095" s="14" t="s">
        <v>8330</v>
      </c>
      <c r="E2095" s="6" t="str">
        <f>HYPERLINK("https://twitter.com/SpirosMargaris/status/1364031738956111872","1364031738956111872")</f>
        <v>1364031738956111872</v>
      </c>
      <c r="F2095" s="7" t="s">
        <v>5912</v>
      </c>
      <c r="G2095" s="7" t="s">
        <v>8331</v>
      </c>
      <c r="H2095" s="8"/>
      <c r="I2095" s="14">
        <v>34</v>
      </c>
      <c r="J2095" s="14">
        <v>43</v>
      </c>
      <c r="K2095" s="6" t="str">
        <f>HYPERLINK("https://buffer.com","Buffer")</f>
        <v>Buffer</v>
      </c>
      <c r="L2095" s="15">
        <v>107389</v>
      </c>
      <c r="M2095" s="15">
        <v>15890</v>
      </c>
      <c r="N2095" s="15">
        <v>5693</v>
      </c>
      <c r="O2095" s="15" t="s">
        <v>130</v>
      </c>
      <c r="P2095" s="10">
        <v>41857.30574074074</v>
      </c>
      <c r="Q2095" s="14" t="s">
        <v>3562</v>
      </c>
      <c r="R2095" s="14" t="s">
        <v>3563</v>
      </c>
      <c r="S2095" s="7" t="s">
        <v>3564</v>
      </c>
      <c r="T2095" s="8"/>
      <c r="U2095" s="11" t="str">
        <f>HYPERLINK("https://pbs.twimg.com/profile_images/1346443960986775553/TGeiH97s.jpg","View")</f>
        <v>View</v>
      </c>
      <c r="V2095" s="8"/>
      <c r="W2095" s="8"/>
      <c r="X2095" s="8"/>
      <c r="Y2095" s="8"/>
      <c r="Z2095" s="8"/>
    </row>
    <row r="2096" spans="1:26" ht="13.2">
      <c r="A2096" s="13">
        <v>44250.123182870375</v>
      </c>
      <c r="B2096" s="6" t="str">
        <f>HYPERLINK("https://twitter.com/machinelearnflx","@machinelearnflx")</f>
        <v>@machinelearnflx</v>
      </c>
      <c r="C2096" s="14" t="s">
        <v>279</v>
      </c>
      <c r="D2096" s="14" t="s">
        <v>8332</v>
      </c>
      <c r="E2096" s="6" t="str">
        <f>HYPERLINK("https://twitter.com/machinelearnflx/status/1364031570294812674","1364031570294812674")</f>
        <v>1364031570294812674</v>
      </c>
      <c r="F2096" s="7" t="s">
        <v>8333</v>
      </c>
      <c r="G2096" s="8"/>
      <c r="H2096" s="8"/>
      <c r="I2096" s="14">
        <v>10</v>
      </c>
      <c r="J2096" s="14">
        <v>6</v>
      </c>
      <c r="K2096" s="6" t="str">
        <f>HYPERLINK("https://twitter.com/pythonbot_","Postmatico")</f>
        <v>Postmatico</v>
      </c>
      <c r="L2096" s="15">
        <v>90451</v>
      </c>
      <c r="M2096" s="15">
        <v>35464</v>
      </c>
      <c r="N2096" s="15">
        <v>2228</v>
      </c>
      <c r="O2096" s="9"/>
      <c r="P2096" s="10">
        <v>42386.538865740746</v>
      </c>
      <c r="Q2096" s="8"/>
      <c r="R2096" s="14" t="s">
        <v>282</v>
      </c>
      <c r="S2096" s="7" t="s">
        <v>283</v>
      </c>
      <c r="T2096" s="8"/>
      <c r="U2096" s="11" t="str">
        <f>HYPERLINK("https://pbs.twimg.com/profile_images/688735459892195329/v8sHaWSG.jpg","View")</f>
        <v>View</v>
      </c>
      <c r="V2096" s="8"/>
      <c r="W2096" s="8"/>
      <c r="X2096" s="8"/>
      <c r="Y2096" s="8"/>
      <c r="Z2096" s="8"/>
    </row>
    <row r="2097" spans="1:26" ht="13.2">
      <c r="A2097" s="13">
        <v>44250.122719907406</v>
      </c>
      <c r="B2097" s="6" t="str">
        <f>HYPERLINK("https://twitter.com/Sheraj99","@Sheraj99")</f>
        <v>@Sheraj99</v>
      </c>
      <c r="C2097" s="14" t="s">
        <v>4576</v>
      </c>
      <c r="D2097" s="14" t="s">
        <v>8334</v>
      </c>
      <c r="E2097" s="6" t="str">
        <f>HYPERLINK("https://twitter.com/Sheraj99/status/1364031404015763457","1364031404015763457")</f>
        <v>1364031404015763457</v>
      </c>
      <c r="F2097" s="7" t="s">
        <v>8335</v>
      </c>
      <c r="G2097" s="8"/>
      <c r="H2097" s="8"/>
      <c r="I2097" s="14">
        <v>40</v>
      </c>
      <c r="J2097" s="14">
        <v>27</v>
      </c>
      <c r="K2097" s="6" t="str">
        <f>HYPERLINK("http://twitter.com/download/iphone","Twitter for iPhone")</f>
        <v>Twitter for iPhone</v>
      </c>
      <c r="L2097" s="15">
        <v>288</v>
      </c>
      <c r="M2097" s="15">
        <v>92</v>
      </c>
      <c r="N2097" s="15">
        <v>3</v>
      </c>
      <c r="O2097" s="9"/>
      <c r="P2097" s="10">
        <v>40621.211805555555</v>
      </c>
      <c r="Q2097" s="14" t="s">
        <v>696</v>
      </c>
      <c r="R2097" s="14" t="s">
        <v>4579</v>
      </c>
      <c r="S2097" s="8"/>
      <c r="T2097" s="8"/>
      <c r="U2097" s="11" t="str">
        <f>HYPERLINK("https://pbs.twimg.com/profile_images/1258879283877105664/_UZhqUDu.jpg","View")</f>
        <v>View</v>
      </c>
      <c r="V2097" s="8"/>
      <c r="W2097" s="8"/>
      <c r="X2097" s="8"/>
      <c r="Y2097" s="8"/>
      <c r="Z2097" s="8"/>
    </row>
    <row r="2098" spans="1:26" ht="13.2">
      <c r="A2098" s="13">
        <v>44250.122129629628</v>
      </c>
      <c r="B2098" s="6" t="str">
        <f>HYPERLINK("https://twitter.com/Innovat78455398","@Innovat78455398")</f>
        <v>@Innovat78455398</v>
      </c>
      <c r="C2098" s="14" t="s">
        <v>4318</v>
      </c>
      <c r="D2098" s="14" t="s">
        <v>8336</v>
      </c>
      <c r="E2098" s="6" t="str">
        <f>HYPERLINK("https://twitter.com/Innovat78455398/status/1364031186960453637","1364031186960453637")</f>
        <v>1364031186960453637</v>
      </c>
      <c r="F2098" s="7" t="s">
        <v>8337</v>
      </c>
      <c r="G2098" s="7" t="s">
        <v>8338</v>
      </c>
      <c r="H2098" s="8"/>
      <c r="I2098" s="14">
        <v>27</v>
      </c>
      <c r="J2098" s="14">
        <v>15</v>
      </c>
      <c r="K2098" s="6" t="str">
        <f t="shared" ref="K2098:K2101" si="382">HYPERLINK("https://mobile.twitter.com","Twitter Web App")</f>
        <v>Twitter Web App</v>
      </c>
      <c r="L2098" s="15">
        <v>101</v>
      </c>
      <c r="M2098" s="15">
        <v>142</v>
      </c>
      <c r="N2098" s="15">
        <v>1</v>
      </c>
      <c r="O2098" s="9"/>
      <c r="P2098" s="10">
        <v>44075.047534722224</v>
      </c>
      <c r="Q2098" s="14" t="s">
        <v>623</v>
      </c>
      <c r="R2098" s="14" t="s">
        <v>4322</v>
      </c>
      <c r="S2098" s="8"/>
      <c r="T2098" s="8"/>
      <c r="U2098" s="11" t="str">
        <f>HYPERLINK("https://pbs.twimg.com/profile_images/1300571380098850818/YjKI8L9l.jpg","View")</f>
        <v>View</v>
      </c>
      <c r="V2098" s="8"/>
      <c r="W2098" s="8"/>
      <c r="X2098" s="8"/>
      <c r="Y2098" s="8"/>
      <c r="Z2098" s="8"/>
    </row>
    <row r="2099" spans="1:26" ht="13.2">
      <c r="A2099" s="13">
        <v>44250.121504629627</v>
      </c>
      <c r="B2099" s="6" t="str">
        <f>HYPERLINK("https://twitter.com/sivarajTweets","@sivarajTweets")</f>
        <v>@sivarajTweets</v>
      </c>
      <c r="C2099" s="14" t="s">
        <v>8339</v>
      </c>
      <c r="D2099" s="14" t="s">
        <v>8340</v>
      </c>
      <c r="E2099" s="6" t="str">
        <f>HYPERLINK("https://twitter.com/sivarajTweets/status/1364030961701195778","1364030961701195778")</f>
        <v>1364030961701195778</v>
      </c>
      <c r="F2099" s="7" t="s">
        <v>8341</v>
      </c>
      <c r="G2099" s="8"/>
      <c r="H2099" s="8"/>
      <c r="I2099" s="14">
        <v>1</v>
      </c>
      <c r="J2099" s="14">
        <v>0</v>
      </c>
      <c r="K2099" s="6" t="str">
        <f t="shared" si="382"/>
        <v>Twitter Web App</v>
      </c>
      <c r="L2099" s="15">
        <v>488</v>
      </c>
      <c r="M2099" s="15">
        <v>1017</v>
      </c>
      <c r="N2099" s="15">
        <v>150</v>
      </c>
      <c r="O2099" s="9"/>
      <c r="P2099" s="10">
        <v>40333.236597222218</v>
      </c>
      <c r="Q2099" s="14" t="s">
        <v>364</v>
      </c>
      <c r="R2099" s="14" t="s">
        <v>8342</v>
      </c>
      <c r="S2099" s="8"/>
      <c r="T2099" s="8"/>
      <c r="U2099" s="11" t="str">
        <f>HYPERLINK("https://pbs.twimg.com/profile_images/1024009273335013376/myPwa1HC.jpg","View")</f>
        <v>View</v>
      </c>
      <c r="V2099" s="8"/>
      <c r="W2099" s="8"/>
      <c r="X2099" s="8"/>
      <c r="Y2099" s="8"/>
      <c r="Z2099" s="8"/>
    </row>
    <row r="2100" spans="1:26" ht="13.2">
      <c r="A2100" s="13">
        <v>44250.120972222227</v>
      </c>
      <c r="B2100" s="6" t="str">
        <f>HYPERLINK("https://twitter.com/Python_Dv","@Python_Dv")</f>
        <v>@Python_Dv</v>
      </c>
      <c r="C2100" s="14" t="s">
        <v>8343</v>
      </c>
      <c r="D2100" s="14" t="s">
        <v>8344</v>
      </c>
      <c r="E2100" s="6" t="str">
        <f>HYPERLINK("https://twitter.com/Python_Dv/status/1364030767630753802","1364030767630753802")</f>
        <v>1364030767630753802</v>
      </c>
      <c r="F2100" s="7" t="s">
        <v>8345</v>
      </c>
      <c r="G2100" s="8"/>
      <c r="H2100" s="8"/>
      <c r="I2100" s="14">
        <v>7</v>
      </c>
      <c r="J2100" s="14">
        <v>7</v>
      </c>
      <c r="K2100" s="6" t="str">
        <f t="shared" si="382"/>
        <v>Twitter Web App</v>
      </c>
      <c r="L2100" s="15">
        <v>4311</v>
      </c>
      <c r="M2100" s="15">
        <v>1125</v>
      </c>
      <c r="N2100" s="15">
        <v>73</v>
      </c>
      <c r="O2100" s="9"/>
      <c r="P2100" s="10">
        <v>42538.59878472222</v>
      </c>
      <c r="Q2100" s="14" t="s">
        <v>322</v>
      </c>
      <c r="R2100" s="14" t="s">
        <v>8346</v>
      </c>
      <c r="S2100" s="7" t="s">
        <v>2310</v>
      </c>
      <c r="T2100" s="8"/>
      <c r="U2100" s="11" t="str">
        <f>HYPERLINK("https://pbs.twimg.com/profile_images/842358957997883392/59-UQhVS.jpg","View")</f>
        <v>View</v>
      </c>
      <c r="V2100" s="8"/>
      <c r="W2100" s="8"/>
      <c r="X2100" s="8"/>
      <c r="Y2100" s="8"/>
      <c r="Z2100" s="8"/>
    </row>
    <row r="2101" spans="1:26" ht="13.2">
      <c r="A2101" s="13">
        <v>44250.120046296295</v>
      </c>
      <c r="B2101" s="6" t="str">
        <f>HYPERLINK("https://twitter.com/MLAucklandUni","@MLAucklandUni")</f>
        <v>@MLAucklandUni</v>
      </c>
      <c r="C2101" s="14" t="s">
        <v>8347</v>
      </c>
      <c r="D2101" s="14" t="s">
        <v>8348</v>
      </c>
      <c r="E2101" s="6" t="str">
        <f>HYPERLINK("https://twitter.com/MLAucklandUni/status/1364030435580239878","1364030435580239878")</f>
        <v>1364030435580239878</v>
      </c>
      <c r="F2101" s="7" t="s">
        <v>8349</v>
      </c>
      <c r="G2101" s="8"/>
      <c r="H2101" s="8"/>
      <c r="I2101" s="14">
        <v>4</v>
      </c>
      <c r="J2101" s="14">
        <v>2</v>
      </c>
      <c r="K2101" s="6" t="str">
        <f t="shared" si="382"/>
        <v>Twitter Web App</v>
      </c>
      <c r="L2101" s="15">
        <v>77</v>
      </c>
      <c r="M2101" s="15">
        <v>42</v>
      </c>
      <c r="N2101" s="15">
        <v>0</v>
      </c>
      <c r="O2101" s="9"/>
      <c r="P2101" s="10">
        <v>43928.365810185191</v>
      </c>
      <c r="Q2101" s="14" t="s">
        <v>8350</v>
      </c>
      <c r="R2101" s="14" t="s">
        <v>8351</v>
      </c>
      <c r="S2101" s="7" t="s">
        <v>8352</v>
      </c>
      <c r="T2101" s="8"/>
      <c r="U2101" s="11" t="str">
        <f>HYPERLINK("https://pbs.twimg.com/profile_images/1250920952138854400/b0zpmb9i.jpg","View")</f>
        <v>View</v>
      </c>
      <c r="V2101" s="8"/>
      <c r="W2101" s="8"/>
      <c r="X2101" s="8"/>
      <c r="Y2101" s="8"/>
      <c r="Z2101" s="8"/>
    </row>
    <row r="2102" spans="1:26" ht="13.2">
      <c r="A2102" s="13">
        <v>44250.119143518517</v>
      </c>
      <c r="B2102" s="6" t="str">
        <f>HYPERLINK("https://twitter.com/Superdigital9","@Superdigital9")</f>
        <v>@Superdigital9</v>
      </c>
      <c r="C2102" s="14" t="s">
        <v>4132</v>
      </c>
      <c r="D2102" s="14" t="s">
        <v>8353</v>
      </c>
      <c r="E2102" s="6" t="str">
        <f>HYPERLINK("https://twitter.com/Superdigital9/status/1364030105090224128","1364030105090224128")</f>
        <v>1364030105090224128</v>
      </c>
      <c r="F2102" s="14" t="s">
        <v>8354</v>
      </c>
      <c r="G2102" s="8"/>
      <c r="H2102" s="8"/>
      <c r="I2102" s="14">
        <v>1</v>
      </c>
      <c r="J2102" s="14">
        <v>0</v>
      </c>
      <c r="K2102" s="6" t="str">
        <f>HYPERLINK("http://twinybots.com","TwinyBots")</f>
        <v>TwinyBots</v>
      </c>
      <c r="L2102" s="15">
        <v>796</v>
      </c>
      <c r="M2102" s="15">
        <v>1112</v>
      </c>
      <c r="N2102" s="15">
        <v>11</v>
      </c>
      <c r="O2102" s="9"/>
      <c r="P2102" s="10">
        <v>43821.75409722222</v>
      </c>
      <c r="Q2102" s="14" t="s">
        <v>3176</v>
      </c>
      <c r="R2102" s="14" t="s">
        <v>4135</v>
      </c>
      <c r="S2102" s="7" t="s">
        <v>4136</v>
      </c>
      <c r="T2102" s="8"/>
      <c r="U2102" s="11" t="str">
        <f>HYPERLINK("https://pbs.twimg.com/profile_images/1208795846831067138/cpdkWTEq.jpg","View")</f>
        <v>View</v>
      </c>
      <c r="V2102" s="8"/>
      <c r="W2102" s="8"/>
      <c r="X2102" s="8"/>
      <c r="Y2102" s="8"/>
      <c r="Z2102" s="8"/>
    </row>
    <row r="2103" spans="1:26" ht="13.2">
      <c r="A2103" s="13">
        <v>44250.118842592594</v>
      </c>
      <c r="B2103" s="6" t="str">
        <f>HYPERLINK("https://twitter.com/sivarajTweets","@sivarajTweets")</f>
        <v>@sivarajTweets</v>
      </c>
      <c r="C2103" s="14" t="s">
        <v>8339</v>
      </c>
      <c r="D2103" s="14" t="s">
        <v>8355</v>
      </c>
      <c r="E2103" s="6" t="str">
        <f>HYPERLINK("https://twitter.com/sivarajTweets/status/1364029997980086272","1364029997980086272")</f>
        <v>1364029997980086272</v>
      </c>
      <c r="F2103" s="7" t="s">
        <v>7756</v>
      </c>
      <c r="G2103" s="8"/>
      <c r="H2103" s="8"/>
      <c r="I2103" s="14">
        <v>4</v>
      </c>
      <c r="J2103" s="14">
        <v>0</v>
      </c>
      <c r="K2103" s="6" t="str">
        <f>HYPERLINK("https://mobile.twitter.com","Twitter Web App")</f>
        <v>Twitter Web App</v>
      </c>
      <c r="L2103" s="15">
        <v>488</v>
      </c>
      <c r="M2103" s="15">
        <v>1017</v>
      </c>
      <c r="N2103" s="15">
        <v>150</v>
      </c>
      <c r="O2103" s="9"/>
      <c r="P2103" s="10">
        <v>40333.236597222218</v>
      </c>
      <c r="Q2103" s="14" t="s">
        <v>364</v>
      </c>
      <c r="R2103" s="14" t="s">
        <v>8342</v>
      </c>
      <c r="S2103" s="8"/>
      <c r="T2103" s="8"/>
      <c r="U2103" s="11" t="str">
        <f>HYPERLINK("https://pbs.twimg.com/profile_images/1024009273335013376/myPwa1HC.jpg","View")</f>
        <v>View</v>
      </c>
      <c r="V2103" s="8"/>
      <c r="W2103" s="8"/>
      <c r="X2103" s="8"/>
      <c r="Y2103" s="8"/>
      <c r="Z2103" s="8"/>
    </row>
    <row r="2104" spans="1:26" ht="13.2">
      <c r="A2104" s="13">
        <v>44250.118229166663</v>
      </c>
      <c r="B2104" s="6" t="str">
        <f>HYPERLINK("https://twitter.com/Sheraj99","@Sheraj99")</f>
        <v>@Sheraj99</v>
      </c>
      <c r="C2104" s="14" t="s">
        <v>4576</v>
      </c>
      <c r="D2104" s="14" t="s">
        <v>8356</v>
      </c>
      <c r="E2104" s="6" t="str">
        <f>HYPERLINK("https://twitter.com/Sheraj99/status/1364029775254335489","1364029775254335489")</f>
        <v>1364029775254335489</v>
      </c>
      <c r="F2104" s="7" t="s">
        <v>8357</v>
      </c>
      <c r="G2104" s="8"/>
      <c r="H2104" s="8"/>
      <c r="I2104" s="14">
        <v>28</v>
      </c>
      <c r="J2104" s="14">
        <v>12</v>
      </c>
      <c r="K2104" s="6" t="str">
        <f>HYPERLINK("http://twitter.com/download/iphone","Twitter for iPhone")</f>
        <v>Twitter for iPhone</v>
      </c>
      <c r="L2104" s="15">
        <v>288</v>
      </c>
      <c r="M2104" s="15">
        <v>92</v>
      </c>
      <c r="N2104" s="15">
        <v>3</v>
      </c>
      <c r="O2104" s="9"/>
      <c r="P2104" s="10">
        <v>40621.211805555555</v>
      </c>
      <c r="Q2104" s="14" t="s">
        <v>696</v>
      </c>
      <c r="R2104" s="14" t="s">
        <v>4579</v>
      </c>
      <c r="S2104" s="8"/>
      <c r="T2104" s="8"/>
      <c r="U2104" s="11" t="str">
        <f>HYPERLINK("https://pbs.twimg.com/profile_images/1258879283877105664/_UZhqUDu.jpg","View")</f>
        <v>View</v>
      </c>
      <c r="V2104" s="8"/>
      <c r="W2104" s="8"/>
      <c r="X2104" s="8"/>
      <c r="Y2104" s="8"/>
      <c r="Z2104" s="8"/>
    </row>
    <row r="2105" spans="1:26" ht="13.2">
      <c r="A2105" s="13">
        <v>44250.118078703701</v>
      </c>
      <c r="B2105" s="6" t="str">
        <f>HYPERLINK("https://twitter.com/stanford__ai","@stanford__ai")</f>
        <v>@stanford__ai</v>
      </c>
      <c r="C2105" s="14" t="s">
        <v>475</v>
      </c>
      <c r="D2105" s="14" t="s">
        <v>8358</v>
      </c>
      <c r="E2105" s="6" t="str">
        <f>HYPERLINK("https://twitter.com/stanford__ai/status/1364029722297069570","1364029722297069570")</f>
        <v>1364029722297069570</v>
      </c>
      <c r="F2105" s="7" t="s">
        <v>8359</v>
      </c>
      <c r="G2105" s="8"/>
      <c r="H2105" s="8"/>
      <c r="I2105" s="14">
        <v>1</v>
      </c>
      <c r="J2105" s="14">
        <v>0</v>
      </c>
      <c r="K2105" s="6" t="str">
        <f>HYPERLINK("https://ifttt.com","IFTTT")</f>
        <v>IFTTT</v>
      </c>
      <c r="L2105" s="15">
        <v>928</v>
      </c>
      <c r="M2105" s="15">
        <v>1487</v>
      </c>
      <c r="N2105" s="15">
        <v>20</v>
      </c>
      <c r="O2105" s="9"/>
      <c r="P2105" s="10">
        <v>43558.915891203702</v>
      </c>
      <c r="Q2105" s="14" t="s">
        <v>478</v>
      </c>
      <c r="R2105" s="14" t="s">
        <v>479</v>
      </c>
      <c r="S2105" s="7" t="s">
        <v>480</v>
      </c>
      <c r="T2105" s="8"/>
      <c r="U2105" s="11" t="str">
        <f>HYPERLINK("https://pbs.twimg.com/profile_images/1113531441625935878/OR4W_sLY.jpg","View")</f>
        <v>View</v>
      </c>
      <c r="V2105" s="8"/>
      <c r="W2105" s="8"/>
      <c r="X2105" s="8"/>
      <c r="Y2105" s="8"/>
      <c r="Z2105" s="8"/>
    </row>
    <row r="2106" spans="1:26" ht="13.2">
      <c r="A2106" s="13">
        <v>44250.116932870369</v>
      </c>
      <c r="B2106" s="6" t="str">
        <f>HYPERLINK("https://twitter.com/MargieRamosTO","@MargieRamosTO")</f>
        <v>@MargieRamosTO</v>
      </c>
      <c r="C2106" s="14" t="s">
        <v>8360</v>
      </c>
      <c r="D2106" s="14" t="s">
        <v>8361</v>
      </c>
      <c r="E2106" s="6" t="str">
        <f>HYPERLINK("https://twitter.com/MargieRamosTO/status/1364029305706135553","1364029305706135553")</f>
        <v>1364029305706135553</v>
      </c>
      <c r="F2106" s="8"/>
      <c r="G2106" s="8"/>
      <c r="H2106" s="8"/>
      <c r="I2106" s="14">
        <v>2</v>
      </c>
      <c r="J2106" s="14">
        <v>1</v>
      </c>
      <c r="K2106" s="6" t="str">
        <f>HYPERLINK("http://twitter.com/download/iphone","Twitter for iPhone")</f>
        <v>Twitter for iPhone</v>
      </c>
      <c r="L2106" s="15">
        <v>265</v>
      </c>
      <c r="M2106" s="15">
        <v>1298</v>
      </c>
      <c r="N2106" s="15">
        <v>10</v>
      </c>
      <c r="O2106" s="9"/>
      <c r="P2106" s="10">
        <v>41118.112766203703</v>
      </c>
      <c r="Q2106" s="14" t="s">
        <v>696</v>
      </c>
      <c r="R2106" s="14" t="s">
        <v>8362</v>
      </c>
      <c r="S2106" s="7" t="s">
        <v>8363</v>
      </c>
      <c r="T2106" s="8"/>
      <c r="U2106" s="11" t="str">
        <f>HYPERLINK("https://pbs.twimg.com/profile_images/1362809405469827079/E753epIk.jpg","View")</f>
        <v>View</v>
      </c>
      <c r="V2106" s="8"/>
      <c r="W2106" s="8"/>
      <c r="X2106" s="8"/>
      <c r="Y2106" s="8"/>
      <c r="Z2106" s="8"/>
    </row>
    <row r="2107" spans="1:26" ht="13.2">
      <c r="A2107" s="13">
        <v>44250.115254629629</v>
      </c>
      <c r="B2107" s="6" t="str">
        <f>HYPERLINK("https://twitter.com/anilmshanbhag","@anilmshanbhag")</f>
        <v>@anilmshanbhag</v>
      </c>
      <c r="C2107" s="14" t="s">
        <v>808</v>
      </c>
      <c r="D2107" s="14" t="s">
        <v>8364</v>
      </c>
      <c r="E2107" s="6" t="str">
        <f>HYPERLINK("https://twitter.com/anilmshanbhag/status/1364028696399667201","1364028696399667201")</f>
        <v>1364028696399667201</v>
      </c>
      <c r="F2107" s="7" t="s">
        <v>8365</v>
      </c>
      <c r="G2107" s="7" t="s">
        <v>8366</v>
      </c>
      <c r="H2107" s="8"/>
      <c r="I2107" s="14">
        <v>0</v>
      </c>
      <c r="J2107" s="14">
        <v>2</v>
      </c>
      <c r="K2107" s="6" t="str">
        <f>HYPERLINK("https://mobile.twitter.com","Twitter Web App")</f>
        <v>Twitter Web App</v>
      </c>
      <c r="L2107" s="15">
        <v>178</v>
      </c>
      <c r="M2107" s="15">
        <v>173</v>
      </c>
      <c r="N2107" s="15">
        <v>0</v>
      </c>
      <c r="O2107" s="9"/>
      <c r="P2107" s="10">
        <v>43840.638935185183</v>
      </c>
      <c r="Q2107" s="14" t="s">
        <v>811</v>
      </c>
      <c r="R2107" s="14" t="s">
        <v>812</v>
      </c>
      <c r="S2107" s="7" t="s">
        <v>813</v>
      </c>
      <c r="T2107" s="8"/>
      <c r="U2107" s="11" t="str">
        <f>HYPERLINK("https://pbs.twimg.com/profile_images/1353085925908209667/mzY1sPuT.jpg","View")</f>
        <v>View</v>
      </c>
      <c r="V2107" s="8"/>
      <c r="W2107" s="8"/>
      <c r="X2107" s="8"/>
      <c r="Y2107" s="8"/>
      <c r="Z2107" s="8"/>
    </row>
    <row r="2108" spans="1:26" ht="13.2">
      <c r="A2108" s="13">
        <v>44250.114606481482</v>
      </c>
      <c r="B2108" s="6" t="str">
        <f>HYPERLINK("https://twitter.com/SpirosMargaris","@SpirosMargaris")</f>
        <v>@SpirosMargaris</v>
      </c>
      <c r="C2108" s="14" t="s">
        <v>3558</v>
      </c>
      <c r="D2108" s="14" t="s">
        <v>8367</v>
      </c>
      <c r="E2108" s="6" t="str">
        <f>HYPERLINK("https://twitter.com/SpirosMargaris/status/1364028462235869184","1364028462235869184")</f>
        <v>1364028462235869184</v>
      </c>
      <c r="F2108" s="7" t="s">
        <v>8368</v>
      </c>
      <c r="G2108" s="7" t="s">
        <v>8369</v>
      </c>
      <c r="H2108" s="8"/>
      <c r="I2108" s="14">
        <v>6</v>
      </c>
      <c r="J2108" s="14">
        <v>4</v>
      </c>
      <c r="K2108" s="6" t="str">
        <f>HYPERLINK("https://buffer.com","Buffer")</f>
        <v>Buffer</v>
      </c>
      <c r="L2108" s="15">
        <v>107389</v>
      </c>
      <c r="M2108" s="15">
        <v>15890</v>
      </c>
      <c r="N2108" s="15">
        <v>5693</v>
      </c>
      <c r="O2108" s="15" t="s">
        <v>130</v>
      </c>
      <c r="P2108" s="10">
        <v>41857.30574074074</v>
      </c>
      <c r="Q2108" s="14" t="s">
        <v>3562</v>
      </c>
      <c r="R2108" s="14" t="s">
        <v>3563</v>
      </c>
      <c r="S2108" s="7" t="s">
        <v>3564</v>
      </c>
      <c r="T2108" s="8"/>
      <c r="U2108" s="11" t="str">
        <f>HYPERLINK("https://pbs.twimg.com/profile_images/1346443960986775553/TGeiH97s.jpg","View")</f>
        <v>View</v>
      </c>
      <c r="V2108" s="8"/>
      <c r="W2108" s="8"/>
      <c r="X2108" s="8"/>
      <c r="Y2108" s="8"/>
      <c r="Z2108" s="8"/>
    </row>
    <row r="2109" spans="1:26" ht="13.2">
      <c r="A2109" s="13">
        <v>44250.114317129628</v>
      </c>
      <c r="B2109" s="6" t="str">
        <f>HYPERLINK("https://twitter.com/PrintableEtsy","@PrintableEtsy")</f>
        <v>@PrintableEtsy</v>
      </c>
      <c r="C2109" s="14" t="s">
        <v>5752</v>
      </c>
      <c r="D2109" s="14" t="s">
        <v>1639</v>
      </c>
      <c r="E2109" s="6" t="str">
        <f>HYPERLINK("https://twitter.com/PrintableEtsy/status/1364028358535831556","1364028358535831556")</f>
        <v>1364028358535831556</v>
      </c>
      <c r="F2109" s="14" t="s">
        <v>1640</v>
      </c>
      <c r="G2109" s="8"/>
      <c r="H2109" s="8"/>
      <c r="I2109" s="14">
        <v>29</v>
      </c>
      <c r="J2109" s="14">
        <v>16</v>
      </c>
      <c r="K2109" s="6" t="str">
        <f t="shared" ref="K2109:K2110" si="383">HYPERLINK("http://twinybots.com","TwinyBots")</f>
        <v>TwinyBots</v>
      </c>
      <c r="L2109" s="15">
        <v>302</v>
      </c>
      <c r="M2109" s="15">
        <v>705</v>
      </c>
      <c r="N2109" s="15">
        <v>7</v>
      </c>
      <c r="O2109" s="9"/>
      <c r="P2109" s="10">
        <v>43319.598854166667</v>
      </c>
      <c r="Q2109" s="14" t="s">
        <v>5754</v>
      </c>
      <c r="R2109" s="14" t="s">
        <v>5755</v>
      </c>
      <c r="S2109" s="7" t="s">
        <v>5756</v>
      </c>
      <c r="T2109" s="8"/>
      <c r="U2109" s="11" t="str">
        <f>HYPERLINK("https://pbs.twimg.com/profile_images/1329742869914136582/sVdyU9dn.jpg","View")</f>
        <v>View</v>
      </c>
      <c r="V2109" s="8"/>
      <c r="W2109" s="8"/>
      <c r="X2109" s="8"/>
      <c r="Y2109" s="8"/>
      <c r="Z2109" s="8"/>
    </row>
    <row r="2110" spans="1:26" ht="13.2">
      <c r="A2110" s="13">
        <v>44250.114317129628</v>
      </c>
      <c r="B2110" s="6" t="str">
        <f>HYPERLINK("https://twitter.com/cornichecorp","@cornichecorp")</f>
        <v>@cornichecorp</v>
      </c>
      <c r="C2110" s="14" t="s">
        <v>2271</v>
      </c>
      <c r="D2110" s="14" t="s">
        <v>2495</v>
      </c>
      <c r="E2110" s="6" t="str">
        <f>HYPERLINK("https://twitter.com/cornichecorp/status/1364028358493896706","1364028358493896706")</f>
        <v>1364028358493896706</v>
      </c>
      <c r="F2110" s="14" t="s">
        <v>2496</v>
      </c>
      <c r="G2110" s="8"/>
      <c r="H2110" s="8"/>
      <c r="I2110" s="14">
        <v>2</v>
      </c>
      <c r="J2110" s="14">
        <v>0</v>
      </c>
      <c r="K2110" s="6" t="str">
        <f t="shared" si="383"/>
        <v>TwinyBots</v>
      </c>
      <c r="L2110" s="15">
        <v>2349</v>
      </c>
      <c r="M2110" s="15">
        <v>2163</v>
      </c>
      <c r="N2110" s="15">
        <v>30</v>
      </c>
      <c r="O2110" s="9"/>
      <c r="P2110" s="10">
        <v>42246.917499999996</v>
      </c>
      <c r="Q2110" s="14" t="s">
        <v>2274</v>
      </c>
      <c r="R2110" s="14" t="s">
        <v>2275</v>
      </c>
      <c r="S2110" s="8"/>
      <c r="T2110" s="8"/>
      <c r="U2110" s="11" t="str">
        <f>HYPERLINK("https://pbs.twimg.com/profile_images/1135863200396775424/vPe8Htor.png","View")</f>
        <v>View</v>
      </c>
      <c r="V2110" s="8"/>
      <c r="W2110" s="8"/>
      <c r="X2110" s="8"/>
      <c r="Y2110" s="8"/>
      <c r="Z2110" s="8"/>
    </row>
    <row r="2111" spans="1:26" ht="13.2">
      <c r="A2111" s="13">
        <v>44250.114166666666</v>
      </c>
      <c r="B2111" s="6" t="str">
        <f>HYPERLINK("https://twitter.com/HeliodoroSantos","@HeliodoroSantos")</f>
        <v>@HeliodoroSantos</v>
      </c>
      <c r="C2111" s="14" t="s">
        <v>8159</v>
      </c>
      <c r="D2111" s="14" t="s">
        <v>8370</v>
      </c>
      <c r="E2111" s="6" t="str">
        <f>HYPERLINK("https://twitter.com/HeliodoroSantos/status/1364028304542507008","1364028304542507008")</f>
        <v>1364028304542507008</v>
      </c>
      <c r="F2111" s="8"/>
      <c r="G2111" s="7" t="s">
        <v>8371</v>
      </c>
      <c r="H2111" s="8"/>
      <c r="I2111" s="14">
        <v>6</v>
      </c>
      <c r="J2111" s="14">
        <v>1</v>
      </c>
      <c r="K2111" s="6" t="str">
        <f>HYPERLINK("https://www.heliosantos.org","pyt1")</f>
        <v>pyt1</v>
      </c>
      <c r="L2111" s="15">
        <v>280</v>
      </c>
      <c r="M2111" s="15">
        <v>769</v>
      </c>
      <c r="N2111" s="15">
        <v>6</v>
      </c>
      <c r="O2111" s="9"/>
      <c r="P2111" s="10">
        <v>40610.833437499998</v>
      </c>
      <c r="Q2111" s="14" t="s">
        <v>8162</v>
      </c>
      <c r="R2111" s="8"/>
      <c r="S2111" s="7" t="s">
        <v>8163</v>
      </c>
      <c r="T2111" s="8"/>
      <c r="U2111" s="11" t="str">
        <f>HYPERLINK("https://pbs.twimg.com/profile_images/1242256799715037185/YzdNmVH9.jpg","View")</f>
        <v>View</v>
      </c>
      <c r="V2111" s="8"/>
      <c r="W2111" s="8"/>
      <c r="X2111" s="8"/>
      <c r="Y2111" s="8"/>
      <c r="Z2111" s="8"/>
    </row>
    <row r="2112" spans="1:26" ht="13.2">
      <c r="A2112" s="13">
        <v>44250.11336805555</v>
      </c>
      <c r="B2112" s="6" t="str">
        <f>HYPERLINK("https://twitter.com/mlmemoirs","@mlmemoirs")</f>
        <v>@mlmemoirs</v>
      </c>
      <c r="C2112" s="14" t="s">
        <v>577</v>
      </c>
      <c r="D2112" s="14" t="s">
        <v>8358</v>
      </c>
      <c r="E2112" s="6" t="str">
        <f>HYPERLINK("https://twitter.com/mlmemoirs/status/1364028015580246016","1364028015580246016")</f>
        <v>1364028015580246016</v>
      </c>
      <c r="F2112" s="7" t="s">
        <v>8372</v>
      </c>
      <c r="G2112" s="8"/>
      <c r="H2112" s="8"/>
      <c r="I2112" s="14">
        <v>1</v>
      </c>
      <c r="J2112" s="14">
        <v>2</v>
      </c>
      <c r="K2112" s="6" t="str">
        <f>HYPERLINK("https://ifttt.com","IFTTT")</f>
        <v>IFTTT</v>
      </c>
      <c r="L2112" s="15">
        <v>1674</v>
      </c>
      <c r="M2112" s="15">
        <v>2216</v>
      </c>
      <c r="N2112" s="15">
        <v>30</v>
      </c>
      <c r="O2112" s="9"/>
      <c r="P2112" s="10">
        <v>43238.970069444447</v>
      </c>
      <c r="Q2112" s="14" t="s">
        <v>478</v>
      </c>
      <c r="R2112" s="14" t="s">
        <v>579</v>
      </c>
      <c r="S2112" s="8"/>
      <c r="T2112" s="8"/>
      <c r="U2112" s="11" t="str">
        <f>HYPERLINK("https://pbs.twimg.com/profile_images/1050964116729413637/Q5tLLPAf.jpg","View")</f>
        <v>View</v>
      </c>
      <c r="V2112" s="8"/>
      <c r="W2112" s="8"/>
      <c r="X2112" s="8"/>
      <c r="Y2112" s="8"/>
      <c r="Z2112" s="8"/>
    </row>
    <row r="2113" spans="1:26" ht="13.2">
      <c r="A2113" s="13">
        <v>44250.11310185185</v>
      </c>
      <c r="B2113" s="6" t="str">
        <f>HYPERLINK("https://twitter.com/DebateLover","@DebateLover")</f>
        <v>@DebateLover</v>
      </c>
      <c r="C2113" s="14" t="s">
        <v>8373</v>
      </c>
      <c r="D2113" s="14" t="s">
        <v>8374</v>
      </c>
      <c r="E2113" s="6" t="str">
        <f>HYPERLINK("https://twitter.com/DebateLover/status/1364027917831839745","1364027917831839745")</f>
        <v>1364027917831839745</v>
      </c>
      <c r="F2113" s="14" t="s">
        <v>8375</v>
      </c>
      <c r="G2113" s="8"/>
      <c r="H2113" s="8"/>
      <c r="I2113" s="14">
        <v>4</v>
      </c>
      <c r="J2113" s="14">
        <v>3</v>
      </c>
      <c r="K2113" s="6" t="str">
        <f t="shared" ref="K2113:K2114" si="384">HYPERLINK("https://mobile.twitter.com","Twitter Web App")</f>
        <v>Twitter Web App</v>
      </c>
      <c r="L2113" s="15">
        <v>532</v>
      </c>
      <c r="M2113" s="15">
        <v>399</v>
      </c>
      <c r="N2113" s="15">
        <v>14</v>
      </c>
      <c r="O2113" s="9"/>
      <c r="P2113" s="10">
        <v>40294.418877314813</v>
      </c>
      <c r="Q2113" s="14" t="s">
        <v>390</v>
      </c>
      <c r="R2113" s="14" t="s">
        <v>8376</v>
      </c>
      <c r="S2113" s="8"/>
      <c r="T2113" s="8"/>
      <c r="U2113" s="11" t="str">
        <f>HYPERLINK("https://pbs.twimg.com/profile_images/909707534902083585/ZpfCnbjx.jpg","View")</f>
        <v>View</v>
      </c>
      <c r="V2113" s="8"/>
      <c r="W2113" s="8"/>
      <c r="X2113" s="8"/>
      <c r="Y2113" s="8"/>
      <c r="Z2113" s="8"/>
    </row>
    <row r="2114" spans="1:26" ht="13.2">
      <c r="A2114" s="13">
        <v>44250.112939814819</v>
      </c>
      <c r="B2114" s="6" t="str">
        <f>HYPERLINK("https://twitter.com/AremDzemal","@AremDzemal")</f>
        <v>@AremDzemal</v>
      </c>
      <c r="C2114" s="14" t="s">
        <v>5770</v>
      </c>
      <c r="D2114" s="14" t="s">
        <v>8377</v>
      </c>
      <c r="E2114" s="6" t="str">
        <f>HYPERLINK("https://twitter.com/AremDzemal/status/1364027857182347267","1364027857182347267")</f>
        <v>1364027857182347267</v>
      </c>
      <c r="F2114" s="7" t="s">
        <v>8378</v>
      </c>
      <c r="G2114" s="7" t="s">
        <v>8379</v>
      </c>
      <c r="H2114" s="8"/>
      <c r="I2114" s="14">
        <v>1</v>
      </c>
      <c r="J2114" s="14">
        <v>0</v>
      </c>
      <c r="K2114" s="6" t="str">
        <f t="shared" si="384"/>
        <v>Twitter Web App</v>
      </c>
      <c r="L2114" s="15">
        <v>1592</v>
      </c>
      <c r="M2114" s="15">
        <v>1775</v>
      </c>
      <c r="N2114" s="15">
        <v>16</v>
      </c>
      <c r="O2114" s="9"/>
      <c r="P2114" s="10">
        <v>43513.969027777777</v>
      </c>
      <c r="Q2114" s="14" t="s">
        <v>3596</v>
      </c>
      <c r="R2114" s="14" t="s">
        <v>5774</v>
      </c>
      <c r="S2114" s="8"/>
      <c r="T2114" s="8"/>
      <c r="U2114" s="11" t="str">
        <f>HYPERLINK("https://pbs.twimg.com/profile_images/1097261547213213701/8Pl01wLU.jpg","View")</f>
        <v>View</v>
      </c>
      <c r="V2114" s="8"/>
      <c r="W2114" s="8"/>
      <c r="X2114" s="8"/>
      <c r="Y2114" s="8"/>
      <c r="Z2114" s="8"/>
    </row>
    <row r="2115" spans="1:26" ht="13.2">
      <c r="A2115" s="13">
        <v>44250.112824074073</v>
      </c>
      <c r="B2115" s="6" t="str">
        <f>HYPERLINK("https://twitter.com/iamBrianGraham","@iamBrianGraham")</f>
        <v>@iamBrianGraham</v>
      </c>
      <c r="C2115" s="14" t="s">
        <v>4259</v>
      </c>
      <c r="D2115" s="14" t="s">
        <v>8380</v>
      </c>
      <c r="E2115" s="6" t="str">
        <f>HYPERLINK("https://twitter.com/iamBrianGraham/status/1364027818389159938","1364027818389159938")</f>
        <v>1364027818389159938</v>
      </c>
      <c r="F2115" s="8"/>
      <c r="G2115" s="7" t="s">
        <v>8381</v>
      </c>
      <c r="H2115" s="8"/>
      <c r="I2115" s="14">
        <v>2</v>
      </c>
      <c r="J2115" s="14">
        <v>2</v>
      </c>
      <c r="K2115" s="6" t="str">
        <f>HYPERLINK("https://bypeers.net","ByPeers Social CRM (1)")</f>
        <v>ByPeers Social CRM (1)</v>
      </c>
      <c r="L2115" s="15">
        <v>5759</v>
      </c>
      <c r="M2115" s="15">
        <v>4549</v>
      </c>
      <c r="N2115" s="15">
        <v>211</v>
      </c>
      <c r="O2115" s="9"/>
      <c r="P2115" s="10">
        <v>42570.927037037036</v>
      </c>
      <c r="Q2115" s="14" t="s">
        <v>4262</v>
      </c>
      <c r="R2115" s="14" t="s">
        <v>4263</v>
      </c>
      <c r="S2115" s="7" t="s">
        <v>4264</v>
      </c>
      <c r="T2115" s="8"/>
      <c r="U2115" s="11" t="str">
        <f>HYPERLINK("https://pbs.twimg.com/profile_images/1099684609703510017/zcsjRYt2.png","View")</f>
        <v>View</v>
      </c>
      <c r="V2115" s="8"/>
      <c r="W2115" s="8"/>
      <c r="X2115" s="8"/>
      <c r="Y2115" s="8"/>
      <c r="Z2115" s="8"/>
    </row>
    <row r="2116" spans="1:26" ht="13.2">
      <c r="A2116" s="13">
        <v>44250.111851851849</v>
      </c>
      <c r="B2116" s="6" t="str">
        <f>HYPERLINK("https://twitter.com/AnnetteSophonie","@AnnetteSophonie")</f>
        <v>@AnnetteSophonie</v>
      </c>
      <c r="C2116" s="14" t="s">
        <v>2177</v>
      </c>
      <c r="D2116" s="14" t="s">
        <v>8382</v>
      </c>
      <c r="E2116" s="6" t="str">
        <f>HYPERLINK("https://twitter.com/AnnetteSophonie/status/1364027462947020800","1364027462947020800")</f>
        <v>1364027462947020800</v>
      </c>
      <c r="F2116" s="7" t="s">
        <v>8383</v>
      </c>
      <c r="G2116" s="7" t="s">
        <v>8384</v>
      </c>
      <c r="H2116" s="8"/>
      <c r="I2116" s="14">
        <v>4</v>
      </c>
      <c r="J2116" s="14">
        <v>1</v>
      </c>
      <c r="K2116" s="6" t="str">
        <f t="shared" ref="K2116:K2117" si="385">HYPERLINK("https://mobile.twitter.com","Twitter Web App")</f>
        <v>Twitter Web App</v>
      </c>
      <c r="L2116" s="15">
        <v>1254</v>
      </c>
      <c r="M2116" s="15">
        <v>1237</v>
      </c>
      <c r="N2116" s="15">
        <v>11</v>
      </c>
      <c r="O2116" s="9"/>
      <c r="P2116" s="10">
        <v>43514.004745370374</v>
      </c>
      <c r="Q2116" s="14" t="s">
        <v>2181</v>
      </c>
      <c r="R2116" s="14" t="s">
        <v>2182</v>
      </c>
      <c r="S2116" s="8"/>
      <c r="T2116" s="8"/>
      <c r="U2116" s="11" t="str">
        <f>HYPERLINK("https://pbs.twimg.com/profile_images/1097274157040128000/kbJdFYDd.jpg","View")</f>
        <v>View</v>
      </c>
      <c r="V2116" s="8"/>
      <c r="W2116" s="8"/>
      <c r="X2116" s="8"/>
      <c r="Y2116" s="8"/>
      <c r="Z2116" s="8"/>
    </row>
    <row r="2117" spans="1:26" ht="13.2">
      <c r="A2117" s="13">
        <v>44250.111307870371</v>
      </c>
      <c r="B2117" s="6" t="str">
        <f>HYPERLINK("https://twitter.com/ManyWorldsRD","@ManyWorldsRD")</f>
        <v>@ManyWorldsRD</v>
      </c>
      <c r="C2117" s="14" t="s">
        <v>8385</v>
      </c>
      <c r="D2117" s="14" t="s">
        <v>8386</v>
      </c>
      <c r="E2117" s="6" t="str">
        <f>HYPERLINK("https://twitter.com/ManyWorldsRD/status/1364027266158653448","1364027266158653448")</f>
        <v>1364027266158653448</v>
      </c>
      <c r="F2117" s="7" t="s">
        <v>8387</v>
      </c>
      <c r="G2117" s="7" t="s">
        <v>8388</v>
      </c>
      <c r="H2117" s="8"/>
      <c r="I2117" s="14">
        <v>1</v>
      </c>
      <c r="J2117" s="14">
        <v>0</v>
      </c>
      <c r="K2117" s="6" t="str">
        <f t="shared" si="385"/>
        <v>Twitter Web App</v>
      </c>
      <c r="L2117" s="15">
        <v>294</v>
      </c>
      <c r="M2117" s="15">
        <v>551</v>
      </c>
      <c r="N2117" s="15">
        <v>144</v>
      </c>
      <c r="O2117" s="9"/>
      <c r="P2117" s="10">
        <v>40547.995763888888</v>
      </c>
      <c r="Q2117" s="8"/>
      <c r="R2117" s="14" t="s">
        <v>8389</v>
      </c>
      <c r="S2117" s="7" t="s">
        <v>8390</v>
      </c>
      <c r="T2117" s="8"/>
      <c r="U2117" s="11" t="str">
        <f>HYPERLINK("https://pbs.twimg.com/profile_images/1258932807503675396/8d5_fZUi.jpg","View")</f>
        <v>View</v>
      </c>
      <c r="V2117" s="8"/>
      <c r="W2117" s="8"/>
      <c r="X2117" s="8"/>
      <c r="Y2117" s="8"/>
      <c r="Z2117" s="8"/>
    </row>
    <row r="2118" spans="1:26" ht="13.2">
      <c r="A2118" s="13">
        <v>44250.111203703702</v>
      </c>
      <c r="B2118" s="6" t="str">
        <f>HYPERLINK("https://twitter.com/HeliodoroSantos","@HeliodoroSantos")</f>
        <v>@HeliodoroSantos</v>
      </c>
      <c r="C2118" s="14" t="s">
        <v>8159</v>
      </c>
      <c r="D2118" s="14" t="s">
        <v>8391</v>
      </c>
      <c r="E2118" s="6" t="str">
        <f>HYPERLINK("https://twitter.com/HeliodoroSantos/status/1364027231194943489","1364027231194943489")</f>
        <v>1364027231194943489</v>
      </c>
      <c r="F2118" s="8"/>
      <c r="G2118" s="7" t="s">
        <v>8392</v>
      </c>
      <c r="H2118" s="8"/>
      <c r="I2118" s="14">
        <v>6</v>
      </c>
      <c r="J2118" s="14">
        <v>5</v>
      </c>
      <c r="K2118" s="6" t="str">
        <f>HYPERLINK("https://www.heliosantos.org","pyt1")</f>
        <v>pyt1</v>
      </c>
      <c r="L2118" s="15">
        <v>280</v>
      </c>
      <c r="M2118" s="15">
        <v>769</v>
      </c>
      <c r="N2118" s="15">
        <v>6</v>
      </c>
      <c r="O2118" s="9"/>
      <c r="P2118" s="10">
        <v>40610.833437499998</v>
      </c>
      <c r="Q2118" s="14" t="s">
        <v>8162</v>
      </c>
      <c r="R2118" s="8"/>
      <c r="S2118" s="7" t="s">
        <v>8163</v>
      </c>
      <c r="T2118" s="8"/>
      <c r="U2118" s="11" t="str">
        <f>HYPERLINK("https://pbs.twimg.com/profile_images/1242256799715037185/YzdNmVH9.jpg","View")</f>
        <v>View</v>
      </c>
      <c r="V2118" s="8"/>
      <c r="W2118" s="8"/>
      <c r="X2118" s="8"/>
      <c r="Y2118" s="8"/>
      <c r="Z2118" s="8"/>
    </row>
    <row r="2119" spans="1:26" ht="13.2">
      <c r="A2119" s="13">
        <v>44250.109444444446</v>
      </c>
      <c r="B2119" s="6" t="str">
        <f>HYPERLINK("https://twitter.com/QS2Point","@QS2Point")</f>
        <v>@QS2Point</v>
      </c>
      <c r="C2119" s="14" t="s">
        <v>8393</v>
      </c>
      <c r="D2119" s="14" t="s">
        <v>8394</v>
      </c>
      <c r="E2119" s="6" t="str">
        <f>HYPERLINK("https://twitter.com/QS2Point/status/1364026591941193729","1364026591941193729")</f>
        <v>1364026591941193729</v>
      </c>
      <c r="F2119" s="7" t="s">
        <v>8395</v>
      </c>
      <c r="G2119" s="7" t="s">
        <v>8396</v>
      </c>
      <c r="H2119" s="8"/>
      <c r="I2119" s="14">
        <v>5</v>
      </c>
      <c r="J2119" s="14">
        <v>1</v>
      </c>
      <c r="K2119" s="6" t="str">
        <f>HYPERLINK("https://buffer.com","Buffer")</f>
        <v>Buffer</v>
      </c>
      <c r="L2119" s="15">
        <v>1473</v>
      </c>
      <c r="M2119" s="15">
        <v>1964</v>
      </c>
      <c r="N2119" s="15">
        <v>178</v>
      </c>
      <c r="O2119" s="9"/>
      <c r="P2119" s="10">
        <v>42039.842638888891</v>
      </c>
      <c r="Q2119" s="14" t="s">
        <v>8397</v>
      </c>
      <c r="R2119" s="14" t="s">
        <v>8398</v>
      </c>
      <c r="S2119" s="7" t="s">
        <v>8399</v>
      </c>
      <c r="T2119" s="8"/>
      <c r="U2119" s="11" t="str">
        <f>HYPERLINK("https://pbs.twimg.com/profile_images/1362162825481900035/gtsVCJfO.jpg","View")</f>
        <v>View</v>
      </c>
      <c r="V2119" s="8"/>
      <c r="W2119" s="8"/>
      <c r="X2119" s="8"/>
      <c r="Y2119" s="8"/>
      <c r="Z2119" s="8"/>
    </row>
    <row r="2120" spans="1:26" ht="13.2">
      <c r="A2120" s="13">
        <v>44250.109270833331</v>
      </c>
      <c r="B2120" s="6" t="str">
        <f>HYPERLINK("https://twitter.com/Social_Molly","@Social_Molly")</f>
        <v>@Social_Molly</v>
      </c>
      <c r="C2120" s="14" t="s">
        <v>3631</v>
      </c>
      <c r="D2120" s="14" t="s">
        <v>8400</v>
      </c>
      <c r="E2120" s="6" t="str">
        <f>HYPERLINK("https://twitter.com/Social_Molly/status/1364026528506413057","1364026528506413057")</f>
        <v>1364026528506413057</v>
      </c>
      <c r="F2120" s="7" t="s">
        <v>8401</v>
      </c>
      <c r="G2120" s="7" t="s">
        <v>8402</v>
      </c>
      <c r="H2120" s="8"/>
      <c r="I2120" s="14">
        <v>3</v>
      </c>
      <c r="J2120" s="14">
        <v>0</v>
      </c>
      <c r="K2120" s="6" t="str">
        <f>HYPERLINK("https://mobile.twitter.com","Twitter Web App")</f>
        <v>Twitter Web App</v>
      </c>
      <c r="L2120" s="15">
        <v>12130</v>
      </c>
      <c r="M2120" s="15">
        <v>6463</v>
      </c>
      <c r="N2120" s="15">
        <v>103</v>
      </c>
      <c r="O2120" s="9"/>
      <c r="P2120" s="10">
        <v>43174.238796296297</v>
      </c>
      <c r="Q2120" s="14" t="s">
        <v>3635</v>
      </c>
      <c r="R2120" s="14" t="s">
        <v>3636</v>
      </c>
      <c r="S2120" s="8"/>
      <c r="T2120" s="8"/>
      <c r="U2120" s="11" t="str">
        <f>HYPERLINK("https://pbs.twimg.com/profile_images/981743224749408256/OTsOfujW.jpg","View")</f>
        <v>View</v>
      </c>
      <c r="V2120" s="8"/>
      <c r="W2120" s="8"/>
      <c r="X2120" s="8"/>
      <c r="Y2120" s="8"/>
      <c r="Z2120" s="8"/>
    </row>
    <row r="2121" spans="1:26" ht="13.2">
      <c r="A2121" s="13">
        <v>44250.10836805556</v>
      </c>
      <c r="B2121" s="6" t="str">
        <f>HYPERLINK("https://twitter.com/DrDataScientist","@DrDataScientist")</f>
        <v>@DrDataScientist</v>
      </c>
      <c r="C2121" s="14" t="s">
        <v>4495</v>
      </c>
      <c r="D2121" s="14" t="s">
        <v>8403</v>
      </c>
      <c r="E2121" s="6" t="str">
        <f>HYPERLINK("https://twitter.com/DrDataScientist/status/1364026203120705538","1364026203120705538")</f>
        <v>1364026203120705538</v>
      </c>
      <c r="F2121" s="7" t="s">
        <v>8404</v>
      </c>
      <c r="G2121" s="7" t="s">
        <v>8405</v>
      </c>
      <c r="H2121" s="8"/>
      <c r="I2121" s="14">
        <v>3</v>
      </c>
      <c r="J2121" s="14">
        <v>0</v>
      </c>
      <c r="K2121" s="6" t="str">
        <f>HYPERLINK("https://dlvrit.com/","dlvr.it")</f>
        <v>dlvr.it</v>
      </c>
      <c r="L2121" s="15">
        <v>99655</v>
      </c>
      <c r="M2121" s="15">
        <v>1426</v>
      </c>
      <c r="N2121" s="15">
        <v>1332</v>
      </c>
      <c r="O2121" s="9"/>
      <c r="P2121" s="10">
        <v>39933.965081018519</v>
      </c>
      <c r="Q2121" s="14" t="s">
        <v>509</v>
      </c>
      <c r="R2121" s="14" t="s">
        <v>4499</v>
      </c>
      <c r="S2121" s="7" t="s">
        <v>4500</v>
      </c>
      <c r="T2121" s="8"/>
      <c r="U2121" s="11" t="str">
        <f>HYPERLINK("https://pbs.twimg.com/profile_images/841454359682596864/4weAUbxO.jpg","View")</f>
        <v>View</v>
      </c>
      <c r="V2121" s="8"/>
      <c r="W2121" s="8"/>
      <c r="X2121" s="8"/>
      <c r="Y2121" s="8"/>
      <c r="Z2121" s="8"/>
    </row>
    <row r="2122" spans="1:26" ht="13.2">
      <c r="A2122" s="13">
        <v>44250.108194444445</v>
      </c>
      <c r="B2122" s="6" t="str">
        <f>HYPERLINK("https://twitter.com/CourseGift","@CourseGift")</f>
        <v>@CourseGift</v>
      </c>
      <c r="C2122" s="14" t="s">
        <v>8406</v>
      </c>
      <c r="D2122" s="14" t="s">
        <v>8407</v>
      </c>
      <c r="E2122" s="6" t="str">
        <f>HYPERLINK("https://twitter.com/CourseGift/status/1364026138960429059","1364026138960429059")</f>
        <v>1364026138960429059</v>
      </c>
      <c r="F2122" s="7" t="s">
        <v>8408</v>
      </c>
      <c r="G2122" s="8"/>
      <c r="H2122" s="8"/>
      <c r="I2122" s="14">
        <v>16</v>
      </c>
      <c r="J2122" s="14">
        <v>9</v>
      </c>
      <c r="K2122" s="6" t="str">
        <f t="shared" ref="K2122:K2126" si="386">HYPERLINK("https://mobile.twitter.com","Twitter Web App")</f>
        <v>Twitter Web App</v>
      </c>
      <c r="L2122" s="15">
        <v>2654</v>
      </c>
      <c r="M2122" s="15">
        <v>2993</v>
      </c>
      <c r="N2122" s="15">
        <v>40</v>
      </c>
      <c r="O2122" s="9"/>
      <c r="P2122" s="10">
        <v>43030.693182870367</v>
      </c>
      <c r="Q2122" s="14" t="s">
        <v>3077</v>
      </c>
      <c r="R2122" s="14" t="s">
        <v>8409</v>
      </c>
      <c r="S2122" s="7" t="s">
        <v>8410</v>
      </c>
      <c r="T2122" s="8"/>
      <c r="U2122" s="11" t="str">
        <f>HYPERLINK("https://pbs.twimg.com/profile_images/1159562177591726080/js_LfulD.jpg","View")</f>
        <v>View</v>
      </c>
      <c r="V2122" s="8"/>
      <c r="W2122" s="8"/>
      <c r="X2122" s="8"/>
      <c r="Y2122" s="8"/>
      <c r="Z2122" s="8"/>
    </row>
    <row r="2123" spans="1:26" ht="13.2">
      <c r="A2123" s="13">
        <v>44250.107800925922</v>
      </c>
      <c r="B2123" s="6" t="str">
        <f>HYPERLINK("https://twitter.com/RoshanPaudeI","@RoshanPaudeI")</f>
        <v>@RoshanPaudeI</v>
      </c>
      <c r="C2123" s="14" t="s">
        <v>8411</v>
      </c>
      <c r="D2123" s="14" t="s">
        <v>8412</v>
      </c>
      <c r="E2123" s="6" t="str">
        <f>HYPERLINK("https://twitter.com/RoshanPaudeI/status/1364025997859971072","1364025997859971072")</f>
        <v>1364025997859971072</v>
      </c>
      <c r="F2123" s="7" t="s">
        <v>8413</v>
      </c>
      <c r="G2123" s="8"/>
      <c r="H2123" s="8"/>
      <c r="I2123" s="14">
        <v>18</v>
      </c>
      <c r="J2123" s="14">
        <v>12</v>
      </c>
      <c r="K2123" s="6" t="str">
        <f t="shared" si="386"/>
        <v>Twitter Web App</v>
      </c>
      <c r="L2123" s="15">
        <v>4090</v>
      </c>
      <c r="M2123" s="15">
        <v>3530</v>
      </c>
      <c r="N2123" s="15">
        <v>1</v>
      </c>
      <c r="O2123" s="9"/>
      <c r="P2123" s="10">
        <v>44071.118136574078</v>
      </c>
      <c r="Q2123" s="14" t="s">
        <v>8414</v>
      </c>
      <c r="R2123" s="14" t="s">
        <v>8415</v>
      </c>
      <c r="S2123" s="8"/>
      <c r="T2123" s="8"/>
      <c r="U2123" s="11" t="str">
        <f>HYPERLINK("https://pbs.twimg.com/profile_images/1346836729605591042/Ykl4JHMp.jpg","View")</f>
        <v>View</v>
      </c>
      <c r="V2123" s="8"/>
      <c r="W2123" s="8"/>
      <c r="X2123" s="8"/>
      <c r="Y2123" s="8"/>
      <c r="Z2123" s="8"/>
    </row>
    <row r="2124" spans="1:26" ht="13.2">
      <c r="A2124" s="13">
        <v>44250.107673611114</v>
      </c>
      <c r="B2124" s="6" t="str">
        <f>HYPERLINK("https://twitter.com/WorldTrendsInfo","@WorldTrendsInfo")</f>
        <v>@WorldTrendsInfo</v>
      </c>
      <c r="C2124" s="14" t="s">
        <v>6985</v>
      </c>
      <c r="D2124" s="14" t="s">
        <v>8416</v>
      </c>
      <c r="E2124" s="6" t="str">
        <f>HYPERLINK("https://twitter.com/WorldTrendsInfo/status/1364025949277224966","1364025949277224966")</f>
        <v>1364025949277224966</v>
      </c>
      <c r="F2124" s="7" t="s">
        <v>8417</v>
      </c>
      <c r="G2124" s="7" t="s">
        <v>8418</v>
      </c>
      <c r="H2124" s="8"/>
      <c r="I2124" s="14">
        <v>1</v>
      </c>
      <c r="J2124" s="14">
        <v>0</v>
      </c>
      <c r="K2124" s="6" t="str">
        <f t="shared" si="386"/>
        <v>Twitter Web App</v>
      </c>
      <c r="L2124" s="15">
        <v>29477</v>
      </c>
      <c r="M2124" s="15">
        <v>17450</v>
      </c>
      <c r="N2124" s="15">
        <v>1697</v>
      </c>
      <c r="O2124" s="9"/>
      <c r="P2124" s="10">
        <v>41987.800578703704</v>
      </c>
      <c r="Q2124" s="14" t="s">
        <v>914</v>
      </c>
      <c r="R2124" s="14" t="s">
        <v>6989</v>
      </c>
      <c r="S2124" s="7" t="s">
        <v>6990</v>
      </c>
      <c r="T2124" s="8"/>
      <c r="U2124" s="11" t="str">
        <f>HYPERLINK("https://pbs.twimg.com/profile_images/976703867344703488/ZXpt0cl0.jpg","View")</f>
        <v>View</v>
      </c>
      <c r="V2124" s="8"/>
      <c r="W2124" s="8"/>
      <c r="X2124" s="8"/>
      <c r="Y2124" s="8"/>
      <c r="Z2124" s="8"/>
    </row>
    <row r="2125" spans="1:26" ht="13.2">
      <c r="A2125" s="13">
        <v>44250.107662037037</v>
      </c>
      <c r="B2125" s="6" t="str">
        <f>HYPERLINK("https://twitter.com/gp_pulipaka","@gp_pulipaka")</f>
        <v>@gp_pulipaka</v>
      </c>
      <c r="C2125" s="14" t="s">
        <v>2230</v>
      </c>
      <c r="D2125" s="14" t="s">
        <v>8419</v>
      </c>
      <c r="E2125" s="6" t="str">
        <f>HYPERLINK("https://twitter.com/gp_pulipaka/status/1364025946974556162","1364025946974556162")</f>
        <v>1364025946974556162</v>
      </c>
      <c r="F2125" s="7" t="s">
        <v>8420</v>
      </c>
      <c r="G2125" s="7" t="s">
        <v>8421</v>
      </c>
      <c r="H2125" s="8"/>
      <c r="I2125" s="14">
        <v>54</v>
      </c>
      <c r="J2125" s="14">
        <v>22</v>
      </c>
      <c r="K2125" s="6" t="str">
        <f t="shared" si="386"/>
        <v>Twitter Web App</v>
      </c>
      <c r="L2125" s="15">
        <v>109083</v>
      </c>
      <c r="M2125" s="15">
        <v>22723</v>
      </c>
      <c r="N2125" s="15">
        <v>3558</v>
      </c>
      <c r="O2125" s="9"/>
      <c r="P2125" s="10">
        <v>42325.138298611113</v>
      </c>
      <c r="Q2125" s="14" t="s">
        <v>2234</v>
      </c>
      <c r="R2125" s="14" t="s">
        <v>2235</v>
      </c>
      <c r="S2125" s="7" t="s">
        <v>2236</v>
      </c>
      <c r="T2125" s="8"/>
      <c r="U2125" s="11" t="str">
        <f>HYPERLINK("https://pbs.twimg.com/profile_images/1354974939887988736/P9wzBxgk.jpg","View")</f>
        <v>View</v>
      </c>
      <c r="V2125" s="8"/>
      <c r="W2125" s="8"/>
      <c r="X2125" s="8"/>
      <c r="Y2125" s="8"/>
      <c r="Z2125" s="8"/>
    </row>
    <row r="2126" spans="1:26" ht="13.2">
      <c r="A2126" s="13">
        <v>44250.106759259259</v>
      </c>
      <c r="B2126" s="6" t="str">
        <f>HYPERLINK("https://twitter.com/SilkeLeFay","@SilkeLeFay")</f>
        <v>@SilkeLeFay</v>
      </c>
      <c r="C2126" s="14" t="s">
        <v>8422</v>
      </c>
      <c r="D2126" s="14" t="s">
        <v>8423</v>
      </c>
      <c r="E2126" s="6" t="str">
        <f>HYPERLINK("https://twitter.com/SilkeLeFay/status/1364025620401856515","1364025620401856515")</f>
        <v>1364025620401856515</v>
      </c>
      <c r="F2126" s="8"/>
      <c r="G2126" s="7" t="s">
        <v>8424</v>
      </c>
      <c r="H2126" s="8"/>
      <c r="I2126" s="14">
        <v>1</v>
      </c>
      <c r="J2126" s="14">
        <v>0</v>
      </c>
      <c r="K2126" s="6" t="str">
        <f t="shared" si="386"/>
        <v>Twitter Web App</v>
      </c>
      <c r="L2126" s="15">
        <v>4637</v>
      </c>
      <c r="M2126" s="15">
        <v>5126</v>
      </c>
      <c r="N2126" s="15">
        <v>49</v>
      </c>
      <c r="O2126" s="9"/>
      <c r="P2126" s="10">
        <v>41031.560717592591</v>
      </c>
      <c r="Q2126" s="14" t="s">
        <v>8425</v>
      </c>
      <c r="R2126" s="14" t="s">
        <v>8426</v>
      </c>
      <c r="S2126" s="8"/>
      <c r="T2126" s="8"/>
      <c r="U2126" s="11" t="str">
        <f>HYPERLINK("https://pbs.twimg.com/profile_images/2633121271/553983b499a61b08f40744d20ed8951e.jpeg","View")</f>
        <v>View</v>
      </c>
      <c r="V2126" s="8"/>
      <c r="W2126" s="8"/>
      <c r="X2126" s="8"/>
      <c r="Y2126" s="8"/>
      <c r="Z2126" s="8"/>
    </row>
    <row r="2127" spans="1:26" ht="13.2">
      <c r="A2127" s="13">
        <v>44250.105717592596</v>
      </c>
      <c r="B2127" s="6" t="str">
        <f>HYPERLINK("https://twitter.com/JoeWehbe7","@JoeWehbe7")</f>
        <v>@JoeWehbe7</v>
      </c>
      <c r="C2127" s="14" t="s">
        <v>8427</v>
      </c>
      <c r="D2127" s="14" t="s">
        <v>8428</v>
      </c>
      <c r="E2127" s="6" t="str">
        <f>HYPERLINK("https://twitter.com/JoeWehbe7/status/1364025242218340359","1364025242218340359")</f>
        <v>1364025242218340359</v>
      </c>
      <c r="F2127" s="8"/>
      <c r="G2127" s="7" t="s">
        <v>8429</v>
      </c>
      <c r="H2127" s="8"/>
      <c r="I2127" s="14">
        <v>4</v>
      </c>
      <c r="J2127" s="14">
        <v>5</v>
      </c>
      <c r="K2127" s="6" t="str">
        <f>HYPERLINK("http://twitter.com/download/iphone","Twitter for iPhone")</f>
        <v>Twitter for iPhone</v>
      </c>
      <c r="L2127" s="15">
        <v>84</v>
      </c>
      <c r="M2127" s="15">
        <v>55</v>
      </c>
      <c r="N2127" s="15">
        <v>1</v>
      </c>
      <c r="O2127" s="9"/>
      <c r="P2127" s="10">
        <v>43665.931203703702</v>
      </c>
      <c r="Q2127" s="14" t="s">
        <v>696</v>
      </c>
      <c r="R2127" s="14" t="s">
        <v>8430</v>
      </c>
      <c r="S2127" s="7" t="s">
        <v>8431</v>
      </c>
      <c r="T2127" s="8"/>
      <c r="U2127" s="11" t="str">
        <f>HYPERLINK("https://pbs.twimg.com/profile_images/1312290383255273472/E7Hd9XRe.jpg","View")</f>
        <v>View</v>
      </c>
      <c r="V2127" s="8"/>
      <c r="W2127" s="8"/>
      <c r="X2127" s="8"/>
      <c r="Y2127" s="8"/>
      <c r="Z2127" s="8"/>
    </row>
    <row r="2128" spans="1:26" ht="13.2">
      <c r="A2128" s="13">
        <v>44250.105347222227</v>
      </c>
      <c r="B2128" s="6" t="str">
        <f>HYPERLINK("https://twitter.com/meplassey","@meplassey")</f>
        <v>@meplassey</v>
      </c>
      <c r="C2128" s="14" t="s">
        <v>8432</v>
      </c>
      <c r="D2128" s="14" t="s">
        <v>8040</v>
      </c>
      <c r="E2128" s="6" t="str">
        <f>HYPERLINK("https://twitter.com/meplassey/status/1364025108428333062","1364025108428333062")</f>
        <v>1364025108428333062</v>
      </c>
      <c r="F2128" s="7" t="s">
        <v>8433</v>
      </c>
      <c r="G2128" s="8"/>
      <c r="H2128" s="8"/>
      <c r="I2128" s="14">
        <v>1</v>
      </c>
      <c r="J2128" s="14">
        <v>0</v>
      </c>
      <c r="K2128" s="6" t="str">
        <f>HYPERLINK("http://dynamicsignal.com/","Dynamic Signal")</f>
        <v>Dynamic Signal</v>
      </c>
      <c r="L2128" s="15">
        <v>890</v>
      </c>
      <c r="M2128" s="15">
        <v>807</v>
      </c>
      <c r="N2128" s="15">
        <v>297</v>
      </c>
      <c r="O2128" s="9"/>
      <c r="P2128" s="10">
        <v>39917.299525462964</v>
      </c>
      <c r="Q2128" s="14" t="s">
        <v>2222</v>
      </c>
      <c r="R2128" s="14" t="s">
        <v>8434</v>
      </c>
      <c r="S2128" s="8"/>
      <c r="T2128" s="8"/>
      <c r="U2128" s="11" t="str">
        <f>HYPERLINK("https://pbs.twimg.com/profile_images/725280655752318978/lMq-yo0f.jpg","View")</f>
        <v>View</v>
      </c>
      <c r="V2128" s="8"/>
      <c r="W2128" s="8"/>
      <c r="X2128" s="8"/>
      <c r="Y2128" s="8"/>
      <c r="Z2128" s="8"/>
    </row>
    <row r="2129" spans="1:26" ht="13.2">
      <c r="A2129" s="13">
        <v>44250.104861111111</v>
      </c>
      <c r="B2129" s="6" t="str">
        <f>HYPERLINK("https://twitter.com/InnovationMerge","@InnovationMerge")</f>
        <v>@InnovationMerge</v>
      </c>
      <c r="C2129" s="14" t="s">
        <v>8435</v>
      </c>
      <c r="D2129" s="14" t="s">
        <v>8436</v>
      </c>
      <c r="E2129" s="6" t="str">
        <f>HYPERLINK("https://twitter.com/InnovationMerge/status/1364024929562353668","1364024929562353668")</f>
        <v>1364024929562353668</v>
      </c>
      <c r="F2129" s="8"/>
      <c r="G2129" s="7" t="s">
        <v>8437</v>
      </c>
      <c r="H2129" s="8"/>
      <c r="I2129" s="14">
        <v>5</v>
      </c>
      <c r="J2129" s="14">
        <v>4</v>
      </c>
      <c r="K2129" s="6" t="str">
        <f>HYPERLINK("https://mobile.twitter.com","Twitter Web App")</f>
        <v>Twitter Web App</v>
      </c>
      <c r="L2129" s="15">
        <v>77</v>
      </c>
      <c r="M2129" s="15">
        <v>126</v>
      </c>
      <c r="N2129" s="15">
        <v>0</v>
      </c>
      <c r="O2129" s="9"/>
      <c r="P2129" s="10">
        <v>44071.496435185181</v>
      </c>
      <c r="Q2129" s="14" t="s">
        <v>364</v>
      </c>
      <c r="R2129" s="14" t="s">
        <v>8438</v>
      </c>
      <c r="S2129" s="7" t="s">
        <v>8439</v>
      </c>
      <c r="T2129" s="8"/>
      <c r="U2129" s="11" t="str">
        <f>HYPERLINK("https://pbs.twimg.com/profile_images/1299297403548254208/YS9z4lWd.jpg","View")</f>
        <v>View</v>
      </c>
      <c r="V2129" s="8"/>
      <c r="W2129" s="8"/>
      <c r="X2129" s="8"/>
      <c r="Y2129" s="8"/>
      <c r="Z2129" s="8"/>
    </row>
    <row r="2130" spans="1:26" ht="13.2">
      <c r="A2130" s="13">
        <v>44250.104814814811</v>
      </c>
      <c r="B2130" s="6" t="str">
        <f>HYPERLINK("https://twitter.com/GodoldG","@GodoldG")</f>
        <v>@GodoldG</v>
      </c>
      <c r="C2130" s="14" t="s">
        <v>8440</v>
      </c>
      <c r="D2130" s="14" t="s">
        <v>8441</v>
      </c>
      <c r="E2130" s="6" t="str">
        <f>HYPERLINK("https://twitter.com/GodoldG/status/1364024915721035778","1364024915721035778")</f>
        <v>1364024915721035778</v>
      </c>
      <c r="F2130" s="8"/>
      <c r="G2130" s="8"/>
      <c r="H2130" s="8"/>
      <c r="I2130" s="14">
        <v>3</v>
      </c>
      <c r="J2130" s="14">
        <v>3</v>
      </c>
      <c r="K2130" s="6" t="str">
        <f>HYPERLINK("http://twitter.com/download/android","Twitter for Android")</f>
        <v>Twitter for Android</v>
      </c>
      <c r="L2130" s="15">
        <v>1</v>
      </c>
      <c r="M2130" s="15">
        <v>0</v>
      </c>
      <c r="N2130" s="15">
        <v>0</v>
      </c>
      <c r="O2130" s="9"/>
      <c r="P2130" s="10">
        <v>44230.368275462963</v>
      </c>
      <c r="Q2130" s="8"/>
      <c r="R2130" s="14" t="s">
        <v>8442</v>
      </c>
      <c r="S2130" s="7" t="s">
        <v>8443</v>
      </c>
      <c r="T2130" s="8"/>
      <c r="U2130" s="11" t="str">
        <f>HYPERLINK("https://pbs.twimg.com/profile_images/1362196065202577408/2PTLSwK3.jpg","View")</f>
        <v>View</v>
      </c>
      <c r="V2130" s="8"/>
      <c r="W2130" s="8"/>
      <c r="X2130" s="8"/>
      <c r="Y2130" s="8"/>
      <c r="Z2130" s="8"/>
    </row>
    <row r="2131" spans="1:26" ht="13.2">
      <c r="A2131" s="13">
        <v>44250.104224537034</v>
      </c>
      <c r="B2131" s="6" t="str">
        <f>HYPERLINK("https://twitter.com/ipfconline1","@ipfconline1")</f>
        <v>@ipfconline1</v>
      </c>
      <c r="C2131" s="14" t="s">
        <v>65</v>
      </c>
      <c r="D2131" s="14" t="s">
        <v>8444</v>
      </c>
      <c r="E2131" s="6" t="str">
        <f>HYPERLINK("https://twitter.com/ipfconline1/status/1364024699437666305","1364024699437666305")</f>
        <v>1364024699437666305</v>
      </c>
      <c r="F2131" s="7" t="s">
        <v>8445</v>
      </c>
      <c r="G2131" s="7" t="s">
        <v>8446</v>
      </c>
      <c r="H2131" s="8"/>
      <c r="I2131" s="14">
        <v>17</v>
      </c>
      <c r="J2131" s="14">
        <v>14</v>
      </c>
      <c r="K2131" s="6" t="str">
        <f>HYPERLINK("https://twittimer.com","Twittimer")</f>
        <v>Twittimer</v>
      </c>
      <c r="L2131" s="15">
        <v>112675</v>
      </c>
      <c r="M2131" s="15">
        <v>107162</v>
      </c>
      <c r="N2131" s="15">
        <v>7806</v>
      </c>
      <c r="O2131" s="9"/>
      <c r="P2131" s="10">
        <v>42433.031967592593</v>
      </c>
      <c r="Q2131" s="14" t="s">
        <v>69</v>
      </c>
      <c r="R2131" s="14" t="s">
        <v>70</v>
      </c>
      <c r="S2131" s="7" t="s">
        <v>71</v>
      </c>
      <c r="T2131" s="8"/>
      <c r="U2131" s="11" t="str">
        <f>HYPERLINK("https://pbs.twimg.com/profile_images/729065804004769793/St2_Pum9.jpg","View")</f>
        <v>View</v>
      </c>
      <c r="V2131" s="8"/>
      <c r="W2131" s="8"/>
      <c r="X2131" s="8"/>
      <c r="Y2131" s="8"/>
      <c r="Z2131" s="8"/>
    </row>
    <row r="2132" spans="1:26" ht="13.2">
      <c r="A2132" s="13">
        <v>44250.103576388894</v>
      </c>
      <c r="B2132" s="6" t="str">
        <f>HYPERLINK("https://twitter.com/SureshRukman","@SureshRukman")</f>
        <v>@SureshRukman</v>
      </c>
      <c r="C2132" s="14" t="s">
        <v>3313</v>
      </c>
      <c r="D2132" s="14" t="s">
        <v>8447</v>
      </c>
      <c r="E2132" s="6" t="str">
        <f>HYPERLINK("https://twitter.com/SureshRukman/status/1364024466129436673","1364024466129436673")</f>
        <v>1364024466129436673</v>
      </c>
      <c r="F2132" s="14" t="s">
        <v>8448</v>
      </c>
      <c r="G2132" s="8"/>
      <c r="H2132" s="8"/>
      <c r="I2132" s="14">
        <v>2</v>
      </c>
      <c r="J2132" s="14">
        <v>1</v>
      </c>
      <c r="K2132" s="6" t="str">
        <f>HYPERLINK("http://twinybots.com","TwinyBots")</f>
        <v>TwinyBots</v>
      </c>
      <c r="L2132" s="15">
        <v>2176</v>
      </c>
      <c r="M2132" s="15">
        <v>2281</v>
      </c>
      <c r="N2132" s="15">
        <v>293</v>
      </c>
      <c r="O2132" s="9"/>
      <c r="P2132" s="10">
        <v>41359.54041666667</v>
      </c>
      <c r="Q2132" s="14" t="s">
        <v>2551</v>
      </c>
      <c r="R2132" s="14" t="s">
        <v>3314</v>
      </c>
      <c r="S2132" s="7" t="s">
        <v>2553</v>
      </c>
      <c r="T2132" s="8"/>
      <c r="U2132" s="11" t="str">
        <f>HYPERLINK("https://pbs.twimg.com/profile_images/1038762339368087554/JICJ5viP.jpg","View")</f>
        <v>View</v>
      </c>
      <c r="V2132" s="8"/>
      <c r="W2132" s="8"/>
      <c r="X2132" s="8"/>
      <c r="Y2132" s="8"/>
      <c r="Z2132" s="8"/>
    </row>
    <row r="2133" spans="1:26" ht="13.2">
      <c r="A2133" s="13">
        <v>44250.103391203702</v>
      </c>
      <c r="B2133" s="6" t="str">
        <f>HYPERLINK("https://twitter.com/rasangarocks","@rasangarocks")</f>
        <v>@rasangarocks</v>
      </c>
      <c r="C2133" s="14" t="s">
        <v>5437</v>
      </c>
      <c r="D2133" s="14" t="s">
        <v>8449</v>
      </c>
      <c r="E2133" s="6" t="str">
        <f>HYPERLINK("https://twitter.com/rasangarocks/status/1364024398861111297","1364024398861111297")</f>
        <v>1364024398861111297</v>
      </c>
      <c r="F2133" s="14" t="s">
        <v>8450</v>
      </c>
      <c r="G2133" s="7" t="s">
        <v>8451</v>
      </c>
      <c r="H2133" s="8"/>
      <c r="I2133" s="14">
        <v>36</v>
      </c>
      <c r="J2133" s="14">
        <v>21</v>
      </c>
      <c r="K2133" s="6" t="str">
        <f>HYPERLINK("https://mobile.twitter.com","Twitter Web App")</f>
        <v>Twitter Web App</v>
      </c>
      <c r="L2133" s="15">
        <v>50654</v>
      </c>
      <c r="M2133" s="15">
        <v>49987</v>
      </c>
      <c r="N2133" s="15">
        <v>624</v>
      </c>
      <c r="O2133" s="9"/>
      <c r="P2133" s="10">
        <v>42071.75949074074</v>
      </c>
      <c r="Q2133" s="8"/>
      <c r="R2133" s="14" t="s">
        <v>5440</v>
      </c>
      <c r="S2133" s="7" t="s">
        <v>5441</v>
      </c>
      <c r="T2133" s="8"/>
      <c r="U2133" s="11" t="str">
        <f>HYPERLINK("https://pbs.twimg.com/profile_images/771872242300956672/j1H-OInO.jpg","View")</f>
        <v>View</v>
      </c>
      <c r="V2133" s="8"/>
      <c r="W2133" s="8"/>
      <c r="X2133" s="8"/>
      <c r="Y2133" s="8"/>
      <c r="Z2133" s="8"/>
    </row>
    <row r="2134" spans="1:26" ht="13.2">
      <c r="A2134" s="13">
        <v>44250.102592592593</v>
      </c>
      <c r="B2134" s="6" t="str">
        <f>HYPERLINK("https://twitter.com/travissari","@travissari")</f>
        <v>@travissari</v>
      </c>
      <c r="C2134" s="14" t="s">
        <v>8452</v>
      </c>
      <c r="D2134" s="14" t="s">
        <v>8453</v>
      </c>
      <c r="E2134" s="6" t="str">
        <f>HYPERLINK("https://twitter.com/travissari/status/1364024109760405504","1364024109760405504")</f>
        <v>1364024109760405504</v>
      </c>
      <c r="F2134" s="7" t="s">
        <v>8454</v>
      </c>
      <c r="G2134" s="8"/>
      <c r="H2134" s="8"/>
      <c r="I2134" s="14">
        <v>1</v>
      </c>
      <c r="J2134" s="14">
        <v>0</v>
      </c>
      <c r="K2134" s="6" t="str">
        <f>HYPERLINK("http://twitter.com/download/iphone","Twitter for iPhone")</f>
        <v>Twitter for iPhone</v>
      </c>
      <c r="L2134" s="15">
        <v>239</v>
      </c>
      <c r="M2134" s="15">
        <v>406</v>
      </c>
      <c r="N2134" s="15">
        <v>65</v>
      </c>
      <c r="O2134" s="9"/>
      <c r="P2134" s="10">
        <v>42164.752407407403</v>
      </c>
      <c r="Q2134" s="14" t="s">
        <v>3487</v>
      </c>
      <c r="R2134" s="14" t="s">
        <v>8455</v>
      </c>
      <c r="S2134" s="7" t="s">
        <v>8456</v>
      </c>
      <c r="T2134" s="8"/>
      <c r="U2134" s="11" t="str">
        <f>HYPERLINK("https://pbs.twimg.com/profile_images/640514369579819009/H71Y_fUO.jpg","View")</f>
        <v>View</v>
      </c>
      <c r="V2134" s="8"/>
      <c r="W2134" s="8"/>
      <c r="X2134" s="8"/>
      <c r="Y2134" s="8"/>
      <c r="Z2134" s="8"/>
    </row>
    <row r="2135" spans="1:26" ht="13.2">
      <c r="A2135" s="13">
        <v>44250.102349537032</v>
      </c>
      <c r="B2135" s="6" t="str">
        <f>HYPERLINK("https://twitter.com/machinelearnflx","@machinelearnflx")</f>
        <v>@machinelearnflx</v>
      </c>
      <c r="C2135" s="14" t="s">
        <v>279</v>
      </c>
      <c r="D2135" s="14" t="s">
        <v>8457</v>
      </c>
      <c r="E2135" s="6" t="str">
        <f>HYPERLINK("https://twitter.com/machinelearnflx/status/1364024018643394566","1364024018643394566")</f>
        <v>1364024018643394566</v>
      </c>
      <c r="F2135" s="7" t="s">
        <v>8458</v>
      </c>
      <c r="G2135" s="8"/>
      <c r="H2135" s="8"/>
      <c r="I2135" s="14">
        <v>1</v>
      </c>
      <c r="J2135" s="14">
        <v>5</v>
      </c>
      <c r="K2135" s="6" t="str">
        <f>HYPERLINK("https://twitter.com/pythonbot_","Postmatico")</f>
        <v>Postmatico</v>
      </c>
      <c r="L2135" s="15">
        <v>90451</v>
      </c>
      <c r="M2135" s="15">
        <v>35464</v>
      </c>
      <c r="N2135" s="15">
        <v>2228</v>
      </c>
      <c r="O2135" s="9"/>
      <c r="P2135" s="10">
        <v>42386.538865740746</v>
      </c>
      <c r="Q2135" s="8"/>
      <c r="R2135" s="14" t="s">
        <v>282</v>
      </c>
      <c r="S2135" s="7" t="s">
        <v>283</v>
      </c>
      <c r="T2135" s="8"/>
      <c r="U2135" s="11" t="str">
        <f>HYPERLINK("https://pbs.twimg.com/profile_images/688735459892195329/v8sHaWSG.jpg","View")</f>
        <v>View</v>
      </c>
      <c r="V2135" s="8"/>
      <c r="W2135" s="8"/>
      <c r="X2135" s="8"/>
      <c r="Y2135" s="8"/>
      <c r="Z2135" s="8"/>
    </row>
    <row r="2136" spans="1:26" ht="13.2">
      <c r="A2136" s="13">
        <v>44250.101736111115</v>
      </c>
      <c r="B2136" s="6" t="str">
        <f>HYPERLINK("https://twitter.com/NewsMedical","@NewsMedical")</f>
        <v>@NewsMedical</v>
      </c>
      <c r="C2136" s="14" t="s">
        <v>8459</v>
      </c>
      <c r="D2136" s="14" t="s">
        <v>8460</v>
      </c>
      <c r="E2136" s="6" t="str">
        <f>HYPERLINK("https://twitter.com/NewsMedical/status/1364023798094266370","1364023798094266370")</f>
        <v>1364023798094266370</v>
      </c>
      <c r="F2136" s="7" t="s">
        <v>7876</v>
      </c>
      <c r="G2136" s="7" t="s">
        <v>8461</v>
      </c>
      <c r="H2136" s="8"/>
      <c r="I2136" s="14">
        <v>4</v>
      </c>
      <c r="J2136" s="14">
        <v>1</v>
      </c>
      <c r="K2136" s="6" t="str">
        <f>HYPERLINK("http://www.news-medical.net/","News Medical")</f>
        <v>News Medical</v>
      </c>
      <c r="L2136" s="15">
        <v>13833</v>
      </c>
      <c r="M2136" s="15">
        <v>3423</v>
      </c>
      <c r="N2136" s="15">
        <v>450</v>
      </c>
      <c r="O2136" s="9"/>
      <c r="P2136" s="10">
        <v>39944.392488425925</v>
      </c>
      <c r="Q2136" s="8"/>
      <c r="R2136" s="14" t="s">
        <v>8462</v>
      </c>
      <c r="S2136" s="7" t="s">
        <v>8463</v>
      </c>
      <c r="T2136" s="8"/>
      <c r="U2136" s="11" t="str">
        <f>HYPERLINK("https://pbs.twimg.com/profile_images/780395551565058048/104TSnWw.jpg","View")</f>
        <v>View</v>
      </c>
      <c r="V2136" s="8"/>
      <c r="W2136" s="8"/>
      <c r="X2136" s="8"/>
      <c r="Y2136" s="8"/>
      <c r="Z2136" s="8"/>
    </row>
    <row r="2137" spans="1:26" ht="13.2">
      <c r="A2137" s="13">
        <v>44250.100659722222</v>
      </c>
      <c r="B2137" s="6" t="str">
        <f>HYPERLINK("https://twitter.com/louis__simpson","@louis__simpson")</f>
        <v>@louis__simpson</v>
      </c>
      <c r="C2137" s="14" t="s">
        <v>8464</v>
      </c>
      <c r="D2137" s="14" t="s">
        <v>8465</v>
      </c>
      <c r="E2137" s="6" t="str">
        <f>HYPERLINK("https://twitter.com/louis__simpson/status/1364023406656684033","1364023406656684033")</f>
        <v>1364023406656684033</v>
      </c>
      <c r="F2137" s="8"/>
      <c r="G2137" s="8"/>
      <c r="H2137" s="8"/>
      <c r="I2137" s="14">
        <v>2</v>
      </c>
      <c r="J2137" s="14">
        <v>3</v>
      </c>
      <c r="K2137" s="6" t="str">
        <f t="shared" ref="K2137:K2138" si="387">HYPERLINK("https://mobile.twitter.com","Twitter Web App")</f>
        <v>Twitter Web App</v>
      </c>
      <c r="L2137" s="15">
        <v>382</v>
      </c>
      <c r="M2137" s="15">
        <v>1892</v>
      </c>
      <c r="N2137" s="15">
        <v>5</v>
      </c>
      <c r="O2137" s="9"/>
      <c r="P2137" s="10">
        <v>42380.123402777783</v>
      </c>
      <c r="Q2137" s="14" t="s">
        <v>8466</v>
      </c>
      <c r="R2137" s="14" t="s">
        <v>8467</v>
      </c>
      <c r="S2137" s="8"/>
      <c r="T2137" s="8"/>
      <c r="U2137" s="11" t="str">
        <f>HYPERLINK("https://pbs.twimg.com/profile_images/1340513147036286981/Bor3qzgV.jpg","View")</f>
        <v>View</v>
      </c>
      <c r="V2137" s="8"/>
      <c r="W2137" s="8"/>
      <c r="X2137" s="8"/>
      <c r="Y2137" s="8"/>
      <c r="Z2137" s="8"/>
    </row>
    <row r="2138" spans="1:26" ht="13.2">
      <c r="A2138" s="13">
        <v>44250.099675925929</v>
      </c>
      <c r="B2138" s="6" t="str">
        <f>HYPERLINK("https://twitter.com/TKV93096440","@TKV93096440")</f>
        <v>@TKV93096440</v>
      </c>
      <c r="C2138" s="14" t="s">
        <v>8468</v>
      </c>
      <c r="D2138" s="14" t="s">
        <v>8469</v>
      </c>
      <c r="E2138" s="6" t="str">
        <f>HYPERLINK("https://twitter.com/TKV93096440/status/1364023050425884675","1364023050425884675")</f>
        <v>1364023050425884675</v>
      </c>
      <c r="F2138" s="14" t="s">
        <v>8470</v>
      </c>
      <c r="G2138" s="7" t="s">
        <v>8471</v>
      </c>
      <c r="H2138" s="8"/>
      <c r="I2138" s="14">
        <v>0</v>
      </c>
      <c r="J2138" s="14">
        <v>0</v>
      </c>
      <c r="K2138" s="6" t="str">
        <f t="shared" si="387"/>
        <v>Twitter Web App</v>
      </c>
      <c r="L2138" s="15">
        <v>130</v>
      </c>
      <c r="M2138" s="15">
        <v>176</v>
      </c>
      <c r="N2138" s="15">
        <v>0</v>
      </c>
      <c r="O2138" s="9"/>
      <c r="P2138" s="10">
        <v>44168.726388888885</v>
      </c>
      <c r="Q2138" s="14" t="s">
        <v>8472</v>
      </c>
      <c r="R2138" s="14" t="s">
        <v>8473</v>
      </c>
      <c r="S2138" s="8"/>
      <c r="T2138" s="8"/>
      <c r="U2138" s="11" t="str">
        <f>HYPERLINK("https://pbs.twimg.com/profile_images/1336346011241836546/QXvQ60es.jpg","View")</f>
        <v>View</v>
      </c>
      <c r="V2138" s="8"/>
      <c r="W2138" s="8"/>
      <c r="X2138" s="8"/>
      <c r="Y2138" s="8"/>
      <c r="Z2138" s="8"/>
    </row>
    <row r="2139" spans="1:26" ht="13.2">
      <c r="A2139" s="13">
        <v>44250.099386574075</v>
      </c>
      <c r="B2139" s="6" t="str">
        <f>HYPERLINK("https://twitter.com/towards_AI","@towards_AI")</f>
        <v>@towards_AI</v>
      </c>
      <c r="C2139" s="14" t="s">
        <v>993</v>
      </c>
      <c r="D2139" s="14" t="s">
        <v>8358</v>
      </c>
      <c r="E2139" s="6" t="str">
        <f>HYPERLINK("https://twitter.com/towards_AI/status/1364022946243747843","1364022946243747843")</f>
        <v>1364022946243747843</v>
      </c>
      <c r="F2139" s="7" t="s">
        <v>8359</v>
      </c>
      <c r="G2139" s="8"/>
      <c r="H2139" s="8"/>
      <c r="I2139" s="14">
        <v>3</v>
      </c>
      <c r="J2139" s="14">
        <v>6</v>
      </c>
      <c r="K2139" s="6" t="str">
        <f>HYPERLINK("https://ifttt.com","IFTTT")</f>
        <v>IFTTT</v>
      </c>
      <c r="L2139" s="15">
        <v>4357</v>
      </c>
      <c r="M2139" s="15">
        <v>17</v>
      </c>
      <c r="N2139" s="15">
        <v>66</v>
      </c>
      <c r="O2139" s="9"/>
      <c r="P2139" s="10">
        <v>43565.689467592594</v>
      </c>
      <c r="Q2139" s="14" t="s">
        <v>322</v>
      </c>
      <c r="R2139" s="14" t="s">
        <v>994</v>
      </c>
      <c r="S2139" s="7" t="s">
        <v>995</v>
      </c>
      <c r="T2139" s="8"/>
      <c r="U2139" s="11" t="str">
        <f>HYPERLINK("https://pbs.twimg.com/profile_images/1289733180468203520/z8oEBpFo.png","View")</f>
        <v>View</v>
      </c>
      <c r="V2139" s="8"/>
      <c r="W2139" s="8"/>
      <c r="X2139" s="8"/>
      <c r="Y2139" s="8"/>
      <c r="Z2139" s="8"/>
    </row>
    <row r="2140" spans="1:26" ht="13.2">
      <c r="A2140" s="13">
        <v>44250.097928240742</v>
      </c>
      <c r="B2140" s="6" t="str">
        <f>HYPERLINK("https://twitter.com/Ronald_vanLoon","@Ronald_vanLoon")</f>
        <v>@Ronald_vanLoon</v>
      </c>
      <c r="C2140" s="14" t="s">
        <v>2433</v>
      </c>
      <c r="D2140" s="14" t="s">
        <v>8474</v>
      </c>
      <c r="E2140" s="6" t="str">
        <f>HYPERLINK("https://twitter.com/Ronald_vanLoon/status/1364022417899859968","1364022417899859968")</f>
        <v>1364022417899859968</v>
      </c>
      <c r="F2140" s="8"/>
      <c r="G2140" s="7" t="s">
        <v>8475</v>
      </c>
      <c r="H2140" s="8"/>
      <c r="I2140" s="14">
        <v>17</v>
      </c>
      <c r="J2140" s="14">
        <v>21</v>
      </c>
      <c r="K2140" s="6" t="str">
        <f>HYPERLINK("https://about.twitter.com/products/tweetdeck","TweetDeck")</f>
        <v>TweetDeck</v>
      </c>
      <c r="L2140" s="15">
        <v>239362</v>
      </c>
      <c r="M2140" s="15">
        <v>180517</v>
      </c>
      <c r="N2140" s="15">
        <v>5589</v>
      </c>
      <c r="O2140" s="9"/>
      <c r="P2140" s="10">
        <v>41015.413553240738</v>
      </c>
      <c r="Q2140" s="14" t="s">
        <v>1141</v>
      </c>
      <c r="R2140" s="14" t="s">
        <v>2437</v>
      </c>
      <c r="S2140" s="7" t="s">
        <v>2438</v>
      </c>
      <c r="T2140" s="8"/>
      <c r="U2140" s="11" t="str">
        <f>HYPERLINK("https://pbs.twimg.com/profile_images/1107936345769607169/sJKWJd7g.png","View")</f>
        <v>View</v>
      </c>
      <c r="V2140" s="8"/>
      <c r="W2140" s="8"/>
      <c r="X2140" s="8"/>
      <c r="Y2140" s="8"/>
      <c r="Z2140" s="8"/>
    </row>
    <row r="2141" spans="1:26" ht="13.2">
      <c r="A2141" s="13">
        <v>44250.097314814819</v>
      </c>
      <c r="B2141" s="6" t="str">
        <f>HYPERLINK("https://twitter.com/s_kampakis","@s_kampakis")</f>
        <v>@s_kampakis</v>
      </c>
      <c r="C2141" s="14" t="s">
        <v>823</v>
      </c>
      <c r="D2141" s="14" t="s">
        <v>7281</v>
      </c>
      <c r="E2141" s="6" t="str">
        <f>HYPERLINK("https://twitter.com/s_kampakis/status/1364022197187141636","1364022197187141636")</f>
        <v>1364022197187141636</v>
      </c>
      <c r="F2141" s="7" t="s">
        <v>7282</v>
      </c>
      <c r="G2141" s="8"/>
      <c r="H2141" s="8"/>
      <c r="I2141" s="14">
        <v>2</v>
      </c>
      <c r="J2141" s="14">
        <v>1</v>
      </c>
      <c r="K2141" s="6" t="str">
        <f>HYPERLINK("https://crowdfireapp.com","Crowdfire App")</f>
        <v>Crowdfire App</v>
      </c>
      <c r="L2141" s="15">
        <v>1205</v>
      </c>
      <c r="M2141" s="15">
        <v>2076</v>
      </c>
      <c r="N2141" s="15">
        <v>87</v>
      </c>
      <c r="O2141" s="9"/>
      <c r="P2141" s="10">
        <v>41877.766087962962</v>
      </c>
      <c r="Q2141" s="14" t="s">
        <v>753</v>
      </c>
      <c r="R2141" s="14" t="s">
        <v>826</v>
      </c>
      <c r="S2141" s="7" t="s">
        <v>827</v>
      </c>
      <c r="T2141" s="8"/>
      <c r="U2141" s="11" t="str">
        <f>HYPERLINK("https://pbs.twimg.com/profile_images/1175015480496726019/1UxlBHvw.jpg","View")</f>
        <v>View</v>
      </c>
      <c r="V2141" s="8"/>
      <c r="W2141" s="8"/>
      <c r="X2141" s="8"/>
      <c r="Y2141" s="8"/>
      <c r="Z2141" s="8"/>
    </row>
    <row r="2142" spans="1:26" ht="13.2">
      <c r="A2142" s="13">
        <v>44250.096307870372</v>
      </c>
      <c r="B2142" s="6" t="str">
        <f>HYPERLINK("https://twitter.com/rwang0","@rwang0")</f>
        <v>@rwang0</v>
      </c>
      <c r="C2142" s="14" t="s">
        <v>2263</v>
      </c>
      <c r="D2142" s="14" t="s">
        <v>8476</v>
      </c>
      <c r="E2142" s="6" t="str">
        <f>HYPERLINK("https://twitter.com/rwang0/status/1364021832584732673","1364021832584732673")</f>
        <v>1364021832584732673</v>
      </c>
      <c r="F2142" s="7" t="s">
        <v>8477</v>
      </c>
      <c r="G2142" s="8"/>
      <c r="H2142" s="8"/>
      <c r="I2142" s="14">
        <v>1</v>
      </c>
      <c r="J2142" s="14">
        <v>4</v>
      </c>
      <c r="K2142" s="6" t="str">
        <f>HYPERLINK("https://paper.li","Paper.li")</f>
        <v>Paper.li</v>
      </c>
      <c r="L2142" s="15">
        <v>131943</v>
      </c>
      <c r="M2142" s="15">
        <v>100551</v>
      </c>
      <c r="N2142" s="15">
        <v>6846</v>
      </c>
      <c r="O2142" s="15" t="s">
        <v>130</v>
      </c>
      <c r="P2142" s="10">
        <v>39566.045532407406</v>
      </c>
      <c r="Q2142" s="14" t="s">
        <v>2266</v>
      </c>
      <c r="R2142" s="14" t="s">
        <v>2267</v>
      </c>
      <c r="S2142" s="7" t="s">
        <v>2268</v>
      </c>
      <c r="T2142" s="8"/>
      <c r="U2142" s="11" t="str">
        <f>HYPERLINK("https://pbs.twimg.com/profile_images/1046576251949862912/axeUR8EK.jpg","View")</f>
        <v>View</v>
      </c>
      <c r="V2142" s="8"/>
      <c r="W2142" s="8"/>
      <c r="X2142" s="8"/>
      <c r="Y2142" s="8"/>
      <c r="Z2142" s="8"/>
    </row>
    <row r="2143" spans="1:26" ht="13.2">
      <c r="A2143" s="13">
        <v>44250.094571759255</v>
      </c>
      <c r="B2143" s="6" t="str">
        <f>HYPERLINK("https://twitter.com/EndPainStigma","@EndPainStigma")</f>
        <v>@EndPainStigma</v>
      </c>
      <c r="C2143" s="14" t="s">
        <v>8478</v>
      </c>
      <c r="D2143" s="14" t="s">
        <v>8479</v>
      </c>
      <c r="E2143" s="6" t="str">
        <f>HYPERLINK("https://twitter.com/EndPainStigma/status/1364021203858464771","1364021203858464771")</f>
        <v>1364021203858464771</v>
      </c>
      <c r="F2143" s="7" t="s">
        <v>8480</v>
      </c>
      <c r="G2143" s="8"/>
      <c r="H2143" s="8"/>
      <c r="I2143" s="14">
        <v>4</v>
      </c>
      <c r="J2143" s="14">
        <v>4</v>
      </c>
      <c r="K2143" s="6" t="str">
        <f>HYPERLINK("http://twitter.com/download/iphone","Twitter for iPhone")</f>
        <v>Twitter for iPhone</v>
      </c>
      <c r="L2143" s="15">
        <v>114</v>
      </c>
      <c r="M2143" s="15">
        <v>216</v>
      </c>
      <c r="N2143" s="15">
        <v>0</v>
      </c>
      <c r="O2143" s="9"/>
      <c r="P2143" s="10">
        <v>44212.242025462961</v>
      </c>
      <c r="Q2143" s="14" t="s">
        <v>8481</v>
      </c>
      <c r="R2143" s="14" t="s">
        <v>8482</v>
      </c>
      <c r="S2143" s="7" t="s">
        <v>8483</v>
      </c>
      <c r="T2143" s="8"/>
      <c r="U2143" s="11" t="str">
        <f>HYPERLINK("https://pbs.twimg.com/profile_images/1352879213716664320/-0W0wa9W.jpg","View")</f>
        <v>View</v>
      </c>
      <c r="V2143" s="8"/>
      <c r="W2143" s="8"/>
      <c r="X2143" s="8"/>
      <c r="Y2143" s="8"/>
      <c r="Z2143" s="8"/>
    </row>
    <row r="2144" spans="1:26" ht="13.2">
      <c r="A2144" s="13">
        <v>44250.093831018516</v>
      </c>
      <c r="B2144" s="6" t="str">
        <f>HYPERLINK("https://twitter.com/SpirosMargaris","@SpirosMargaris")</f>
        <v>@SpirosMargaris</v>
      </c>
      <c r="C2144" s="14" t="s">
        <v>3558</v>
      </c>
      <c r="D2144" s="14" t="s">
        <v>8484</v>
      </c>
      <c r="E2144" s="6" t="str">
        <f>HYPERLINK("https://twitter.com/SpirosMargaris/status/1364020931539132416","1364020931539132416")</f>
        <v>1364020931539132416</v>
      </c>
      <c r="F2144" s="7" t="s">
        <v>8485</v>
      </c>
      <c r="G2144" s="7" t="s">
        <v>8486</v>
      </c>
      <c r="H2144" s="8"/>
      <c r="I2144" s="14">
        <v>6</v>
      </c>
      <c r="J2144" s="14">
        <v>8</v>
      </c>
      <c r="K2144" s="6" t="str">
        <f>HYPERLINK("https://buffer.com","Buffer")</f>
        <v>Buffer</v>
      </c>
      <c r="L2144" s="15">
        <v>107389</v>
      </c>
      <c r="M2144" s="15">
        <v>15890</v>
      </c>
      <c r="N2144" s="15">
        <v>5693</v>
      </c>
      <c r="O2144" s="15" t="s">
        <v>130</v>
      </c>
      <c r="P2144" s="10">
        <v>41857.30574074074</v>
      </c>
      <c r="Q2144" s="14" t="s">
        <v>3562</v>
      </c>
      <c r="R2144" s="14" t="s">
        <v>3563</v>
      </c>
      <c r="S2144" s="7" t="s">
        <v>3564</v>
      </c>
      <c r="T2144" s="8"/>
      <c r="U2144" s="11" t="str">
        <f>HYPERLINK("https://pbs.twimg.com/profile_images/1346443960986775553/TGeiH97s.jpg","View")</f>
        <v>View</v>
      </c>
      <c r="V2144" s="8"/>
      <c r="W2144" s="8"/>
      <c r="X2144" s="8"/>
      <c r="Y2144" s="8"/>
      <c r="Z2144" s="8"/>
    </row>
    <row r="2145" spans="1:26" ht="13.2">
      <c r="A2145" s="13">
        <v>44250.09375</v>
      </c>
      <c r="B2145" s="6" t="str">
        <f>HYPERLINK("https://twitter.com/ANoorTM","@ANoorTM")</f>
        <v>@ANoorTM</v>
      </c>
      <c r="C2145" s="14" t="s">
        <v>1720</v>
      </c>
      <c r="D2145" s="14" t="s">
        <v>8487</v>
      </c>
      <c r="E2145" s="6" t="str">
        <f>HYPERLINK("https://twitter.com/ANoorTM/status/1364020903055654913","1364020903055654913")</f>
        <v>1364020903055654913</v>
      </c>
      <c r="F2145" s="8"/>
      <c r="G2145" s="7" t="s">
        <v>8488</v>
      </c>
      <c r="H2145" s="8"/>
      <c r="I2145" s="14">
        <v>12</v>
      </c>
      <c r="J2145" s="14">
        <v>6</v>
      </c>
      <c r="K2145" s="6" t="str">
        <f>HYPERLINK("https://mobile.twitter.com","Twitter Web App")</f>
        <v>Twitter Web App</v>
      </c>
      <c r="L2145" s="15">
        <v>115</v>
      </c>
      <c r="M2145" s="15">
        <v>396</v>
      </c>
      <c r="N2145" s="15">
        <v>0</v>
      </c>
      <c r="O2145" s="9"/>
      <c r="P2145" s="10">
        <v>41609.607916666668</v>
      </c>
      <c r="Q2145" s="14" t="s">
        <v>1722</v>
      </c>
      <c r="R2145" s="14" t="s">
        <v>1723</v>
      </c>
      <c r="S2145" s="7" t="s">
        <v>1724</v>
      </c>
      <c r="T2145" s="8"/>
      <c r="U2145" s="11" t="str">
        <f>HYPERLINK("https://pbs.twimg.com/profile_images/1360847327636955136/AMGDy86d.jpg","View")</f>
        <v>View</v>
      </c>
      <c r="V2145" s="8"/>
      <c r="W2145" s="8"/>
      <c r="X2145" s="8"/>
      <c r="Y2145" s="8"/>
      <c r="Z2145" s="8"/>
    </row>
    <row r="2146" spans="1:26" ht="13.2">
      <c r="A2146" s="13">
        <v>44250.092685185184</v>
      </c>
      <c r="B2146" s="6" t="str">
        <f>HYPERLINK("https://twitter.com/AdamBouras3","@AdamBouras3")</f>
        <v>@AdamBouras3</v>
      </c>
      <c r="C2146" s="14" t="s">
        <v>8489</v>
      </c>
      <c r="D2146" s="14" t="s">
        <v>8490</v>
      </c>
      <c r="E2146" s="6" t="str">
        <f>HYPERLINK("https://twitter.com/AdamBouras3/status/1364020519490576390","1364020519490576390")</f>
        <v>1364020519490576390</v>
      </c>
      <c r="F2146" s="7" t="s">
        <v>8491</v>
      </c>
      <c r="G2146" s="8"/>
      <c r="H2146" s="8"/>
      <c r="I2146" s="14">
        <v>6</v>
      </c>
      <c r="J2146" s="14">
        <v>2</v>
      </c>
      <c r="K2146" s="6" t="str">
        <f>HYPERLINK("http://www.linkedin.com/","LinkedIn")</f>
        <v>LinkedIn</v>
      </c>
      <c r="L2146" s="15">
        <v>88</v>
      </c>
      <c r="M2146" s="15">
        <v>175</v>
      </c>
      <c r="N2146" s="15">
        <v>3</v>
      </c>
      <c r="O2146" s="9"/>
      <c r="P2146" s="10">
        <v>43029.080393518518</v>
      </c>
      <c r="Q2146" s="14" t="s">
        <v>8492</v>
      </c>
      <c r="R2146" s="14" t="s">
        <v>8493</v>
      </c>
      <c r="S2146" s="7" t="s">
        <v>8494</v>
      </c>
      <c r="T2146" s="8"/>
      <c r="U2146" s="11" t="str">
        <f>HYPERLINK("https://pbs.twimg.com/profile_images/1332836018475720704/mHz6sh79.jpg","View")</f>
        <v>View</v>
      </c>
      <c r="V2146" s="8"/>
      <c r="W2146" s="8"/>
      <c r="X2146" s="8"/>
      <c r="Y2146" s="8"/>
      <c r="Z2146" s="8"/>
    </row>
    <row r="2147" spans="1:26" ht="13.2">
      <c r="A2147" s="13">
        <v>44250.091770833329</v>
      </c>
      <c r="B2147" s="6" t="str">
        <f>HYPERLINK("https://twitter.com/SureshRukman","@SureshRukman")</f>
        <v>@SureshRukman</v>
      </c>
      <c r="C2147" s="14" t="s">
        <v>3313</v>
      </c>
      <c r="D2147" s="14" t="s">
        <v>8495</v>
      </c>
      <c r="E2147" s="6" t="str">
        <f>HYPERLINK("https://twitter.com/SureshRukman/status/1364020185682874368","1364020185682874368")</f>
        <v>1364020185682874368</v>
      </c>
      <c r="F2147" s="14" t="s">
        <v>8496</v>
      </c>
      <c r="G2147" s="8"/>
      <c r="H2147" s="8"/>
      <c r="I2147" s="14">
        <v>2</v>
      </c>
      <c r="J2147" s="14">
        <v>3</v>
      </c>
      <c r="K2147" s="6" t="str">
        <f>HYPERLINK("http://twinybots.com","TwinyBots")</f>
        <v>TwinyBots</v>
      </c>
      <c r="L2147" s="15">
        <v>2176</v>
      </c>
      <c r="M2147" s="15">
        <v>2281</v>
      </c>
      <c r="N2147" s="15">
        <v>293</v>
      </c>
      <c r="O2147" s="9"/>
      <c r="P2147" s="10">
        <v>41359.54041666667</v>
      </c>
      <c r="Q2147" s="14" t="s">
        <v>2551</v>
      </c>
      <c r="R2147" s="14" t="s">
        <v>3314</v>
      </c>
      <c r="S2147" s="7" t="s">
        <v>2553</v>
      </c>
      <c r="T2147" s="8"/>
      <c r="U2147" s="11" t="str">
        <f>HYPERLINK("https://pbs.twimg.com/profile_images/1038762339368087554/JICJ5viP.jpg","View")</f>
        <v>View</v>
      </c>
      <c r="V2147" s="8"/>
      <c r="W2147" s="8"/>
      <c r="X2147" s="8"/>
      <c r="Y2147" s="8"/>
      <c r="Z2147" s="8"/>
    </row>
    <row r="2148" spans="1:26" ht="13.2">
      <c r="A2148" s="13">
        <v>44250.091377314813</v>
      </c>
      <c r="B2148" s="6" t="str">
        <f>HYPERLINK("https://twitter.com/nordicinst","@nordicinst")</f>
        <v>@nordicinst</v>
      </c>
      <c r="C2148" s="14" t="s">
        <v>1812</v>
      </c>
      <c r="D2148" s="14" t="s">
        <v>8497</v>
      </c>
      <c r="E2148" s="6" t="str">
        <f>HYPERLINK("https://twitter.com/nordicinst/status/1364020045060444160","1364020045060444160")</f>
        <v>1364020045060444160</v>
      </c>
      <c r="F2148" s="7" t="s">
        <v>6304</v>
      </c>
      <c r="G2148" s="8"/>
      <c r="H2148" s="8"/>
      <c r="I2148" s="14">
        <v>2</v>
      </c>
      <c r="J2148" s="14">
        <v>4</v>
      </c>
      <c r="K2148" s="6" t="str">
        <f>HYPERLINK("https://ifttt.com","IFTTT")</f>
        <v>IFTTT</v>
      </c>
      <c r="L2148" s="15">
        <v>18247</v>
      </c>
      <c r="M2148" s="15">
        <v>17</v>
      </c>
      <c r="N2148" s="15">
        <v>306</v>
      </c>
      <c r="O2148" s="9"/>
      <c r="P2148" s="10">
        <v>42796.734710648147</v>
      </c>
      <c r="Q2148" s="14" t="s">
        <v>1815</v>
      </c>
      <c r="R2148" s="14" t="s">
        <v>1816</v>
      </c>
      <c r="S2148" s="7" t="s">
        <v>1817</v>
      </c>
      <c r="T2148" s="8"/>
      <c r="U2148" s="11" t="str">
        <f>HYPERLINK("https://pbs.twimg.com/profile_images/894659016705556480/_CJhwfbx.jpg","View")</f>
        <v>View</v>
      </c>
      <c r="V2148" s="8"/>
      <c r="W2148" s="8"/>
      <c r="X2148" s="8"/>
      <c r="Y2148" s="8"/>
      <c r="Z2148" s="8"/>
    </row>
    <row r="2149" spans="1:26" ht="13.2">
      <c r="A2149" s="13">
        <v>44250.088159722218</v>
      </c>
      <c r="B2149" s="6" t="str">
        <f>HYPERLINK("https://twitter.com/1QB_IT","@1QB_IT")</f>
        <v>@1QB_IT</v>
      </c>
      <c r="C2149" s="14" t="s">
        <v>8498</v>
      </c>
      <c r="D2149" s="14" t="s">
        <v>8499</v>
      </c>
      <c r="E2149" s="6" t="str">
        <f>HYPERLINK("https://twitter.com/1QB_IT/status/1364018877697568768","1364018877697568768")</f>
        <v>1364018877697568768</v>
      </c>
      <c r="F2149" s="7" t="s">
        <v>8500</v>
      </c>
      <c r="G2149" s="7" t="s">
        <v>8501</v>
      </c>
      <c r="H2149" s="8"/>
      <c r="I2149" s="14">
        <v>4</v>
      </c>
      <c r="J2149" s="14">
        <v>2</v>
      </c>
      <c r="K2149" s="6" t="str">
        <f>HYPERLINK("https://sproutsocial.com","Sprout Social")</f>
        <v>Sprout Social</v>
      </c>
      <c r="L2149" s="15">
        <v>2984</v>
      </c>
      <c r="M2149" s="15">
        <v>168</v>
      </c>
      <c r="N2149" s="15">
        <v>81</v>
      </c>
      <c r="O2149" s="9"/>
      <c r="P2149" s="10">
        <v>42417.221307870372</v>
      </c>
      <c r="Q2149" s="14" t="s">
        <v>8034</v>
      </c>
      <c r="R2149" s="14" t="s">
        <v>8502</v>
      </c>
      <c r="S2149" s="7" t="s">
        <v>8503</v>
      </c>
      <c r="T2149" s="8"/>
      <c r="U2149" s="11" t="str">
        <f>HYPERLINK("https://pbs.twimg.com/profile_images/1293695851798306817/e_Wf-2Ev.jpg","View")</f>
        <v>View</v>
      </c>
      <c r="V2149" s="8"/>
      <c r="W2149" s="8"/>
      <c r="X2149" s="8"/>
      <c r="Y2149" s="8"/>
      <c r="Z2149" s="8"/>
    </row>
    <row r="2150" spans="1:26" ht="13.2">
      <c r="A2150" s="13">
        <v>44250.08699074074</v>
      </c>
      <c r="B2150" s="6" t="str">
        <f>HYPERLINK("https://twitter.com/TeachTechU","@TeachTechU")</f>
        <v>@TeachTechU</v>
      </c>
      <c r="C2150" s="14" t="s">
        <v>8504</v>
      </c>
      <c r="D2150" s="14" t="s">
        <v>8505</v>
      </c>
      <c r="E2150" s="6" t="str">
        <f>HYPERLINK("https://twitter.com/TeachTechU/status/1364018453275901952","1364018453275901952")</f>
        <v>1364018453275901952</v>
      </c>
      <c r="F2150" s="7" t="s">
        <v>8506</v>
      </c>
      <c r="G2150" s="8"/>
      <c r="H2150" s="8"/>
      <c r="I2150" s="14">
        <v>0</v>
      </c>
      <c r="J2150" s="14">
        <v>4</v>
      </c>
      <c r="K2150" s="6" t="str">
        <f>HYPERLINK("https://paper.li","Paper.li")</f>
        <v>Paper.li</v>
      </c>
      <c r="L2150" s="15">
        <v>125</v>
      </c>
      <c r="M2150" s="15">
        <v>528</v>
      </c>
      <c r="N2150" s="15">
        <v>2</v>
      </c>
      <c r="O2150" s="9"/>
      <c r="P2150" s="10">
        <v>42988.161550925928</v>
      </c>
      <c r="Q2150" s="14" t="s">
        <v>8507</v>
      </c>
      <c r="R2150" s="14" t="s">
        <v>8508</v>
      </c>
      <c r="S2150" s="7" t="s">
        <v>8509</v>
      </c>
      <c r="T2150" s="8"/>
      <c r="U2150" s="11" t="str">
        <f>HYPERLINK("https://pbs.twimg.com/profile_images/1231001257478782977/ugVDMTsL.jpg","View")</f>
        <v>View</v>
      </c>
      <c r="V2150" s="8"/>
      <c r="W2150" s="8"/>
      <c r="X2150" s="8"/>
      <c r="Y2150" s="8"/>
      <c r="Z2150" s="8"/>
    </row>
    <row r="2151" spans="1:26" ht="13.2">
      <c r="A2151" s="13">
        <v>44250.086875000001</v>
      </c>
      <c r="B2151" s="6" t="str">
        <f>HYPERLINK("https://twitter.com/realsportsbrain","@realsportsbrain")</f>
        <v>@realsportsbrain</v>
      </c>
      <c r="C2151" s="14" t="s">
        <v>8510</v>
      </c>
      <c r="D2151" s="14" t="s">
        <v>8511</v>
      </c>
      <c r="E2151" s="6" t="str">
        <f>HYPERLINK("https://twitter.com/realsportsbrain/status/1364018411018231808","1364018411018231808")</f>
        <v>1364018411018231808</v>
      </c>
      <c r="F2151" s="8"/>
      <c r="G2151" s="8"/>
      <c r="H2151" s="8"/>
      <c r="I2151" s="14">
        <v>0</v>
      </c>
      <c r="J2151" s="14">
        <v>1</v>
      </c>
      <c r="K2151" s="6" t="str">
        <f>HYPERLINK("http://twitter.com/download/android","Twitter for Android")</f>
        <v>Twitter for Android</v>
      </c>
      <c r="L2151" s="15">
        <v>39</v>
      </c>
      <c r="M2151" s="15">
        <v>69</v>
      </c>
      <c r="N2151" s="15">
        <v>0</v>
      </c>
      <c r="O2151" s="9"/>
      <c r="P2151" s="10">
        <v>39888.776597222226</v>
      </c>
      <c r="Q2151" s="14" t="s">
        <v>8512</v>
      </c>
      <c r="R2151" s="14" t="s">
        <v>8513</v>
      </c>
      <c r="S2151" s="8"/>
      <c r="T2151" s="8"/>
      <c r="U2151" s="11" t="str">
        <f>HYPERLINK("https://pbs.twimg.com/profile_images/1347590586392408064/GMoUMFyA.jpg","View")</f>
        <v>View</v>
      </c>
      <c r="V2151" s="8"/>
      <c r="W2151" s="8"/>
      <c r="X2151" s="8"/>
      <c r="Y2151" s="8"/>
      <c r="Z2151" s="8"/>
    </row>
    <row r="2152" spans="1:26" ht="13.2">
      <c r="A2152" s="13">
        <v>44250.086111111115</v>
      </c>
      <c r="B2152" s="6" t="str">
        <f>HYPERLINK("https://twitter.com/aiplustraining","@aiplustraining")</f>
        <v>@aiplustraining</v>
      </c>
      <c r="C2152" s="14" t="s">
        <v>231</v>
      </c>
      <c r="D2152" s="14" t="s">
        <v>8514</v>
      </c>
      <c r="E2152" s="6" t="str">
        <f>HYPERLINK("https://twitter.com/aiplustraining/status/1364018137855897602","1364018137855897602")</f>
        <v>1364018137855897602</v>
      </c>
      <c r="F2152" s="7" t="s">
        <v>8515</v>
      </c>
      <c r="G2152" s="7" t="s">
        <v>8516</v>
      </c>
      <c r="H2152" s="8"/>
      <c r="I2152" s="14">
        <v>2</v>
      </c>
      <c r="J2152" s="14">
        <v>2</v>
      </c>
      <c r="K2152" s="6" t="str">
        <f>HYPERLINK("http://www.hubspot.com/","HubSpot")</f>
        <v>HubSpot</v>
      </c>
      <c r="L2152" s="15">
        <v>5</v>
      </c>
      <c r="M2152" s="15">
        <v>2</v>
      </c>
      <c r="N2152" s="15">
        <v>0</v>
      </c>
      <c r="O2152" s="9"/>
      <c r="P2152" s="10">
        <v>44237.778668981482</v>
      </c>
      <c r="Q2152" s="14" t="s">
        <v>221</v>
      </c>
      <c r="R2152" s="14" t="s">
        <v>235</v>
      </c>
      <c r="S2152" s="7" t="s">
        <v>236</v>
      </c>
      <c r="T2152" s="8"/>
      <c r="U2152" s="11" t="str">
        <f>HYPERLINK("https://pbs.twimg.com/profile_images/1359558269157707783/sqig3Ehi.png","View")</f>
        <v>View</v>
      </c>
      <c r="V2152" s="8"/>
      <c r="W2152" s="8"/>
      <c r="X2152" s="8"/>
      <c r="Y2152" s="8"/>
      <c r="Z2152" s="8"/>
    </row>
    <row r="2153" spans="1:26" ht="13.2">
      <c r="A2153" s="13">
        <v>44250.084374999999</v>
      </c>
      <c r="B2153" s="6" t="str">
        <f>HYPERLINK("https://twitter.com/EverythingFind","@EverythingFind")</f>
        <v>@EverythingFind</v>
      </c>
      <c r="C2153" s="14" t="s">
        <v>8517</v>
      </c>
      <c r="D2153" s="14" t="s">
        <v>7741</v>
      </c>
      <c r="E2153" s="6" t="str">
        <f>HYPERLINK("https://twitter.com/EverythingFind/status/1364017505207947270","1364017505207947270")</f>
        <v>1364017505207947270</v>
      </c>
      <c r="F2153" s="7" t="s">
        <v>8518</v>
      </c>
      <c r="G2153" s="8"/>
      <c r="H2153" s="8"/>
      <c r="I2153" s="14">
        <v>0</v>
      </c>
      <c r="J2153" s="14">
        <v>1</v>
      </c>
      <c r="K2153" s="6" t="str">
        <f>HYPERLINK("https://www.contentmx.com","ContentMX")</f>
        <v>ContentMX</v>
      </c>
      <c r="L2153" s="15">
        <v>26</v>
      </c>
      <c r="M2153" s="15">
        <v>5</v>
      </c>
      <c r="N2153" s="15">
        <v>0</v>
      </c>
      <c r="O2153" s="9"/>
      <c r="P2153" s="10">
        <v>43515.078043981484</v>
      </c>
      <c r="Q2153" s="8"/>
      <c r="R2153" s="14" t="s">
        <v>8519</v>
      </c>
      <c r="S2153" s="8"/>
      <c r="T2153" s="8"/>
      <c r="U2153" s="11" t="str">
        <f>HYPERLINK("https://pbs.twimg.com/profile_images/1097660773348794369/8Iat46-1.jpg","View")</f>
        <v>View</v>
      </c>
      <c r="V2153" s="8"/>
      <c r="W2153" s="8"/>
      <c r="X2153" s="8"/>
      <c r="Y2153" s="8"/>
      <c r="Z2153" s="8"/>
    </row>
    <row r="2154" spans="1:26" ht="13.2">
      <c r="A2154" s="13">
        <v>44250.084097222221</v>
      </c>
      <c r="B2154" s="6" t="str">
        <f>HYPERLINK("https://twitter.com/JohnontheJohn1","@JohnontheJohn1")</f>
        <v>@JohnontheJohn1</v>
      </c>
      <c r="C2154" s="14" t="s">
        <v>8520</v>
      </c>
      <c r="D2154" s="14" t="s">
        <v>8521</v>
      </c>
      <c r="E2154" s="6" t="str">
        <f>HYPERLINK("https://twitter.com/JohnontheJohn1/status/1364017405270220801","1364017405270220801")</f>
        <v>1364017405270220801</v>
      </c>
      <c r="F2154" s="7" t="s">
        <v>8522</v>
      </c>
      <c r="G2154" s="8"/>
      <c r="H2154" s="8"/>
      <c r="I2154" s="14">
        <v>1</v>
      </c>
      <c r="J2154" s="14">
        <v>2</v>
      </c>
      <c r="K2154" s="6" t="str">
        <f>HYPERLINK("https://mobile.twitter.com","Twitter Web App")</f>
        <v>Twitter Web App</v>
      </c>
      <c r="L2154" s="15">
        <v>1</v>
      </c>
      <c r="M2154" s="15">
        <v>93</v>
      </c>
      <c r="N2154" s="15">
        <v>0</v>
      </c>
      <c r="O2154" s="9"/>
      <c r="P2154" s="10">
        <v>44216.94049768518</v>
      </c>
      <c r="Q2154" s="14" t="s">
        <v>8523</v>
      </c>
      <c r="R2154" s="14" t="s">
        <v>8524</v>
      </c>
      <c r="S2154" s="7" t="s">
        <v>8525</v>
      </c>
      <c r="T2154" s="8"/>
      <c r="U2154" s="11" t="str">
        <f>HYPERLINK("https://pbs.twimg.com/profile_images/1352007631322316803/ZlvXVfEj.jpg","View")</f>
        <v>View</v>
      </c>
      <c r="V2154" s="8"/>
      <c r="W2154" s="8"/>
      <c r="X2154" s="8"/>
      <c r="Y2154" s="8"/>
      <c r="Z2154" s="8"/>
    </row>
    <row r="2155" spans="1:26" ht="13.2">
      <c r="A2155" s="13">
        <v>44250.084085648152</v>
      </c>
      <c r="B2155" s="6" t="str">
        <f>HYPERLINK("https://twitter.com/LGFonsecaGuzman","@LGFonsecaGuzman")</f>
        <v>@LGFonsecaGuzman</v>
      </c>
      <c r="C2155" s="14" t="s">
        <v>8526</v>
      </c>
      <c r="D2155" s="14" t="s">
        <v>8527</v>
      </c>
      <c r="E2155" s="6" t="str">
        <f>HYPERLINK("https://twitter.com/LGFonsecaGuzman/status/1364017400694333446","1364017400694333446")</f>
        <v>1364017400694333446</v>
      </c>
      <c r="F2155" s="7" t="s">
        <v>8528</v>
      </c>
      <c r="G2155" s="8"/>
      <c r="H2155" s="8"/>
      <c r="I2155" s="14">
        <v>0</v>
      </c>
      <c r="J2155" s="14">
        <v>0</v>
      </c>
      <c r="K2155" s="6" t="str">
        <f>HYPERLINK("https://www.hootsuite.com","Hootsuite Inc.")</f>
        <v>Hootsuite Inc.</v>
      </c>
      <c r="L2155" s="15">
        <v>1627</v>
      </c>
      <c r="M2155" s="15">
        <v>86</v>
      </c>
      <c r="N2155" s="15">
        <v>10</v>
      </c>
      <c r="O2155" s="9"/>
      <c r="P2155" s="10">
        <v>40899.729826388888</v>
      </c>
      <c r="Q2155" s="14" t="s">
        <v>8529</v>
      </c>
      <c r="R2155" s="14" t="s">
        <v>8530</v>
      </c>
      <c r="S2155" s="7" t="s">
        <v>8531</v>
      </c>
      <c r="T2155" s="8"/>
      <c r="U2155" s="11" t="str">
        <f>HYPERLINK("https://pbs.twimg.com/profile_images/2165954808/LGFG001.jpg","View")</f>
        <v>View</v>
      </c>
      <c r="V2155" s="8"/>
      <c r="W2155" s="8"/>
      <c r="X2155" s="8"/>
      <c r="Y2155" s="8"/>
      <c r="Z2155" s="8"/>
    </row>
    <row r="2156" spans="1:26" ht="13.2">
      <c r="A2156" s="13">
        <v>44250.084062499998</v>
      </c>
      <c r="B2156" s="6" t="str">
        <f>HYPERLINK("https://twitter.com/SpirosMargaris","@SpirosMargaris")</f>
        <v>@SpirosMargaris</v>
      </c>
      <c r="C2156" s="14" t="s">
        <v>3558</v>
      </c>
      <c r="D2156" s="14" t="s">
        <v>8532</v>
      </c>
      <c r="E2156" s="6" t="str">
        <f>HYPERLINK("https://twitter.com/SpirosMargaris/status/1364017394025435136","1364017394025435136")</f>
        <v>1364017394025435136</v>
      </c>
      <c r="F2156" s="7" t="s">
        <v>8533</v>
      </c>
      <c r="G2156" s="7" t="s">
        <v>8534</v>
      </c>
      <c r="H2156" s="8"/>
      <c r="I2156" s="14">
        <v>19</v>
      </c>
      <c r="J2156" s="14">
        <v>23</v>
      </c>
      <c r="K2156" s="6" t="str">
        <f>HYPERLINK("https://buffer.com","Buffer")</f>
        <v>Buffer</v>
      </c>
      <c r="L2156" s="15">
        <v>107389</v>
      </c>
      <c r="M2156" s="15">
        <v>15890</v>
      </c>
      <c r="N2156" s="15">
        <v>5693</v>
      </c>
      <c r="O2156" s="15" t="s">
        <v>130</v>
      </c>
      <c r="P2156" s="10">
        <v>41857.30574074074</v>
      </c>
      <c r="Q2156" s="14" t="s">
        <v>3562</v>
      </c>
      <c r="R2156" s="14" t="s">
        <v>3563</v>
      </c>
      <c r="S2156" s="7" t="s">
        <v>3564</v>
      </c>
      <c r="T2156" s="8"/>
      <c r="U2156" s="11" t="str">
        <f>HYPERLINK("https://pbs.twimg.com/profile_images/1346443960986775553/TGeiH97s.jpg","View")</f>
        <v>View</v>
      </c>
      <c r="V2156" s="8"/>
      <c r="W2156" s="8"/>
      <c r="X2156" s="8"/>
      <c r="Y2156" s="8"/>
      <c r="Z2156" s="8"/>
    </row>
    <row r="2157" spans="1:26" ht="13.2">
      <c r="A2157" s="13">
        <v>44250.084050925929</v>
      </c>
      <c r="B2157" s="6" t="str">
        <f>HYPERLINK("https://twitter.com/lopezunwired","@lopezunwired")</f>
        <v>@lopezunwired</v>
      </c>
      <c r="C2157" s="14" t="s">
        <v>224</v>
      </c>
      <c r="D2157" s="14" t="s">
        <v>8535</v>
      </c>
      <c r="E2157" s="6" t="str">
        <f>HYPERLINK("https://twitter.com/lopezunwired/status/1364017388451024899","1364017388451024899")</f>
        <v>1364017388451024899</v>
      </c>
      <c r="F2157" s="7" t="s">
        <v>8536</v>
      </c>
      <c r="G2157" s="8"/>
      <c r="H2157" s="8"/>
      <c r="I2157" s="14">
        <v>1</v>
      </c>
      <c r="J2157" s="14">
        <v>1</v>
      </c>
      <c r="K2157" s="6" t="str">
        <f>HYPERLINK("https://dlvrit.com/","dlvr.it")</f>
        <v>dlvr.it</v>
      </c>
      <c r="L2157" s="15">
        <v>1803</v>
      </c>
      <c r="M2157" s="15">
        <v>800</v>
      </c>
      <c r="N2157" s="15">
        <v>586</v>
      </c>
      <c r="O2157" s="9"/>
      <c r="P2157" s="10">
        <v>39831.947152777779</v>
      </c>
      <c r="Q2157" s="14" t="s">
        <v>228</v>
      </c>
      <c r="R2157" s="14" t="s">
        <v>229</v>
      </c>
      <c r="S2157" s="7" t="s">
        <v>230</v>
      </c>
      <c r="T2157" s="8"/>
      <c r="U2157" s="11" t="str">
        <f>HYPERLINK("https://pbs.twimg.com/profile_images/3326137784/c6c1c2570fc7b9711dd8de812b996a66.jpeg","View")</f>
        <v>View</v>
      </c>
      <c r="V2157" s="8"/>
      <c r="W2157" s="8"/>
      <c r="X2157" s="8"/>
      <c r="Y2157" s="8"/>
      <c r="Z2157" s="8"/>
    </row>
    <row r="2158" spans="1:26" ht="13.2">
      <c r="A2158" s="13">
        <v>44250.083981481483</v>
      </c>
      <c r="B2158" s="6" t="str">
        <f>HYPERLINK("https://twitter.com/Marktechpost","@Marktechpost")</f>
        <v>@Marktechpost</v>
      </c>
      <c r="C2158" s="7" t="s">
        <v>1071</v>
      </c>
      <c r="D2158" s="14" t="s">
        <v>8537</v>
      </c>
      <c r="E2158" s="6" t="str">
        <f>HYPERLINK("https://twitter.com/Marktechpost/status/1364017365361508352","1364017365361508352")</f>
        <v>1364017365361508352</v>
      </c>
      <c r="F2158" s="7" t="s">
        <v>8538</v>
      </c>
      <c r="G2158" s="7" t="s">
        <v>8539</v>
      </c>
      <c r="H2158" s="8"/>
      <c r="I2158" s="14">
        <v>0</v>
      </c>
      <c r="J2158" s="14">
        <v>0</v>
      </c>
      <c r="K2158" s="6" t="str">
        <f>HYPERLINK("https://www.hootsuite.com","Hootsuite Inc.")</f>
        <v>Hootsuite Inc.</v>
      </c>
      <c r="L2158" s="15">
        <v>2673</v>
      </c>
      <c r="M2158" s="15">
        <v>461</v>
      </c>
      <c r="N2158" s="15">
        <v>24</v>
      </c>
      <c r="O2158" s="9"/>
      <c r="P2158" s="10">
        <v>42467.265682870369</v>
      </c>
      <c r="Q2158" s="14" t="s">
        <v>56</v>
      </c>
      <c r="R2158" s="14" t="s">
        <v>1075</v>
      </c>
      <c r="S2158" s="7" t="s">
        <v>58</v>
      </c>
      <c r="T2158" s="8"/>
      <c r="U2158" s="11" t="str">
        <f>HYPERLINK("https://pbs.twimg.com/profile_images/994114664874180608/tD0vcytP.jpg","View")</f>
        <v>View</v>
      </c>
      <c r="V2158" s="8"/>
      <c r="W2158" s="8"/>
      <c r="X2158" s="8"/>
      <c r="Y2158" s="8"/>
      <c r="Z2158" s="8"/>
    </row>
    <row r="2159" spans="1:26" ht="13.2">
      <c r="A2159" s="13">
        <v>44250.083831018521</v>
      </c>
      <c r="B2159" s="6" t="str">
        <f>HYPERLINK("https://twitter.com/bukmedianet","@bukmedianet")</f>
        <v>@bukmedianet</v>
      </c>
      <c r="C2159" s="14" t="s">
        <v>8540</v>
      </c>
      <c r="D2159" s="14" t="s">
        <v>8541</v>
      </c>
      <c r="E2159" s="6" t="str">
        <f>HYPERLINK("https://twitter.com/bukmedianet/status/1364017308641845254","1364017308641845254")</f>
        <v>1364017308641845254</v>
      </c>
      <c r="F2159" s="7" t="s">
        <v>8542</v>
      </c>
      <c r="G2159" s="8"/>
      <c r="H2159" s="8"/>
      <c r="I2159" s="14">
        <v>10</v>
      </c>
      <c r="J2159" s="14">
        <v>5</v>
      </c>
      <c r="K2159" s="6" t="str">
        <f>HYPERLINK("https://mobile.twitter.com","Twitter Web App")</f>
        <v>Twitter Web App</v>
      </c>
      <c r="L2159" s="15">
        <v>329</v>
      </c>
      <c r="M2159" s="15">
        <v>3</v>
      </c>
      <c r="N2159" s="15">
        <v>9</v>
      </c>
      <c r="O2159" s="9"/>
      <c r="P2159" s="10">
        <v>43664.737025462964</v>
      </c>
      <c r="Q2159" s="8"/>
      <c r="R2159" s="14" t="s">
        <v>8543</v>
      </c>
      <c r="S2159" s="8"/>
      <c r="T2159" s="8"/>
      <c r="U2159" s="11" t="str">
        <f>HYPERLINK("https://pbs.twimg.com/profile_images/1155319953307815936/ekaX8ck7.jpg","View")</f>
        <v>View</v>
      </c>
      <c r="V2159" s="8"/>
      <c r="W2159" s="8"/>
      <c r="X2159" s="8"/>
      <c r="Y2159" s="8"/>
      <c r="Z2159" s="8"/>
    </row>
    <row r="2160" spans="1:26" ht="13.2">
      <c r="A2160" s="13">
        <v>44250.083564814813</v>
      </c>
      <c r="B2160" s="6" t="str">
        <f>HYPERLINK("https://twitter.com/Paula_Piccard","@Paula_Piccard")</f>
        <v>@Paula_Piccard</v>
      </c>
      <c r="C2160" s="14" t="s">
        <v>1116</v>
      </c>
      <c r="D2160" s="14" t="s">
        <v>8544</v>
      </c>
      <c r="E2160" s="6" t="str">
        <f>HYPERLINK("https://twitter.com/Paula_Piccard/status/1364017212651147264","1364017212651147264")</f>
        <v>1364017212651147264</v>
      </c>
      <c r="F2160" s="7" t="s">
        <v>8545</v>
      </c>
      <c r="G2160" s="7" t="s">
        <v>8546</v>
      </c>
      <c r="H2160" s="8"/>
      <c r="I2160" s="14">
        <v>63</v>
      </c>
      <c r="J2160" s="14">
        <v>38</v>
      </c>
      <c r="K2160" s="6" t="str">
        <f>HYPERLINK("https://smarterqueue.com","SmarterQueue")</f>
        <v>SmarterQueue</v>
      </c>
      <c r="L2160" s="15">
        <v>61067</v>
      </c>
      <c r="M2160" s="15">
        <v>9852</v>
      </c>
      <c r="N2160" s="15">
        <v>1284</v>
      </c>
      <c r="O2160" s="9"/>
      <c r="P2160" s="10">
        <v>40665.824629629627</v>
      </c>
      <c r="Q2160" s="14" t="s">
        <v>1120</v>
      </c>
      <c r="R2160" s="14" t="s">
        <v>1121</v>
      </c>
      <c r="S2160" s="7" t="s">
        <v>1122</v>
      </c>
      <c r="T2160" s="8"/>
      <c r="U2160" s="11" t="str">
        <f>HYPERLINK("https://pbs.twimg.com/profile_images/1307804375981621254/KT6ID8H9.png","View")</f>
        <v>View</v>
      </c>
      <c r="V2160" s="8"/>
      <c r="W2160" s="8"/>
      <c r="X2160" s="8"/>
      <c r="Y2160" s="8"/>
      <c r="Z2160" s="8"/>
    </row>
    <row r="2161" spans="1:26" ht="13.2">
      <c r="A2161" s="13">
        <v>44250.083425925928</v>
      </c>
      <c r="B2161" s="6" t="str">
        <f>HYPERLINK("https://twitter.com/AphidFS","@AphidFS")</f>
        <v>@AphidFS</v>
      </c>
      <c r="C2161" s="14" t="s">
        <v>8547</v>
      </c>
      <c r="D2161" s="14" t="s">
        <v>8548</v>
      </c>
      <c r="E2161" s="6" t="str">
        <f>HYPERLINK("https://twitter.com/AphidFS/status/1364017162743123975","1364017162743123975")</f>
        <v>1364017162743123975</v>
      </c>
      <c r="F2161" s="8"/>
      <c r="G2161" s="7" t="s">
        <v>8549</v>
      </c>
      <c r="H2161" s="8"/>
      <c r="I2161" s="14">
        <v>3</v>
      </c>
      <c r="J2161" s="14">
        <v>5</v>
      </c>
      <c r="K2161" s="6" t="str">
        <f>HYPERLINK("https://www.hootsuite.com","Hootsuite Inc.")</f>
        <v>Hootsuite Inc.</v>
      </c>
      <c r="L2161" s="15">
        <v>48339</v>
      </c>
      <c r="M2161" s="15">
        <v>4029</v>
      </c>
      <c r="N2161" s="15">
        <v>67</v>
      </c>
      <c r="O2161" s="9"/>
      <c r="P2161" s="10">
        <v>41519.826944444445</v>
      </c>
      <c r="Q2161" s="14" t="s">
        <v>2386</v>
      </c>
      <c r="R2161" s="14" t="s">
        <v>8550</v>
      </c>
      <c r="S2161" s="7" t="s">
        <v>8551</v>
      </c>
      <c r="T2161" s="8"/>
      <c r="U2161" s="11" t="str">
        <f>HYPERLINK("https://pbs.twimg.com/profile_images/1297295448076517376/WQJqw8ya.jpg","View")</f>
        <v>View</v>
      </c>
      <c r="V2161" s="8"/>
      <c r="W2161" s="8"/>
      <c r="X2161" s="8"/>
      <c r="Y2161" s="8"/>
      <c r="Z2161" s="8"/>
    </row>
    <row r="2162" spans="1:26" ht="13.2">
      <c r="A2162" s="13">
        <v>44250.083391203705</v>
      </c>
      <c r="B2162" s="6" t="str">
        <f>HYPERLINK("https://twitter.com/Radiology_AI","@Radiology_AI")</f>
        <v>@Radiology_AI</v>
      </c>
      <c r="C2162" s="14" t="s">
        <v>2729</v>
      </c>
      <c r="D2162" s="14" t="s">
        <v>8552</v>
      </c>
      <c r="E2162" s="6" t="str">
        <f>HYPERLINK("https://twitter.com/Radiology_AI/status/1364017150629847042","1364017150629847042")</f>
        <v>1364017150629847042</v>
      </c>
      <c r="F2162" s="7" t="s">
        <v>8553</v>
      </c>
      <c r="G2162" s="7" t="s">
        <v>8554</v>
      </c>
      <c r="H2162" s="8"/>
      <c r="I2162" s="14">
        <v>1</v>
      </c>
      <c r="J2162" s="14">
        <v>10</v>
      </c>
      <c r="K2162" s="6" t="str">
        <f>HYPERLINK("https://pubs.rsna.org/journal/ai","Radiology: AI app")</f>
        <v>Radiology: AI app</v>
      </c>
      <c r="L2162" s="15">
        <v>7117</v>
      </c>
      <c r="M2162" s="15">
        <v>18</v>
      </c>
      <c r="N2162" s="15">
        <v>91</v>
      </c>
      <c r="O2162" s="9"/>
      <c r="P2162" s="10">
        <v>43412.634467592594</v>
      </c>
      <c r="Q2162" s="14" t="s">
        <v>2733</v>
      </c>
      <c r="R2162" s="14" t="s">
        <v>2734</v>
      </c>
      <c r="S2162" s="7" t="s">
        <v>2735</v>
      </c>
      <c r="T2162" s="8"/>
      <c r="U2162" s="11" t="str">
        <f>HYPERLINK("https://pbs.twimg.com/profile_images/1088215563233579008/a69L4EZB.jpg","View")</f>
        <v>View</v>
      </c>
      <c r="V2162" s="8"/>
      <c r="W2162" s="8"/>
      <c r="X2162" s="8"/>
      <c r="Y2162" s="8"/>
      <c r="Z2162" s="8"/>
    </row>
    <row r="2163" spans="1:26" ht="13.2">
      <c r="A2163" s="13">
        <v>44250.083368055552</v>
      </c>
      <c r="B2163" s="6" t="str">
        <f>HYPERLINK("https://twitter.com/reddit_ml","@reddit_ml")</f>
        <v>@reddit_ml</v>
      </c>
      <c r="C2163" s="14" t="s">
        <v>2744</v>
      </c>
      <c r="D2163" s="14" t="s">
        <v>8555</v>
      </c>
      <c r="E2163" s="6" t="str">
        <f>HYPERLINK("https://twitter.com/reddit_ml/status/1364017140362321924","1364017140362321924")</f>
        <v>1364017140362321924</v>
      </c>
      <c r="F2163" s="7" t="s">
        <v>8556</v>
      </c>
      <c r="G2163" s="8"/>
      <c r="H2163" s="8"/>
      <c r="I2163" s="14">
        <v>0</v>
      </c>
      <c r="J2163" s="14">
        <v>0</v>
      </c>
      <c r="K2163" s="6" t="str">
        <f>HYPERLINK("https://www.reddit.com/r/MachineLearning/","reddit-ml-bot")</f>
        <v>reddit-ml-bot</v>
      </c>
      <c r="L2163" s="15">
        <v>411</v>
      </c>
      <c r="M2163" s="15">
        <v>93</v>
      </c>
      <c r="N2163" s="15">
        <v>35</v>
      </c>
      <c r="O2163" s="9"/>
      <c r="P2163" s="10">
        <v>42527.844641203701</v>
      </c>
      <c r="Q2163" s="8"/>
      <c r="R2163" s="8"/>
      <c r="S2163" s="7" t="s">
        <v>2746</v>
      </c>
      <c r="T2163" s="8"/>
      <c r="U2163" s="11" t="str">
        <f>HYPERLINK("https://pbs.twimg.com/profile_images/739887457206996992/9NUmKQvu.jpg","View")</f>
        <v>View</v>
      </c>
      <c r="V2163" s="8"/>
      <c r="W2163" s="8"/>
      <c r="X2163" s="8"/>
      <c r="Y2163" s="8"/>
      <c r="Z2163" s="8"/>
    </row>
    <row r="2164" spans="1:26" ht="13.2">
      <c r="A2164" s="13">
        <v>44250.083356481482</v>
      </c>
      <c r="B2164" s="6" t="str">
        <f>HYPERLINK("https://twitter.com/LaForge_AI","@LaForge_AI")</f>
        <v>@LaForge_AI</v>
      </c>
      <c r="C2164" s="14" t="s">
        <v>102</v>
      </c>
      <c r="D2164" s="14" t="s">
        <v>8557</v>
      </c>
      <c r="E2164" s="6" t="str">
        <f>HYPERLINK("https://twitter.com/LaForge_AI/status/1364017138646872067","1364017138646872067")</f>
        <v>1364017138646872067</v>
      </c>
      <c r="F2164" s="7" t="s">
        <v>8558</v>
      </c>
      <c r="G2164" s="7" t="s">
        <v>8559</v>
      </c>
      <c r="H2164" s="8"/>
      <c r="I2164" s="14">
        <v>8</v>
      </c>
      <c r="J2164" s="14">
        <v>5</v>
      </c>
      <c r="K2164" s="6" t="str">
        <f>HYPERLINK("https://www.la-forge.ai","Rss2Twitter for La Forge")</f>
        <v>Rss2Twitter for La Forge</v>
      </c>
      <c r="L2164" s="15">
        <v>9854</v>
      </c>
      <c r="M2164" s="15">
        <v>10507</v>
      </c>
      <c r="N2164" s="15">
        <v>126</v>
      </c>
      <c r="O2164" s="9"/>
      <c r="P2164" s="10">
        <v>43660.755891203706</v>
      </c>
      <c r="Q2164" s="14" t="s">
        <v>106</v>
      </c>
      <c r="R2164" s="14" t="s">
        <v>107</v>
      </c>
      <c r="S2164" s="7" t="s">
        <v>108</v>
      </c>
      <c r="T2164" s="8"/>
      <c r="U2164" s="11" t="str">
        <f>HYPERLINK("https://pbs.twimg.com/profile_images/1261961910020423681/fC-WUmbt.jpg","View")</f>
        <v>View</v>
      </c>
      <c r="V2164" s="8"/>
      <c r="W2164" s="8"/>
      <c r="X2164" s="8"/>
      <c r="Y2164" s="8"/>
      <c r="Z2164" s="8"/>
    </row>
    <row r="2165" spans="1:26" ht="13.2">
      <c r="A2165" s="13">
        <v>44250.082349537042</v>
      </c>
      <c r="B2165" s="6" t="str">
        <f>HYPERLINK("https://twitter.com/Innovat78455398","@Innovat78455398")</f>
        <v>@Innovat78455398</v>
      </c>
      <c r="C2165" s="14" t="s">
        <v>4318</v>
      </c>
      <c r="D2165" s="14" t="s">
        <v>8560</v>
      </c>
      <c r="E2165" s="6" t="str">
        <f>HYPERLINK("https://twitter.com/Innovat78455398/status/1364016773465468930","1364016773465468930")</f>
        <v>1364016773465468930</v>
      </c>
      <c r="F2165" s="7" t="s">
        <v>8561</v>
      </c>
      <c r="G2165" s="7" t="s">
        <v>8562</v>
      </c>
      <c r="H2165" s="8"/>
      <c r="I2165" s="14">
        <v>18</v>
      </c>
      <c r="J2165" s="14">
        <v>6</v>
      </c>
      <c r="K2165" s="6" t="str">
        <f>HYPERLINK("https://mobile.twitter.com","Twitter Web App")</f>
        <v>Twitter Web App</v>
      </c>
      <c r="L2165" s="15">
        <v>101</v>
      </c>
      <c r="M2165" s="15">
        <v>142</v>
      </c>
      <c r="N2165" s="15">
        <v>1</v>
      </c>
      <c r="O2165" s="9"/>
      <c r="P2165" s="10">
        <v>44075.047534722224</v>
      </c>
      <c r="Q2165" s="14" t="s">
        <v>623</v>
      </c>
      <c r="R2165" s="14" t="s">
        <v>4322</v>
      </c>
      <c r="S2165" s="8"/>
      <c r="T2165" s="8"/>
      <c r="U2165" s="11" t="str">
        <f>HYPERLINK("https://pbs.twimg.com/profile_images/1300571380098850818/YjKI8L9l.jpg","View")</f>
        <v>View</v>
      </c>
      <c r="V2165" s="8"/>
      <c r="W2165" s="8"/>
      <c r="X2165" s="8"/>
      <c r="Y2165" s="8"/>
      <c r="Z2165" s="8"/>
    </row>
    <row r="2166" spans="1:26" ht="13.2">
      <c r="A2166" s="13">
        <v>44250.079895833333</v>
      </c>
      <c r="B2166" s="6" t="str">
        <f>HYPERLINK("https://twitter.com/Financedata1","@Financedata1")</f>
        <v>@Financedata1</v>
      </c>
      <c r="C2166" s="14" t="s">
        <v>2215</v>
      </c>
      <c r="D2166" s="14" t="s">
        <v>8563</v>
      </c>
      <c r="E2166" s="6" t="str">
        <f>HYPERLINK("https://twitter.com/Financedata1/status/1364015881555116034","1364015881555116034")</f>
        <v>1364015881555116034</v>
      </c>
      <c r="F2166" s="7" t="s">
        <v>8564</v>
      </c>
      <c r="G2166" s="8"/>
      <c r="H2166" s="8"/>
      <c r="I2166" s="14">
        <v>6</v>
      </c>
      <c r="J2166" s="14">
        <v>0</v>
      </c>
      <c r="K2166" s="6" t="str">
        <f>HYPERLINK("https://dlvrit.com/","dlvr.it")</f>
        <v>dlvr.it</v>
      </c>
      <c r="L2166" s="15">
        <v>1123</v>
      </c>
      <c r="M2166" s="15">
        <v>2408</v>
      </c>
      <c r="N2166" s="15">
        <v>6</v>
      </c>
      <c r="O2166" s="9"/>
      <c r="P2166" s="10">
        <v>44009.041550925926</v>
      </c>
      <c r="Q2166" s="14" t="s">
        <v>1815</v>
      </c>
      <c r="R2166" s="14" t="s">
        <v>2218</v>
      </c>
      <c r="S2166" s="8"/>
      <c r="T2166" s="8"/>
      <c r="U2166" s="11" t="str">
        <f>HYPERLINK("https://pbs.twimg.com/profile_images/1276887152488579072/N1Dr3txg.jpg","View")</f>
        <v>View</v>
      </c>
      <c r="V2166" s="8"/>
      <c r="W2166" s="8"/>
      <c r="X2166" s="8"/>
      <c r="Y2166" s="8"/>
      <c r="Z2166" s="8"/>
    </row>
    <row r="2167" spans="1:26" ht="13.2">
      <c r="A2167" s="13">
        <v>44250.078993055555</v>
      </c>
      <c r="B2167" s="6" t="str">
        <f>HYPERLINK("https://twitter.com/Innovat78455398","@Innovat78455398")</f>
        <v>@Innovat78455398</v>
      </c>
      <c r="C2167" s="14" t="s">
        <v>4318</v>
      </c>
      <c r="D2167" s="14" t="s">
        <v>8565</v>
      </c>
      <c r="E2167" s="6" t="str">
        <f>HYPERLINK("https://twitter.com/Innovat78455398/status/1364015557641523201","1364015557641523201")</f>
        <v>1364015557641523201</v>
      </c>
      <c r="F2167" s="7" t="s">
        <v>8566</v>
      </c>
      <c r="G2167" s="7" t="s">
        <v>8567</v>
      </c>
      <c r="H2167" s="8"/>
      <c r="I2167" s="14">
        <v>19</v>
      </c>
      <c r="J2167" s="14">
        <v>6</v>
      </c>
      <c r="K2167" s="6" t="str">
        <f>HYPERLINK("https://mobile.twitter.com","Twitter Web App")</f>
        <v>Twitter Web App</v>
      </c>
      <c r="L2167" s="15">
        <v>101</v>
      </c>
      <c r="M2167" s="15">
        <v>142</v>
      </c>
      <c r="N2167" s="15">
        <v>1</v>
      </c>
      <c r="O2167" s="9"/>
      <c r="P2167" s="10">
        <v>44075.047534722224</v>
      </c>
      <c r="Q2167" s="14" t="s">
        <v>623</v>
      </c>
      <c r="R2167" s="14" t="s">
        <v>4322</v>
      </c>
      <c r="S2167" s="8"/>
      <c r="T2167" s="8"/>
      <c r="U2167" s="11" t="str">
        <f>HYPERLINK("https://pbs.twimg.com/profile_images/1300571380098850818/YjKI8L9l.jpg","View")</f>
        <v>View</v>
      </c>
      <c r="V2167" s="8"/>
      <c r="W2167" s="8"/>
      <c r="X2167" s="8"/>
      <c r="Y2167" s="8"/>
      <c r="Z2167" s="8"/>
    </row>
    <row r="2168" spans="1:26" ht="13.2">
      <c r="A2168" s="13">
        <v>44250.07811342593</v>
      </c>
      <c r="B2168" s="6" t="str">
        <f>HYPERLINK("https://twitter.com/islanderrobotic","@islanderrobotic")</f>
        <v>@islanderrobotic</v>
      </c>
      <c r="C2168" s="14" t="s">
        <v>8568</v>
      </c>
      <c r="D2168" s="14" t="s">
        <v>8569</v>
      </c>
      <c r="E2168" s="6" t="str">
        <f>HYPERLINK("https://twitter.com/islanderrobotic/status/1364015236618010626","1364015236618010626")</f>
        <v>1364015236618010626</v>
      </c>
      <c r="F2168" s="7" t="s">
        <v>8570</v>
      </c>
      <c r="G2168" s="7" t="s">
        <v>8571</v>
      </c>
      <c r="H2168" s="8"/>
      <c r="I2168" s="14">
        <v>12</v>
      </c>
      <c r="J2168" s="14">
        <v>8</v>
      </c>
      <c r="K2168" s="6" t="str">
        <f>HYPERLINK("http://twitter.com/download/iphone","Twitter for iPhone")</f>
        <v>Twitter for iPhone</v>
      </c>
      <c r="L2168" s="15">
        <v>8</v>
      </c>
      <c r="M2168" s="15">
        <v>24</v>
      </c>
      <c r="N2168" s="15">
        <v>0</v>
      </c>
      <c r="O2168" s="9"/>
      <c r="P2168" s="10">
        <v>44074.709062499998</v>
      </c>
      <c r="Q2168" s="8"/>
      <c r="R2168" s="14" t="s">
        <v>8572</v>
      </c>
      <c r="S2168" s="7" t="s">
        <v>8573</v>
      </c>
      <c r="T2168" s="8"/>
      <c r="U2168" s="11" t="str">
        <f>HYPERLINK("https://pbs.twimg.com/profile_images/1300448607393533953/7ARQS0Od.jpg","View")</f>
        <v>View</v>
      </c>
      <c r="V2168" s="8"/>
      <c r="W2168" s="8"/>
      <c r="X2168" s="8"/>
      <c r="Y2168" s="8"/>
      <c r="Z2168" s="8"/>
    </row>
    <row r="2169" spans="1:26" ht="13.2">
      <c r="A2169" s="13">
        <v>44250.077465277776</v>
      </c>
      <c r="B2169" s="6" t="str">
        <f>HYPERLINK("https://twitter.com/enderton_justin","@enderton_justin")</f>
        <v>@enderton_justin</v>
      </c>
      <c r="C2169" s="14" t="s">
        <v>7768</v>
      </c>
      <c r="D2169" s="14" t="s">
        <v>1369</v>
      </c>
      <c r="E2169" s="6" t="str">
        <f>HYPERLINK("https://twitter.com/enderton_justin/status/1364015004014571521","1364015004014571521")</f>
        <v>1364015004014571521</v>
      </c>
      <c r="F2169" s="14" t="s">
        <v>1370</v>
      </c>
      <c r="G2169" s="8"/>
      <c r="H2169" s="8"/>
      <c r="I2169" s="14">
        <v>0</v>
      </c>
      <c r="J2169" s="14">
        <v>1</v>
      </c>
      <c r="K2169" s="6" t="str">
        <f>HYPERLINK("http://twinybots.com","TwinyBots")</f>
        <v>TwinyBots</v>
      </c>
      <c r="L2169" s="15">
        <v>2265</v>
      </c>
      <c r="M2169" s="15">
        <v>4347</v>
      </c>
      <c r="N2169" s="15">
        <v>11</v>
      </c>
      <c r="O2169" s="9"/>
      <c r="P2169" s="10">
        <v>42257.204351851848</v>
      </c>
      <c r="Q2169" s="14" t="s">
        <v>322</v>
      </c>
      <c r="R2169" s="14" t="s">
        <v>7770</v>
      </c>
      <c r="S2169" s="7" t="s">
        <v>7771</v>
      </c>
      <c r="T2169" s="8"/>
      <c r="U2169" s="11" t="str">
        <f>HYPERLINK("https://pbs.twimg.com/profile_images/820170359970246656/ReYplGDA.jpg","View")</f>
        <v>View</v>
      </c>
      <c r="V2169" s="8"/>
      <c r="W2169" s="8"/>
      <c r="X2169" s="8"/>
      <c r="Y2169" s="8"/>
      <c r="Z2169" s="8"/>
    </row>
    <row r="2170" spans="1:26" ht="13.2">
      <c r="A2170" s="13">
        <v>44250.077013888891</v>
      </c>
      <c r="B2170" s="6" t="str">
        <f>HYPERLINK("https://twitter.com/marycamacho","@marycamacho")</f>
        <v>@marycamacho</v>
      </c>
      <c r="C2170" s="14" t="s">
        <v>8574</v>
      </c>
      <c r="D2170" s="14" t="s">
        <v>8575</v>
      </c>
      <c r="E2170" s="6" t="str">
        <f>HYPERLINK("https://twitter.com/marycamacho/status/1364014837186052097","1364014837186052097")</f>
        <v>1364014837186052097</v>
      </c>
      <c r="F2170" s="14" t="s">
        <v>8576</v>
      </c>
      <c r="G2170" s="8"/>
      <c r="H2170" s="8"/>
      <c r="I2170" s="14">
        <v>7</v>
      </c>
      <c r="J2170" s="14">
        <v>32</v>
      </c>
      <c r="K2170" s="6" t="str">
        <f>HYPERLINK("http://twitter.com/download/android","Twitter for Android")</f>
        <v>Twitter for Android</v>
      </c>
      <c r="L2170" s="15">
        <v>3092</v>
      </c>
      <c r="M2170" s="15">
        <v>680</v>
      </c>
      <c r="N2170" s="15">
        <v>106</v>
      </c>
      <c r="O2170" s="9"/>
      <c r="P2170" s="10">
        <v>39832.745370370372</v>
      </c>
      <c r="Q2170" s="14" t="s">
        <v>8577</v>
      </c>
      <c r="R2170" s="14" t="s">
        <v>8578</v>
      </c>
      <c r="S2170" s="7" t="s">
        <v>8579</v>
      </c>
      <c r="T2170" s="8"/>
      <c r="U2170" s="11" t="str">
        <f>HYPERLINK("https://pbs.twimg.com/profile_images/864500954149695488/4yupqf-q.jpg","View")</f>
        <v>View</v>
      </c>
      <c r="V2170" s="8"/>
      <c r="W2170" s="8"/>
      <c r="X2170" s="8"/>
      <c r="Y2170" s="8"/>
      <c r="Z2170" s="8"/>
    </row>
    <row r="2171" spans="1:26" ht="13.2">
      <c r="A2171" s="13">
        <v>44250.076469907406</v>
      </c>
      <c r="B2171" s="6" t="str">
        <f>HYPERLINK("https://twitter.com/biconnections","@biconnections")</f>
        <v>@biconnections</v>
      </c>
      <c r="C2171" s="14" t="s">
        <v>8580</v>
      </c>
      <c r="D2171" s="14" t="s">
        <v>8581</v>
      </c>
      <c r="E2171" s="6" t="str">
        <f>HYPERLINK("https://twitter.com/biconnections/status/1364014643396694022","1364014643396694022")</f>
        <v>1364014643396694022</v>
      </c>
      <c r="F2171" s="7" t="s">
        <v>8582</v>
      </c>
      <c r="G2171" s="7" t="s">
        <v>8583</v>
      </c>
      <c r="H2171" s="8"/>
      <c r="I2171" s="14">
        <v>0</v>
      </c>
      <c r="J2171" s="14">
        <v>0</v>
      </c>
      <c r="K2171" s="6" t="str">
        <f>HYPERLINK("https://mobile.twitter.com","Twitter Web App")</f>
        <v>Twitter Web App</v>
      </c>
      <c r="L2171" s="15">
        <v>64769</v>
      </c>
      <c r="M2171" s="15">
        <v>53250</v>
      </c>
      <c r="N2171" s="15">
        <v>11963</v>
      </c>
      <c r="O2171" s="9"/>
      <c r="P2171" s="10">
        <v>40970.494305555556</v>
      </c>
      <c r="Q2171" s="14" t="s">
        <v>1079</v>
      </c>
      <c r="R2171" s="14" t="s">
        <v>8584</v>
      </c>
      <c r="S2171" s="7" t="s">
        <v>8585</v>
      </c>
      <c r="T2171" s="8"/>
      <c r="U2171" s="11" t="str">
        <f>HYPERLINK("https://pbs.twimg.com/profile_images/1866862979/50519_388209157862059_947380685_n.jpg","View")</f>
        <v>View</v>
      </c>
      <c r="V2171" s="8"/>
      <c r="W2171" s="8"/>
      <c r="X2171" s="8"/>
      <c r="Y2171" s="8"/>
      <c r="Z2171" s="8"/>
    </row>
    <row r="2172" spans="1:26" ht="13.2">
      <c r="A2172" s="13">
        <v>44250.076423611114</v>
      </c>
      <c r="B2172" s="6" t="str">
        <f>HYPERLINK("https://twitter.com/into_AI","@into_AI")</f>
        <v>@into_AI</v>
      </c>
      <c r="C2172" s="14" t="s">
        <v>2021</v>
      </c>
      <c r="D2172" s="14" t="s">
        <v>8586</v>
      </c>
      <c r="E2172" s="6" t="str">
        <f>HYPERLINK("https://twitter.com/into_AI/status/1364014624111222784","1364014624111222784")</f>
        <v>1364014624111222784</v>
      </c>
      <c r="F2172" s="7" t="s">
        <v>8587</v>
      </c>
      <c r="G2172" s="8"/>
      <c r="H2172" s="8"/>
      <c r="I2172" s="14">
        <v>2</v>
      </c>
      <c r="J2172" s="14">
        <v>1</v>
      </c>
      <c r="K2172" s="6" t="str">
        <f>HYPERLINK("http://into.AI","into.AI")</f>
        <v>into.AI</v>
      </c>
      <c r="L2172" s="15">
        <v>19374</v>
      </c>
      <c r="M2172" s="15">
        <v>1707</v>
      </c>
      <c r="N2172" s="15">
        <v>3164</v>
      </c>
      <c r="O2172" s="9"/>
      <c r="P2172" s="10">
        <v>42133.721620370372</v>
      </c>
      <c r="Q2172" s="14" t="s">
        <v>2024</v>
      </c>
      <c r="R2172" s="14" t="s">
        <v>2025</v>
      </c>
      <c r="S2172" s="7" t="s">
        <v>2026</v>
      </c>
      <c r="T2172" s="8"/>
      <c r="U2172" s="11" t="str">
        <f>HYPERLINK("https://pbs.twimg.com/profile_images/967341160124608512/LM2Y5Q5m.jpg","View")</f>
        <v>View</v>
      </c>
      <c r="V2172" s="8"/>
      <c r="W2172" s="8"/>
      <c r="X2172" s="8"/>
      <c r="Y2172" s="8"/>
      <c r="Z2172" s="8"/>
    </row>
    <row r="2173" spans="1:26" ht="13.2">
      <c r="A2173" s="13">
        <v>44250.073958333334</v>
      </c>
      <c r="B2173" s="6" t="str">
        <f>HYPERLINK("https://twitter.com/rasangarocks","@rasangarocks")</f>
        <v>@rasangarocks</v>
      </c>
      <c r="C2173" s="14" t="s">
        <v>5437</v>
      </c>
      <c r="D2173" s="14" t="s">
        <v>8588</v>
      </c>
      <c r="E2173" s="6" t="str">
        <f>HYPERLINK("https://twitter.com/rasangarocks/status/1364013730166575104","1364013730166575104")</f>
        <v>1364013730166575104</v>
      </c>
      <c r="F2173" s="7" t="s">
        <v>8589</v>
      </c>
      <c r="G2173" s="8"/>
      <c r="H2173" s="8"/>
      <c r="I2173" s="14">
        <v>31</v>
      </c>
      <c r="J2173" s="14">
        <v>9</v>
      </c>
      <c r="K2173" s="6" t="str">
        <f>HYPERLINK("https://mobile.twitter.com","Twitter Web App")</f>
        <v>Twitter Web App</v>
      </c>
      <c r="L2173" s="15">
        <v>50654</v>
      </c>
      <c r="M2173" s="15">
        <v>49987</v>
      </c>
      <c r="N2173" s="15">
        <v>624</v>
      </c>
      <c r="O2173" s="9"/>
      <c r="P2173" s="10">
        <v>42071.75949074074</v>
      </c>
      <c r="Q2173" s="8"/>
      <c r="R2173" s="14" t="s">
        <v>5440</v>
      </c>
      <c r="S2173" s="7" t="s">
        <v>5441</v>
      </c>
      <c r="T2173" s="8"/>
      <c r="U2173" s="11" t="str">
        <f>HYPERLINK("https://pbs.twimg.com/profile_images/771872242300956672/j1H-OInO.jpg","View")</f>
        <v>View</v>
      </c>
      <c r="V2173" s="8"/>
      <c r="W2173" s="8"/>
      <c r="X2173" s="8"/>
      <c r="Y2173" s="8"/>
      <c r="Z2173" s="8"/>
    </row>
    <row r="2174" spans="1:26" ht="13.2">
      <c r="A2174" s="13">
        <v>44250.073773148149</v>
      </c>
      <c r="B2174" s="6" t="str">
        <f>HYPERLINK("https://twitter.com/visitors_i","@visitors_i")</f>
        <v>@visitors_i</v>
      </c>
      <c r="C2174" s="14" t="s">
        <v>8590</v>
      </c>
      <c r="D2174" s="14" t="s">
        <v>8591</v>
      </c>
      <c r="E2174" s="6" t="str">
        <f>HYPERLINK("https://twitter.com/visitors_i/status/1364013666429886469","1364013666429886469")</f>
        <v>1364013666429886469</v>
      </c>
      <c r="F2174" s="8"/>
      <c r="G2174" s="7" t="s">
        <v>8592</v>
      </c>
      <c r="H2174" s="8"/>
      <c r="I2174" s="14">
        <v>2</v>
      </c>
      <c r="J2174" s="14">
        <v>1</v>
      </c>
      <c r="K2174" s="6" t="str">
        <f>HYPERLINK("http://twitter.com/download/android","Twitter for Android")</f>
        <v>Twitter for Android</v>
      </c>
      <c r="L2174" s="15">
        <v>40</v>
      </c>
      <c r="M2174" s="15">
        <v>94</v>
      </c>
      <c r="N2174" s="15">
        <v>2</v>
      </c>
      <c r="O2174" s="9"/>
      <c r="P2174" s="10">
        <v>44073.923831018517</v>
      </c>
      <c r="Q2174" s="8"/>
      <c r="R2174" s="14" t="s">
        <v>8593</v>
      </c>
      <c r="S2174" s="7" t="s">
        <v>8594</v>
      </c>
      <c r="T2174" s="8"/>
      <c r="U2174" s="11" t="str">
        <f>HYPERLINK("https://pbs.twimg.com/profile_images/1360914180061077510/7l8EtQoi.jpg","View")</f>
        <v>View</v>
      </c>
      <c r="V2174" s="8"/>
      <c r="W2174" s="8"/>
      <c r="X2174" s="8"/>
      <c r="Y2174" s="8"/>
      <c r="Z2174" s="8"/>
    </row>
    <row r="2175" spans="1:26" ht="13.2">
      <c r="A2175" s="13">
        <v>44250.073414351849</v>
      </c>
      <c r="B2175" s="6" t="str">
        <f>HYPERLINK("https://twitter.com/ai_summary","@ai_summary")</f>
        <v>@ai_summary</v>
      </c>
      <c r="C2175" s="14" t="s">
        <v>528</v>
      </c>
      <c r="D2175" s="14" t="s">
        <v>8595</v>
      </c>
      <c r="E2175" s="6" t="str">
        <f>HYPERLINK("https://twitter.com/ai_summary/status/1364013533290237956","1364013533290237956")</f>
        <v>1364013533290237956</v>
      </c>
      <c r="F2175" s="7" t="s">
        <v>8596</v>
      </c>
      <c r="G2175" s="8"/>
      <c r="H2175" s="8"/>
      <c r="I2175" s="14">
        <v>3</v>
      </c>
      <c r="J2175" s="14">
        <v>0</v>
      </c>
      <c r="K2175" s="8"/>
      <c r="L2175" s="15">
        <v>47</v>
      </c>
      <c r="M2175" s="15">
        <v>7</v>
      </c>
      <c r="N2175" s="15">
        <v>2</v>
      </c>
      <c r="O2175" s="9"/>
      <c r="P2175" s="10">
        <v>44039.504699074074</v>
      </c>
      <c r="Q2175" s="8"/>
      <c r="R2175" s="14" t="s">
        <v>531</v>
      </c>
      <c r="S2175" s="8"/>
      <c r="T2175" s="8"/>
      <c r="U2175" s="11" t="str">
        <f>HYPERLINK("https://pbs.twimg.com/profile_images/1315240281206382592/-i10o6Yg.jpg","View")</f>
        <v>View</v>
      </c>
      <c r="V2175" s="8"/>
      <c r="W2175" s="8"/>
      <c r="X2175" s="8"/>
      <c r="Y2175" s="8"/>
      <c r="Z2175" s="8"/>
    </row>
    <row r="2176" spans="1:26" ht="13.2">
      <c r="A2176" s="13">
        <v>44250.072962962964</v>
      </c>
      <c r="B2176" s="6" t="str">
        <f>HYPERLINK("https://twitter.com/ipfconline1","@ipfconline1")</f>
        <v>@ipfconline1</v>
      </c>
      <c r="C2176" s="14" t="s">
        <v>65</v>
      </c>
      <c r="D2176" s="14" t="s">
        <v>8597</v>
      </c>
      <c r="E2176" s="6" t="str">
        <f>HYPERLINK("https://twitter.com/ipfconline1/status/1364013372484841475","1364013372484841475")</f>
        <v>1364013372484841475</v>
      </c>
      <c r="F2176" s="7" t="s">
        <v>8598</v>
      </c>
      <c r="G2176" s="7" t="s">
        <v>8599</v>
      </c>
      <c r="H2176" s="8"/>
      <c r="I2176" s="14">
        <v>12</v>
      </c>
      <c r="J2176" s="14">
        <v>13</v>
      </c>
      <c r="K2176" s="6" t="str">
        <f>HYPERLINK("https://twittimer.com","Twittimer")</f>
        <v>Twittimer</v>
      </c>
      <c r="L2176" s="15">
        <v>112675</v>
      </c>
      <c r="M2176" s="15">
        <v>107162</v>
      </c>
      <c r="N2176" s="15">
        <v>7806</v>
      </c>
      <c r="O2176" s="9"/>
      <c r="P2176" s="10">
        <v>42433.031967592593</v>
      </c>
      <c r="Q2176" s="14" t="s">
        <v>69</v>
      </c>
      <c r="R2176" s="14" t="s">
        <v>70</v>
      </c>
      <c r="S2176" s="7" t="s">
        <v>71</v>
      </c>
      <c r="T2176" s="8"/>
      <c r="U2176" s="11" t="str">
        <f>HYPERLINK("https://pbs.twimg.com/profile_images/729065804004769793/St2_Pum9.jpg","View")</f>
        <v>View</v>
      </c>
      <c r="V2176" s="8"/>
      <c r="W2176" s="8"/>
      <c r="X2176" s="8"/>
      <c r="Y2176" s="8"/>
      <c r="Z2176" s="8"/>
    </row>
    <row r="2177" spans="1:26" ht="13.2">
      <c r="A2177" s="13">
        <v>44250.071909722217</v>
      </c>
      <c r="B2177" s="6" t="str">
        <f>HYPERLINK("https://twitter.com/Synced_Global","@Synced_Global")</f>
        <v>@Synced_Global</v>
      </c>
      <c r="C2177" s="14" t="s">
        <v>1339</v>
      </c>
      <c r="D2177" s="14" t="s">
        <v>8600</v>
      </c>
      <c r="E2177" s="6" t="str">
        <f>HYPERLINK("https://twitter.com/Synced_Global/status/1364012989960003584","1364012989960003584")</f>
        <v>1364012989960003584</v>
      </c>
      <c r="F2177" s="7" t="s">
        <v>8601</v>
      </c>
      <c r="G2177" s="8"/>
      <c r="H2177" s="8"/>
      <c r="I2177" s="14">
        <v>0</v>
      </c>
      <c r="J2177" s="14">
        <v>2</v>
      </c>
      <c r="K2177" s="6" t="str">
        <f t="shared" ref="K2177:K2179" si="388">HYPERLINK("https://mobile.twitter.com","Twitter Web App")</f>
        <v>Twitter Web App</v>
      </c>
      <c r="L2177" s="15">
        <v>3608</v>
      </c>
      <c r="M2177" s="15">
        <v>251</v>
      </c>
      <c r="N2177" s="15">
        <v>118</v>
      </c>
      <c r="O2177" s="9"/>
      <c r="P2177" s="10">
        <v>42748.499421296292</v>
      </c>
      <c r="Q2177" s="14" t="s">
        <v>696</v>
      </c>
      <c r="R2177" s="14" t="s">
        <v>1343</v>
      </c>
      <c r="S2177" s="7" t="s">
        <v>1344</v>
      </c>
      <c r="T2177" s="8"/>
      <c r="U2177" s="11" t="str">
        <f>HYPERLINK("https://pbs.twimg.com/profile_images/895029477192851456/7dh0KKva.jpg","View")</f>
        <v>View</v>
      </c>
      <c r="V2177" s="8"/>
      <c r="W2177" s="8"/>
      <c r="X2177" s="8"/>
      <c r="Y2177" s="8"/>
      <c r="Z2177" s="8"/>
    </row>
    <row r="2178" spans="1:26" ht="13.2">
      <c r="A2178" s="13">
        <v>44250.071770833332</v>
      </c>
      <c r="B2178" s="6" t="str">
        <f t="shared" ref="B2178:B2179" si="389">HYPERLINK("https://twitter.com/Innovat78455398","@Innovat78455398")</f>
        <v>@Innovat78455398</v>
      </c>
      <c r="C2178" s="14" t="s">
        <v>4318</v>
      </c>
      <c r="D2178" s="14" t="s">
        <v>8602</v>
      </c>
      <c r="E2178" s="6" t="str">
        <f>HYPERLINK("https://twitter.com/Innovat78455398/status/1364012937355034624","1364012937355034624")</f>
        <v>1364012937355034624</v>
      </c>
      <c r="F2178" s="14" t="s">
        <v>8603</v>
      </c>
      <c r="G2178" s="7" t="s">
        <v>8604</v>
      </c>
      <c r="H2178" s="8"/>
      <c r="I2178" s="14">
        <v>14</v>
      </c>
      <c r="J2178" s="14">
        <v>8</v>
      </c>
      <c r="K2178" s="6" t="str">
        <f t="shared" si="388"/>
        <v>Twitter Web App</v>
      </c>
      <c r="L2178" s="15">
        <v>101</v>
      </c>
      <c r="M2178" s="15">
        <v>142</v>
      </c>
      <c r="N2178" s="15">
        <v>1</v>
      </c>
      <c r="O2178" s="9"/>
      <c r="P2178" s="10">
        <v>44075.047534722224</v>
      </c>
      <c r="Q2178" s="14" t="s">
        <v>623</v>
      </c>
      <c r="R2178" s="14" t="s">
        <v>4322</v>
      </c>
      <c r="S2178" s="8"/>
      <c r="T2178" s="8"/>
      <c r="U2178" s="11" t="str">
        <f t="shared" ref="U2178:U2179" si="390">HYPERLINK("https://pbs.twimg.com/profile_images/1300571380098850818/YjKI8L9l.jpg","View")</f>
        <v>View</v>
      </c>
      <c r="V2178" s="8"/>
      <c r="W2178" s="8"/>
      <c r="X2178" s="8"/>
      <c r="Y2178" s="8"/>
      <c r="Z2178" s="8"/>
    </row>
    <row r="2179" spans="1:26" ht="13.2">
      <c r="A2179" s="13">
        <v>44250.070740740739</v>
      </c>
      <c r="B2179" s="6" t="str">
        <f t="shared" si="389"/>
        <v>@Innovat78455398</v>
      </c>
      <c r="C2179" s="14" t="s">
        <v>4318</v>
      </c>
      <c r="D2179" s="14" t="s">
        <v>8605</v>
      </c>
      <c r="E2179" s="6" t="str">
        <f>HYPERLINK("https://twitter.com/Innovat78455398/status/1364012565710299137","1364012565710299137")</f>
        <v>1364012565710299137</v>
      </c>
      <c r="F2179" s="7" t="s">
        <v>8606</v>
      </c>
      <c r="G2179" s="7" t="s">
        <v>8607</v>
      </c>
      <c r="H2179" s="8"/>
      <c r="I2179" s="14">
        <v>11</v>
      </c>
      <c r="J2179" s="14">
        <v>2</v>
      </c>
      <c r="K2179" s="6" t="str">
        <f t="shared" si="388"/>
        <v>Twitter Web App</v>
      </c>
      <c r="L2179" s="15">
        <v>101</v>
      </c>
      <c r="M2179" s="15">
        <v>142</v>
      </c>
      <c r="N2179" s="15">
        <v>1</v>
      </c>
      <c r="O2179" s="9"/>
      <c r="P2179" s="10">
        <v>44075.047534722224</v>
      </c>
      <c r="Q2179" s="14" t="s">
        <v>623</v>
      </c>
      <c r="R2179" s="14" t="s">
        <v>4322</v>
      </c>
      <c r="S2179" s="8"/>
      <c r="T2179" s="8"/>
      <c r="U2179" s="11" t="str">
        <f t="shared" si="390"/>
        <v>View</v>
      </c>
      <c r="V2179" s="8"/>
      <c r="W2179" s="8"/>
      <c r="X2179" s="8"/>
      <c r="Y2179" s="8"/>
      <c r="Z2179" s="8"/>
    </row>
    <row r="2180" spans="1:26" ht="13.2">
      <c r="A2180" s="13">
        <v>44250.070497685185</v>
      </c>
      <c r="B2180" s="6" t="str">
        <f>HYPERLINK("https://twitter.com/machinelearnflx","@machinelearnflx")</f>
        <v>@machinelearnflx</v>
      </c>
      <c r="C2180" s="14" t="s">
        <v>279</v>
      </c>
      <c r="D2180" s="14" t="s">
        <v>8608</v>
      </c>
      <c r="E2180" s="6" t="str">
        <f>HYPERLINK("https://twitter.com/machinelearnflx/status/1364012478951260161","1364012478951260161")</f>
        <v>1364012478951260161</v>
      </c>
      <c r="F2180" s="7" t="s">
        <v>8609</v>
      </c>
      <c r="G2180" s="8"/>
      <c r="H2180" s="8"/>
      <c r="I2180" s="14">
        <v>6</v>
      </c>
      <c r="J2180" s="14">
        <v>7</v>
      </c>
      <c r="K2180" s="6" t="str">
        <f>HYPERLINK("https://twitter.com/pythonbot_","Postmatico")</f>
        <v>Postmatico</v>
      </c>
      <c r="L2180" s="15">
        <v>90451</v>
      </c>
      <c r="M2180" s="15">
        <v>35464</v>
      </c>
      <c r="N2180" s="15">
        <v>2228</v>
      </c>
      <c r="O2180" s="9"/>
      <c r="P2180" s="10">
        <v>42386.538865740746</v>
      </c>
      <c r="Q2180" s="8"/>
      <c r="R2180" s="14" t="s">
        <v>282</v>
      </c>
      <c r="S2180" s="7" t="s">
        <v>283</v>
      </c>
      <c r="T2180" s="8"/>
      <c r="U2180" s="11" t="str">
        <f>HYPERLINK("https://pbs.twimg.com/profile_images/688735459892195329/v8sHaWSG.jpg","View")</f>
        <v>View</v>
      </c>
      <c r="V2180" s="8"/>
      <c r="W2180" s="8"/>
      <c r="X2180" s="8"/>
      <c r="Y2180" s="8"/>
      <c r="Z2180" s="8"/>
    </row>
    <row r="2181" spans="1:26" ht="13.2">
      <c r="A2181" s="13">
        <v>44250.069895833338</v>
      </c>
      <c r="B2181" s="6" t="str">
        <f t="shared" ref="B2181:B2182" si="391">HYPERLINK("https://twitter.com/Innovat78455398","@Innovat78455398")</f>
        <v>@Innovat78455398</v>
      </c>
      <c r="C2181" s="14" t="s">
        <v>4318</v>
      </c>
      <c r="D2181" s="14" t="s">
        <v>8610</v>
      </c>
      <c r="E2181" s="6" t="str">
        <f>HYPERLINK("https://twitter.com/Innovat78455398/status/1364012259605843968","1364012259605843968")</f>
        <v>1364012259605843968</v>
      </c>
      <c r="F2181" s="7" t="s">
        <v>8611</v>
      </c>
      <c r="G2181" s="7" t="s">
        <v>8612</v>
      </c>
      <c r="H2181" s="8"/>
      <c r="I2181" s="14">
        <v>13</v>
      </c>
      <c r="J2181" s="14">
        <v>6</v>
      </c>
      <c r="K2181" s="6" t="str">
        <f t="shared" ref="K2181:K2182" si="392">HYPERLINK("https://mobile.twitter.com","Twitter Web App")</f>
        <v>Twitter Web App</v>
      </c>
      <c r="L2181" s="15">
        <v>101</v>
      </c>
      <c r="M2181" s="15">
        <v>142</v>
      </c>
      <c r="N2181" s="15">
        <v>1</v>
      </c>
      <c r="O2181" s="9"/>
      <c r="P2181" s="10">
        <v>44075.047534722224</v>
      </c>
      <c r="Q2181" s="14" t="s">
        <v>623</v>
      </c>
      <c r="R2181" s="14" t="s">
        <v>4322</v>
      </c>
      <c r="S2181" s="8"/>
      <c r="T2181" s="8"/>
      <c r="U2181" s="11" t="str">
        <f t="shared" ref="U2181:U2182" si="393">HYPERLINK("https://pbs.twimg.com/profile_images/1300571380098850818/YjKI8L9l.jpg","View")</f>
        <v>View</v>
      </c>
      <c r="V2181" s="8"/>
      <c r="W2181" s="8"/>
      <c r="X2181" s="8"/>
      <c r="Y2181" s="8"/>
      <c r="Z2181" s="8"/>
    </row>
    <row r="2182" spans="1:26" ht="13.2">
      <c r="A2182" s="13">
        <v>44250.068761574075</v>
      </c>
      <c r="B2182" s="6" t="str">
        <f t="shared" si="391"/>
        <v>@Innovat78455398</v>
      </c>
      <c r="C2182" s="14" t="s">
        <v>4318</v>
      </c>
      <c r="D2182" s="14" t="s">
        <v>8613</v>
      </c>
      <c r="E2182" s="6" t="str">
        <f>HYPERLINK("https://twitter.com/Innovat78455398/status/1364011849126006784","1364011849126006784")</f>
        <v>1364011849126006784</v>
      </c>
      <c r="F2182" s="7" t="s">
        <v>8614</v>
      </c>
      <c r="G2182" s="7" t="s">
        <v>8615</v>
      </c>
      <c r="H2182" s="8"/>
      <c r="I2182" s="14">
        <v>18</v>
      </c>
      <c r="J2182" s="14">
        <v>9</v>
      </c>
      <c r="K2182" s="6" t="str">
        <f t="shared" si="392"/>
        <v>Twitter Web App</v>
      </c>
      <c r="L2182" s="15">
        <v>101</v>
      </c>
      <c r="M2182" s="15">
        <v>142</v>
      </c>
      <c r="N2182" s="15">
        <v>1</v>
      </c>
      <c r="O2182" s="9"/>
      <c r="P2182" s="10">
        <v>44075.047534722224</v>
      </c>
      <c r="Q2182" s="14" t="s">
        <v>623</v>
      </c>
      <c r="R2182" s="14" t="s">
        <v>4322</v>
      </c>
      <c r="S2182" s="8"/>
      <c r="T2182" s="8"/>
      <c r="U2182" s="11" t="str">
        <f t="shared" si="393"/>
        <v>View</v>
      </c>
      <c r="V2182" s="8"/>
      <c r="W2182" s="8"/>
      <c r="X2182" s="8"/>
      <c r="Y2182" s="8"/>
      <c r="Z2182" s="8"/>
    </row>
    <row r="2183" spans="1:26" ht="13.2">
      <c r="A2183" s="13">
        <v>44250.066875000004</v>
      </c>
      <c r="B2183" s="6" t="str">
        <f>HYPERLINK("https://twitter.com/amcsolutions","@amcsolutions")</f>
        <v>@amcsolutions</v>
      </c>
      <c r="C2183" s="14" t="s">
        <v>8616</v>
      </c>
      <c r="D2183" s="14" t="s">
        <v>8617</v>
      </c>
      <c r="E2183" s="6" t="str">
        <f>HYPERLINK("https://twitter.com/amcsolutions/status/1364011165123112961","1364011165123112961")</f>
        <v>1364011165123112961</v>
      </c>
      <c r="F2183" s="7" t="s">
        <v>8618</v>
      </c>
      <c r="G2183" s="8"/>
      <c r="H2183" s="8"/>
      <c r="I2183" s="14">
        <v>0</v>
      </c>
      <c r="J2183" s="14">
        <v>1</v>
      </c>
      <c r="K2183" s="6" t="str">
        <f>HYPERLINK("https://www.contentmx.com","ContentMX")</f>
        <v>ContentMX</v>
      </c>
      <c r="L2183" s="15">
        <v>697</v>
      </c>
      <c r="M2183" s="15">
        <v>1062</v>
      </c>
      <c r="N2183" s="15">
        <v>7</v>
      </c>
      <c r="O2183" s="9"/>
      <c r="P2183" s="10">
        <v>39925.357766203706</v>
      </c>
      <c r="Q2183" s="14" t="s">
        <v>8619</v>
      </c>
      <c r="R2183" s="14" t="s">
        <v>8620</v>
      </c>
      <c r="S2183" s="7" t="s">
        <v>8621</v>
      </c>
      <c r="T2183" s="8"/>
      <c r="U2183" s="11" t="str">
        <f>HYPERLINK("https://pbs.twimg.com/profile_images/1152999275304898560/-XipkD6f.jpg","View")</f>
        <v>View</v>
      </c>
      <c r="V2183" s="8"/>
      <c r="W2183" s="8"/>
      <c r="X2183" s="8"/>
      <c r="Y2183" s="8"/>
      <c r="Z2183" s="8"/>
    </row>
    <row r="2184" spans="1:26" ht="13.2">
      <c r="A2184" s="13">
        <v>44250.066018518519</v>
      </c>
      <c r="B2184" s="6" t="str">
        <f>HYPERLINK("https://twitter.com/AI_PlainEnglish","@AI_PlainEnglish")</f>
        <v>@AI_PlainEnglish</v>
      </c>
      <c r="C2184" s="14" t="s">
        <v>2282</v>
      </c>
      <c r="D2184" s="14" t="s">
        <v>8622</v>
      </c>
      <c r="E2184" s="6" t="str">
        <f>HYPERLINK("https://twitter.com/AI_PlainEnglish/status/1364010852723130371","1364010852723130371")</f>
        <v>1364010852723130371</v>
      </c>
      <c r="F2184" s="7" t="s">
        <v>8623</v>
      </c>
      <c r="G2184" s="8"/>
      <c r="H2184" s="8"/>
      <c r="I2184" s="14">
        <v>0</v>
      </c>
      <c r="J2184" s="14">
        <v>0</v>
      </c>
      <c r="K2184" s="8"/>
      <c r="L2184" s="15">
        <v>32</v>
      </c>
      <c r="M2184" s="15">
        <v>5</v>
      </c>
      <c r="N2184" s="15">
        <v>0</v>
      </c>
      <c r="O2184" s="9"/>
      <c r="P2184" s="10">
        <v>44206.451215277775</v>
      </c>
      <c r="Q2184" s="14" t="s">
        <v>2285</v>
      </c>
      <c r="R2184" s="14" t="s">
        <v>2286</v>
      </c>
      <c r="S2184" s="7" t="s">
        <v>2287</v>
      </c>
      <c r="T2184" s="8"/>
      <c r="U2184" s="11" t="str">
        <f>HYPERLINK("https://pbs.twimg.com/profile_images/1359444764098260999/C6-rgvq0.jpg","View")</f>
        <v>View</v>
      </c>
      <c r="V2184" s="8"/>
      <c r="W2184" s="8"/>
      <c r="X2184" s="8"/>
      <c r="Y2184" s="8"/>
      <c r="Z2184" s="8"/>
    </row>
    <row r="2185" spans="1:26" ht="13.2">
      <c r="A2185" s="13">
        <v>44250.065995370373</v>
      </c>
      <c r="B2185" s="6" t="str">
        <f>HYPERLINK("https://twitter.com/UCBerkeleySPH","@UCBerkeleySPH")</f>
        <v>@UCBerkeleySPH</v>
      </c>
      <c r="C2185" s="14" t="s">
        <v>8624</v>
      </c>
      <c r="D2185" s="14" t="s">
        <v>8625</v>
      </c>
      <c r="E2185" s="6" t="str">
        <f>HYPERLINK("https://twitter.com/UCBerkeleySPH/status/1364010846641393664","1364010846641393664")</f>
        <v>1364010846641393664</v>
      </c>
      <c r="F2185" s="7" t="s">
        <v>8626</v>
      </c>
      <c r="G2185" s="7" t="s">
        <v>8627</v>
      </c>
      <c r="H2185" s="8"/>
      <c r="I2185" s="14">
        <v>2</v>
      </c>
      <c r="J2185" s="14">
        <v>0</v>
      </c>
      <c r="K2185" s="6" t="str">
        <f t="shared" ref="K2185:K2186" si="394">HYPERLINK("https://www.hootsuite.com","Hootsuite Inc.")</f>
        <v>Hootsuite Inc.</v>
      </c>
      <c r="L2185" s="15">
        <v>4920</v>
      </c>
      <c r="M2185" s="15">
        <v>434</v>
      </c>
      <c r="N2185" s="15">
        <v>165</v>
      </c>
      <c r="O2185" s="9"/>
      <c r="P2185" s="10">
        <v>41432.930590277778</v>
      </c>
      <c r="Q2185" s="14" t="s">
        <v>8628</v>
      </c>
      <c r="R2185" s="14" t="s">
        <v>8629</v>
      </c>
      <c r="S2185" s="7" t="s">
        <v>8630</v>
      </c>
      <c r="T2185" s="8"/>
      <c r="U2185" s="11" t="str">
        <f>HYPERLINK("https://pbs.twimg.com/profile_images/1185262546053300224/V2kGQePH.jpg","View")</f>
        <v>View</v>
      </c>
      <c r="V2185" s="8"/>
      <c r="W2185" s="8"/>
      <c r="X2185" s="8"/>
      <c r="Y2185" s="8"/>
      <c r="Z2185" s="8"/>
    </row>
    <row r="2186" spans="1:26" ht="13.2">
      <c r="A2186" s="13">
        <v>44250.065995370373</v>
      </c>
      <c r="B2186" s="6" t="str">
        <f>HYPERLINK("https://twitter.com/BerkeleyMPH","@BerkeleyMPH")</f>
        <v>@BerkeleyMPH</v>
      </c>
      <c r="C2186" s="14" t="s">
        <v>8631</v>
      </c>
      <c r="D2186" s="14" t="s">
        <v>8625</v>
      </c>
      <c r="E2186" s="6" t="str">
        <f>HYPERLINK("https://twitter.com/BerkeleyMPH/status/1364010844204503041","1364010844204503041")</f>
        <v>1364010844204503041</v>
      </c>
      <c r="F2186" s="7" t="s">
        <v>8632</v>
      </c>
      <c r="G2186" s="8"/>
      <c r="H2186" s="8"/>
      <c r="I2186" s="14">
        <v>0</v>
      </c>
      <c r="J2186" s="14">
        <v>0</v>
      </c>
      <c r="K2186" s="6" t="str">
        <f t="shared" si="394"/>
        <v>Hootsuite Inc.</v>
      </c>
      <c r="L2186" s="15">
        <v>458</v>
      </c>
      <c r="M2186" s="15">
        <v>1031</v>
      </c>
      <c r="N2186" s="15">
        <v>6</v>
      </c>
      <c r="O2186" s="9"/>
      <c r="P2186" s="10">
        <v>42362.018541666665</v>
      </c>
      <c r="Q2186" s="14" t="s">
        <v>8628</v>
      </c>
      <c r="R2186" s="14" t="s">
        <v>8633</v>
      </c>
      <c r="S2186" s="7" t="s">
        <v>8634</v>
      </c>
      <c r="T2186" s="8"/>
      <c r="U2186" s="11" t="str">
        <f>HYPERLINK("https://pbs.twimg.com/profile_images/893564535948296192/JVoF03nG.jpg","View")</f>
        <v>View</v>
      </c>
      <c r="V2186" s="8"/>
      <c r="W2186" s="8"/>
      <c r="X2186" s="8"/>
      <c r="Y2186" s="8"/>
      <c r="Z2186" s="8"/>
    </row>
    <row r="2187" spans="1:26" ht="13.2">
      <c r="A2187" s="13">
        <v>44250.065520833334</v>
      </c>
      <c r="B2187" s="6" t="str">
        <f>HYPERLINK("https://twitter.com/Adem67139146","@Adem67139146")</f>
        <v>@Adem67139146</v>
      </c>
      <c r="C2187" s="14" t="s">
        <v>8635</v>
      </c>
      <c r="D2187" s="14" t="s">
        <v>5638</v>
      </c>
      <c r="E2187" s="6" t="str">
        <f>HYPERLINK("https://twitter.com/Adem67139146/status/1364010676017004547","1364010676017004547")</f>
        <v>1364010676017004547</v>
      </c>
      <c r="F2187" s="7" t="s">
        <v>8636</v>
      </c>
      <c r="G2187" s="7" t="s">
        <v>8637</v>
      </c>
      <c r="H2187" s="8"/>
      <c r="I2187" s="14">
        <v>0</v>
      </c>
      <c r="J2187" s="14">
        <v>0</v>
      </c>
      <c r="K2187" s="6" t="str">
        <f>HYPERLINK("http://dynamicsignal.com/","Dynamic Signal")</f>
        <v>Dynamic Signal</v>
      </c>
      <c r="L2187" s="15">
        <v>0</v>
      </c>
      <c r="M2187" s="15">
        <v>0</v>
      </c>
      <c r="N2187" s="15">
        <v>0</v>
      </c>
      <c r="O2187" s="9"/>
      <c r="P2187" s="10">
        <v>44073.521562499998</v>
      </c>
      <c r="Q2187" s="8"/>
      <c r="R2187" s="14" t="s">
        <v>8638</v>
      </c>
      <c r="S2187" s="8"/>
      <c r="T2187" s="8"/>
      <c r="U2187" s="11" t="str">
        <f>HYPERLINK("https://pbs.twimg.com/profile_images/1300018405425250307/oDRTQ1sd.jpg","View")</f>
        <v>View</v>
      </c>
      <c r="V2187" s="8"/>
      <c r="W2187" s="8"/>
      <c r="X2187" s="8"/>
      <c r="Y2187" s="8"/>
      <c r="Z2187" s="8"/>
    </row>
    <row r="2188" spans="1:26" ht="13.2">
      <c r="A2188" s="13">
        <v>44250.065300925926</v>
      </c>
      <c r="B2188" s="6" t="str">
        <f>HYPERLINK("https://twitter.com/techjunkiejh","@techjunkiejh")</f>
        <v>@techjunkiejh</v>
      </c>
      <c r="C2188" s="14" t="s">
        <v>1945</v>
      </c>
      <c r="D2188" s="14" t="s">
        <v>8639</v>
      </c>
      <c r="E2188" s="6" t="str">
        <f>HYPERLINK("https://twitter.com/techjunkiejh/status/1364010596086263808","1364010596086263808")</f>
        <v>1364010596086263808</v>
      </c>
      <c r="F2188" s="7" t="s">
        <v>8640</v>
      </c>
      <c r="G2188" s="7" t="s">
        <v>8641</v>
      </c>
      <c r="H2188" s="8"/>
      <c r="I2188" s="14">
        <v>7</v>
      </c>
      <c r="J2188" s="14">
        <v>2</v>
      </c>
      <c r="K2188" s="6" t="str">
        <f>HYPERLINK("https://buffer.com","Buffer")</f>
        <v>Buffer</v>
      </c>
      <c r="L2188" s="15">
        <v>28541</v>
      </c>
      <c r="M2188" s="15">
        <v>22044</v>
      </c>
      <c r="N2188" s="15">
        <v>6147</v>
      </c>
      <c r="O2188" s="9"/>
      <c r="P2188" s="10">
        <v>42062.082199074073</v>
      </c>
      <c r="Q2188" s="8"/>
      <c r="R2188" s="14" t="s">
        <v>1949</v>
      </c>
      <c r="S2188" s="7" t="s">
        <v>1950</v>
      </c>
      <c r="T2188" s="8"/>
      <c r="U2188" s="11" t="str">
        <f>HYPERLINK("https://pbs.twimg.com/profile_images/587160065536299009/9MBFPj6a.png","View")</f>
        <v>View</v>
      </c>
      <c r="V2188" s="8"/>
      <c r="W2188" s="8"/>
      <c r="X2188" s="8"/>
      <c r="Y2188" s="8"/>
      <c r="Z2188" s="8"/>
    </row>
    <row r="2189" spans="1:26" ht="13.2">
      <c r="A2189" s="13">
        <v>44250.062743055554</v>
      </c>
      <c r="B2189" s="6" t="str">
        <f>HYPERLINK("https://twitter.com/AustraliaAi","@AustraliaAi")</f>
        <v>@AustraliaAi</v>
      </c>
      <c r="C2189" s="14" t="s">
        <v>1962</v>
      </c>
      <c r="D2189" s="14" t="s">
        <v>8642</v>
      </c>
      <c r="E2189" s="6" t="str">
        <f>HYPERLINK("https://twitter.com/AustraliaAi/status/1364009667555450885","1364009667555450885")</f>
        <v>1364009667555450885</v>
      </c>
      <c r="F2189" s="7" t="s">
        <v>8643</v>
      </c>
      <c r="G2189" s="7" t="s">
        <v>8644</v>
      </c>
      <c r="H2189" s="8"/>
      <c r="I2189" s="14">
        <v>0</v>
      </c>
      <c r="J2189" s="14">
        <v>1</v>
      </c>
      <c r="K2189" s="6" t="str">
        <f>HYPERLINK("https://app.sendible.com","Sendible")</f>
        <v>Sendible</v>
      </c>
      <c r="L2189" s="15">
        <v>372</v>
      </c>
      <c r="M2189" s="15">
        <v>156</v>
      </c>
      <c r="N2189" s="15">
        <v>15</v>
      </c>
      <c r="O2189" s="9"/>
      <c r="P2189" s="10">
        <v>43238.426400462966</v>
      </c>
      <c r="Q2189" s="14" t="s">
        <v>1965</v>
      </c>
      <c r="R2189" s="14" t="s">
        <v>1966</v>
      </c>
      <c r="S2189" s="7" t="s">
        <v>1967</v>
      </c>
      <c r="T2189" s="8"/>
      <c r="U2189" s="11" t="str">
        <f>HYPERLINK("https://pbs.twimg.com/profile_images/997395542169694208/C8IypA30.jpg","View")</f>
        <v>View</v>
      </c>
      <c r="V2189" s="8"/>
      <c r="W2189" s="8"/>
      <c r="X2189" s="8"/>
      <c r="Y2189" s="8"/>
      <c r="Z2189" s="8"/>
    </row>
    <row r="2190" spans="1:26" ht="13.2">
      <c r="A2190" s="13">
        <v>44250.062534722223</v>
      </c>
      <c r="B2190" s="6" t="str">
        <f>HYPERLINK("https://twitter.com/bobehayes","@bobehayes")</f>
        <v>@bobehayes</v>
      </c>
      <c r="C2190" s="14" t="s">
        <v>8645</v>
      </c>
      <c r="D2190" s="14" t="s">
        <v>8646</v>
      </c>
      <c r="E2190" s="6" t="str">
        <f>HYPERLINK("https://twitter.com/bobehayes/status/1364009591084883970","1364009591084883970")</f>
        <v>1364009591084883970</v>
      </c>
      <c r="F2190" s="7" t="s">
        <v>8647</v>
      </c>
      <c r="G2190" s="8"/>
      <c r="H2190" s="8"/>
      <c r="I2190" s="14">
        <v>2</v>
      </c>
      <c r="J2190" s="14">
        <v>2</v>
      </c>
      <c r="K2190" s="6" t="str">
        <f>HYPERLINK("https://buffer.com","Buffer")</f>
        <v>Buffer</v>
      </c>
      <c r="L2190" s="15">
        <v>45597</v>
      </c>
      <c r="M2190" s="15">
        <v>754</v>
      </c>
      <c r="N2190" s="15">
        <v>2922</v>
      </c>
      <c r="O2190" s="9"/>
      <c r="P2190" s="10">
        <v>39857.246574074074</v>
      </c>
      <c r="Q2190" s="14" t="s">
        <v>8092</v>
      </c>
      <c r="R2190" s="14" t="s">
        <v>8648</v>
      </c>
      <c r="S2190" s="7" t="s">
        <v>8649</v>
      </c>
      <c r="T2190" s="8"/>
      <c r="U2190" s="11" t="str">
        <f>HYPERLINK("https://pbs.twimg.com/profile_images/1252709413401452545/60imMuqZ.jpg","View")</f>
        <v>View</v>
      </c>
      <c r="V2190" s="8"/>
      <c r="W2190" s="8"/>
      <c r="X2190" s="8"/>
      <c r="Y2190" s="8"/>
      <c r="Z2190" s="8"/>
    </row>
    <row r="2191" spans="1:26" ht="13.2">
      <c r="A2191" s="13">
        <v>44250.06251157407</v>
      </c>
      <c r="B2191" s="6" t="str">
        <f>HYPERLINK("https://twitter.com/LaForge_AI","@LaForge_AI")</f>
        <v>@LaForge_AI</v>
      </c>
      <c r="C2191" s="14" t="s">
        <v>102</v>
      </c>
      <c r="D2191" s="14" t="s">
        <v>8650</v>
      </c>
      <c r="E2191" s="6" t="str">
        <f>HYPERLINK("https://twitter.com/LaForge_AI/status/1364009582318780419","1364009582318780419")</f>
        <v>1364009582318780419</v>
      </c>
      <c r="F2191" s="7" t="s">
        <v>8651</v>
      </c>
      <c r="G2191" s="7" t="s">
        <v>8652</v>
      </c>
      <c r="H2191" s="8"/>
      <c r="I2191" s="14">
        <v>6</v>
      </c>
      <c r="J2191" s="14">
        <v>0</v>
      </c>
      <c r="K2191" s="6" t="str">
        <f>HYPERLINK("https://www.la-forge.ai","Rss2Twitter for La Forge")</f>
        <v>Rss2Twitter for La Forge</v>
      </c>
      <c r="L2191" s="15">
        <v>9854</v>
      </c>
      <c r="M2191" s="15">
        <v>10507</v>
      </c>
      <c r="N2191" s="15">
        <v>126</v>
      </c>
      <c r="O2191" s="9"/>
      <c r="P2191" s="10">
        <v>43660.755891203706</v>
      </c>
      <c r="Q2191" s="14" t="s">
        <v>106</v>
      </c>
      <c r="R2191" s="14" t="s">
        <v>107</v>
      </c>
      <c r="S2191" s="7" t="s">
        <v>108</v>
      </c>
      <c r="T2191" s="8"/>
      <c r="U2191" s="11" t="str">
        <f>HYPERLINK("https://pbs.twimg.com/profile_images/1261961910020423681/fC-WUmbt.jpg","View")</f>
        <v>View</v>
      </c>
      <c r="V2191" s="8"/>
      <c r="W2191" s="8"/>
      <c r="X2191" s="8"/>
      <c r="Y2191" s="8"/>
      <c r="Z2191" s="8"/>
    </row>
    <row r="2192" spans="1:26" ht="13.2">
      <c r="A2192" s="13">
        <v>44250.0625</v>
      </c>
      <c r="B2192" s="6" t="str">
        <f>HYPERLINK("https://twitter.com/yywwy3","@yywwy3")</f>
        <v>@yywwy3</v>
      </c>
      <c r="C2192" s="14" t="s">
        <v>3899</v>
      </c>
      <c r="D2192" s="14" t="s">
        <v>8653</v>
      </c>
      <c r="E2192" s="6" t="str">
        <f>HYPERLINK("https://twitter.com/yywwy3/status/1364009579831509003","1364009579831509003")</f>
        <v>1364009579831509003</v>
      </c>
      <c r="F2192" s="8"/>
      <c r="G2192" s="7" t="s">
        <v>8338</v>
      </c>
      <c r="H2192" s="8"/>
      <c r="I2192" s="14">
        <v>38</v>
      </c>
      <c r="J2192" s="14">
        <v>18</v>
      </c>
      <c r="K2192" s="6" t="str">
        <f>HYPERLINK("https://mobile.twitter.com","Twitter Web App")</f>
        <v>Twitter Web App</v>
      </c>
      <c r="L2192" s="15">
        <v>1168</v>
      </c>
      <c r="M2192" s="15">
        <v>1444</v>
      </c>
      <c r="N2192" s="15">
        <v>4</v>
      </c>
      <c r="O2192" s="9"/>
      <c r="P2192" s="10">
        <v>44127.356435185182</v>
      </c>
      <c r="Q2192" s="14" t="s">
        <v>2501</v>
      </c>
      <c r="R2192" s="14" t="s">
        <v>3902</v>
      </c>
      <c r="S2192" s="8"/>
      <c r="T2192" s="8"/>
      <c r="U2192" s="11" t="str">
        <f>HYPERLINK("https://pbs.twimg.com/profile_images/1319539085661200384/VSgFxaju.jpg","View")</f>
        <v>View</v>
      </c>
      <c r="V2192" s="8"/>
      <c r="W2192" s="8"/>
      <c r="X2192" s="8"/>
      <c r="Y2192" s="8"/>
      <c r="Z2192" s="8"/>
    </row>
    <row r="2193" spans="1:26" ht="13.2">
      <c r="A2193" s="13">
        <v>44250.061828703707</v>
      </c>
      <c r="B2193" s="6" t="str">
        <f>HYPERLINK("https://twitter.com/danieluriol","@danieluriol")</f>
        <v>@danieluriol</v>
      </c>
      <c r="C2193" s="14" t="s">
        <v>517</v>
      </c>
      <c r="D2193" s="14" t="s">
        <v>8654</v>
      </c>
      <c r="E2193" s="6" t="str">
        <f>HYPERLINK("https://twitter.com/danieluriol/status/1364009337920892929","1364009337920892929")</f>
        <v>1364009337920892929</v>
      </c>
      <c r="F2193" s="7" t="s">
        <v>8655</v>
      </c>
      <c r="G2193" s="7" t="s">
        <v>8656</v>
      </c>
      <c r="H2193" s="8"/>
      <c r="I2193" s="14">
        <v>4</v>
      </c>
      <c r="J2193" s="14">
        <v>2</v>
      </c>
      <c r="K2193" s="6" t="str">
        <f>HYPERLINK("https://buffer.com","Buffer")</f>
        <v>Buffer</v>
      </c>
      <c r="L2193" s="15">
        <v>3441</v>
      </c>
      <c r="M2193" s="15">
        <v>455</v>
      </c>
      <c r="N2193" s="15">
        <v>8</v>
      </c>
      <c r="O2193" s="9"/>
      <c r="P2193" s="10">
        <v>39707.014618055553</v>
      </c>
      <c r="Q2193" s="8"/>
      <c r="R2193" s="14" t="s">
        <v>521</v>
      </c>
      <c r="S2193" s="7" t="s">
        <v>522</v>
      </c>
      <c r="T2193" s="8"/>
      <c r="U2193" s="11" t="str">
        <f>HYPERLINK("https://pbs.twimg.com/profile_images/1284935813604814848/mVDJVdEi.jpg","View")</f>
        <v>View</v>
      </c>
      <c r="V2193" s="8"/>
      <c r="W2193" s="8"/>
      <c r="X2193" s="8"/>
      <c r="Y2193" s="8"/>
      <c r="Z2193" s="8"/>
    </row>
    <row r="2194" spans="1:26" ht="13.2">
      <c r="A2194" s="13">
        <v>44250.060914351852</v>
      </c>
      <c r="B2194" s="6" t="str">
        <f>HYPERLINK("https://twitter.com/threatwatchinc","@threatwatchinc")</f>
        <v>@threatwatchinc</v>
      </c>
      <c r="C2194" s="7" t="s">
        <v>8657</v>
      </c>
      <c r="D2194" s="14" t="s">
        <v>8658</v>
      </c>
      <c r="E2194" s="6" t="str">
        <f>HYPERLINK("https://twitter.com/threatwatchinc/status/1364009003731222530","1364009003731222530")</f>
        <v>1364009003731222530</v>
      </c>
      <c r="F2194" s="7" t="s">
        <v>8659</v>
      </c>
      <c r="G2194" s="8"/>
      <c r="H2194" s="8"/>
      <c r="I2194" s="14">
        <v>1</v>
      </c>
      <c r="J2194" s="14">
        <v>1</v>
      </c>
      <c r="K2194" s="6" t="str">
        <f>HYPERLINK("https://mobile.twitter.com","Twitter Web App")</f>
        <v>Twitter Web App</v>
      </c>
      <c r="L2194" s="15">
        <v>288</v>
      </c>
      <c r="M2194" s="15">
        <v>231</v>
      </c>
      <c r="N2194" s="15">
        <v>4</v>
      </c>
      <c r="O2194" s="9"/>
      <c r="P2194" s="10">
        <v>42513.154780092591</v>
      </c>
      <c r="Q2194" s="8"/>
      <c r="R2194" s="14" t="s">
        <v>8660</v>
      </c>
      <c r="S2194" s="7" t="s">
        <v>8661</v>
      </c>
      <c r="T2194" s="8"/>
      <c r="U2194" s="11" t="str">
        <f>HYPERLINK("https://pbs.twimg.com/profile_images/1029226556755824640/_GzMTbiF.jpg","View")</f>
        <v>View</v>
      </c>
      <c r="V2194" s="8"/>
      <c r="W2194" s="8"/>
      <c r="X2194" s="8"/>
      <c r="Y2194" s="8"/>
      <c r="Z2194" s="8"/>
    </row>
    <row r="2195" spans="1:26" ht="13.2">
      <c r="A2195" s="13">
        <v>44250.060439814813</v>
      </c>
      <c r="B2195" s="6" t="str">
        <f>HYPERLINK("https://twitter.com/Lance_Edelman","@Lance_Edelman")</f>
        <v>@Lance_Edelman</v>
      </c>
      <c r="C2195" s="14" t="s">
        <v>8662</v>
      </c>
      <c r="D2195" s="14" t="s">
        <v>8663</v>
      </c>
      <c r="E2195" s="6" t="str">
        <f>HYPERLINK("https://twitter.com/Lance_Edelman/status/1364008833920757764","1364008833920757764")</f>
        <v>1364008833920757764</v>
      </c>
      <c r="F2195" s="7" t="s">
        <v>8664</v>
      </c>
      <c r="G2195" s="7" t="s">
        <v>8665</v>
      </c>
      <c r="H2195" s="8"/>
      <c r="I2195" s="14">
        <v>2</v>
      </c>
      <c r="J2195" s="14">
        <v>1</v>
      </c>
      <c r="K2195" s="6" t="str">
        <f>HYPERLINK("https://buffer.com","Buffer")</f>
        <v>Buffer</v>
      </c>
      <c r="L2195" s="15">
        <v>2470</v>
      </c>
      <c r="M2195" s="15">
        <v>1688</v>
      </c>
      <c r="N2195" s="15">
        <v>1575</v>
      </c>
      <c r="O2195" s="9"/>
      <c r="P2195" s="10">
        <v>41891.965115740742</v>
      </c>
      <c r="Q2195" s="14" t="s">
        <v>3487</v>
      </c>
      <c r="R2195" s="14" t="s">
        <v>8666</v>
      </c>
      <c r="S2195" s="7" t="s">
        <v>8667</v>
      </c>
      <c r="T2195" s="8"/>
      <c r="U2195" s="11" t="str">
        <f>HYPERLINK("https://pbs.twimg.com/profile_images/509451923850674176/zlr0xIJo.jpeg","View")</f>
        <v>View</v>
      </c>
      <c r="V2195" s="8"/>
      <c r="W2195" s="8"/>
      <c r="X2195" s="8"/>
      <c r="Y2195" s="8"/>
      <c r="Z2195" s="8"/>
    </row>
    <row r="2196" spans="1:26" ht="13.2">
      <c r="A2196" s="13">
        <v>44250.059988425928</v>
      </c>
      <c r="B2196" s="6" t="str">
        <f>HYPERLINK("https://twitter.com/hudson_chatbots","@hudson_chatbots")</f>
        <v>@hudson_chatbots</v>
      </c>
      <c r="C2196" s="14" t="s">
        <v>8668</v>
      </c>
      <c r="D2196" s="14" t="s">
        <v>8669</v>
      </c>
      <c r="E2196" s="6" t="str">
        <f>HYPERLINK("https://twitter.com/hudson_chatbots/status/1364008668350545924","1364008668350545924")</f>
        <v>1364008668350545924</v>
      </c>
      <c r="F2196" s="7" t="s">
        <v>8670</v>
      </c>
      <c r="G2196" s="7" t="s">
        <v>8671</v>
      </c>
      <c r="H2196" s="8"/>
      <c r="I2196" s="14">
        <v>2</v>
      </c>
      <c r="J2196" s="14">
        <v>1</v>
      </c>
      <c r="K2196" s="6" t="str">
        <f>HYPERLINK("https://mobile.twitter.com","Twitter Web App")</f>
        <v>Twitter Web App</v>
      </c>
      <c r="L2196" s="15">
        <v>15508</v>
      </c>
      <c r="M2196" s="15">
        <v>7921</v>
      </c>
      <c r="N2196" s="15">
        <v>130</v>
      </c>
      <c r="O2196" s="9"/>
      <c r="P2196" s="10">
        <v>43174.230173611111</v>
      </c>
      <c r="Q2196" s="14" t="s">
        <v>8672</v>
      </c>
      <c r="R2196" s="14" t="s">
        <v>8673</v>
      </c>
      <c r="S2196" s="7" t="s">
        <v>8674</v>
      </c>
      <c r="T2196" s="8"/>
      <c r="U2196" s="11" t="str">
        <f>HYPERLINK("https://pbs.twimg.com/profile_images/987840487762616321/BYdtt0Ol.jpg","View")</f>
        <v>View</v>
      </c>
      <c r="V2196" s="8"/>
      <c r="W2196" s="8"/>
      <c r="X2196" s="8"/>
      <c r="Y2196" s="8"/>
      <c r="Z2196" s="8"/>
    </row>
    <row r="2197" spans="1:26" ht="13.2">
      <c r="A2197" s="13">
        <v>44250.05978009259</v>
      </c>
      <c r="B2197" s="6" t="str">
        <f>HYPERLINK("https://twitter.com/milocamj","@milocamj")</f>
        <v>@milocamj</v>
      </c>
      <c r="C2197" s="14" t="s">
        <v>1805</v>
      </c>
      <c r="D2197" s="14" t="s">
        <v>8675</v>
      </c>
      <c r="E2197" s="6" t="str">
        <f>HYPERLINK("https://twitter.com/milocamj/status/1364008592186036225","1364008592186036225")</f>
        <v>1364008592186036225</v>
      </c>
      <c r="F2197" s="14" t="s">
        <v>8676</v>
      </c>
      <c r="G2197" s="7" t="s">
        <v>8677</v>
      </c>
      <c r="H2197" s="8"/>
      <c r="I2197" s="14">
        <v>2</v>
      </c>
      <c r="J2197" s="14">
        <v>0</v>
      </c>
      <c r="K2197" s="6" t="str">
        <f>HYPERLINK("https://dlvrit.com/","dlvr.it")</f>
        <v>dlvr.it</v>
      </c>
      <c r="L2197" s="15">
        <v>2595</v>
      </c>
      <c r="M2197" s="15">
        <v>48</v>
      </c>
      <c r="N2197" s="15">
        <v>1282</v>
      </c>
      <c r="O2197" s="9"/>
      <c r="P2197" s="10">
        <v>39904.699837962966</v>
      </c>
      <c r="Q2197" s="14" t="s">
        <v>1809</v>
      </c>
      <c r="R2197" s="14" t="s">
        <v>1810</v>
      </c>
      <c r="S2197" s="7" t="s">
        <v>1811</v>
      </c>
      <c r="T2197" s="8"/>
      <c r="U2197" s="11" t="str">
        <f>HYPERLINK("https://pbs.twimg.com/profile_images/1108578778018709505/56I0aOhL.jpg","View")</f>
        <v>View</v>
      </c>
      <c r="V2197" s="8"/>
      <c r="W2197" s="8"/>
      <c r="X2197" s="8"/>
      <c r="Y2197" s="8"/>
      <c r="Z2197" s="8"/>
    </row>
    <row r="2198" spans="1:26" ht="13.2">
      <c r="A2198" s="13">
        <v>44250.056840277779</v>
      </c>
      <c r="B2198" s="6" t="str">
        <f>HYPERLINK("https://twitter.com/opsmatters_uk","@opsmatters_uk")</f>
        <v>@opsmatters_uk</v>
      </c>
      <c r="C2198" s="14" t="s">
        <v>8678</v>
      </c>
      <c r="D2198" s="14" t="s">
        <v>8679</v>
      </c>
      <c r="E2198" s="6" t="str">
        <f>HYPERLINK("https://twitter.com/opsmatters_uk/status/1364007529425104896","1364007529425104896")</f>
        <v>1364007529425104896</v>
      </c>
      <c r="F2198" s="7" t="s">
        <v>8680</v>
      </c>
      <c r="G2198" s="8"/>
      <c r="H2198" s="8"/>
      <c r="I2198" s="14">
        <v>2</v>
      </c>
      <c r="J2198" s="14">
        <v>0</v>
      </c>
      <c r="K2198" s="6" t="str">
        <f>HYPERLINK("http://publisher.opsmatters.com/","opsmatters-publisher")</f>
        <v>opsmatters-publisher</v>
      </c>
      <c r="L2198" s="15">
        <v>2020</v>
      </c>
      <c r="M2198" s="15">
        <v>2009</v>
      </c>
      <c r="N2198" s="15">
        <v>30</v>
      </c>
      <c r="O2198" s="9"/>
      <c r="P2198" s="10">
        <v>43171.641805555555</v>
      </c>
      <c r="Q2198" s="14" t="s">
        <v>599</v>
      </c>
      <c r="R2198" s="14" t="s">
        <v>8681</v>
      </c>
      <c r="S2198" s="7" t="s">
        <v>8682</v>
      </c>
      <c r="T2198" s="8"/>
      <c r="U2198" s="11" t="str">
        <f>HYPERLINK("https://pbs.twimg.com/profile_images/1048608411313741824/FRWltd91.jpg","View")</f>
        <v>View</v>
      </c>
      <c r="V2198" s="8"/>
      <c r="W2198" s="8"/>
      <c r="X2198" s="8"/>
      <c r="Y2198" s="8"/>
      <c r="Z2198" s="8"/>
    </row>
    <row r="2199" spans="1:26" ht="13.2">
      <c r="A2199" s="13">
        <v>44250.055810185186</v>
      </c>
      <c r="B2199" s="6" t="str">
        <f>HYPERLINK("https://twitter.com/machinelearnflx","@machinelearnflx")</f>
        <v>@machinelearnflx</v>
      </c>
      <c r="C2199" s="14" t="s">
        <v>279</v>
      </c>
      <c r="D2199" s="14" t="s">
        <v>3160</v>
      </c>
      <c r="E2199" s="6" t="str">
        <f>HYPERLINK("https://twitter.com/machinelearnflx/status/1364007155590979585","1364007155590979585")</f>
        <v>1364007155590979585</v>
      </c>
      <c r="F2199" s="7" t="s">
        <v>3161</v>
      </c>
      <c r="G2199" s="8"/>
      <c r="H2199" s="8"/>
      <c r="I2199" s="14">
        <v>3</v>
      </c>
      <c r="J2199" s="14">
        <v>5</v>
      </c>
      <c r="K2199" s="6" t="str">
        <f>HYPERLINK("https://twitter.com/pythonbot_","Postmatico")</f>
        <v>Postmatico</v>
      </c>
      <c r="L2199" s="15">
        <v>90451</v>
      </c>
      <c r="M2199" s="15">
        <v>35464</v>
      </c>
      <c r="N2199" s="15">
        <v>2228</v>
      </c>
      <c r="O2199" s="9"/>
      <c r="P2199" s="10">
        <v>42386.538865740746</v>
      </c>
      <c r="Q2199" s="8"/>
      <c r="R2199" s="14" t="s">
        <v>282</v>
      </c>
      <c r="S2199" s="7" t="s">
        <v>283</v>
      </c>
      <c r="T2199" s="8"/>
      <c r="U2199" s="11" t="str">
        <f>HYPERLINK("https://pbs.twimg.com/profile_images/688735459892195329/v8sHaWSG.jpg","View")</f>
        <v>View</v>
      </c>
      <c r="V2199" s="8"/>
      <c r="W2199" s="8"/>
      <c r="X2199" s="8"/>
      <c r="Y2199" s="8"/>
      <c r="Z2199" s="8"/>
    </row>
    <row r="2200" spans="1:26" ht="13.2">
      <c r="A2200" s="13">
        <v>44250.055671296301</v>
      </c>
      <c r="B2200" s="6" t="str">
        <f>HYPERLINK("https://twitter.com/SureshRukman","@SureshRukman")</f>
        <v>@SureshRukman</v>
      </c>
      <c r="C2200" s="14" t="s">
        <v>3313</v>
      </c>
      <c r="D2200" s="14" t="s">
        <v>7904</v>
      </c>
      <c r="E2200" s="6" t="str">
        <f>HYPERLINK("https://twitter.com/SureshRukman/status/1364007104986644481","1364007104986644481")</f>
        <v>1364007104986644481</v>
      </c>
      <c r="F2200" s="14" t="s">
        <v>7905</v>
      </c>
      <c r="G2200" s="8"/>
      <c r="H2200" s="8"/>
      <c r="I2200" s="14">
        <v>2</v>
      </c>
      <c r="J2200" s="14">
        <v>1</v>
      </c>
      <c r="K2200" s="6" t="str">
        <f>HYPERLINK("http://twinybots.com","TwinyBots")</f>
        <v>TwinyBots</v>
      </c>
      <c r="L2200" s="15">
        <v>2176</v>
      </c>
      <c r="M2200" s="15">
        <v>2281</v>
      </c>
      <c r="N2200" s="15">
        <v>293</v>
      </c>
      <c r="O2200" s="9"/>
      <c r="P2200" s="10">
        <v>41359.54041666667</v>
      </c>
      <c r="Q2200" s="14" t="s">
        <v>2551</v>
      </c>
      <c r="R2200" s="14" t="s">
        <v>3314</v>
      </c>
      <c r="S2200" s="7" t="s">
        <v>2553</v>
      </c>
      <c r="T2200" s="8"/>
      <c r="U2200" s="11" t="str">
        <f>HYPERLINK("https://pbs.twimg.com/profile_images/1038762339368087554/JICJ5viP.jpg","View")</f>
        <v>View</v>
      </c>
      <c r="V2200" s="8"/>
      <c r="W2200" s="8"/>
      <c r="X2200" s="8"/>
      <c r="Y2200" s="8"/>
      <c r="Z2200" s="8"/>
    </row>
    <row r="2201" spans="1:26" ht="13.2">
      <c r="A2201" s="13">
        <v>44250.055613425924</v>
      </c>
      <c r="B2201" s="6" t="str">
        <f>HYPERLINK("https://twitter.com/TesseractAcade1","@TesseractAcade1")</f>
        <v>@TesseractAcade1</v>
      </c>
      <c r="C2201" s="14" t="s">
        <v>750</v>
      </c>
      <c r="D2201" s="14" t="s">
        <v>7281</v>
      </c>
      <c r="E2201" s="6" t="str">
        <f>HYPERLINK("https://twitter.com/TesseractAcade1/status/1364007085399281673","1364007085399281673")</f>
        <v>1364007085399281673</v>
      </c>
      <c r="F2201" s="7" t="s">
        <v>7282</v>
      </c>
      <c r="G2201" s="8"/>
      <c r="H2201" s="8"/>
      <c r="I2201" s="14">
        <v>2</v>
      </c>
      <c r="J2201" s="14">
        <v>0</v>
      </c>
      <c r="K2201" s="6" t="str">
        <f>HYPERLINK("https://crowdfireapp.com","Crowdfire App")</f>
        <v>Crowdfire App</v>
      </c>
      <c r="L2201" s="15">
        <v>678</v>
      </c>
      <c r="M2201" s="15">
        <v>796</v>
      </c>
      <c r="N2201" s="15">
        <v>14</v>
      </c>
      <c r="O2201" s="9"/>
      <c r="P2201" s="10">
        <v>43371.73810185185</v>
      </c>
      <c r="Q2201" s="14" t="s">
        <v>753</v>
      </c>
      <c r="R2201" s="14" t="s">
        <v>754</v>
      </c>
      <c r="S2201" s="7" t="s">
        <v>755</v>
      </c>
      <c r="T2201" s="8"/>
      <c r="U2201" s="11" t="str">
        <f>HYPERLINK("https://pbs.twimg.com/profile_images/1045702404187066368/KvYhTAxM.jpg","View")</f>
        <v>View</v>
      </c>
      <c r="V2201" s="8"/>
      <c r="W2201" s="8"/>
      <c r="X2201" s="8"/>
      <c r="Y2201" s="8"/>
      <c r="Z2201" s="8"/>
    </row>
    <row r="2202" spans="1:26" ht="13.2">
      <c r="A2202" s="13">
        <v>44250.054895833338</v>
      </c>
      <c r="B2202" s="6" t="str">
        <f>HYPERLINK("https://twitter.com/ds_vault","@ds_vault")</f>
        <v>@ds_vault</v>
      </c>
      <c r="C2202" s="14" t="s">
        <v>6603</v>
      </c>
      <c r="D2202" s="14" t="s">
        <v>8683</v>
      </c>
      <c r="E2202" s="6" t="str">
        <f>HYPERLINK("https://twitter.com/ds_vault/status/1364006821963436032","1364006821963436032")</f>
        <v>1364006821963436032</v>
      </c>
      <c r="F2202" s="7" t="s">
        <v>8684</v>
      </c>
      <c r="G2202" s="8"/>
      <c r="H2202" s="8"/>
      <c r="I2202" s="14">
        <v>9</v>
      </c>
      <c r="J2202" s="14">
        <v>0</v>
      </c>
      <c r="K2202" s="6" t="str">
        <f>HYPERLINK("https://datasciencevault.com/","Data Science Vault")</f>
        <v>Data Science Vault</v>
      </c>
      <c r="L2202" s="15">
        <v>266</v>
      </c>
      <c r="M2202" s="15">
        <v>2</v>
      </c>
      <c r="N2202" s="15">
        <v>5</v>
      </c>
      <c r="O2202" s="9"/>
      <c r="P2202" s="10">
        <v>43286.570069444446</v>
      </c>
      <c r="Q2202" s="8"/>
      <c r="R2202" s="14" t="s">
        <v>6605</v>
      </c>
      <c r="S2202" s="7" t="s">
        <v>6606</v>
      </c>
      <c r="T2202" s="8"/>
      <c r="U2202" s="11" t="str">
        <f>HYPERLINK("https://pbs.twimg.com/profile_images/1017392978338467842/sXrppUVY.jpg","View")</f>
        <v>View</v>
      </c>
      <c r="V2202" s="8"/>
      <c r="W2202" s="8"/>
      <c r="X2202" s="8"/>
      <c r="Y2202" s="8"/>
      <c r="Z2202" s="8"/>
    </row>
    <row r="2203" spans="1:26" ht="13.2">
      <c r="A2203" s="13">
        <v>44250.054791666669</v>
      </c>
      <c r="B2203" s="6" t="str">
        <f>HYPERLINK("https://twitter.com/StatsSolver","@StatsSolver")</f>
        <v>@StatsSolver</v>
      </c>
      <c r="C2203" s="14" t="s">
        <v>8685</v>
      </c>
      <c r="D2203" s="14" t="s">
        <v>8686</v>
      </c>
      <c r="E2203" s="6" t="str">
        <f>HYPERLINK("https://twitter.com/StatsSolver/status/1364006788186603526","1364006788186603526")</f>
        <v>1364006788186603526</v>
      </c>
      <c r="F2203" s="8"/>
      <c r="G2203" s="7" t="s">
        <v>8687</v>
      </c>
      <c r="H2203" s="8"/>
      <c r="I2203" s="14">
        <v>4</v>
      </c>
      <c r="J2203" s="14">
        <v>1</v>
      </c>
      <c r="K2203" s="6" t="str">
        <f>HYPERLINK("http://twitter.com/download/iphone","Twitter for iPhone")</f>
        <v>Twitter for iPhone</v>
      </c>
      <c r="L2203" s="15">
        <v>23</v>
      </c>
      <c r="M2203" s="15">
        <v>26</v>
      </c>
      <c r="N2203" s="15">
        <v>0</v>
      </c>
      <c r="O2203" s="9"/>
      <c r="P2203" s="10">
        <v>44001.437719907408</v>
      </c>
      <c r="Q2203" s="8"/>
      <c r="R2203" s="14" t="s">
        <v>8688</v>
      </c>
      <c r="S2203" s="7" t="s">
        <v>8689</v>
      </c>
      <c r="T2203" s="8"/>
      <c r="U2203" s="11" t="str">
        <f>HYPERLINK("https://pbs.twimg.com/profile_images/1276223836590145549/264XkHQs.jpg","View")</f>
        <v>View</v>
      </c>
      <c r="V2203" s="8"/>
      <c r="W2203" s="8"/>
      <c r="X2203" s="8"/>
      <c r="Y2203" s="8"/>
      <c r="Z2203" s="8"/>
    </row>
    <row r="2204" spans="1:26" ht="13.2">
      <c r="A2204" s="13">
        <v>44250.0543287037</v>
      </c>
      <c r="B2204" s="6" t="str">
        <f>HYPERLINK("https://twitter.com/redspotseopro","@redspotseopro")</f>
        <v>@redspotseopro</v>
      </c>
      <c r="C2204" s="14" t="s">
        <v>8690</v>
      </c>
      <c r="D2204" s="14" t="s">
        <v>8691</v>
      </c>
      <c r="E2204" s="6" t="str">
        <f>HYPERLINK("https://twitter.com/redspotseopro/status/1364006618107633666","1364006618107633666")</f>
        <v>1364006618107633666</v>
      </c>
      <c r="F2204" s="14" t="s">
        <v>8692</v>
      </c>
      <c r="G2204" s="8"/>
      <c r="H2204" s="8"/>
      <c r="I2204" s="14">
        <v>4</v>
      </c>
      <c r="J2204" s="14">
        <v>0</v>
      </c>
      <c r="K2204" s="6" t="str">
        <f t="shared" ref="K2204:K2208" si="395">HYPERLINK("https://mobile.twitter.com","Twitter Web App")</f>
        <v>Twitter Web App</v>
      </c>
      <c r="L2204" s="15">
        <v>321</v>
      </c>
      <c r="M2204" s="15">
        <v>640</v>
      </c>
      <c r="N2204" s="15">
        <v>91</v>
      </c>
      <c r="O2204" s="9"/>
      <c r="P2204" s="10">
        <v>42383.850520833337</v>
      </c>
      <c r="Q2204" s="14" t="s">
        <v>907</v>
      </c>
      <c r="R2204" s="14" t="s">
        <v>8693</v>
      </c>
      <c r="S2204" s="7" t="s">
        <v>8694</v>
      </c>
      <c r="T2204" s="8"/>
      <c r="U2204" s="11" t="str">
        <f>HYPERLINK("https://pbs.twimg.com/profile_images/718237028773703684/kT_jEo4s.jpg","View")</f>
        <v>View</v>
      </c>
      <c r="V2204" s="8"/>
      <c r="W2204" s="8"/>
      <c r="X2204" s="8"/>
      <c r="Y2204" s="8"/>
      <c r="Z2204" s="8"/>
    </row>
    <row r="2205" spans="1:26" ht="13.2">
      <c r="A2205" s="13">
        <v>44250.053749999999</v>
      </c>
      <c r="B2205" s="6" t="str">
        <f t="shared" ref="B2205:B2208" si="396">HYPERLINK("https://twitter.com/Innovat78455398","@Innovat78455398")</f>
        <v>@Innovat78455398</v>
      </c>
      <c r="C2205" s="14" t="s">
        <v>4318</v>
      </c>
      <c r="D2205" s="14" t="s">
        <v>8695</v>
      </c>
      <c r="E2205" s="6" t="str">
        <f>HYPERLINK("https://twitter.com/Innovat78455398/status/1364006409579335680","1364006409579335680")</f>
        <v>1364006409579335680</v>
      </c>
      <c r="F2205" s="7" t="s">
        <v>8696</v>
      </c>
      <c r="G2205" s="7" t="s">
        <v>8697</v>
      </c>
      <c r="H2205" s="8"/>
      <c r="I2205" s="14">
        <v>24</v>
      </c>
      <c r="J2205" s="14">
        <v>8</v>
      </c>
      <c r="K2205" s="6" t="str">
        <f t="shared" si="395"/>
        <v>Twitter Web App</v>
      </c>
      <c r="L2205" s="15">
        <v>101</v>
      </c>
      <c r="M2205" s="15">
        <v>142</v>
      </c>
      <c r="N2205" s="15">
        <v>1</v>
      </c>
      <c r="O2205" s="9"/>
      <c r="P2205" s="10">
        <v>44075.047534722224</v>
      </c>
      <c r="Q2205" s="14" t="s">
        <v>623</v>
      </c>
      <c r="R2205" s="14" t="s">
        <v>4322</v>
      </c>
      <c r="S2205" s="8"/>
      <c r="T2205" s="8"/>
      <c r="U2205" s="11" t="str">
        <f t="shared" ref="U2205:U2208" si="397">HYPERLINK("https://pbs.twimg.com/profile_images/1300571380098850818/YjKI8L9l.jpg","View")</f>
        <v>View</v>
      </c>
      <c r="V2205" s="8"/>
      <c r="W2205" s="8"/>
      <c r="X2205" s="8"/>
      <c r="Y2205" s="8"/>
      <c r="Z2205" s="8"/>
    </row>
    <row r="2206" spans="1:26" ht="13.2">
      <c r="A2206" s="13">
        <v>44250.052951388891</v>
      </c>
      <c r="B2206" s="6" t="str">
        <f t="shared" si="396"/>
        <v>@Innovat78455398</v>
      </c>
      <c r="C2206" s="14" t="s">
        <v>4318</v>
      </c>
      <c r="D2206" s="14" t="s">
        <v>8698</v>
      </c>
      <c r="E2206" s="6" t="str">
        <f>HYPERLINK("https://twitter.com/Innovat78455398/status/1364006117886488580","1364006117886488580")</f>
        <v>1364006117886488580</v>
      </c>
      <c r="F2206" s="7" t="s">
        <v>8699</v>
      </c>
      <c r="G2206" s="7" t="s">
        <v>8700</v>
      </c>
      <c r="H2206" s="8"/>
      <c r="I2206" s="14">
        <v>33</v>
      </c>
      <c r="J2206" s="14">
        <v>20</v>
      </c>
      <c r="K2206" s="6" t="str">
        <f t="shared" si="395"/>
        <v>Twitter Web App</v>
      </c>
      <c r="L2206" s="15">
        <v>101</v>
      </c>
      <c r="M2206" s="15">
        <v>142</v>
      </c>
      <c r="N2206" s="15">
        <v>1</v>
      </c>
      <c r="O2206" s="9"/>
      <c r="P2206" s="10">
        <v>44075.047534722224</v>
      </c>
      <c r="Q2206" s="14" t="s">
        <v>623</v>
      </c>
      <c r="R2206" s="14" t="s">
        <v>4322</v>
      </c>
      <c r="S2206" s="8"/>
      <c r="T2206" s="8"/>
      <c r="U2206" s="11" t="str">
        <f t="shared" si="397"/>
        <v>View</v>
      </c>
      <c r="V2206" s="8"/>
      <c r="W2206" s="8"/>
      <c r="X2206" s="8"/>
      <c r="Y2206" s="8"/>
      <c r="Z2206" s="8"/>
    </row>
    <row r="2207" spans="1:26" ht="13.2">
      <c r="A2207" s="13">
        <v>44250.052256944444</v>
      </c>
      <c r="B2207" s="6" t="str">
        <f t="shared" si="396"/>
        <v>@Innovat78455398</v>
      </c>
      <c r="C2207" s="14" t="s">
        <v>4318</v>
      </c>
      <c r="D2207" s="14" t="s">
        <v>8701</v>
      </c>
      <c r="E2207" s="6" t="str">
        <f>HYPERLINK("https://twitter.com/Innovat78455398/status/1364005866412761089","1364005866412761089")</f>
        <v>1364005866412761089</v>
      </c>
      <c r="F2207" s="7" t="s">
        <v>8702</v>
      </c>
      <c r="G2207" s="7" t="s">
        <v>8703</v>
      </c>
      <c r="H2207" s="8"/>
      <c r="I2207" s="14">
        <v>23</v>
      </c>
      <c r="J2207" s="14">
        <v>13</v>
      </c>
      <c r="K2207" s="6" t="str">
        <f t="shared" si="395"/>
        <v>Twitter Web App</v>
      </c>
      <c r="L2207" s="15">
        <v>101</v>
      </c>
      <c r="M2207" s="15">
        <v>142</v>
      </c>
      <c r="N2207" s="15">
        <v>1</v>
      </c>
      <c r="O2207" s="9"/>
      <c r="P2207" s="10">
        <v>44075.047534722224</v>
      </c>
      <c r="Q2207" s="14" t="s">
        <v>623</v>
      </c>
      <c r="R2207" s="14" t="s">
        <v>4322</v>
      </c>
      <c r="S2207" s="8"/>
      <c r="T2207" s="8"/>
      <c r="U2207" s="11" t="str">
        <f t="shared" si="397"/>
        <v>View</v>
      </c>
      <c r="V2207" s="8"/>
      <c r="W2207" s="8"/>
      <c r="X2207" s="8"/>
      <c r="Y2207" s="8"/>
      <c r="Z2207" s="8"/>
    </row>
    <row r="2208" spans="1:26" ht="13.2">
      <c r="A2208" s="13">
        <v>44250.051388888889</v>
      </c>
      <c r="B2208" s="6" t="str">
        <f t="shared" si="396"/>
        <v>@Innovat78455398</v>
      </c>
      <c r="C2208" s="14" t="s">
        <v>4318</v>
      </c>
      <c r="D2208" s="14" t="s">
        <v>8704</v>
      </c>
      <c r="E2208" s="6" t="str">
        <f>HYPERLINK("https://twitter.com/Innovat78455398/status/1364005552066416645","1364005552066416645")</f>
        <v>1364005552066416645</v>
      </c>
      <c r="F2208" s="7" t="s">
        <v>8705</v>
      </c>
      <c r="G2208" s="7" t="s">
        <v>8706</v>
      </c>
      <c r="H2208" s="8"/>
      <c r="I2208" s="14">
        <v>9</v>
      </c>
      <c r="J2208" s="14">
        <v>3</v>
      </c>
      <c r="K2208" s="6" t="str">
        <f t="shared" si="395"/>
        <v>Twitter Web App</v>
      </c>
      <c r="L2208" s="15">
        <v>101</v>
      </c>
      <c r="M2208" s="15">
        <v>142</v>
      </c>
      <c r="N2208" s="15">
        <v>1</v>
      </c>
      <c r="O2208" s="9"/>
      <c r="P2208" s="10">
        <v>44075.047534722224</v>
      </c>
      <c r="Q2208" s="14" t="s">
        <v>623</v>
      </c>
      <c r="R2208" s="14" t="s">
        <v>4322</v>
      </c>
      <c r="S2208" s="8"/>
      <c r="T2208" s="8"/>
      <c r="U2208" s="11" t="str">
        <f t="shared" si="397"/>
        <v>View</v>
      </c>
      <c r="V2208" s="8"/>
      <c r="W2208" s="8"/>
      <c r="X2208" s="8"/>
      <c r="Y2208" s="8"/>
      <c r="Z2208" s="8"/>
    </row>
    <row r="2209" spans="1:26" ht="13.2">
      <c r="A2209" s="13">
        <v>44250.051365740743</v>
      </c>
      <c r="B2209" s="6" t="str">
        <f>HYPERLINK("https://twitter.com/NicoleSte","@NicoleSte")</f>
        <v>@NicoleSte</v>
      </c>
      <c r="C2209" s="14" t="s">
        <v>8707</v>
      </c>
      <c r="D2209" s="14" t="s">
        <v>8708</v>
      </c>
      <c r="E2209" s="6" t="str">
        <f>HYPERLINK("https://twitter.com/NicoleSte/status/1364005544885841921","1364005544885841921")</f>
        <v>1364005544885841921</v>
      </c>
      <c r="F2209" s="7" t="s">
        <v>8709</v>
      </c>
      <c r="G2209" s="7" t="s">
        <v>8710</v>
      </c>
      <c r="H2209" s="8"/>
      <c r="I2209" s="14">
        <v>3</v>
      </c>
      <c r="J2209" s="14">
        <v>0</v>
      </c>
      <c r="K2209" s="6" t="str">
        <f>HYPERLINK("http://dynamicsignal.com/","Dynamic Signal")</f>
        <v>Dynamic Signal</v>
      </c>
      <c r="L2209" s="15">
        <v>235</v>
      </c>
      <c r="M2209" s="15">
        <v>452</v>
      </c>
      <c r="N2209" s="15">
        <v>3</v>
      </c>
      <c r="O2209" s="9"/>
      <c r="P2209" s="10">
        <v>39883.576261574075</v>
      </c>
      <c r="Q2209" s="14" t="s">
        <v>8711</v>
      </c>
      <c r="R2209" s="8"/>
      <c r="S2209" s="8"/>
      <c r="T2209" s="8"/>
      <c r="U2209" s="11" t="str">
        <f>HYPERLINK("https://pbs.twimg.com/profile_images/92744905/NS2.JPG","View")</f>
        <v>View</v>
      </c>
      <c r="V2209" s="8"/>
      <c r="W2209" s="8"/>
      <c r="X2209" s="8"/>
      <c r="Y2209" s="8"/>
      <c r="Z2209" s="8"/>
    </row>
    <row r="2210" spans="1:26" ht="13.2">
      <c r="A2210" s="13">
        <v>44250.050370370373</v>
      </c>
      <c r="B2210" s="6" t="str">
        <f>HYPERLINK("https://twitter.com/lopezunwired","@lopezunwired")</f>
        <v>@lopezunwired</v>
      </c>
      <c r="C2210" s="14" t="s">
        <v>224</v>
      </c>
      <c r="D2210" s="14" t="s">
        <v>8712</v>
      </c>
      <c r="E2210" s="6" t="str">
        <f>HYPERLINK("https://twitter.com/lopezunwired/status/1364005185924734978","1364005185924734978")</f>
        <v>1364005185924734978</v>
      </c>
      <c r="F2210" s="7" t="s">
        <v>8713</v>
      </c>
      <c r="G2210" s="7" t="s">
        <v>8714</v>
      </c>
      <c r="H2210" s="8"/>
      <c r="I2210" s="14">
        <v>6</v>
      </c>
      <c r="J2210" s="14">
        <v>2</v>
      </c>
      <c r="K2210" s="6" t="str">
        <f>HYPERLINK("https://dlvrit.com/","dlvr.it")</f>
        <v>dlvr.it</v>
      </c>
      <c r="L2210" s="15">
        <v>1803</v>
      </c>
      <c r="M2210" s="15">
        <v>800</v>
      </c>
      <c r="N2210" s="15">
        <v>586</v>
      </c>
      <c r="O2210" s="9"/>
      <c r="P2210" s="10">
        <v>39831.947152777779</v>
      </c>
      <c r="Q2210" s="14" t="s">
        <v>228</v>
      </c>
      <c r="R2210" s="14" t="s">
        <v>229</v>
      </c>
      <c r="S2210" s="7" t="s">
        <v>230</v>
      </c>
      <c r="T2210" s="8"/>
      <c r="U2210" s="11" t="str">
        <f>HYPERLINK("https://pbs.twimg.com/profile_images/3326137784/c6c1c2570fc7b9711dd8de812b996a66.jpeg","View")</f>
        <v>View</v>
      </c>
      <c r="V2210" s="8"/>
      <c r="W2210" s="8"/>
      <c r="X2210" s="8"/>
      <c r="Y2210" s="8"/>
      <c r="Z2210" s="8"/>
    </row>
    <row r="2211" spans="1:26" ht="13.2">
      <c r="A2211" s="13">
        <v>44250.050219907411</v>
      </c>
      <c r="B2211" s="6" t="str">
        <f>HYPERLINK("https://twitter.com/Innovat78455398","@Innovat78455398")</f>
        <v>@Innovat78455398</v>
      </c>
      <c r="C2211" s="14" t="s">
        <v>4318</v>
      </c>
      <c r="D2211" s="14" t="s">
        <v>8715</v>
      </c>
      <c r="E2211" s="6" t="str">
        <f>HYPERLINK("https://twitter.com/Innovat78455398/status/1364005128601182208","1364005128601182208")</f>
        <v>1364005128601182208</v>
      </c>
      <c r="F2211" s="7" t="s">
        <v>8716</v>
      </c>
      <c r="G2211" s="7" t="s">
        <v>8717</v>
      </c>
      <c r="H2211" s="8"/>
      <c r="I2211" s="14">
        <v>30</v>
      </c>
      <c r="J2211" s="14">
        <v>9</v>
      </c>
      <c r="K2211" s="6" t="str">
        <f>HYPERLINK("https://mobile.twitter.com","Twitter Web App")</f>
        <v>Twitter Web App</v>
      </c>
      <c r="L2211" s="15">
        <v>101</v>
      </c>
      <c r="M2211" s="15">
        <v>142</v>
      </c>
      <c r="N2211" s="15">
        <v>1</v>
      </c>
      <c r="O2211" s="9"/>
      <c r="P2211" s="10">
        <v>44075.047534722224</v>
      </c>
      <c r="Q2211" s="14" t="s">
        <v>623</v>
      </c>
      <c r="R2211" s="14" t="s">
        <v>4322</v>
      </c>
      <c r="S2211" s="8"/>
      <c r="T2211" s="8"/>
      <c r="U2211" s="11" t="str">
        <f>HYPERLINK("https://pbs.twimg.com/profile_images/1300571380098850818/YjKI8L9l.jpg","View")</f>
        <v>View</v>
      </c>
      <c r="V2211" s="8"/>
      <c r="W2211" s="8"/>
      <c r="X2211" s="8"/>
      <c r="Y2211" s="8"/>
      <c r="Z2211" s="8"/>
    </row>
    <row r="2212" spans="1:26" ht="13.2">
      <c r="A2212" s="13">
        <v>44250.050138888888</v>
      </c>
      <c r="B2212" s="6" t="str">
        <f>HYPERLINK("https://twitter.com/AIApparelStore","@AIApparelStore")</f>
        <v>@AIApparelStore</v>
      </c>
      <c r="C2212" s="14" t="s">
        <v>7483</v>
      </c>
      <c r="D2212" s="14" t="s">
        <v>8718</v>
      </c>
      <c r="E2212" s="6" t="str">
        <f>HYPERLINK("https://twitter.com/AIApparelStore/status/1364005100411305986","1364005100411305986")</f>
        <v>1364005100411305986</v>
      </c>
      <c r="F2212" s="8"/>
      <c r="G2212" s="7" t="s">
        <v>8719</v>
      </c>
      <c r="H2212" s="8"/>
      <c r="I2212" s="14">
        <v>11</v>
      </c>
      <c r="J2212" s="14">
        <v>0</v>
      </c>
      <c r="K2212" s="6" t="str">
        <f>HYPERLINK("https://ifttt.com","IFTTT")</f>
        <v>IFTTT</v>
      </c>
      <c r="L2212" s="15">
        <v>386</v>
      </c>
      <c r="M2212" s="15">
        <v>524</v>
      </c>
      <c r="N2212" s="15">
        <v>15</v>
      </c>
      <c r="O2212" s="9"/>
      <c r="P2212" s="10">
        <v>43331.869895833333</v>
      </c>
      <c r="Q2212" s="14" t="s">
        <v>1505</v>
      </c>
      <c r="R2212" s="14" t="s">
        <v>7486</v>
      </c>
      <c r="S2212" s="7" t="s">
        <v>7487</v>
      </c>
      <c r="T2212" s="8"/>
      <c r="U2212" s="11" t="str">
        <f>HYPERLINK("https://pbs.twimg.com/profile_images/1031255768845021184/CEFgCC0y.jpg","View")</f>
        <v>View</v>
      </c>
      <c r="V2212" s="8"/>
      <c r="W2212" s="8"/>
      <c r="X2212" s="8"/>
      <c r="Y2212" s="8"/>
      <c r="Z2212" s="8"/>
    </row>
    <row r="2213" spans="1:26" ht="13.2">
      <c r="A2213" s="13">
        <v>44250.049143518518</v>
      </c>
      <c r="B2213" s="6" t="str">
        <f>HYPERLINK("https://twitter.com/Innovat78455398","@Innovat78455398")</f>
        <v>@Innovat78455398</v>
      </c>
      <c r="C2213" s="14" t="s">
        <v>4318</v>
      </c>
      <c r="D2213" s="14" t="s">
        <v>8720</v>
      </c>
      <c r="E2213" s="6" t="str">
        <f>HYPERLINK("https://twitter.com/Innovat78455398/status/1364004739315159045","1364004739315159045")</f>
        <v>1364004739315159045</v>
      </c>
      <c r="F2213" s="7" t="s">
        <v>8721</v>
      </c>
      <c r="G2213" s="7" t="s">
        <v>8722</v>
      </c>
      <c r="H2213" s="8"/>
      <c r="I2213" s="14">
        <v>21</v>
      </c>
      <c r="J2213" s="14">
        <v>6</v>
      </c>
      <c r="K2213" s="6" t="str">
        <f>HYPERLINK("https://mobile.twitter.com","Twitter Web App")</f>
        <v>Twitter Web App</v>
      </c>
      <c r="L2213" s="15">
        <v>101</v>
      </c>
      <c r="M2213" s="15">
        <v>142</v>
      </c>
      <c r="N2213" s="15">
        <v>1</v>
      </c>
      <c r="O2213" s="9"/>
      <c r="P2213" s="10">
        <v>44075.047534722224</v>
      </c>
      <c r="Q2213" s="14" t="s">
        <v>623</v>
      </c>
      <c r="R2213" s="14" t="s">
        <v>4322</v>
      </c>
      <c r="S2213" s="8"/>
      <c r="T2213" s="8"/>
      <c r="U2213" s="11" t="str">
        <f>HYPERLINK("https://pbs.twimg.com/profile_images/1300571380098850818/YjKI8L9l.jpg","View")</f>
        <v>View</v>
      </c>
      <c r="V2213" s="8"/>
      <c r="W2213" s="8"/>
      <c r="X2213" s="8"/>
      <c r="Y2213" s="8"/>
      <c r="Z2213" s="8"/>
    </row>
    <row r="2214" spans="1:26" ht="13.2">
      <c r="A2214" s="13">
        <v>44250.048611111109</v>
      </c>
      <c r="B2214" s="6" t="str">
        <f>HYPERLINK("https://twitter.com/TamaraMcCleary","@TamaraMcCleary")</f>
        <v>@TamaraMcCleary</v>
      </c>
      <c r="C2214" s="14" t="s">
        <v>6670</v>
      </c>
      <c r="D2214" s="14" t="s">
        <v>8723</v>
      </c>
      <c r="E2214" s="6" t="str">
        <f>HYPERLINK("https://twitter.com/TamaraMcCleary/status/1364004545362235392","1364004545362235392")</f>
        <v>1364004545362235392</v>
      </c>
      <c r="F2214" s="7" t="s">
        <v>8724</v>
      </c>
      <c r="G2214" s="7" t="s">
        <v>8725</v>
      </c>
      <c r="H2214" s="8"/>
      <c r="I2214" s="14">
        <v>9</v>
      </c>
      <c r="J2214" s="14">
        <v>9</v>
      </c>
      <c r="K2214" s="6" t="str">
        <f>HYPERLINK("https://about.twitter.com/products/tweetdeck","TweetDeck")</f>
        <v>TweetDeck</v>
      </c>
      <c r="L2214" s="15">
        <v>306870</v>
      </c>
      <c r="M2214" s="15">
        <v>206817</v>
      </c>
      <c r="N2214" s="15">
        <v>8235</v>
      </c>
      <c r="O2214" s="15" t="s">
        <v>130</v>
      </c>
      <c r="P2214" s="10">
        <v>41663.201851851853</v>
      </c>
      <c r="Q2214" s="14" t="s">
        <v>6169</v>
      </c>
      <c r="R2214" s="14" t="s">
        <v>6674</v>
      </c>
      <c r="S2214" s="7" t="s">
        <v>6675</v>
      </c>
      <c r="T2214" s="8"/>
      <c r="U2214" s="11" t="str">
        <f>HYPERLINK("https://pbs.twimg.com/profile_images/1255693536629932033/hFa5JpaK.jpg","View")</f>
        <v>View</v>
      </c>
      <c r="V2214" s="8"/>
      <c r="W2214" s="8"/>
      <c r="X2214" s="8"/>
      <c r="Y2214" s="8"/>
      <c r="Z2214" s="8"/>
    </row>
    <row r="2215" spans="1:26" ht="13.2">
      <c r="A2215" s="13">
        <v>44250.047129629631</v>
      </c>
      <c r="B2215" s="6" t="str">
        <f>HYPERLINK("https://twitter.com/Datascience__","@Datascience__")</f>
        <v>@Datascience__</v>
      </c>
      <c r="C2215" s="14" t="s">
        <v>1082</v>
      </c>
      <c r="D2215" s="14" t="s">
        <v>8726</v>
      </c>
      <c r="E2215" s="6" t="str">
        <f>HYPERLINK("https://twitter.com/Datascience__/status/1364004009451872261","1364004009451872261")</f>
        <v>1364004009451872261</v>
      </c>
      <c r="F2215" s="7" t="s">
        <v>8727</v>
      </c>
      <c r="G2215" s="8"/>
      <c r="H2215" s="8"/>
      <c r="I2215" s="14">
        <v>4</v>
      </c>
      <c r="J2215" s="14">
        <v>0</v>
      </c>
      <c r="K2215" s="6" t="str">
        <f>HYPERLINK("https://twitter.com/pythonbot_","Postmatico")</f>
        <v>Postmatico</v>
      </c>
      <c r="L2215" s="15">
        <v>21499</v>
      </c>
      <c r="M2215" s="15">
        <v>11071</v>
      </c>
      <c r="N2215" s="15">
        <v>0</v>
      </c>
      <c r="O2215" s="9"/>
      <c r="P2215" s="10">
        <v>42735.551377314812</v>
      </c>
      <c r="Q2215" s="8"/>
      <c r="R2215" s="14" t="s">
        <v>1085</v>
      </c>
      <c r="S2215" s="7" t="s">
        <v>1086</v>
      </c>
      <c r="T2215" s="8"/>
      <c r="U2215" s="11" t="str">
        <f>HYPERLINK("https://pbs.twimg.com/profile_images/989066461435097088/AQZSFyuk.jpg","View")</f>
        <v>View</v>
      </c>
      <c r="V2215" s="8"/>
      <c r="W2215" s="8"/>
      <c r="X2215" s="8"/>
      <c r="Y2215" s="8"/>
      <c r="Z2215" s="8"/>
    </row>
    <row r="2216" spans="1:26" ht="13.2">
      <c r="A2216" s="13">
        <v>44250.0466087963</v>
      </c>
      <c r="B2216" s="6" t="str">
        <f>HYPERLINK("https://twitter.com/hashem25","@hashem25")</f>
        <v>@hashem25</v>
      </c>
      <c r="C2216" s="14" t="s">
        <v>3164</v>
      </c>
      <c r="D2216" s="14" t="s">
        <v>8728</v>
      </c>
      <c r="E2216" s="6" t="str">
        <f>HYPERLINK("https://twitter.com/hashem25/status/1364003821937192961","1364003821937192961")</f>
        <v>1364003821937192961</v>
      </c>
      <c r="F2216" s="7" t="s">
        <v>8651</v>
      </c>
      <c r="G2216" s="8"/>
      <c r="H2216" s="8"/>
      <c r="I2216" s="14">
        <v>6</v>
      </c>
      <c r="J2216" s="14">
        <v>0</v>
      </c>
      <c r="K2216" s="6" t="str">
        <f>HYPERLINK("http://twinybots.com","TwinyBots")</f>
        <v>TwinyBots</v>
      </c>
      <c r="L2216" s="15">
        <v>2283</v>
      </c>
      <c r="M2216" s="15">
        <v>2047</v>
      </c>
      <c r="N2216" s="15">
        <v>93</v>
      </c>
      <c r="O2216" s="9"/>
      <c r="P2216" s="10">
        <v>39985.529166666667</v>
      </c>
      <c r="Q2216" s="14" t="s">
        <v>3167</v>
      </c>
      <c r="R2216" s="14" t="s">
        <v>3168</v>
      </c>
      <c r="S2216" s="8"/>
      <c r="T2216" s="8"/>
      <c r="U2216" s="11" t="str">
        <f>HYPERLINK("https://pbs.twimg.com/profile_images/605251240675573761/Ldc2HXa7.jpg","View")</f>
        <v>View</v>
      </c>
      <c r="V2216" s="8"/>
      <c r="W2216" s="8"/>
      <c r="X2216" s="8"/>
      <c r="Y2216" s="8"/>
      <c r="Z2216" s="8"/>
    </row>
    <row r="2217" spans="1:26" ht="13.2">
      <c r="A2217" s="13">
        <v>44250.0465625</v>
      </c>
      <c r="B2217" s="6" t="str">
        <f>HYPERLINK("https://twitter.com/Innovat78455398","@Innovat78455398")</f>
        <v>@Innovat78455398</v>
      </c>
      <c r="C2217" s="14" t="s">
        <v>4318</v>
      </c>
      <c r="D2217" s="14" t="s">
        <v>8729</v>
      </c>
      <c r="E2217" s="6" t="str">
        <f>HYPERLINK("https://twitter.com/Innovat78455398/status/1364003803658293249","1364003803658293249")</f>
        <v>1364003803658293249</v>
      </c>
      <c r="F2217" s="7" t="s">
        <v>8730</v>
      </c>
      <c r="G2217" s="7" t="s">
        <v>8731</v>
      </c>
      <c r="H2217" s="8"/>
      <c r="I2217" s="14">
        <v>25</v>
      </c>
      <c r="J2217" s="14">
        <v>9</v>
      </c>
      <c r="K2217" s="6" t="str">
        <f>HYPERLINK("https://mobile.twitter.com","Twitter Web App")</f>
        <v>Twitter Web App</v>
      </c>
      <c r="L2217" s="15">
        <v>101</v>
      </c>
      <c r="M2217" s="15">
        <v>142</v>
      </c>
      <c r="N2217" s="15">
        <v>1</v>
      </c>
      <c r="O2217" s="9"/>
      <c r="P2217" s="10">
        <v>44075.047534722224</v>
      </c>
      <c r="Q2217" s="14" t="s">
        <v>623</v>
      </c>
      <c r="R2217" s="14" t="s">
        <v>4322</v>
      </c>
      <c r="S2217" s="8"/>
      <c r="T2217" s="8"/>
      <c r="U2217" s="11" t="str">
        <f>HYPERLINK("https://pbs.twimg.com/profile_images/1300571380098850818/YjKI8L9l.jpg","View")</f>
        <v>View</v>
      </c>
      <c r="V2217" s="8"/>
      <c r="W2217" s="8"/>
      <c r="X2217" s="8"/>
      <c r="Y2217" s="8"/>
      <c r="Z2217" s="8"/>
    </row>
    <row r="2218" spans="1:26" ht="13.2">
      <c r="A2218" s="13">
        <v>44250.04582175926</v>
      </c>
      <c r="B2218" s="6" t="str">
        <f>HYPERLINK("https://twitter.com/StevenAiroldi","@StevenAiroldi")</f>
        <v>@StevenAiroldi</v>
      </c>
      <c r="C2218" s="14" t="s">
        <v>8732</v>
      </c>
      <c r="D2218" s="14" t="s">
        <v>8043</v>
      </c>
      <c r="E2218" s="6" t="str">
        <f>HYPERLINK("https://twitter.com/StevenAiroldi/status/1364003536917397513","1364003536917397513")</f>
        <v>1364003536917397513</v>
      </c>
      <c r="F2218" s="7" t="s">
        <v>8733</v>
      </c>
      <c r="G2218" s="8"/>
      <c r="H2218" s="8"/>
      <c r="I2218" s="14">
        <v>3</v>
      </c>
      <c r="J2218" s="14">
        <v>0</v>
      </c>
      <c r="K2218" s="6" t="str">
        <f>HYPERLINK("http://www.hubspot.com/","HubSpot")</f>
        <v>HubSpot</v>
      </c>
      <c r="L2218" s="15">
        <v>268</v>
      </c>
      <c r="M2218" s="15">
        <v>161</v>
      </c>
      <c r="N2218" s="15">
        <v>11</v>
      </c>
      <c r="O2218" s="9"/>
      <c r="P2218" s="10">
        <v>40248.830162037033</v>
      </c>
      <c r="Q2218" s="14" t="s">
        <v>8734</v>
      </c>
      <c r="R2218" s="14" t="s">
        <v>8735</v>
      </c>
      <c r="S2218" s="7" t="s">
        <v>8736</v>
      </c>
      <c r="T2218" s="8"/>
      <c r="U2218" s="11" t="str">
        <f>HYPERLINK("https://pbs.twimg.com/profile_images/741348683103371264/2q2NzNt_.jpg","View")</f>
        <v>View</v>
      </c>
      <c r="V2218" s="8"/>
      <c r="W2218" s="8"/>
      <c r="X2218" s="8"/>
      <c r="Y2218" s="8"/>
      <c r="Z2218" s="8"/>
    </row>
    <row r="2219" spans="1:26" ht="13.2">
      <c r="A2219" s="13">
        <v>44250.045590277776</v>
      </c>
      <c r="B2219" s="6" t="str">
        <f>HYPERLINK("https://twitter.com/Innovat78455398","@Innovat78455398")</f>
        <v>@Innovat78455398</v>
      </c>
      <c r="C2219" s="14" t="s">
        <v>4318</v>
      </c>
      <c r="D2219" s="14" t="s">
        <v>8737</v>
      </c>
      <c r="E2219" s="6" t="str">
        <f>HYPERLINK("https://twitter.com/Innovat78455398/status/1364003450799804420","1364003450799804420")</f>
        <v>1364003450799804420</v>
      </c>
      <c r="F2219" s="7" t="s">
        <v>8738</v>
      </c>
      <c r="G2219" s="7" t="s">
        <v>8739</v>
      </c>
      <c r="H2219" s="8"/>
      <c r="I2219" s="14">
        <v>16</v>
      </c>
      <c r="J2219" s="14">
        <v>5</v>
      </c>
      <c r="K2219" s="6" t="str">
        <f>HYPERLINK("https://mobile.twitter.com","Twitter Web App")</f>
        <v>Twitter Web App</v>
      </c>
      <c r="L2219" s="15">
        <v>101</v>
      </c>
      <c r="M2219" s="15">
        <v>142</v>
      </c>
      <c r="N2219" s="15">
        <v>1</v>
      </c>
      <c r="O2219" s="9"/>
      <c r="P2219" s="10">
        <v>44075.047534722224</v>
      </c>
      <c r="Q2219" s="14" t="s">
        <v>623</v>
      </c>
      <c r="R2219" s="14" t="s">
        <v>4322</v>
      </c>
      <c r="S2219" s="8"/>
      <c r="T2219" s="8"/>
      <c r="U2219" s="11" t="str">
        <f>HYPERLINK("https://pbs.twimg.com/profile_images/1300571380098850818/YjKI8L9l.jpg","View")</f>
        <v>View</v>
      </c>
      <c r="V2219" s="8"/>
      <c r="W2219" s="8"/>
      <c r="X2219" s="8"/>
      <c r="Y2219" s="8"/>
      <c r="Z2219" s="8"/>
    </row>
    <row r="2220" spans="1:26" ht="13.2">
      <c r="A2220" s="13">
        <v>44250.045208333337</v>
      </c>
      <c r="B2220" s="6" t="str">
        <f>HYPERLINK("https://twitter.com/AlertTrade","@AlertTrade")</f>
        <v>@AlertTrade</v>
      </c>
      <c r="C2220" s="14" t="s">
        <v>1043</v>
      </c>
      <c r="D2220" s="14" t="s">
        <v>8740</v>
      </c>
      <c r="E2220" s="6" t="str">
        <f>HYPERLINK("https://twitter.com/AlertTrade/status/1364003312685694976","1364003312685694976")</f>
        <v>1364003312685694976</v>
      </c>
      <c r="F2220" s="7" t="s">
        <v>1045</v>
      </c>
      <c r="G2220" s="7" t="s">
        <v>8741</v>
      </c>
      <c r="H2220" s="8"/>
      <c r="I2220" s="14">
        <v>0</v>
      </c>
      <c r="J2220" s="14">
        <v>0</v>
      </c>
      <c r="K2220" s="6" t="str">
        <f>HYPERLINK("https://buffer.com","Buffer")</f>
        <v>Buffer</v>
      </c>
      <c r="L2220" s="15">
        <v>147561</v>
      </c>
      <c r="M2220" s="15">
        <v>149760</v>
      </c>
      <c r="N2220" s="15">
        <v>2503</v>
      </c>
      <c r="O2220" s="9"/>
      <c r="P2220" s="10">
        <v>40245.718449074076</v>
      </c>
      <c r="Q2220" s="8"/>
      <c r="R2220" s="14" t="s">
        <v>1047</v>
      </c>
      <c r="S2220" s="7" t="s">
        <v>1048</v>
      </c>
      <c r="T2220" s="8"/>
      <c r="U2220" s="11" t="str">
        <f>HYPERLINK("https://pbs.twimg.com/profile_images/909427952001146880/UoMAp4JA.jpg","View")</f>
        <v>View</v>
      </c>
      <c r="V2220" s="8"/>
      <c r="W2220" s="8"/>
      <c r="X2220" s="8"/>
      <c r="Y2220" s="8"/>
      <c r="Z2220" s="8"/>
    </row>
    <row r="2221" spans="1:26" ht="13.2">
      <c r="A2221" s="13"/>
      <c r="B2221" s="14"/>
      <c r="C2221" s="14"/>
      <c r="D2221" s="14"/>
      <c r="E2221" s="14"/>
      <c r="F2221" s="14"/>
      <c r="G2221" s="14"/>
      <c r="H2221" s="14"/>
      <c r="I2221" s="14"/>
      <c r="J2221" s="14"/>
      <c r="K2221" s="14"/>
      <c r="L2221" s="15"/>
      <c r="M2221" s="15"/>
      <c r="N2221" s="15"/>
      <c r="O2221" s="15"/>
      <c r="P2221" s="15"/>
      <c r="Q2221" s="14"/>
      <c r="R2221" s="14"/>
      <c r="S2221" s="14"/>
      <c r="T2221" s="14"/>
      <c r="U2221" s="15"/>
      <c r="V2221" s="14"/>
      <c r="W2221" s="14"/>
      <c r="X2221" s="14"/>
      <c r="Y2221" s="14"/>
      <c r="Z2221" s="14"/>
    </row>
    <row r="2222" spans="1:26" ht="13.2">
      <c r="A2222" s="13"/>
      <c r="B2222" s="14"/>
      <c r="C2222" s="14"/>
      <c r="D2222" s="14"/>
      <c r="E2222" s="14"/>
      <c r="F2222" s="14"/>
      <c r="G2222" s="14"/>
      <c r="H2222" s="14"/>
      <c r="I2222" s="14"/>
      <c r="J2222" s="14"/>
      <c r="K2222" s="14"/>
      <c r="L2222" s="15"/>
      <c r="M2222" s="15"/>
      <c r="N2222" s="15"/>
      <c r="O2222" s="15"/>
      <c r="P2222" s="15"/>
      <c r="Q2222" s="14"/>
      <c r="R2222" s="14"/>
      <c r="S2222" s="14"/>
      <c r="T2222" s="14"/>
      <c r="U2222" s="15"/>
      <c r="V2222" s="14"/>
      <c r="W2222" s="14"/>
      <c r="X2222" s="14"/>
      <c r="Y2222" s="14"/>
      <c r="Z2222" s="14"/>
    </row>
    <row r="2223" spans="1:26" ht="13.2">
      <c r="A2223" s="13"/>
      <c r="B2223" s="14"/>
      <c r="C2223" s="14"/>
      <c r="D2223" s="14"/>
      <c r="E2223" s="14"/>
      <c r="F2223" s="14"/>
      <c r="G2223" s="14"/>
      <c r="H2223" s="14"/>
      <c r="I2223" s="14"/>
      <c r="J2223" s="14"/>
      <c r="K2223" s="14"/>
      <c r="L2223" s="15"/>
      <c r="M2223" s="15"/>
      <c r="N2223" s="15"/>
      <c r="O2223" s="15"/>
      <c r="P2223" s="15"/>
      <c r="Q2223" s="14"/>
      <c r="R2223" s="14"/>
      <c r="S2223" s="14"/>
      <c r="T2223" s="14"/>
      <c r="U2223" s="15"/>
      <c r="V2223" s="14"/>
      <c r="W2223" s="14"/>
      <c r="X2223" s="14"/>
      <c r="Y2223" s="14"/>
      <c r="Z2223" s="14"/>
    </row>
    <row r="2224" spans="1:26" ht="13.2">
      <c r="A2224" s="13"/>
      <c r="B2224" s="14"/>
      <c r="C2224" s="14"/>
      <c r="D2224" s="14"/>
      <c r="E2224" s="14"/>
      <c r="F2224" s="14"/>
      <c r="G2224" s="14"/>
      <c r="H2224" s="14"/>
      <c r="I2224" s="14"/>
      <c r="J2224" s="14"/>
      <c r="K2224" s="14"/>
      <c r="L2224" s="15"/>
      <c r="M2224" s="15"/>
      <c r="N2224" s="15"/>
      <c r="O2224" s="15"/>
      <c r="P2224" s="15"/>
      <c r="Q2224" s="14"/>
      <c r="R2224" s="14"/>
      <c r="S2224" s="14"/>
      <c r="T2224" s="14"/>
      <c r="U2224" s="15"/>
      <c r="V2224" s="14"/>
      <c r="W2224" s="14"/>
      <c r="X2224" s="14"/>
      <c r="Y2224" s="14"/>
      <c r="Z2224" s="14"/>
    </row>
    <row r="2225" spans="1:26" ht="13.2">
      <c r="A2225" s="13"/>
      <c r="B2225" s="14"/>
      <c r="C2225" s="14"/>
      <c r="D2225" s="14"/>
      <c r="E2225" s="14"/>
      <c r="F2225" s="14"/>
      <c r="G2225" s="14"/>
      <c r="H2225" s="14"/>
      <c r="I2225" s="14"/>
      <c r="J2225" s="14"/>
      <c r="K2225" s="14"/>
      <c r="L2225" s="15"/>
      <c r="M2225" s="15"/>
      <c r="N2225" s="15"/>
      <c r="O2225" s="15"/>
      <c r="P2225" s="15"/>
      <c r="Q2225" s="14"/>
      <c r="R2225" s="14"/>
      <c r="S2225" s="14"/>
      <c r="T2225" s="14"/>
      <c r="U2225" s="15"/>
      <c r="V2225" s="14"/>
      <c r="W2225" s="14"/>
      <c r="X2225" s="14"/>
      <c r="Y2225" s="14"/>
      <c r="Z2225" s="14"/>
    </row>
    <row r="2226" spans="1:26" ht="13.2">
      <c r="A2226" s="13"/>
      <c r="B2226" s="14"/>
      <c r="C2226" s="14"/>
      <c r="D2226" s="14"/>
      <c r="E2226" s="14"/>
      <c r="F2226" s="14"/>
      <c r="G2226" s="14"/>
      <c r="H2226" s="14"/>
      <c r="I2226" s="14"/>
      <c r="J2226" s="14"/>
      <c r="K2226" s="14"/>
      <c r="L2226" s="15"/>
      <c r="M2226" s="15"/>
      <c r="N2226" s="15"/>
      <c r="O2226" s="15"/>
      <c r="P2226" s="15"/>
      <c r="Q2226" s="14"/>
      <c r="R2226" s="14"/>
      <c r="S2226" s="14"/>
      <c r="T2226" s="14"/>
      <c r="U2226" s="15"/>
      <c r="V2226" s="14"/>
      <c r="W2226" s="14"/>
      <c r="X2226" s="14"/>
      <c r="Y2226" s="14"/>
      <c r="Z2226" s="14"/>
    </row>
    <row r="2227" spans="1:26" ht="13.2">
      <c r="A2227" s="13"/>
      <c r="B2227" s="14"/>
      <c r="C2227" s="14"/>
      <c r="D2227" s="14"/>
      <c r="E2227" s="14"/>
      <c r="F2227" s="14"/>
      <c r="G2227" s="14"/>
      <c r="H2227" s="14"/>
      <c r="I2227" s="14"/>
      <c r="J2227" s="14"/>
      <c r="K2227" s="14"/>
      <c r="L2227" s="15"/>
      <c r="M2227" s="15"/>
      <c r="N2227" s="15"/>
      <c r="O2227" s="15"/>
      <c r="P2227" s="15"/>
      <c r="Q2227" s="14"/>
      <c r="R2227" s="14"/>
      <c r="S2227" s="14"/>
      <c r="T2227" s="14"/>
      <c r="U2227" s="15"/>
      <c r="V2227" s="14"/>
      <c r="W2227" s="14"/>
      <c r="X2227" s="14"/>
      <c r="Y2227" s="14"/>
      <c r="Z2227" s="14"/>
    </row>
    <row r="2228" spans="1:26" ht="13.2">
      <c r="A2228" s="13"/>
      <c r="B2228" s="14"/>
      <c r="C2228" s="14"/>
      <c r="D2228" s="14"/>
      <c r="E2228" s="14"/>
      <c r="F2228" s="14"/>
      <c r="G2228" s="14"/>
      <c r="H2228" s="14"/>
      <c r="I2228" s="14"/>
      <c r="J2228" s="14"/>
      <c r="K2228" s="14"/>
      <c r="L2228" s="15"/>
      <c r="M2228" s="15"/>
      <c r="N2228" s="15"/>
      <c r="O2228" s="15"/>
      <c r="P2228" s="15"/>
      <c r="Q2228" s="14"/>
      <c r="R2228" s="14"/>
      <c r="S2228" s="14"/>
      <c r="T2228" s="14"/>
      <c r="U2228" s="15"/>
      <c r="V2228" s="14"/>
      <c r="W2228" s="14"/>
      <c r="X2228" s="14"/>
      <c r="Y2228" s="14"/>
      <c r="Z2228" s="14"/>
    </row>
    <row r="2229" spans="1:26" ht="13.2">
      <c r="A2229" s="13"/>
      <c r="B2229" s="14"/>
      <c r="C2229" s="14"/>
      <c r="D2229" s="14"/>
      <c r="E2229" s="14"/>
      <c r="F2229" s="14"/>
      <c r="G2229" s="14"/>
      <c r="H2229" s="14"/>
      <c r="I2229" s="14"/>
      <c r="J2229" s="14"/>
      <c r="K2229" s="14"/>
      <c r="L2229" s="15"/>
      <c r="M2229" s="15"/>
      <c r="N2229" s="15"/>
      <c r="O2229" s="15"/>
      <c r="P2229" s="15"/>
      <c r="Q2229" s="14"/>
      <c r="R2229" s="14"/>
      <c r="S2229" s="14"/>
      <c r="T2229" s="14"/>
      <c r="U2229" s="15"/>
      <c r="V2229" s="14"/>
      <c r="W2229" s="14"/>
      <c r="X2229" s="14"/>
      <c r="Y2229" s="14"/>
      <c r="Z2229" s="14"/>
    </row>
    <row r="2230" spans="1:26" ht="13.2">
      <c r="A2230" s="13"/>
      <c r="B2230" s="14"/>
      <c r="C2230" s="14"/>
      <c r="D2230" s="14"/>
      <c r="E2230" s="14"/>
      <c r="F2230" s="14"/>
      <c r="G2230" s="14"/>
      <c r="H2230" s="14"/>
      <c r="I2230" s="14"/>
      <c r="J2230" s="14"/>
      <c r="K2230" s="14"/>
      <c r="L2230" s="15"/>
      <c r="M2230" s="15"/>
      <c r="N2230" s="15"/>
      <c r="O2230" s="15"/>
      <c r="P2230" s="15"/>
      <c r="Q2230" s="14"/>
      <c r="R2230" s="14"/>
      <c r="S2230" s="14"/>
      <c r="T2230" s="14"/>
      <c r="U2230" s="15"/>
      <c r="V2230" s="14"/>
      <c r="W2230" s="14"/>
      <c r="X2230" s="14"/>
      <c r="Y2230" s="14"/>
      <c r="Z2230" s="14"/>
    </row>
    <row r="2231" spans="1:26" ht="13.2">
      <c r="A2231" s="13"/>
      <c r="B2231" s="14"/>
      <c r="C2231" s="14"/>
      <c r="D2231" s="14"/>
      <c r="E2231" s="14"/>
      <c r="F2231" s="14"/>
      <c r="G2231" s="14"/>
      <c r="H2231" s="14"/>
      <c r="I2231" s="14"/>
      <c r="J2231" s="14"/>
      <c r="K2231" s="14"/>
      <c r="L2231" s="15"/>
      <c r="M2231" s="15"/>
      <c r="N2231" s="15"/>
      <c r="O2231" s="15"/>
      <c r="P2231" s="15"/>
      <c r="Q2231" s="14"/>
      <c r="R2231" s="14"/>
      <c r="S2231" s="14"/>
      <c r="T2231" s="14"/>
      <c r="U2231" s="15"/>
      <c r="V2231" s="14"/>
      <c r="W2231" s="14"/>
      <c r="X2231" s="14"/>
      <c r="Y2231" s="14"/>
      <c r="Z2231" s="14"/>
    </row>
    <row r="2232" spans="1:26" ht="13.2">
      <c r="A2232" s="13"/>
      <c r="B2232" s="14"/>
      <c r="C2232" s="14"/>
      <c r="D2232" s="14"/>
      <c r="E2232" s="14"/>
      <c r="F2232" s="14"/>
      <c r="G2232" s="14"/>
      <c r="H2232" s="14"/>
      <c r="I2232" s="14"/>
      <c r="J2232" s="14"/>
      <c r="K2232" s="14"/>
      <c r="L2232" s="15"/>
      <c r="M2232" s="15"/>
      <c r="N2232" s="15"/>
      <c r="O2232" s="15"/>
      <c r="P2232" s="15"/>
      <c r="Q2232" s="14"/>
      <c r="R2232" s="14"/>
      <c r="S2232" s="14"/>
      <c r="T2232" s="14"/>
      <c r="U2232" s="15"/>
      <c r="V2232" s="14"/>
      <c r="W2232" s="14"/>
      <c r="X2232" s="14"/>
      <c r="Y2232" s="14"/>
      <c r="Z2232" s="14"/>
    </row>
    <row r="2233" spans="1:26" ht="13.2">
      <c r="A2233" s="13"/>
      <c r="B2233" s="14"/>
      <c r="C2233" s="14"/>
      <c r="D2233" s="14"/>
      <c r="E2233" s="14"/>
      <c r="F2233" s="14"/>
      <c r="G2233" s="14"/>
      <c r="H2233" s="14"/>
      <c r="I2233" s="14"/>
      <c r="J2233" s="14"/>
      <c r="K2233" s="14"/>
      <c r="L2233" s="15"/>
      <c r="M2233" s="15"/>
      <c r="N2233" s="15"/>
      <c r="O2233" s="15"/>
      <c r="P2233" s="15"/>
      <c r="Q2233" s="14"/>
      <c r="R2233" s="14"/>
      <c r="S2233" s="14"/>
      <c r="T2233" s="14"/>
      <c r="U2233" s="15"/>
      <c r="V2233" s="14"/>
      <c r="W2233" s="14"/>
      <c r="X2233" s="14"/>
      <c r="Y2233" s="14"/>
      <c r="Z2233" s="14"/>
    </row>
    <row r="2234" spans="1:26" ht="13.2">
      <c r="A2234" s="13"/>
      <c r="B2234" s="14"/>
      <c r="C2234" s="14"/>
      <c r="D2234" s="14"/>
      <c r="E2234" s="14"/>
      <c r="F2234" s="14"/>
      <c r="G2234" s="14"/>
      <c r="H2234" s="14"/>
      <c r="I2234" s="14"/>
      <c r="J2234" s="14"/>
      <c r="K2234" s="14"/>
      <c r="L2234" s="15"/>
      <c r="M2234" s="15"/>
      <c r="N2234" s="15"/>
      <c r="O2234" s="15"/>
      <c r="P2234" s="15"/>
      <c r="Q2234" s="14"/>
      <c r="R2234" s="14"/>
      <c r="S2234" s="14"/>
      <c r="T2234" s="14"/>
      <c r="U2234" s="15"/>
      <c r="V2234" s="14"/>
      <c r="W2234" s="14"/>
      <c r="X2234" s="14"/>
      <c r="Y2234" s="14"/>
      <c r="Z2234" s="14"/>
    </row>
    <row r="2235" spans="1:26" ht="13.2">
      <c r="A2235" s="13"/>
      <c r="B2235" s="14"/>
      <c r="C2235" s="14"/>
      <c r="D2235" s="14"/>
      <c r="E2235" s="14"/>
      <c r="F2235" s="14"/>
      <c r="G2235" s="14"/>
      <c r="H2235" s="14"/>
      <c r="I2235" s="14"/>
      <c r="J2235" s="14"/>
      <c r="K2235" s="14"/>
      <c r="L2235" s="15"/>
      <c r="M2235" s="15"/>
      <c r="N2235" s="15"/>
      <c r="O2235" s="15"/>
      <c r="P2235" s="15"/>
      <c r="Q2235" s="14"/>
      <c r="R2235" s="14"/>
      <c r="S2235" s="14"/>
      <c r="T2235" s="14"/>
      <c r="U2235" s="15"/>
      <c r="V2235" s="14"/>
      <c r="W2235" s="14"/>
      <c r="X2235" s="14"/>
      <c r="Y2235" s="14"/>
      <c r="Z2235" s="14"/>
    </row>
    <row r="2236" spans="1:26" ht="13.2">
      <c r="A2236" s="13"/>
      <c r="B2236" s="14"/>
      <c r="C2236" s="14"/>
      <c r="D2236" s="14"/>
      <c r="E2236" s="14"/>
      <c r="F2236" s="14"/>
      <c r="G2236" s="14"/>
      <c r="H2236" s="14"/>
      <c r="I2236" s="14"/>
      <c r="J2236" s="14"/>
      <c r="K2236" s="14"/>
      <c r="L2236" s="15"/>
      <c r="M2236" s="15"/>
      <c r="N2236" s="15"/>
      <c r="O2236" s="15"/>
      <c r="P2236" s="15"/>
      <c r="Q2236" s="14"/>
      <c r="R2236" s="14"/>
      <c r="S2236" s="14"/>
      <c r="T2236" s="14"/>
      <c r="U2236" s="15"/>
      <c r="V2236" s="14"/>
      <c r="W2236" s="14"/>
      <c r="X2236" s="14"/>
      <c r="Y2236" s="14"/>
      <c r="Z2236" s="14"/>
    </row>
    <row r="2237" spans="1:26" ht="13.2">
      <c r="A2237" s="13"/>
      <c r="B2237" s="14"/>
      <c r="C2237" s="14"/>
      <c r="D2237" s="14"/>
      <c r="E2237" s="14"/>
      <c r="F2237" s="14"/>
      <c r="G2237" s="14"/>
      <c r="H2237" s="14"/>
      <c r="I2237" s="14"/>
      <c r="J2237" s="14"/>
      <c r="K2237" s="14"/>
      <c r="L2237" s="15"/>
      <c r="M2237" s="15"/>
      <c r="N2237" s="15"/>
      <c r="O2237" s="15"/>
      <c r="P2237" s="15"/>
      <c r="Q2237" s="14"/>
      <c r="R2237" s="14"/>
      <c r="S2237" s="14"/>
      <c r="T2237" s="14"/>
      <c r="U2237" s="15"/>
      <c r="V2237" s="14"/>
      <c r="W2237" s="14"/>
      <c r="X2237" s="14"/>
      <c r="Y2237" s="14"/>
      <c r="Z2237" s="14"/>
    </row>
    <row r="2238" spans="1:26" ht="13.2">
      <c r="A2238" s="13"/>
      <c r="B2238" s="14"/>
      <c r="C2238" s="14"/>
      <c r="D2238" s="14"/>
      <c r="E2238" s="14"/>
      <c r="F2238" s="14"/>
      <c r="G2238" s="14"/>
      <c r="H2238" s="14"/>
      <c r="I2238" s="14"/>
      <c r="J2238" s="14"/>
      <c r="K2238" s="14"/>
      <c r="L2238" s="15"/>
      <c r="M2238" s="15"/>
      <c r="N2238" s="15"/>
      <c r="O2238" s="15"/>
      <c r="P2238" s="15"/>
      <c r="Q2238" s="14"/>
      <c r="R2238" s="14"/>
      <c r="S2238" s="14"/>
      <c r="T2238" s="14"/>
      <c r="U2238" s="15"/>
      <c r="V2238" s="14"/>
      <c r="W2238" s="14"/>
      <c r="X2238" s="14"/>
      <c r="Y2238" s="14"/>
      <c r="Z2238" s="14"/>
    </row>
    <row r="2239" spans="1:26" ht="13.2">
      <c r="A2239" s="13"/>
      <c r="B2239" s="14"/>
      <c r="C2239" s="14"/>
      <c r="D2239" s="14"/>
      <c r="E2239" s="14"/>
      <c r="F2239" s="14"/>
      <c r="G2239" s="14"/>
      <c r="H2239" s="14"/>
      <c r="I2239" s="14"/>
      <c r="J2239" s="14"/>
      <c r="K2239" s="14"/>
      <c r="L2239" s="15"/>
      <c r="M2239" s="15"/>
      <c r="N2239" s="15"/>
      <c r="O2239" s="15"/>
      <c r="P2239" s="15"/>
      <c r="Q2239" s="14"/>
      <c r="R2239" s="14"/>
      <c r="S2239" s="14"/>
      <c r="T2239" s="14"/>
      <c r="U2239" s="15"/>
      <c r="V2239" s="14"/>
      <c r="W2239" s="14"/>
      <c r="X2239" s="14"/>
      <c r="Y2239" s="14"/>
      <c r="Z2239" s="14"/>
    </row>
    <row r="2240" spans="1:26" ht="13.2">
      <c r="A2240" s="13"/>
      <c r="B2240" s="14"/>
      <c r="C2240" s="14"/>
      <c r="D2240" s="14"/>
      <c r="E2240" s="14"/>
      <c r="F2240" s="14"/>
      <c r="G2240" s="14"/>
      <c r="H2240" s="14"/>
      <c r="I2240" s="14"/>
      <c r="J2240" s="14"/>
      <c r="K2240" s="14"/>
      <c r="L2240" s="15"/>
      <c r="M2240" s="15"/>
      <c r="N2240" s="15"/>
      <c r="O2240" s="15"/>
      <c r="P2240" s="15"/>
      <c r="Q2240" s="14"/>
      <c r="R2240" s="14"/>
      <c r="S2240" s="14"/>
      <c r="T2240" s="14"/>
      <c r="U2240" s="15"/>
      <c r="V2240" s="14"/>
      <c r="W2240" s="14"/>
      <c r="X2240" s="14"/>
      <c r="Y2240" s="14"/>
      <c r="Z2240" s="14"/>
    </row>
    <row r="2241" spans="1:26" ht="13.2">
      <c r="A2241" s="13"/>
      <c r="B2241" s="14"/>
      <c r="C2241" s="14"/>
      <c r="D2241" s="14"/>
      <c r="E2241" s="14"/>
      <c r="F2241" s="14"/>
      <c r="G2241" s="14"/>
      <c r="H2241" s="14"/>
      <c r="I2241" s="14"/>
      <c r="J2241" s="14"/>
      <c r="K2241" s="14"/>
      <c r="L2241" s="15"/>
      <c r="M2241" s="15"/>
      <c r="N2241" s="15"/>
      <c r="O2241" s="15"/>
      <c r="P2241" s="15"/>
      <c r="Q2241" s="14"/>
      <c r="R2241" s="14"/>
      <c r="S2241" s="14"/>
      <c r="T2241" s="14"/>
      <c r="U2241" s="15"/>
      <c r="V2241" s="14"/>
      <c r="W2241" s="14"/>
      <c r="X2241" s="14"/>
      <c r="Y2241" s="14"/>
      <c r="Z2241" s="14"/>
    </row>
    <row r="2242" spans="1:26" ht="13.2">
      <c r="A2242" s="13"/>
      <c r="B2242" s="14"/>
      <c r="C2242" s="14"/>
      <c r="D2242" s="14"/>
      <c r="E2242" s="14"/>
      <c r="F2242" s="14"/>
      <c r="G2242" s="14"/>
      <c r="H2242" s="14"/>
      <c r="I2242" s="14"/>
      <c r="J2242" s="14"/>
      <c r="K2242" s="14"/>
      <c r="L2242" s="15"/>
      <c r="M2242" s="15"/>
      <c r="N2242" s="15"/>
      <c r="O2242" s="15"/>
      <c r="P2242" s="15"/>
      <c r="Q2242" s="14"/>
      <c r="R2242" s="14"/>
      <c r="S2242" s="14"/>
      <c r="T2242" s="14"/>
      <c r="U2242" s="15"/>
      <c r="V2242" s="14"/>
      <c r="W2242" s="14"/>
      <c r="X2242" s="14"/>
      <c r="Y2242" s="14"/>
      <c r="Z2242" s="14"/>
    </row>
    <row r="2243" spans="1:26" ht="13.2">
      <c r="A2243" s="13"/>
      <c r="B2243" s="14"/>
      <c r="C2243" s="14"/>
      <c r="D2243" s="14"/>
      <c r="E2243" s="14"/>
      <c r="F2243" s="14"/>
      <c r="G2243" s="14"/>
      <c r="H2243" s="14"/>
      <c r="I2243" s="14"/>
      <c r="J2243" s="14"/>
      <c r="K2243" s="14"/>
      <c r="L2243" s="15"/>
      <c r="M2243" s="15"/>
      <c r="N2243" s="15"/>
      <c r="O2243" s="15"/>
      <c r="P2243" s="15"/>
      <c r="Q2243" s="14"/>
      <c r="R2243" s="14"/>
      <c r="S2243" s="14"/>
      <c r="T2243" s="14"/>
      <c r="U2243" s="15"/>
      <c r="V2243" s="14"/>
      <c r="W2243" s="14"/>
      <c r="X2243" s="14"/>
      <c r="Y2243" s="14"/>
      <c r="Z2243" s="14"/>
    </row>
    <row r="2244" spans="1:26" ht="13.2">
      <c r="A2244" s="13"/>
      <c r="B2244" s="14"/>
      <c r="C2244" s="14"/>
      <c r="D2244" s="14"/>
      <c r="E2244" s="14"/>
      <c r="F2244" s="14"/>
      <c r="G2244" s="14"/>
      <c r="H2244" s="14"/>
      <c r="I2244" s="14"/>
      <c r="J2244" s="14"/>
      <c r="K2244" s="14"/>
      <c r="L2244" s="15"/>
      <c r="M2244" s="15"/>
      <c r="N2244" s="15"/>
      <c r="O2244" s="15"/>
      <c r="P2244" s="15"/>
      <c r="Q2244" s="14"/>
      <c r="R2244" s="14"/>
      <c r="S2244" s="14"/>
      <c r="T2244" s="14"/>
      <c r="U2244" s="15"/>
      <c r="V2244" s="14"/>
      <c r="W2244" s="14"/>
      <c r="X2244" s="14"/>
      <c r="Y2244" s="14"/>
      <c r="Z2244" s="14"/>
    </row>
    <row r="2245" spans="1:26" ht="13.2">
      <c r="A2245" s="13"/>
      <c r="B2245" s="14"/>
      <c r="C2245" s="14"/>
      <c r="D2245" s="14"/>
      <c r="E2245" s="14"/>
      <c r="F2245" s="14"/>
      <c r="G2245" s="14"/>
      <c r="H2245" s="14"/>
      <c r="I2245" s="14"/>
      <c r="J2245" s="14"/>
      <c r="K2245" s="14"/>
      <c r="L2245" s="15"/>
      <c r="M2245" s="15"/>
      <c r="N2245" s="15"/>
      <c r="O2245" s="15"/>
      <c r="P2245" s="15"/>
      <c r="Q2245" s="14"/>
      <c r="R2245" s="14"/>
      <c r="S2245" s="14"/>
      <c r="T2245" s="14"/>
      <c r="U2245" s="15"/>
      <c r="V2245" s="14"/>
      <c r="W2245" s="14"/>
      <c r="X2245" s="14"/>
      <c r="Y2245" s="14"/>
      <c r="Z2245" s="14"/>
    </row>
    <row r="2246" spans="1:26" ht="13.2">
      <c r="A2246" s="13"/>
      <c r="B2246" s="14"/>
      <c r="C2246" s="14"/>
      <c r="D2246" s="14"/>
      <c r="E2246" s="14"/>
      <c r="F2246" s="14"/>
      <c r="G2246" s="14"/>
      <c r="H2246" s="14"/>
      <c r="I2246" s="14"/>
      <c r="J2246" s="14"/>
      <c r="K2246" s="14"/>
      <c r="L2246" s="15"/>
      <c r="M2246" s="15"/>
      <c r="N2246" s="15"/>
      <c r="O2246" s="15"/>
      <c r="P2246" s="15"/>
      <c r="Q2246" s="14"/>
      <c r="R2246" s="14"/>
      <c r="S2246" s="14"/>
      <c r="T2246" s="14"/>
      <c r="U2246" s="15"/>
      <c r="V2246" s="14"/>
      <c r="W2246" s="14"/>
      <c r="X2246" s="14"/>
      <c r="Y2246" s="14"/>
      <c r="Z2246" s="14"/>
    </row>
    <row r="2247" spans="1:26" ht="13.2">
      <c r="A2247" s="13"/>
      <c r="B2247" s="14"/>
      <c r="C2247" s="14"/>
      <c r="D2247" s="14"/>
      <c r="E2247" s="14"/>
      <c r="F2247" s="14"/>
      <c r="G2247" s="14"/>
      <c r="H2247" s="14"/>
      <c r="I2247" s="14"/>
      <c r="J2247" s="14"/>
      <c r="K2247" s="14"/>
      <c r="L2247" s="15"/>
      <c r="M2247" s="15"/>
      <c r="N2247" s="15"/>
      <c r="O2247" s="15"/>
      <c r="P2247" s="15"/>
      <c r="Q2247" s="14"/>
      <c r="R2247" s="14"/>
      <c r="S2247" s="14"/>
      <c r="T2247" s="14"/>
      <c r="U2247" s="15"/>
      <c r="V2247" s="14"/>
      <c r="W2247" s="14"/>
      <c r="X2247" s="14"/>
      <c r="Y2247" s="14"/>
      <c r="Z2247" s="14"/>
    </row>
    <row r="2248" spans="1:26" ht="13.2">
      <c r="A2248" s="13"/>
      <c r="B2248" s="14"/>
      <c r="C2248" s="14"/>
      <c r="D2248" s="14"/>
      <c r="E2248" s="14"/>
      <c r="F2248" s="14"/>
      <c r="G2248" s="14"/>
      <c r="H2248" s="14"/>
      <c r="I2248" s="14"/>
      <c r="J2248" s="14"/>
      <c r="K2248" s="14"/>
      <c r="L2248" s="15"/>
      <c r="M2248" s="15"/>
      <c r="N2248" s="15"/>
      <c r="O2248" s="15"/>
      <c r="P2248" s="15"/>
      <c r="Q2248" s="14"/>
      <c r="R2248" s="14"/>
      <c r="S2248" s="14"/>
      <c r="T2248" s="14"/>
      <c r="U2248" s="15"/>
      <c r="V2248" s="14"/>
      <c r="W2248" s="14"/>
      <c r="X2248" s="14"/>
      <c r="Y2248" s="14"/>
      <c r="Z2248" s="14"/>
    </row>
    <row r="2249" spans="1:26" ht="13.2">
      <c r="A2249" s="13"/>
      <c r="B2249" s="14"/>
      <c r="C2249" s="14"/>
      <c r="D2249" s="14"/>
      <c r="E2249" s="14"/>
      <c r="F2249" s="14"/>
      <c r="G2249" s="14"/>
      <c r="H2249" s="14"/>
      <c r="I2249" s="14"/>
      <c r="J2249" s="14"/>
      <c r="K2249" s="14"/>
      <c r="L2249" s="15"/>
      <c r="M2249" s="15"/>
      <c r="N2249" s="15"/>
      <c r="O2249" s="15"/>
      <c r="P2249" s="15"/>
      <c r="Q2249" s="14"/>
      <c r="R2249" s="14"/>
      <c r="S2249" s="14"/>
      <c r="T2249" s="14"/>
      <c r="U2249" s="15"/>
      <c r="V2249" s="14"/>
      <c r="W2249" s="14"/>
      <c r="X2249" s="14"/>
      <c r="Y2249" s="14"/>
      <c r="Z2249" s="14"/>
    </row>
    <row r="2250" spans="1:26" ht="13.2">
      <c r="A2250" s="13"/>
      <c r="B2250" s="14"/>
      <c r="C2250" s="14"/>
      <c r="D2250" s="14"/>
      <c r="E2250" s="14"/>
      <c r="F2250" s="14"/>
      <c r="G2250" s="14"/>
      <c r="H2250" s="14"/>
      <c r="I2250" s="14"/>
      <c r="J2250" s="14"/>
      <c r="K2250" s="14"/>
      <c r="L2250" s="15"/>
      <c r="M2250" s="15"/>
      <c r="N2250" s="15"/>
      <c r="O2250" s="15"/>
      <c r="P2250" s="15"/>
      <c r="Q2250" s="14"/>
      <c r="R2250" s="14"/>
      <c r="S2250" s="14"/>
      <c r="T2250" s="14"/>
      <c r="U2250" s="15"/>
      <c r="V2250" s="14"/>
      <c r="W2250" s="14"/>
      <c r="X2250" s="14"/>
      <c r="Y2250" s="14"/>
      <c r="Z2250" s="14"/>
    </row>
    <row r="2251" spans="1:26" ht="13.2">
      <c r="A2251" s="13"/>
      <c r="B2251" s="14"/>
      <c r="C2251" s="14"/>
      <c r="D2251" s="14"/>
      <c r="E2251" s="14"/>
      <c r="F2251" s="14"/>
      <c r="G2251" s="14"/>
      <c r="H2251" s="14"/>
      <c r="I2251" s="14"/>
      <c r="J2251" s="14"/>
      <c r="K2251" s="14"/>
      <c r="L2251" s="15"/>
      <c r="M2251" s="15"/>
      <c r="N2251" s="15"/>
      <c r="O2251" s="15"/>
      <c r="P2251" s="15"/>
      <c r="Q2251" s="14"/>
      <c r="R2251" s="14"/>
      <c r="S2251" s="14"/>
      <c r="T2251" s="14"/>
      <c r="U2251" s="15"/>
      <c r="V2251" s="14"/>
      <c r="W2251" s="14"/>
      <c r="X2251" s="14"/>
      <c r="Y2251" s="14"/>
      <c r="Z2251" s="14"/>
    </row>
    <row r="2252" spans="1:26" ht="13.2">
      <c r="A2252" s="13"/>
      <c r="B2252" s="14"/>
      <c r="C2252" s="14"/>
      <c r="D2252" s="14"/>
      <c r="E2252" s="14"/>
      <c r="F2252" s="14"/>
      <c r="G2252" s="14"/>
      <c r="H2252" s="14"/>
      <c r="I2252" s="14"/>
      <c r="J2252" s="14"/>
      <c r="K2252" s="14"/>
      <c r="L2252" s="15"/>
      <c r="M2252" s="15"/>
      <c r="N2252" s="15"/>
      <c r="O2252" s="15"/>
      <c r="P2252" s="15"/>
      <c r="Q2252" s="14"/>
      <c r="R2252" s="14"/>
      <c r="S2252" s="14"/>
      <c r="T2252" s="14"/>
      <c r="U2252" s="15"/>
      <c r="V2252" s="14"/>
      <c r="W2252" s="14"/>
      <c r="X2252" s="14"/>
      <c r="Y2252" s="14"/>
      <c r="Z2252" s="14"/>
    </row>
    <row r="2253" spans="1:26" ht="13.2">
      <c r="A2253" s="13"/>
      <c r="B2253" s="14"/>
      <c r="C2253" s="14"/>
      <c r="D2253" s="14"/>
      <c r="E2253" s="14"/>
      <c r="F2253" s="14"/>
      <c r="G2253" s="14"/>
      <c r="H2253" s="14"/>
      <c r="I2253" s="14"/>
      <c r="J2253" s="14"/>
      <c r="K2253" s="14"/>
      <c r="L2253" s="15"/>
      <c r="M2253" s="15"/>
      <c r="N2253" s="15"/>
      <c r="O2253" s="15"/>
      <c r="P2253" s="15"/>
      <c r="Q2253" s="14"/>
      <c r="R2253" s="14"/>
      <c r="S2253" s="14"/>
      <c r="T2253" s="14"/>
      <c r="U2253" s="15"/>
      <c r="V2253" s="14"/>
      <c r="W2253" s="14"/>
      <c r="X2253" s="14"/>
      <c r="Y2253" s="14"/>
      <c r="Z2253" s="14"/>
    </row>
    <row r="2254" spans="1:26" ht="13.2">
      <c r="A2254" s="13"/>
      <c r="B2254" s="14"/>
      <c r="C2254" s="14"/>
      <c r="D2254" s="14"/>
      <c r="E2254" s="14"/>
      <c r="F2254" s="14"/>
      <c r="G2254" s="14"/>
      <c r="H2254" s="14"/>
      <c r="I2254" s="14"/>
      <c r="J2254" s="14"/>
      <c r="K2254" s="14"/>
      <c r="L2254" s="15"/>
      <c r="M2254" s="15"/>
      <c r="N2254" s="15"/>
      <c r="O2254" s="15"/>
      <c r="P2254" s="15"/>
      <c r="Q2254" s="14"/>
      <c r="R2254" s="14"/>
      <c r="S2254" s="14"/>
      <c r="T2254" s="14"/>
      <c r="U2254" s="15"/>
      <c r="V2254" s="14"/>
      <c r="W2254" s="14"/>
      <c r="X2254" s="14"/>
      <c r="Y2254" s="14"/>
      <c r="Z2254" s="14"/>
    </row>
    <row r="2255" spans="1:26" ht="13.2">
      <c r="A2255" s="13"/>
      <c r="B2255" s="14"/>
      <c r="C2255" s="14"/>
      <c r="D2255" s="14"/>
      <c r="E2255" s="14"/>
      <c r="F2255" s="14"/>
      <c r="G2255" s="14"/>
      <c r="H2255" s="14"/>
      <c r="I2255" s="14"/>
      <c r="J2255" s="14"/>
      <c r="K2255" s="14"/>
      <c r="L2255" s="15"/>
      <c r="M2255" s="15"/>
      <c r="N2255" s="15"/>
      <c r="O2255" s="15"/>
      <c r="P2255" s="15"/>
      <c r="Q2255" s="14"/>
      <c r="R2255" s="14"/>
      <c r="S2255" s="14"/>
      <c r="T2255" s="14"/>
      <c r="U2255" s="15"/>
      <c r="V2255" s="14"/>
      <c r="W2255" s="14"/>
      <c r="X2255" s="14"/>
      <c r="Y2255" s="14"/>
      <c r="Z2255" s="14"/>
    </row>
    <row r="2256" spans="1:26" ht="13.2">
      <c r="A2256" s="13"/>
      <c r="B2256" s="14"/>
      <c r="C2256" s="14"/>
      <c r="D2256" s="14"/>
      <c r="E2256" s="14"/>
      <c r="F2256" s="14"/>
      <c r="G2256" s="14"/>
      <c r="H2256" s="14"/>
      <c r="I2256" s="14"/>
      <c r="J2256" s="14"/>
      <c r="K2256" s="14"/>
      <c r="L2256" s="15"/>
      <c r="M2256" s="15"/>
      <c r="N2256" s="15"/>
      <c r="O2256" s="15"/>
      <c r="P2256" s="15"/>
      <c r="Q2256" s="14"/>
      <c r="R2256" s="14"/>
      <c r="S2256" s="14"/>
      <c r="T2256" s="14"/>
      <c r="U2256" s="15"/>
      <c r="V2256" s="14"/>
      <c r="W2256" s="14"/>
      <c r="X2256" s="14"/>
      <c r="Y2256" s="14"/>
      <c r="Z2256" s="14"/>
    </row>
    <row r="2257" spans="1:26" ht="13.2">
      <c r="A2257" s="13"/>
      <c r="B2257" s="14"/>
      <c r="C2257" s="14"/>
      <c r="D2257" s="14"/>
      <c r="E2257" s="14"/>
      <c r="F2257" s="14"/>
      <c r="G2257" s="14"/>
      <c r="H2257" s="14"/>
      <c r="I2257" s="14"/>
      <c r="J2257" s="14"/>
      <c r="K2257" s="14"/>
      <c r="L2257" s="15"/>
      <c r="M2257" s="15"/>
      <c r="N2257" s="15"/>
      <c r="O2257" s="15"/>
      <c r="P2257" s="15"/>
      <c r="Q2257" s="14"/>
      <c r="R2257" s="14"/>
      <c r="S2257" s="14"/>
      <c r="T2257" s="14"/>
      <c r="U2257" s="15"/>
      <c r="V2257" s="14"/>
      <c r="W2257" s="14"/>
      <c r="X2257" s="14"/>
      <c r="Y2257" s="14"/>
      <c r="Z2257" s="14"/>
    </row>
    <row r="2258" spans="1:26" ht="13.2">
      <c r="A2258" s="13"/>
      <c r="B2258" s="14"/>
      <c r="C2258" s="14"/>
      <c r="D2258" s="14"/>
      <c r="E2258" s="14"/>
      <c r="F2258" s="14"/>
      <c r="G2258" s="14"/>
      <c r="H2258" s="14"/>
      <c r="I2258" s="14"/>
      <c r="J2258" s="14"/>
      <c r="K2258" s="14"/>
      <c r="L2258" s="15"/>
      <c r="M2258" s="15"/>
      <c r="N2258" s="15"/>
      <c r="O2258" s="15"/>
      <c r="P2258" s="15"/>
      <c r="Q2258" s="14"/>
      <c r="R2258" s="14"/>
      <c r="S2258" s="14"/>
      <c r="T2258" s="14"/>
      <c r="U2258" s="15"/>
      <c r="V2258" s="14"/>
      <c r="W2258" s="14"/>
      <c r="X2258" s="14"/>
      <c r="Y2258" s="14"/>
      <c r="Z2258" s="14"/>
    </row>
    <row r="2259" spans="1:26" ht="13.2">
      <c r="A2259" s="13"/>
      <c r="B2259" s="14"/>
      <c r="C2259" s="14"/>
      <c r="D2259" s="14"/>
      <c r="E2259" s="14"/>
      <c r="F2259" s="14"/>
      <c r="G2259" s="14"/>
      <c r="H2259" s="14"/>
      <c r="I2259" s="14"/>
      <c r="J2259" s="14"/>
      <c r="K2259" s="14"/>
      <c r="L2259" s="15"/>
      <c r="M2259" s="15"/>
      <c r="N2259" s="15"/>
      <c r="O2259" s="15"/>
      <c r="P2259" s="15"/>
      <c r="Q2259" s="14"/>
      <c r="R2259" s="14"/>
      <c r="S2259" s="14"/>
      <c r="T2259" s="14"/>
      <c r="U2259" s="15"/>
      <c r="V2259" s="14"/>
      <c r="W2259" s="14"/>
      <c r="X2259" s="14"/>
      <c r="Y2259" s="14"/>
      <c r="Z2259" s="14"/>
    </row>
    <row r="2260" spans="1:26" ht="13.2">
      <c r="A2260" s="13"/>
      <c r="B2260" s="14"/>
      <c r="C2260" s="14"/>
      <c r="D2260" s="14"/>
      <c r="E2260" s="14"/>
      <c r="F2260" s="14"/>
      <c r="G2260" s="14"/>
      <c r="H2260" s="14"/>
      <c r="I2260" s="14"/>
      <c r="J2260" s="14"/>
      <c r="K2260" s="14"/>
      <c r="L2260" s="15"/>
      <c r="M2260" s="15"/>
      <c r="N2260" s="15"/>
      <c r="O2260" s="15"/>
      <c r="P2260" s="15"/>
      <c r="Q2260" s="14"/>
      <c r="R2260" s="14"/>
      <c r="S2260" s="14"/>
      <c r="T2260" s="14"/>
      <c r="U2260" s="15"/>
      <c r="V2260" s="14"/>
      <c r="W2260" s="14"/>
      <c r="X2260" s="14"/>
      <c r="Y2260" s="14"/>
      <c r="Z2260" s="14"/>
    </row>
    <row r="2261" spans="1:26" ht="13.2">
      <c r="A2261" s="13"/>
      <c r="B2261" s="14"/>
      <c r="C2261" s="14"/>
      <c r="D2261" s="14"/>
      <c r="E2261" s="14"/>
      <c r="F2261" s="14"/>
      <c r="G2261" s="14"/>
      <c r="H2261" s="14"/>
      <c r="I2261" s="14"/>
      <c r="J2261" s="14"/>
      <c r="K2261" s="14"/>
      <c r="L2261" s="15"/>
      <c r="M2261" s="15"/>
      <c r="N2261" s="15"/>
      <c r="O2261" s="15"/>
      <c r="P2261" s="15"/>
      <c r="Q2261" s="14"/>
      <c r="R2261" s="14"/>
      <c r="S2261" s="14"/>
      <c r="T2261" s="14"/>
      <c r="U2261" s="15"/>
      <c r="V2261" s="14"/>
      <c r="W2261" s="14"/>
      <c r="X2261" s="14"/>
      <c r="Y2261" s="14"/>
      <c r="Z2261" s="14"/>
    </row>
    <row r="2262" spans="1:26" ht="13.2">
      <c r="A2262" s="13"/>
      <c r="B2262" s="14"/>
      <c r="C2262" s="14"/>
      <c r="D2262" s="14"/>
      <c r="E2262" s="14"/>
      <c r="F2262" s="14"/>
      <c r="G2262" s="14"/>
      <c r="H2262" s="14"/>
      <c r="I2262" s="14"/>
      <c r="J2262" s="14"/>
      <c r="K2262" s="14"/>
      <c r="L2262" s="15"/>
      <c r="M2262" s="15"/>
      <c r="N2262" s="15"/>
      <c r="O2262" s="15"/>
      <c r="P2262" s="15"/>
      <c r="Q2262" s="14"/>
      <c r="R2262" s="14"/>
      <c r="S2262" s="14"/>
      <c r="T2262" s="14"/>
      <c r="U2262" s="15"/>
      <c r="V2262" s="14"/>
      <c r="W2262" s="14"/>
      <c r="X2262" s="14"/>
      <c r="Y2262" s="14"/>
      <c r="Z2262" s="14"/>
    </row>
    <row r="2263" spans="1:26" ht="13.2">
      <c r="A2263" s="13"/>
      <c r="B2263" s="14"/>
      <c r="C2263" s="14"/>
      <c r="D2263" s="14"/>
      <c r="E2263" s="14"/>
      <c r="F2263" s="14"/>
      <c r="G2263" s="14"/>
      <c r="H2263" s="14"/>
      <c r="I2263" s="14"/>
      <c r="J2263" s="14"/>
      <c r="K2263" s="14"/>
      <c r="L2263" s="15"/>
      <c r="M2263" s="15"/>
      <c r="N2263" s="15"/>
      <c r="O2263" s="15"/>
      <c r="P2263" s="15"/>
      <c r="Q2263" s="14"/>
      <c r="R2263" s="14"/>
      <c r="S2263" s="14"/>
      <c r="T2263" s="14"/>
      <c r="U2263" s="15"/>
      <c r="V2263" s="14"/>
      <c r="W2263" s="14"/>
      <c r="X2263" s="14"/>
      <c r="Y2263" s="14"/>
      <c r="Z2263" s="14"/>
    </row>
    <row r="2264" spans="1:26" ht="13.2">
      <c r="A2264" s="13"/>
      <c r="B2264" s="14"/>
      <c r="C2264" s="14"/>
      <c r="D2264" s="14"/>
      <c r="E2264" s="14"/>
      <c r="F2264" s="14"/>
      <c r="G2264" s="14"/>
      <c r="H2264" s="14"/>
      <c r="I2264" s="14"/>
      <c r="J2264" s="14"/>
      <c r="K2264" s="14"/>
      <c r="L2264" s="15"/>
      <c r="M2264" s="15"/>
      <c r="N2264" s="15"/>
      <c r="O2264" s="15"/>
      <c r="P2264" s="15"/>
      <c r="Q2264" s="14"/>
      <c r="R2264" s="14"/>
      <c r="S2264" s="14"/>
      <c r="T2264" s="14"/>
      <c r="U2264" s="15"/>
      <c r="V2264" s="14"/>
      <c r="W2264" s="14"/>
      <c r="X2264" s="14"/>
      <c r="Y2264" s="14"/>
      <c r="Z2264" s="14"/>
    </row>
    <row r="2265" spans="1:26" ht="13.2">
      <c r="A2265" s="13"/>
      <c r="B2265" s="14"/>
      <c r="C2265" s="14"/>
      <c r="D2265" s="14"/>
      <c r="E2265" s="14"/>
      <c r="F2265" s="14"/>
      <c r="G2265" s="14"/>
      <c r="H2265" s="14"/>
      <c r="I2265" s="14"/>
      <c r="J2265" s="14"/>
      <c r="K2265" s="14"/>
      <c r="L2265" s="15"/>
      <c r="M2265" s="15"/>
      <c r="N2265" s="15"/>
      <c r="O2265" s="15"/>
      <c r="P2265" s="15"/>
      <c r="Q2265" s="14"/>
      <c r="R2265" s="14"/>
      <c r="S2265" s="14"/>
      <c r="T2265" s="14"/>
      <c r="U2265" s="15"/>
      <c r="V2265" s="14"/>
      <c r="W2265" s="14"/>
      <c r="X2265" s="14"/>
      <c r="Y2265" s="14"/>
      <c r="Z2265" s="14"/>
    </row>
    <row r="2266" spans="1:26" ht="13.2">
      <c r="A2266" s="13"/>
      <c r="B2266" s="14"/>
      <c r="C2266" s="14"/>
      <c r="D2266" s="14"/>
      <c r="E2266" s="14"/>
      <c r="F2266" s="14"/>
      <c r="G2266" s="14"/>
      <c r="H2266" s="14"/>
      <c r="I2266" s="14"/>
      <c r="J2266" s="14"/>
      <c r="K2266" s="14"/>
      <c r="L2266" s="15"/>
      <c r="M2266" s="15"/>
      <c r="N2266" s="15"/>
      <c r="O2266" s="15"/>
      <c r="P2266" s="15"/>
      <c r="Q2266" s="14"/>
      <c r="R2266" s="14"/>
      <c r="S2266" s="14"/>
      <c r="T2266" s="14"/>
      <c r="U2266" s="15"/>
      <c r="V2266" s="14"/>
      <c r="W2266" s="14"/>
      <c r="X2266" s="14"/>
      <c r="Y2266" s="14"/>
      <c r="Z2266" s="14"/>
    </row>
    <row r="2267" spans="1:26" ht="13.2">
      <c r="A2267" s="13"/>
      <c r="B2267" s="14"/>
      <c r="C2267" s="14"/>
      <c r="D2267" s="14"/>
      <c r="E2267" s="14"/>
      <c r="F2267" s="14"/>
      <c r="G2267" s="14"/>
      <c r="H2267" s="14"/>
      <c r="I2267" s="14"/>
      <c r="J2267" s="14"/>
      <c r="K2267" s="14"/>
      <c r="L2267" s="15"/>
      <c r="M2267" s="15"/>
      <c r="N2267" s="15"/>
      <c r="O2267" s="15"/>
      <c r="P2267" s="15"/>
      <c r="Q2267" s="14"/>
      <c r="R2267" s="14"/>
      <c r="S2267" s="14"/>
      <c r="T2267" s="14"/>
      <c r="U2267" s="15"/>
      <c r="V2267" s="14"/>
      <c r="W2267" s="14"/>
      <c r="X2267" s="14"/>
      <c r="Y2267" s="14"/>
      <c r="Z2267" s="14"/>
    </row>
    <row r="2268" spans="1:26" ht="13.2">
      <c r="A2268" s="13"/>
      <c r="B2268" s="14"/>
      <c r="C2268" s="14"/>
      <c r="D2268" s="14"/>
      <c r="E2268" s="14"/>
      <c r="F2268" s="14"/>
      <c r="G2268" s="14"/>
      <c r="H2268" s="14"/>
      <c r="I2268" s="14"/>
      <c r="J2268" s="14"/>
      <c r="K2268" s="14"/>
      <c r="L2268" s="15"/>
      <c r="M2268" s="15"/>
      <c r="N2268" s="15"/>
      <c r="O2268" s="15"/>
      <c r="P2268" s="15"/>
      <c r="Q2268" s="14"/>
      <c r="R2268" s="14"/>
      <c r="S2268" s="14"/>
      <c r="T2268" s="14"/>
      <c r="U2268" s="15"/>
      <c r="V2268" s="14"/>
      <c r="W2268" s="14"/>
      <c r="X2268" s="14"/>
      <c r="Y2268" s="14"/>
      <c r="Z2268" s="14"/>
    </row>
    <row r="2269" spans="1:26" ht="13.2">
      <c r="A2269" s="13"/>
      <c r="B2269" s="14"/>
      <c r="C2269" s="14"/>
      <c r="D2269" s="14"/>
      <c r="E2269" s="14"/>
      <c r="F2269" s="14"/>
      <c r="G2269" s="14"/>
      <c r="H2269" s="14"/>
      <c r="I2269" s="14"/>
      <c r="J2269" s="14"/>
      <c r="K2269" s="14"/>
      <c r="L2269" s="15"/>
      <c r="M2269" s="15"/>
      <c r="N2269" s="15"/>
      <c r="O2269" s="15"/>
      <c r="P2269" s="15"/>
      <c r="Q2269" s="14"/>
      <c r="R2269" s="14"/>
      <c r="S2269" s="14"/>
      <c r="T2269" s="14"/>
      <c r="U2269" s="15"/>
      <c r="V2269" s="14"/>
      <c r="W2269" s="14"/>
      <c r="X2269" s="14"/>
      <c r="Y2269" s="14"/>
      <c r="Z2269" s="14"/>
    </row>
    <row r="2270" spans="1:26" ht="13.2">
      <c r="A2270" s="13"/>
      <c r="B2270" s="14"/>
      <c r="C2270" s="14"/>
      <c r="D2270" s="14"/>
      <c r="E2270" s="14"/>
      <c r="F2270" s="14"/>
      <c r="G2270" s="14"/>
      <c r="H2270" s="14"/>
      <c r="I2270" s="14"/>
      <c r="J2270" s="14"/>
      <c r="K2270" s="14"/>
      <c r="L2270" s="15"/>
      <c r="M2270" s="15"/>
      <c r="N2270" s="15"/>
      <c r="O2270" s="15"/>
      <c r="P2270" s="15"/>
      <c r="Q2270" s="14"/>
      <c r="R2270" s="14"/>
      <c r="S2270" s="14"/>
      <c r="T2270" s="14"/>
      <c r="U2270" s="15"/>
      <c r="V2270" s="14"/>
      <c r="W2270" s="14"/>
      <c r="X2270" s="14"/>
      <c r="Y2270" s="14"/>
      <c r="Z2270" s="14"/>
    </row>
    <row r="2271" spans="1:26" ht="13.2">
      <c r="A2271" s="13"/>
      <c r="B2271" s="14"/>
      <c r="C2271" s="14"/>
      <c r="D2271" s="14"/>
      <c r="E2271" s="14"/>
      <c r="F2271" s="14"/>
      <c r="G2271" s="14"/>
      <c r="H2271" s="14"/>
      <c r="I2271" s="14"/>
      <c r="J2271" s="14"/>
      <c r="K2271" s="14"/>
      <c r="L2271" s="15"/>
      <c r="M2271" s="15"/>
      <c r="N2271" s="15"/>
      <c r="O2271" s="15"/>
      <c r="P2271" s="15"/>
      <c r="Q2271" s="14"/>
      <c r="R2271" s="14"/>
      <c r="S2271" s="14"/>
      <c r="T2271" s="14"/>
      <c r="U2271" s="15"/>
      <c r="V2271" s="14"/>
      <c r="W2271" s="14"/>
      <c r="X2271" s="14"/>
      <c r="Y2271" s="14"/>
      <c r="Z2271" s="14"/>
    </row>
    <row r="2272" spans="1:26" ht="13.2">
      <c r="A2272" s="13"/>
      <c r="B2272" s="14"/>
      <c r="C2272" s="14"/>
      <c r="D2272" s="14"/>
      <c r="E2272" s="14"/>
      <c r="F2272" s="14"/>
      <c r="G2272" s="14"/>
      <c r="H2272" s="14"/>
      <c r="I2272" s="14"/>
      <c r="J2272" s="14"/>
      <c r="K2272" s="14"/>
      <c r="L2272" s="15"/>
      <c r="M2272" s="15"/>
      <c r="N2272" s="15"/>
      <c r="O2272" s="15"/>
      <c r="P2272" s="15"/>
      <c r="Q2272" s="14"/>
      <c r="R2272" s="14"/>
      <c r="S2272" s="14"/>
      <c r="T2272" s="14"/>
      <c r="U2272" s="15"/>
      <c r="V2272" s="14"/>
      <c r="W2272" s="14"/>
      <c r="X2272" s="14"/>
      <c r="Y2272" s="14"/>
      <c r="Z2272" s="14"/>
    </row>
    <row r="2273" spans="1:26" ht="13.2">
      <c r="A2273" s="13"/>
      <c r="B2273" s="14"/>
      <c r="C2273" s="14"/>
      <c r="D2273" s="14"/>
      <c r="E2273" s="14"/>
      <c r="F2273" s="14"/>
      <c r="G2273" s="14"/>
      <c r="H2273" s="14"/>
      <c r="I2273" s="14"/>
      <c r="J2273" s="14"/>
      <c r="K2273" s="14"/>
      <c r="L2273" s="15"/>
      <c r="M2273" s="15"/>
      <c r="N2273" s="15"/>
      <c r="O2273" s="15"/>
      <c r="P2273" s="15"/>
      <c r="Q2273" s="14"/>
      <c r="R2273" s="14"/>
      <c r="S2273" s="14"/>
      <c r="T2273" s="14"/>
      <c r="U2273" s="15"/>
      <c r="V2273" s="14"/>
      <c r="W2273" s="14"/>
      <c r="X2273" s="14"/>
      <c r="Y2273" s="14"/>
      <c r="Z2273" s="14"/>
    </row>
    <row r="2274" spans="1:26" ht="13.2">
      <c r="A2274" s="13"/>
      <c r="B2274" s="14"/>
      <c r="C2274" s="14"/>
      <c r="D2274" s="14"/>
      <c r="E2274" s="14"/>
      <c r="F2274" s="14"/>
      <c r="G2274" s="14"/>
      <c r="H2274" s="14"/>
      <c r="I2274" s="14"/>
      <c r="J2274" s="14"/>
      <c r="K2274" s="14"/>
      <c r="L2274" s="15"/>
      <c r="M2274" s="15"/>
      <c r="N2274" s="15"/>
      <c r="O2274" s="15"/>
      <c r="P2274" s="15"/>
      <c r="Q2274" s="14"/>
      <c r="R2274" s="14"/>
      <c r="S2274" s="14"/>
      <c r="T2274" s="14"/>
      <c r="U2274" s="15"/>
      <c r="V2274" s="14"/>
      <c r="W2274" s="14"/>
      <c r="X2274" s="14"/>
      <c r="Y2274" s="14"/>
      <c r="Z2274" s="14"/>
    </row>
    <row r="2275" spans="1:26" ht="13.2">
      <c r="A2275" s="13"/>
      <c r="B2275" s="14"/>
      <c r="C2275" s="14"/>
      <c r="D2275" s="14"/>
      <c r="E2275" s="14"/>
      <c r="F2275" s="14"/>
      <c r="G2275" s="14"/>
      <c r="H2275" s="14"/>
      <c r="I2275" s="14"/>
      <c r="J2275" s="14"/>
      <c r="K2275" s="14"/>
      <c r="L2275" s="15"/>
      <c r="M2275" s="15"/>
      <c r="N2275" s="15"/>
      <c r="O2275" s="15"/>
      <c r="P2275" s="15"/>
      <c r="Q2275" s="14"/>
      <c r="R2275" s="14"/>
      <c r="S2275" s="14"/>
      <c r="T2275" s="14"/>
      <c r="U2275" s="15"/>
      <c r="V2275" s="14"/>
      <c r="W2275" s="14"/>
      <c r="X2275" s="14"/>
      <c r="Y2275" s="14"/>
      <c r="Z2275" s="14"/>
    </row>
    <row r="2276" spans="1:26" ht="13.2">
      <c r="A2276" s="13"/>
      <c r="B2276" s="14"/>
      <c r="C2276" s="14"/>
      <c r="D2276" s="14"/>
      <c r="E2276" s="14"/>
      <c r="F2276" s="14"/>
      <c r="G2276" s="14"/>
      <c r="H2276" s="14"/>
      <c r="I2276" s="14"/>
      <c r="J2276" s="14"/>
      <c r="K2276" s="14"/>
      <c r="L2276" s="15"/>
      <c r="M2276" s="15"/>
      <c r="N2276" s="15"/>
      <c r="O2276" s="15"/>
      <c r="P2276" s="15"/>
      <c r="Q2276" s="14"/>
      <c r="R2276" s="14"/>
      <c r="S2276" s="14"/>
      <c r="T2276" s="14"/>
      <c r="U2276" s="15"/>
      <c r="V2276" s="14"/>
      <c r="W2276" s="14"/>
      <c r="X2276" s="14"/>
      <c r="Y2276" s="14"/>
      <c r="Z2276" s="14"/>
    </row>
    <row r="2277" spans="1:26" ht="13.2">
      <c r="A2277" s="13"/>
      <c r="B2277" s="14"/>
      <c r="C2277" s="14"/>
      <c r="D2277" s="14"/>
      <c r="E2277" s="14"/>
      <c r="F2277" s="14"/>
      <c r="G2277" s="14"/>
      <c r="H2277" s="14"/>
      <c r="I2277" s="14"/>
      <c r="J2277" s="14"/>
      <c r="K2277" s="14"/>
      <c r="L2277" s="15"/>
      <c r="M2277" s="15"/>
      <c r="N2277" s="15"/>
      <c r="O2277" s="15"/>
      <c r="P2277" s="15"/>
      <c r="Q2277" s="14"/>
      <c r="R2277" s="14"/>
      <c r="S2277" s="14"/>
      <c r="T2277" s="14"/>
      <c r="U2277" s="15"/>
      <c r="V2277" s="14"/>
      <c r="W2277" s="14"/>
      <c r="X2277" s="14"/>
      <c r="Y2277" s="14"/>
      <c r="Z2277" s="14"/>
    </row>
    <row r="2278" spans="1:26" ht="13.2">
      <c r="A2278" s="13"/>
      <c r="B2278" s="14"/>
      <c r="C2278" s="14"/>
      <c r="D2278" s="14"/>
      <c r="E2278" s="14"/>
      <c r="F2278" s="14"/>
      <c r="G2278" s="14"/>
      <c r="H2278" s="14"/>
      <c r="I2278" s="14"/>
      <c r="J2278" s="14"/>
      <c r="K2278" s="14"/>
      <c r="L2278" s="15"/>
      <c r="M2278" s="15"/>
      <c r="N2278" s="15"/>
      <c r="O2278" s="15"/>
      <c r="P2278" s="15"/>
      <c r="Q2278" s="14"/>
      <c r="R2278" s="14"/>
      <c r="S2278" s="14"/>
      <c r="T2278" s="14"/>
      <c r="U2278" s="15"/>
      <c r="V2278" s="14"/>
      <c r="W2278" s="14"/>
      <c r="X2278" s="14"/>
      <c r="Y2278" s="14"/>
      <c r="Z2278" s="14"/>
    </row>
    <row r="2279" spans="1:26" ht="13.2">
      <c r="A2279" s="13"/>
      <c r="B2279" s="14"/>
      <c r="C2279" s="14"/>
      <c r="D2279" s="14"/>
      <c r="E2279" s="14"/>
      <c r="F2279" s="14"/>
      <c r="G2279" s="14"/>
      <c r="H2279" s="14"/>
      <c r="I2279" s="14"/>
      <c r="J2279" s="14"/>
      <c r="K2279" s="14"/>
      <c r="L2279" s="15"/>
      <c r="M2279" s="15"/>
      <c r="N2279" s="15"/>
      <c r="O2279" s="15"/>
      <c r="P2279" s="15"/>
      <c r="Q2279" s="14"/>
      <c r="R2279" s="14"/>
      <c r="S2279" s="14"/>
      <c r="T2279" s="14"/>
      <c r="U2279" s="15"/>
      <c r="V2279" s="14"/>
      <c r="W2279" s="14"/>
      <c r="X2279" s="14"/>
      <c r="Y2279" s="14"/>
      <c r="Z2279" s="14"/>
    </row>
    <row r="2280" spans="1:26" ht="13.2">
      <c r="A2280" s="13"/>
      <c r="B2280" s="14"/>
      <c r="C2280" s="14"/>
      <c r="D2280" s="14"/>
      <c r="E2280" s="14"/>
      <c r="F2280" s="14"/>
      <c r="G2280" s="14"/>
      <c r="H2280" s="14"/>
      <c r="I2280" s="14"/>
      <c r="J2280" s="14"/>
      <c r="K2280" s="14"/>
      <c r="L2280" s="15"/>
      <c r="M2280" s="15"/>
      <c r="N2280" s="15"/>
      <c r="O2280" s="15"/>
      <c r="P2280" s="15"/>
      <c r="Q2280" s="14"/>
      <c r="R2280" s="14"/>
      <c r="S2280" s="14"/>
      <c r="T2280" s="14"/>
      <c r="U2280" s="15"/>
      <c r="V2280" s="14"/>
      <c r="W2280" s="14"/>
      <c r="X2280" s="14"/>
      <c r="Y2280" s="14"/>
      <c r="Z2280" s="14"/>
    </row>
    <row r="2281" spans="1:26" ht="13.2">
      <c r="A2281" s="13"/>
      <c r="B2281" s="14"/>
      <c r="C2281" s="14"/>
      <c r="D2281" s="14"/>
      <c r="E2281" s="14"/>
      <c r="F2281" s="14"/>
      <c r="G2281" s="14"/>
      <c r="H2281" s="14"/>
      <c r="I2281" s="14"/>
      <c r="J2281" s="14"/>
      <c r="K2281" s="14"/>
      <c r="L2281" s="15"/>
      <c r="M2281" s="15"/>
      <c r="N2281" s="15"/>
      <c r="O2281" s="15"/>
      <c r="P2281" s="15"/>
      <c r="Q2281" s="14"/>
      <c r="R2281" s="14"/>
      <c r="S2281" s="14"/>
      <c r="T2281" s="14"/>
      <c r="U2281" s="15"/>
      <c r="V2281" s="14"/>
      <c r="W2281" s="14"/>
      <c r="X2281" s="14"/>
      <c r="Y2281" s="14"/>
      <c r="Z2281" s="14"/>
    </row>
    <row r="2282" spans="1:26" ht="13.2">
      <c r="A2282" s="13"/>
      <c r="B2282" s="14"/>
      <c r="C2282" s="14"/>
      <c r="D2282" s="14"/>
      <c r="E2282" s="14"/>
      <c r="F2282" s="14"/>
      <c r="G2282" s="14"/>
      <c r="H2282" s="14"/>
      <c r="I2282" s="14"/>
      <c r="J2282" s="14"/>
      <c r="K2282" s="14"/>
      <c r="L2282" s="15"/>
      <c r="M2282" s="15"/>
      <c r="N2282" s="15"/>
      <c r="O2282" s="15"/>
      <c r="P2282" s="15"/>
      <c r="Q2282" s="14"/>
      <c r="R2282" s="14"/>
      <c r="S2282" s="14"/>
      <c r="T2282" s="14"/>
      <c r="U2282" s="15"/>
      <c r="V2282" s="14"/>
      <c r="W2282" s="14"/>
      <c r="X2282" s="14"/>
      <c r="Y2282" s="14"/>
      <c r="Z2282" s="14"/>
    </row>
    <row r="2283" spans="1:26" ht="13.2">
      <c r="A2283" s="13"/>
      <c r="B2283" s="14"/>
      <c r="C2283" s="14"/>
      <c r="D2283" s="14"/>
      <c r="E2283" s="14"/>
      <c r="F2283" s="14"/>
      <c r="G2283" s="14"/>
      <c r="H2283" s="14"/>
      <c r="I2283" s="14"/>
      <c r="J2283" s="14"/>
      <c r="K2283" s="14"/>
      <c r="L2283" s="15"/>
      <c r="M2283" s="15"/>
      <c r="N2283" s="15"/>
      <c r="O2283" s="15"/>
      <c r="P2283" s="15"/>
      <c r="Q2283" s="14"/>
      <c r="R2283" s="14"/>
      <c r="S2283" s="14"/>
      <c r="T2283" s="14"/>
      <c r="U2283" s="15"/>
      <c r="V2283" s="14"/>
      <c r="W2283" s="14"/>
      <c r="X2283" s="14"/>
      <c r="Y2283" s="14"/>
      <c r="Z2283" s="14"/>
    </row>
    <row r="2284" spans="1:26" ht="13.2">
      <c r="A2284" s="13"/>
      <c r="B2284" s="14"/>
      <c r="C2284" s="14"/>
      <c r="D2284" s="14"/>
      <c r="E2284" s="14"/>
      <c r="F2284" s="14"/>
      <c r="G2284" s="14"/>
      <c r="H2284" s="14"/>
      <c r="I2284" s="14"/>
      <c r="J2284" s="14"/>
      <c r="K2284" s="14"/>
      <c r="L2284" s="15"/>
      <c r="M2284" s="15"/>
      <c r="N2284" s="15"/>
      <c r="O2284" s="15"/>
      <c r="P2284" s="15"/>
      <c r="Q2284" s="14"/>
      <c r="R2284" s="14"/>
      <c r="S2284" s="14"/>
      <c r="T2284" s="14"/>
      <c r="U2284" s="15"/>
      <c r="V2284" s="14"/>
      <c r="W2284" s="14"/>
      <c r="X2284" s="14"/>
      <c r="Y2284" s="14"/>
      <c r="Z2284" s="14"/>
    </row>
    <row r="2285" spans="1:26" ht="13.2">
      <c r="A2285" s="13"/>
      <c r="B2285" s="14"/>
      <c r="C2285" s="14"/>
      <c r="D2285" s="14"/>
      <c r="E2285" s="14"/>
      <c r="F2285" s="14"/>
      <c r="G2285" s="14"/>
      <c r="H2285" s="14"/>
      <c r="I2285" s="14"/>
      <c r="J2285" s="14"/>
      <c r="K2285" s="14"/>
      <c r="L2285" s="15"/>
      <c r="M2285" s="15"/>
      <c r="N2285" s="15"/>
      <c r="O2285" s="15"/>
      <c r="P2285" s="15"/>
      <c r="Q2285" s="14"/>
      <c r="R2285" s="14"/>
      <c r="S2285" s="14"/>
      <c r="T2285" s="14"/>
      <c r="U2285" s="15"/>
      <c r="V2285" s="14"/>
      <c r="W2285" s="14"/>
      <c r="X2285" s="14"/>
      <c r="Y2285" s="14"/>
      <c r="Z2285" s="14"/>
    </row>
    <row r="2286" spans="1:26" ht="13.2">
      <c r="A2286" s="13"/>
      <c r="B2286" s="14"/>
      <c r="C2286" s="14"/>
      <c r="D2286" s="14"/>
      <c r="E2286" s="14"/>
      <c r="F2286" s="14"/>
      <c r="G2286" s="14"/>
      <c r="H2286" s="14"/>
      <c r="I2286" s="14"/>
      <c r="J2286" s="14"/>
      <c r="K2286" s="14"/>
      <c r="L2286" s="15"/>
      <c r="M2286" s="15"/>
      <c r="N2286" s="15"/>
      <c r="O2286" s="15"/>
      <c r="P2286" s="15"/>
      <c r="Q2286" s="14"/>
      <c r="R2286" s="14"/>
      <c r="S2286" s="14"/>
      <c r="T2286" s="14"/>
      <c r="U2286" s="15"/>
      <c r="V2286" s="14"/>
      <c r="W2286" s="14"/>
      <c r="X2286" s="14"/>
      <c r="Y2286" s="14"/>
      <c r="Z2286" s="14"/>
    </row>
    <row r="2287" spans="1:26" ht="13.2">
      <c r="A2287" s="13"/>
      <c r="B2287" s="14"/>
      <c r="C2287" s="14"/>
      <c r="D2287" s="14"/>
      <c r="E2287" s="14"/>
      <c r="F2287" s="14"/>
      <c r="G2287" s="14"/>
      <c r="H2287" s="14"/>
      <c r="I2287" s="14"/>
      <c r="J2287" s="14"/>
      <c r="K2287" s="14"/>
      <c r="L2287" s="15"/>
      <c r="M2287" s="15"/>
      <c r="N2287" s="15"/>
      <c r="O2287" s="15"/>
      <c r="P2287" s="15"/>
      <c r="Q2287" s="14"/>
      <c r="R2287" s="14"/>
      <c r="S2287" s="14"/>
      <c r="T2287" s="14"/>
      <c r="U2287" s="15"/>
      <c r="V2287" s="14"/>
      <c r="W2287" s="14"/>
      <c r="X2287" s="14"/>
      <c r="Y2287" s="14"/>
      <c r="Z2287" s="14"/>
    </row>
    <row r="2288" spans="1:26" ht="13.2">
      <c r="A2288" s="13"/>
      <c r="B2288" s="14"/>
      <c r="C2288" s="14"/>
      <c r="D2288" s="14"/>
      <c r="E2288" s="14"/>
      <c r="F2288" s="14"/>
      <c r="G2288" s="14"/>
      <c r="H2288" s="14"/>
      <c r="I2288" s="14"/>
      <c r="J2288" s="14"/>
      <c r="K2288" s="14"/>
      <c r="L2288" s="15"/>
      <c r="M2288" s="15"/>
      <c r="N2288" s="15"/>
      <c r="O2288" s="15"/>
      <c r="P2288" s="15"/>
      <c r="Q2288" s="14"/>
      <c r="R2288" s="14"/>
      <c r="S2288" s="14"/>
      <c r="T2288" s="14"/>
      <c r="U2288" s="15"/>
      <c r="V2288" s="14"/>
      <c r="W2288" s="14"/>
      <c r="X2288" s="14"/>
      <c r="Y2288" s="14"/>
      <c r="Z2288" s="14"/>
    </row>
    <row r="2289" spans="1:26" ht="13.2">
      <c r="A2289" s="13"/>
      <c r="B2289" s="14"/>
      <c r="C2289" s="14"/>
      <c r="D2289" s="14"/>
      <c r="E2289" s="14"/>
      <c r="F2289" s="14"/>
      <c r="G2289" s="14"/>
      <c r="H2289" s="14"/>
      <c r="I2289" s="14"/>
      <c r="J2289" s="14"/>
      <c r="K2289" s="14"/>
      <c r="L2289" s="15"/>
      <c r="M2289" s="15"/>
      <c r="N2289" s="15"/>
      <c r="O2289" s="15"/>
      <c r="P2289" s="15"/>
      <c r="Q2289" s="14"/>
      <c r="R2289" s="14"/>
      <c r="S2289" s="14"/>
      <c r="T2289" s="14"/>
      <c r="U2289" s="15"/>
      <c r="V2289" s="14"/>
      <c r="W2289" s="14"/>
      <c r="X2289" s="14"/>
      <c r="Y2289" s="14"/>
      <c r="Z2289" s="14"/>
    </row>
    <row r="2290" spans="1:26" ht="13.2">
      <c r="A2290" s="13"/>
      <c r="B2290" s="14"/>
      <c r="C2290" s="14"/>
      <c r="D2290" s="14"/>
      <c r="E2290" s="14"/>
      <c r="F2290" s="14"/>
      <c r="G2290" s="14"/>
      <c r="H2290" s="14"/>
      <c r="I2290" s="14"/>
      <c r="J2290" s="14"/>
      <c r="K2290" s="14"/>
      <c r="L2290" s="15"/>
      <c r="M2290" s="15"/>
      <c r="N2290" s="15"/>
      <c r="O2290" s="15"/>
      <c r="P2290" s="15"/>
      <c r="Q2290" s="14"/>
      <c r="R2290" s="14"/>
      <c r="S2290" s="14"/>
      <c r="T2290" s="14"/>
      <c r="U2290" s="15"/>
      <c r="V2290" s="14"/>
      <c r="W2290" s="14"/>
      <c r="X2290" s="14"/>
      <c r="Y2290" s="14"/>
      <c r="Z2290" s="14"/>
    </row>
    <row r="2291" spans="1:26" ht="13.2">
      <c r="A2291" s="13"/>
      <c r="B2291" s="14"/>
      <c r="C2291" s="14"/>
      <c r="D2291" s="14"/>
      <c r="E2291" s="14"/>
      <c r="F2291" s="14"/>
      <c r="G2291" s="14"/>
      <c r="H2291" s="14"/>
      <c r="I2291" s="14"/>
      <c r="J2291" s="14"/>
      <c r="K2291" s="14"/>
      <c r="L2291" s="15"/>
      <c r="M2291" s="15"/>
      <c r="N2291" s="15"/>
      <c r="O2291" s="15"/>
      <c r="P2291" s="15"/>
      <c r="Q2291" s="14"/>
      <c r="R2291" s="14"/>
      <c r="S2291" s="14"/>
      <c r="T2291" s="14"/>
      <c r="U2291" s="15"/>
      <c r="V2291" s="14"/>
      <c r="W2291" s="14"/>
      <c r="X2291" s="14"/>
      <c r="Y2291" s="14"/>
      <c r="Z2291" s="14"/>
    </row>
    <row r="2292" spans="1:26" ht="13.2">
      <c r="A2292" s="13"/>
      <c r="B2292" s="14"/>
      <c r="C2292" s="14"/>
      <c r="D2292" s="14"/>
      <c r="E2292" s="14"/>
      <c r="F2292" s="14"/>
      <c r="G2292" s="14"/>
      <c r="H2292" s="14"/>
      <c r="I2292" s="14"/>
      <c r="J2292" s="14"/>
      <c r="K2292" s="14"/>
      <c r="L2292" s="15"/>
      <c r="M2292" s="15"/>
      <c r="N2292" s="15"/>
      <c r="O2292" s="15"/>
      <c r="P2292" s="15"/>
      <c r="Q2292" s="14"/>
      <c r="R2292" s="14"/>
      <c r="S2292" s="14"/>
      <c r="T2292" s="14"/>
      <c r="U2292" s="15"/>
      <c r="V2292" s="14"/>
      <c r="W2292" s="14"/>
      <c r="X2292" s="14"/>
      <c r="Y2292" s="14"/>
      <c r="Z2292" s="14"/>
    </row>
    <row r="2293" spans="1:26" ht="13.2">
      <c r="A2293" s="13"/>
      <c r="B2293" s="14"/>
      <c r="C2293" s="14"/>
      <c r="D2293" s="14"/>
      <c r="E2293" s="14"/>
      <c r="F2293" s="14"/>
      <c r="G2293" s="14"/>
      <c r="H2293" s="14"/>
      <c r="I2293" s="14"/>
      <c r="J2293" s="14"/>
      <c r="K2293" s="14"/>
      <c r="L2293" s="15"/>
      <c r="M2293" s="15"/>
      <c r="N2293" s="15"/>
      <c r="O2293" s="15"/>
      <c r="P2293" s="15"/>
      <c r="Q2293" s="14"/>
      <c r="R2293" s="14"/>
      <c r="S2293" s="14"/>
      <c r="T2293" s="14"/>
      <c r="U2293" s="15"/>
      <c r="V2293" s="14"/>
      <c r="W2293" s="14"/>
      <c r="X2293" s="14"/>
      <c r="Y2293" s="14"/>
      <c r="Z2293" s="14"/>
    </row>
    <row r="2294" spans="1:26" ht="13.2">
      <c r="A2294" s="13"/>
      <c r="B2294" s="14"/>
      <c r="C2294" s="14"/>
      <c r="D2294" s="14"/>
      <c r="E2294" s="14"/>
      <c r="F2294" s="14"/>
      <c r="G2294" s="14"/>
      <c r="H2294" s="14"/>
      <c r="I2294" s="14"/>
      <c r="J2294" s="14"/>
      <c r="K2294" s="14"/>
      <c r="L2294" s="15"/>
      <c r="M2294" s="15"/>
      <c r="N2294" s="15"/>
      <c r="O2294" s="15"/>
      <c r="P2294" s="15"/>
      <c r="Q2294" s="14"/>
      <c r="R2294" s="14"/>
      <c r="S2294" s="14"/>
      <c r="T2294" s="14"/>
      <c r="U2294" s="15"/>
      <c r="V2294" s="14"/>
      <c r="W2294" s="14"/>
      <c r="X2294" s="14"/>
      <c r="Y2294" s="14"/>
      <c r="Z2294" s="14"/>
    </row>
    <row r="2295" spans="1:26" ht="13.2">
      <c r="A2295" s="13"/>
      <c r="B2295" s="14"/>
      <c r="C2295" s="14"/>
      <c r="D2295" s="14"/>
      <c r="E2295" s="14"/>
      <c r="F2295" s="14"/>
      <c r="G2295" s="14"/>
      <c r="H2295" s="14"/>
      <c r="I2295" s="14"/>
      <c r="J2295" s="14"/>
      <c r="K2295" s="14"/>
      <c r="L2295" s="15"/>
      <c r="M2295" s="15"/>
      <c r="N2295" s="15"/>
      <c r="O2295" s="15"/>
      <c r="P2295" s="15"/>
      <c r="Q2295" s="14"/>
      <c r="R2295" s="14"/>
      <c r="S2295" s="14"/>
      <c r="T2295" s="14"/>
      <c r="U2295" s="15"/>
      <c r="V2295" s="14"/>
      <c r="W2295" s="14"/>
      <c r="X2295" s="14"/>
      <c r="Y2295" s="14"/>
      <c r="Z2295" s="14"/>
    </row>
    <row r="2296" spans="1:26" ht="13.2">
      <c r="A2296" s="13"/>
      <c r="B2296" s="14"/>
      <c r="C2296" s="14"/>
      <c r="D2296" s="14"/>
      <c r="E2296" s="14"/>
      <c r="F2296" s="14"/>
      <c r="G2296" s="14"/>
      <c r="H2296" s="14"/>
      <c r="I2296" s="14"/>
      <c r="J2296" s="14"/>
      <c r="K2296" s="14"/>
      <c r="L2296" s="15"/>
      <c r="M2296" s="15"/>
      <c r="N2296" s="15"/>
      <c r="O2296" s="15"/>
      <c r="P2296" s="15"/>
      <c r="Q2296" s="14"/>
      <c r="R2296" s="14"/>
      <c r="S2296" s="14"/>
      <c r="T2296" s="14"/>
      <c r="U2296" s="15"/>
      <c r="V2296" s="14"/>
      <c r="W2296" s="14"/>
      <c r="X2296" s="14"/>
      <c r="Y2296" s="14"/>
      <c r="Z2296" s="14"/>
    </row>
    <row r="2297" spans="1:26" ht="13.2">
      <c r="A2297" s="13"/>
      <c r="B2297" s="14"/>
      <c r="C2297" s="14"/>
      <c r="D2297" s="14"/>
      <c r="E2297" s="14"/>
      <c r="F2297" s="14"/>
      <c r="G2297" s="14"/>
      <c r="H2297" s="14"/>
      <c r="I2297" s="14"/>
      <c r="J2297" s="14"/>
      <c r="K2297" s="14"/>
      <c r="L2297" s="15"/>
      <c r="M2297" s="15"/>
      <c r="N2297" s="15"/>
      <c r="O2297" s="15"/>
      <c r="P2297" s="15"/>
      <c r="Q2297" s="14"/>
      <c r="R2297" s="14"/>
      <c r="S2297" s="14"/>
      <c r="T2297" s="14"/>
      <c r="U2297" s="15"/>
      <c r="V2297" s="14"/>
      <c r="W2297" s="14"/>
      <c r="X2297" s="14"/>
      <c r="Y2297" s="14"/>
      <c r="Z2297" s="14"/>
    </row>
    <row r="2298" spans="1:26" ht="13.2">
      <c r="A2298" s="13"/>
      <c r="B2298" s="14"/>
      <c r="C2298" s="14"/>
      <c r="D2298" s="14"/>
      <c r="E2298" s="14"/>
      <c r="F2298" s="14"/>
      <c r="G2298" s="14"/>
      <c r="H2298" s="14"/>
      <c r="I2298" s="14"/>
      <c r="J2298" s="14"/>
      <c r="K2298" s="14"/>
      <c r="L2298" s="15"/>
      <c r="M2298" s="15"/>
      <c r="N2298" s="15"/>
      <c r="O2298" s="15"/>
      <c r="P2298" s="15"/>
      <c r="Q2298" s="14"/>
      <c r="R2298" s="14"/>
      <c r="S2298" s="14"/>
      <c r="T2298" s="14"/>
      <c r="U2298" s="15"/>
      <c r="V2298" s="14"/>
      <c r="W2298" s="14"/>
      <c r="X2298" s="14"/>
      <c r="Y2298" s="14"/>
      <c r="Z2298" s="14"/>
    </row>
    <row r="2299" spans="1:26" ht="13.2">
      <c r="A2299" s="13"/>
      <c r="B2299" s="14"/>
      <c r="C2299" s="14"/>
      <c r="D2299" s="14"/>
      <c r="E2299" s="14"/>
      <c r="F2299" s="14"/>
      <c r="G2299" s="14"/>
      <c r="H2299" s="14"/>
      <c r="I2299" s="14"/>
      <c r="J2299" s="14"/>
      <c r="K2299" s="14"/>
      <c r="L2299" s="15"/>
      <c r="M2299" s="15"/>
      <c r="N2299" s="15"/>
      <c r="O2299" s="15"/>
      <c r="P2299" s="15"/>
      <c r="Q2299" s="14"/>
      <c r="R2299" s="14"/>
      <c r="S2299" s="14"/>
      <c r="T2299" s="14"/>
      <c r="U2299" s="15"/>
      <c r="V2299" s="14"/>
      <c r="W2299" s="14"/>
      <c r="X2299" s="14"/>
      <c r="Y2299" s="14"/>
      <c r="Z2299" s="14"/>
    </row>
    <row r="2300" spans="1:26" ht="13.2">
      <c r="A2300" s="13"/>
      <c r="B2300" s="14"/>
      <c r="C2300" s="14"/>
      <c r="D2300" s="14"/>
      <c r="E2300" s="14"/>
      <c r="F2300" s="14"/>
      <c r="G2300" s="14"/>
      <c r="H2300" s="14"/>
      <c r="I2300" s="14"/>
      <c r="J2300" s="14"/>
      <c r="K2300" s="14"/>
      <c r="L2300" s="15"/>
      <c r="M2300" s="15"/>
      <c r="N2300" s="15"/>
      <c r="O2300" s="15"/>
      <c r="P2300" s="15"/>
      <c r="Q2300" s="14"/>
      <c r="R2300" s="14"/>
      <c r="S2300" s="14"/>
      <c r="T2300" s="14"/>
      <c r="U2300" s="15"/>
      <c r="V2300" s="14"/>
      <c r="W2300" s="14"/>
      <c r="X2300" s="14"/>
      <c r="Y2300" s="14"/>
      <c r="Z2300" s="14"/>
    </row>
    <row r="2301" spans="1:26" ht="13.2">
      <c r="A2301" s="13"/>
      <c r="B2301" s="14"/>
      <c r="C2301" s="14"/>
      <c r="D2301" s="14"/>
      <c r="E2301" s="14"/>
      <c r="F2301" s="14"/>
      <c r="G2301" s="14"/>
      <c r="H2301" s="14"/>
      <c r="I2301" s="14"/>
      <c r="J2301" s="14"/>
      <c r="K2301" s="14"/>
      <c r="L2301" s="15"/>
      <c r="M2301" s="15"/>
      <c r="N2301" s="15"/>
      <c r="O2301" s="15"/>
      <c r="P2301" s="15"/>
      <c r="Q2301" s="14"/>
      <c r="R2301" s="14"/>
      <c r="S2301" s="14"/>
      <c r="T2301" s="14"/>
      <c r="U2301" s="15"/>
      <c r="V2301" s="14"/>
      <c r="W2301" s="14"/>
      <c r="X2301" s="14"/>
      <c r="Y2301" s="14"/>
      <c r="Z2301" s="14"/>
    </row>
    <row r="2302" spans="1:26" ht="13.2">
      <c r="A2302" s="13"/>
      <c r="B2302" s="14"/>
      <c r="C2302" s="14"/>
      <c r="D2302" s="14"/>
      <c r="E2302" s="14"/>
      <c r="F2302" s="14"/>
      <c r="G2302" s="14"/>
      <c r="H2302" s="14"/>
      <c r="I2302" s="14"/>
      <c r="J2302" s="14"/>
      <c r="K2302" s="14"/>
      <c r="L2302" s="15"/>
      <c r="M2302" s="15"/>
      <c r="N2302" s="15"/>
      <c r="O2302" s="15"/>
      <c r="P2302" s="15"/>
      <c r="Q2302" s="14"/>
      <c r="R2302" s="14"/>
      <c r="S2302" s="14"/>
      <c r="T2302" s="14"/>
      <c r="U2302" s="15"/>
      <c r="V2302" s="14"/>
      <c r="W2302" s="14"/>
      <c r="X2302" s="14"/>
      <c r="Y2302" s="14"/>
      <c r="Z2302" s="14"/>
    </row>
    <row r="2303" spans="1:26" ht="13.2">
      <c r="A2303" s="13"/>
      <c r="B2303" s="14"/>
      <c r="C2303" s="14"/>
      <c r="D2303" s="14"/>
      <c r="E2303" s="14"/>
      <c r="F2303" s="14"/>
      <c r="G2303" s="14"/>
      <c r="H2303" s="14"/>
      <c r="I2303" s="14"/>
      <c r="J2303" s="14"/>
      <c r="K2303" s="14"/>
      <c r="L2303" s="15"/>
      <c r="M2303" s="15"/>
      <c r="N2303" s="15"/>
      <c r="O2303" s="15"/>
      <c r="P2303" s="15"/>
      <c r="Q2303" s="14"/>
      <c r="R2303" s="14"/>
      <c r="S2303" s="14"/>
      <c r="T2303" s="14"/>
      <c r="U2303" s="15"/>
      <c r="V2303" s="14"/>
      <c r="W2303" s="14"/>
      <c r="X2303" s="14"/>
      <c r="Y2303" s="14"/>
      <c r="Z2303" s="14"/>
    </row>
    <row r="2304" spans="1:26" ht="13.2">
      <c r="A2304" s="13"/>
      <c r="B2304" s="14"/>
      <c r="C2304" s="14"/>
      <c r="D2304" s="14"/>
      <c r="E2304" s="14"/>
      <c r="F2304" s="14"/>
      <c r="G2304" s="14"/>
      <c r="H2304" s="14"/>
      <c r="I2304" s="14"/>
      <c r="J2304" s="14"/>
      <c r="K2304" s="14"/>
      <c r="L2304" s="15"/>
      <c r="M2304" s="15"/>
      <c r="N2304" s="15"/>
      <c r="O2304" s="15"/>
      <c r="P2304" s="15"/>
      <c r="Q2304" s="14"/>
      <c r="R2304" s="14"/>
      <c r="S2304" s="14"/>
      <c r="T2304" s="14"/>
      <c r="U2304" s="15"/>
      <c r="V2304" s="14"/>
      <c r="W2304" s="14"/>
      <c r="X2304" s="14"/>
      <c r="Y2304" s="14"/>
      <c r="Z2304" s="14"/>
    </row>
    <row r="2305" spans="1:26" ht="13.2">
      <c r="A2305" s="13"/>
      <c r="B2305" s="14"/>
      <c r="C2305" s="14"/>
      <c r="D2305" s="14"/>
      <c r="E2305" s="14"/>
      <c r="F2305" s="14"/>
      <c r="G2305" s="14"/>
      <c r="H2305" s="14"/>
      <c r="I2305" s="14"/>
      <c r="J2305" s="14"/>
      <c r="K2305" s="14"/>
      <c r="L2305" s="15"/>
      <c r="M2305" s="15"/>
      <c r="N2305" s="15"/>
      <c r="O2305" s="15"/>
      <c r="P2305" s="15"/>
      <c r="Q2305" s="14"/>
      <c r="R2305" s="14"/>
      <c r="S2305" s="14"/>
      <c r="T2305" s="14"/>
      <c r="U2305" s="15"/>
      <c r="V2305" s="14"/>
      <c r="W2305" s="14"/>
      <c r="X2305" s="14"/>
      <c r="Y2305" s="14"/>
      <c r="Z2305" s="14"/>
    </row>
    <row r="2306" spans="1:26" ht="13.2">
      <c r="A2306" s="13"/>
      <c r="B2306" s="14"/>
      <c r="C2306" s="14"/>
      <c r="D2306" s="14"/>
      <c r="E2306" s="14"/>
      <c r="F2306" s="14"/>
      <c r="G2306" s="14"/>
      <c r="H2306" s="14"/>
      <c r="I2306" s="14"/>
      <c r="J2306" s="14"/>
      <c r="K2306" s="14"/>
      <c r="L2306" s="15"/>
      <c r="M2306" s="15"/>
      <c r="N2306" s="15"/>
      <c r="O2306" s="15"/>
      <c r="P2306" s="15"/>
      <c r="Q2306" s="14"/>
      <c r="R2306" s="14"/>
      <c r="S2306" s="14"/>
      <c r="T2306" s="14"/>
      <c r="U2306" s="15"/>
      <c r="V2306" s="14"/>
      <c r="W2306" s="14"/>
      <c r="X2306" s="14"/>
      <c r="Y2306" s="14"/>
      <c r="Z2306" s="14"/>
    </row>
    <row r="2307" spans="1:26" ht="13.2">
      <c r="A2307" s="13"/>
      <c r="B2307" s="14"/>
      <c r="C2307" s="14"/>
      <c r="D2307" s="14"/>
      <c r="E2307" s="14"/>
      <c r="F2307" s="14"/>
      <c r="G2307" s="14"/>
      <c r="H2307" s="14"/>
      <c r="I2307" s="14"/>
      <c r="J2307" s="14"/>
      <c r="K2307" s="14"/>
      <c r="L2307" s="15"/>
      <c r="M2307" s="15"/>
      <c r="N2307" s="15"/>
      <c r="O2307" s="15"/>
      <c r="P2307" s="15"/>
      <c r="Q2307" s="14"/>
      <c r="R2307" s="14"/>
      <c r="S2307" s="14"/>
      <c r="T2307" s="14"/>
      <c r="U2307" s="15"/>
      <c r="V2307" s="14"/>
      <c r="W2307" s="14"/>
      <c r="X2307" s="14"/>
      <c r="Y2307" s="14"/>
      <c r="Z2307" s="14"/>
    </row>
    <row r="2308" spans="1:26" ht="13.2">
      <c r="A2308" s="13"/>
      <c r="B2308" s="14"/>
      <c r="C2308" s="14"/>
      <c r="D2308" s="14"/>
      <c r="E2308" s="14"/>
      <c r="F2308" s="14"/>
      <c r="G2308" s="14"/>
      <c r="H2308" s="14"/>
      <c r="I2308" s="14"/>
      <c r="J2308" s="14"/>
      <c r="K2308" s="14"/>
      <c r="L2308" s="15"/>
      <c r="M2308" s="15"/>
      <c r="N2308" s="15"/>
      <c r="O2308" s="15"/>
      <c r="P2308" s="15"/>
      <c r="Q2308" s="14"/>
      <c r="R2308" s="14"/>
      <c r="S2308" s="14"/>
      <c r="T2308" s="14"/>
      <c r="U2308" s="15"/>
      <c r="V2308" s="14"/>
      <c r="W2308" s="14"/>
      <c r="X2308" s="14"/>
      <c r="Y2308" s="14"/>
      <c r="Z2308" s="14"/>
    </row>
    <row r="2309" spans="1:26" ht="13.2">
      <c r="A2309" s="13"/>
      <c r="B2309" s="14"/>
      <c r="C2309" s="14"/>
      <c r="D2309" s="14"/>
      <c r="E2309" s="14"/>
      <c r="F2309" s="14"/>
      <c r="G2309" s="14"/>
      <c r="H2309" s="14"/>
      <c r="I2309" s="14"/>
      <c r="J2309" s="14"/>
      <c r="K2309" s="14"/>
      <c r="L2309" s="15"/>
      <c r="M2309" s="15"/>
      <c r="N2309" s="15"/>
      <c r="O2309" s="15"/>
      <c r="P2309" s="15"/>
      <c r="Q2309" s="14"/>
      <c r="R2309" s="14"/>
      <c r="S2309" s="14"/>
      <c r="T2309" s="14"/>
      <c r="U2309" s="15"/>
      <c r="V2309" s="14"/>
      <c r="W2309" s="14"/>
      <c r="X2309" s="14"/>
      <c r="Y2309" s="14"/>
      <c r="Z2309" s="14"/>
    </row>
    <row r="2310" spans="1:26" ht="13.2">
      <c r="A2310" s="13"/>
      <c r="B2310" s="14"/>
      <c r="C2310" s="14"/>
      <c r="D2310" s="14"/>
      <c r="E2310" s="14"/>
      <c r="F2310" s="14"/>
      <c r="G2310" s="14"/>
      <c r="H2310" s="14"/>
      <c r="I2310" s="14"/>
      <c r="J2310" s="14"/>
      <c r="K2310" s="14"/>
      <c r="L2310" s="15"/>
      <c r="M2310" s="15"/>
      <c r="N2310" s="15"/>
      <c r="O2310" s="15"/>
      <c r="P2310" s="15"/>
      <c r="Q2310" s="14"/>
      <c r="R2310" s="14"/>
      <c r="S2310" s="14"/>
      <c r="T2310" s="14"/>
      <c r="U2310" s="15"/>
      <c r="V2310" s="14"/>
      <c r="W2310" s="14"/>
      <c r="X2310" s="14"/>
      <c r="Y2310" s="14"/>
      <c r="Z2310" s="14"/>
    </row>
    <row r="2311" spans="1:26" ht="13.2">
      <c r="A2311" s="13"/>
      <c r="B2311" s="14"/>
      <c r="C2311" s="14"/>
      <c r="D2311" s="14"/>
      <c r="E2311" s="14"/>
      <c r="F2311" s="14"/>
      <c r="G2311" s="14"/>
      <c r="H2311" s="14"/>
      <c r="I2311" s="14"/>
      <c r="J2311" s="14"/>
      <c r="K2311" s="14"/>
      <c r="L2311" s="15"/>
      <c r="M2311" s="15"/>
      <c r="N2311" s="15"/>
      <c r="O2311" s="15"/>
      <c r="P2311" s="15"/>
      <c r="Q2311" s="14"/>
      <c r="R2311" s="14"/>
      <c r="S2311" s="14"/>
      <c r="T2311" s="14"/>
      <c r="U2311" s="15"/>
      <c r="V2311" s="14"/>
      <c r="W2311" s="14"/>
      <c r="X2311" s="14"/>
      <c r="Y2311" s="14"/>
      <c r="Z2311" s="14"/>
    </row>
    <row r="2312" spans="1:26" ht="13.2">
      <c r="A2312" s="13"/>
      <c r="B2312" s="14"/>
      <c r="C2312" s="14"/>
      <c r="D2312" s="14"/>
      <c r="E2312" s="14"/>
      <c r="F2312" s="14"/>
      <c r="G2312" s="14"/>
      <c r="H2312" s="14"/>
      <c r="I2312" s="14"/>
      <c r="J2312" s="14"/>
      <c r="K2312" s="14"/>
      <c r="L2312" s="15"/>
      <c r="M2312" s="15"/>
      <c r="N2312" s="15"/>
      <c r="O2312" s="15"/>
      <c r="P2312" s="15"/>
      <c r="Q2312" s="14"/>
      <c r="R2312" s="14"/>
      <c r="S2312" s="14"/>
      <c r="T2312" s="14"/>
      <c r="U2312" s="15"/>
      <c r="V2312" s="14"/>
      <c r="W2312" s="14"/>
      <c r="X2312" s="14"/>
      <c r="Y2312" s="14"/>
      <c r="Z2312" s="14"/>
    </row>
    <row r="2313" spans="1:26" ht="13.2">
      <c r="A2313" s="13"/>
      <c r="B2313" s="14"/>
      <c r="C2313" s="14"/>
      <c r="D2313" s="14"/>
      <c r="E2313" s="14"/>
      <c r="F2313" s="14"/>
      <c r="G2313" s="14"/>
      <c r="H2313" s="14"/>
      <c r="I2313" s="14"/>
      <c r="J2313" s="14"/>
      <c r="K2313" s="14"/>
      <c r="L2313" s="15"/>
      <c r="M2313" s="15"/>
      <c r="N2313" s="15"/>
      <c r="O2313" s="15"/>
      <c r="P2313" s="15"/>
      <c r="Q2313" s="14"/>
      <c r="R2313" s="14"/>
      <c r="S2313" s="14"/>
      <c r="T2313" s="14"/>
      <c r="U2313" s="15"/>
      <c r="V2313" s="14"/>
      <c r="W2313" s="14"/>
      <c r="X2313" s="14"/>
      <c r="Y2313" s="14"/>
      <c r="Z2313" s="14"/>
    </row>
    <row r="2314" spans="1:26" ht="13.2">
      <c r="A2314" s="13"/>
      <c r="B2314" s="14"/>
      <c r="C2314" s="14"/>
      <c r="D2314" s="14"/>
      <c r="E2314" s="14"/>
      <c r="F2314" s="14"/>
      <c r="G2314" s="14"/>
      <c r="H2314" s="14"/>
      <c r="I2314" s="14"/>
      <c r="J2314" s="14"/>
      <c r="K2314" s="14"/>
      <c r="L2314" s="15"/>
      <c r="M2314" s="15"/>
      <c r="N2314" s="15"/>
      <c r="O2314" s="15"/>
      <c r="P2314" s="15"/>
      <c r="Q2314" s="14"/>
      <c r="R2314" s="14"/>
      <c r="S2314" s="14"/>
      <c r="T2314" s="14"/>
      <c r="U2314" s="15"/>
      <c r="V2314" s="14"/>
      <c r="W2314" s="14"/>
      <c r="X2314" s="14"/>
      <c r="Y2314" s="14"/>
      <c r="Z2314" s="14"/>
    </row>
    <row r="2315" spans="1:26" ht="13.2">
      <c r="A2315" s="13"/>
      <c r="B2315" s="14"/>
      <c r="C2315" s="14"/>
      <c r="D2315" s="14"/>
      <c r="E2315" s="14"/>
      <c r="F2315" s="14"/>
      <c r="G2315" s="14"/>
      <c r="H2315" s="14"/>
      <c r="I2315" s="14"/>
      <c r="J2315" s="14"/>
      <c r="K2315" s="14"/>
      <c r="L2315" s="15"/>
      <c r="M2315" s="15"/>
      <c r="N2315" s="15"/>
      <c r="O2315" s="15"/>
      <c r="P2315" s="15"/>
      <c r="Q2315" s="14"/>
      <c r="R2315" s="14"/>
      <c r="S2315" s="14"/>
      <c r="T2315" s="14"/>
      <c r="U2315" s="15"/>
      <c r="V2315" s="14"/>
      <c r="W2315" s="14"/>
      <c r="X2315" s="14"/>
      <c r="Y2315" s="14"/>
      <c r="Z2315" s="14"/>
    </row>
    <row r="2316" spans="1:26" ht="13.2">
      <c r="A2316" s="13"/>
      <c r="B2316" s="14"/>
      <c r="C2316" s="14"/>
      <c r="D2316" s="14"/>
      <c r="E2316" s="14"/>
      <c r="F2316" s="14"/>
      <c r="G2316" s="14"/>
      <c r="H2316" s="14"/>
      <c r="I2316" s="14"/>
      <c r="J2316" s="14"/>
      <c r="K2316" s="14"/>
      <c r="L2316" s="15"/>
      <c r="M2316" s="15"/>
      <c r="N2316" s="15"/>
      <c r="O2316" s="15"/>
      <c r="P2316" s="15"/>
      <c r="Q2316" s="14"/>
      <c r="R2316" s="14"/>
      <c r="S2316" s="14"/>
      <c r="T2316" s="14"/>
      <c r="U2316" s="15"/>
      <c r="V2316" s="14"/>
      <c r="W2316" s="14"/>
      <c r="X2316" s="14"/>
      <c r="Y2316" s="14"/>
      <c r="Z2316" s="14"/>
    </row>
    <row r="2317" spans="1:26" ht="13.2">
      <c r="A2317" s="13"/>
      <c r="B2317" s="14"/>
      <c r="C2317" s="14"/>
      <c r="D2317" s="14"/>
      <c r="E2317" s="14"/>
      <c r="F2317" s="14"/>
      <c r="G2317" s="14"/>
      <c r="H2317" s="14"/>
      <c r="I2317" s="14"/>
      <c r="J2317" s="14"/>
      <c r="K2317" s="14"/>
      <c r="L2317" s="15"/>
      <c r="M2317" s="15"/>
      <c r="N2317" s="15"/>
      <c r="O2317" s="15"/>
      <c r="P2317" s="15"/>
      <c r="Q2317" s="14"/>
      <c r="R2317" s="14"/>
      <c r="S2317" s="14"/>
      <c r="T2317" s="14"/>
      <c r="U2317" s="15"/>
      <c r="V2317" s="14"/>
      <c r="W2317" s="14"/>
      <c r="X2317" s="14"/>
      <c r="Y2317" s="14"/>
      <c r="Z2317" s="14"/>
    </row>
    <row r="2318" spans="1:26" ht="13.2">
      <c r="A2318" s="13"/>
      <c r="B2318" s="14"/>
      <c r="C2318" s="14"/>
      <c r="D2318" s="14"/>
      <c r="E2318" s="14"/>
      <c r="F2318" s="14"/>
      <c r="G2318" s="14"/>
      <c r="H2318" s="14"/>
      <c r="I2318" s="14"/>
      <c r="J2318" s="14"/>
      <c r="K2318" s="14"/>
      <c r="L2318" s="15"/>
      <c r="M2318" s="15"/>
      <c r="N2318" s="15"/>
      <c r="O2318" s="15"/>
      <c r="P2318" s="15"/>
      <c r="Q2318" s="14"/>
      <c r="R2318" s="14"/>
      <c r="S2318" s="14"/>
      <c r="T2318" s="14"/>
      <c r="U2318" s="15"/>
      <c r="V2318" s="14"/>
      <c r="W2318" s="14"/>
      <c r="X2318" s="14"/>
      <c r="Y2318" s="14"/>
      <c r="Z2318" s="14"/>
    </row>
    <row r="2319" spans="1:26" ht="13.2">
      <c r="A2319" s="13"/>
      <c r="B2319" s="14"/>
      <c r="C2319" s="14"/>
      <c r="D2319" s="14"/>
      <c r="E2319" s="14"/>
      <c r="F2319" s="14"/>
      <c r="G2319" s="14"/>
      <c r="H2319" s="14"/>
      <c r="I2319" s="14"/>
      <c r="J2319" s="14"/>
      <c r="K2319" s="14"/>
      <c r="L2319" s="15"/>
      <c r="M2319" s="15"/>
      <c r="N2319" s="15"/>
      <c r="O2319" s="15"/>
      <c r="P2319" s="15"/>
      <c r="Q2319" s="14"/>
      <c r="R2319" s="14"/>
      <c r="S2319" s="14"/>
      <c r="T2319" s="14"/>
      <c r="U2319" s="15"/>
      <c r="V2319" s="14"/>
      <c r="W2319" s="14"/>
      <c r="X2319" s="14"/>
      <c r="Y2319" s="14"/>
      <c r="Z2319" s="14"/>
    </row>
    <row r="2320" spans="1:26" ht="13.2">
      <c r="A2320" s="13"/>
      <c r="B2320" s="14"/>
      <c r="C2320" s="14"/>
      <c r="D2320" s="14"/>
      <c r="E2320" s="14"/>
      <c r="F2320" s="14"/>
      <c r="G2320" s="14"/>
      <c r="H2320" s="14"/>
      <c r="I2320" s="14"/>
      <c r="J2320" s="14"/>
      <c r="K2320" s="14"/>
      <c r="L2320" s="15"/>
      <c r="M2320" s="15"/>
      <c r="N2320" s="15"/>
      <c r="O2320" s="15"/>
      <c r="P2320" s="15"/>
      <c r="Q2320" s="14"/>
      <c r="R2320" s="14"/>
      <c r="S2320" s="14"/>
      <c r="T2320" s="14"/>
      <c r="U2320" s="15"/>
      <c r="V2320" s="14"/>
      <c r="W2320" s="14"/>
      <c r="X2320" s="14"/>
      <c r="Y2320" s="14"/>
      <c r="Z2320" s="14"/>
    </row>
    <row r="2321" spans="1:26" ht="13.2">
      <c r="A2321" s="13"/>
      <c r="B2321" s="14"/>
      <c r="C2321" s="14"/>
      <c r="D2321" s="14"/>
      <c r="E2321" s="14"/>
      <c r="F2321" s="14"/>
      <c r="G2321" s="14"/>
      <c r="H2321" s="14"/>
      <c r="I2321" s="14"/>
      <c r="J2321" s="14"/>
      <c r="K2321" s="14"/>
      <c r="L2321" s="15"/>
      <c r="M2321" s="15"/>
      <c r="N2321" s="15"/>
      <c r="O2321" s="15"/>
      <c r="P2321" s="15"/>
      <c r="Q2321" s="14"/>
      <c r="R2321" s="14"/>
      <c r="S2321" s="14"/>
      <c r="T2321" s="14"/>
      <c r="U2321" s="15"/>
      <c r="V2321" s="14"/>
      <c r="W2321" s="14"/>
      <c r="X2321" s="14"/>
      <c r="Y2321" s="14"/>
      <c r="Z2321" s="14"/>
    </row>
    <row r="2322" spans="1:26" ht="13.2">
      <c r="A2322" s="13"/>
      <c r="B2322" s="14"/>
      <c r="C2322" s="14"/>
      <c r="D2322" s="14"/>
      <c r="E2322" s="14"/>
      <c r="F2322" s="14"/>
      <c r="G2322" s="14"/>
      <c r="H2322" s="14"/>
      <c r="I2322" s="14"/>
      <c r="J2322" s="14"/>
      <c r="K2322" s="14"/>
      <c r="L2322" s="15"/>
      <c r="M2322" s="15"/>
      <c r="N2322" s="15"/>
      <c r="O2322" s="15"/>
      <c r="P2322" s="15"/>
      <c r="Q2322" s="14"/>
      <c r="R2322" s="14"/>
      <c r="S2322" s="14"/>
      <c r="T2322" s="14"/>
      <c r="U2322" s="15"/>
      <c r="V2322" s="14"/>
      <c r="W2322" s="14"/>
      <c r="X2322" s="14"/>
      <c r="Y2322" s="14"/>
      <c r="Z2322" s="14"/>
    </row>
    <row r="2323" spans="1:26" ht="13.2">
      <c r="A2323" s="13"/>
      <c r="B2323" s="14"/>
      <c r="C2323" s="14"/>
      <c r="D2323" s="14"/>
      <c r="E2323" s="14"/>
      <c r="F2323" s="14"/>
      <c r="G2323" s="14"/>
      <c r="H2323" s="14"/>
      <c r="I2323" s="14"/>
      <c r="J2323" s="14"/>
      <c r="K2323" s="14"/>
      <c r="L2323" s="15"/>
      <c r="M2323" s="15"/>
      <c r="N2323" s="15"/>
      <c r="O2323" s="15"/>
      <c r="P2323" s="15"/>
      <c r="Q2323" s="14"/>
      <c r="R2323" s="14"/>
      <c r="S2323" s="14"/>
      <c r="T2323" s="14"/>
      <c r="U2323" s="15"/>
      <c r="V2323" s="14"/>
      <c r="W2323" s="14"/>
      <c r="X2323" s="14"/>
      <c r="Y2323" s="14"/>
      <c r="Z2323" s="14"/>
    </row>
    <row r="2324" spans="1:26" ht="13.2">
      <c r="A2324" s="13"/>
      <c r="B2324" s="14"/>
      <c r="C2324" s="14"/>
      <c r="D2324" s="14"/>
      <c r="E2324" s="14"/>
      <c r="F2324" s="14"/>
      <c r="G2324" s="14"/>
      <c r="H2324" s="14"/>
      <c r="I2324" s="14"/>
      <c r="J2324" s="14"/>
      <c r="K2324" s="14"/>
      <c r="L2324" s="15"/>
      <c r="M2324" s="15"/>
      <c r="N2324" s="15"/>
      <c r="O2324" s="15"/>
      <c r="P2324" s="15"/>
      <c r="Q2324" s="14"/>
      <c r="R2324" s="14"/>
      <c r="S2324" s="14"/>
      <c r="T2324" s="14"/>
      <c r="U2324" s="15"/>
      <c r="V2324" s="14"/>
      <c r="W2324" s="14"/>
      <c r="X2324" s="14"/>
      <c r="Y2324" s="14"/>
      <c r="Z2324" s="14"/>
    </row>
    <row r="2325" spans="1:26" ht="13.2">
      <c r="A2325" s="13"/>
      <c r="B2325" s="14"/>
      <c r="C2325" s="14"/>
      <c r="D2325" s="14"/>
      <c r="E2325" s="14"/>
      <c r="F2325" s="14"/>
      <c r="G2325" s="14"/>
      <c r="H2325" s="14"/>
      <c r="I2325" s="14"/>
      <c r="J2325" s="14"/>
      <c r="K2325" s="14"/>
      <c r="L2325" s="15"/>
      <c r="M2325" s="15"/>
      <c r="N2325" s="15"/>
      <c r="O2325" s="15"/>
      <c r="P2325" s="15"/>
      <c r="Q2325" s="14"/>
      <c r="R2325" s="14"/>
      <c r="S2325" s="14"/>
      <c r="T2325" s="14"/>
      <c r="U2325" s="15"/>
      <c r="V2325" s="14"/>
      <c r="W2325" s="14"/>
      <c r="X2325" s="14"/>
      <c r="Y2325" s="14"/>
      <c r="Z2325" s="14"/>
    </row>
    <row r="2326" spans="1:26" ht="13.2">
      <c r="A2326" s="13"/>
      <c r="B2326" s="14"/>
      <c r="C2326" s="14"/>
      <c r="D2326" s="14"/>
      <c r="E2326" s="14"/>
      <c r="F2326" s="14"/>
      <c r="G2326" s="14"/>
      <c r="H2326" s="14"/>
      <c r="I2326" s="14"/>
      <c r="J2326" s="14"/>
      <c r="K2326" s="14"/>
      <c r="L2326" s="15"/>
      <c r="M2326" s="15"/>
      <c r="N2326" s="15"/>
      <c r="O2326" s="15"/>
      <c r="P2326" s="15"/>
      <c r="Q2326" s="14"/>
      <c r="R2326" s="14"/>
      <c r="S2326" s="14"/>
      <c r="T2326" s="14"/>
      <c r="U2326" s="15"/>
      <c r="V2326" s="14"/>
      <c r="W2326" s="14"/>
      <c r="X2326" s="14"/>
      <c r="Y2326" s="14"/>
      <c r="Z2326" s="14"/>
    </row>
    <row r="2327" spans="1:26" ht="13.2">
      <c r="A2327" s="13"/>
      <c r="B2327" s="14"/>
      <c r="C2327" s="14"/>
      <c r="D2327" s="14"/>
      <c r="E2327" s="14"/>
      <c r="F2327" s="14"/>
      <c r="G2327" s="14"/>
      <c r="H2327" s="14"/>
      <c r="I2327" s="14"/>
      <c r="J2327" s="14"/>
      <c r="K2327" s="14"/>
      <c r="L2327" s="15"/>
      <c r="M2327" s="15"/>
      <c r="N2327" s="15"/>
      <c r="O2327" s="15"/>
      <c r="P2327" s="15"/>
      <c r="Q2327" s="14"/>
      <c r="R2327" s="14"/>
      <c r="S2327" s="14"/>
      <c r="T2327" s="14"/>
      <c r="U2327" s="15"/>
      <c r="V2327" s="14"/>
      <c r="W2327" s="14"/>
      <c r="X2327" s="14"/>
      <c r="Y2327" s="14"/>
      <c r="Z2327" s="14"/>
    </row>
    <row r="2328" spans="1:26" ht="13.2">
      <c r="A2328" s="13"/>
      <c r="B2328" s="14"/>
      <c r="C2328" s="14"/>
      <c r="D2328" s="14"/>
      <c r="E2328" s="14"/>
      <c r="F2328" s="14"/>
      <c r="G2328" s="14"/>
      <c r="H2328" s="14"/>
      <c r="I2328" s="14"/>
      <c r="J2328" s="14"/>
      <c r="K2328" s="14"/>
      <c r="L2328" s="15"/>
      <c r="M2328" s="15"/>
      <c r="N2328" s="15"/>
      <c r="O2328" s="15"/>
      <c r="P2328" s="15"/>
      <c r="Q2328" s="14"/>
      <c r="R2328" s="14"/>
      <c r="S2328" s="14"/>
      <c r="T2328" s="14"/>
      <c r="U2328" s="15"/>
      <c r="V2328" s="14"/>
      <c r="W2328" s="14"/>
      <c r="X2328" s="14"/>
      <c r="Y2328" s="14"/>
      <c r="Z2328" s="14"/>
    </row>
    <row r="2329" spans="1:26" ht="13.2">
      <c r="A2329" s="13"/>
      <c r="B2329" s="14"/>
      <c r="C2329" s="14"/>
      <c r="D2329" s="14"/>
      <c r="E2329" s="14"/>
      <c r="F2329" s="14"/>
      <c r="G2329" s="14"/>
      <c r="H2329" s="14"/>
      <c r="I2329" s="14"/>
      <c r="J2329" s="14"/>
      <c r="K2329" s="14"/>
      <c r="L2329" s="15"/>
      <c r="M2329" s="15"/>
      <c r="N2329" s="15"/>
      <c r="O2329" s="15"/>
      <c r="P2329" s="15"/>
      <c r="Q2329" s="14"/>
      <c r="R2329" s="14"/>
      <c r="S2329" s="14"/>
      <c r="T2329" s="14"/>
      <c r="U2329" s="15"/>
      <c r="V2329" s="14"/>
      <c r="W2329" s="14"/>
      <c r="X2329" s="14"/>
      <c r="Y2329" s="14"/>
      <c r="Z2329" s="14"/>
    </row>
    <row r="2330" spans="1:26" ht="13.2">
      <c r="A2330" s="13"/>
      <c r="B2330" s="14"/>
      <c r="C2330" s="14"/>
      <c r="D2330" s="14"/>
      <c r="E2330" s="14"/>
      <c r="F2330" s="14"/>
      <c r="G2330" s="14"/>
      <c r="H2330" s="14"/>
      <c r="I2330" s="14"/>
      <c r="J2330" s="14"/>
      <c r="K2330" s="14"/>
      <c r="L2330" s="15"/>
      <c r="M2330" s="15"/>
      <c r="N2330" s="15"/>
      <c r="O2330" s="15"/>
      <c r="P2330" s="15"/>
      <c r="Q2330" s="14"/>
      <c r="R2330" s="14"/>
      <c r="S2330" s="14"/>
      <c r="T2330" s="14"/>
      <c r="U2330" s="15"/>
      <c r="V2330" s="14"/>
      <c r="W2330" s="14"/>
      <c r="X2330" s="14"/>
      <c r="Y2330" s="14"/>
      <c r="Z2330" s="14"/>
    </row>
    <row r="2331" spans="1:26" ht="13.2">
      <c r="A2331" s="13"/>
      <c r="B2331" s="14"/>
      <c r="C2331" s="14"/>
      <c r="D2331" s="14"/>
      <c r="E2331" s="14"/>
      <c r="F2331" s="14"/>
      <c r="G2331" s="14"/>
      <c r="H2331" s="14"/>
      <c r="I2331" s="14"/>
      <c r="J2331" s="14"/>
      <c r="K2331" s="14"/>
      <c r="L2331" s="15"/>
      <c r="M2331" s="15"/>
      <c r="N2331" s="15"/>
      <c r="O2331" s="15"/>
      <c r="P2331" s="15"/>
      <c r="Q2331" s="14"/>
      <c r="R2331" s="14"/>
      <c r="S2331" s="14"/>
      <c r="T2331" s="14"/>
      <c r="U2331" s="15"/>
      <c r="V2331" s="14"/>
      <c r="W2331" s="14"/>
      <c r="X2331" s="14"/>
      <c r="Y2331" s="14"/>
      <c r="Z2331" s="14"/>
    </row>
    <row r="2332" spans="1:26" ht="13.2">
      <c r="A2332" s="13"/>
      <c r="B2332" s="14"/>
      <c r="C2332" s="14"/>
      <c r="D2332" s="14"/>
      <c r="E2332" s="14"/>
      <c r="F2332" s="14"/>
      <c r="G2332" s="14"/>
      <c r="H2332" s="14"/>
      <c r="I2332" s="14"/>
      <c r="J2332" s="14"/>
      <c r="K2332" s="14"/>
      <c r="L2332" s="15"/>
      <c r="M2332" s="15"/>
      <c r="N2332" s="15"/>
      <c r="O2332" s="15"/>
      <c r="P2332" s="15"/>
      <c r="Q2332" s="14"/>
      <c r="R2332" s="14"/>
      <c r="S2332" s="14"/>
      <c r="T2332" s="14"/>
      <c r="U2332" s="15"/>
      <c r="V2332" s="14"/>
      <c r="W2332" s="14"/>
      <c r="X2332" s="14"/>
      <c r="Y2332" s="14"/>
      <c r="Z2332" s="14"/>
    </row>
    <row r="2333" spans="1:26" ht="13.2">
      <c r="A2333" s="13"/>
      <c r="B2333" s="14"/>
      <c r="C2333" s="14"/>
      <c r="D2333" s="14"/>
      <c r="E2333" s="14"/>
      <c r="F2333" s="14"/>
      <c r="G2333" s="14"/>
      <c r="H2333" s="14"/>
      <c r="I2333" s="14"/>
      <c r="J2333" s="14"/>
      <c r="K2333" s="14"/>
      <c r="L2333" s="15"/>
      <c r="M2333" s="15"/>
      <c r="N2333" s="15"/>
      <c r="O2333" s="15"/>
      <c r="P2333" s="15"/>
      <c r="Q2333" s="14"/>
      <c r="R2333" s="14"/>
      <c r="S2333" s="14"/>
      <c r="T2333" s="14"/>
      <c r="U2333" s="15"/>
      <c r="V2333" s="14"/>
      <c r="W2333" s="14"/>
      <c r="X2333" s="14"/>
      <c r="Y2333" s="14"/>
      <c r="Z2333" s="14"/>
    </row>
    <row r="2334" spans="1:26" ht="13.2">
      <c r="A2334" s="13"/>
      <c r="B2334" s="14"/>
      <c r="C2334" s="14"/>
      <c r="D2334" s="14"/>
      <c r="E2334" s="14"/>
      <c r="F2334" s="14"/>
      <c r="G2334" s="14"/>
      <c r="H2334" s="14"/>
      <c r="I2334" s="14"/>
      <c r="J2334" s="14"/>
      <c r="K2334" s="14"/>
      <c r="L2334" s="15"/>
      <c r="M2334" s="15"/>
      <c r="N2334" s="15"/>
      <c r="O2334" s="15"/>
      <c r="P2334" s="15"/>
      <c r="Q2334" s="14"/>
      <c r="R2334" s="14"/>
      <c r="S2334" s="14"/>
      <c r="T2334" s="14"/>
      <c r="U2334" s="15"/>
      <c r="V2334" s="14"/>
      <c r="W2334" s="14"/>
      <c r="X2334" s="14"/>
      <c r="Y2334" s="14"/>
      <c r="Z2334" s="14"/>
    </row>
    <row r="2335" spans="1:26" ht="13.2">
      <c r="A2335" s="13"/>
      <c r="B2335" s="14"/>
      <c r="C2335" s="14"/>
      <c r="D2335" s="14"/>
      <c r="E2335" s="14"/>
      <c r="F2335" s="14"/>
      <c r="G2335" s="14"/>
      <c r="H2335" s="14"/>
      <c r="I2335" s="14"/>
      <c r="J2335" s="14"/>
      <c r="K2335" s="14"/>
      <c r="L2335" s="15"/>
      <c r="M2335" s="15"/>
      <c r="N2335" s="15"/>
      <c r="O2335" s="15"/>
      <c r="P2335" s="15"/>
      <c r="Q2335" s="14"/>
      <c r="R2335" s="14"/>
      <c r="S2335" s="14"/>
      <c r="T2335" s="14"/>
      <c r="U2335" s="15"/>
      <c r="V2335" s="14"/>
      <c r="W2335" s="14"/>
      <c r="X2335" s="14"/>
      <c r="Y2335" s="14"/>
      <c r="Z2335" s="14"/>
    </row>
    <row r="2336" spans="1:26" ht="13.2">
      <c r="A2336" s="13"/>
      <c r="B2336" s="14"/>
      <c r="C2336" s="14"/>
      <c r="D2336" s="14"/>
      <c r="E2336" s="14"/>
      <c r="F2336" s="14"/>
      <c r="G2336" s="14"/>
      <c r="H2336" s="14"/>
      <c r="I2336" s="14"/>
      <c r="J2336" s="14"/>
      <c r="K2336" s="14"/>
      <c r="L2336" s="15"/>
      <c r="M2336" s="15"/>
      <c r="N2336" s="15"/>
      <c r="O2336" s="15"/>
      <c r="P2336" s="15"/>
      <c r="Q2336" s="14"/>
      <c r="R2336" s="14"/>
      <c r="S2336" s="14"/>
      <c r="T2336" s="14"/>
      <c r="U2336" s="15"/>
      <c r="V2336" s="14"/>
      <c r="W2336" s="14"/>
      <c r="X2336" s="14"/>
      <c r="Y2336" s="14"/>
      <c r="Z2336" s="14"/>
    </row>
    <row r="2337" spans="1:26" ht="13.2">
      <c r="A2337" s="13"/>
      <c r="B2337" s="14"/>
      <c r="C2337" s="14"/>
      <c r="D2337" s="14"/>
      <c r="E2337" s="14"/>
      <c r="F2337" s="14"/>
      <c r="G2337" s="14"/>
      <c r="H2337" s="14"/>
      <c r="I2337" s="14"/>
      <c r="J2337" s="14"/>
      <c r="K2337" s="14"/>
      <c r="L2337" s="15"/>
      <c r="M2337" s="15"/>
      <c r="N2337" s="15"/>
      <c r="O2337" s="15"/>
      <c r="P2337" s="15"/>
      <c r="Q2337" s="14"/>
      <c r="R2337" s="14"/>
      <c r="S2337" s="14"/>
      <c r="T2337" s="14"/>
      <c r="U2337" s="15"/>
      <c r="V2337" s="14"/>
      <c r="W2337" s="14"/>
      <c r="X2337" s="14"/>
      <c r="Y2337" s="14"/>
      <c r="Z2337" s="14"/>
    </row>
    <row r="2338" spans="1:26" ht="13.2">
      <c r="A2338" s="13"/>
      <c r="B2338" s="14"/>
      <c r="C2338" s="14"/>
      <c r="D2338" s="14"/>
      <c r="E2338" s="14"/>
      <c r="F2338" s="14"/>
      <c r="G2338" s="14"/>
      <c r="H2338" s="14"/>
      <c r="I2338" s="14"/>
      <c r="J2338" s="14"/>
      <c r="K2338" s="14"/>
      <c r="L2338" s="15"/>
      <c r="M2338" s="15"/>
      <c r="N2338" s="15"/>
      <c r="O2338" s="15"/>
      <c r="P2338" s="15"/>
      <c r="Q2338" s="14"/>
      <c r="R2338" s="14"/>
      <c r="S2338" s="14"/>
      <c r="T2338" s="14"/>
      <c r="U2338" s="15"/>
      <c r="V2338" s="14"/>
      <c r="W2338" s="14"/>
      <c r="X2338" s="14"/>
      <c r="Y2338" s="14"/>
      <c r="Z2338" s="14"/>
    </row>
    <row r="2339" spans="1:26" ht="13.2">
      <c r="A2339" s="13"/>
      <c r="B2339" s="14"/>
      <c r="C2339" s="14"/>
      <c r="D2339" s="14"/>
      <c r="E2339" s="14"/>
      <c r="F2339" s="14"/>
      <c r="G2339" s="14"/>
      <c r="H2339" s="14"/>
      <c r="I2339" s="14"/>
      <c r="J2339" s="14"/>
      <c r="K2339" s="14"/>
      <c r="L2339" s="15"/>
      <c r="M2339" s="15"/>
      <c r="N2339" s="15"/>
      <c r="O2339" s="15"/>
      <c r="P2339" s="15"/>
      <c r="Q2339" s="14"/>
      <c r="R2339" s="14"/>
      <c r="S2339" s="14"/>
      <c r="T2339" s="14"/>
      <c r="U2339" s="15"/>
      <c r="V2339" s="14"/>
      <c r="W2339" s="14"/>
      <c r="X2339" s="14"/>
      <c r="Y2339" s="14"/>
      <c r="Z2339" s="14"/>
    </row>
    <row r="2340" spans="1:26" ht="13.2">
      <c r="A2340" s="13"/>
      <c r="B2340" s="14"/>
      <c r="C2340" s="14"/>
      <c r="D2340" s="14"/>
      <c r="E2340" s="14"/>
      <c r="F2340" s="14"/>
      <c r="G2340" s="14"/>
      <c r="H2340" s="14"/>
      <c r="I2340" s="14"/>
      <c r="J2340" s="14"/>
      <c r="K2340" s="14"/>
      <c r="L2340" s="15"/>
      <c r="M2340" s="15"/>
      <c r="N2340" s="15"/>
      <c r="O2340" s="15"/>
      <c r="P2340" s="15"/>
      <c r="Q2340" s="14"/>
      <c r="R2340" s="14"/>
      <c r="S2340" s="14"/>
      <c r="T2340" s="14"/>
      <c r="U2340" s="15"/>
      <c r="V2340" s="14"/>
      <c r="W2340" s="14"/>
      <c r="X2340" s="14"/>
      <c r="Y2340" s="14"/>
      <c r="Z2340" s="14"/>
    </row>
    <row r="2341" spans="1:26" ht="13.2">
      <c r="A2341" s="13"/>
      <c r="B2341" s="14"/>
      <c r="C2341" s="14"/>
      <c r="D2341" s="14"/>
      <c r="E2341" s="14"/>
      <c r="F2341" s="14"/>
      <c r="G2341" s="14"/>
      <c r="H2341" s="14"/>
      <c r="I2341" s="14"/>
      <c r="J2341" s="14"/>
      <c r="K2341" s="14"/>
      <c r="L2341" s="15"/>
      <c r="M2341" s="15"/>
      <c r="N2341" s="15"/>
      <c r="O2341" s="15"/>
      <c r="P2341" s="15"/>
      <c r="Q2341" s="14"/>
      <c r="R2341" s="14"/>
      <c r="S2341" s="14"/>
      <c r="T2341" s="14"/>
      <c r="U2341" s="15"/>
      <c r="V2341" s="14"/>
      <c r="W2341" s="14"/>
      <c r="X2341" s="14"/>
      <c r="Y2341" s="14"/>
      <c r="Z2341" s="14"/>
    </row>
    <row r="2342" spans="1:26" ht="13.2">
      <c r="A2342" s="13"/>
      <c r="B2342" s="14"/>
      <c r="C2342" s="14"/>
      <c r="D2342" s="14"/>
      <c r="E2342" s="14"/>
      <c r="F2342" s="14"/>
      <c r="G2342" s="14"/>
      <c r="H2342" s="14"/>
      <c r="I2342" s="14"/>
      <c r="J2342" s="14"/>
      <c r="K2342" s="14"/>
      <c r="L2342" s="15"/>
      <c r="M2342" s="15"/>
      <c r="N2342" s="15"/>
      <c r="O2342" s="15"/>
      <c r="P2342" s="15"/>
      <c r="Q2342" s="14"/>
      <c r="R2342" s="14"/>
      <c r="S2342" s="14"/>
      <c r="T2342" s="14"/>
      <c r="U2342" s="15"/>
      <c r="V2342" s="14"/>
      <c r="W2342" s="14"/>
      <c r="X2342" s="14"/>
      <c r="Y2342" s="14"/>
      <c r="Z2342" s="14"/>
    </row>
    <row r="2343" spans="1:26" ht="13.2">
      <c r="A2343" s="13"/>
      <c r="B2343" s="14"/>
      <c r="C2343" s="14"/>
      <c r="D2343" s="14"/>
      <c r="E2343" s="14"/>
      <c r="F2343" s="14"/>
      <c r="G2343" s="14"/>
      <c r="H2343" s="14"/>
      <c r="I2343" s="14"/>
      <c r="J2343" s="14"/>
      <c r="K2343" s="14"/>
      <c r="L2343" s="15"/>
      <c r="M2343" s="15"/>
      <c r="N2343" s="15"/>
      <c r="O2343" s="15"/>
      <c r="P2343" s="15"/>
      <c r="Q2343" s="14"/>
      <c r="R2343" s="14"/>
      <c r="S2343" s="14"/>
      <c r="T2343" s="14"/>
      <c r="U2343" s="15"/>
      <c r="V2343" s="14"/>
      <c r="W2343" s="14"/>
      <c r="X2343" s="14"/>
      <c r="Y2343" s="14"/>
      <c r="Z2343" s="14"/>
    </row>
    <row r="2344" spans="1:26" ht="13.2">
      <c r="A2344" s="13"/>
      <c r="B2344" s="14"/>
      <c r="C2344" s="14"/>
      <c r="D2344" s="14"/>
      <c r="E2344" s="14"/>
      <c r="F2344" s="14"/>
      <c r="G2344" s="14"/>
      <c r="H2344" s="14"/>
      <c r="I2344" s="14"/>
      <c r="J2344" s="14"/>
      <c r="K2344" s="14"/>
      <c r="L2344" s="15"/>
      <c r="M2344" s="15"/>
      <c r="N2344" s="15"/>
      <c r="O2344" s="15"/>
      <c r="P2344" s="15"/>
      <c r="Q2344" s="14"/>
      <c r="R2344" s="14"/>
      <c r="S2344" s="14"/>
      <c r="T2344" s="14"/>
      <c r="U2344" s="15"/>
      <c r="V2344" s="14"/>
      <c r="W2344" s="14"/>
      <c r="X2344" s="14"/>
      <c r="Y2344" s="14"/>
      <c r="Z2344" s="14"/>
    </row>
    <row r="2345" spans="1:26" ht="13.2">
      <c r="A2345" s="13"/>
      <c r="B2345" s="14"/>
      <c r="C2345" s="14"/>
      <c r="D2345" s="14"/>
      <c r="E2345" s="14"/>
      <c r="F2345" s="14"/>
      <c r="G2345" s="14"/>
      <c r="H2345" s="14"/>
      <c r="I2345" s="14"/>
      <c r="J2345" s="14"/>
      <c r="K2345" s="14"/>
      <c r="L2345" s="15"/>
      <c r="M2345" s="15"/>
      <c r="N2345" s="15"/>
      <c r="O2345" s="15"/>
      <c r="P2345" s="15"/>
      <c r="Q2345" s="14"/>
      <c r="R2345" s="14"/>
      <c r="S2345" s="14"/>
      <c r="T2345" s="14"/>
      <c r="U2345" s="15"/>
      <c r="V2345" s="14"/>
      <c r="W2345" s="14"/>
      <c r="X2345" s="14"/>
      <c r="Y2345" s="14"/>
      <c r="Z2345" s="14"/>
    </row>
    <row r="2346" spans="1:26" ht="13.2">
      <c r="A2346" s="13"/>
      <c r="B2346" s="14"/>
      <c r="C2346" s="14"/>
      <c r="D2346" s="14"/>
      <c r="E2346" s="14"/>
      <c r="F2346" s="14"/>
      <c r="G2346" s="14"/>
      <c r="H2346" s="14"/>
      <c r="I2346" s="14"/>
      <c r="J2346" s="14"/>
      <c r="K2346" s="14"/>
      <c r="L2346" s="15"/>
      <c r="M2346" s="15"/>
      <c r="N2346" s="15"/>
      <c r="O2346" s="15"/>
      <c r="P2346" s="15"/>
      <c r="Q2346" s="14"/>
      <c r="R2346" s="14"/>
      <c r="S2346" s="14"/>
      <c r="T2346" s="14"/>
      <c r="U2346" s="15"/>
      <c r="V2346" s="14"/>
      <c r="W2346" s="14"/>
      <c r="X2346" s="14"/>
      <c r="Y2346" s="14"/>
      <c r="Z2346" s="14"/>
    </row>
    <row r="2347" spans="1:26" ht="13.2">
      <c r="A2347" s="13"/>
      <c r="B2347" s="14"/>
      <c r="C2347" s="14"/>
      <c r="D2347" s="14"/>
      <c r="E2347" s="14"/>
      <c r="F2347" s="14"/>
      <c r="G2347" s="14"/>
      <c r="H2347" s="14"/>
      <c r="I2347" s="14"/>
      <c r="J2347" s="14"/>
      <c r="K2347" s="14"/>
      <c r="L2347" s="15"/>
      <c r="M2347" s="15"/>
      <c r="N2347" s="15"/>
      <c r="O2347" s="15"/>
      <c r="P2347" s="15"/>
      <c r="Q2347" s="14"/>
      <c r="R2347" s="14"/>
      <c r="S2347" s="14"/>
      <c r="T2347" s="14"/>
      <c r="U2347" s="15"/>
      <c r="V2347" s="14"/>
      <c r="W2347" s="14"/>
      <c r="X2347" s="14"/>
      <c r="Y2347" s="14"/>
      <c r="Z2347" s="14"/>
    </row>
    <row r="2348" spans="1:26" ht="13.2">
      <c r="A2348" s="13"/>
      <c r="B2348" s="14"/>
      <c r="C2348" s="14"/>
      <c r="D2348" s="14"/>
      <c r="E2348" s="14"/>
      <c r="F2348" s="14"/>
      <c r="G2348" s="14"/>
      <c r="H2348" s="14"/>
      <c r="I2348" s="14"/>
      <c r="J2348" s="14"/>
      <c r="K2348" s="14"/>
      <c r="L2348" s="15"/>
      <c r="M2348" s="15"/>
      <c r="N2348" s="15"/>
      <c r="O2348" s="15"/>
      <c r="P2348" s="15"/>
      <c r="Q2348" s="14"/>
      <c r="R2348" s="14"/>
      <c r="S2348" s="14"/>
      <c r="T2348" s="14"/>
      <c r="U2348" s="15"/>
      <c r="V2348" s="14"/>
      <c r="W2348" s="14"/>
      <c r="X2348" s="14"/>
      <c r="Y2348" s="14"/>
      <c r="Z2348" s="14"/>
    </row>
    <row r="2349" spans="1:26" ht="13.2">
      <c r="A2349" s="13"/>
      <c r="B2349" s="14"/>
      <c r="C2349" s="14"/>
      <c r="D2349" s="14"/>
      <c r="E2349" s="14"/>
      <c r="F2349" s="14"/>
      <c r="G2349" s="14"/>
      <c r="H2349" s="14"/>
      <c r="I2349" s="14"/>
      <c r="J2349" s="14"/>
      <c r="K2349" s="14"/>
      <c r="L2349" s="15"/>
      <c r="M2349" s="15"/>
      <c r="N2349" s="15"/>
      <c r="O2349" s="15"/>
      <c r="P2349" s="15"/>
      <c r="Q2349" s="14"/>
      <c r="R2349" s="14"/>
      <c r="S2349" s="14"/>
      <c r="T2349" s="14"/>
      <c r="U2349" s="15"/>
      <c r="V2349" s="14"/>
      <c r="W2349" s="14"/>
      <c r="X2349" s="14"/>
      <c r="Y2349" s="14"/>
      <c r="Z2349" s="14"/>
    </row>
    <row r="2350" spans="1:26" ht="13.2">
      <c r="A2350" s="13"/>
      <c r="B2350" s="14"/>
      <c r="C2350" s="14"/>
      <c r="D2350" s="14"/>
      <c r="E2350" s="14"/>
      <c r="F2350" s="14"/>
      <c r="G2350" s="14"/>
      <c r="H2350" s="14"/>
      <c r="I2350" s="14"/>
      <c r="J2350" s="14"/>
      <c r="K2350" s="14"/>
      <c r="L2350" s="15"/>
      <c r="M2350" s="15"/>
      <c r="N2350" s="15"/>
      <c r="O2350" s="15"/>
      <c r="P2350" s="15"/>
      <c r="Q2350" s="14"/>
      <c r="R2350" s="14"/>
      <c r="S2350" s="14"/>
      <c r="T2350" s="14"/>
      <c r="U2350" s="15"/>
      <c r="V2350" s="14"/>
      <c r="W2350" s="14"/>
      <c r="X2350" s="14"/>
      <c r="Y2350" s="14"/>
      <c r="Z2350" s="14"/>
    </row>
    <row r="2351" spans="1:26" ht="13.2">
      <c r="A2351" s="13"/>
      <c r="B2351" s="14"/>
      <c r="C2351" s="14"/>
      <c r="D2351" s="14"/>
      <c r="E2351" s="14"/>
      <c r="F2351" s="14"/>
      <c r="G2351" s="14"/>
      <c r="H2351" s="14"/>
      <c r="I2351" s="14"/>
      <c r="J2351" s="14"/>
      <c r="K2351" s="14"/>
      <c r="L2351" s="15"/>
      <c r="M2351" s="15"/>
      <c r="N2351" s="15"/>
      <c r="O2351" s="15"/>
      <c r="P2351" s="15"/>
      <c r="Q2351" s="14"/>
      <c r="R2351" s="14"/>
      <c r="S2351" s="14"/>
      <c r="T2351" s="14"/>
      <c r="U2351" s="15"/>
      <c r="V2351" s="14"/>
      <c r="W2351" s="14"/>
      <c r="X2351" s="14"/>
      <c r="Y2351" s="14"/>
      <c r="Z2351" s="14"/>
    </row>
    <row r="2352" spans="1:26" ht="13.2">
      <c r="A2352" s="13"/>
      <c r="B2352" s="14"/>
      <c r="C2352" s="14"/>
      <c r="D2352" s="14"/>
      <c r="E2352" s="14"/>
      <c r="F2352" s="14"/>
      <c r="G2352" s="14"/>
      <c r="H2352" s="14"/>
      <c r="I2352" s="14"/>
      <c r="J2352" s="14"/>
      <c r="K2352" s="14"/>
      <c r="L2352" s="15"/>
      <c r="M2352" s="15"/>
      <c r="N2352" s="15"/>
      <c r="O2352" s="15"/>
      <c r="P2352" s="15"/>
      <c r="Q2352" s="14"/>
      <c r="R2352" s="14"/>
      <c r="S2352" s="14"/>
      <c r="T2352" s="14"/>
      <c r="U2352" s="15"/>
      <c r="V2352" s="14"/>
      <c r="W2352" s="14"/>
      <c r="X2352" s="14"/>
      <c r="Y2352" s="14"/>
      <c r="Z2352" s="14"/>
    </row>
    <row r="2353" spans="1:26" ht="13.2">
      <c r="A2353" s="13"/>
      <c r="B2353" s="14"/>
      <c r="C2353" s="14"/>
      <c r="D2353" s="14"/>
      <c r="E2353" s="14"/>
      <c r="F2353" s="14"/>
      <c r="G2353" s="14"/>
      <c r="H2353" s="14"/>
      <c r="I2353" s="14"/>
      <c r="J2353" s="14"/>
      <c r="K2353" s="14"/>
      <c r="L2353" s="15"/>
      <c r="M2353" s="15"/>
      <c r="N2353" s="15"/>
      <c r="O2353" s="15"/>
      <c r="P2353" s="15"/>
      <c r="Q2353" s="14"/>
      <c r="R2353" s="14"/>
      <c r="S2353" s="14"/>
      <c r="T2353" s="14"/>
      <c r="U2353" s="15"/>
      <c r="V2353" s="14"/>
      <c r="W2353" s="14"/>
      <c r="X2353" s="14"/>
      <c r="Y2353" s="14"/>
      <c r="Z2353" s="14"/>
    </row>
    <row r="2354" spans="1:26" ht="13.2">
      <c r="A2354" s="13"/>
      <c r="B2354" s="14"/>
      <c r="C2354" s="14"/>
      <c r="D2354" s="14"/>
      <c r="E2354" s="14"/>
      <c r="F2354" s="14"/>
      <c r="G2354" s="14"/>
      <c r="H2354" s="14"/>
      <c r="I2354" s="14"/>
      <c r="J2354" s="14"/>
      <c r="K2354" s="14"/>
      <c r="L2354" s="15"/>
      <c r="M2354" s="15"/>
      <c r="N2354" s="15"/>
      <c r="O2354" s="15"/>
      <c r="P2354" s="15"/>
      <c r="Q2354" s="14"/>
      <c r="R2354" s="14"/>
      <c r="S2354" s="14"/>
      <c r="T2354" s="14"/>
      <c r="U2354" s="15"/>
      <c r="V2354" s="14"/>
      <c r="W2354" s="14"/>
      <c r="X2354" s="14"/>
      <c r="Y2354" s="14"/>
      <c r="Z2354" s="14"/>
    </row>
    <row r="2355" spans="1:26" ht="13.2">
      <c r="A2355" s="13"/>
      <c r="B2355" s="14"/>
      <c r="C2355" s="14"/>
      <c r="D2355" s="14"/>
      <c r="E2355" s="14"/>
      <c r="F2355" s="14"/>
      <c r="G2355" s="14"/>
      <c r="H2355" s="14"/>
      <c r="I2355" s="14"/>
      <c r="J2355" s="14"/>
      <c r="K2355" s="14"/>
      <c r="L2355" s="15"/>
      <c r="M2355" s="15"/>
      <c r="N2355" s="15"/>
      <c r="O2355" s="15"/>
      <c r="P2355" s="15"/>
      <c r="Q2355" s="14"/>
      <c r="R2355" s="14"/>
      <c r="S2355" s="14"/>
      <c r="T2355" s="14"/>
      <c r="U2355" s="15"/>
      <c r="V2355" s="14"/>
      <c r="W2355" s="14"/>
      <c r="X2355" s="14"/>
      <c r="Y2355" s="14"/>
      <c r="Z2355" s="14"/>
    </row>
    <row r="2356" spans="1:26" ht="13.2">
      <c r="A2356" s="13"/>
      <c r="B2356" s="14"/>
      <c r="C2356" s="14"/>
      <c r="D2356" s="14"/>
      <c r="E2356" s="14"/>
      <c r="F2356" s="14"/>
      <c r="G2356" s="14"/>
      <c r="H2356" s="14"/>
      <c r="I2356" s="14"/>
      <c r="J2356" s="14"/>
      <c r="K2356" s="14"/>
      <c r="L2356" s="15"/>
      <c r="M2356" s="15"/>
      <c r="N2356" s="15"/>
      <c r="O2356" s="15"/>
      <c r="P2356" s="15"/>
      <c r="Q2356" s="14"/>
      <c r="R2356" s="14"/>
      <c r="S2356" s="14"/>
      <c r="T2356" s="14"/>
      <c r="U2356" s="15"/>
      <c r="V2356" s="14"/>
      <c r="W2356" s="14"/>
      <c r="X2356" s="14"/>
      <c r="Y2356" s="14"/>
      <c r="Z2356" s="14"/>
    </row>
    <row r="2357" spans="1:26" ht="13.2">
      <c r="A2357" s="13"/>
      <c r="B2357" s="14"/>
      <c r="C2357" s="14"/>
      <c r="D2357" s="14"/>
      <c r="E2357" s="14"/>
      <c r="F2357" s="14"/>
      <c r="G2357" s="14"/>
      <c r="H2357" s="14"/>
      <c r="I2357" s="14"/>
      <c r="J2357" s="14"/>
      <c r="K2357" s="14"/>
      <c r="L2357" s="15"/>
      <c r="M2357" s="15"/>
      <c r="N2357" s="15"/>
      <c r="O2357" s="15"/>
      <c r="P2357" s="15"/>
      <c r="Q2357" s="14"/>
      <c r="R2357" s="14"/>
      <c r="S2357" s="14"/>
      <c r="T2357" s="14"/>
      <c r="U2357" s="15"/>
      <c r="V2357" s="14"/>
      <c r="W2357" s="14"/>
      <c r="X2357" s="14"/>
      <c r="Y2357" s="14"/>
      <c r="Z2357" s="14"/>
    </row>
    <row r="2358" spans="1:26" ht="13.2">
      <c r="A2358" s="13"/>
      <c r="B2358" s="14"/>
      <c r="C2358" s="14"/>
      <c r="D2358" s="14"/>
      <c r="E2358" s="14"/>
      <c r="F2358" s="14"/>
      <c r="G2358" s="14"/>
      <c r="H2358" s="14"/>
      <c r="I2358" s="14"/>
      <c r="J2358" s="14"/>
      <c r="K2358" s="14"/>
      <c r="L2358" s="15"/>
      <c r="M2358" s="15"/>
      <c r="N2358" s="15"/>
      <c r="O2358" s="15"/>
      <c r="P2358" s="15"/>
      <c r="Q2358" s="14"/>
      <c r="R2358" s="14"/>
      <c r="S2358" s="14"/>
      <c r="T2358" s="14"/>
      <c r="U2358" s="15"/>
      <c r="V2358" s="14"/>
      <c r="W2358" s="14"/>
      <c r="X2358" s="14"/>
      <c r="Y2358" s="14"/>
      <c r="Z2358" s="14"/>
    </row>
    <row r="2359" spans="1:26" ht="13.2">
      <c r="A2359" s="13"/>
      <c r="B2359" s="14"/>
      <c r="C2359" s="14"/>
      <c r="D2359" s="14"/>
      <c r="E2359" s="14"/>
      <c r="F2359" s="14"/>
      <c r="G2359" s="14"/>
      <c r="H2359" s="14"/>
      <c r="I2359" s="14"/>
      <c r="J2359" s="14"/>
      <c r="K2359" s="14"/>
      <c r="L2359" s="15"/>
      <c r="M2359" s="15"/>
      <c r="N2359" s="15"/>
      <c r="O2359" s="15"/>
      <c r="P2359" s="15"/>
      <c r="Q2359" s="14"/>
      <c r="R2359" s="14"/>
      <c r="S2359" s="14"/>
      <c r="T2359" s="14"/>
      <c r="U2359" s="15"/>
      <c r="V2359" s="14"/>
      <c r="W2359" s="14"/>
      <c r="X2359" s="14"/>
      <c r="Y2359" s="14"/>
      <c r="Z2359" s="14"/>
    </row>
    <row r="2360" spans="1:26" ht="13.2">
      <c r="A2360" s="13"/>
      <c r="B2360" s="14"/>
      <c r="C2360" s="14"/>
      <c r="D2360" s="14"/>
      <c r="E2360" s="14"/>
      <c r="F2360" s="14"/>
      <c r="G2360" s="14"/>
      <c r="H2360" s="14"/>
      <c r="I2360" s="14"/>
      <c r="J2360" s="14"/>
      <c r="K2360" s="14"/>
      <c r="L2360" s="15"/>
      <c r="M2360" s="15"/>
      <c r="N2360" s="15"/>
      <c r="O2360" s="15"/>
      <c r="P2360" s="15"/>
      <c r="Q2360" s="14"/>
      <c r="R2360" s="14"/>
      <c r="S2360" s="14"/>
      <c r="T2360" s="14"/>
      <c r="U2360" s="15"/>
      <c r="V2360" s="14"/>
      <c r="W2360" s="14"/>
      <c r="X2360" s="14"/>
      <c r="Y2360" s="14"/>
      <c r="Z2360" s="14"/>
    </row>
    <row r="2361" spans="1:26" ht="13.2">
      <c r="A2361" s="13"/>
      <c r="B2361" s="14"/>
      <c r="C2361" s="14"/>
      <c r="D2361" s="14"/>
      <c r="E2361" s="14"/>
      <c r="F2361" s="14"/>
      <c r="G2361" s="14"/>
      <c r="H2361" s="14"/>
      <c r="I2361" s="14"/>
      <c r="J2361" s="14"/>
      <c r="K2361" s="14"/>
      <c r="L2361" s="15"/>
      <c r="M2361" s="15"/>
      <c r="N2361" s="15"/>
      <c r="O2361" s="15"/>
      <c r="P2361" s="15"/>
      <c r="Q2361" s="14"/>
      <c r="R2361" s="14"/>
      <c r="S2361" s="14"/>
      <c r="T2361" s="14"/>
      <c r="U2361" s="15"/>
      <c r="V2361" s="14"/>
      <c r="W2361" s="14"/>
      <c r="X2361" s="14"/>
      <c r="Y2361" s="14"/>
      <c r="Z2361" s="14"/>
    </row>
    <row r="2362" spans="1:26" ht="13.2">
      <c r="A2362" s="13"/>
      <c r="B2362" s="14"/>
      <c r="C2362" s="14"/>
      <c r="D2362" s="14"/>
      <c r="E2362" s="14"/>
      <c r="F2362" s="14"/>
      <c r="G2362" s="14"/>
      <c r="H2362" s="14"/>
      <c r="I2362" s="14"/>
      <c r="J2362" s="14"/>
      <c r="K2362" s="14"/>
      <c r="L2362" s="15"/>
      <c r="M2362" s="15"/>
      <c r="N2362" s="15"/>
      <c r="O2362" s="15"/>
      <c r="P2362" s="15"/>
      <c r="Q2362" s="14"/>
      <c r="R2362" s="14"/>
      <c r="S2362" s="14"/>
      <c r="T2362" s="14"/>
      <c r="U2362" s="15"/>
      <c r="V2362" s="14"/>
      <c r="W2362" s="14"/>
      <c r="X2362" s="14"/>
      <c r="Y2362" s="14"/>
      <c r="Z2362" s="14"/>
    </row>
    <row r="2363" spans="1:26" ht="13.2">
      <c r="A2363" s="13"/>
      <c r="B2363" s="14"/>
      <c r="C2363" s="14"/>
      <c r="D2363" s="14"/>
      <c r="E2363" s="14"/>
      <c r="F2363" s="14"/>
      <c r="G2363" s="14"/>
      <c r="H2363" s="14"/>
      <c r="I2363" s="14"/>
      <c r="J2363" s="14"/>
      <c r="K2363" s="14"/>
      <c r="L2363" s="15"/>
      <c r="M2363" s="15"/>
      <c r="N2363" s="15"/>
      <c r="O2363" s="15"/>
      <c r="P2363" s="15"/>
      <c r="Q2363" s="14"/>
      <c r="R2363" s="14"/>
      <c r="S2363" s="14"/>
      <c r="T2363" s="14"/>
      <c r="U2363" s="15"/>
      <c r="V2363" s="14"/>
      <c r="W2363" s="14"/>
      <c r="X2363" s="14"/>
      <c r="Y2363" s="14"/>
      <c r="Z2363" s="14"/>
    </row>
    <row r="2364" spans="1:26" ht="13.2">
      <c r="A2364" s="13"/>
      <c r="B2364" s="14"/>
      <c r="C2364" s="14"/>
      <c r="D2364" s="14"/>
      <c r="E2364" s="14"/>
      <c r="F2364" s="14"/>
      <c r="G2364" s="14"/>
      <c r="H2364" s="14"/>
      <c r="I2364" s="14"/>
      <c r="J2364" s="14"/>
      <c r="K2364" s="14"/>
      <c r="L2364" s="15"/>
      <c r="M2364" s="15"/>
      <c r="N2364" s="15"/>
      <c r="O2364" s="15"/>
      <c r="P2364" s="15"/>
      <c r="Q2364" s="14"/>
      <c r="R2364" s="14"/>
      <c r="S2364" s="14"/>
      <c r="T2364" s="14"/>
      <c r="U2364" s="15"/>
      <c r="V2364" s="14"/>
      <c r="W2364" s="14"/>
      <c r="X2364" s="14"/>
      <c r="Y2364" s="14"/>
      <c r="Z2364" s="14"/>
    </row>
    <row r="2365" spans="1:26" ht="13.2">
      <c r="A2365" s="13"/>
      <c r="B2365" s="14"/>
      <c r="C2365" s="14"/>
      <c r="D2365" s="14"/>
      <c r="E2365" s="14"/>
      <c r="F2365" s="14"/>
      <c r="G2365" s="14"/>
      <c r="H2365" s="14"/>
      <c r="I2365" s="14"/>
      <c r="J2365" s="14"/>
      <c r="K2365" s="14"/>
      <c r="L2365" s="15"/>
      <c r="M2365" s="15"/>
      <c r="N2365" s="15"/>
      <c r="O2365" s="15"/>
      <c r="P2365" s="15"/>
      <c r="Q2365" s="14"/>
      <c r="R2365" s="14"/>
      <c r="S2365" s="14"/>
      <c r="T2365" s="14"/>
      <c r="U2365" s="15"/>
      <c r="V2365" s="14"/>
      <c r="W2365" s="14"/>
      <c r="X2365" s="14"/>
      <c r="Y2365" s="14"/>
      <c r="Z2365" s="14"/>
    </row>
    <row r="2366" spans="1:26" ht="13.2">
      <c r="A2366" s="13"/>
      <c r="B2366" s="14"/>
      <c r="C2366" s="14"/>
      <c r="D2366" s="14"/>
      <c r="E2366" s="14"/>
      <c r="F2366" s="14"/>
      <c r="G2366" s="14"/>
      <c r="H2366" s="14"/>
      <c r="I2366" s="14"/>
      <c r="J2366" s="14"/>
      <c r="K2366" s="14"/>
      <c r="L2366" s="15"/>
      <c r="M2366" s="15"/>
      <c r="N2366" s="15"/>
      <c r="O2366" s="15"/>
      <c r="P2366" s="15"/>
      <c r="Q2366" s="14"/>
      <c r="R2366" s="14"/>
      <c r="S2366" s="14"/>
      <c r="T2366" s="14"/>
      <c r="U2366" s="15"/>
      <c r="V2366" s="14"/>
      <c r="W2366" s="14"/>
      <c r="X2366" s="14"/>
      <c r="Y2366" s="14"/>
      <c r="Z2366" s="14"/>
    </row>
    <row r="2367" spans="1:26" ht="13.2">
      <c r="A2367" s="13"/>
      <c r="B2367" s="14"/>
      <c r="C2367" s="14"/>
      <c r="D2367" s="14"/>
      <c r="E2367" s="14"/>
      <c r="F2367" s="14"/>
      <c r="G2367" s="14"/>
      <c r="H2367" s="14"/>
      <c r="I2367" s="14"/>
      <c r="J2367" s="14"/>
      <c r="K2367" s="14"/>
      <c r="L2367" s="15"/>
      <c r="M2367" s="15"/>
      <c r="N2367" s="15"/>
      <c r="O2367" s="15"/>
      <c r="P2367" s="15"/>
      <c r="Q2367" s="14"/>
      <c r="R2367" s="14"/>
      <c r="S2367" s="14"/>
      <c r="T2367" s="14"/>
      <c r="U2367" s="15"/>
      <c r="V2367" s="14"/>
      <c r="W2367" s="14"/>
      <c r="X2367" s="14"/>
      <c r="Y2367" s="14"/>
      <c r="Z2367" s="14"/>
    </row>
    <row r="2368" spans="1:26" ht="13.2">
      <c r="A2368" s="13"/>
      <c r="B2368" s="14"/>
      <c r="C2368" s="14"/>
      <c r="D2368" s="14"/>
      <c r="E2368" s="14"/>
      <c r="F2368" s="14"/>
      <c r="G2368" s="14"/>
      <c r="H2368" s="14"/>
      <c r="I2368" s="14"/>
      <c r="J2368" s="14"/>
      <c r="K2368" s="14"/>
      <c r="L2368" s="15"/>
      <c r="M2368" s="15"/>
      <c r="N2368" s="15"/>
      <c r="O2368" s="15"/>
      <c r="P2368" s="15"/>
      <c r="Q2368" s="14"/>
      <c r="R2368" s="14"/>
      <c r="S2368" s="14"/>
      <c r="T2368" s="14"/>
      <c r="U2368" s="15"/>
      <c r="V2368" s="14"/>
      <c r="W2368" s="14"/>
      <c r="X2368" s="14"/>
      <c r="Y2368" s="14"/>
      <c r="Z2368" s="14"/>
    </row>
    <row r="2369" spans="1:26" ht="13.2">
      <c r="A2369" s="13"/>
      <c r="B2369" s="14"/>
      <c r="C2369" s="14"/>
      <c r="D2369" s="14"/>
      <c r="E2369" s="14"/>
      <c r="F2369" s="14"/>
      <c r="G2369" s="14"/>
      <c r="H2369" s="14"/>
      <c r="I2369" s="14"/>
      <c r="J2369" s="14"/>
      <c r="K2369" s="14"/>
      <c r="L2369" s="15"/>
      <c r="M2369" s="15"/>
      <c r="N2369" s="15"/>
      <c r="O2369" s="15"/>
      <c r="P2369" s="15"/>
      <c r="Q2369" s="14"/>
      <c r="R2369" s="14"/>
      <c r="S2369" s="14"/>
      <c r="T2369" s="14"/>
      <c r="U2369" s="15"/>
      <c r="V2369" s="14"/>
      <c r="W2369" s="14"/>
      <c r="X2369" s="14"/>
      <c r="Y2369" s="14"/>
      <c r="Z2369" s="14"/>
    </row>
    <row r="2370" spans="1:26" ht="13.2">
      <c r="A2370" s="13"/>
      <c r="B2370" s="14"/>
      <c r="C2370" s="14"/>
      <c r="D2370" s="14"/>
      <c r="E2370" s="14"/>
      <c r="F2370" s="14"/>
      <c r="G2370" s="14"/>
      <c r="H2370" s="14"/>
      <c r="I2370" s="14"/>
      <c r="J2370" s="14"/>
      <c r="K2370" s="14"/>
      <c r="L2370" s="15"/>
      <c r="M2370" s="15"/>
      <c r="N2370" s="15"/>
      <c r="O2370" s="15"/>
      <c r="P2370" s="15"/>
      <c r="Q2370" s="14"/>
      <c r="R2370" s="14"/>
      <c r="S2370" s="14"/>
      <c r="T2370" s="14"/>
      <c r="U2370" s="15"/>
      <c r="V2370" s="14"/>
      <c r="W2370" s="14"/>
      <c r="X2370" s="14"/>
      <c r="Y2370" s="14"/>
      <c r="Z2370" s="14"/>
    </row>
    <row r="2371" spans="1:26" ht="13.2">
      <c r="A2371" s="13"/>
      <c r="B2371" s="14"/>
      <c r="C2371" s="14"/>
      <c r="D2371" s="14"/>
      <c r="E2371" s="14"/>
      <c r="F2371" s="14"/>
      <c r="G2371" s="14"/>
      <c r="H2371" s="14"/>
      <c r="I2371" s="14"/>
      <c r="J2371" s="14"/>
      <c r="K2371" s="14"/>
      <c r="L2371" s="15"/>
      <c r="M2371" s="15"/>
      <c r="N2371" s="15"/>
      <c r="O2371" s="15"/>
      <c r="P2371" s="15"/>
      <c r="Q2371" s="14"/>
      <c r="R2371" s="14"/>
      <c r="S2371" s="14"/>
      <c r="T2371" s="14"/>
      <c r="U2371" s="15"/>
      <c r="V2371" s="14"/>
      <c r="W2371" s="14"/>
      <c r="X2371" s="14"/>
      <c r="Y2371" s="14"/>
      <c r="Z2371" s="14"/>
    </row>
    <row r="2372" spans="1:26" ht="13.2">
      <c r="A2372" s="13"/>
      <c r="B2372" s="14"/>
      <c r="C2372" s="14"/>
      <c r="D2372" s="14"/>
      <c r="E2372" s="14"/>
      <c r="F2372" s="14"/>
      <c r="G2372" s="14"/>
      <c r="H2372" s="14"/>
      <c r="I2372" s="14"/>
      <c r="J2372" s="14"/>
      <c r="K2372" s="14"/>
      <c r="L2372" s="15"/>
      <c r="M2372" s="15"/>
      <c r="N2372" s="15"/>
      <c r="O2372" s="15"/>
      <c r="P2372" s="15"/>
      <c r="Q2372" s="14"/>
      <c r="R2372" s="14"/>
      <c r="S2372" s="14"/>
      <c r="T2372" s="14"/>
      <c r="U2372" s="15"/>
      <c r="V2372" s="14"/>
      <c r="W2372" s="14"/>
      <c r="X2372" s="14"/>
      <c r="Y2372" s="14"/>
      <c r="Z2372" s="14"/>
    </row>
    <row r="2373" spans="1:26" ht="13.2">
      <c r="A2373" s="13"/>
      <c r="B2373" s="14"/>
      <c r="C2373" s="14"/>
      <c r="D2373" s="14"/>
      <c r="E2373" s="14"/>
      <c r="F2373" s="14"/>
      <c r="G2373" s="14"/>
      <c r="H2373" s="14"/>
      <c r="I2373" s="14"/>
      <c r="J2373" s="14"/>
      <c r="K2373" s="14"/>
      <c r="L2373" s="15"/>
      <c r="M2373" s="15"/>
      <c r="N2373" s="15"/>
      <c r="O2373" s="15"/>
      <c r="P2373" s="15"/>
      <c r="Q2373" s="14"/>
      <c r="R2373" s="14"/>
      <c r="S2373" s="14"/>
      <c r="T2373" s="14"/>
      <c r="U2373" s="15"/>
      <c r="V2373" s="14"/>
      <c r="W2373" s="14"/>
      <c r="X2373" s="14"/>
      <c r="Y2373" s="14"/>
      <c r="Z2373" s="14"/>
    </row>
    <row r="2374" spans="1:26" ht="13.2">
      <c r="A2374" s="13"/>
      <c r="B2374" s="14"/>
      <c r="C2374" s="14"/>
      <c r="D2374" s="14"/>
      <c r="E2374" s="14"/>
      <c r="F2374" s="14"/>
      <c r="G2374" s="14"/>
      <c r="H2374" s="14"/>
      <c r="I2374" s="14"/>
      <c r="J2374" s="14"/>
      <c r="K2374" s="14"/>
      <c r="L2374" s="15"/>
      <c r="M2374" s="15"/>
      <c r="N2374" s="15"/>
      <c r="O2374" s="15"/>
      <c r="P2374" s="15"/>
      <c r="Q2374" s="14"/>
      <c r="R2374" s="14"/>
      <c r="S2374" s="14"/>
      <c r="T2374" s="14"/>
      <c r="U2374" s="15"/>
      <c r="V2374" s="14"/>
      <c r="W2374" s="14"/>
      <c r="X2374" s="14"/>
      <c r="Y2374" s="14"/>
      <c r="Z2374" s="14"/>
    </row>
    <row r="2375" spans="1:26" ht="13.2">
      <c r="A2375" s="13"/>
      <c r="B2375" s="14"/>
      <c r="C2375" s="14"/>
      <c r="D2375" s="14"/>
      <c r="E2375" s="14"/>
      <c r="F2375" s="14"/>
      <c r="G2375" s="14"/>
      <c r="H2375" s="14"/>
      <c r="I2375" s="14"/>
      <c r="J2375" s="14"/>
      <c r="K2375" s="14"/>
      <c r="L2375" s="15"/>
      <c r="M2375" s="15"/>
      <c r="N2375" s="15"/>
      <c r="O2375" s="15"/>
      <c r="P2375" s="15"/>
      <c r="Q2375" s="14"/>
      <c r="R2375" s="14"/>
      <c r="S2375" s="14"/>
      <c r="T2375" s="14"/>
      <c r="U2375" s="15"/>
      <c r="V2375" s="14"/>
      <c r="W2375" s="14"/>
      <c r="X2375" s="14"/>
      <c r="Y2375" s="14"/>
      <c r="Z2375" s="14"/>
    </row>
    <row r="2376" spans="1:26" ht="13.2">
      <c r="A2376" s="13"/>
      <c r="B2376" s="14"/>
      <c r="C2376" s="14"/>
      <c r="D2376" s="14"/>
      <c r="E2376" s="14"/>
      <c r="F2376" s="14"/>
      <c r="G2376" s="14"/>
      <c r="H2376" s="14"/>
      <c r="I2376" s="14"/>
      <c r="J2376" s="14"/>
      <c r="K2376" s="14"/>
      <c r="L2376" s="15"/>
      <c r="M2376" s="15"/>
      <c r="N2376" s="15"/>
      <c r="O2376" s="15"/>
      <c r="P2376" s="15"/>
      <c r="Q2376" s="14"/>
      <c r="R2376" s="14"/>
      <c r="S2376" s="14"/>
      <c r="T2376" s="14"/>
      <c r="U2376" s="15"/>
      <c r="V2376" s="14"/>
      <c r="W2376" s="14"/>
      <c r="X2376" s="14"/>
      <c r="Y2376" s="14"/>
      <c r="Z2376" s="14"/>
    </row>
    <row r="2377" spans="1:26" ht="13.2">
      <c r="A2377" s="13"/>
      <c r="B2377" s="14"/>
      <c r="C2377" s="14"/>
      <c r="D2377" s="14"/>
      <c r="E2377" s="14"/>
      <c r="F2377" s="14"/>
      <c r="G2377" s="14"/>
      <c r="H2377" s="14"/>
      <c r="I2377" s="14"/>
      <c r="J2377" s="14"/>
      <c r="K2377" s="14"/>
      <c r="L2377" s="15"/>
      <c r="M2377" s="15"/>
      <c r="N2377" s="15"/>
      <c r="O2377" s="15"/>
      <c r="P2377" s="15"/>
      <c r="Q2377" s="14"/>
      <c r="R2377" s="14"/>
      <c r="S2377" s="14"/>
      <c r="T2377" s="14"/>
      <c r="U2377" s="15"/>
      <c r="V2377" s="14"/>
      <c r="W2377" s="14"/>
      <c r="X2377" s="14"/>
      <c r="Y2377" s="14"/>
      <c r="Z2377" s="14"/>
    </row>
    <row r="2378" spans="1:26" ht="13.2">
      <c r="A2378" s="13"/>
      <c r="B2378" s="14"/>
      <c r="C2378" s="14"/>
      <c r="D2378" s="14"/>
      <c r="E2378" s="14"/>
      <c r="F2378" s="14"/>
      <c r="G2378" s="14"/>
      <c r="H2378" s="14"/>
      <c r="I2378" s="14"/>
      <c r="J2378" s="14"/>
      <c r="K2378" s="14"/>
      <c r="L2378" s="15"/>
      <c r="M2378" s="15"/>
      <c r="N2378" s="15"/>
      <c r="O2378" s="15"/>
      <c r="P2378" s="15"/>
      <c r="Q2378" s="14"/>
      <c r="R2378" s="14"/>
      <c r="S2378" s="14"/>
      <c r="T2378" s="14"/>
      <c r="U2378" s="15"/>
      <c r="V2378" s="14"/>
      <c r="W2378" s="14"/>
      <c r="X2378" s="14"/>
      <c r="Y2378" s="14"/>
      <c r="Z2378" s="14"/>
    </row>
    <row r="2379" spans="1:26" ht="13.2">
      <c r="A2379" s="13"/>
      <c r="B2379" s="14"/>
      <c r="C2379" s="14"/>
      <c r="D2379" s="14"/>
      <c r="E2379" s="14"/>
      <c r="F2379" s="14"/>
      <c r="G2379" s="14"/>
      <c r="H2379" s="14"/>
      <c r="I2379" s="14"/>
      <c r="J2379" s="14"/>
      <c r="K2379" s="14"/>
      <c r="L2379" s="15"/>
      <c r="M2379" s="15"/>
      <c r="N2379" s="15"/>
      <c r="O2379" s="15"/>
      <c r="P2379" s="15"/>
      <c r="Q2379" s="14"/>
      <c r="R2379" s="14"/>
      <c r="S2379" s="14"/>
      <c r="T2379" s="14"/>
      <c r="U2379" s="15"/>
      <c r="V2379" s="14"/>
      <c r="W2379" s="14"/>
      <c r="X2379" s="14"/>
      <c r="Y2379" s="14"/>
      <c r="Z2379" s="14"/>
    </row>
    <row r="2380" spans="1:26" ht="13.2">
      <c r="A2380" s="13"/>
      <c r="B2380" s="14"/>
      <c r="C2380" s="14"/>
      <c r="D2380" s="14"/>
      <c r="E2380" s="14"/>
      <c r="F2380" s="14"/>
      <c r="G2380" s="14"/>
      <c r="H2380" s="14"/>
      <c r="I2380" s="14"/>
      <c r="J2380" s="14"/>
      <c r="K2380" s="14"/>
      <c r="L2380" s="15"/>
      <c r="M2380" s="15"/>
      <c r="N2380" s="15"/>
      <c r="O2380" s="15"/>
      <c r="P2380" s="15"/>
      <c r="Q2380" s="14"/>
      <c r="R2380" s="14"/>
      <c r="S2380" s="14"/>
      <c r="T2380" s="14"/>
      <c r="U2380" s="15"/>
      <c r="V2380" s="14"/>
      <c r="W2380" s="14"/>
      <c r="X2380" s="14"/>
      <c r="Y2380" s="14"/>
      <c r="Z2380" s="14"/>
    </row>
    <row r="2381" spans="1:26" ht="13.2">
      <c r="A2381" s="13"/>
      <c r="B2381" s="14"/>
      <c r="C2381" s="14"/>
      <c r="D2381" s="14"/>
      <c r="E2381" s="14"/>
      <c r="F2381" s="14"/>
      <c r="G2381" s="14"/>
      <c r="H2381" s="14"/>
      <c r="I2381" s="14"/>
      <c r="J2381" s="14"/>
      <c r="K2381" s="14"/>
      <c r="L2381" s="15"/>
      <c r="M2381" s="15"/>
      <c r="N2381" s="15"/>
      <c r="O2381" s="15"/>
      <c r="P2381" s="15"/>
      <c r="Q2381" s="14"/>
      <c r="R2381" s="14"/>
      <c r="S2381" s="14"/>
      <c r="T2381" s="14"/>
      <c r="U2381" s="15"/>
      <c r="V2381" s="14"/>
      <c r="W2381" s="14"/>
      <c r="X2381" s="14"/>
      <c r="Y2381" s="14"/>
      <c r="Z2381" s="14"/>
    </row>
    <row r="2382" spans="1:26" ht="13.2">
      <c r="A2382" s="13"/>
      <c r="B2382" s="14"/>
      <c r="C2382" s="14"/>
      <c r="D2382" s="14"/>
      <c r="E2382" s="14"/>
      <c r="F2382" s="14"/>
      <c r="G2382" s="14"/>
      <c r="H2382" s="14"/>
      <c r="I2382" s="14"/>
      <c r="J2382" s="14"/>
      <c r="K2382" s="14"/>
      <c r="L2382" s="15"/>
      <c r="M2382" s="15"/>
      <c r="N2382" s="15"/>
      <c r="O2382" s="15"/>
      <c r="P2382" s="15"/>
      <c r="Q2382" s="14"/>
      <c r="R2382" s="14"/>
      <c r="S2382" s="14"/>
      <c r="T2382" s="14"/>
      <c r="U2382" s="15"/>
      <c r="V2382" s="14"/>
      <c r="W2382" s="14"/>
      <c r="X2382" s="14"/>
      <c r="Y2382" s="14"/>
      <c r="Z2382" s="14"/>
    </row>
    <row r="2383" spans="1:26" ht="13.2">
      <c r="A2383" s="13"/>
      <c r="B2383" s="14"/>
      <c r="C2383" s="14"/>
      <c r="D2383" s="14"/>
      <c r="E2383" s="14"/>
      <c r="F2383" s="14"/>
      <c r="G2383" s="14"/>
      <c r="H2383" s="14"/>
      <c r="I2383" s="14"/>
      <c r="J2383" s="14"/>
      <c r="K2383" s="14"/>
      <c r="L2383" s="15"/>
      <c r="M2383" s="15"/>
      <c r="N2383" s="15"/>
      <c r="O2383" s="15"/>
      <c r="P2383" s="15"/>
      <c r="Q2383" s="14"/>
      <c r="R2383" s="14"/>
      <c r="S2383" s="14"/>
      <c r="T2383" s="14"/>
      <c r="U2383" s="15"/>
      <c r="V2383" s="14"/>
      <c r="W2383" s="14"/>
      <c r="X2383" s="14"/>
      <c r="Y2383" s="14"/>
      <c r="Z2383" s="14"/>
    </row>
    <row r="2384" spans="1:26" ht="13.2">
      <c r="A2384" s="13"/>
      <c r="B2384" s="14"/>
      <c r="C2384" s="14"/>
      <c r="D2384" s="14"/>
      <c r="E2384" s="14"/>
      <c r="F2384" s="14"/>
      <c r="G2384" s="14"/>
      <c r="H2384" s="14"/>
      <c r="I2384" s="14"/>
      <c r="J2384" s="14"/>
      <c r="K2384" s="14"/>
      <c r="L2384" s="15"/>
      <c r="M2384" s="15"/>
      <c r="N2384" s="15"/>
      <c r="O2384" s="15"/>
      <c r="P2384" s="15"/>
      <c r="Q2384" s="14"/>
      <c r="R2384" s="14"/>
      <c r="S2384" s="14"/>
      <c r="T2384" s="14"/>
      <c r="U2384" s="15"/>
      <c r="V2384" s="14"/>
      <c r="W2384" s="14"/>
      <c r="X2384" s="14"/>
      <c r="Y2384" s="14"/>
      <c r="Z2384" s="14"/>
    </row>
    <row r="2385" spans="1:26" ht="13.2">
      <c r="A2385" s="13"/>
      <c r="B2385" s="14"/>
      <c r="C2385" s="14"/>
      <c r="D2385" s="14"/>
      <c r="E2385" s="14"/>
      <c r="F2385" s="14"/>
      <c r="G2385" s="14"/>
      <c r="H2385" s="14"/>
      <c r="I2385" s="14"/>
      <c r="J2385" s="14"/>
      <c r="K2385" s="14"/>
      <c r="L2385" s="15"/>
      <c r="M2385" s="15"/>
      <c r="N2385" s="15"/>
      <c r="O2385" s="15"/>
      <c r="P2385" s="15"/>
      <c r="Q2385" s="14"/>
      <c r="R2385" s="14"/>
      <c r="S2385" s="14"/>
      <c r="T2385" s="14"/>
      <c r="U2385" s="15"/>
      <c r="V2385" s="14"/>
      <c r="W2385" s="14"/>
      <c r="X2385" s="14"/>
      <c r="Y2385" s="14"/>
      <c r="Z2385" s="14"/>
    </row>
    <row r="2386" spans="1:26" ht="13.2">
      <c r="A2386" s="13"/>
      <c r="B2386" s="14"/>
      <c r="C2386" s="14"/>
      <c r="D2386" s="14"/>
      <c r="E2386" s="14"/>
      <c r="F2386" s="14"/>
      <c r="G2386" s="14"/>
      <c r="H2386" s="14"/>
      <c r="I2386" s="14"/>
      <c r="J2386" s="14"/>
      <c r="K2386" s="14"/>
      <c r="L2386" s="15"/>
      <c r="M2386" s="15"/>
      <c r="N2386" s="15"/>
      <c r="O2386" s="15"/>
      <c r="P2386" s="15"/>
      <c r="Q2386" s="14"/>
      <c r="R2386" s="14"/>
      <c r="S2386" s="14"/>
      <c r="T2386" s="14"/>
      <c r="U2386" s="15"/>
      <c r="V2386" s="14"/>
      <c r="W2386" s="14"/>
      <c r="X2386" s="14"/>
      <c r="Y2386" s="14"/>
      <c r="Z2386" s="14"/>
    </row>
    <row r="2387" spans="1:26" ht="13.2">
      <c r="A2387" s="13"/>
      <c r="B2387" s="14"/>
      <c r="C2387" s="14"/>
      <c r="D2387" s="14"/>
      <c r="E2387" s="14"/>
      <c r="F2387" s="14"/>
      <c r="G2387" s="14"/>
      <c r="H2387" s="14"/>
      <c r="I2387" s="14"/>
      <c r="J2387" s="14"/>
      <c r="K2387" s="14"/>
      <c r="L2387" s="15"/>
      <c r="M2387" s="15"/>
      <c r="N2387" s="15"/>
      <c r="O2387" s="15"/>
      <c r="P2387" s="15"/>
      <c r="Q2387" s="14"/>
      <c r="R2387" s="14"/>
      <c r="S2387" s="14"/>
      <c r="T2387" s="14"/>
      <c r="U2387" s="15"/>
      <c r="V2387" s="14"/>
      <c r="W2387" s="14"/>
      <c r="X2387" s="14"/>
      <c r="Y2387" s="14"/>
      <c r="Z2387" s="14"/>
    </row>
    <row r="2388" spans="1:26" ht="13.2">
      <c r="A2388" s="13"/>
      <c r="B2388" s="14"/>
      <c r="C2388" s="14"/>
      <c r="D2388" s="14"/>
      <c r="E2388" s="14"/>
      <c r="F2388" s="14"/>
      <c r="G2388" s="14"/>
      <c r="H2388" s="14"/>
      <c r="I2388" s="14"/>
      <c r="J2388" s="14"/>
      <c r="K2388" s="14"/>
      <c r="L2388" s="15"/>
      <c r="M2388" s="15"/>
      <c r="N2388" s="15"/>
      <c r="O2388" s="15"/>
      <c r="P2388" s="15"/>
      <c r="Q2388" s="14"/>
      <c r="R2388" s="14"/>
      <c r="S2388" s="14"/>
      <c r="T2388" s="14"/>
      <c r="U2388" s="15"/>
      <c r="V2388" s="14"/>
      <c r="W2388" s="14"/>
      <c r="X2388" s="14"/>
      <c r="Y2388" s="14"/>
      <c r="Z2388" s="14"/>
    </row>
    <row r="2389" spans="1:26" ht="13.2">
      <c r="A2389" s="13"/>
      <c r="B2389" s="14"/>
      <c r="C2389" s="14"/>
      <c r="D2389" s="14"/>
      <c r="E2389" s="14"/>
      <c r="F2389" s="14"/>
      <c r="G2389" s="14"/>
      <c r="H2389" s="14"/>
      <c r="I2389" s="14"/>
      <c r="J2389" s="14"/>
      <c r="K2389" s="14"/>
      <c r="L2389" s="15"/>
      <c r="M2389" s="15"/>
      <c r="N2389" s="15"/>
      <c r="O2389" s="15"/>
      <c r="P2389" s="15"/>
      <c r="Q2389" s="14"/>
      <c r="R2389" s="14"/>
      <c r="S2389" s="14"/>
      <c r="T2389" s="14"/>
      <c r="U2389" s="15"/>
      <c r="V2389" s="14"/>
      <c r="W2389" s="14"/>
      <c r="X2389" s="14"/>
      <c r="Y2389" s="14"/>
      <c r="Z2389" s="14"/>
    </row>
    <row r="2390" spans="1:26" ht="13.2">
      <c r="A2390" s="13"/>
      <c r="B2390" s="14"/>
      <c r="C2390" s="14"/>
      <c r="D2390" s="14"/>
      <c r="E2390" s="14"/>
      <c r="F2390" s="14"/>
      <c r="G2390" s="14"/>
      <c r="H2390" s="14"/>
      <c r="I2390" s="14"/>
      <c r="J2390" s="14"/>
      <c r="K2390" s="14"/>
      <c r="L2390" s="15"/>
      <c r="M2390" s="15"/>
      <c r="N2390" s="15"/>
      <c r="O2390" s="15"/>
      <c r="P2390" s="15"/>
      <c r="Q2390" s="14"/>
      <c r="R2390" s="14"/>
      <c r="S2390" s="14"/>
      <c r="T2390" s="14"/>
      <c r="U2390" s="15"/>
      <c r="V2390" s="14"/>
      <c r="W2390" s="14"/>
      <c r="X2390" s="14"/>
      <c r="Y2390" s="14"/>
      <c r="Z2390" s="14"/>
    </row>
    <row r="2391" spans="1:26" ht="13.2">
      <c r="A2391" s="13"/>
      <c r="B2391" s="14"/>
      <c r="C2391" s="14"/>
      <c r="D2391" s="14"/>
      <c r="E2391" s="14"/>
      <c r="F2391" s="14"/>
      <c r="G2391" s="14"/>
      <c r="H2391" s="14"/>
      <c r="I2391" s="14"/>
      <c r="J2391" s="14"/>
      <c r="K2391" s="14"/>
      <c r="L2391" s="15"/>
      <c r="M2391" s="15"/>
      <c r="N2391" s="15"/>
      <c r="O2391" s="15"/>
      <c r="P2391" s="15"/>
      <c r="Q2391" s="14"/>
      <c r="R2391" s="14"/>
      <c r="S2391" s="14"/>
      <c r="T2391" s="14"/>
      <c r="U2391" s="15"/>
      <c r="V2391" s="14"/>
      <c r="W2391" s="14"/>
      <c r="X2391" s="14"/>
      <c r="Y2391" s="14"/>
      <c r="Z2391" s="14"/>
    </row>
    <row r="2392" spans="1:26" ht="13.2">
      <c r="A2392" s="13"/>
      <c r="B2392" s="14"/>
      <c r="C2392" s="14"/>
      <c r="D2392" s="14"/>
      <c r="E2392" s="14"/>
      <c r="F2392" s="14"/>
      <c r="G2392" s="14"/>
      <c r="H2392" s="14"/>
      <c r="I2392" s="14"/>
      <c r="J2392" s="14"/>
      <c r="K2392" s="14"/>
      <c r="L2392" s="15"/>
      <c r="M2392" s="15"/>
      <c r="N2392" s="15"/>
      <c r="O2392" s="15"/>
      <c r="P2392" s="15"/>
      <c r="Q2392" s="14"/>
      <c r="R2392" s="14"/>
      <c r="S2392" s="14"/>
      <c r="T2392" s="14"/>
      <c r="U2392" s="15"/>
      <c r="V2392" s="14"/>
      <c r="W2392" s="14"/>
      <c r="X2392" s="14"/>
      <c r="Y2392" s="14"/>
      <c r="Z2392" s="14"/>
    </row>
    <row r="2393" spans="1:26" ht="13.2">
      <c r="A2393" s="13"/>
      <c r="B2393" s="14"/>
      <c r="C2393" s="14"/>
      <c r="D2393" s="14"/>
      <c r="E2393" s="14"/>
      <c r="F2393" s="14"/>
      <c r="G2393" s="14"/>
      <c r="H2393" s="14"/>
      <c r="I2393" s="14"/>
      <c r="J2393" s="14"/>
      <c r="K2393" s="14"/>
      <c r="L2393" s="15"/>
      <c r="M2393" s="15"/>
      <c r="N2393" s="15"/>
      <c r="O2393" s="15"/>
      <c r="P2393" s="15"/>
      <c r="Q2393" s="14"/>
      <c r="R2393" s="14"/>
      <c r="S2393" s="14"/>
      <c r="T2393" s="14"/>
      <c r="U2393" s="15"/>
      <c r="V2393" s="14"/>
      <c r="W2393" s="14"/>
      <c r="X2393" s="14"/>
      <c r="Y2393" s="14"/>
      <c r="Z2393" s="14"/>
    </row>
    <row r="2394" spans="1:26" ht="13.2">
      <c r="A2394" s="13"/>
      <c r="B2394" s="14"/>
      <c r="C2394" s="14"/>
      <c r="D2394" s="14"/>
      <c r="E2394" s="14"/>
      <c r="F2394" s="14"/>
      <c r="G2394" s="14"/>
      <c r="H2394" s="14"/>
      <c r="I2394" s="14"/>
      <c r="J2394" s="14"/>
      <c r="K2394" s="14"/>
      <c r="L2394" s="15"/>
      <c r="M2394" s="15"/>
      <c r="N2394" s="15"/>
      <c r="O2394" s="15"/>
      <c r="P2394" s="15"/>
      <c r="Q2394" s="14"/>
      <c r="R2394" s="14"/>
      <c r="S2394" s="14"/>
      <c r="T2394" s="14"/>
      <c r="U2394" s="15"/>
      <c r="V2394" s="14"/>
      <c r="W2394" s="14"/>
      <c r="X2394" s="14"/>
      <c r="Y2394" s="14"/>
      <c r="Z2394" s="14"/>
    </row>
    <row r="2395" spans="1:26" ht="13.2">
      <c r="A2395" s="13"/>
      <c r="B2395" s="14"/>
      <c r="C2395" s="14"/>
      <c r="D2395" s="14"/>
      <c r="E2395" s="14"/>
      <c r="F2395" s="14"/>
      <c r="G2395" s="14"/>
      <c r="H2395" s="14"/>
      <c r="I2395" s="14"/>
      <c r="J2395" s="14"/>
      <c r="K2395" s="14"/>
      <c r="L2395" s="15"/>
      <c r="M2395" s="15"/>
      <c r="N2395" s="15"/>
      <c r="O2395" s="15"/>
      <c r="P2395" s="15"/>
      <c r="Q2395" s="14"/>
      <c r="R2395" s="14"/>
      <c r="S2395" s="14"/>
      <c r="T2395" s="14"/>
      <c r="U2395" s="15"/>
      <c r="V2395" s="14"/>
      <c r="W2395" s="14"/>
      <c r="X2395" s="14"/>
      <c r="Y2395" s="14"/>
      <c r="Z2395" s="14"/>
    </row>
    <row r="2396" spans="1:26" ht="13.2">
      <c r="A2396" s="13"/>
      <c r="B2396" s="14"/>
      <c r="C2396" s="14"/>
      <c r="D2396" s="14"/>
      <c r="E2396" s="14"/>
      <c r="F2396" s="14"/>
      <c r="G2396" s="14"/>
      <c r="H2396" s="14"/>
      <c r="I2396" s="14"/>
      <c r="J2396" s="14"/>
      <c r="K2396" s="14"/>
      <c r="L2396" s="15"/>
      <c r="M2396" s="15"/>
      <c r="N2396" s="15"/>
      <c r="O2396" s="15"/>
      <c r="P2396" s="15"/>
      <c r="Q2396" s="14"/>
      <c r="R2396" s="14"/>
      <c r="S2396" s="14"/>
      <c r="T2396" s="14"/>
      <c r="U2396" s="15"/>
      <c r="V2396" s="14"/>
      <c r="W2396" s="14"/>
      <c r="X2396" s="14"/>
      <c r="Y2396" s="14"/>
      <c r="Z2396" s="14"/>
    </row>
    <row r="2397" spans="1:26" ht="13.2">
      <c r="A2397" s="13"/>
      <c r="B2397" s="14"/>
      <c r="C2397" s="14"/>
      <c r="D2397" s="14"/>
      <c r="E2397" s="14"/>
      <c r="F2397" s="14"/>
      <c r="G2397" s="14"/>
      <c r="H2397" s="14"/>
      <c r="I2397" s="14"/>
      <c r="J2397" s="14"/>
      <c r="K2397" s="14"/>
      <c r="L2397" s="15"/>
      <c r="M2397" s="15"/>
      <c r="N2397" s="15"/>
      <c r="O2397" s="15"/>
      <c r="P2397" s="15"/>
      <c r="Q2397" s="14"/>
      <c r="R2397" s="14"/>
      <c r="S2397" s="14"/>
      <c r="T2397" s="14"/>
      <c r="U2397" s="15"/>
      <c r="V2397" s="14"/>
      <c r="W2397" s="14"/>
      <c r="X2397" s="14"/>
      <c r="Y2397" s="14"/>
      <c r="Z2397" s="14"/>
    </row>
    <row r="2398" spans="1:26" ht="13.2">
      <c r="A2398" s="13"/>
      <c r="B2398" s="14"/>
      <c r="C2398" s="14"/>
      <c r="D2398" s="14"/>
      <c r="E2398" s="14"/>
      <c r="F2398" s="14"/>
      <c r="G2398" s="14"/>
      <c r="H2398" s="14"/>
      <c r="I2398" s="14"/>
      <c r="J2398" s="14"/>
      <c r="K2398" s="14"/>
      <c r="L2398" s="15"/>
      <c r="M2398" s="15"/>
      <c r="N2398" s="15"/>
      <c r="O2398" s="15"/>
      <c r="P2398" s="15"/>
      <c r="Q2398" s="14"/>
      <c r="R2398" s="14"/>
      <c r="S2398" s="14"/>
      <c r="T2398" s="14"/>
      <c r="U2398" s="15"/>
      <c r="V2398" s="14"/>
      <c r="W2398" s="14"/>
      <c r="X2398" s="14"/>
      <c r="Y2398" s="14"/>
      <c r="Z2398" s="14"/>
    </row>
    <row r="2399" spans="1:26" ht="13.2">
      <c r="A2399" s="13"/>
      <c r="B2399" s="14"/>
      <c r="C2399" s="14"/>
      <c r="D2399" s="14"/>
      <c r="E2399" s="14"/>
      <c r="F2399" s="14"/>
      <c r="G2399" s="14"/>
      <c r="H2399" s="14"/>
      <c r="I2399" s="14"/>
      <c r="J2399" s="14"/>
      <c r="K2399" s="14"/>
      <c r="L2399" s="15"/>
      <c r="M2399" s="15"/>
      <c r="N2399" s="15"/>
      <c r="O2399" s="15"/>
      <c r="P2399" s="15"/>
      <c r="Q2399" s="14"/>
      <c r="R2399" s="14"/>
      <c r="S2399" s="14"/>
      <c r="T2399" s="14"/>
      <c r="U2399" s="15"/>
      <c r="V2399" s="14"/>
      <c r="W2399" s="14"/>
      <c r="X2399" s="14"/>
      <c r="Y2399" s="14"/>
      <c r="Z2399" s="14"/>
    </row>
    <row r="2400" spans="1:26" ht="13.2">
      <c r="A2400" s="13"/>
      <c r="B2400" s="14"/>
      <c r="C2400" s="14"/>
      <c r="D2400" s="14"/>
      <c r="E2400" s="14"/>
      <c r="F2400" s="14"/>
      <c r="G2400" s="14"/>
      <c r="H2400" s="14"/>
      <c r="I2400" s="14"/>
      <c r="J2400" s="14"/>
      <c r="K2400" s="14"/>
      <c r="L2400" s="15"/>
      <c r="M2400" s="15"/>
      <c r="N2400" s="15"/>
      <c r="O2400" s="15"/>
      <c r="P2400" s="15"/>
      <c r="Q2400" s="14"/>
      <c r="R2400" s="14"/>
      <c r="S2400" s="14"/>
      <c r="T2400" s="14"/>
      <c r="U2400" s="15"/>
      <c r="V2400" s="14"/>
      <c r="W2400" s="14"/>
      <c r="X2400" s="14"/>
      <c r="Y2400" s="14"/>
      <c r="Z2400" s="14"/>
    </row>
    <row r="2401" spans="1:26" ht="13.2">
      <c r="A2401" s="13"/>
      <c r="B2401" s="14"/>
      <c r="C2401" s="14"/>
      <c r="D2401" s="14"/>
      <c r="E2401" s="14"/>
      <c r="F2401" s="14"/>
      <c r="G2401" s="14"/>
      <c r="H2401" s="14"/>
      <c r="I2401" s="14"/>
      <c r="J2401" s="14"/>
      <c r="K2401" s="14"/>
      <c r="L2401" s="15"/>
      <c r="M2401" s="15"/>
      <c r="N2401" s="15"/>
      <c r="O2401" s="15"/>
      <c r="P2401" s="15"/>
      <c r="Q2401" s="14"/>
      <c r="R2401" s="14"/>
      <c r="S2401" s="14"/>
      <c r="T2401" s="14"/>
      <c r="U2401" s="15"/>
      <c r="V2401" s="14"/>
      <c r="W2401" s="14"/>
      <c r="X2401" s="14"/>
      <c r="Y2401" s="14"/>
      <c r="Z2401" s="14"/>
    </row>
    <row r="2402" spans="1:26" ht="13.2">
      <c r="A2402" s="13"/>
      <c r="B2402" s="14"/>
      <c r="C2402" s="14"/>
      <c r="D2402" s="14"/>
      <c r="E2402" s="14"/>
      <c r="F2402" s="14"/>
      <c r="G2402" s="14"/>
      <c r="H2402" s="14"/>
      <c r="I2402" s="14"/>
      <c r="J2402" s="14"/>
      <c r="K2402" s="14"/>
      <c r="L2402" s="15"/>
      <c r="M2402" s="15"/>
      <c r="N2402" s="15"/>
      <c r="O2402" s="15"/>
      <c r="P2402" s="15"/>
      <c r="Q2402" s="14"/>
      <c r="R2402" s="14"/>
      <c r="S2402" s="14"/>
      <c r="T2402" s="14"/>
      <c r="U2402" s="15"/>
      <c r="V2402" s="14"/>
      <c r="W2402" s="14"/>
      <c r="X2402" s="14"/>
      <c r="Y2402" s="14"/>
      <c r="Z2402" s="14"/>
    </row>
    <row r="2403" spans="1:26" ht="13.2">
      <c r="A2403" s="13"/>
      <c r="B2403" s="14"/>
      <c r="C2403" s="14"/>
      <c r="D2403" s="14"/>
      <c r="E2403" s="14"/>
      <c r="F2403" s="14"/>
      <c r="G2403" s="14"/>
      <c r="H2403" s="14"/>
      <c r="I2403" s="14"/>
      <c r="J2403" s="14"/>
      <c r="K2403" s="14"/>
      <c r="L2403" s="15"/>
      <c r="M2403" s="15"/>
      <c r="N2403" s="15"/>
      <c r="O2403" s="15"/>
      <c r="P2403" s="15"/>
      <c r="Q2403" s="14"/>
      <c r="R2403" s="14"/>
      <c r="S2403" s="14"/>
      <c r="T2403" s="14"/>
      <c r="U2403" s="15"/>
      <c r="V2403" s="14"/>
      <c r="W2403" s="14"/>
      <c r="X2403" s="14"/>
      <c r="Y2403" s="14"/>
      <c r="Z2403" s="14"/>
    </row>
    <row r="2404" spans="1:26" ht="13.2">
      <c r="A2404" s="13"/>
      <c r="B2404" s="14"/>
      <c r="C2404" s="14"/>
      <c r="D2404" s="14"/>
      <c r="E2404" s="14"/>
      <c r="F2404" s="14"/>
      <c r="G2404" s="14"/>
      <c r="H2404" s="14"/>
      <c r="I2404" s="14"/>
      <c r="J2404" s="14"/>
      <c r="K2404" s="14"/>
      <c r="L2404" s="15"/>
      <c r="M2404" s="15"/>
      <c r="N2404" s="15"/>
      <c r="O2404" s="15"/>
      <c r="P2404" s="15"/>
      <c r="Q2404" s="14"/>
      <c r="R2404" s="14"/>
      <c r="S2404" s="14"/>
      <c r="T2404" s="14"/>
      <c r="U2404" s="15"/>
      <c r="V2404" s="14"/>
      <c r="W2404" s="14"/>
      <c r="X2404" s="14"/>
      <c r="Y2404" s="14"/>
      <c r="Z2404" s="14"/>
    </row>
    <row r="2405" spans="1:26" ht="13.2">
      <c r="A2405" s="13"/>
      <c r="B2405" s="14"/>
      <c r="C2405" s="14"/>
      <c r="D2405" s="14"/>
      <c r="E2405" s="14"/>
      <c r="F2405" s="14"/>
      <c r="G2405" s="14"/>
      <c r="H2405" s="14"/>
      <c r="I2405" s="14"/>
      <c r="J2405" s="14"/>
      <c r="K2405" s="14"/>
      <c r="L2405" s="15"/>
      <c r="M2405" s="15"/>
      <c r="N2405" s="15"/>
      <c r="O2405" s="15"/>
      <c r="P2405" s="15"/>
      <c r="Q2405" s="14"/>
      <c r="R2405" s="14"/>
      <c r="S2405" s="14"/>
      <c r="T2405" s="14"/>
      <c r="U2405" s="15"/>
      <c r="V2405" s="14"/>
      <c r="W2405" s="14"/>
      <c r="X2405" s="14"/>
      <c r="Y2405" s="14"/>
      <c r="Z2405" s="14"/>
    </row>
    <row r="2406" spans="1:26" ht="13.2">
      <c r="A2406" s="13"/>
      <c r="B2406" s="14"/>
      <c r="C2406" s="14"/>
      <c r="D2406" s="14"/>
      <c r="E2406" s="14"/>
      <c r="F2406" s="14"/>
      <c r="G2406" s="14"/>
      <c r="H2406" s="14"/>
      <c r="I2406" s="14"/>
      <c r="J2406" s="14"/>
      <c r="K2406" s="14"/>
      <c r="L2406" s="15"/>
      <c r="M2406" s="15"/>
      <c r="N2406" s="15"/>
      <c r="O2406" s="15"/>
      <c r="P2406" s="15"/>
      <c r="Q2406" s="14"/>
      <c r="R2406" s="14"/>
      <c r="S2406" s="14"/>
      <c r="T2406" s="14"/>
      <c r="U2406" s="15"/>
      <c r="V2406" s="14"/>
      <c r="W2406" s="14"/>
      <c r="X2406" s="14"/>
      <c r="Y2406" s="14"/>
      <c r="Z2406" s="14"/>
    </row>
    <row r="2407" spans="1:26" ht="13.2">
      <c r="A2407" s="13"/>
      <c r="B2407" s="14"/>
      <c r="C2407" s="14"/>
      <c r="D2407" s="14"/>
      <c r="E2407" s="14"/>
      <c r="F2407" s="14"/>
      <c r="G2407" s="14"/>
      <c r="H2407" s="14"/>
      <c r="I2407" s="14"/>
      <c r="J2407" s="14"/>
      <c r="K2407" s="14"/>
      <c r="L2407" s="15"/>
      <c r="M2407" s="15"/>
      <c r="N2407" s="15"/>
      <c r="O2407" s="15"/>
      <c r="P2407" s="15"/>
      <c r="Q2407" s="14"/>
      <c r="R2407" s="14"/>
      <c r="S2407" s="14"/>
      <c r="T2407" s="14"/>
      <c r="U2407" s="15"/>
      <c r="V2407" s="14"/>
      <c r="W2407" s="14"/>
      <c r="X2407" s="14"/>
      <c r="Y2407" s="14"/>
      <c r="Z2407" s="14"/>
    </row>
    <row r="2408" spans="1:26" ht="13.2">
      <c r="A2408" s="13"/>
      <c r="B2408" s="14"/>
      <c r="C2408" s="14"/>
      <c r="D2408" s="14"/>
      <c r="E2408" s="14"/>
      <c r="F2408" s="14"/>
      <c r="G2408" s="14"/>
      <c r="H2408" s="14"/>
      <c r="I2408" s="14"/>
      <c r="J2408" s="14"/>
      <c r="K2408" s="14"/>
      <c r="L2408" s="15"/>
      <c r="M2408" s="15"/>
      <c r="N2408" s="15"/>
      <c r="O2408" s="15"/>
      <c r="P2408" s="15"/>
      <c r="Q2408" s="14"/>
      <c r="R2408" s="14"/>
      <c r="S2408" s="14"/>
      <c r="T2408" s="14"/>
      <c r="U2408" s="15"/>
      <c r="V2408" s="14"/>
      <c r="W2408" s="14"/>
      <c r="X2408" s="14"/>
      <c r="Y2408" s="14"/>
      <c r="Z2408" s="14"/>
    </row>
    <row r="2409" spans="1:26" ht="13.2">
      <c r="A2409" s="13"/>
      <c r="B2409" s="14"/>
      <c r="C2409" s="14"/>
      <c r="D2409" s="14"/>
      <c r="E2409" s="14"/>
      <c r="F2409" s="14"/>
      <c r="G2409" s="14"/>
      <c r="H2409" s="14"/>
      <c r="I2409" s="14"/>
      <c r="J2409" s="14"/>
      <c r="K2409" s="14"/>
      <c r="L2409" s="15"/>
      <c r="M2409" s="15"/>
      <c r="N2409" s="15"/>
      <c r="O2409" s="15"/>
      <c r="P2409" s="15"/>
      <c r="Q2409" s="14"/>
      <c r="R2409" s="14"/>
      <c r="S2409" s="14"/>
      <c r="T2409" s="14"/>
      <c r="U2409" s="15"/>
      <c r="V2409" s="14"/>
      <c r="W2409" s="14"/>
      <c r="X2409" s="14"/>
      <c r="Y2409" s="14"/>
      <c r="Z2409" s="14"/>
    </row>
    <row r="2410" spans="1:26" ht="13.2">
      <c r="A2410" s="13"/>
      <c r="B2410" s="14"/>
      <c r="C2410" s="14"/>
      <c r="D2410" s="14"/>
      <c r="E2410" s="14"/>
      <c r="F2410" s="14"/>
      <c r="G2410" s="14"/>
      <c r="H2410" s="14"/>
      <c r="I2410" s="14"/>
      <c r="J2410" s="14"/>
      <c r="K2410" s="14"/>
      <c r="L2410" s="15"/>
      <c r="M2410" s="15"/>
      <c r="N2410" s="15"/>
      <c r="O2410" s="15"/>
      <c r="P2410" s="15"/>
      <c r="Q2410" s="14"/>
      <c r="R2410" s="14"/>
      <c r="S2410" s="14"/>
      <c r="T2410" s="14"/>
      <c r="U2410" s="15"/>
      <c r="V2410" s="14"/>
      <c r="W2410" s="14"/>
      <c r="X2410" s="14"/>
      <c r="Y2410" s="14"/>
      <c r="Z2410" s="14"/>
    </row>
    <row r="2411" spans="1:26" ht="13.2">
      <c r="A2411" s="13"/>
      <c r="B2411" s="14"/>
      <c r="C2411" s="14"/>
      <c r="D2411" s="14"/>
      <c r="E2411" s="14"/>
      <c r="F2411" s="14"/>
      <c r="G2411" s="14"/>
      <c r="H2411" s="14"/>
      <c r="I2411" s="14"/>
      <c r="J2411" s="14"/>
      <c r="K2411" s="14"/>
      <c r="L2411" s="15"/>
      <c r="M2411" s="15"/>
      <c r="N2411" s="15"/>
      <c r="O2411" s="15"/>
      <c r="P2411" s="15"/>
      <c r="Q2411" s="14"/>
      <c r="R2411" s="14"/>
      <c r="S2411" s="14"/>
      <c r="T2411" s="14"/>
      <c r="U2411" s="15"/>
      <c r="V2411" s="14"/>
      <c r="W2411" s="14"/>
      <c r="X2411" s="14"/>
      <c r="Y2411" s="14"/>
      <c r="Z2411" s="14"/>
    </row>
    <row r="2412" spans="1:26" ht="13.2">
      <c r="A2412" s="13"/>
      <c r="B2412" s="14"/>
      <c r="C2412" s="14"/>
      <c r="D2412" s="14"/>
      <c r="E2412" s="14"/>
      <c r="F2412" s="14"/>
      <c r="G2412" s="14"/>
      <c r="H2412" s="14"/>
      <c r="I2412" s="14"/>
      <c r="J2412" s="14"/>
      <c r="K2412" s="14"/>
      <c r="L2412" s="15"/>
      <c r="M2412" s="15"/>
      <c r="N2412" s="15"/>
      <c r="O2412" s="15"/>
      <c r="P2412" s="15"/>
      <c r="Q2412" s="14"/>
      <c r="R2412" s="14"/>
      <c r="S2412" s="14"/>
      <c r="T2412" s="14"/>
      <c r="U2412" s="15"/>
      <c r="V2412" s="14"/>
      <c r="W2412" s="14"/>
      <c r="X2412" s="14"/>
      <c r="Y2412" s="14"/>
      <c r="Z2412" s="14"/>
    </row>
    <row r="2413" spans="1:26" ht="13.2">
      <c r="A2413" s="13"/>
      <c r="B2413" s="14"/>
      <c r="C2413" s="14"/>
      <c r="D2413" s="14"/>
      <c r="E2413" s="14"/>
      <c r="F2413" s="14"/>
      <c r="G2413" s="14"/>
      <c r="H2413" s="14"/>
      <c r="I2413" s="14"/>
      <c r="J2413" s="14"/>
      <c r="K2413" s="14"/>
      <c r="L2413" s="15"/>
      <c r="M2413" s="15"/>
      <c r="N2413" s="15"/>
      <c r="O2413" s="15"/>
      <c r="P2413" s="15"/>
      <c r="Q2413" s="14"/>
      <c r="R2413" s="14"/>
      <c r="S2413" s="14"/>
      <c r="T2413" s="14"/>
      <c r="U2413" s="15"/>
      <c r="V2413" s="14"/>
      <c r="W2413" s="14"/>
      <c r="X2413" s="14"/>
      <c r="Y2413" s="14"/>
      <c r="Z2413" s="14"/>
    </row>
    <row r="2414" spans="1:26" ht="13.2">
      <c r="A2414" s="13"/>
      <c r="B2414" s="14"/>
      <c r="C2414" s="14"/>
      <c r="D2414" s="14"/>
      <c r="E2414" s="14"/>
      <c r="F2414" s="14"/>
      <c r="G2414" s="14"/>
      <c r="H2414" s="14"/>
      <c r="I2414" s="14"/>
      <c r="J2414" s="14"/>
      <c r="K2414" s="14"/>
      <c r="L2414" s="15"/>
      <c r="M2414" s="15"/>
      <c r="N2414" s="15"/>
      <c r="O2414" s="15"/>
      <c r="P2414" s="15"/>
      <c r="Q2414" s="14"/>
      <c r="R2414" s="14"/>
      <c r="S2414" s="14"/>
      <c r="T2414" s="14"/>
      <c r="U2414" s="15"/>
      <c r="V2414" s="14"/>
      <c r="W2414" s="14"/>
      <c r="X2414" s="14"/>
      <c r="Y2414" s="14"/>
      <c r="Z2414" s="14"/>
    </row>
    <row r="2415" spans="1:26" ht="13.2">
      <c r="A2415" s="13"/>
      <c r="B2415" s="14"/>
      <c r="C2415" s="14"/>
      <c r="D2415" s="14"/>
      <c r="E2415" s="14"/>
      <c r="F2415" s="14"/>
      <c r="G2415" s="14"/>
      <c r="H2415" s="14"/>
      <c r="I2415" s="14"/>
      <c r="J2415" s="14"/>
      <c r="K2415" s="14"/>
      <c r="L2415" s="15"/>
      <c r="M2415" s="15"/>
      <c r="N2415" s="15"/>
      <c r="O2415" s="15"/>
      <c r="P2415" s="15"/>
      <c r="Q2415" s="14"/>
      <c r="R2415" s="14"/>
      <c r="S2415" s="14"/>
      <c r="T2415" s="14"/>
      <c r="U2415" s="15"/>
      <c r="V2415" s="14"/>
      <c r="W2415" s="14"/>
      <c r="X2415" s="14"/>
      <c r="Y2415" s="14"/>
      <c r="Z2415" s="14"/>
    </row>
    <row r="2416" spans="1:26" ht="13.2">
      <c r="A2416" s="13"/>
      <c r="B2416" s="14"/>
      <c r="C2416" s="14"/>
      <c r="D2416" s="14"/>
      <c r="E2416" s="14"/>
      <c r="F2416" s="14"/>
      <c r="G2416" s="14"/>
      <c r="H2416" s="14"/>
      <c r="I2416" s="14"/>
      <c r="J2416" s="14"/>
      <c r="K2416" s="14"/>
      <c r="L2416" s="15"/>
      <c r="M2416" s="15"/>
      <c r="N2416" s="15"/>
      <c r="O2416" s="15"/>
      <c r="P2416" s="15"/>
      <c r="Q2416" s="14"/>
      <c r="R2416" s="14"/>
      <c r="S2416" s="14"/>
      <c r="T2416" s="14"/>
      <c r="U2416" s="15"/>
      <c r="V2416" s="14"/>
      <c r="W2416" s="14"/>
      <c r="X2416" s="14"/>
      <c r="Y2416" s="14"/>
      <c r="Z2416" s="14"/>
    </row>
    <row r="2417" spans="1:26" ht="13.2">
      <c r="A2417" s="13"/>
      <c r="B2417" s="14"/>
      <c r="C2417" s="14"/>
      <c r="D2417" s="14"/>
      <c r="E2417" s="14"/>
      <c r="F2417" s="14"/>
      <c r="G2417" s="14"/>
      <c r="H2417" s="14"/>
      <c r="I2417" s="14"/>
      <c r="J2417" s="14"/>
      <c r="K2417" s="14"/>
      <c r="L2417" s="15"/>
      <c r="M2417" s="15"/>
      <c r="N2417" s="15"/>
      <c r="O2417" s="15"/>
      <c r="P2417" s="15"/>
      <c r="Q2417" s="14"/>
      <c r="R2417" s="14"/>
      <c r="S2417" s="14"/>
      <c r="T2417" s="14"/>
      <c r="U2417" s="15"/>
      <c r="V2417" s="14"/>
      <c r="W2417" s="14"/>
      <c r="X2417" s="14"/>
      <c r="Y2417" s="14"/>
      <c r="Z2417" s="14"/>
    </row>
    <row r="2418" spans="1:26" ht="13.2">
      <c r="A2418" s="13"/>
      <c r="B2418" s="14"/>
      <c r="C2418" s="14"/>
      <c r="D2418" s="14"/>
      <c r="E2418" s="14"/>
      <c r="F2418" s="14"/>
      <c r="G2418" s="14"/>
      <c r="H2418" s="14"/>
      <c r="I2418" s="14"/>
      <c r="J2418" s="14"/>
      <c r="K2418" s="14"/>
      <c r="L2418" s="15"/>
      <c r="M2418" s="15"/>
      <c r="N2418" s="15"/>
      <c r="O2418" s="15"/>
      <c r="P2418" s="15"/>
      <c r="Q2418" s="14"/>
      <c r="R2418" s="14"/>
      <c r="S2418" s="14"/>
      <c r="T2418" s="14"/>
      <c r="U2418" s="15"/>
      <c r="V2418" s="14"/>
      <c r="W2418" s="14"/>
      <c r="X2418" s="14"/>
      <c r="Y2418" s="14"/>
      <c r="Z2418" s="14"/>
    </row>
    <row r="2419" spans="1:26" ht="13.2">
      <c r="A2419" s="13"/>
      <c r="B2419" s="14"/>
      <c r="C2419" s="14"/>
      <c r="D2419" s="14"/>
      <c r="E2419" s="14"/>
      <c r="F2419" s="14"/>
      <c r="G2419" s="14"/>
      <c r="H2419" s="14"/>
      <c r="I2419" s="14"/>
      <c r="J2419" s="14"/>
      <c r="K2419" s="14"/>
      <c r="L2419" s="15"/>
      <c r="M2419" s="15"/>
      <c r="N2419" s="15"/>
      <c r="O2419" s="15"/>
      <c r="P2419" s="15"/>
      <c r="Q2419" s="14"/>
      <c r="R2419" s="14"/>
      <c r="S2419" s="14"/>
      <c r="T2419" s="14"/>
      <c r="U2419" s="15"/>
      <c r="V2419" s="14"/>
      <c r="W2419" s="14"/>
      <c r="X2419" s="14"/>
      <c r="Y2419" s="14"/>
      <c r="Z2419" s="14"/>
    </row>
    <row r="2420" spans="1:26" ht="13.2">
      <c r="A2420" s="13"/>
      <c r="B2420" s="14"/>
      <c r="C2420" s="14"/>
      <c r="D2420" s="14"/>
      <c r="E2420" s="14"/>
      <c r="F2420" s="14"/>
      <c r="G2420" s="14"/>
      <c r="H2420" s="14"/>
      <c r="I2420" s="14"/>
      <c r="J2420" s="14"/>
      <c r="K2420" s="14"/>
      <c r="L2420" s="15"/>
      <c r="M2420" s="15"/>
      <c r="N2420" s="15"/>
      <c r="O2420" s="15"/>
      <c r="P2420" s="15"/>
      <c r="Q2420" s="14"/>
      <c r="R2420" s="14"/>
      <c r="S2420" s="14"/>
      <c r="T2420" s="14"/>
      <c r="U2420" s="15"/>
      <c r="V2420" s="14"/>
      <c r="W2420" s="14"/>
      <c r="X2420" s="14"/>
      <c r="Y2420" s="14"/>
      <c r="Z2420" s="14"/>
    </row>
    <row r="2421" spans="1:26" ht="13.2">
      <c r="A2421" s="13"/>
      <c r="B2421" s="14"/>
      <c r="C2421" s="14"/>
      <c r="D2421" s="14"/>
      <c r="E2421" s="14"/>
      <c r="F2421" s="14"/>
      <c r="G2421" s="14"/>
      <c r="H2421" s="14"/>
      <c r="I2421" s="14"/>
      <c r="J2421" s="14"/>
      <c r="K2421" s="14"/>
      <c r="L2421" s="15"/>
      <c r="M2421" s="15"/>
      <c r="N2421" s="15"/>
      <c r="O2421" s="15"/>
      <c r="P2421" s="15"/>
      <c r="Q2421" s="14"/>
      <c r="R2421" s="14"/>
      <c r="S2421" s="14"/>
      <c r="T2421" s="14"/>
      <c r="U2421" s="15"/>
      <c r="V2421" s="14"/>
      <c r="W2421" s="14"/>
      <c r="X2421" s="14"/>
      <c r="Y2421" s="14"/>
      <c r="Z2421" s="14"/>
    </row>
    <row r="2422" spans="1:26" ht="13.2">
      <c r="A2422" s="13"/>
      <c r="B2422" s="14"/>
      <c r="C2422" s="14"/>
      <c r="D2422" s="14"/>
      <c r="E2422" s="14"/>
      <c r="F2422" s="14"/>
      <c r="G2422" s="14"/>
      <c r="H2422" s="14"/>
      <c r="I2422" s="14"/>
      <c r="J2422" s="14"/>
      <c r="K2422" s="14"/>
      <c r="L2422" s="15"/>
      <c r="M2422" s="15"/>
      <c r="N2422" s="15"/>
      <c r="O2422" s="15"/>
      <c r="P2422" s="15"/>
      <c r="Q2422" s="14"/>
      <c r="R2422" s="14"/>
      <c r="S2422" s="14"/>
      <c r="T2422" s="14"/>
      <c r="U2422" s="15"/>
      <c r="V2422" s="14"/>
      <c r="W2422" s="14"/>
      <c r="X2422" s="14"/>
      <c r="Y2422" s="14"/>
      <c r="Z2422" s="14"/>
    </row>
    <row r="2423" spans="1:26" ht="13.2">
      <c r="A2423" s="13"/>
      <c r="B2423" s="14"/>
      <c r="C2423" s="14"/>
      <c r="D2423" s="14"/>
      <c r="E2423" s="14"/>
      <c r="F2423" s="14"/>
      <c r="G2423" s="14"/>
      <c r="H2423" s="14"/>
      <c r="I2423" s="14"/>
      <c r="J2423" s="14"/>
      <c r="K2423" s="14"/>
      <c r="L2423" s="15"/>
      <c r="M2423" s="15"/>
      <c r="N2423" s="15"/>
      <c r="O2423" s="15"/>
      <c r="P2423" s="15"/>
      <c r="Q2423" s="14"/>
      <c r="R2423" s="14"/>
      <c r="S2423" s="14"/>
      <c r="T2423" s="14"/>
      <c r="U2423" s="15"/>
      <c r="V2423" s="14"/>
      <c r="W2423" s="14"/>
      <c r="X2423" s="14"/>
      <c r="Y2423" s="14"/>
      <c r="Z2423" s="14"/>
    </row>
    <row r="2424" spans="1:26" ht="13.2">
      <c r="A2424" s="13"/>
      <c r="B2424" s="14"/>
      <c r="C2424" s="14"/>
      <c r="D2424" s="14"/>
      <c r="E2424" s="14"/>
      <c r="F2424" s="14"/>
      <c r="G2424" s="14"/>
      <c r="H2424" s="14"/>
      <c r="I2424" s="14"/>
      <c r="J2424" s="14"/>
      <c r="K2424" s="14"/>
      <c r="L2424" s="15"/>
      <c r="M2424" s="15"/>
      <c r="N2424" s="15"/>
      <c r="O2424" s="15"/>
      <c r="P2424" s="15"/>
      <c r="Q2424" s="14"/>
      <c r="R2424" s="14"/>
      <c r="S2424" s="14"/>
      <c r="T2424" s="14"/>
      <c r="U2424" s="15"/>
      <c r="V2424" s="14"/>
      <c r="W2424" s="14"/>
      <c r="X2424" s="14"/>
      <c r="Y2424" s="14"/>
      <c r="Z2424" s="14"/>
    </row>
    <row r="2425" spans="1:26" ht="13.2">
      <c r="A2425" s="13"/>
      <c r="B2425" s="14"/>
      <c r="C2425" s="14"/>
      <c r="D2425" s="14"/>
      <c r="E2425" s="14"/>
      <c r="F2425" s="14"/>
      <c r="G2425" s="14"/>
      <c r="H2425" s="14"/>
      <c r="I2425" s="14"/>
      <c r="J2425" s="14"/>
      <c r="K2425" s="14"/>
      <c r="L2425" s="15"/>
      <c r="M2425" s="15"/>
      <c r="N2425" s="15"/>
      <c r="O2425" s="15"/>
      <c r="P2425" s="15"/>
      <c r="Q2425" s="14"/>
      <c r="R2425" s="14"/>
      <c r="S2425" s="14"/>
      <c r="T2425" s="14"/>
      <c r="U2425" s="15"/>
      <c r="V2425" s="14"/>
      <c r="W2425" s="14"/>
      <c r="X2425" s="14"/>
      <c r="Y2425" s="14"/>
      <c r="Z2425" s="14"/>
    </row>
    <row r="2426" spans="1:26" ht="13.2">
      <c r="A2426" s="13"/>
      <c r="B2426" s="14"/>
      <c r="C2426" s="14"/>
      <c r="D2426" s="14"/>
      <c r="E2426" s="14"/>
      <c r="F2426" s="14"/>
      <c r="G2426" s="14"/>
      <c r="H2426" s="14"/>
      <c r="I2426" s="14"/>
      <c r="J2426" s="14"/>
      <c r="K2426" s="14"/>
      <c r="L2426" s="15"/>
      <c r="M2426" s="15"/>
      <c r="N2426" s="15"/>
      <c r="O2426" s="15"/>
      <c r="P2426" s="15"/>
      <c r="Q2426" s="14"/>
      <c r="R2426" s="14"/>
      <c r="S2426" s="14"/>
      <c r="T2426" s="14"/>
      <c r="U2426" s="15"/>
      <c r="V2426" s="14"/>
      <c r="W2426" s="14"/>
      <c r="X2426" s="14"/>
      <c r="Y2426" s="14"/>
      <c r="Z2426" s="14"/>
    </row>
    <row r="2427" spans="1:26" ht="13.2">
      <c r="A2427" s="13"/>
      <c r="B2427" s="14"/>
      <c r="C2427" s="14"/>
      <c r="D2427" s="14"/>
      <c r="E2427" s="14"/>
      <c r="F2427" s="14"/>
      <c r="G2427" s="14"/>
      <c r="H2427" s="14"/>
      <c r="I2427" s="14"/>
      <c r="J2427" s="14"/>
      <c r="K2427" s="14"/>
      <c r="L2427" s="15"/>
      <c r="M2427" s="15"/>
      <c r="N2427" s="15"/>
      <c r="O2427" s="15"/>
      <c r="P2427" s="15"/>
      <c r="Q2427" s="14"/>
      <c r="R2427" s="14"/>
      <c r="S2427" s="14"/>
      <c r="T2427" s="14"/>
      <c r="U2427" s="15"/>
      <c r="V2427" s="14"/>
      <c r="W2427" s="14"/>
      <c r="X2427" s="14"/>
      <c r="Y2427" s="14"/>
      <c r="Z2427" s="14"/>
    </row>
    <row r="2428" spans="1:26" ht="13.2">
      <c r="A2428" s="13"/>
      <c r="B2428" s="14"/>
      <c r="C2428" s="14"/>
      <c r="D2428" s="14"/>
      <c r="E2428" s="14"/>
      <c r="F2428" s="14"/>
      <c r="G2428" s="14"/>
      <c r="H2428" s="14"/>
      <c r="I2428" s="14"/>
      <c r="J2428" s="14"/>
      <c r="K2428" s="14"/>
      <c r="L2428" s="15"/>
      <c r="M2428" s="15"/>
      <c r="N2428" s="15"/>
      <c r="O2428" s="15"/>
      <c r="P2428" s="15"/>
      <c r="Q2428" s="14"/>
      <c r="R2428" s="14"/>
      <c r="S2428" s="14"/>
      <c r="T2428" s="14"/>
      <c r="U2428" s="15"/>
      <c r="V2428" s="14"/>
      <c r="W2428" s="14"/>
      <c r="X2428" s="14"/>
      <c r="Y2428" s="14"/>
      <c r="Z2428" s="14"/>
    </row>
    <row r="2429" spans="1:26" ht="13.2">
      <c r="A2429" s="13"/>
      <c r="B2429" s="14"/>
      <c r="C2429" s="14"/>
      <c r="D2429" s="14"/>
      <c r="E2429" s="14"/>
      <c r="F2429" s="14"/>
      <c r="G2429" s="14"/>
      <c r="H2429" s="14"/>
      <c r="I2429" s="14"/>
      <c r="J2429" s="14"/>
      <c r="K2429" s="14"/>
      <c r="L2429" s="15"/>
      <c r="M2429" s="15"/>
      <c r="N2429" s="15"/>
      <c r="O2429" s="15"/>
      <c r="P2429" s="15"/>
      <c r="Q2429" s="14"/>
      <c r="R2429" s="14"/>
      <c r="S2429" s="14"/>
      <c r="T2429" s="14"/>
      <c r="U2429" s="15"/>
      <c r="V2429" s="14"/>
      <c r="W2429" s="14"/>
      <c r="X2429" s="14"/>
      <c r="Y2429" s="14"/>
      <c r="Z2429" s="14"/>
    </row>
    <row r="2430" spans="1:26" ht="13.2">
      <c r="A2430" s="13"/>
      <c r="B2430" s="14"/>
      <c r="C2430" s="14"/>
      <c r="D2430" s="14"/>
      <c r="E2430" s="14"/>
      <c r="F2430" s="14"/>
      <c r="G2430" s="14"/>
      <c r="H2430" s="14"/>
      <c r="I2430" s="14"/>
      <c r="J2430" s="14"/>
      <c r="K2430" s="14"/>
      <c r="L2430" s="15"/>
      <c r="M2430" s="15"/>
      <c r="N2430" s="15"/>
      <c r="O2430" s="15"/>
      <c r="P2430" s="15"/>
      <c r="Q2430" s="14"/>
      <c r="R2430" s="14"/>
      <c r="S2430" s="14"/>
      <c r="T2430" s="14"/>
      <c r="U2430" s="15"/>
      <c r="V2430" s="14"/>
      <c r="W2430" s="14"/>
      <c r="X2430" s="14"/>
      <c r="Y2430" s="14"/>
      <c r="Z2430" s="14"/>
    </row>
    <row r="2431" spans="1:26" ht="13.2">
      <c r="A2431" s="13"/>
      <c r="B2431" s="14"/>
      <c r="C2431" s="14"/>
      <c r="D2431" s="14"/>
      <c r="E2431" s="14"/>
      <c r="F2431" s="14"/>
      <c r="G2431" s="14"/>
      <c r="H2431" s="14"/>
      <c r="I2431" s="14"/>
      <c r="J2431" s="14"/>
      <c r="K2431" s="14"/>
      <c r="L2431" s="15"/>
      <c r="M2431" s="15"/>
      <c r="N2431" s="15"/>
      <c r="O2431" s="15"/>
      <c r="P2431" s="15"/>
      <c r="Q2431" s="14"/>
      <c r="R2431" s="14"/>
      <c r="S2431" s="14"/>
      <c r="T2431" s="14"/>
      <c r="U2431" s="15"/>
      <c r="V2431" s="14"/>
      <c r="W2431" s="14"/>
      <c r="X2431" s="14"/>
      <c r="Y2431" s="14"/>
      <c r="Z2431" s="14"/>
    </row>
    <row r="2432" spans="1:26" ht="13.2">
      <c r="A2432" s="13"/>
      <c r="B2432" s="14"/>
      <c r="C2432" s="14"/>
      <c r="D2432" s="14"/>
      <c r="E2432" s="14"/>
      <c r="F2432" s="14"/>
      <c r="G2432" s="14"/>
      <c r="H2432" s="14"/>
      <c r="I2432" s="14"/>
      <c r="J2432" s="14"/>
      <c r="K2432" s="14"/>
      <c r="L2432" s="15"/>
      <c r="M2432" s="15"/>
      <c r="N2432" s="15"/>
      <c r="O2432" s="15"/>
      <c r="P2432" s="15"/>
      <c r="Q2432" s="14"/>
      <c r="R2432" s="14"/>
      <c r="S2432" s="14"/>
      <c r="T2432" s="14"/>
      <c r="U2432" s="15"/>
      <c r="V2432" s="14"/>
      <c r="W2432" s="14"/>
      <c r="X2432" s="14"/>
      <c r="Y2432" s="14"/>
      <c r="Z2432" s="14"/>
    </row>
    <row r="2433" spans="1:26" ht="13.2">
      <c r="A2433" s="13"/>
      <c r="B2433" s="14"/>
      <c r="C2433" s="14"/>
      <c r="D2433" s="14"/>
      <c r="E2433" s="14"/>
      <c r="F2433" s="14"/>
      <c r="G2433" s="14"/>
      <c r="H2433" s="14"/>
      <c r="I2433" s="14"/>
      <c r="J2433" s="14"/>
      <c r="K2433" s="14"/>
      <c r="L2433" s="15"/>
      <c r="M2433" s="15"/>
      <c r="N2433" s="15"/>
      <c r="O2433" s="15"/>
      <c r="P2433" s="15"/>
      <c r="Q2433" s="14"/>
      <c r="R2433" s="14"/>
      <c r="S2433" s="14"/>
      <c r="T2433" s="14"/>
      <c r="U2433" s="15"/>
      <c r="V2433" s="14"/>
      <c r="W2433" s="14"/>
      <c r="X2433" s="14"/>
      <c r="Y2433" s="14"/>
      <c r="Z2433" s="14"/>
    </row>
    <row r="2434" spans="1:26" ht="13.2">
      <c r="A2434" s="13"/>
      <c r="B2434" s="14"/>
      <c r="C2434" s="14"/>
      <c r="D2434" s="14"/>
      <c r="E2434" s="14"/>
      <c r="F2434" s="14"/>
      <c r="G2434" s="14"/>
      <c r="H2434" s="14"/>
      <c r="I2434" s="14"/>
      <c r="J2434" s="14"/>
      <c r="K2434" s="14"/>
      <c r="L2434" s="15"/>
      <c r="M2434" s="15"/>
      <c r="N2434" s="15"/>
      <c r="O2434" s="15"/>
      <c r="P2434" s="15"/>
      <c r="Q2434" s="14"/>
      <c r="R2434" s="14"/>
      <c r="S2434" s="14"/>
      <c r="T2434" s="14"/>
      <c r="U2434" s="15"/>
      <c r="V2434" s="14"/>
      <c r="W2434" s="14"/>
      <c r="X2434" s="14"/>
      <c r="Y2434" s="14"/>
      <c r="Z2434" s="14"/>
    </row>
    <row r="2435" spans="1:26" ht="13.2">
      <c r="A2435" s="13"/>
      <c r="B2435" s="14"/>
      <c r="C2435" s="14"/>
      <c r="D2435" s="14"/>
      <c r="E2435" s="14"/>
      <c r="F2435" s="14"/>
      <c r="G2435" s="14"/>
      <c r="H2435" s="14"/>
      <c r="I2435" s="14"/>
      <c r="J2435" s="14"/>
      <c r="K2435" s="14"/>
      <c r="L2435" s="15"/>
      <c r="M2435" s="15"/>
      <c r="N2435" s="15"/>
      <c r="O2435" s="15"/>
      <c r="P2435" s="15"/>
      <c r="Q2435" s="14"/>
      <c r="R2435" s="14"/>
      <c r="S2435" s="14"/>
      <c r="T2435" s="14"/>
      <c r="U2435" s="15"/>
      <c r="V2435" s="14"/>
      <c r="W2435" s="14"/>
      <c r="X2435" s="14"/>
      <c r="Y2435" s="14"/>
      <c r="Z2435" s="14"/>
    </row>
    <row r="2436" spans="1:26" ht="13.2">
      <c r="A2436" s="13"/>
      <c r="B2436" s="14"/>
      <c r="C2436" s="14"/>
      <c r="D2436" s="14"/>
      <c r="E2436" s="14"/>
      <c r="F2436" s="14"/>
      <c r="G2436" s="14"/>
      <c r="H2436" s="14"/>
      <c r="I2436" s="14"/>
      <c r="J2436" s="14"/>
      <c r="K2436" s="14"/>
      <c r="L2436" s="15"/>
      <c r="M2436" s="15"/>
      <c r="N2436" s="15"/>
      <c r="O2436" s="15"/>
      <c r="P2436" s="15"/>
      <c r="Q2436" s="14"/>
      <c r="R2436" s="14"/>
      <c r="S2436" s="14"/>
      <c r="T2436" s="14"/>
      <c r="U2436" s="15"/>
      <c r="V2436" s="14"/>
      <c r="W2436" s="14"/>
      <c r="X2436" s="14"/>
      <c r="Y2436" s="14"/>
      <c r="Z2436" s="14"/>
    </row>
    <row r="2437" spans="1:26" ht="13.2">
      <c r="A2437" s="13"/>
      <c r="B2437" s="14"/>
      <c r="C2437" s="14"/>
      <c r="D2437" s="14"/>
      <c r="E2437" s="14"/>
      <c r="F2437" s="14"/>
      <c r="G2437" s="14"/>
      <c r="H2437" s="14"/>
      <c r="I2437" s="14"/>
      <c r="J2437" s="14"/>
      <c r="K2437" s="14"/>
      <c r="L2437" s="15"/>
      <c r="M2437" s="15"/>
      <c r="N2437" s="15"/>
      <c r="O2437" s="15"/>
      <c r="P2437" s="15"/>
      <c r="Q2437" s="14"/>
      <c r="R2437" s="14"/>
      <c r="S2437" s="14"/>
      <c r="T2437" s="14"/>
      <c r="U2437" s="15"/>
      <c r="V2437" s="14"/>
      <c r="W2437" s="14"/>
      <c r="X2437" s="14"/>
      <c r="Y2437" s="14"/>
      <c r="Z2437" s="14"/>
    </row>
    <row r="2438" spans="1:26" ht="13.2">
      <c r="A2438" s="13"/>
      <c r="B2438" s="14"/>
      <c r="C2438" s="14"/>
      <c r="D2438" s="14"/>
      <c r="E2438" s="14"/>
      <c r="F2438" s="14"/>
      <c r="G2438" s="14"/>
      <c r="H2438" s="14"/>
      <c r="I2438" s="14"/>
      <c r="J2438" s="14"/>
      <c r="K2438" s="14"/>
      <c r="L2438" s="15"/>
      <c r="M2438" s="15"/>
      <c r="N2438" s="15"/>
      <c r="O2438" s="15"/>
      <c r="P2438" s="15"/>
      <c r="Q2438" s="14"/>
      <c r="R2438" s="14"/>
      <c r="S2438" s="14"/>
      <c r="T2438" s="14"/>
      <c r="U2438" s="15"/>
      <c r="V2438" s="14"/>
      <c r="W2438" s="14"/>
      <c r="X2438" s="14"/>
      <c r="Y2438" s="14"/>
      <c r="Z2438" s="14"/>
    </row>
    <row r="2439" spans="1:26" ht="13.2">
      <c r="A2439" s="13"/>
      <c r="B2439" s="14"/>
      <c r="C2439" s="14"/>
      <c r="D2439" s="14"/>
      <c r="E2439" s="14"/>
      <c r="F2439" s="14"/>
      <c r="G2439" s="14"/>
      <c r="H2439" s="14"/>
      <c r="I2439" s="14"/>
      <c r="J2439" s="14"/>
      <c r="K2439" s="14"/>
      <c r="L2439" s="15"/>
      <c r="M2439" s="15"/>
      <c r="N2439" s="15"/>
      <c r="O2439" s="15"/>
      <c r="P2439" s="15"/>
      <c r="Q2439" s="14"/>
      <c r="R2439" s="14"/>
      <c r="S2439" s="14"/>
      <c r="T2439" s="14"/>
      <c r="U2439" s="15"/>
      <c r="V2439" s="14"/>
      <c r="W2439" s="14"/>
      <c r="X2439" s="14"/>
      <c r="Y2439" s="14"/>
      <c r="Z2439" s="14"/>
    </row>
    <row r="2440" spans="1:26" ht="13.2">
      <c r="A2440" s="13"/>
      <c r="B2440" s="14"/>
      <c r="C2440" s="14"/>
      <c r="D2440" s="14"/>
      <c r="E2440" s="14"/>
      <c r="F2440" s="14"/>
      <c r="G2440" s="14"/>
      <c r="H2440" s="14"/>
      <c r="I2440" s="14"/>
      <c r="J2440" s="14"/>
      <c r="K2440" s="14"/>
      <c r="L2440" s="15"/>
      <c r="M2440" s="15"/>
      <c r="N2440" s="15"/>
      <c r="O2440" s="15"/>
      <c r="P2440" s="15"/>
      <c r="Q2440" s="14"/>
      <c r="R2440" s="14"/>
      <c r="S2440" s="14"/>
      <c r="T2440" s="14"/>
      <c r="U2440" s="15"/>
      <c r="V2440" s="14"/>
      <c r="W2440" s="14"/>
      <c r="X2440" s="14"/>
      <c r="Y2440" s="14"/>
      <c r="Z2440" s="14"/>
    </row>
    <row r="2441" spans="1:26" ht="13.2">
      <c r="A2441" s="13"/>
      <c r="B2441" s="14"/>
      <c r="C2441" s="14"/>
      <c r="D2441" s="14"/>
      <c r="E2441" s="14"/>
      <c r="F2441" s="14"/>
      <c r="G2441" s="14"/>
      <c r="H2441" s="14"/>
      <c r="I2441" s="14"/>
      <c r="J2441" s="14"/>
      <c r="K2441" s="14"/>
      <c r="L2441" s="15"/>
      <c r="M2441" s="15"/>
      <c r="N2441" s="15"/>
      <c r="O2441" s="15"/>
      <c r="P2441" s="15"/>
      <c r="Q2441" s="14"/>
      <c r="R2441" s="14"/>
      <c r="S2441" s="14"/>
      <c r="T2441" s="14"/>
      <c r="U2441" s="15"/>
      <c r="V2441" s="14"/>
      <c r="W2441" s="14"/>
      <c r="X2441" s="14"/>
      <c r="Y2441" s="14"/>
      <c r="Z2441" s="14"/>
    </row>
    <row r="2442" spans="1:26" ht="13.2">
      <c r="A2442" s="13"/>
      <c r="B2442" s="14"/>
      <c r="C2442" s="14"/>
      <c r="D2442" s="14"/>
      <c r="E2442" s="14"/>
      <c r="F2442" s="14"/>
      <c r="G2442" s="14"/>
      <c r="H2442" s="14"/>
      <c r="I2442" s="14"/>
      <c r="J2442" s="14"/>
      <c r="K2442" s="14"/>
      <c r="L2442" s="15"/>
      <c r="M2442" s="15"/>
      <c r="N2442" s="15"/>
      <c r="O2442" s="15"/>
      <c r="P2442" s="15"/>
      <c r="Q2442" s="14"/>
      <c r="R2442" s="14"/>
      <c r="S2442" s="14"/>
      <c r="T2442" s="14"/>
      <c r="U2442" s="15"/>
      <c r="V2442" s="14"/>
      <c r="W2442" s="14"/>
      <c r="X2442" s="14"/>
      <c r="Y2442" s="14"/>
      <c r="Z2442" s="14"/>
    </row>
    <row r="2443" spans="1:26" ht="13.2">
      <c r="A2443" s="13"/>
      <c r="B2443" s="14"/>
      <c r="C2443" s="14"/>
      <c r="D2443" s="14"/>
      <c r="E2443" s="14"/>
      <c r="F2443" s="14"/>
      <c r="G2443" s="14"/>
      <c r="H2443" s="14"/>
      <c r="I2443" s="14"/>
      <c r="J2443" s="14"/>
      <c r="K2443" s="14"/>
      <c r="L2443" s="15"/>
      <c r="M2443" s="15"/>
      <c r="N2443" s="15"/>
      <c r="O2443" s="15"/>
      <c r="P2443" s="15"/>
      <c r="Q2443" s="14"/>
      <c r="R2443" s="14"/>
      <c r="S2443" s="14"/>
      <c r="T2443" s="14"/>
      <c r="U2443" s="15"/>
      <c r="V2443" s="14"/>
      <c r="W2443" s="14"/>
      <c r="X2443" s="14"/>
      <c r="Y2443" s="14"/>
      <c r="Z2443" s="14"/>
    </row>
    <row r="2444" spans="1:26" ht="13.2">
      <c r="A2444" s="13"/>
      <c r="B2444" s="14"/>
      <c r="C2444" s="14"/>
      <c r="D2444" s="14"/>
      <c r="E2444" s="14"/>
      <c r="F2444" s="14"/>
      <c r="G2444" s="14"/>
      <c r="H2444" s="14"/>
      <c r="I2444" s="14"/>
      <c r="J2444" s="14"/>
      <c r="K2444" s="14"/>
      <c r="L2444" s="15"/>
      <c r="M2444" s="15"/>
      <c r="N2444" s="15"/>
      <c r="O2444" s="15"/>
      <c r="P2444" s="15"/>
      <c r="Q2444" s="14"/>
      <c r="R2444" s="14"/>
      <c r="S2444" s="14"/>
      <c r="T2444" s="14"/>
      <c r="U2444" s="15"/>
      <c r="V2444" s="14"/>
      <c r="W2444" s="14"/>
      <c r="X2444" s="14"/>
      <c r="Y2444" s="14"/>
      <c r="Z2444" s="14"/>
    </row>
    <row r="2445" spans="1:26" ht="13.2">
      <c r="A2445" s="13"/>
      <c r="B2445" s="14"/>
      <c r="C2445" s="14"/>
      <c r="D2445" s="14"/>
      <c r="E2445" s="14"/>
      <c r="F2445" s="14"/>
      <c r="G2445" s="14"/>
      <c r="H2445" s="14"/>
      <c r="I2445" s="14"/>
      <c r="J2445" s="14"/>
      <c r="K2445" s="14"/>
      <c r="L2445" s="15"/>
      <c r="M2445" s="15"/>
      <c r="N2445" s="15"/>
      <c r="O2445" s="15"/>
      <c r="P2445" s="15"/>
      <c r="Q2445" s="14"/>
      <c r="R2445" s="14"/>
      <c r="S2445" s="14"/>
      <c r="T2445" s="14"/>
      <c r="U2445" s="15"/>
      <c r="V2445" s="14"/>
      <c r="W2445" s="14"/>
      <c r="X2445" s="14"/>
      <c r="Y2445" s="14"/>
      <c r="Z2445" s="14"/>
    </row>
    <row r="2446" spans="1:26" ht="13.2">
      <c r="A2446" s="13"/>
      <c r="B2446" s="14"/>
      <c r="C2446" s="14"/>
      <c r="D2446" s="14"/>
      <c r="E2446" s="14"/>
      <c r="F2446" s="14"/>
      <c r="G2446" s="14"/>
      <c r="H2446" s="14"/>
      <c r="I2446" s="14"/>
      <c r="J2446" s="14"/>
      <c r="K2446" s="14"/>
      <c r="L2446" s="15"/>
      <c r="M2446" s="15"/>
      <c r="N2446" s="15"/>
      <c r="O2446" s="15"/>
      <c r="P2446" s="15"/>
      <c r="Q2446" s="14"/>
      <c r="R2446" s="14"/>
      <c r="S2446" s="14"/>
      <c r="T2446" s="14"/>
      <c r="U2446" s="15"/>
      <c r="V2446" s="14"/>
      <c r="W2446" s="14"/>
      <c r="X2446" s="14"/>
      <c r="Y2446" s="14"/>
      <c r="Z2446" s="14"/>
    </row>
    <row r="2447" spans="1:26" ht="13.2">
      <c r="A2447" s="13"/>
      <c r="B2447" s="14"/>
      <c r="C2447" s="14"/>
      <c r="D2447" s="14"/>
      <c r="E2447" s="14"/>
      <c r="F2447" s="14"/>
      <c r="G2447" s="14"/>
      <c r="H2447" s="14"/>
      <c r="I2447" s="14"/>
      <c r="J2447" s="14"/>
      <c r="K2447" s="14"/>
      <c r="L2447" s="15"/>
      <c r="M2447" s="15"/>
      <c r="N2447" s="15"/>
      <c r="O2447" s="15"/>
      <c r="P2447" s="15"/>
      <c r="Q2447" s="14"/>
      <c r="R2447" s="14"/>
      <c r="S2447" s="14"/>
      <c r="T2447" s="14"/>
      <c r="U2447" s="15"/>
      <c r="V2447" s="14"/>
      <c r="W2447" s="14"/>
      <c r="X2447" s="14"/>
      <c r="Y2447" s="14"/>
      <c r="Z2447" s="14"/>
    </row>
    <row r="2448" spans="1:26" ht="13.2">
      <c r="A2448" s="13"/>
      <c r="B2448" s="14"/>
      <c r="C2448" s="14"/>
      <c r="D2448" s="14"/>
      <c r="E2448" s="14"/>
      <c r="F2448" s="14"/>
      <c r="G2448" s="14"/>
      <c r="H2448" s="14"/>
      <c r="I2448" s="14"/>
      <c r="J2448" s="14"/>
      <c r="K2448" s="14"/>
      <c r="L2448" s="15"/>
      <c r="M2448" s="15"/>
      <c r="N2448" s="15"/>
      <c r="O2448" s="15"/>
      <c r="P2448" s="15"/>
      <c r="Q2448" s="14"/>
      <c r="R2448" s="14"/>
      <c r="S2448" s="14"/>
      <c r="T2448" s="14"/>
      <c r="U2448" s="15"/>
      <c r="V2448" s="14"/>
      <c r="W2448" s="14"/>
      <c r="X2448" s="14"/>
      <c r="Y2448" s="14"/>
      <c r="Z2448" s="14"/>
    </row>
    <row r="2449" spans="1:26" ht="13.2">
      <c r="A2449" s="13"/>
      <c r="B2449" s="14"/>
      <c r="C2449" s="14"/>
      <c r="D2449" s="14"/>
      <c r="E2449" s="14"/>
      <c r="F2449" s="14"/>
      <c r="G2449" s="14"/>
      <c r="H2449" s="14"/>
      <c r="I2449" s="14"/>
      <c r="J2449" s="14"/>
      <c r="K2449" s="14"/>
      <c r="L2449" s="15"/>
      <c r="M2449" s="15"/>
      <c r="N2449" s="15"/>
      <c r="O2449" s="15"/>
      <c r="P2449" s="15"/>
      <c r="Q2449" s="14"/>
      <c r="R2449" s="14"/>
      <c r="S2449" s="14"/>
      <c r="T2449" s="14"/>
      <c r="U2449" s="15"/>
      <c r="V2449" s="14"/>
      <c r="W2449" s="14"/>
      <c r="X2449" s="14"/>
      <c r="Y2449" s="14"/>
      <c r="Z2449" s="14"/>
    </row>
    <row r="2450" spans="1:26" ht="13.2">
      <c r="A2450" s="13"/>
      <c r="B2450" s="14"/>
      <c r="C2450" s="14"/>
      <c r="D2450" s="14"/>
      <c r="E2450" s="14"/>
      <c r="F2450" s="14"/>
      <c r="G2450" s="14"/>
      <c r="H2450" s="14"/>
      <c r="I2450" s="14"/>
      <c r="J2450" s="14"/>
      <c r="K2450" s="14"/>
      <c r="L2450" s="15"/>
      <c r="M2450" s="15"/>
      <c r="N2450" s="15"/>
      <c r="O2450" s="15"/>
      <c r="P2450" s="15"/>
      <c r="Q2450" s="14"/>
      <c r="R2450" s="14"/>
      <c r="S2450" s="14"/>
      <c r="T2450" s="14"/>
      <c r="U2450" s="15"/>
      <c r="V2450" s="14"/>
      <c r="W2450" s="14"/>
      <c r="X2450" s="14"/>
      <c r="Y2450" s="14"/>
      <c r="Z2450" s="14"/>
    </row>
    <row r="2451" spans="1:26" ht="13.2">
      <c r="A2451" s="13"/>
      <c r="B2451" s="14"/>
      <c r="C2451" s="14"/>
      <c r="D2451" s="14"/>
      <c r="E2451" s="14"/>
      <c r="F2451" s="14"/>
      <c r="G2451" s="14"/>
      <c r="H2451" s="14"/>
      <c r="I2451" s="14"/>
      <c r="J2451" s="14"/>
      <c r="K2451" s="14"/>
      <c r="L2451" s="15"/>
      <c r="M2451" s="15"/>
      <c r="N2451" s="15"/>
      <c r="O2451" s="15"/>
      <c r="P2451" s="15"/>
      <c r="Q2451" s="14"/>
      <c r="R2451" s="14"/>
      <c r="S2451" s="14"/>
      <c r="T2451" s="14"/>
      <c r="U2451" s="15"/>
      <c r="V2451" s="14"/>
      <c r="W2451" s="14"/>
      <c r="X2451" s="14"/>
      <c r="Y2451" s="14"/>
      <c r="Z2451" s="14"/>
    </row>
    <row r="2452" spans="1:26" ht="13.2">
      <c r="A2452" s="13"/>
      <c r="B2452" s="14"/>
      <c r="C2452" s="14"/>
      <c r="D2452" s="14"/>
      <c r="E2452" s="14"/>
      <c r="F2452" s="14"/>
      <c r="G2452" s="14"/>
      <c r="H2452" s="14"/>
      <c r="I2452" s="14"/>
      <c r="J2452" s="14"/>
      <c r="K2452" s="14"/>
      <c r="L2452" s="15"/>
      <c r="M2452" s="15"/>
      <c r="N2452" s="15"/>
      <c r="O2452" s="15"/>
      <c r="P2452" s="15"/>
      <c r="Q2452" s="14"/>
      <c r="R2452" s="14"/>
      <c r="S2452" s="14"/>
      <c r="T2452" s="14"/>
      <c r="U2452" s="15"/>
      <c r="V2452" s="14"/>
      <c r="W2452" s="14"/>
      <c r="X2452" s="14"/>
      <c r="Y2452" s="14"/>
      <c r="Z2452" s="14"/>
    </row>
    <row r="2453" spans="1:26" ht="13.2">
      <c r="A2453" s="13"/>
      <c r="B2453" s="14"/>
      <c r="C2453" s="14"/>
      <c r="D2453" s="14"/>
      <c r="E2453" s="14"/>
      <c r="F2453" s="14"/>
      <c r="G2453" s="14"/>
      <c r="H2453" s="14"/>
      <c r="I2453" s="14"/>
      <c r="J2453" s="14"/>
      <c r="K2453" s="14"/>
      <c r="L2453" s="15"/>
      <c r="M2453" s="15"/>
      <c r="N2453" s="15"/>
      <c r="O2453" s="15"/>
      <c r="P2453" s="15"/>
      <c r="Q2453" s="14"/>
      <c r="R2453" s="14"/>
      <c r="S2453" s="14"/>
      <c r="T2453" s="14"/>
      <c r="U2453" s="15"/>
      <c r="V2453" s="14"/>
      <c r="W2453" s="14"/>
      <c r="X2453" s="14"/>
      <c r="Y2453" s="14"/>
      <c r="Z2453" s="14"/>
    </row>
    <row r="2454" spans="1:26" ht="13.2">
      <c r="A2454" s="13"/>
      <c r="B2454" s="14"/>
      <c r="C2454" s="14"/>
      <c r="D2454" s="14"/>
      <c r="E2454" s="14"/>
      <c r="F2454" s="14"/>
      <c r="G2454" s="14"/>
      <c r="H2454" s="14"/>
      <c r="I2454" s="14"/>
      <c r="J2454" s="14"/>
      <c r="K2454" s="14"/>
      <c r="L2454" s="15"/>
      <c r="M2454" s="15"/>
      <c r="N2454" s="15"/>
      <c r="O2454" s="15"/>
      <c r="P2454" s="15"/>
      <c r="Q2454" s="14"/>
      <c r="R2454" s="14"/>
      <c r="S2454" s="14"/>
      <c r="T2454" s="14"/>
      <c r="U2454" s="15"/>
      <c r="V2454" s="14"/>
      <c r="W2454" s="14"/>
      <c r="X2454" s="14"/>
      <c r="Y2454" s="14"/>
      <c r="Z2454" s="14"/>
    </row>
    <row r="2455" spans="1:26" ht="13.2">
      <c r="A2455" s="13"/>
      <c r="B2455" s="14"/>
      <c r="C2455" s="14"/>
      <c r="D2455" s="14"/>
      <c r="E2455" s="14"/>
      <c r="F2455" s="14"/>
      <c r="G2455" s="14"/>
      <c r="H2455" s="14"/>
      <c r="I2455" s="14"/>
      <c r="J2455" s="14"/>
      <c r="K2455" s="14"/>
      <c r="L2455" s="15"/>
      <c r="M2455" s="15"/>
      <c r="N2455" s="15"/>
      <c r="O2455" s="15"/>
      <c r="P2455" s="15"/>
      <c r="Q2455" s="14"/>
      <c r="R2455" s="14"/>
      <c r="S2455" s="14"/>
      <c r="T2455" s="14"/>
      <c r="U2455" s="15"/>
      <c r="V2455" s="14"/>
      <c r="W2455" s="14"/>
      <c r="X2455" s="14"/>
      <c r="Y2455" s="14"/>
      <c r="Z2455" s="14"/>
    </row>
    <row r="2456" spans="1:26" ht="13.2">
      <c r="A2456" s="13"/>
      <c r="B2456" s="14"/>
      <c r="C2456" s="14"/>
      <c r="D2456" s="14"/>
      <c r="E2456" s="14"/>
      <c r="F2456" s="14"/>
      <c r="G2456" s="14"/>
      <c r="H2456" s="14"/>
      <c r="I2456" s="14"/>
      <c r="J2456" s="14"/>
      <c r="K2456" s="14"/>
      <c r="L2456" s="15"/>
      <c r="M2456" s="15"/>
      <c r="N2456" s="15"/>
      <c r="O2456" s="15"/>
      <c r="P2456" s="15"/>
      <c r="Q2456" s="14"/>
      <c r="R2456" s="14"/>
      <c r="S2456" s="14"/>
      <c r="T2456" s="14"/>
      <c r="U2456" s="15"/>
      <c r="V2456" s="14"/>
      <c r="W2456" s="14"/>
      <c r="X2456" s="14"/>
      <c r="Y2456" s="14"/>
      <c r="Z2456" s="14"/>
    </row>
    <row r="2457" spans="1:26" ht="13.2">
      <c r="A2457" s="13"/>
      <c r="B2457" s="14"/>
      <c r="C2457" s="14"/>
      <c r="D2457" s="14"/>
      <c r="E2457" s="14"/>
      <c r="F2457" s="14"/>
      <c r="G2457" s="14"/>
      <c r="H2457" s="14"/>
      <c r="I2457" s="14"/>
      <c r="J2457" s="14"/>
      <c r="K2457" s="14"/>
      <c r="L2457" s="15"/>
      <c r="M2457" s="15"/>
      <c r="N2457" s="15"/>
      <c r="O2457" s="15"/>
      <c r="P2457" s="15"/>
      <c r="Q2457" s="14"/>
      <c r="R2457" s="14"/>
      <c r="S2457" s="14"/>
      <c r="T2457" s="14"/>
      <c r="U2457" s="15"/>
      <c r="V2457" s="14"/>
      <c r="W2457" s="14"/>
      <c r="X2457" s="14"/>
      <c r="Y2457" s="14"/>
      <c r="Z2457" s="14"/>
    </row>
    <row r="2458" spans="1:26" ht="13.2">
      <c r="A2458" s="13"/>
      <c r="B2458" s="14"/>
      <c r="C2458" s="14"/>
      <c r="D2458" s="14"/>
      <c r="E2458" s="14"/>
      <c r="F2458" s="14"/>
      <c r="G2458" s="14"/>
      <c r="H2458" s="14"/>
      <c r="I2458" s="14"/>
      <c r="J2458" s="14"/>
      <c r="K2458" s="14"/>
      <c r="L2458" s="15"/>
      <c r="M2458" s="15"/>
      <c r="N2458" s="15"/>
      <c r="O2458" s="15"/>
      <c r="P2458" s="15"/>
      <c r="Q2458" s="14"/>
      <c r="R2458" s="14"/>
      <c r="S2458" s="14"/>
      <c r="T2458" s="14"/>
      <c r="U2458" s="15"/>
      <c r="V2458" s="14"/>
      <c r="W2458" s="14"/>
      <c r="X2458" s="14"/>
      <c r="Y2458" s="14"/>
      <c r="Z2458" s="14"/>
    </row>
    <row r="2459" spans="1:26" ht="13.2">
      <c r="A2459" s="13"/>
      <c r="B2459" s="14"/>
      <c r="C2459" s="14"/>
      <c r="D2459" s="14"/>
      <c r="E2459" s="14"/>
      <c r="F2459" s="14"/>
      <c r="G2459" s="14"/>
      <c r="H2459" s="14"/>
      <c r="I2459" s="14"/>
      <c r="J2459" s="14"/>
      <c r="K2459" s="14"/>
      <c r="L2459" s="15"/>
      <c r="M2459" s="15"/>
      <c r="N2459" s="15"/>
      <c r="O2459" s="15"/>
      <c r="P2459" s="15"/>
      <c r="Q2459" s="14"/>
      <c r="R2459" s="14"/>
      <c r="S2459" s="14"/>
      <c r="T2459" s="14"/>
      <c r="U2459" s="15"/>
      <c r="V2459" s="14"/>
      <c r="W2459" s="14"/>
      <c r="X2459" s="14"/>
      <c r="Y2459" s="14"/>
      <c r="Z2459" s="14"/>
    </row>
    <row r="2460" spans="1:26" ht="13.2">
      <c r="A2460" s="13"/>
      <c r="B2460" s="14"/>
      <c r="C2460" s="14"/>
      <c r="D2460" s="14"/>
      <c r="E2460" s="14"/>
      <c r="F2460" s="14"/>
      <c r="G2460" s="14"/>
      <c r="H2460" s="14"/>
      <c r="I2460" s="14"/>
      <c r="J2460" s="14"/>
      <c r="K2460" s="14"/>
      <c r="L2460" s="15"/>
      <c r="M2460" s="15"/>
      <c r="N2460" s="15"/>
      <c r="O2460" s="15"/>
      <c r="P2460" s="15"/>
      <c r="Q2460" s="14"/>
      <c r="R2460" s="14"/>
      <c r="S2460" s="14"/>
      <c r="T2460" s="14"/>
      <c r="U2460" s="15"/>
      <c r="V2460" s="14"/>
      <c r="W2460" s="14"/>
      <c r="X2460" s="14"/>
      <c r="Y2460" s="14"/>
      <c r="Z2460" s="14"/>
    </row>
    <row r="2461" spans="1:26" ht="13.2">
      <c r="A2461" s="13"/>
      <c r="B2461" s="14"/>
      <c r="C2461" s="14"/>
      <c r="D2461" s="14"/>
      <c r="E2461" s="14"/>
      <c r="F2461" s="14"/>
      <c r="G2461" s="14"/>
      <c r="H2461" s="14"/>
      <c r="I2461" s="14"/>
      <c r="J2461" s="14"/>
      <c r="K2461" s="14"/>
      <c r="L2461" s="15"/>
      <c r="M2461" s="15"/>
      <c r="N2461" s="15"/>
      <c r="O2461" s="15"/>
      <c r="P2461" s="15"/>
      <c r="Q2461" s="14"/>
      <c r="R2461" s="14"/>
      <c r="S2461" s="14"/>
      <c r="T2461" s="14"/>
      <c r="U2461" s="15"/>
      <c r="V2461" s="14"/>
      <c r="W2461" s="14"/>
      <c r="X2461" s="14"/>
      <c r="Y2461" s="14"/>
      <c r="Z2461" s="14"/>
    </row>
    <row r="2462" spans="1:26" ht="13.2">
      <c r="A2462" s="13"/>
      <c r="B2462" s="14"/>
      <c r="C2462" s="14"/>
      <c r="D2462" s="14"/>
      <c r="E2462" s="14"/>
      <c r="F2462" s="14"/>
      <c r="G2462" s="14"/>
      <c r="H2462" s="14"/>
      <c r="I2462" s="14"/>
      <c r="J2462" s="14"/>
      <c r="K2462" s="14"/>
      <c r="L2462" s="15"/>
      <c r="M2462" s="15"/>
      <c r="N2462" s="15"/>
      <c r="O2462" s="15"/>
      <c r="P2462" s="15"/>
      <c r="Q2462" s="14"/>
      <c r="R2462" s="14"/>
      <c r="S2462" s="14"/>
      <c r="T2462" s="14"/>
      <c r="U2462" s="15"/>
      <c r="V2462" s="14"/>
      <c r="W2462" s="14"/>
      <c r="X2462" s="14"/>
      <c r="Y2462" s="14"/>
      <c r="Z2462" s="14"/>
    </row>
    <row r="2463" spans="1:26" ht="13.2">
      <c r="A2463" s="13"/>
      <c r="B2463" s="14"/>
      <c r="C2463" s="14"/>
      <c r="D2463" s="14"/>
      <c r="E2463" s="14"/>
      <c r="F2463" s="14"/>
      <c r="G2463" s="14"/>
      <c r="H2463" s="14"/>
      <c r="I2463" s="14"/>
      <c r="J2463" s="14"/>
      <c r="K2463" s="14"/>
      <c r="L2463" s="15"/>
      <c r="M2463" s="15"/>
      <c r="N2463" s="15"/>
      <c r="O2463" s="15"/>
      <c r="P2463" s="15"/>
      <c r="Q2463" s="14"/>
      <c r="R2463" s="14"/>
      <c r="S2463" s="14"/>
      <c r="T2463" s="14"/>
      <c r="U2463" s="15"/>
      <c r="V2463" s="14"/>
      <c r="W2463" s="14"/>
      <c r="X2463" s="14"/>
      <c r="Y2463" s="14"/>
      <c r="Z2463" s="14"/>
    </row>
    <row r="2464" spans="1:26" ht="13.2">
      <c r="A2464" s="13"/>
      <c r="B2464" s="14"/>
      <c r="C2464" s="14"/>
      <c r="D2464" s="14"/>
      <c r="E2464" s="14"/>
      <c r="F2464" s="14"/>
      <c r="G2464" s="14"/>
      <c r="H2464" s="14"/>
      <c r="I2464" s="14"/>
      <c r="J2464" s="14"/>
      <c r="K2464" s="14"/>
      <c r="L2464" s="15"/>
      <c r="M2464" s="15"/>
      <c r="N2464" s="15"/>
      <c r="O2464" s="15"/>
      <c r="P2464" s="15"/>
      <c r="Q2464" s="14"/>
      <c r="R2464" s="14"/>
      <c r="S2464" s="14"/>
      <c r="T2464" s="14"/>
      <c r="U2464" s="15"/>
      <c r="V2464" s="14"/>
      <c r="W2464" s="14"/>
      <c r="X2464" s="14"/>
      <c r="Y2464" s="14"/>
      <c r="Z2464" s="14"/>
    </row>
    <row r="2465" spans="1:26" ht="13.2">
      <c r="A2465" s="13"/>
      <c r="B2465" s="14"/>
      <c r="C2465" s="14"/>
      <c r="D2465" s="14"/>
      <c r="E2465" s="14"/>
      <c r="F2465" s="14"/>
      <c r="G2465" s="14"/>
      <c r="H2465" s="14"/>
      <c r="I2465" s="14"/>
      <c r="J2465" s="14"/>
      <c r="K2465" s="14"/>
      <c r="L2465" s="15"/>
      <c r="M2465" s="15"/>
      <c r="N2465" s="15"/>
      <c r="O2465" s="15"/>
      <c r="P2465" s="15"/>
      <c r="Q2465" s="14"/>
      <c r="R2465" s="14"/>
      <c r="S2465" s="14"/>
      <c r="T2465" s="14"/>
      <c r="U2465" s="15"/>
      <c r="V2465" s="14"/>
      <c r="W2465" s="14"/>
      <c r="X2465" s="14"/>
      <c r="Y2465" s="14"/>
      <c r="Z2465" s="14"/>
    </row>
    <row r="2466" spans="1:26" ht="13.2">
      <c r="A2466" s="13"/>
      <c r="B2466" s="14"/>
      <c r="C2466" s="14"/>
      <c r="D2466" s="14"/>
      <c r="E2466" s="14"/>
      <c r="F2466" s="14"/>
      <c r="G2466" s="14"/>
      <c r="H2466" s="14"/>
      <c r="I2466" s="14"/>
      <c r="J2466" s="14"/>
      <c r="K2466" s="14"/>
      <c r="L2466" s="15"/>
      <c r="M2466" s="15"/>
      <c r="N2466" s="15"/>
      <c r="O2466" s="15"/>
      <c r="P2466" s="15"/>
      <c r="Q2466" s="14"/>
      <c r="R2466" s="14"/>
      <c r="S2466" s="14"/>
      <c r="T2466" s="14"/>
      <c r="U2466" s="15"/>
      <c r="V2466" s="14"/>
      <c r="W2466" s="14"/>
      <c r="X2466" s="14"/>
      <c r="Y2466" s="14"/>
      <c r="Z2466" s="14"/>
    </row>
    <row r="2467" spans="1:26" ht="13.2">
      <c r="A2467" s="13"/>
      <c r="B2467" s="14"/>
      <c r="C2467" s="14"/>
      <c r="D2467" s="14"/>
      <c r="E2467" s="14"/>
      <c r="F2467" s="14"/>
      <c r="G2467" s="14"/>
      <c r="H2467" s="14"/>
      <c r="I2467" s="14"/>
      <c r="J2467" s="14"/>
      <c r="K2467" s="14"/>
      <c r="L2467" s="15"/>
      <c r="M2467" s="15"/>
      <c r="N2467" s="15"/>
      <c r="O2467" s="15"/>
      <c r="P2467" s="15"/>
      <c r="Q2467" s="14"/>
      <c r="R2467" s="14"/>
      <c r="S2467" s="14"/>
      <c r="T2467" s="14"/>
      <c r="U2467" s="15"/>
      <c r="V2467" s="14"/>
      <c r="W2467" s="14"/>
      <c r="X2467" s="14"/>
      <c r="Y2467" s="14"/>
      <c r="Z2467" s="14"/>
    </row>
    <row r="2468" spans="1:26" ht="13.2">
      <c r="A2468" s="13"/>
      <c r="B2468" s="14"/>
      <c r="C2468" s="14"/>
      <c r="D2468" s="14"/>
      <c r="E2468" s="14"/>
      <c r="F2468" s="14"/>
      <c r="G2468" s="14"/>
      <c r="H2468" s="14"/>
      <c r="I2468" s="14"/>
      <c r="J2468" s="14"/>
      <c r="K2468" s="14"/>
      <c r="L2468" s="15"/>
      <c r="M2468" s="15"/>
      <c r="N2468" s="15"/>
      <c r="O2468" s="15"/>
      <c r="P2468" s="15"/>
      <c r="Q2468" s="14"/>
      <c r="R2468" s="14"/>
      <c r="S2468" s="14"/>
      <c r="T2468" s="14"/>
      <c r="U2468" s="15"/>
      <c r="V2468" s="14"/>
      <c r="W2468" s="14"/>
      <c r="X2468" s="14"/>
      <c r="Y2468" s="14"/>
      <c r="Z2468" s="14"/>
    </row>
    <row r="2469" spans="1:26" ht="13.2">
      <c r="A2469" s="13"/>
      <c r="B2469" s="14"/>
      <c r="C2469" s="14"/>
      <c r="D2469" s="14"/>
      <c r="E2469" s="14"/>
      <c r="F2469" s="14"/>
      <c r="G2469" s="14"/>
      <c r="H2469" s="14"/>
      <c r="I2469" s="14"/>
      <c r="J2469" s="14"/>
      <c r="K2469" s="14"/>
      <c r="L2469" s="15"/>
      <c r="M2469" s="15"/>
      <c r="N2469" s="15"/>
      <c r="O2469" s="15"/>
      <c r="P2469" s="15"/>
      <c r="Q2469" s="14"/>
      <c r="R2469" s="14"/>
      <c r="S2469" s="14"/>
      <c r="T2469" s="14"/>
      <c r="U2469" s="15"/>
      <c r="V2469" s="14"/>
      <c r="W2469" s="14"/>
      <c r="X2469" s="14"/>
      <c r="Y2469" s="14"/>
      <c r="Z2469" s="14"/>
    </row>
    <row r="2470" spans="1:26" ht="13.2">
      <c r="A2470" s="13"/>
      <c r="B2470" s="14"/>
      <c r="C2470" s="14"/>
      <c r="D2470" s="14"/>
      <c r="E2470" s="14"/>
      <c r="F2470" s="14"/>
      <c r="G2470" s="14"/>
      <c r="H2470" s="14"/>
      <c r="I2470" s="14"/>
      <c r="J2470" s="14"/>
      <c r="K2470" s="14"/>
      <c r="L2470" s="15"/>
      <c r="M2470" s="15"/>
      <c r="N2470" s="15"/>
      <c r="O2470" s="15"/>
      <c r="P2470" s="15"/>
      <c r="Q2470" s="14"/>
      <c r="R2470" s="14"/>
      <c r="S2470" s="14"/>
      <c r="T2470" s="14"/>
      <c r="U2470" s="15"/>
      <c r="V2470" s="14"/>
      <c r="W2470" s="14"/>
      <c r="X2470" s="14"/>
      <c r="Y2470" s="14"/>
      <c r="Z2470" s="14"/>
    </row>
    <row r="2471" spans="1:26" ht="13.2">
      <c r="A2471" s="13"/>
      <c r="B2471" s="14"/>
      <c r="C2471" s="14"/>
      <c r="D2471" s="14"/>
      <c r="E2471" s="14"/>
      <c r="F2471" s="14"/>
      <c r="G2471" s="14"/>
      <c r="H2471" s="14"/>
      <c r="I2471" s="14"/>
      <c r="J2471" s="14"/>
      <c r="K2471" s="14"/>
      <c r="L2471" s="15"/>
      <c r="M2471" s="15"/>
      <c r="N2471" s="15"/>
      <c r="O2471" s="15"/>
      <c r="P2471" s="15"/>
      <c r="Q2471" s="14"/>
      <c r="R2471" s="14"/>
      <c r="S2471" s="14"/>
      <c r="T2471" s="14"/>
      <c r="U2471" s="15"/>
      <c r="V2471" s="14"/>
      <c r="W2471" s="14"/>
      <c r="X2471" s="14"/>
      <c r="Y2471" s="14"/>
      <c r="Z2471" s="14"/>
    </row>
    <row r="2472" spans="1:26" ht="13.2">
      <c r="A2472" s="13"/>
      <c r="B2472" s="14"/>
      <c r="C2472" s="14"/>
      <c r="D2472" s="14"/>
      <c r="E2472" s="14"/>
      <c r="F2472" s="14"/>
      <c r="G2472" s="14"/>
      <c r="H2472" s="14"/>
      <c r="I2472" s="14"/>
      <c r="J2472" s="14"/>
      <c r="K2472" s="14"/>
      <c r="L2472" s="15"/>
      <c r="M2472" s="15"/>
      <c r="N2472" s="15"/>
      <c r="O2472" s="15"/>
      <c r="P2472" s="15"/>
      <c r="Q2472" s="14"/>
      <c r="R2472" s="14"/>
      <c r="S2472" s="14"/>
      <c r="T2472" s="14"/>
      <c r="U2472" s="15"/>
      <c r="V2472" s="14"/>
      <c r="W2472" s="14"/>
      <c r="X2472" s="14"/>
      <c r="Y2472" s="14"/>
      <c r="Z2472" s="14"/>
    </row>
    <row r="2473" spans="1:26" ht="13.2">
      <c r="A2473" s="13"/>
      <c r="B2473" s="14"/>
      <c r="C2473" s="14"/>
      <c r="D2473" s="14"/>
      <c r="E2473" s="14"/>
      <c r="F2473" s="14"/>
      <c r="G2473" s="14"/>
      <c r="H2473" s="14"/>
      <c r="I2473" s="14"/>
      <c r="J2473" s="14"/>
      <c r="K2473" s="14"/>
      <c r="L2473" s="15"/>
      <c r="M2473" s="15"/>
      <c r="N2473" s="15"/>
      <c r="O2473" s="15"/>
      <c r="P2473" s="15"/>
      <c r="Q2473" s="14"/>
      <c r="R2473" s="14"/>
      <c r="S2473" s="14"/>
      <c r="T2473" s="14"/>
      <c r="U2473" s="15"/>
      <c r="V2473" s="14"/>
      <c r="W2473" s="14"/>
      <c r="X2473" s="14"/>
      <c r="Y2473" s="14"/>
      <c r="Z2473" s="14"/>
    </row>
    <row r="2474" spans="1:26" ht="13.2">
      <c r="A2474" s="13"/>
      <c r="B2474" s="14"/>
      <c r="C2474" s="14"/>
      <c r="D2474" s="14"/>
      <c r="E2474" s="14"/>
      <c r="F2474" s="14"/>
      <c r="G2474" s="14"/>
      <c r="H2474" s="14"/>
      <c r="I2474" s="14"/>
      <c r="J2474" s="14"/>
      <c r="K2474" s="14"/>
      <c r="L2474" s="15"/>
      <c r="M2474" s="15"/>
      <c r="N2474" s="15"/>
      <c r="O2474" s="15"/>
      <c r="P2474" s="15"/>
      <c r="Q2474" s="14"/>
      <c r="R2474" s="14"/>
      <c r="S2474" s="14"/>
      <c r="T2474" s="14"/>
      <c r="U2474" s="15"/>
      <c r="V2474" s="14"/>
      <c r="W2474" s="14"/>
      <c r="X2474" s="14"/>
      <c r="Y2474" s="14"/>
      <c r="Z2474" s="14"/>
    </row>
    <row r="2475" spans="1:26" ht="13.2">
      <c r="A2475" s="13"/>
      <c r="B2475" s="14"/>
      <c r="C2475" s="14"/>
      <c r="D2475" s="14"/>
      <c r="E2475" s="14"/>
      <c r="F2475" s="14"/>
      <c r="G2475" s="14"/>
      <c r="H2475" s="14"/>
      <c r="I2475" s="14"/>
      <c r="J2475" s="14"/>
      <c r="K2475" s="14"/>
      <c r="L2475" s="15"/>
      <c r="M2475" s="15"/>
      <c r="N2475" s="15"/>
      <c r="O2475" s="15"/>
      <c r="P2475" s="15"/>
      <c r="Q2475" s="14"/>
      <c r="R2475" s="14"/>
      <c r="S2475" s="14"/>
      <c r="T2475" s="14"/>
      <c r="U2475" s="15"/>
      <c r="V2475" s="14"/>
      <c r="W2475" s="14"/>
      <c r="X2475" s="14"/>
      <c r="Y2475" s="14"/>
      <c r="Z2475" s="14"/>
    </row>
    <row r="2476" spans="1:26" ht="13.2">
      <c r="A2476" s="13"/>
      <c r="B2476" s="14"/>
      <c r="C2476" s="14"/>
      <c r="D2476" s="14"/>
      <c r="E2476" s="14"/>
      <c r="F2476" s="14"/>
      <c r="G2476" s="14"/>
      <c r="H2476" s="14"/>
      <c r="I2476" s="14"/>
      <c r="J2476" s="14"/>
      <c r="K2476" s="14"/>
      <c r="L2476" s="15"/>
      <c r="M2476" s="15"/>
      <c r="N2476" s="15"/>
      <c r="O2476" s="15"/>
      <c r="P2476" s="15"/>
      <c r="Q2476" s="14"/>
      <c r="R2476" s="14"/>
      <c r="S2476" s="14"/>
      <c r="T2476" s="14"/>
      <c r="U2476" s="15"/>
      <c r="V2476" s="14"/>
      <c r="W2476" s="14"/>
      <c r="X2476" s="14"/>
      <c r="Y2476" s="14"/>
      <c r="Z2476" s="14"/>
    </row>
    <row r="2477" spans="1:26" ht="13.2">
      <c r="A2477" s="13"/>
      <c r="B2477" s="14"/>
      <c r="C2477" s="14"/>
      <c r="D2477" s="14"/>
      <c r="E2477" s="14"/>
      <c r="F2477" s="14"/>
      <c r="G2477" s="14"/>
      <c r="H2477" s="14"/>
      <c r="I2477" s="14"/>
      <c r="J2477" s="14"/>
      <c r="K2477" s="14"/>
      <c r="L2477" s="15"/>
      <c r="M2477" s="15"/>
      <c r="N2477" s="15"/>
      <c r="O2477" s="15"/>
      <c r="P2477" s="15"/>
      <c r="Q2477" s="14"/>
      <c r="R2477" s="14"/>
      <c r="S2477" s="14"/>
      <c r="T2477" s="14"/>
      <c r="U2477" s="15"/>
      <c r="V2477" s="14"/>
      <c r="W2477" s="14"/>
      <c r="X2477" s="14"/>
      <c r="Y2477" s="14"/>
      <c r="Z2477" s="14"/>
    </row>
    <row r="2478" spans="1:26" ht="13.2">
      <c r="A2478" s="13"/>
      <c r="B2478" s="14"/>
      <c r="C2478" s="14"/>
      <c r="D2478" s="14"/>
      <c r="E2478" s="14"/>
      <c r="F2478" s="14"/>
      <c r="G2478" s="14"/>
      <c r="H2478" s="14"/>
      <c r="I2478" s="14"/>
      <c r="J2478" s="14"/>
      <c r="K2478" s="14"/>
      <c r="L2478" s="15"/>
      <c r="M2478" s="15"/>
      <c r="N2478" s="15"/>
      <c r="O2478" s="15"/>
      <c r="P2478" s="15"/>
      <c r="Q2478" s="14"/>
      <c r="R2478" s="14"/>
      <c r="S2478" s="14"/>
      <c r="T2478" s="14"/>
      <c r="U2478" s="15"/>
      <c r="V2478" s="14"/>
      <c r="W2478" s="14"/>
      <c r="X2478" s="14"/>
      <c r="Y2478" s="14"/>
      <c r="Z2478" s="14"/>
    </row>
    <row r="2479" spans="1:26" ht="13.2">
      <c r="A2479" s="13"/>
      <c r="B2479" s="14"/>
      <c r="C2479" s="14"/>
      <c r="D2479" s="14"/>
      <c r="E2479" s="14"/>
      <c r="F2479" s="14"/>
      <c r="G2479" s="14"/>
      <c r="H2479" s="14"/>
      <c r="I2479" s="14"/>
      <c r="J2479" s="14"/>
      <c r="K2479" s="14"/>
      <c r="L2479" s="15"/>
      <c r="M2479" s="15"/>
      <c r="N2479" s="15"/>
      <c r="O2479" s="15"/>
      <c r="P2479" s="15"/>
      <c r="Q2479" s="14"/>
      <c r="R2479" s="14"/>
      <c r="S2479" s="14"/>
      <c r="T2479" s="14"/>
      <c r="U2479" s="15"/>
      <c r="V2479" s="14"/>
      <c r="W2479" s="14"/>
      <c r="X2479" s="14"/>
      <c r="Y2479" s="14"/>
      <c r="Z2479" s="14"/>
    </row>
    <row r="2480" spans="1:26" ht="13.2">
      <c r="A2480" s="13"/>
      <c r="B2480" s="14"/>
      <c r="C2480" s="14"/>
      <c r="D2480" s="14"/>
      <c r="E2480" s="14"/>
      <c r="F2480" s="14"/>
      <c r="G2480" s="14"/>
      <c r="H2480" s="14"/>
      <c r="I2480" s="14"/>
      <c r="J2480" s="14"/>
      <c r="K2480" s="14"/>
      <c r="L2480" s="15"/>
      <c r="M2480" s="15"/>
      <c r="N2480" s="15"/>
      <c r="O2480" s="15"/>
      <c r="P2480" s="15"/>
      <c r="Q2480" s="14"/>
      <c r="R2480" s="14"/>
      <c r="S2480" s="14"/>
      <c r="T2480" s="14"/>
      <c r="U2480" s="15"/>
      <c r="V2480" s="14"/>
      <c r="W2480" s="14"/>
      <c r="X2480" s="14"/>
      <c r="Y2480" s="14"/>
      <c r="Z2480" s="14"/>
    </row>
    <row r="2481" spans="1:26" ht="13.2">
      <c r="A2481" s="13"/>
      <c r="B2481" s="14"/>
      <c r="C2481" s="14"/>
      <c r="D2481" s="14"/>
      <c r="E2481" s="14"/>
      <c r="F2481" s="14"/>
      <c r="G2481" s="14"/>
      <c r="H2481" s="14"/>
      <c r="I2481" s="14"/>
      <c r="J2481" s="14"/>
      <c r="K2481" s="14"/>
      <c r="L2481" s="15"/>
      <c r="M2481" s="15"/>
      <c r="N2481" s="15"/>
      <c r="O2481" s="15"/>
      <c r="P2481" s="15"/>
      <c r="Q2481" s="14"/>
      <c r="R2481" s="14"/>
      <c r="S2481" s="14"/>
      <c r="T2481" s="14"/>
      <c r="U2481" s="15"/>
      <c r="V2481" s="14"/>
      <c r="W2481" s="14"/>
      <c r="X2481" s="14"/>
      <c r="Y2481" s="14"/>
      <c r="Z2481" s="14"/>
    </row>
    <row r="2482" spans="1:26" ht="13.2">
      <c r="A2482" s="13"/>
      <c r="B2482" s="14"/>
      <c r="C2482" s="14"/>
      <c r="D2482" s="14"/>
      <c r="E2482" s="14"/>
      <c r="F2482" s="14"/>
      <c r="G2482" s="14"/>
      <c r="H2482" s="14"/>
      <c r="I2482" s="14"/>
      <c r="J2482" s="14"/>
      <c r="K2482" s="14"/>
      <c r="L2482" s="15"/>
      <c r="M2482" s="15"/>
      <c r="N2482" s="15"/>
      <c r="O2482" s="15"/>
      <c r="P2482" s="15"/>
      <c r="Q2482" s="14"/>
      <c r="R2482" s="14"/>
      <c r="S2482" s="14"/>
      <c r="T2482" s="14"/>
      <c r="U2482" s="15"/>
      <c r="V2482" s="14"/>
      <c r="W2482" s="14"/>
      <c r="X2482" s="14"/>
      <c r="Y2482" s="14"/>
      <c r="Z2482" s="14"/>
    </row>
    <row r="2483" spans="1:26" ht="13.2">
      <c r="A2483" s="13"/>
      <c r="B2483" s="14"/>
      <c r="C2483" s="14"/>
      <c r="D2483" s="14"/>
      <c r="E2483" s="14"/>
      <c r="F2483" s="14"/>
      <c r="G2483" s="14"/>
      <c r="H2483" s="14"/>
      <c r="I2483" s="14"/>
      <c r="J2483" s="14"/>
      <c r="K2483" s="14"/>
      <c r="L2483" s="15"/>
      <c r="M2483" s="15"/>
      <c r="N2483" s="15"/>
      <c r="O2483" s="15"/>
      <c r="P2483" s="15"/>
      <c r="Q2483" s="14"/>
      <c r="R2483" s="14"/>
      <c r="S2483" s="14"/>
      <c r="T2483" s="14"/>
      <c r="U2483" s="15"/>
      <c r="V2483" s="14"/>
      <c r="W2483" s="14"/>
      <c r="X2483" s="14"/>
      <c r="Y2483" s="14"/>
      <c r="Z2483" s="14"/>
    </row>
    <row r="2484" spans="1:26" ht="13.2">
      <c r="A2484" s="13"/>
      <c r="B2484" s="14"/>
      <c r="C2484" s="14"/>
      <c r="D2484" s="14"/>
      <c r="E2484" s="14"/>
      <c r="F2484" s="14"/>
      <c r="G2484" s="14"/>
      <c r="H2484" s="14"/>
      <c r="I2484" s="14"/>
      <c r="J2484" s="14"/>
      <c r="K2484" s="14"/>
      <c r="L2484" s="15"/>
      <c r="M2484" s="15"/>
      <c r="N2484" s="15"/>
      <c r="O2484" s="15"/>
      <c r="P2484" s="15"/>
      <c r="Q2484" s="14"/>
      <c r="R2484" s="14"/>
      <c r="S2484" s="14"/>
      <c r="T2484" s="14"/>
      <c r="U2484" s="15"/>
      <c r="V2484" s="14"/>
      <c r="W2484" s="14"/>
      <c r="X2484" s="14"/>
      <c r="Y2484" s="14"/>
      <c r="Z2484" s="14"/>
    </row>
    <row r="2485" spans="1:26" ht="13.2">
      <c r="A2485" s="13"/>
      <c r="B2485" s="14"/>
      <c r="C2485" s="14"/>
      <c r="D2485" s="14"/>
      <c r="E2485" s="14"/>
      <c r="F2485" s="14"/>
      <c r="G2485" s="14"/>
      <c r="H2485" s="14"/>
      <c r="I2485" s="14"/>
      <c r="J2485" s="14"/>
      <c r="K2485" s="14"/>
      <c r="L2485" s="15"/>
      <c r="M2485" s="15"/>
      <c r="N2485" s="15"/>
      <c r="O2485" s="15"/>
      <c r="P2485" s="15"/>
      <c r="Q2485" s="14"/>
      <c r="R2485" s="14"/>
      <c r="S2485" s="14"/>
      <c r="T2485" s="14"/>
      <c r="U2485" s="15"/>
      <c r="V2485" s="14"/>
      <c r="W2485" s="14"/>
      <c r="X2485" s="14"/>
      <c r="Y2485" s="14"/>
      <c r="Z2485" s="14"/>
    </row>
    <row r="2486" spans="1:26" ht="13.2">
      <c r="A2486" s="13"/>
      <c r="B2486" s="14"/>
      <c r="C2486" s="14"/>
      <c r="D2486" s="14"/>
      <c r="E2486" s="14"/>
      <c r="F2486" s="14"/>
      <c r="G2486" s="14"/>
      <c r="H2486" s="14"/>
      <c r="I2486" s="14"/>
      <c r="J2486" s="14"/>
      <c r="K2486" s="14"/>
      <c r="L2486" s="15"/>
      <c r="M2486" s="15"/>
      <c r="N2486" s="15"/>
      <c r="O2486" s="15"/>
      <c r="P2486" s="15"/>
      <c r="Q2486" s="14"/>
      <c r="R2486" s="14"/>
      <c r="S2486" s="14"/>
      <c r="T2486" s="14"/>
      <c r="U2486" s="15"/>
      <c r="V2486" s="14"/>
      <c r="W2486" s="14"/>
      <c r="X2486" s="14"/>
      <c r="Y2486" s="14"/>
      <c r="Z2486" s="14"/>
    </row>
    <row r="2487" spans="1:26" ht="13.2">
      <c r="A2487" s="13"/>
      <c r="B2487" s="14"/>
      <c r="C2487" s="14"/>
      <c r="D2487" s="14"/>
      <c r="E2487" s="14"/>
      <c r="F2487" s="14"/>
      <c r="G2487" s="14"/>
      <c r="H2487" s="14"/>
      <c r="I2487" s="14"/>
      <c r="J2487" s="14"/>
      <c r="K2487" s="14"/>
      <c r="L2487" s="15"/>
      <c r="M2487" s="15"/>
      <c r="N2487" s="15"/>
      <c r="O2487" s="15"/>
      <c r="P2487" s="15"/>
      <c r="Q2487" s="14"/>
      <c r="R2487" s="14"/>
      <c r="S2487" s="14"/>
      <c r="T2487" s="14"/>
      <c r="U2487" s="15"/>
      <c r="V2487" s="14"/>
      <c r="W2487" s="14"/>
      <c r="X2487" s="14"/>
      <c r="Y2487" s="14"/>
      <c r="Z2487" s="14"/>
    </row>
    <row r="2488" spans="1:26" ht="13.2">
      <c r="A2488" s="13"/>
      <c r="B2488" s="14"/>
      <c r="C2488" s="14"/>
      <c r="D2488" s="14"/>
      <c r="E2488" s="14"/>
      <c r="F2488" s="14"/>
      <c r="G2488" s="14"/>
      <c r="H2488" s="14"/>
      <c r="I2488" s="14"/>
      <c r="J2488" s="14"/>
      <c r="K2488" s="14"/>
      <c r="L2488" s="15"/>
      <c r="M2488" s="15"/>
      <c r="N2488" s="15"/>
      <c r="O2488" s="15"/>
      <c r="P2488" s="15"/>
      <c r="Q2488" s="14"/>
      <c r="R2488" s="14"/>
      <c r="S2488" s="14"/>
      <c r="T2488" s="14"/>
      <c r="U2488" s="15"/>
      <c r="V2488" s="14"/>
      <c r="W2488" s="14"/>
      <c r="X2488" s="14"/>
      <c r="Y2488" s="14"/>
      <c r="Z2488" s="14"/>
    </row>
    <row r="2489" spans="1:26" ht="13.2">
      <c r="A2489" s="13"/>
      <c r="B2489" s="14"/>
      <c r="C2489" s="14"/>
      <c r="D2489" s="14"/>
      <c r="E2489" s="14"/>
      <c r="F2489" s="14"/>
      <c r="G2489" s="14"/>
      <c r="H2489" s="14"/>
      <c r="I2489" s="14"/>
      <c r="J2489" s="14"/>
      <c r="K2489" s="14"/>
      <c r="L2489" s="15"/>
      <c r="M2489" s="15"/>
      <c r="N2489" s="15"/>
      <c r="O2489" s="15"/>
      <c r="P2489" s="15"/>
      <c r="Q2489" s="14"/>
      <c r="R2489" s="14"/>
      <c r="S2489" s="14"/>
      <c r="T2489" s="14"/>
      <c r="U2489" s="15"/>
      <c r="V2489" s="14"/>
      <c r="W2489" s="14"/>
      <c r="X2489" s="14"/>
      <c r="Y2489" s="14"/>
      <c r="Z2489" s="14"/>
    </row>
    <row r="2490" spans="1:26" ht="13.2">
      <c r="A2490" s="13"/>
      <c r="B2490" s="14"/>
      <c r="C2490" s="14"/>
      <c r="D2490" s="14"/>
      <c r="E2490" s="14"/>
      <c r="F2490" s="14"/>
      <c r="G2490" s="14"/>
      <c r="H2490" s="14"/>
      <c r="I2490" s="14"/>
      <c r="J2490" s="14"/>
      <c r="K2490" s="14"/>
      <c r="L2490" s="15"/>
      <c r="M2490" s="15"/>
      <c r="N2490" s="15"/>
      <c r="O2490" s="15"/>
      <c r="P2490" s="15"/>
      <c r="Q2490" s="14"/>
      <c r="R2490" s="14"/>
      <c r="S2490" s="14"/>
      <c r="T2490" s="14"/>
      <c r="U2490" s="15"/>
      <c r="V2490" s="14"/>
      <c r="W2490" s="14"/>
      <c r="X2490" s="14"/>
      <c r="Y2490" s="14"/>
      <c r="Z2490" s="14"/>
    </row>
    <row r="2491" spans="1:26" ht="13.2">
      <c r="A2491" s="13"/>
      <c r="B2491" s="14"/>
      <c r="C2491" s="14"/>
      <c r="D2491" s="14"/>
      <c r="E2491" s="14"/>
      <c r="F2491" s="14"/>
      <c r="G2491" s="14"/>
      <c r="H2491" s="14"/>
      <c r="I2491" s="14"/>
      <c r="J2491" s="14"/>
      <c r="K2491" s="14"/>
      <c r="L2491" s="15"/>
      <c r="M2491" s="15"/>
      <c r="N2491" s="15"/>
      <c r="O2491" s="15"/>
      <c r="P2491" s="15"/>
      <c r="Q2491" s="14"/>
      <c r="R2491" s="14"/>
      <c r="S2491" s="14"/>
      <c r="T2491" s="14"/>
      <c r="U2491" s="15"/>
      <c r="V2491" s="14"/>
      <c r="W2491" s="14"/>
      <c r="X2491" s="14"/>
      <c r="Y2491" s="14"/>
      <c r="Z2491" s="14"/>
    </row>
    <row r="2492" spans="1:26" ht="13.2">
      <c r="A2492" s="13"/>
      <c r="B2492" s="14"/>
      <c r="C2492" s="14"/>
      <c r="D2492" s="14"/>
      <c r="E2492" s="14"/>
      <c r="F2492" s="14"/>
      <c r="G2492" s="14"/>
      <c r="H2492" s="14"/>
      <c r="I2492" s="14"/>
      <c r="J2492" s="14"/>
      <c r="K2492" s="14"/>
      <c r="L2492" s="15"/>
      <c r="M2492" s="15"/>
      <c r="N2492" s="15"/>
      <c r="O2492" s="15"/>
      <c r="P2492" s="15"/>
      <c r="Q2492" s="14"/>
      <c r="R2492" s="14"/>
      <c r="S2492" s="14"/>
      <c r="T2492" s="14"/>
      <c r="U2492" s="15"/>
      <c r="V2492" s="14"/>
      <c r="W2492" s="14"/>
      <c r="X2492" s="14"/>
      <c r="Y2492" s="14"/>
      <c r="Z2492" s="14"/>
    </row>
    <row r="2493" spans="1:26" ht="13.2">
      <c r="A2493" s="13"/>
      <c r="B2493" s="14"/>
      <c r="C2493" s="14"/>
      <c r="D2493" s="14"/>
      <c r="E2493" s="14"/>
      <c r="F2493" s="14"/>
      <c r="G2493" s="14"/>
      <c r="H2493" s="14"/>
      <c r="I2493" s="14"/>
      <c r="J2493" s="14"/>
      <c r="K2493" s="14"/>
      <c r="L2493" s="15"/>
      <c r="M2493" s="15"/>
      <c r="N2493" s="15"/>
      <c r="O2493" s="15"/>
      <c r="P2493" s="15"/>
      <c r="Q2493" s="14"/>
      <c r="R2493" s="14"/>
      <c r="S2493" s="14"/>
      <c r="T2493" s="14"/>
      <c r="U2493" s="15"/>
      <c r="V2493" s="14"/>
      <c r="W2493" s="14"/>
      <c r="X2493" s="14"/>
      <c r="Y2493" s="14"/>
      <c r="Z2493" s="14"/>
    </row>
    <row r="2494" spans="1:26" ht="13.2">
      <c r="A2494" s="13"/>
      <c r="B2494" s="14"/>
      <c r="C2494" s="14"/>
      <c r="D2494" s="14"/>
      <c r="E2494" s="14"/>
      <c r="F2494" s="14"/>
      <c r="G2494" s="14"/>
      <c r="H2494" s="14"/>
      <c r="I2494" s="14"/>
      <c r="J2494" s="14"/>
      <c r="K2494" s="14"/>
      <c r="L2494" s="15"/>
      <c r="M2494" s="15"/>
      <c r="N2494" s="15"/>
      <c r="O2494" s="15"/>
      <c r="P2494" s="15"/>
      <c r="Q2494" s="14"/>
      <c r="R2494" s="14"/>
      <c r="S2494" s="14"/>
      <c r="T2494" s="14"/>
      <c r="U2494" s="15"/>
      <c r="V2494" s="14"/>
      <c r="W2494" s="14"/>
      <c r="X2494" s="14"/>
      <c r="Y2494" s="14"/>
      <c r="Z2494" s="14"/>
    </row>
    <row r="2495" spans="1:26" ht="13.2">
      <c r="A2495" s="13"/>
      <c r="B2495" s="14"/>
      <c r="C2495" s="14"/>
      <c r="D2495" s="14"/>
      <c r="E2495" s="14"/>
      <c r="F2495" s="14"/>
      <c r="G2495" s="14"/>
      <c r="H2495" s="14"/>
      <c r="I2495" s="14"/>
      <c r="J2495" s="14"/>
      <c r="K2495" s="14"/>
      <c r="L2495" s="15"/>
      <c r="M2495" s="15"/>
      <c r="N2495" s="15"/>
      <c r="O2495" s="15"/>
      <c r="P2495" s="15"/>
      <c r="Q2495" s="14"/>
      <c r="R2495" s="14"/>
      <c r="S2495" s="14"/>
      <c r="T2495" s="14"/>
      <c r="U2495" s="15"/>
      <c r="V2495" s="14"/>
      <c r="W2495" s="14"/>
      <c r="X2495" s="14"/>
      <c r="Y2495" s="14"/>
      <c r="Z2495" s="14"/>
    </row>
    <row r="2496" spans="1:26" ht="13.2">
      <c r="A2496" s="13"/>
      <c r="B2496" s="14"/>
      <c r="C2496" s="14"/>
      <c r="D2496" s="14"/>
      <c r="E2496" s="14"/>
      <c r="F2496" s="14"/>
      <c r="G2496" s="14"/>
      <c r="H2496" s="14"/>
      <c r="I2496" s="14"/>
      <c r="J2496" s="14"/>
      <c r="K2496" s="14"/>
      <c r="L2496" s="15"/>
      <c r="M2496" s="15"/>
      <c r="N2496" s="15"/>
      <c r="O2496" s="15"/>
      <c r="P2496" s="15"/>
      <c r="Q2496" s="14"/>
      <c r="R2496" s="14"/>
      <c r="S2496" s="14"/>
      <c r="T2496" s="14"/>
      <c r="U2496" s="15"/>
      <c r="V2496" s="14"/>
      <c r="W2496" s="14"/>
      <c r="X2496" s="14"/>
      <c r="Y2496" s="14"/>
      <c r="Z2496" s="14"/>
    </row>
    <row r="2497" spans="1:26" ht="13.2">
      <c r="A2497" s="13"/>
      <c r="B2497" s="14"/>
      <c r="C2497" s="14"/>
      <c r="D2497" s="14"/>
      <c r="E2497" s="14"/>
      <c r="F2497" s="14"/>
      <c r="G2497" s="14"/>
      <c r="H2497" s="14"/>
      <c r="I2497" s="14"/>
      <c r="J2497" s="14"/>
      <c r="K2497" s="14"/>
      <c r="L2497" s="15"/>
      <c r="M2497" s="15"/>
      <c r="N2497" s="15"/>
      <c r="O2497" s="15"/>
      <c r="P2497" s="15"/>
      <c r="Q2497" s="14"/>
      <c r="R2497" s="14"/>
      <c r="S2497" s="14"/>
      <c r="T2497" s="14"/>
      <c r="U2497" s="15"/>
      <c r="V2497" s="14"/>
      <c r="W2497" s="14"/>
      <c r="X2497" s="14"/>
      <c r="Y2497" s="14"/>
      <c r="Z2497" s="14"/>
    </row>
    <row r="2498" spans="1:26" ht="13.2">
      <c r="A2498" s="13"/>
      <c r="B2498" s="14"/>
      <c r="C2498" s="14"/>
      <c r="D2498" s="14"/>
      <c r="E2498" s="14"/>
      <c r="F2498" s="14"/>
      <c r="G2498" s="14"/>
      <c r="H2498" s="14"/>
      <c r="I2498" s="14"/>
      <c r="J2498" s="14"/>
      <c r="K2498" s="14"/>
      <c r="L2498" s="15"/>
      <c r="M2498" s="15"/>
      <c r="N2498" s="15"/>
      <c r="O2498" s="15"/>
      <c r="P2498" s="15"/>
      <c r="Q2498" s="14"/>
      <c r="R2498" s="14"/>
      <c r="S2498" s="14"/>
      <c r="T2498" s="14"/>
      <c r="U2498" s="15"/>
      <c r="V2498" s="14"/>
      <c r="W2498" s="14"/>
      <c r="X2498" s="14"/>
      <c r="Y2498" s="14"/>
      <c r="Z2498" s="14"/>
    </row>
    <row r="2499" spans="1:26" ht="13.2">
      <c r="A2499" s="13"/>
      <c r="B2499" s="14"/>
      <c r="C2499" s="14"/>
      <c r="D2499" s="14"/>
      <c r="E2499" s="14"/>
      <c r="F2499" s="14"/>
      <c r="G2499" s="14"/>
      <c r="H2499" s="14"/>
      <c r="I2499" s="14"/>
      <c r="J2499" s="14"/>
      <c r="K2499" s="14"/>
      <c r="L2499" s="15"/>
      <c r="M2499" s="15"/>
      <c r="N2499" s="15"/>
      <c r="O2499" s="15"/>
      <c r="P2499" s="15"/>
      <c r="Q2499" s="14"/>
      <c r="R2499" s="14"/>
      <c r="S2499" s="14"/>
      <c r="T2499" s="14"/>
      <c r="U2499" s="15"/>
      <c r="V2499" s="14"/>
      <c r="W2499" s="14"/>
      <c r="X2499" s="14"/>
      <c r="Y2499" s="14"/>
      <c r="Z2499" s="14"/>
    </row>
    <row r="2500" spans="1:26" ht="13.2">
      <c r="A2500" s="13"/>
      <c r="B2500" s="14"/>
      <c r="C2500" s="14"/>
      <c r="D2500" s="14"/>
      <c r="E2500" s="14"/>
      <c r="F2500" s="14"/>
      <c r="G2500" s="14"/>
      <c r="H2500" s="14"/>
      <c r="I2500" s="14"/>
      <c r="J2500" s="14"/>
      <c r="K2500" s="14"/>
      <c r="L2500" s="15"/>
      <c r="M2500" s="15"/>
      <c r="N2500" s="15"/>
      <c r="O2500" s="15"/>
      <c r="P2500" s="15"/>
      <c r="Q2500" s="14"/>
      <c r="R2500" s="14"/>
      <c r="S2500" s="14"/>
      <c r="T2500" s="14"/>
      <c r="U2500" s="15"/>
      <c r="V2500" s="14"/>
      <c r="W2500" s="14"/>
      <c r="X2500" s="14"/>
      <c r="Y2500" s="14"/>
      <c r="Z2500" s="14"/>
    </row>
    <row r="2501" spans="1:26" ht="13.2">
      <c r="A2501" s="13"/>
      <c r="B2501" s="14"/>
      <c r="C2501" s="14"/>
      <c r="D2501" s="14"/>
      <c r="E2501" s="14"/>
      <c r="F2501" s="14"/>
      <c r="G2501" s="14"/>
      <c r="H2501" s="14"/>
      <c r="I2501" s="14"/>
      <c r="J2501" s="14"/>
      <c r="K2501" s="14"/>
      <c r="L2501" s="15"/>
      <c r="M2501" s="15"/>
      <c r="N2501" s="15"/>
      <c r="O2501" s="15"/>
      <c r="P2501" s="15"/>
      <c r="Q2501" s="14"/>
      <c r="R2501" s="14"/>
      <c r="S2501" s="14"/>
      <c r="T2501" s="14"/>
      <c r="U2501" s="15"/>
      <c r="V2501" s="14"/>
      <c r="W2501" s="14"/>
      <c r="X2501" s="14"/>
      <c r="Y2501" s="14"/>
      <c r="Z2501" s="14"/>
    </row>
    <row r="2502" spans="1:26" ht="13.2">
      <c r="A2502" s="13"/>
      <c r="B2502" s="14"/>
      <c r="C2502" s="14"/>
      <c r="D2502" s="14"/>
      <c r="E2502" s="14"/>
      <c r="F2502" s="14"/>
      <c r="G2502" s="14"/>
      <c r="H2502" s="14"/>
      <c r="I2502" s="14"/>
      <c r="J2502" s="14"/>
      <c r="K2502" s="14"/>
      <c r="L2502" s="15"/>
      <c r="M2502" s="15"/>
      <c r="N2502" s="15"/>
      <c r="O2502" s="15"/>
      <c r="P2502" s="15"/>
      <c r="Q2502" s="14"/>
      <c r="R2502" s="14"/>
      <c r="S2502" s="14"/>
      <c r="T2502" s="14"/>
      <c r="U2502" s="15"/>
      <c r="V2502" s="14"/>
      <c r="W2502" s="14"/>
      <c r="X2502" s="14"/>
      <c r="Y2502" s="14"/>
      <c r="Z2502" s="14"/>
    </row>
    <row r="2503" spans="1:26" ht="13.2">
      <c r="A2503" s="13"/>
      <c r="B2503" s="14"/>
      <c r="C2503" s="14"/>
      <c r="D2503" s="14"/>
      <c r="E2503" s="14"/>
      <c r="F2503" s="14"/>
      <c r="G2503" s="14"/>
      <c r="H2503" s="14"/>
      <c r="I2503" s="14"/>
      <c r="J2503" s="14"/>
      <c r="K2503" s="14"/>
      <c r="L2503" s="15"/>
      <c r="M2503" s="15"/>
      <c r="N2503" s="15"/>
      <c r="O2503" s="15"/>
      <c r="P2503" s="15"/>
      <c r="Q2503" s="14"/>
      <c r="R2503" s="14"/>
      <c r="S2503" s="14"/>
      <c r="T2503" s="14"/>
      <c r="U2503" s="15"/>
      <c r="V2503" s="14"/>
      <c r="W2503" s="14"/>
      <c r="X2503" s="14"/>
      <c r="Y2503" s="14"/>
      <c r="Z2503" s="14"/>
    </row>
    <row r="2504" spans="1:26" ht="13.2">
      <c r="A2504" s="13"/>
      <c r="B2504" s="14"/>
      <c r="C2504" s="14"/>
      <c r="D2504" s="14"/>
      <c r="E2504" s="14"/>
      <c r="F2504" s="14"/>
      <c r="G2504" s="14"/>
      <c r="H2504" s="14"/>
      <c r="I2504" s="14"/>
      <c r="J2504" s="14"/>
      <c r="K2504" s="14"/>
      <c r="L2504" s="15"/>
      <c r="M2504" s="15"/>
      <c r="N2504" s="15"/>
      <c r="O2504" s="15"/>
      <c r="P2504" s="15"/>
      <c r="Q2504" s="14"/>
      <c r="R2504" s="14"/>
      <c r="S2504" s="14"/>
      <c r="T2504" s="14"/>
      <c r="U2504" s="15"/>
      <c r="V2504" s="14"/>
      <c r="W2504" s="14"/>
      <c r="X2504" s="14"/>
      <c r="Y2504" s="14"/>
      <c r="Z2504" s="14"/>
    </row>
    <row r="2505" spans="1:26" ht="13.2">
      <c r="A2505" s="13"/>
      <c r="B2505" s="14"/>
      <c r="C2505" s="14"/>
      <c r="D2505" s="14"/>
      <c r="E2505" s="14"/>
      <c r="F2505" s="14"/>
      <c r="G2505" s="14"/>
      <c r="H2505" s="14"/>
      <c r="I2505" s="14"/>
      <c r="J2505" s="14"/>
      <c r="K2505" s="14"/>
      <c r="L2505" s="15"/>
      <c r="M2505" s="15"/>
      <c r="N2505" s="15"/>
      <c r="O2505" s="15"/>
      <c r="P2505" s="15"/>
      <c r="Q2505" s="14"/>
      <c r="R2505" s="14"/>
      <c r="S2505" s="14"/>
      <c r="T2505" s="14"/>
      <c r="U2505" s="15"/>
      <c r="V2505" s="14"/>
      <c r="W2505" s="14"/>
      <c r="X2505" s="14"/>
      <c r="Y2505" s="14"/>
      <c r="Z2505" s="14"/>
    </row>
    <row r="2506" spans="1:26" ht="13.2">
      <c r="A2506" s="13"/>
      <c r="B2506" s="14"/>
      <c r="C2506" s="14"/>
      <c r="D2506" s="14"/>
      <c r="E2506" s="14"/>
      <c r="F2506" s="14"/>
      <c r="G2506" s="14"/>
      <c r="H2506" s="14"/>
      <c r="I2506" s="14"/>
      <c r="J2506" s="14"/>
      <c r="K2506" s="14"/>
      <c r="L2506" s="15"/>
      <c r="M2506" s="15"/>
      <c r="N2506" s="15"/>
      <c r="O2506" s="15"/>
      <c r="P2506" s="15"/>
      <c r="Q2506" s="14"/>
      <c r="R2506" s="14"/>
      <c r="S2506" s="14"/>
      <c r="T2506" s="14"/>
      <c r="U2506" s="15"/>
      <c r="V2506" s="14"/>
      <c r="W2506" s="14"/>
      <c r="X2506" s="14"/>
      <c r="Y2506" s="14"/>
      <c r="Z2506" s="14"/>
    </row>
    <row r="2507" spans="1:26" ht="13.2">
      <c r="A2507" s="13"/>
      <c r="B2507" s="14"/>
      <c r="C2507" s="14"/>
      <c r="D2507" s="14"/>
      <c r="E2507" s="14"/>
      <c r="F2507" s="14"/>
      <c r="G2507" s="14"/>
      <c r="H2507" s="14"/>
      <c r="I2507" s="14"/>
      <c r="J2507" s="14"/>
      <c r="K2507" s="14"/>
      <c r="L2507" s="15"/>
      <c r="M2507" s="15"/>
      <c r="N2507" s="15"/>
      <c r="O2507" s="15"/>
      <c r="P2507" s="15"/>
      <c r="Q2507" s="14"/>
      <c r="R2507" s="14"/>
      <c r="S2507" s="14"/>
      <c r="T2507" s="14"/>
      <c r="U2507" s="15"/>
      <c r="V2507" s="14"/>
      <c r="W2507" s="14"/>
      <c r="X2507" s="14"/>
      <c r="Y2507" s="14"/>
      <c r="Z2507" s="14"/>
    </row>
    <row r="2508" spans="1:26" ht="13.2">
      <c r="A2508" s="13"/>
      <c r="B2508" s="14"/>
      <c r="C2508" s="14"/>
      <c r="D2508" s="14"/>
      <c r="E2508" s="14"/>
      <c r="F2508" s="14"/>
      <c r="G2508" s="14"/>
      <c r="H2508" s="14"/>
      <c r="I2508" s="14"/>
      <c r="J2508" s="14"/>
      <c r="K2508" s="14"/>
      <c r="L2508" s="15"/>
      <c r="M2508" s="15"/>
      <c r="N2508" s="15"/>
      <c r="O2508" s="15"/>
      <c r="P2508" s="15"/>
      <c r="Q2508" s="14"/>
      <c r="R2508" s="14"/>
      <c r="S2508" s="14"/>
      <c r="T2508" s="14"/>
      <c r="U2508" s="15"/>
      <c r="V2508" s="14"/>
      <c r="W2508" s="14"/>
      <c r="X2508" s="14"/>
      <c r="Y2508" s="14"/>
      <c r="Z2508" s="14"/>
    </row>
    <row r="2509" spans="1:26" ht="13.2">
      <c r="A2509" s="13"/>
      <c r="B2509" s="14"/>
      <c r="C2509" s="14"/>
      <c r="D2509" s="14"/>
      <c r="E2509" s="14"/>
      <c r="F2509" s="14"/>
      <c r="G2509" s="14"/>
      <c r="H2509" s="14"/>
      <c r="I2509" s="14"/>
      <c r="J2509" s="14"/>
      <c r="K2509" s="14"/>
      <c r="L2509" s="15"/>
      <c r="M2509" s="15"/>
      <c r="N2509" s="15"/>
      <c r="O2509" s="15"/>
      <c r="P2509" s="15"/>
      <c r="Q2509" s="14"/>
      <c r="R2509" s="14"/>
      <c r="S2509" s="14"/>
      <c r="T2509" s="14"/>
      <c r="U2509" s="15"/>
      <c r="V2509" s="14"/>
      <c r="W2509" s="14"/>
      <c r="X2509" s="14"/>
      <c r="Y2509" s="14"/>
      <c r="Z2509" s="14"/>
    </row>
    <row r="2510" spans="1:26" ht="13.2">
      <c r="A2510" s="13"/>
      <c r="B2510" s="14"/>
      <c r="C2510" s="14"/>
      <c r="D2510" s="14"/>
      <c r="E2510" s="14"/>
      <c r="F2510" s="14"/>
      <c r="G2510" s="14"/>
      <c r="H2510" s="14"/>
      <c r="I2510" s="14"/>
      <c r="J2510" s="14"/>
      <c r="K2510" s="14"/>
      <c r="L2510" s="15"/>
      <c r="M2510" s="15"/>
      <c r="N2510" s="15"/>
      <c r="O2510" s="15"/>
      <c r="P2510" s="15"/>
      <c r="Q2510" s="14"/>
      <c r="R2510" s="14"/>
      <c r="S2510" s="14"/>
      <c r="T2510" s="14"/>
      <c r="U2510" s="15"/>
      <c r="V2510" s="14"/>
      <c r="W2510" s="14"/>
      <c r="X2510" s="14"/>
      <c r="Y2510" s="14"/>
      <c r="Z2510" s="14"/>
    </row>
    <row r="2511" spans="1:26" ht="13.2">
      <c r="A2511" s="13"/>
      <c r="B2511" s="14"/>
      <c r="C2511" s="14"/>
      <c r="D2511" s="14"/>
      <c r="E2511" s="14"/>
      <c r="F2511" s="14"/>
      <c r="G2511" s="14"/>
      <c r="H2511" s="14"/>
      <c r="I2511" s="14"/>
      <c r="J2511" s="14"/>
      <c r="K2511" s="14"/>
      <c r="L2511" s="15"/>
      <c r="M2511" s="15"/>
      <c r="N2511" s="15"/>
      <c r="O2511" s="15"/>
      <c r="P2511" s="15"/>
      <c r="Q2511" s="14"/>
      <c r="R2511" s="14"/>
      <c r="S2511" s="14"/>
      <c r="T2511" s="14"/>
      <c r="U2511" s="15"/>
      <c r="V2511" s="14"/>
      <c r="W2511" s="14"/>
      <c r="X2511" s="14"/>
      <c r="Y2511" s="14"/>
      <c r="Z2511" s="14"/>
    </row>
    <row r="2512" spans="1:26" ht="13.2">
      <c r="A2512" s="13"/>
      <c r="B2512" s="14"/>
      <c r="C2512" s="14"/>
      <c r="D2512" s="14"/>
      <c r="E2512" s="14"/>
      <c r="F2512" s="14"/>
      <c r="G2512" s="14"/>
      <c r="H2512" s="14"/>
      <c r="I2512" s="14"/>
      <c r="J2512" s="14"/>
      <c r="K2512" s="14"/>
      <c r="L2512" s="15"/>
      <c r="M2512" s="15"/>
      <c r="N2512" s="15"/>
      <c r="O2512" s="15"/>
      <c r="P2512" s="15"/>
      <c r="Q2512" s="14"/>
      <c r="R2512" s="14"/>
      <c r="S2512" s="14"/>
      <c r="T2512" s="14"/>
      <c r="U2512" s="15"/>
      <c r="V2512" s="14"/>
      <c r="W2512" s="14"/>
      <c r="X2512" s="14"/>
      <c r="Y2512" s="14"/>
      <c r="Z2512" s="14"/>
    </row>
    <row r="2513" spans="1:26" ht="13.2">
      <c r="A2513" s="13"/>
      <c r="B2513" s="14"/>
      <c r="C2513" s="14"/>
      <c r="D2513" s="14"/>
      <c r="E2513" s="14"/>
      <c r="F2513" s="14"/>
      <c r="G2513" s="14"/>
      <c r="H2513" s="14"/>
      <c r="I2513" s="14"/>
      <c r="J2513" s="14"/>
      <c r="K2513" s="14"/>
      <c r="L2513" s="15"/>
      <c r="M2513" s="15"/>
      <c r="N2513" s="15"/>
      <c r="O2513" s="15"/>
      <c r="P2513" s="15"/>
      <c r="Q2513" s="14"/>
      <c r="R2513" s="14"/>
      <c r="S2513" s="14"/>
      <c r="T2513" s="14"/>
      <c r="U2513" s="15"/>
      <c r="V2513" s="14"/>
      <c r="W2513" s="14"/>
      <c r="X2513" s="14"/>
      <c r="Y2513" s="14"/>
      <c r="Z2513" s="14"/>
    </row>
    <row r="2514" spans="1:26" ht="13.2">
      <c r="A2514" s="13"/>
      <c r="B2514" s="14"/>
      <c r="C2514" s="14"/>
      <c r="D2514" s="14"/>
      <c r="E2514" s="14"/>
      <c r="F2514" s="14"/>
      <c r="G2514" s="14"/>
      <c r="H2514" s="14"/>
      <c r="I2514" s="14"/>
      <c r="J2514" s="14"/>
      <c r="K2514" s="14"/>
      <c r="L2514" s="15"/>
      <c r="M2514" s="15"/>
      <c r="N2514" s="15"/>
      <c r="O2514" s="15"/>
      <c r="P2514" s="15"/>
      <c r="Q2514" s="14"/>
      <c r="R2514" s="14"/>
      <c r="S2514" s="14"/>
      <c r="T2514" s="14"/>
      <c r="U2514" s="15"/>
      <c r="V2514" s="14"/>
      <c r="W2514" s="14"/>
      <c r="X2514" s="14"/>
      <c r="Y2514" s="14"/>
      <c r="Z2514" s="14"/>
    </row>
    <row r="2515" spans="1:26" ht="13.2">
      <c r="A2515" s="13"/>
      <c r="B2515" s="14"/>
      <c r="C2515" s="14"/>
      <c r="D2515" s="14"/>
      <c r="E2515" s="14"/>
      <c r="F2515" s="14"/>
      <c r="G2515" s="14"/>
      <c r="H2515" s="14"/>
      <c r="I2515" s="14"/>
      <c r="J2515" s="14"/>
      <c r="K2515" s="14"/>
      <c r="L2515" s="15"/>
      <c r="M2515" s="15"/>
      <c r="N2515" s="15"/>
      <c r="O2515" s="15"/>
      <c r="P2515" s="15"/>
      <c r="Q2515" s="14"/>
      <c r="R2515" s="14"/>
      <c r="S2515" s="14"/>
      <c r="T2515" s="14"/>
      <c r="U2515" s="15"/>
      <c r="V2515" s="14"/>
      <c r="W2515" s="14"/>
      <c r="X2515" s="14"/>
      <c r="Y2515" s="14"/>
      <c r="Z2515" s="14"/>
    </row>
    <row r="2516" spans="1:26" ht="13.2">
      <c r="A2516" s="13"/>
      <c r="B2516" s="14"/>
      <c r="C2516" s="14"/>
      <c r="D2516" s="14"/>
      <c r="E2516" s="14"/>
      <c r="F2516" s="14"/>
      <c r="G2516" s="14"/>
      <c r="H2516" s="14"/>
      <c r="I2516" s="14"/>
      <c r="J2516" s="14"/>
      <c r="K2516" s="14"/>
      <c r="L2516" s="15"/>
      <c r="M2516" s="15"/>
      <c r="N2516" s="15"/>
      <c r="O2516" s="15"/>
      <c r="P2516" s="15"/>
      <c r="Q2516" s="14"/>
      <c r="R2516" s="14"/>
      <c r="S2516" s="14"/>
      <c r="T2516" s="14"/>
      <c r="U2516" s="15"/>
      <c r="V2516" s="14"/>
      <c r="W2516" s="14"/>
      <c r="X2516" s="14"/>
      <c r="Y2516" s="14"/>
      <c r="Z2516" s="14"/>
    </row>
    <row r="2517" spans="1:26" ht="13.2">
      <c r="A2517" s="13"/>
      <c r="B2517" s="14"/>
      <c r="C2517" s="14"/>
      <c r="D2517" s="14"/>
      <c r="E2517" s="14"/>
      <c r="F2517" s="14"/>
      <c r="G2517" s="14"/>
      <c r="H2517" s="14"/>
      <c r="I2517" s="14"/>
      <c r="J2517" s="14"/>
      <c r="K2517" s="14"/>
      <c r="L2517" s="15"/>
      <c r="M2517" s="15"/>
      <c r="N2517" s="15"/>
      <c r="O2517" s="15"/>
      <c r="P2517" s="15"/>
      <c r="Q2517" s="14"/>
      <c r="R2517" s="14"/>
      <c r="S2517" s="14"/>
      <c r="T2517" s="14"/>
      <c r="U2517" s="15"/>
      <c r="V2517" s="14"/>
      <c r="W2517" s="14"/>
      <c r="X2517" s="14"/>
      <c r="Y2517" s="14"/>
      <c r="Z2517" s="14"/>
    </row>
    <row r="2518" spans="1:26" ht="13.2">
      <c r="A2518" s="13"/>
      <c r="B2518" s="14"/>
      <c r="C2518" s="14"/>
      <c r="D2518" s="14"/>
      <c r="E2518" s="14"/>
      <c r="F2518" s="14"/>
      <c r="G2518" s="14"/>
      <c r="H2518" s="14"/>
      <c r="I2518" s="14"/>
      <c r="J2518" s="14"/>
      <c r="K2518" s="14"/>
      <c r="L2518" s="15"/>
      <c r="M2518" s="15"/>
      <c r="N2518" s="15"/>
      <c r="O2518" s="15"/>
      <c r="P2518" s="15"/>
      <c r="Q2518" s="14"/>
      <c r="R2518" s="14"/>
      <c r="S2518" s="14"/>
      <c r="T2518" s="14"/>
      <c r="U2518" s="15"/>
      <c r="V2518" s="14"/>
      <c r="W2518" s="14"/>
      <c r="X2518" s="14"/>
      <c r="Y2518" s="14"/>
      <c r="Z2518" s="14"/>
    </row>
    <row r="2519" spans="1:26" ht="13.2">
      <c r="A2519" s="13"/>
      <c r="B2519" s="14"/>
      <c r="C2519" s="14"/>
      <c r="D2519" s="14"/>
      <c r="E2519" s="14"/>
      <c r="F2519" s="14"/>
      <c r="G2519" s="14"/>
      <c r="H2519" s="14"/>
      <c r="I2519" s="14"/>
      <c r="J2519" s="14"/>
      <c r="K2519" s="14"/>
      <c r="L2519" s="15"/>
      <c r="M2519" s="15"/>
      <c r="N2519" s="15"/>
      <c r="O2519" s="15"/>
      <c r="P2519" s="15"/>
      <c r="Q2519" s="14"/>
      <c r="R2519" s="14"/>
      <c r="S2519" s="14"/>
      <c r="T2519" s="14"/>
      <c r="U2519" s="15"/>
      <c r="V2519" s="14"/>
      <c r="W2519" s="14"/>
      <c r="X2519" s="14"/>
      <c r="Y2519" s="14"/>
      <c r="Z2519" s="14"/>
    </row>
    <row r="2520" spans="1:26" ht="13.2">
      <c r="A2520" s="13"/>
      <c r="B2520" s="14"/>
      <c r="C2520" s="14"/>
      <c r="D2520" s="14"/>
      <c r="E2520" s="14"/>
      <c r="F2520" s="14"/>
      <c r="G2520" s="14"/>
      <c r="H2520" s="14"/>
      <c r="I2520" s="14"/>
      <c r="J2520" s="14"/>
      <c r="K2520" s="14"/>
      <c r="L2520" s="15"/>
      <c r="M2520" s="15"/>
      <c r="N2520" s="15"/>
      <c r="O2520" s="15"/>
      <c r="P2520" s="15"/>
      <c r="Q2520" s="14"/>
      <c r="R2520" s="14"/>
      <c r="S2520" s="14"/>
      <c r="T2520" s="14"/>
      <c r="U2520" s="15"/>
      <c r="V2520" s="14"/>
      <c r="W2520" s="14"/>
      <c r="X2520" s="14"/>
      <c r="Y2520" s="14"/>
      <c r="Z2520" s="14"/>
    </row>
    <row r="2521" spans="1:26" ht="13.2">
      <c r="A2521" s="13"/>
      <c r="B2521" s="14"/>
      <c r="C2521" s="14"/>
      <c r="D2521" s="14"/>
      <c r="E2521" s="14"/>
      <c r="F2521" s="14"/>
      <c r="G2521" s="14"/>
      <c r="H2521" s="14"/>
      <c r="I2521" s="14"/>
      <c r="J2521" s="14"/>
      <c r="K2521" s="14"/>
      <c r="L2521" s="15"/>
      <c r="M2521" s="15"/>
      <c r="N2521" s="15"/>
      <c r="O2521" s="15"/>
      <c r="P2521" s="15"/>
      <c r="Q2521" s="14"/>
      <c r="R2521" s="14"/>
      <c r="S2521" s="14"/>
      <c r="T2521" s="14"/>
      <c r="U2521" s="15"/>
      <c r="V2521" s="14"/>
      <c r="W2521" s="14"/>
      <c r="X2521" s="14"/>
      <c r="Y2521" s="14"/>
      <c r="Z2521" s="14"/>
    </row>
    <row r="2522" spans="1:26" ht="13.2">
      <c r="A2522" s="13"/>
      <c r="B2522" s="14"/>
      <c r="C2522" s="14"/>
      <c r="D2522" s="14"/>
      <c r="E2522" s="14"/>
      <c r="F2522" s="14"/>
      <c r="G2522" s="14"/>
      <c r="H2522" s="14"/>
      <c r="I2522" s="14"/>
      <c r="J2522" s="14"/>
      <c r="K2522" s="14"/>
      <c r="L2522" s="15"/>
      <c r="M2522" s="15"/>
      <c r="N2522" s="15"/>
      <c r="O2522" s="15"/>
      <c r="P2522" s="15"/>
      <c r="Q2522" s="14"/>
      <c r="R2522" s="14"/>
      <c r="S2522" s="14"/>
      <c r="T2522" s="14"/>
      <c r="U2522" s="15"/>
      <c r="V2522" s="14"/>
      <c r="W2522" s="14"/>
      <c r="X2522" s="14"/>
      <c r="Y2522" s="14"/>
      <c r="Z2522" s="14"/>
    </row>
    <row r="2523" spans="1:26" ht="13.2">
      <c r="A2523" s="13"/>
      <c r="B2523" s="14"/>
      <c r="C2523" s="14"/>
      <c r="D2523" s="14"/>
      <c r="E2523" s="14"/>
      <c r="F2523" s="14"/>
      <c r="G2523" s="14"/>
      <c r="H2523" s="14"/>
      <c r="I2523" s="14"/>
      <c r="J2523" s="14"/>
      <c r="K2523" s="14"/>
      <c r="L2523" s="15"/>
      <c r="M2523" s="15"/>
      <c r="N2523" s="15"/>
      <c r="O2523" s="15"/>
      <c r="P2523" s="15"/>
      <c r="Q2523" s="14"/>
      <c r="R2523" s="14"/>
      <c r="S2523" s="14"/>
      <c r="T2523" s="14"/>
      <c r="U2523" s="15"/>
      <c r="V2523" s="14"/>
      <c r="W2523" s="14"/>
      <c r="X2523" s="14"/>
      <c r="Y2523" s="14"/>
      <c r="Z2523" s="14"/>
    </row>
    <row r="2524" spans="1:26" ht="13.2">
      <c r="A2524" s="13"/>
      <c r="B2524" s="14"/>
      <c r="C2524" s="14"/>
      <c r="D2524" s="14"/>
      <c r="E2524" s="14"/>
      <c r="F2524" s="14"/>
      <c r="G2524" s="14"/>
      <c r="H2524" s="14"/>
      <c r="I2524" s="14"/>
      <c r="J2524" s="14"/>
      <c r="K2524" s="14"/>
      <c r="L2524" s="15"/>
      <c r="M2524" s="15"/>
      <c r="N2524" s="15"/>
      <c r="O2524" s="15"/>
      <c r="P2524" s="15"/>
      <c r="Q2524" s="14"/>
      <c r="R2524" s="14"/>
      <c r="S2524" s="14"/>
      <c r="T2524" s="14"/>
      <c r="U2524" s="15"/>
      <c r="V2524" s="14"/>
      <c r="W2524" s="14"/>
      <c r="X2524" s="14"/>
      <c r="Y2524" s="14"/>
      <c r="Z2524" s="14"/>
    </row>
    <row r="2525" spans="1:26" ht="13.2">
      <c r="A2525" s="13"/>
      <c r="B2525" s="14"/>
      <c r="C2525" s="14"/>
      <c r="D2525" s="14"/>
      <c r="E2525" s="14"/>
      <c r="F2525" s="14"/>
      <c r="G2525" s="14"/>
      <c r="H2525" s="14"/>
      <c r="I2525" s="14"/>
      <c r="J2525" s="14"/>
      <c r="K2525" s="14"/>
      <c r="L2525" s="15"/>
      <c r="M2525" s="15"/>
      <c r="N2525" s="15"/>
      <c r="O2525" s="15"/>
      <c r="P2525" s="15"/>
      <c r="Q2525" s="14"/>
      <c r="R2525" s="14"/>
      <c r="S2525" s="14"/>
      <c r="T2525" s="14"/>
      <c r="U2525" s="15"/>
      <c r="V2525" s="14"/>
      <c r="W2525" s="14"/>
      <c r="X2525" s="14"/>
      <c r="Y2525" s="14"/>
      <c r="Z2525" s="14"/>
    </row>
    <row r="2526" spans="1:26" ht="13.2">
      <c r="A2526" s="13"/>
      <c r="B2526" s="14"/>
      <c r="C2526" s="14"/>
      <c r="D2526" s="14"/>
      <c r="E2526" s="14"/>
      <c r="F2526" s="14"/>
      <c r="G2526" s="14"/>
      <c r="H2526" s="14"/>
      <c r="I2526" s="14"/>
      <c r="J2526" s="14"/>
      <c r="K2526" s="14"/>
      <c r="L2526" s="15"/>
      <c r="M2526" s="15"/>
      <c r="N2526" s="15"/>
      <c r="O2526" s="15"/>
      <c r="P2526" s="15"/>
      <c r="Q2526" s="14"/>
      <c r="R2526" s="14"/>
      <c r="S2526" s="14"/>
      <c r="T2526" s="14"/>
      <c r="U2526" s="15"/>
      <c r="V2526" s="14"/>
      <c r="W2526" s="14"/>
      <c r="X2526" s="14"/>
      <c r="Y2526" s="14"/>
      <c r="Z2526" s="14"/>
    </row>
    <row r="2527" spans="1:26" ht="13.2">
      <c r="A2527" s="13"/>
      <c r="B2527" s="14"/>
      <c r="C2527" s="14"/>
      <c r="D2527" s="14"/>
      <c r="E2527" s="14"/>
      <c r="F2527" s="14"/>
      <c r="G2527" s="14"/>
      <c r="H2527" s="14"/>
      <c r="I2527" s="14"/>
      <c r="J2527" s="14"/>
      <c r="K2527" s="14"/>
      <c r="L2527" s="15"/>
      <c r="M2527" s="15"/>
      <c r="N2527" s="15"/>
      <c r="O2527" s="15"/>
      <c r="P2527" s="15"/>
      <c r="Q2527" s="14"/>
      <c r="R2527" s="14"/>
      <c r="S2527" s="14"/>
      <c r="T2527" s="14"/>
      <c r="U2527" s="15"/>
      <c r="V2527" s="14"/>
      <c r="W2527" s="14"/>
      <c r="X2527" s="14"/>
      <c r="Y2527" s="14"/>
      <c r="Z2527" s="14"/>
    </row>
    <row r="2528" spans="1:26" ht="13.2">
      <c r="A2528" s="13"/>
      <c r="B2528" s="14"/>
      <c r="C2528" s="14"/>
      <c r="D2528" s="14"/>
      <c r="E2528" s="14"/>
      <c r="F2528" s="14"/>
      <c r="G2528" s="14"/>
      <c r="H2528" s="14"/>
      <c r="I2528" s="14"/>
      <c r="J2528" s="14"/>
      <c r="K2528" s="14"/>
      <c r="L2528" s="15"/>
      <c r="M2528" s="15"/>
      <c r="N2528" s="15"/>
      <c r="O2528" s="15"/>
      <c r="P2528" s="15"/>
      <c r="Q2528" s="14"/>
      <c r="R2528" s="14"/>
      <c r="S2528" s="14"/>
      <c r="T2528" s="14"/>
      <c r="U2528" s="15"/>
      <c r="V2528" s="14"/>
      <c r="W2528" s="14"/>
      <c r="X2528" s="14"/>
      <c r="Y2528" s="14"/>
      <c r="Z2528" s="14"/>
    </row>
    <row r="2529" spans="1:26" ht="13.2">
      <c r="A2529" s="13"/>
      <c r="B2529" s="14"/>
      <c r="C2529" s="14"/>
      <c r="D2529" s="14"/>
      <c r="E2529" s="14"/>
      <c r="F2529" s="14"/>
      <c r="G2529" s="14"/>
      <c r="H2529" s="14"/>
      <c r="I2529" s="14"/>
      <c r="J2529" s="14"/>
      <c r="K2529" s="14"/>
      <c r="L2529" s="15"/>
      <c r="M2529" s="15"/>
      <c r="N2529" s="15"/>
      <c r="O2529" s="15"/>
      <c r="P2529" s="15"/>
      <c r="Q2529" s="14"/>
      <c r="R2529" s="14"/>
      <c r="S2529" s="14"/>
      <c r="T2529" s="14"/>
      <c r="U2529" s="15"/>
      <c r="V2529" s="14"/>
      <c r="W2529" s="14"/>
      <c r="X2529" s="14"/>
      <c r="Y2529" s="14"/>
      <c r="Z2529" s="14"/>
    </row>
    <row r="2530" spans="1:26" ht="13.2">
      <c r="A2530" s="13"/>
      <c r="B2530" s="14"/>
      <c r="C2530" s="14"/>
      <c r="D2530" s="14"/>
      <c r="E2530" s="14"/>
      <c r="F2530" s="14"/>
      <c r="G2530" s="14"/>
      <c r="H2530" s="14"/>
      <c r="I2530" s="14"/>
      <c r="J2530" s="14"/>
      <c r="K2530" s="14"/>
      <c r="L2530" s="15"/>
      <c r="M2530" s="15"/>
      <c r="N2530" s="15"/>
      <c r="O2530" s="15"/>
      <c r="P2530" s="15"/>
      <c r="Q2530" s="14"/>
      <c r="R2530" s="14"/>
      <c r="S2530" s="14"/>
      <c r="T2530" s="14"/>
      <c r="U2530" s="15"/>
      <c r="V2530" s="14"/>
      <c r="W2530" s="14"/>
      <c r="X2530" s="14"/>
      <c r="Y2530" s="14"/>
      <c r="Z2530" s="14"/>
    </row>
    <row r="2531" spans="1:26" ht="13.2">
      <c r="A2531" s="13"/>
      <c r="B2531" s="14"/>
      <c r="C2531" s="14"/>
      <c r="D2531" s="14"/>
      <c r="E2531" s="14"/>
      <c r="F2531" s="14"/>
      <c r="G2531" s="14"/>
      <c r="H2531" s="14"/>
      <c r="I2531" s="14"/>
      <c r="J2531" s="14"/>
      <c r="K2531" s="14"/>
      <c r="L2531" s="15"/>
      <c r="M2531" s="15"/>
      <c r="N2531" s="15"/>
      <c r="O2531" s="15"/>
      <c r="P2531" s="15"/>
      <c r="Q2531" s="14"/>
      <c r="R2531" s="14"/>
      <c r="S2531" s="14"/>
      <c r="T2531" s="14"/>
      <c r="U2531" s="15"/>
      <c r="V2531" s="14"/>
      <c r="W2531" s="14"/>
      <c r="X2531" s="14"/>
      <c r="Y2531" s="14"/>
      <c r="Z2531" s="14"/>
    </row>
    <row r="2532" spans="1:26" ht="13.2">
      <c r="A2532" s="13"/>
      <c r="B2532" s="14"/>
      <c r="C2532" s="14"/>
      <c r="D2532" s="14"/>
      <c r="E2532" s="14"/>
      <c r="F2532" s="14"/>
      <c r="G2532" s="14"/>
      <c r="H2532" s="14"/>
      <c r="I2532" s="14"/>
      <c r="J2532" s="14"/>
      <c r="K2532" s="14"/>
      <c r="L2532" s="15"/>
      <c r="M2532" s="15"/>
      <c r="N2532" s="15"/>
      <c r="O2532" s="15"/>
      <c r="P2532" s="15"/>
      <c r="Q2532" s="14"/>
      <c r="R2532" s="14"/>
      <c r="S2532" s="14"/>
      <c r="T2532" s="14"/>
      <c r="U2532" s="15"/>
      <c r="V2532" s="14"/>
      <c r="W2532" s="14"/>
      <c r="X2532" s="14"/>
      <c r="Y2532" s="14"/>
      <c r="Z2532" s="14"/>
    </row>
    <row r="2533" spans="1:26" ht="13.2">
      <c r="A2533" s="13"/>
      <c r="B2533" s="14"/>
      <c r="C2533" s="14"/>
      <c r="D2533" s="14"/>
      <c r="E2533" s="14"/>
      <c r="F2533" s="14"/>
      <c r="G2533" s="14"/>
      <c r="H2533" s="14"/>
      <c r="I2533" s="14"/>
      <c r="J2533" s="14"/>
      <c r="K2533" s="14"/>
      <c r="L2533" s="15"/>
      <c r="M2533" s="15"/>
      <c r="N2533" s="15"/>
      <c r="O2533" s="15"/>
      <c r="P2533" s="15"/>
      <c r="Q2533" s="14"/>
      <c r="R2533" s="14"/>
      <c r="S2533" s="14"/>
      <c r="T2533" s="14"/>
      <c r="U2533" s="15"/>
      <c r="V2533" s="14"/>
      <c r="W2533" s="14"/>
      <c r="X2533" s="14"/>
      <c r="Y2533" s="14"/>
      <c r="Z2533" s="14"/>
    </row>
    <row r="2534" spans="1:26" ht="13.2">
      <c r="A2534" s="13"/>
      <c r="B2534" s="14"/>
      <c r="C2534" s="14"/>
      <c r="D2534" s="14"/>
      <c r="E2534" s="14"/>
      <c r="F2534" s="14"/>
      <c r="G2534" s="14"/>
      <c r="H2534" s="14"/>
      <c r="I2534" s="14"/>
      <c r="J2534" s="14"/>
      <c r="K2534" s="14"/>
      <c r="L2534" s="15"/>
      <c r="M2534" s="15"/>
      <c r="N2534" s="15"/>
      <c r="O2534" s="15"/>
      <c r="P2534" s="15"/>
      <c r="Q2534" s="14"/>
      <c r="R2534" s="14"/>
      <c r="S2534" s="14"/>
      <c r="T2534" s="14"/>
      <c r="U2534" s="15"/>
      <c r="V2534" s="14"/>
      <c r="W2534" s="14"/>
      <c r="X2534" s="14"/>
      <c r="Y2534" s="14"/>
      <c r="Z2534" s="14"/>
    </row>
    <row r="2535" spans="1:26" ht="13.2">
      <c r="A2535" s="13"/>
      <c r="B2535" s="14"/>
      <c r="C2535" s="14"/>
      <c r="D2535" s="14"/>
      <c r="E2535" s="14"/>
      <c r="F2535" s="14"/>
      <c r="G2535" s="14"/>
      <c r="H2535" s="14"/>
      <c r="I2535" s="14"/>
      <c r="J2535" s="14"/>
      <c r="K2535" s="14"/>
      <c r="L2535" s="15"/>
      <c r="M2535" s="15"/>
      <c r="N2535" s="15"/>
      <c r="O2535" s="15"/>
      <c r="P2535" s="15"/>
      <c r="Q2535" s="14"/>
      <c r="R2535" s="14"/>
      <c r="S2535" s="14"/>
      <c r="T2535" s="14"/>
      <c r="U2535" s="15"/>
      <c r="V2535" s="14"/>
      <c r="W2535" s="14"/>
      <c r="X2535" s="14"/>
      <c r="Y2535" s="14"/>
      <c r="Z2535" s="14"/>
    </row>
    <row r="2536" spans="1:26" ht="13.2">
      <c r="A2536" s="13"/>
      <c r="B2536" s="14"/>
      <c r="C2536" s="14"/>
      <c r="D2536" s="14"/>
      <c r="E2536" s="14"/>
      <c r="F2536" s="14"/>
      <c r="G2536" s="14"/>
      <c r="H2536" s="14"/>
      <c r="I2536" s="14"/>
      <c r="J2536" s="14"/>
      <c r="K2536" s="14"/>
      <c r="L2536" s="15"/>
      <c r="M2536" s="15"/>
      <c r="N2536" s="15"/>
      <c r="O2536" s="15"/>
      <c r="P2536" s="15"/>
      <c r="Q2536" s="14"/>
      <c r="R2536" s="14"/>
      <c r="S2536" s="14"/>
      <c r="T2536" s="14"/>
      <c r="U2536" s="15"/>
      <c r="V2536" s="14"/>
      <c r="W2536" s="14"/>
      <c r="X2536" s="14"/>
      <c r="Y2536" s="14"/>
      <c r="Z2536" s="14"/>
    </row>
    <row r="2537" spans="1:26" ht="13.2">
      <c r="A2537" s="13"/>
      <c r="B2537" s="14"/>
      <c r="C2537" s="14"/>
      <c r="D2537" s="14"/>
      <c r="E2537" s="14"/>
      <c r="F2537" s="14"/>
      <c r="G2537" s="14"/>
      <c r="H2537" s="14"/>
      <c r="I2537" s="14"/>
      <c r="J2537" s="14"/>
      <c r="K2537" s="14"/>
      <c r="L2537" s="15"/>
      <c r="M2537" s="15"/>
      <c r="N2537" s="15"/>
      <c r="O2537" s="15"/>
      <c r="P2537" s="15"/>
      <c r="Q2537" s="14"/>
      <c r="R2537" s="14"/>
      <c r="S2537" s="14"/>
      <c r="T2537" s="14"/>
      <c r="U2537" s="15"/>
      <c r="V2537" s="14"/>
      <c r="W2537" s="14"/>
      <c r="X2537" s="14"/>
      <c r="Y2537" s="14"/>
      <c r="Z2537" s="14"/>
    </row>
    <row r="2538" spans="1:26" ht="13.2">
      <c r="A2538" s="13"/>
      <c r="B2538" s="14"/>
      <c r="C2538" s="14"/>
      <c r="D2538" s="14"/>
      <c r="E2538" s="14"/>
      <c r="F2538" s="14"/>
      <c r="G2538" s="14"/>
      <c r="H2538" s="14"/>
      <c r="I2538" s="14"/>
      <c r="J2538" s="14"/>
      <c r="K2538" s="14"/>
      <c r="L2538" s="15"/>
      <c r="M2538" s="15"/>
      <c r="N2538" s="15"/>
      <c r="O2538" s="15"/>
      <c r="P2538" s="15"/>
      <c r="Q2538" s="14"/>
      <c r="R2538" s="14"/>
      <c r="S2538" s="14"/>
      <c r="T2538" s="14"/>
      <c r="U2538" s="15"/>
      <c r="V2538" s="14"/>
      <c r="W2538" s="14"/>
      <c r="X2538" s="14"/>
      <c r="Y2538" s="14"/>
      <c r="Z2538" s="14"/>
    </row>
    <row r="2539" spans="1:26" ht="13.2">
      <c r="A2539" s="13"/>
      <c r="B2539" s="14"/>
      <c r="C2539" s="14"/>
      <c r="D2539" s="14"/>
      <c r="E2539" s="14"/>
      <c r="F2539" s="14"/>
      <c r="G2539" s="14"/>
      <c r="H2539" s="14"/>
      <c r="I2539" s="14"/>
      <c r="J2539" s="14"/>
      <c r="K2539" s="14"/>
      <c r="L2539" s="15"/>
      <c r="M2539" s="15"/>
      <c r="N2539" s="15"/>
      <c r="O2539" s="15"/>
      <c r="P2539" s="15"/>
      <c r="Q2539" s="14"/>
      <c r="R2539" s="14"/>
      <c r="S2539" s="14"/>
      <c r="T2539" s="14"/>
      <c r="U2539" s="15"/>
      <c r="V2539" s="14"/>
      <c r="W2539" s="14"/>
      <c r="X2539" s="14"/>
      <c r="Y2539" s="14"/>
      <c r="Z2539" s="14"/>
    </row>
    <row r="2540" spans="1:26" ht="13.2">
      <c r="A2540" s="13"/>
      <c r="B2540" s="14"/>
      <c r="C2540" s="14"/>
      <c r="D2540" s="14"/>
      <c r="E2540" s="14"/>
      <c r="F2540" s="14"/>
      <c r="G2540" s="14"/>
      <c r="H2540" s="14"/>
      <c r="I2540" s="14"/>
      <c r="J2540" s="14"/>
      <c r="K2540" s="14"/>
      <c r="L2540" s="15"/>
      <c r="M2540" s="15"/>
      <c r="N2540" s="15"/>
      <c r="O2540" s="15"/>
      <c r="P2540" s="15"/>
      <c r="Q2540" s="14"/>
      <c r="R2540" s="14"/>
      <c r="S2540" s="14"/>
      <c r="T2540" s="14"/>
      <c r="U2540" s="15"/>
      <c r="V2540" s="14"/>
      <c r="W2540" s="14"/>
      <c r="X2540" s="14"/>
      <c r="Y2540" s="14"/>
      <c r="Z2540" s="14"/>
    </row>
    <row r="2541" spans="1:26" ht="13.2">
      <c r="A2541" s="13"/>
      <c r="B2541" s="14"/>
      <c r="C2541" s="14"/>
      <c r="D2541" s="14"/>
      <c r="E2541" s="14"/>
      <c r="F2541" s="14"/>
      <c r="G2541" s="14"/>
      <c r="H2541" s="14"/>
      <c r="I2541" s="14"/>
      <c r="J2541" s="14"/>
      <c r="K2541" s="14"/>
      <c r="L2541" s="15"/>
      <c r="M2541" s="15"/>
      <c r="N2541" s="15"/>
      <c r="O2541" s="15"/>
      <c r="P2541" s="15"/>
      <c r="Q2541" s="14"/>
      <c r="R2541" s="14"/>
      <c r="S2541" s="14"/>
      <c r="T2541" s="14"/>
      <c r="U2541" s="15"/>
      <c r="V2541" s="14"/>
      <c r="W2541" s="14"/>
      <c r="X2541" s="14"/>
      <c r="Y2541" s="14"/>
      <c r="Z2541" s="14"/>
    </row>
    <row r="2542" spans="1:26" ht="13.2">
      <c r="A2542" s="13"/>
      <c r="B2542" s="14"/>
      <c r="C2542" s="14"/>
      <c r="D2542" s="14"/>
      <c r="E2542" s="14"/>
      <c r="F2542" s="14"/>
      <c r="G2542" s="14"/>
      <c r="H2542" s="14"/>
      <c r="I2542" s="14"/>
      <c r="J2542" s="14"/>
      <c r="K2542" s="14"/>
      <c r="L2542" s="15"/>
      <c r="M2542" s="15"/>
      <c r="N2542" s="15"/>
      <c r="O2542" s="15"/>
      <c r="P2542" s="15"/>
      <c r="Q2542" s="14"/>
      <c r="R2542" s="14"/>
      <c r="S2542" s="14"/>
      <c r="T2542" s="14"/>
      <c r="U2542" s="15"/>
      <c r="V2542" s="14"/>
      <c r="W2542" s="14"/>
      <c r="X2542" s="14"/>
      <c r="Y2542" s="14"/>
      <c r="Z2542" s="14"/>
    </row>
    <row r="2543" spans="1:26" ht="13.2">
      <c r="A2543" s="13"/>
      <c r="B2543" s="14"/>
      <c r="C2543" s="14"/>
      <c r="D2543" s="14"/>
      <c r="E2543" s="14"/>
      <c r="F2543" s="14"/>
      <c r="G2543" s="14"/>
      <c r="H2543" s="14"/>
      <c r="I2543" s="14"/>
      <c r="J2543" s="14"/>
      <c r="K2543" s="14"/>
      <c r="L2543" s="15"/>
      <c r="M2543" s="15"/>
      <c r="N2543" s="15"/>
      <c r="O2543" s="15"/>
      <c r="P2543" s="15"/>
      <c r="Q2543" s="14"/>
      <c r="R2543" s="14"/>
      <c r="S2543" s="14"/>
      <c r="T2543" s="14"/>
      <c r="U2543" s="15"/>
      <c r="V2543" s="14"/>
      <c r="W2543" s="14"/>
      <c r="X2543" s="14"/>
      <c r="Y2543" s="14"/>
      <c r="Z2543" s="14"/>
    </row>
    <row r="2544" spans="1:26" ht="13.2">
      <c r="A2544" s="13"/>
      <c r="B2544" s="14"/>
      <c r="C2544" s="14"/>
      <c r="D2544" s="14"/>
      <c r="E2544" s="14"/>
      <c r="F2544" s="14"/>
      <c r="G2544" s="14"/>
      <c r="H2544" s="14"/>
      <c r="I2544" s="14"/>
      <c r="J2544" s="14"/>
      <c r="K2544" s="14"/>
      <c r="L2544" s="15"/>
      <c r="M2544" s="15"/>
      <c r="N2544" s="15"/>
      <c r="O2544" s="15"/>
      <c r="P2544" s="15"/>
      <c r="Q2544" s="14"/>
      <c r="R2544" s="14"/>
      <c r="S2544" s="14"/>
      <c r="T2544" s="14"/>
      <c r="U2544" s="15"/>
      <c r="V2544" s="14"/>
      <c r="W2544" s="14"/>
      <c r="X2544" s="14"/>
      <c r="Y2544" s="14"/>
      <c r="Z2544" s="14"/>
    </row>
    <row r="2545" spans="1:26" ht="13.2">
      <c r="A2545" s="13"/>
      <c r="B2545" s="14"/>
      <c r="C2545" s="14"/>
      <c r="D2545" s="14"/>
      <c r="E2545" s="14"/>
      <c r="F2545" s="14"/>
      <c r="G2545" s="14"/>
      <c r="H2545" s="14"/>
      <c r="I2545" s="14"/>
      <c r="J2545" s="14"/>
      <c r="K2545" s="14"/>
      <c r="L2545" s="15"/>
      <c r="M2545" s="15"/>
      <c r="N2545" s="15"/>
      <c r="O2545" s="15"/>
      <c r="P2545" s="15"/>
      <c r="Q2545" s="14"/>
      <c r="R2545" s="14"/>
      <c r="S2545" s="14"/>
      <c r="T2545" s="14"/>
      <c r="U2545" s="15"/>
      <c r="V2545" s="14"/>
      <c r="W2545" s="14"/>
      <c r="X2545" s="14"/>
      <c r="Y2545" s="14"/>
      <c r="Z2545" s="14"/>
    </row>
    <row r="2546" spans="1:26" ht="13.2">
      <c r="A2546" s="13"/>
      <c r="B2546" s="14"/>
      <c r="C2546" s="14"/>
      <c r="D2546" s="14"/>
      <c r="E2546" s="14"/>
      <c r="F2546" s="14"/>
      <c r="G2546" s="14"/>
      <c r="H2546" s="14"/>
      <c r="I2546" s="14"/>
      <c r="J2546" s="14"/>
      <c r="K2546" s="14"/>
      <c r="L2546" s="15"/>
      <c r="M2546" s="15"/>
      <c r="N2546" s="15"/>
      <c r="O2546" s="15"/>
      <c r="P2546" s="15"/>
      <c r="Q2546" s="14"/>
      <c r="R2546" s="14"/>
      <c r="S2546" s="14"/>
      <c r="T2546" s="14"/>
      <c r="U2546" s="15"/>
      <c r="V2546" s="14"/>
      <c r="W2546" s="14"/>
      <c r="X2546" s="14"/>
      <c r="Y2546" s="14"/>
      <c r="Z2546" s="14"/>
    </row>
    <row r="2547" spans="1:26" ht="13.2">
      <c r="A2547" s="13"/>
      <c r="B2547" s="14"/>
      <c r="C2547" s="14"/>
      <c r="D2547" s="14"/>
      <c r="E2547" s="14"/>
      <c r="F2547" s="14"/>
      <c r="G2547" s="14"/>
      <c r="H2547" s="14"/>
      <c r="I2547" s="14"/>
      <c r="J2547" s="14"/>
      <c r="K2547" s="14"/>
      <c r="L2547" s="15"/>
      <c r="M2547" s="15"/>
      <c r="N2547" s="15"/>
      <c r="O2547" s="15"/>
      <c r="P2547" s="15"/>
      <c r="Q2547" s="14"/>
      <c r="R2547" s="14"/>
      <c r="S2547" s="14"/>
      <c r="T2547" s="14"/>
      <c r="U2547" s="15"/>
      <c r="V2547" s="14"/>
      <c r="W2547" s="14"/>
      <c r="X2547" s="14"/>
      <c r="Y2547" s="14"/>
      <c r="Z2547" s="14"/>
    </row>
    <row r="2548" spans="1:26" ht="13.2">
      <c r="A2548" s="13"/>
      <c r="B2548" s="14"/>
      <c r="C2548" s="14"/>
      <c r="D2548" s="14"/>
      <c r="E2548" s="14"/>
      <c r="F2548" s="14"/>
      <c r="G2548" s="14"/>
      <c r="H2548" s="14"/>
      <c r="I2548" s="14"/>
      <c r="J2548" s="14"/>
      <c r="K2548" s="14"/>
      <c r="L2548" s="15"/>
      <c r="M2548" s="15"/>
      <c r="N2548" s="15"/>
      <c r="O2548" s="15"/>
      <c r="P2548" s="15"/>
      <c r="Q2548" s="14"/>
      <c r="R2548" s="14"/>
      <c r="S2548" s="14"/>
      <c r="T2548" s="14"/>
      <c r="U2548" s="15"/>
      <c r="V2548" s="14"/>
      <c r="W2548" s="14"/>
      <c r="X2548" s="14"/>
      <c r="Y2548" s="14"/>
      <c r="Z2548" s="14"/>
    </row>
    <row r="2549" spans="1:26" ht="13.2">
      <c r="A2549" s="13"/>
      <c r="B2549" s="14"/>
      <c r="C2549" s="14"/>
      <c r="D2549" s="14"/>
      <c r="E2549" s="14"/>
      <c r="F2549" s="14"/>
      <c r="G2549" s="14"/>
      <c r="H2549" s="14"/>
      <c r="I2549" s="14"/>
      <c r="J2549" s="14"/>
      <c r="K2549" s="14"/>
      <c r="L2549" s="15"/>
      <c r="M2549" s="15"/>
      <c r="N2549" s="15"/>
      <c r="O2549" s="15"/>
      <c r="P2549" s="15"/>
      <c r="Q2549" s="14"/>
      <c r="R2549" s="14"/>
      <c r="S2549" s="14"/>
      <c r="T2549" s="14"/>
      <c r="U2549" s="15"/>
      <c r="V2549" s="14"/>
      <c r="W2549" s="14"/>
      <c r="X2549" s="14"/>
      <c r="Y2549" s="14"/>
      <c r="Z2549" s="14"/>
    </row>
    <row r="2550" spans="1:26" ht="13.2">
      <c r="A2550" s="13"/>
      <c r="B2550" s="14"/>
      <c r="C2550" s="14"/>
      <c r="D2550" s="14"/>
      <c r="E2550" s="14"/>
      <c r="F2550" s="14"/>
      <c r="G2550" s="14"/>
      <c r="H2550" s="14"/>
      <c r="I2550" s="14"/>
      <c r="J2550" s="14"/>
      <c r="K2550" s="14"/>
      <c r="L2550" s="15"/>
      <c r="M2550" s="15"/>
      <c r="N2550" s="15"/>
      <c r="O2550" s="15"/>
      <c r="P2550" s="15"/>
      <c r="Q2550" s="14"/>
      <c r="R2550" s="14"/>
      <c r="S2550" s="14"/>
      <c r="T2550" s="14"/>
      <c r="U2550" s="15"/>
      <c r="V2550" s="14"/>
      <c r="W2550" s="14"/>
      <c r="X2550" s="14"/>
      <c r="Y2550" s="14"/>
      <c r="Z2550" s="14"/>
    </row>
    <row r="2551" spans="1:26" ht="13.2">
      <c r="A2551" s="13"/>
      <c r="B2551" s="14"/>
      <c r="C2551" s="14"/>
      <c r="D2551" s="14"/>
      <c r="E2551" s="14"/>
      <c r="F2551" s="14"/>
      <c r="G2551" s="14"/>
      <c r="H2551" s="14"/>
      <c r="I2551" s="14"/>
      <c r="J2551" s="14"/>
      <c r="K2551" s="14"/>
      <c r="L2551" s="15"/>
      <c r="M2551" s="15"/>
      <c r="N2551" s="15"/>
      <c r="O2551" s="15"/>
      <c r="P2551" s="15"/>
      <c r="Q2551" s="14"/>
      <c r="R2551" s="14"/>
      <c r="S2551" s="14"/>
      <c r="T2551" s="14"/>
      <c r="U2551" s="15"/>
      <c r="V2551" s="14"/>
      <c r="W2551" s="14"/>
      <c r="X2551" s="14"/>
      <c r="Y2551" s="14"/>
      <c r="Z2551" s="14"/>
    </row>
    <row r="2552" spans="1:26" ht="13.2">
      <c r="A2552" s="13"/>
      <c r="B2552" s="14"/>
      <c r="C2552" s="14"/>
      <c r="D2552" s="14"/>
      <c r="E2552" s="14"/>
      <c r="F2552" s="14"/>
      <c r="G2552" s="14"/>
      <c r="H2552" s="14"/>
      <c r="I2552" s="14"/>
      <c r="J2552" s="14"/>
      <c r="K2552" s="14"/>
      <c r="L2552" s="15"/>
      <c r="M2552" s="15"/>
      <c r="N2552" s="15"/>
      <c r="O2552" s="15"/>
      <c r="P2552" s="15"/>
      <c r="Q2552" s="14"/>
      <c r="R2552" s="14"/>
      <c r="S2552" s="14"/>
      <c r="T2552" s="14"/>
      <c r="U2552" s="15"/>
      <c r="V2552" s="14"/>
      <c r="W2552" s="14"/>
      <c r="X2552" s="14"/>
      <c r="Y2552" s="14"/>
      <c r="Z2552" s="14"/>
    </row>
    <row r="2553" spans="1:26" ht="13.2">
      <c r="A2553" s="13"/>
      <c r="B2553" s="14"/>
      <c r="C2553" s="14"/>
      <c r="D2553" s="14"/>
      <c r="E2553" s="14"/>
      <c r="F2553" s="14"/>
      <c r="G2553" s="14"/>
      <c r="H2553" s="14"/>
      <c r="I2553" s="14"/>
      <c r="J2553" s="14"/>
      <c r="K2553" s="14"/>
      <c r="L2553" s="15"/>
      <c r="M2553" s="15"/>
      <c r="N2553" s="15"/>
      <c r="O2553" s="15"/>
      <c r="P2553" s="15"/>
      <c r="Q2553" s="14"/>
      <c r="R2553" s="14"/>
      <c r="S2553" s="14"/>
      <c r="T2553" s="14"/>
      <c r="U2553" s="15"/>
      <c r="V2553" s="14"/>
      <c r="W2553" s="14"/>
      <c r="X2553" s="14"/>
      <c r="Y2553" s="14"/>
      <c r="Z2553" s="14"/>
    </row>
    <row r="2554" spans="1:26" ht="13.2">
      <c r="A2554" s="13"/>
      <c r="B2554" s="14"/>
      <c r="C2554" s="14"/>
      <c r="D2554" s="14"/>
      <c r="E2554" s="14"/>
      <c r="F2554" s="14"/>
      <c r="G2554" s="14"/>
      <c r="H2554" s="14"/>
      <c r="I2554" s="14"/>
      <c r="J2554" s="14"/>
      <c r="K2554" s="14"/>
      <c r="L2554" s="15"/>
      <c r="M2554" s="15"/>
      <c r="N2554" s="15"/>
      <c r="O2554" s="15"/>
      <c r="P2554" s="15"/>
      <c r="Q2554" s="14"/>
      <c r="R2554" s="14"/>
      <c r="S2554" s="14"/>
      <c r="T2554" s="14"/>
      <c r="U2554" s="15"/>
      <c r="V2554" s="14"/>
      <c r="W2554" s="14"/>
      <c r="X2554" s="14"/>
      <c r="Y2554" s="14"/>
      <c r="Z2554" s="14"/>
    </row>
    <row r="2555" spans="1:26" ht="13.2">
      <c r="A2555" s="13"/>
      <c r="B2555" s="14"/>
      <c r="C2555" s="14"/>
      <c r="D2555" s="14"/>
      <c r="E2555" s="14"/>
      <c r="F2555" s="14"/>
      <c r="G2555" s="14"/>
      <c r="H2555" s="14"/>
      <c r="I2555" s="14"/>
      <c r="J2555" s="14"/>
      <c r="K2555" s="14"/>
      <c r="L2555" s="15"/>
      <c r="M2555" s="15"/>
      <c r="N2555" s="15"/>
      <c r="O2555" s="15"/>
      <c r="P2555" s="15"/>
      <c r="Q2555" s="14"/>
      <c r="R2555" s="14"/>
      <c r="S2555" s="14"/>
      <c r="T2555" s="14"/>
      <c r="U2555" s="15"/>
      <c r="V2555" s="14"/>
      <c r="W2555" s="14"/>
      <c r="X2555" s="14"/>
      <c r="Y2555" s="14"/>
      <c r="Z2555" s="14"/>
    </row>
    <row r="2556" spans="1:26" ht="13.2">
      <c r="A2556" s="13"/>
      <c r="B2556" s="14"/>
      <c r="C2556" s="14"/>
      <c r="D2556" s="14"/>
      <c r="E2556" s="14"/>
      <c r="F2556" s="14"/>
      <c r="G2556" s="14"/>
      <c r="H2556" s="14"/>
      <c r="I2556" s="14"/>
      <c r="J2556" s="14"/>
      <c r="K2556" s="14"/>
      <c r="L2556" s="15"/>
      <c r="M2556" s="15"/>
      <c r="N2556" s="15"/>
      <c r="O2556" s="15"/>
      <c r="P2556" s="15"/>
      <c r="Q2556" s="14"/>
      <c r="R2556" s="14"/>
      <c r="S2556" s="14"/>
      <c r="T2556" s="14"/>
      <c r="U2556" s="15"/>
      <c r="V2556" s="14"/>
      <c r="W2556" s="14"/>
      <c r="X2556" s="14"/>
      <c r="Y2556" s="14"/>
      <c r="Z2556" s="14"/>
    </row>
    <row r="2557" spans="1:26" ht="13.2">
      <c r="A2557" s="13"/>
      <c r="B2557" s="14"/>
      <c r="C2557" s="14"/>
      <c r="D2557" s="14"/>
      <c r="E2557" s="14"/>
      <c r="F2557" s="14"/>
      <c r="G2557" s="14"/>
      <c r="H2557" s="14"/>
      <c r="I2557" s="14"/>
      <c r="J2557" s="14"/>
      <c r="K2557" s="14"/>
      <c r="L2557" s="15"/>
      <c r="M2557" s="15"/>
      <c r="N2557" s="15"/>
      <c r="O2557" s="15"/>
      <c r="P2557" s="15"/>
      <c r="Q2557" s="14"/>
      <c r="R2557" s="14"/>
      <c r="S2557" s="14"/>
      <c r="T2557" s="14"/>
      <c r="U2557" s="15"/>
      <c r="V2557" s="14"/>
      <c r="W2557" s="14"/>
      <c r="X2557" s="14"/>
      <c r="Y2557" s="14"/>
      <c r="Z2557" s="14"/>
    </row>
    <row r="2558" spans="1:26" ht="13.2">
      <c r="A2558" s="13"/>
      <c r="B2558" s="14"/>
      <c r="C2558" s="14"/>
      <c r="D2558" s="14"/>
      <c r="E2558" s="14"/>
      <c r="F2558" s="14"/>
      <c r="G2558" s="14"/>
      <c r="H2558" s="14"/>
      <c r="I2558" s="14"/>
      <c r="J2558" s="14"/>
      <c r="K2558" s="14"/>
      <c r="L2558" s="15"/>
      <c r="M2558" s="15"/>
      <c r="N2558" s="15"/>
      <c r="O2558" s="15"/>
      <c r="P2558" s="15"/>
      <c r="Q2558" s="14"/>
      <c r="R2558" s="14"/>
      <c r="S2558" s="14"/>
      <c r="T2558" s="14"/>
      <c r="U2558" s="15"/>
      <c r="V2558" s="14"/>
      <c r="W2558" s="14"/>
      <c r="X2558" s="14"/>
      <c r="Y2558" s="14"/>
      <c r="Z2558" s="14"/>
    </row>
    <row r="2559" spans="1:26" ht="13.2">
      <c r="A2559" s="13"/>
      <c r="B2559" s="14"/>
      <c r="C2559" s="14"/>
      <c r="D2559" s="14"/>
      <c r="E2559" s="14"/>
      <c r="F2559" s="14"/>
      <c r="G2559" s="14"/>
      <c r="H2559" s="14"/>
      <c r="I2559" s="14"/>
      <c r="J2559" s="14"/>
      <c r="K2559" s="14"/>
      <c r="L2559" s="15"/>
      <c r="M2559" s="15"/>
      <c r="N2559" s="15"/>
      <c r="O2559" s="15"/>
      <c r="P2559" s="15"/>
      <c r="Q2559" s="14"/>
      <c r="R2559" s="14"/>
      <c r="S2559" s="14"/>
      <c r="T2559" s="14"/>
      <c r="U2559" s="15"/>
      <c r="V2559" s="14"/>
      <c r="W2559" s="14"/>
      <c r="X2559" s="14"/>
      <c r="Y2559" s="14"/>
      <c r="Z2559" s="14"/>
    </row>
    <row r="2560" spans="1:26" ht="13.2">
      <c r="A2560" s="13"/>
      <c r="B2560" s="14"/>
      <c r="C2560" s="14"/>
      <c r="D2560" s="14"/>
      <c r="E2560" s="14"/>
      <c r="F2560" s="14"/>
      <c r="G2560" s="14"/>
      <c r="H2560" s="14"/>
      <c r="I2560" s="14"/>
      <c r="J2560" s="14"/>
      <c r="K2560" s="14"/>
      <c r="L2560" s="15"/>
      <c r="M2560" s="15"/>
      <c r="N2560" s="15"/>
      <c r="O2560" s="15"/>
      <c r="P2560" s="15"/>
      <c r="Q2560" s="14"/>
      <c r="R2560" s="14"/>
      <c r="S2560" s="14"/>
      <c r="T2560" s="14"/>
      <c r="U2560" s="15"/>
      <c r="V2560" s="14"/>
      <c r="W2560" s="14"/>
      <c r="X2560" s="14"/>
      <c r="Y2560" s="14"/>
      <c r="Z2560" s="14"/>
    </row>
    <row r="2561" spans="1:26" ht="13.2">
      <c r="A2561" s="13"/>
      <c r="B2561" s="14"/>
      <c r="C2561" s="14"/>
      <c r="D2561" s="14"/>
      <c r="E2561" s="14"/>
      <c r="F2561" s="14"/>
      <c r="G2561" s="14"/>
      <c r="H2561" s="14"/>
      <c r="I2561" s="14"/>
      <c r="J2561" s="14"/>
      <c r="K2561" s="14"/>
      <c r="L2561" s="15"/>
      <c r="M2561" s="15"/>
      <c r="N2561" s="15"/>
      <c r="O2561" s="15"/>
      <c r="P2561" s="15"/>
      <c r="Q2561" s="14"/>
      <c r="R2561" s="14"/>
      <c r="S2561" s="14"/>
      <c r="T2561" s="14"/>
      <c r="U2561" s="15"/>
      <c r="V2561" s="14"/>
      <c r="W2561" s="14"/>
      <c r="X2561" s="14"/>
      <c r="Y2561" s="14"/>
      <c r="Z2561" s="14"/>
    </row>
    <row r="2562" spans="1:26" ht="13.2">
      <c r="A2562" s="13"/>
      <c r="B2562" s="14"/>
      <c r="C2562" s="14"/>
      <c r="D2562" s="14"/>
      <c r="E2562" s="14"/>
      <c r="F2562" s="14"/>
      <c r="G2562" s="14"/>
      <c r="H2562" s="14"/>
      <c r="I2562" s="14"/>
      <c r="J2562" s="14"/>
      <c r="K2562" s="14"/>
      <c r="L2562" s="15"/>
      <c r="M2562" s="15"/>
      <c r="N2562" s="15"/>
      <c r="O2562" s="15"/>
      <c r="P2562" s="15"/>
      <c r="Q2562" s="14"/>
      <c r="R2562" s="14"/>
      <c r="S2562" s="14"/>
      <c r="T2562" s="14"/>
      <c r="U2562" s="15"/>
      <c r="V2562" s="14"/>
      <c r="W2562" s="14"/>
      <c r="X2562" s="14"/>
      <c r="Y2562" s="14"/>
      <c r="Z2562" s="14"/>
    </row>
    <row r="2563" spans="1:26" ht="13.2">
      <c r="A2563" s="13"/>
      <c r="B2563" s="14"/>
      <c r="C2563" s="14"/>
      <c r="D2563" s="14"/>
      <c r="E2563" s="14"/>
      <c r="F2563" s="14"/>
      <c r="G2563" s="14"/>
      <c r="H2563" s="14"/>
      <c r="I2563" s="14"/>
      <c r="J2563" s="14"/>
      <c r="K2563" s="14"/>
      <c r="L2563" s="15"/>
      <c r="M2563" s="15"/>
      <c r="N2563" s="15"/>
      <c r="O2563" s="15"/>
      <c r="P2563" s="15"/>
      <c r="Q2563" s="14"/>
      <c r="R2563" s="14"/>
      <c r="S2563" s="14"/>
      <c r="T2563" s="14"/>
      <c r="U2563" s="15"/>
      <c r="V2563" s="14"/>
      <c r="W2563" s="14"/>
      <c r="X2563" s="14"/>
      <c r="Y2563" s="14"/>
      <c r="Z2563" s="14"/>
    </row>
    <row r="2564" spans="1:26" ht="13.2">
      <c r="A2564" s="13"/>
      <c r="B2564" s="14"/>
      <c r="C2564" s="14"/>
      <c r="D2564" s="14"/>
      <c r="E2564" s="14"/>
      <c r="F2564" s="14"/>
      <c r="G2564" s="14"/>
      <c r="H2564" s="14"/>
      <c r="I2564" s="14"/>
      <c r="J2564" s="14"/>
      <c r="K2564" s="14"/>
      <c r="L2564" s="15"/>
      <c r="M2564" s="15"/>
      <c r="N2564" s="15"/>
      <c r="O2564" s="15"/>
      <c r="P2564" s="15"/>
      <c r="Q2564" s="14"/>
      <c r="R2564" s="14"/>
      <c r="S2564" s="14"/>
      <c r="T2564" s="14"/>
      <c r="U2564" s="15"/>
      <c r="V2564" s="14"/>
      <c r="W2564" s="14"/>
      <c r="X2564" s="14"/>
      <c r="Y2564" s="14"/>
      <c r="Z2564" s="14"/>
    </row>
    <row r="2565" spans="1:26" ht="13.2">
      <c r="A2565" s="13"/>
      <c r="B2565" s="14"/>
      <c r="C2565" s="14"/>
      <c r="D2565" s="14"/>
      <c r="E2565" s="14"/>
      <c r="F2565" s="14"/>
      <c r="G2565" s="14"/>
      <c r="H2565" s="14"/>
      <c r="I2565" s="14"/>
      <c r="J2565" s="14"/>
      <c r="K2565" s="14"/>
      <c r="L2565" s="15"/>
      <c r="M2565" s="15"/>
      <c r="N2565" s="15"/>
      <c r="O2565" s="15"/>
      <c r="P2565" s="15"/>
      <c r="Q2565" s="14"/>
      <c r="R2565" s="14"/>
      <c r="S2565" s="14"/>
      <c r="T2565" s="14"/>
      <c r="U2565" s="15"/>
      <c r="V2565" s="14"/>
      <c r="W2565" s="14"/>
      <c r="X2565" s="14"/>
      <c r="Y2565" s="14"/>
      <c r="Z2565" s="14"/>
    </row>
    <row r="2566" spans="1:26" ht="13.2">
      <c r="A2566" s="13"/>
      <c r="B2566" s="14"/>
      <c r="C2566" s="14"/>
      <c r="D2566" s="14"/>
      <c r="E2566" s="14"/>
      <c r="F2566" s="14"/>
      <c r="G2566" s="14"/>
      <c r="H2566" s="14"/>
      <c r="I2566" s="14"/>
      <c r="J2566" s="14"/>
      <c r="K2566" s="14"/>
      <c r="L2566" s="15"/>
      <c r="M2566" s="15"/>
      <c r="N2566" s="15"/>
      <c r="O2566" s="15"/>
      <c r="P2566" s="15"/>
      <c r="Q2566" s="14"/>
      <c r="R2566" s="14"/>
      <c r="S2566" s="14"/>
      <c r="T2566" s="14"/>
      <c r="U2566" s="15"/>
      <c r="V2566" s="14"/>
      <c r="W2566" s="14"/>
      <c r="X2566" s="14"/>
      <c r="Y2566" s="14"/>
      <c r="Z2566" s="14"/>
    </row>
    <row r="2567" spans="1:26" ht="13.2">
      <c r="A2567" s="13"/>
      <c r="B2567" s="14"/>
      <c r="C2567" s="14"/>
      <c r="D2567" s="14"/>
      <c r="E2567" s="14"/>
      <c r="F2567" s="14"/>
      <c r="G2567" s="14"/>
      <c r="H2567" s="14"/>
      <c r="I2567" s="14"/>
      <c r="J2567" s="14"/>
      <c r="K2567" s="14"/>
      <c r="L2567" s="15"/>
      <c r="M2567" s="15"/>
      <c r="N2567" s="15"/>
      <c r="O2567" s="15"/>
      <c r="P2567" s="15"/>
      <c r="Q2567" s="14"/>
      <c r="R2567" s="14"/>
      <c r="S2567" s="14"/>
      <c r="T2567" s="14"/>
      <c r="U2567" s="15"/>
      <c r="V2567" s="14"/>
      <c r="W2567" s="14"/>
      <c r="X2567" s="14"/>
      <c r="Y2567" s="14"/>
      <c r="Z2567" s="14"/>
    </row>
    <row r="2568" spans="1:26" ht="13.2">
      <c r="A2568" s="13"/>
      <c r="B2568" s="14"/>
      <c r="C2568" s="14"/>
      <c r="D2568" s="14"/>
      <c r="E2568" s="14"/>
      <c r="F2568" s="14"/>
      <c r="G2568" s="14"/>
      <c r="H2568" s="14"/>
      <c r="I2568" s="14"/>
      <c r="J2568" s="14"/>
      <c r="K2568" s="14"/>
      <c r="L2568" s="15"/>
      <c r="M2568" s="15"/>
      <c r="N2568" s="15"/>
      <c r="O2568" s="15"/>
      <c r="P2568" s="15"/>
      <c r="Q2568" s="14"/>
      <c r="R2568" s="14"/>
      <c r="S2568" s="14"/>
      <c r="T2568" s="14"/>
      <c r="U2568" s="15"/>
      <c r="V2568" s="14"/>
      <c r="W2568" s="14"/>
      <c r="X2568" s="14"/>
      <c r="Y2568" s="14"/>
      <c r="Z2568" s="14"/>
    </row>
    <row r="2569" spans="1:26" ht="13.2">
      <c r="A2569" s="13"/>
      <c r="B2569" s="14"/>
      <c r="C2569" s="14"/>
      <c r="D2569" s="14"/>
      <c r="E2569" s="14"/>
      <c r="F2569" s="14"/>
      <c r="G2569" s="14"/>
      <c r="H2569" s="14"/>
      <c r="I2569" s="14"/>
      <c r="J2569" s="14"/>
      <c r="K2569" s="14"/>
      <c r="L2569" s="15"/>
      <c r="M2569" s="15"/>
      <c r="N2569" s="15"/>
      <c r="O2569" s="15"/>
      <c r="P2569" s="15"/>
      <c r="Q2569" s="14"/>
      <c r="R2569" s="14"/>
      <c r="S2569" s="14"/>
      <c r="T2569" s="14"/>
      <c r="U2569" s="15"/>
      <c r="V2569" s="14"/>
      <c r="W2569" s="14"/>
      <c r="X2569" s="14"/>
      <c r="Y2569" s="14"/>
      <c r="Z2569" s="14"/>
    </row>
    <row r="2570" spans="1:26" ht="13.2">
      <c r="A2570" s="13"/>
      <c r="B2570" s="14"/>
      <c r="C2570" s="14"/>
      <c r="D2570" s="14"/>
      <c r="E2570" s="14"/>
      <c r="F2570" s="14"/>
      <c r="G2570" s="14"/>
      <c r="H2570" s="14"/>
      <c r="I2570" s="14"/>
      <c r="J2570" s="14"/>
      <c r="K2570" s="14"/>
      <c r="L2570" s="15"/>
      <c r="M2570" s="15"/>
      <c r="N2570" s="15"/>
      <c r="O2570" s="15"/>
      <c r="P2570" s="15"/>
      <c r="Q2570" s="14"/>
      <c r="R2570" s="14"/>
      <c r="S2570" s="14"/>
      <c r="T2570" s="14"/>
      <c r="U2570" s="15"/>
      <c r="V2570" s="14"/>
      <c r="W2570" s="14"/>
      <c r="X2570" s="14"/>
      <c r="Y2570" s="14"/>
      <c r="Z2570" s="14"/>
    </row>
    <row r="2571" spans="1:26" ht="13.2">
      <c r="A2571" s="13"/>
      <c r="B2571" s="14"/>
      <c r="C2571" s="14"/>
      <c r="D2571" s="14"/>
      <c r="E2571" s="14"/>
      <c r="F2571" s="14"/>
      <c r="G2571" s="14"/>
      <c r="H2571" s="14"/>
      <c r="I2571" s="14"/>
      <c r="J2571" s="14"/>
      <c r="K2571" s="14"/>
      <c r="L2571" s="15"/>
      <c r="M2571" s="15"/>
      <c r="N2571" s="15"/>
      <c r="O2571" s="15"/>
      <c r="P2571" s="15"/>
      <c r="Q2571" s="14"/>
      <c r="R2571" s="14"/>
      <c r="S2571" s="14"/>
      <c r="T2571" s="14"/>
      <c r="U2571" s="15"/>
      <c r="V2571" s="14"/>
      <c r="W2571" s="14"/>
      <c r="X2571" s="14"/>
      <c r="Y2571" s="14"/>
      <c r="Z2571" s="14"/>
    </row>
    <row r="2572" spans="1:26" ht="13.2">
      <c r="A2572" s="13"/>
      <c r="B2572" s="14"/>
      <c r="C2572" s="14"/>
      <c r="D2572" s="14"/>
      <c r="E2572" s="14"/>
      <c r="F2572" s="14"/>
      <c r="G2572" s="14"/>
      <c r="H2572" s="14"/>
      <c r="I2572" s="14"/>
      <c r="J2572" s="14"/>
      <c r="K2572" s="14"/>
      <c r="L2572" s="15"/>
      <c r="M2572" s="15"/>
      <c r="N2572" s="15"/>
      <c r="O2572" s="15"/>
      <c r="P2572" s="15"/>
      <c r="Q2572" s="14"/>
      <c r="R2572" s="14"/>
      <c r="S2572" s="14"/>
      <c r="T2572" s="14"/>
      <c r="U2572" s="15"/>
      <c r="V2572" s="14"/>
      <c r="W2572" s="14"/>
      <c r="X2572" s="14"/>
      <c r="Y2572" s="14"/>
      <c r="Z2572" s="14"/>
    </row>
    <row r="2573" spans="1:26" ht="13.2">
      <c r="A2573" s="13"/>
      <c r="B2573" s="14"/>
      <c r="C2573" s="14"/>
      <c r="D2573" s="14"/>
      <c r="E2573" s="14"/>
      <c r="F2573" s="14"/>
      <c r="G2573" s="14"/>
      <c r="H2573" s="14"/>
      <c r="I2573" s="14"/>
      <c r="J2573" s="14"/>
      <c r="K2573" s="14"/>
      <c r="L2573" s="15"/>
      <c r="M2573" s="15"/>
      <c r="N2573" s="15"/>
      <c r="O2573" s="15"/>
      <c r="P2573" s="15"/>
      <c r="Q2573" s="14"/>
      <c r="R2573" s="14"/>
      <c r="S2573" s="14"/>
      <c r="T2573" s="14"/>
      <c r="U2573" s="15"/>
      <c r="V2573" s="14"/>
      <c r="W2573" s="14"/>
      <c r="X2573" s="14"/>
      <c r="Y2573" s="14"/>
      <c r="Z2573" s="14"/>
    </row>
    <row r="2574" spans="1:26" ht="13.2">
      <c r="A2574" s="13"/>
      <c r="B2574" s="14"/>
      <c r="C2574" s="14"/>
      <c r="D2574" s="14"/>
      <c r="E2574" s="14"/>
      <c r="F2574" s="14"/>
      <c r="G2574" s="14"/>
      <c r="H2574" s="14"/>
      <c r="I2574" s="14"/>
      <c r="J2574" s="14"/>
      <c r="K2574" s="14"/>
      <c r="L2574" s="15"/>
      <c r="M2574" s="15"/>
      <c r="N2574" s="15"/>
      <c r="O2574" s="15"/>
      <c r="P2574" s="15"/>
      <c r="Q2574" s="14"/>
      <c r="R2574" s="14"/>
      <c r="S2574" s="14"/>
      <c r="T2574" s="14"/>
      <c r="U2574" s="15"/>
      <c r="V2574" s="14"/>
      <c r="W2574" s="14"/>
      <c r="X2574" s="14"/>
      <c r="Y2574" s="14"/>
      <c r="Z2574" s="14"/>
    </row>
    <row r="2575" spans="1:26" ht="13.2">
      <c r="A2575" s="13"/>
      <c r="B2575" s="14"/>
      <c r="C2575" s="14"/>
      <c r="D2575" s="14"/>
      <c r="E2575" s="14"/>
      <c r="F2575" s="14"/>
      <c r="G2575" s="14"/>
      <c r="H2575" s="14"/>
      <c r="I2575" s="14"/>
      <c r="J2575" s="14"/>
      <c r="K2575" s="14"/>
      <c r="L2575" s="15"/>
      <c r="M2575" s="15"/>
      <c r="N2575" s="15"/>
      <c r="O2575" s="15"/>
      <c r="P2575" s="15"/>
      <c r="Q2575" s="14"/>
      <c r="R2575" s="14"/>
      <c r="S2575" s="14"/>
      <c r="T2575" s="14"/>
      <c r="U2575" s="15"/>
      <c r="V2575" s="14"/>
      <c r="W2575" s="14"/>
      <c r="X2575" s="14"/>
      <c r="Y2575" s="14"/>
      <c r="Z2575" s="14"/>
    </row>
    <row r="2576" spans="1:26" ht="13.2">
      <c r="A2576" s="13"/>
      <c r="B2576" s="14"/>
      <c r="C2576" s="14"/>
      <c r="D2576" s="14"/>
      <c r="E2576" s="14"/>
      <c r="F2576" s="14"/>
      <c r="G2576" s="14"/>
      <c r="H2576" s="14"/>
      <c r="I2576" s="14"/>
      <c r="J2576" s="14"/>
      <c r="K2576" s="14"/>
      <c r="L2576" s="15"/>
      <c r="M2576" s="15"/>
      <c r="N2576" s="15"/>
      <c r="O2576" s="15"/>
      <c r="P2576" s="15"/>
      <c r="Q2576" s="14"/>
      <c r="R2576" s="14"/>
      <c r="S2576" s="14"/>
      <c r="T2576" s="14"/>
      <c r="U2576" s="15"/>
      <c r="V2576" s="14"/>
      <c r="W2576" s="14"/>
      <c r="X2576" s="14"/>
      <c r="Y2576" s="14"/>
      <c r="Z2576" s="14"/>
    </row>
    <row r="2577" spans="1:26" ht="13.2">
      <c r="A2577" s="13"/>
      <c r="B2577" s="14"/>
      <c r="C2577" s="14"/>
      <c r="D2577" s="14"/>
      <c r="E2577" s="14"/>
      <c r="F2577" s="14"/>
      <c r="G2577" s="14"/>
      <c r="H2577" s="14"/>
      <c r="I2577" s="14"/>
      <c r="J2577" s="14"/>
      <c r="K2577" s="14"/>
      <c r="L2577" s="15"/>
      <c r="M2577" s="15"/>
      <c r="N2577" s="15"/>
      <c r="O2577" s="15"/>
      <c r="P2577" s="15"/>
      <c r="Q2577" s="14"/>
      <c r="R2577" s="14"/>
      <c r="S2577" s="14"/>
      <c r="T2577" s="14"/>
      <c r="U2577" s="15"/>
      <c r="V2577" s="14"/>
      <c r="W2577" s="14"/>
      <c r="X2577" s="14"/>
      <c r="Y2577" s="14"/>
      <c r="Z2577" s="14"/>
    </row>
    <row r="2578" spans="1:26" ht="13.2">
      <c r="A2578" s="13"/>
      <c r="B2578" s="14"/>
      <c r="C2578" s="14"/>
      <c r="D2578" s="14"/>
      <c r="E2578" s="14"/>
      <c r="F2578" s="14"/>
      <c r="G2578" s="14"/>
      <c r="H2578" s="14"/>
      <c r="I2578" s="14"/>
      <c r="J2578" s="14"/>
      <c r="K2578" s="14"/>
      <c r="L2578" s="15"/>
      <c r="M2578" s="15"/>
      <c r="N2578" s="15"/>
      <c r="O2578" s="15"/>
      <c r="P2578" s="15"/>
      <c r="Q2578" s="14"/>
      <c r="R2578" s="14"/>
      <c r="S2578" s="14"/>
      <c r="T2578" s="14"/>
      <c r="U2578" s="15"/>
      <c r="V2578" s="14"/>
      <c r="W2578" s="14"/>
      <c r="X2578" s="14"/>
      <c r="Y2578" s="14"/>
      <c r="Z2578" s="14"/>
    </row>
    <row r="2579" spans="1:26" ht="13.2">
      <c r="A2579" s="13"/>
      <c r="B2579" s="14"/>
      <c r="C2579" s="14"/>
      <c r="D2579" s="14"/>
      <c r="E2579" s="14"/>
      <c r="F2579" s="14"/>
      <c r="G2579" s="14"/>
      <c r="H2579" s="14"/>
      <c r="I2579" s="14"/>
      <c r="J2579" s="14"/>
      <c r="K2579" s="14"/>
      <c r="L2579" s="15"/>
      <c r="M2579" s="15"/>
      <c r="N2579" s="15"/>
      <c r="O2579" s="15"/>
      <c r="P2579" s="15"/>
      <c r="Q2579" s="14"/>
      <c r="R2579" s="14"/>
      <c r="S2579" s="14"/>
      <c r="T2579" s="14"/>
      <c r="U2579" s="15"/>
      <c r="V2579" s="14"/>
      <c r="W2579" s="14"/>
      <c r="X2579" s="14"/>
      <c r="Y2579" s="14"/>
      <c r="Z2579" s="14"/>
    </row>
    <row r="2580" spans="1:26" ht="13.2">
      <c r="A2580" s="13"/>
      <c r="B2580" s="14"/>
      <c r="C2580" s="14"/>
      <c r="D2580" s="14"/>
      <c r="E2580" s="14"/>
      <c r="F2580" s="14"/>
      <c r="G2580" s="14"/>
      <c r="H2580" s="14"/>
      <c r="I2580" s="14"/>
      <c r="J2580" s="14"/>
      <c r="K2580" s="14"/>
      <c r="L2580" s="15"/>
      <c r="M2580" s="15"/>
      <c r="N2580" s="15"/>
      <c r="O2580" s="15"/>
      <c r="P2580" s="15"/>
      <c r="Q2580" s="14"/>
      <c r="R2580" s="14"/>
      <c r="S2580" s="14"/>
      <c r="T2580" s="14"/>
      <c r="U2580" s="15"/>
      <c r="V2580" s="14"/>
      <c r="W2580" s="14"/>
      <c r="X2580" s="14"/>
      <c r="Y2580" s="14"/>
      <c r="Z2580" s="14"/>
    </row>
    <row r="2581" spans="1:26" ht="13.2">
      <c r="A2581" s="13"/>
      <c r="B2581" s="14"/>
      <c r="C2581" s="14"/>
      <c r="D2581" s="14"/>
      <c r="E2581" s="14"/>
      <c r="F2581" s="14"/>
      <c r="G2581" s="14"/>
      <c r="H2581" s="14"/>
      <c r="I2581" s="14"/>
      <c r="J2581" s="14"/>
      <c r="K2581" s="14"/>
      <c r="L2581" s="15"/>
      <c r="M2581" s="15"/>
      <c r="N2581" s="15"/>
      <c r="O2581" s="15"/>
      <c r="P2581" s="15"/>
      <c r="Q2581" s="14"/>
      <c r="R2581" s="14"/>
      <c r="S2581" s="14"/>
      <c r="T2581" s="14"/>
      <c r="U2581" s="15"/>
      <c r="V2581" s="14"/>
      <c r="W2581" s="14"/>
      <c r="X2581" s="14"/>
      <c r="Y2581" s="14"/>
      <c r="Z2581" s="14"/>
    </row>
    <row r="2582" spans="1:26" ht="13.2">
      <c r="A2582" s="13"/>
      <c r="B2582" s="14"/>
      <c r="C2582" s="14"/>
      <c r="D2582" s="14"/>
      <c r="E2582" s="14"/>
      <c r="F2582" s="14"/>
      <c r="G2582" s="14"/>
      <c r="H2582" s="14"/>
      <c r="I2582" s="14"/>
      <c r="J2582" s="14"/>
      <c r="K2582" s="14"/>
      <c r="L2582" s="15"/>
      <c r="M2582" s="15"/>
      <c r="N2582" s="15"/>
      <c r="O2582" s="15"/>
      <c r="P2582" s="15"/>
      <c r="Q2582" s="14"/>
      <c r="R2582" s="14"/>
      <c r="S2582" s="14"/>
      <c r="T2582" s="14"/>
      <c r="U2582" s="15"/>
      <c r="V2582" s="14"/>
      <c r="W2582" s="14"/>
      <c r="X2582" s="14"/>
      <c r="Y2582" s="14"/>
      <c r="Z2582" s="14"/>
    </row>
    <row r="2583" spans="1:26" ht="13.2">
      <c r="A2583" s="13"/>
      <c r="B2583" s="14"/>
      <c r="C2583" s="14"/>
      <c r="D2583" s="14"/>
      <c r="E2583" s="14"/>
      <c r="F2583" s="14"/>
      <c r="G2583" s="14"/>
      <c r="H2583" s="14"/>
      <c r="I2583" s="14"/>
      <c r="J2583" s="14"/>
      <c r="K2583" s="14"/>
      <c r="L2583" s="15"/>
      <c r="M2583" s="15"/>
      <c r="N2583" s="15"/>
      <c r="O2583" s="15"/>
      <c r="P2583" s="15"/>
      <c r="Q2583" s="14"/>
      <c r="R2583" s="14"/>
      <c r="S2583" s="14"/>
      <c r="T2583" s="14"/>
      <c r="U2583" s="15"/>
      <c r="V2583" s="14"/>
      <c r="W2583" s="14"/>
      <c r="X2583" s="14"/>
      <c r="Y2583" s="14"/>
      <c r="Z2583" s="14"/>
    </row>
    <row r="2584" spans="1:26" ht="13.2">
      <c r="A2584" s="13"/>
      <c r="B2584" s="14"/>
      <c r="C2584" s="14"/>
      <c r="D2584" s="14"/>
      <c r="E2584" s="14"/>
      <c r="F2584" s="14"/>
      <c r="G2584" s="14"/>
      <c r="H2584" s="14"/>
      <c r="I2584" s="14"/>
      <c r="J2584" s="14"/>
      <c r="K2584" s="14"/>
      <c r="L2584" s="15"/>
      <c r="M2584" s="15"/>
      <c r="N2584" s="15"/>
      <c r="O2584" s="15"/>
      <c r="P2584" s="15"/>
      <c r="Q2584" s="14"/>
      <c r="R2584" s="14"/>
      <c r="S2584" s="14"/>
      <c r="T2584" s="14"/>
      <c r="U2584" s="15"/>
      <c r="V2584" s="14"/>
      <c r="W2584" s="14"/>
      <c r="X2584" s="14"/>
      <c r="Y2584" s="14"/>
      <c r="Z2584" s="14"/>
    </row>
    <row r="2585" spans="1:26" ht="13.2">
      <c r="A2585" s="13"/>
      <c r="B2585" s="14"/>
      <c r="C2585" s="14"/>
      <c r="D2585" s="14"/>
      <c r="E2585" s="14"/>
      <c r="F2585" s="14"/>
      <c r="G2585" s="14"/>
      <c r="H2585" s="14"/>
      <c r="I2585" s="14"/>
      <c r="J2585" s="14"/>
      <c r="K2585" s="14"/>
      <c r="L2585" s="15"/>
      <c r="M2585" s="15"/>
      <c r="N2585" s="15"/>
      <c r="O2585" s="15"/>
      <c r="P2585" s="15"/>
      <c r="Q2585" s="14"/>
      <c r="R2585" s="14"/>
      <c r="S2585" s="14"/>
      <c r="T2585" s="14"/>
      <c r="U2585" s="15"/>
      <c r="V2585" s="14"/>
      <c r="W2585" s="14"/>
      <c r="X2585" s="14"/>
      <c r="Y2585" s="14"/>
      <c r="Z2585" s="14"/>
    </row>
    <row r="2586" spans="1:26" ht="13.2">
      <c r="A2586" s="13"/>
      <c r="B2586" s="14"/>
      <c r="C2586" s="14"/>
      <c r="D2586" s="14"/>
      <c r="E2586" s="14"/>
      <c r="F2586" s="14"/>
      <c r="G2586" s="14"/>
      <c r="H2586" s="14"/>
      <c r="I2586" s="14"/>
      <c r="J2586" s="14"/>
      <c r="K2586" s="14"/>
      <c r="L2586" s="15"/>
      <c r="M2586" s="15"/>
      <c r="N2586" s="15"/>
      <c r="O2586" s="15"/>
      <c r="P2586" s="15"/>
      <c r="Q2586" s="14"/>
      <c r="R2586" s="14"/>
      <c r="S2586" s="14"/>
      <c r="T2586" s="14"/>
      <c r="U2586" s="15"/>
      <c r="V2586" s="14"/>
      <c r="W2586" s="14"/>
      <c r="X2586" s="14"/>
      <c r="Y2586" s="14"/>
      <c r="Z2586" s="14"/>
    </row>
    <row r="2587" spans="1:26" ht="13.2">
      <c r="A2587" s="13"/>
      <c r="B2587" s="14"/>
      <c r="C2587" s="14"/>
      <c r="D2587" s="14"/>
      <c r="E2587" s="14"/>
      <c r="F2587" s="14"/>
      <c r="G2587" s="14"/>
      <c r="H2587" s="14"/>
      <c r="I2587" s="14"/>
      <c r="J2587" s="14"/>
      <c r="K2587" s="14"/>
      <c r="L2587" s="15"/>
      <c r="M2587" s="15"/>
      <c r="N2587" s="15"/>
      <c r="O2587" s="15"/>
      <c r="P2587" s="15"/>
      <c r="Q2587" s="14"/>
      <c r="R2587" s="14"/>
      <c r="S2587" s="14"/>
      <c r="T2587" s="14"/>
      <c r="U2587" s="15"/>
      <c r="V2587" s="14"/>
      <c r="W2587" s="14"/>
      <c r="X2587" s="14"/>
      <c r="Y2587" s="14"/>
      <c r="Z2587" s="14"/>
    </row>
    <row r="2588" spans="1:26" ht="13.2">
      <c r="A2588" s="13"/>
      <c r="B2588" s="14"/>
      <c r="C2588" s="14"/>
      <c r="D2588" s="14"/>
      <c r="E2588" s="14"/>
      <c r="F2588" s="14"/>
      <c r="G2588" s="14"/>
      <c r="H2588" s="14"/>
      <c r="I2588" s="14"/>
      <c r="J2588" s="14"/>
      <c r="K2588" s="14"/>
      <c r="L2588" s="15"/>
      <c r="M2588" s="15"/>
      <c r="N2588" s="15"/>
      <c r="O2588" s="15"/>
      <c r="P2588" s="15"/>
      <c r="Q2588" s="14"/>
      <c r="R2588" s="14"/>
      <c r="S2588" s="14"/>
      <c r="T2588" s="14"/>
      <c r="U2588" s="15"/>
      <c r="V2588" s="14"/>
      <c r="W2588" s="14"/>
      <c r="X2588" s="14"/>
      <c r="Y2588" s="14"/>
      <c r="Z2588" s="14"/>
    </row>
    <row r="2589" spans="1:26" ht="13.2">
      <c r="A2589" s="13"/>
      <c r="B2589" s="14"/>
      <c r="C2589" s="14"/>
      <c r="D2589" s="14"/>
      <c r="E2589" s="14"/>
      <c r="F2589" s="14"/>
      <c r="G2589" s="14"/>
      <c r="H2589" s="14"/>
      <c r="I2589" s="14"/>
      <c r="J2589" s="14"/>
      <c r="K2589" s="14"/>
      <c r="L2589" s="15"/>
      <c r="M2589" s="15"/>
      <c r="N2589" s="15"/>
      <c r="O2589" s="15"/>
      <c r="P2589" s="15"/>
      <c r="Q2589" s="14"/>
      <c r="R2589" s="14"/>
      <c r="S2589" s="14"/>
      <c r="T2589" s="14"/>
      <c r="U2589" s="15"/>
      <c r="V2589" s="14"/>
      <c r="W2589" s="14"/>
      <c r="X2589" s="14"/>
      <c r="Y2589" s="14"/>
      <c r="Z2589" s="14"/>
    </row>
    <row r="2590" spans="1:26" ht="13.2">
      <c r="A2590" s="13"/>
      <c r="B2590" s="14"/>
      <c r="C2590" s="14"/>
      <c r="D2590" s="14"/>
      <c r="E2590" s="14"/>
      <c r="F2590" s="14"/>
      <c r="G2590" s="14"/>
      <c r="H2590" s="14"/>
      <c r="I2590" s="14"/>
      <c r="J2590" s="14"/>
      <c r="K2590" s="14"/>
      <c r="L2590" s="15"/>
      <c r="M2590" s="15"/>
      <c r="N2590" s="15"/>
      <c r="O2590" s="15"/>
      <c r="P2590" s="15"/>
      <c r="Q2590" s="14"/>
      <c r="R2590" s="14"/>
      <c r="S2590" s="14"/>
      <c r="T2590" s="14"/>
      <c r="U2590" s="15"/>
      <c r="V2590" s="14"/>
      <c r="W2590" s="14"/>
      <c r="X2590" s="14"/>
      <c r="Y2590" s="14"/>
      <c r="Z2590" s="14"/>
    </row>
    <row r="2591" spans="1:26" ht="13.2">
      <c r="A2591" s="13"/>
      <c r="B2591" s="14"/>
      <c r="C2591" s="14"/>
      <c r="D2591" s="14"/>
      <c r="E2591" s="14"/>
      <c r="F2591" s="14"/>
      <c r="G2591" s="14"/>
      <c r="H2591" s="14"/>
      <c r="I2591" s="14"/>
      <c r="J2591" s="14"/>
      <c r="K2591" s="14"/>
      <c r="L2591" s="15"/>
      <c r="M2591" s="15"/>
      <c r="N2591" s="15"/>
      <c r="O2591" s="15"/>
      <c r="P2591" s="15"/>
      <c r="Q2591" s="14"/>
      <c r="R2591" s="14"/>
      <c r="S2591" s="14"/>
      <c r="T2591" s="14"/>
      <c r="U2591" s="15"/>
      <c r="V2591" s="14"/>
      <c r="W2591" s="14"/>
      <c r="X2591" s="14"/>
      <c r="Y2591" s="14"/>
      <c r="Z2591" s="14"/>
    </row>
    <row r="2592" spans="1:26" ht="13.2">
      <c r="A2592" s="13"/>
      <c r="B2592" s="14"/>
      <c r="C2592" s="14"/>
      <c r="D2592" s="14"/>
      <c r="E2592" s="14"/>
      <c r="F2592" s="14"/>
      <c r="G2592" s="14"/>
      <c r="H2592" s="14"/>
      <c r="I2592" s="14"/>
      <c r="J2592" s="14"/>
      <c r="K2592" s="14"/>
      <c r="L2592" s="15"/>
      <c r="M2592" s="15"/>
      <c r="N2592" s="15"/>
      <c r="O2592" s="15"/>
      <c r="P2592" s="15"/>
      <c r="Q2592" s="14"/>
      <c r="R2592" s="14"/>
      <c r="S2592" s="14"/>
      <c r="T2592" s="14"/>
      <c r="U2592" s="15"/>
      <c r="V2592" s="14"/>
      <c r="W2592" s="14"/>
      <c r="X2592" s="14"/>
      <c r="Y2592" s="14"/>
      <c r="Z2592" s="14"/>
    </row>
    <row r="2593" spans="1:26" ht="13.2">
      <c r="A2593" s="13"/>
      <c r="B2593" s="14"/>
      <c r="C2593" s="14"/>
      <c r="D2593" s="14"/>
      <c r="E2593" s="14"/>
      <c r="F2593" s="14"/>
      <c r="G2593" s="14"/>
      <c r="H2593" s="14"/>
      <c r="I2593" s="14"/>
      <c r="J2593" s="14"/>
      <c r="K2593" s="14"/>
      <c r="L2593" s="15"/>
      <c r="M2593" s="15"/>
      <c r="N2593" s="15"/>
      <c r="O2593" s="15"/>
      <c r="P2593" s="15"/>
      <c r="Q2593" s="14"/>
      <c r="R2593" s="14"/>
      <c r="S2593" s="14"/>
      <c r="T2593" s="14"/>
      <c r="U2593" s="15"/>
      <c r="V2593" s="14"/>
      <c r="W2593" s="14"/>
      <c r="X2593" s="14"/>
      <c r="Y2593" s="14"/>
      <c r="Z2593" s="14"/>
    </row>
    <row r="2594" spans="1:26" ht="13.2">
      <c r="A2594" s="13"/>
      <c r="B2594" s="14"/>
      <c r="C2594" s="14"/>
      <c r="D2594" s="14"/>
      <c r="E2594" s="14"/>
      <c r="F2594" s="14"/>
      <c r="G2594" s="14"/>
      <c r="H2594" s="14"/>
      <c r="I2594" s="14"/>
      <c r="J2594" s="14"/>
      <c r="K2594" s="14"/>
      <c r="L2594" s="15"/>
      <c r="M2594" s="15"/>
      <c r="N2594" s="15"/>
      <c r="O2594" s="15"/>
      <c r="P2594" s="15"/>
      <c r="Q2594" s="14"/>
      <c r="R2594" s="14"/>
      <c r="S2594" s="14"/>
      <c r="T2594" s="14"/>
      <c r="U2594" s="15"/>
      <c r="V2594" s="14"/>
      <c r="W2594" s="14"/>
      <c r="X2594" s="14"/>
      <c r="Y2594" s="14"/>
      <c r="Z2594" s="14"/>
    </row>
    <row r="2595" spans="1:26" ht="13.2">
      <c r="A2595" s="13"/>
      <c r="B2595" s="14"/>
      <c r="C2595" s="14"/>
      <c r="D2595" s="14"/>
      <c r="E2595" s="14"/>
      <c r="F2595" s="14"/>
      <c r="G2595" s="14"/>
      <c r="H2595" s="14"/>
      <c r="I2595" s="14"/>
      <c r="J2595" s="14"/>
      <c r="K2595" s="14"/>
      <c r="L2595" s="15"/>
      <c r="M2595" s="15"/>
      <c r="N2595" s="15"/>
      <c r="O2595" s="15"/>
      <c r="P2595" s="15"/>
      <c r="Q2595" s="14"/>
      <c r="R2595" s="14"/>
      <c r="S2595" s="14"/>
      <c r="T2595" s="14"/>
      <c r="U2595" s="15"/>
      <c r="V2595" s="14"/>
      <c r="W2595" s="14"/>
      <c r="X2595" s="14"/>
      <c r="Y2595" s="14"/>
      <c r="Z2595" s="14"/>
    </row>
    <row r="2596" spans="1:26" ht="13.2">
      <c r="A2596" s="13"/>
      <c r="B2596" s="14"/>
      <c r="C2596" s="14"/>
      <c r="D2596" s="14"/>
      <c r="E2596" s="14"/>
      <c r="F2596" s="14"/>
      <c r="G2596" s="14"/>
      <c r="H2596" s="14"/>
      <c r="I2596" s="14"/>
      <c r="J2596" s="14"/>
      <c r="K2596" s="14"/>
      <c r="L2596" s="15"/>
      <c r="M2596" s="15"/>
      <c r="N2596" s="15"/>
      <c r="O2596" s="15"/>
      <c r="P2596" s="15"/>
      <c r="Q2596" s="14"/>
      <c r="R2596" s="14"/>
      <c r="S2596" s="14"/>
      <c r="T2596" s="14"/>
      <c r="U2596" s="15"/>
      <c r="V2596" s="14"/>
      <c r="W2596" s="14"/>
      <c r="X2596" s="14"/>
      <c r="Y2596" s="14"/>
      <c r="Z2596" s="14"/>
    </row>
    <row r="2597" spans="1:26" ht="13.2">
      <c r="A2597" s="13"/>
      <c r="B2597" s="14"/>
      <c r="C2597" s="14"/>
      <c r="D2597" s="14"/>
      <c r="E2597" s="14"/>
      <c r="F2597" s="14"/>
      <c r="G2597" s="14"/>
      <c r="H2597" s="14"/>
      <c r="I2597" s="14"/>
      <c r="J2597" s="14"/>
      <c r="K2597" s="14"/>
      <c r="L2597" s="15"/>
      <c r="M2597" s="15"/>
      <c r="N2597" s="15"/>
      <c r="O2597" s="15"/>
      <c r="P2597" s="15"/>
      <c r="Q2597" s="14"/>
      <c r="R2597" s="14"/>
      <c r="S2597" s="14"/>
      <c r="T2597" s="14"/>
      <c r="U2597" s="15"/>
      <c r="V2597" s="14"/>
      <c r="W2597" s="14"/>
      <c r="X2597" s="14"/>
      <c r="Y2597" s="14"/>
      <c r="Z2597" s="14"/>
    </row>
    <row r="2598" spans="1:26" ht="13.2">
      <c r="A2598" s="13"/>
      <c r="B2598" s="14"/>
      <c r="C2598" s="14"/>
      <c r="D2598" s="14"/>
      <c r="E2598" s="14"/>
      <c r="F2598" s="14"/>
      <c r="G2598" s="14"/>
      <c r="H2598" s="14"/>
      <c r="I2598" s="14"/>
      <c r="J2598" s="14"/>
      <c r="K2598" s="14"/>
      <c r="L2598" s="15"/>
      <c r="M2598" s="15"/>
      <c r="N2598" s="15"/>
      <c r="O2598" s="15"/>
      <c r="P2598" s="15"/>
      <c r="Q2598" s="14"/>
      <c r="R2598" s="14"/>
      <c r="S2598" s="14"/>
      <c r="T2598" s="14"/>
      <c r="U2598" s="15"/>
      <c r="V2598" s="14"/>
      <c r="W2598" s="14"/>
      <c r="X2598" s="14"/>
      <c r="Y2598" s="14"/>
      <c r="Z2598" s="14"/>
    </row>
    <row r="2599" spans="1:26" ht="13.2">
      <c r="A2599" s="13"/>
      <c r="B2599" s="14"/>
      <c r="C2599" s="14"/>
      <c r="D2599" s="14"/>
      <c r="E2599" s="14"/>
      <c r="F2599" s="14"/>
      <c r="G2599" s="14"/>
      <c r="H2599" s="14"/>
      <c r="I2599" s="14"/>
      <c r="J2599" s="14"/>
      <c r="K2599" s="14"/>
      <c r="L2599" s="15"/>
      <c r="M2599" s="15"/>
      <c r="N2599" s="15"/>
      <c r="O2599" s="15"/>
      <c r="P2599" s="15"/>
      <c r="Q2599" s="14"/>
      <c r="R2599" s="14"/>
      <c r="S2599" s="14"/>
      <c r="T2599" s="14"/>
      <c r="U2599" s="15"/>
      <c r="V2599" s="14"/>
      <c r="W2599" s="14"/>
      <c r="X2599" s="14"/>
      <c r="Y2599" s="14"/>
      <c r="Z2599" s="14"/>
    </row>
    <row r="2600" spans="1:26" ht="13.2">
      <c r="A2600" s="13"/>
      <c r="B2600" s="14"/>
      <c r="C2600" s="14"/>
      <c r="D2600" s="14"/>
      <c r="E2600" s="14"/>
      <c r="F2600" s="14"/>
      <c r="G2600" s="14"/>
      <c r="H2600" s="14"/>
      <c r="I2600" s="14"/>
      <c r="J2600" s="14"/>
      <c r="K2600" s="14"/>
      <c r="L2600" s="15"/>
      <c r="M2600" s="15"/>
      <c r="N2600" s="15"/>
      <c r="O2600" s="15"/>
      <c r="P2600" s="15"/>
      <c r="Q2600" s="14"/>
      <c r="R2600" s="14"/>
      <c r="S2600" s="14"/>
      <c r="T2600" s="14"/>
      <c r="U2600" s="15"/>
      <c r="V2600" s="14"/>
      <c r="W2600" s="14"/>
      <c r="X2600" s="14"/>
      <c r="Y2600" s="14"/>
      <c r="Z2600" s="14"/>
    </row>
    <row r="2601" spans="1:26" ht="13.2">
      <c r="A2601" s="13"/>
      <c r="B2601" s="14"/>
      <c r="C2601" s="14"/>
      <c r="D2601" s="14"/>
      <c r="E2601" s="14"/>
      <c r="F2601" s="14"/>
      <c r="G2601" s="14"/>
      <c r="H2601" s="14"/>
      <c r="I2601" s="14"/>
      <c r="J2601" s="14"/>
      <c r="K2601" s="14"/>
      <c r="L2601" s="15"/>
      <c r="M2601" s="15"/>
      <c r="N2601" s="15"/>
      <c r="O2601" s="15"/>
      <c r="P2601" s="15"/>
      <c r="Q2601" s="14"/>
      <c r="R2601" s="14"/>
      <c r="S2601" s="14"/>
      <c r="T2601" s="14"/>
      <c r="U2601" s="15"/>
      <c r="V2601" s="14"/>
      <c r="W2601" s="14"/>
      <c r="X2601" s="14"/>
      <c r="Y2601" s="14"/>
      <c r="Z2601" s="14"/>
    </row>
    <row r="2602" spans="1:26" ht="13.2">
      <c r="A2602" s="13"/>
      <c r="B2602" s="14"/>
      <c r="C2602" s="14"/>
      <c r="D2602" s="14"/>
      <c r="E2602" s="14"/>
      <c r="F2602" s="14"/>
      <c r="G2602" s="14"/>
      <c r="H2602" s="14"/>
      <c r="I2602" s="14"/>
      <c r="J2602" s="14"/>
      <c r="K2602" s="14"/>
      <c r="L2602" s="15"/>
      <c r="M2602" s="15"/>
      <c r="N2602" s="15"/>
      <c r="O2602" s="15"/>
      <c r="P2602" s="15"/>
      <c r="Q2602" s="14"/>
      <c r="R2602" s="14"/>
      <c r="S2602" s="14"/>
      <c r="T2602" s="14"/>
      <c r="U2602" s="15"/>
      <c r="V2602" s="14"/>
      <c r="W2602" s="14"/>
      <c r="X2602" s="14"/>
      <c r="Y2602" s="14"/>
      <c r="Z2602" s="14"/>
    </row>
    <row r="2603" spans="1:26" ht="13.2">
      <c r="A2603" s="13"/>
      <c r="B2603" s="14"/>
      <c r="C2603" s="14"/>
      <c r="D2603" s="14"/>
      <c r="E2603" s="14"/>
      <c r="F2603" s="14"/>
      <c r="G2603" s="14"/>
      <c r="H2603" s="14"/>
      <c r="I2603" s="14"/>
      <c r="J2603" s="14"/>
      <c r="K2603" s="14"/>
      <c r="L2603" s="15"/>
      <c r="M2603" s="15"/>
      <c r="N2603" s="15"/>
      <c r="O2603" s="15"/>
      <c r="P2603" s="15"/>
      <c r="Q2603" s="14"/>
      <c r="R2603" s="14"/>
      <c r="S2603" s="14"/>
      <c r="T2603" s="14"/>
      <c r="U2603" s="15"/>
      <c r="V2603" s="14"/>
      <c r="W2603" s="14"/>
      <c r="X2603" s="14"/>
      <c r="Y2603" s="14"/>
      <c r="Z2603" s="14"/>
    </row>
    <row r="2604" spans="1:26" ht="13.2">
      <c r="A2604" s="13"/>
      <c r="B2604" s="14"/>
      <c r="C2604" s="14"/>
      <c r="D2604" s="14"/>
      <c r="E2604" s="14"/>
      <c r="F2604" s="14"/>
      <c r="G2604" s="14"/>
      <c r="H2604" s="14"/>
      <c r="I2604" s="14"/>
      <c r="J2604" s="14"/>
      <c r="K2604" s="14"/>
      <c r="L2604" s="15"/>
      <c r="M2604" s="15"/>
      <c r="N2604" s="15"/>
      <c r="O2604" s="15"/>
      <c r="P2604" s="15"/>
      <c r="Q2604" s="14"/>
      <c r="R2604" s="14"/>
      <c r="S2604" s="14"/>
      <c r="T2604" s="14"/>
      <c r="U2604" s="15"/>
      <c r="V2604" s="14"/>
      <c r="W2604" s="14"/>
      <c r="X2604" s="14"/>
      <c r="Y2604" s="14"/>
      <c r="Z2604" s="14"/>
    </row>
    <row r="2605" spans="1:26" ht="13.2">
      <c r="A2605" s="13"/>
      <c r="B2605" s="14"/>
      <c r="C2605" s="14"/>
      <c r="D2605" s="14"/>
      <c r="E2605" s="14"/>
      <c r="F2605" s="14"/>
      <c r="G2605" s="14"/>
      <c r="H2605" s="14"/>
      <c r="I2605" s="14"/>
      <c r="J2605" s="14"/>
      <c r="K2605" s="14"/>
      <c r="L2605" s="15"/>
      <c r="M2605" s="15"/>
      <c r="N2605" s="15"/>
      <c r="O2605" s="15"/>
      <c r="P2605" s="15"/>
      <c r="Q2605" s="14"/>
      <c r="R2605" s="14"/>
      <c r="S2605" s="14"/>
      <c r="T2605" s="14"/>
      <c r="U2605" s="15"/>
      <c r="V2605" s="14"/>
      <c r="W2605" s="14"/>
      <c r="X2605" s="14"/>
      <c r="Y2605" s="14"/>
      <c r="Z2605" s="14"/>
    </row>
    <row r="2606" spans="1:26" ht="13.2">
      <c r="A2606" s="13"/>
      <c r="B2606" s="14"/>
      <c r="C2606" s="14"/>
      <c r="D2606" s="14"/>
      <c r="E2606" s="14"/>
      <c r="F2606" s="14"/>
      <c r="G2606" s="14"/>
      <c r="H2606" s="14"/>
      <c r="I2606" s="14"/>
      <c r="J2606" s="14"/>
      <c r="K2606" s="14"/>
      <c r="L2606" s="15"/>
      <c r="M2606" s="15"/>
      <c r="N2606" s="15"/>
      <c r="O2606" s="15"/>
      <c r="P2606" s="15"/>
      <c r="Q2606" s="14"/>
      <c r="R2606" s="14"/>
      <c r="S2606" s="14"/>
      <c r="T2606" s="14"/>
      <c r="U2606" s="15"/>
      <c r="V2606" s="14"/>
      <c r="W2606" s="14"/>
      <c r="X2606" s="14"/>
      <c r="Y2606" s="14"/>
      <c r="Z2606" s="14"/>
    </row>
    <row r="2607" spans="1:26" ht="13.2">
      <c r="A2607" s="13"/>
      <c r="B2607" s="14"/>
      <c r="C2607" s="14"/>
      <c r="D2607" s="14"/>
      <c r="E2607" s="14"/>
      <c r="F2607" s="14"/>
      <c r="G2607" s="14"/>
      <c r="H2607" s="14"/>
      <c r="I2607" s="14"/>
      <c r="J2607" s="14"/>
      <c r="K2607" s="14"/>
      <c r="L2607" s="15"/>
      <c r="M2607" s="15"/>
      <c r="N2607" s="15"/>
      <c r="O2607" s="15"/>
      <c r="P2607" s="15"/>
      <c r="Q2607" s="14"/>
      <c r="R2607" s="14"/>
      <c r="S2607" s="14"/>
      <c r="T2607" s="14"/>
      <c r="U2607" s="15"/>
      <c r="V2607" s="14"/>
      <c r="W2607" s="14"/>
      <c r="X2607" s="14"/>
      <c r="Y2607" s="14"/>
      <c r="Z2607" s="14"/>
    </row>
    <row r="2608" spans="1:26" ht="13.2">
      <c r="A2608" s="13"/>
      <c r="B2608" s="14"/>
      <c r="C2608" s="14"/>
      <c r="D2608" s="14"/>
      <c r="E2608" s="14"/>
      <c r="F2608" s="14"/>
      <c r="G2608" s="14"/>
      <c r="H2608" s="14"/>
      <c r="I2608" s="14"/>
      <c r="J2608" s="14"/>
      <c r="K2608" s="14"/>
      <c r="L2608" s="15"/>
      <c r="M2608" s="15"/>
      <c r="N2608" s="15"/>
      <c r="O2608" s="15"/>
      <c r="P2608" s="15"/>
      <c r="Q2608" s="14"/>
      <c r="R2608" s="14"/>
      <c r="S2608" s="14"/>
      <c r="T2608" s="14"/>
      <c r="U2608" s="15"/>
      <c r="V2608" s="14"/>
      <c r="W2608" s="14"/>
      <c r="X2608" s="14"/>
      <c r="Y2608" s="14"/>
      <c r="Z2608" s="14"/>
    </row>
    <row r="2609" spans="1:26" ht="13.2">
      <c r="A2609" s="13"/>
      <c r="B2609" s="14"/>
      <c r="C2609" s="14"/>
      <c r="D2609" s="14"/>
      <c r="E2609" s="14"/>
      <c r="F2609" s="14"/>
      <c r="G2609" s="14"/>
      <c r="H2609" s="14"/>
      <c r="I2609" s="14"/>
      <c r="J2609" s="14"/>
      <c r="K2609" s="14"/>
      <c r="L2609" s="15"/>
      <c r="M2609" s="15"/>
      <c r="N2609" s="15"/>
      <c r="O2609" s="15"/>
      <c r="P2609" s="15"/>
      <c r="Q2609" s="14"/>
      <c r="R2609" s="14"/>
      <c r="S2609" s="14"/>
      <c r="T2609" s="14"/>
      <c r="U2609" s="15"/>
      <c r="V2609" s="14"/>
      <c r="W2609" s="14"/>
      <c r="X2609" s="14"/>
      <c r="Y2609" s="14"/>
      <c r="Z2609" s="14"/>
    </row>
    <row r="2610" spans="1:26" ht="13.2">
      <c r="A2610" s="13"/>
      <c r="B2610" s="14"/>
      <c r="C2610" s="14"/>
      <c r="D2610" s="14"/>
      <c r="E2610" s="14"/>
      <c r="F2610" s="14"/>
      <c r="G2610" s="14"/>
      <c r="H2610" s="14"/>
      <c r="I2610" s="14"/>
      <c r="J2610" s="14"/>
      <c r="K2610" s="14"/>
      <c r="L2610" s="15"/>
      <c r="M2610" s="15"/>
      <c r="N2610" s="15"/>
      <c r="O2610" s="15"/>
      <c r="P2610" s="15"/>
      <c r="Q2610" s="14"/>
      <c r="R2610" s="14"/>
      <c r="S2610" s="14"/>
      <c r="T2610" s="14"/>
      <c r="U2610" s="15"/>
      <c r="V2610" s="14"/>
      <c r="W2610" s="14"/>
      <c r="X2610" s="14"/>
      <c r="Y2610" s="14"/>
      <c r="Z2610" s="14"/>
    </row>
    <row r="2611" spans="1:26" ht="13.2">
      <c r="A2611" s="13"/>
      <c r="B2611" s="14"/>
      <c r="C2611" s="14"/>
      <c r="D2611" s="14"/>
      <c r="E2611" s="14"/>
      <c r="F2611" s="14"/>
      <c r="G2611" s="14"/>
      <c r="H2611" s="14"/>
      <c r="I2611" s="14"/>
      <c r="J2611" s="14"/>
      <c r="K2611" s="14"/>
      <c r="L2611" s="15"/>
      <c r="M2611" s="15"/>
      <c r="N2611" s="15"/>
      <c r="O2611" s="15"/>
      <c r="P2611" s="15"/>
      <c r="Q2611" s="14"/>
      <c r="R2611" s="14"/>
      <c r="S2611" s="14"/>
      <c r="T2611" s="14"/>
      <c r="U2611" s="15"/>
      <c r="V2611" s="14"/>
      <c r="W2611" s="14"/>
      <c r="X2611" s="14"/>
      <c r="Y2611" s="14"/>
      <c r="Z2611" s="14"/>
    </row>
    <row r="2612" spans="1:26" ht="13.2">
      <c r="A2612" s="13"/>
      <c r="B2612" s="14"/>
      <c r="C2612" s="14"/>
      <c r="D2612" s="14"/>
      <c r="E2612" s="14"/>
      <c r="F2612" s="14"/>
      <c r="G2612" s="14"/>
      <c r="H2612" s="14"/>
      <c r="I2612" s="14"/>
      <c r="J2612" s="14"/>
      <c r="K2612" s="14"/>
      <c r="L2612" s="15"/>
      <c r="M2612" s="15"/>
      <c r="N2612" s="15"/>
      <c r="O2612" s="15"/>
      <c r="P2612" s="15"/>
      <c r="Q2612" s="14"/>
      <c r="R2612" s="14"/>
      <c r="S2612" s="14"/>
      <c r="T2612" s="14"/>
      <c r="U2612" s="15"/>
      <c r="V2612" s="14"/>
      <c r="W2612" s="14"/>
      <c r="X2612" s="14"/>
      <c r="Y2612" s="14"/>
      <c r="Z2612" s="14"/>
    </row>
    <row r="2613" spans="1:26" ht="13.2">
      <c r="A2613" s="13"/>
      <c r="B2613" s="14"/>
      <c r="C2613" s="14"/>
      <c r="D2613" s="14"/>
      <c r="E2613" s="14"/>
      <c r="F2613" s="14"/>
      <c r="G2613" s="14"/>
      <c r="H2613" s="14"/>
      <c r="I2613" s="14"/>
      <c r="J2613" s="14"/>
      <c r="K2613" s="14"/>
      <c r="L2613" s="15"/>
      <c r="M2613" s="15"/>
      <c r="N2613" s="15"/>
      <c r="O2613" s="15"/>
      <c r="P2613" s="15"/>
      <c r="Q2613" s="14"/>
      <c r="R2613" s="14"/>
      <c r="S2613" s="14"/>
      <c r="T2613" s="14"/>
      <c r="U2613" s="15"/>
      <c r="V2613" s="14"/>
      <c r="W2613" s="14"/>
      <c r="X2613" s="14"/>
      <c r="Y2613" s="14"/>
      <c r="Z2613" s="14"/>
    </row>
    <row r="2614" spans="1:26" ht="13.2">
      <c r="A2614" s="13"/>
      <c r="B2614" s="14"/>
      <c r="C2614" s="14"/>
      <c r="D2614" s="14"/>
      <c r="E2614" s="14"/>
      <c r="F2614" s="14"/>
      <c r="G2614" s="14"/>
      <c r="H2614" s="14"/>
      <c r="I2614" s="14"/>
      <c r="J2614" s="14"/>
      <c r="K2614" s="14"/>
      <c r="L2614" s="15"/>
      <c r="M2614" s="15"/>
      <c r="N2614" s="15"/>
      <c r="O2614" s="15"/>
      <c r="P2614" s="15"/>
      <c r="Q2614" s="14"/>
      <c r="R2614" s="14"/>
      <c r="S2614" s="14"/>
      <c r="T2614" s="14"/>
      <c r="U2614" s="15"/>
      <c r="V2614" s="14"/>
      <c r="W2614" s="14"/>
      <c r="X2614" s="14"/>
      <c r="Y2614" s="14"/>
      <c r="Z2614" s="14"/>
    </row>
    <row r="2615" spans="1:26" ht="13.2">
      <c r="A2615" s="13"/>
      <c r="B2615" s="14"/>
      <c r="C2615" s="14"/>
      <c r="D2615" s="14"/>
      <c r="E2615" s="14"/>
      <c r="F2615" s="14"/>
      <c r="G2615" s="14"/>
      <c r="H2615" s="14"/>
      <c r="I2615" s="14"/>
      <c r="J2615" s="14"/>
      <c r="K2615" s="14"/>
      <c r="L2615" s="15"/>
      <c r="M2615" s="15"/>
      <c r="N2615" s="15"/>
      <c r="O2615" s="15"/>
      <c r="P2615" s="15"/>
      <c r="Q2615" s="14"/>
      <c r="R2615" s="14"/>
      <c r="S2615" s="14"/>
      <c r="T2615" s="14"/>
      <c r="U2615" s="15"/>
      <c r="V2615" s="14"/>
      <c r="W2615" s="14"/>
      <c r="X2615" s="14"/>
      <c r="Y2615" s="14"/>
      <c r="Z2615" s="14"/>
    </row>
    <row r="2616" spans="1:26" ht="13.2">
      <c r="A2616" s="13"/>
      <c r="B2616" s="14"/>
      <c r="C2616" s="14"/>
      <c r="D2616" s="14"/>
      <c r="E2616" s="14"/>
      <c r="F2616" s="14"/>
      <c r="G2616" s="14"/>
      <c r="H2616" s="14"/>
      <c r="I2616" s="14"/>
      <c r="J2616" s="14"/>
      <c r="K2616" s="14"/>
      <c r="L2616" s="15"/>
      <c r="M2616" s="15"/>
      <c r="N2616" s="15"/>
      <c r="O2616" s="15"/>
      <c r="P2616" s="15"/>
      <c r="Q2616" s="14"/>
      <c r="R2616" s="14"/>
      <c r="S2616" s="14"/>
      <c r="T2616" s="14"/>
      <c r="U2616" s="15"/>
      <c r="V2616" s="14"/>
      <c r="W2616" s="14"/>
      <c r="X2616" s="14"/>
      <c r="Y2616" s="14"/>
      <c r="Z2616" s="14"/>
    </row>
    <row r="2617" spans="1:26" ht="13.2">
      <c r="A2617" s="13"/>
      <c r="B2617" s="14"/>
      <c r="C2617" s="14"/>
      <c r="D2617" s="14"/>
      <c r="E2617" s="14"/>
      <c r="F2617" s="14"/>
      <c r="G2617" s="14"/>
      <c r="H2617" s="14"/>
      <c r="I2617" s="14"/>
      <c r="J2617" s="14"/>
      <c r="K2617" s="14"/>
      <c r="L2617" s="15"/>
      <c r="M2617" s="15"/>
      <c r="N2617" s="15"/>
      <c r="O2617" s="15"/>
      <c r="P2617" s="15"/>
      <c r="Q2617" s="14"/>
      <c r="R2617" s="14"/>
      <c r="S2617" s="14"/>
      <c r="T2617" s="14"/>
      <c r="U2617" s="15"/>
      <c r="V2617" s="14"/>
      <c r="W2617" s="14"/>
      <c r="X2617" s="14"/>
      <c r="Y2617" s="14"/>
      <c r="Z2617" s="14"/>
    </row>
    <row r="2618" spans="1:26" ht="13.2">
      <c r="A2618" s="13"/>
      <c r="B2618" s="14"/>
      <c r="C2618" s="14"/>
      <c r="D2618" s="14"/>
      <c r="E2618" s="14"/>
      <c r="F2618" s="14"/>
      <c r="G2618" s="14"/>
      <c r="H2618" s="14"/>
      <c r="I2618" s="14"/>
      <c r="J2618" s="14"/>
      <c r="K2618" s="14"/>
      <c r="L2618" s="15"/>
      <c r="M2618" s="15"/>
      <c r="N2618" s="15"/>
      <c r="O2618" s="15"/>
      <c r="P2618" s="15"/>
      <c r="Q2618" s="14"/>
      <c r="R2618" s="14"/>
      <c r="S2618" s="14"/>
      <c r="T2618" s="14"/>
      <c r="U2618" s="15"/>
      <c r="V2618" s="14"/>
      <c r="W2618" s="14"/>
      <c r="X2618" s="14"/>
      <c r="Y2618" s="14"/>
      <c r="Z2618" s="14"/>
    </row>
    <row r="2619" spans="1:26" ht="13.2">
      <c r="A2619" s="13"/>
      <c r="B2619" s="14"/>
      <c r="C2619" s="14"/>
      <c r="D2619" s="14"/>
      <c r="E2619" s="14"/>
      <c r="F2619" s="14"/>
      <c r="G2619" s="14"/>
      <c r="H2619" s="14"/>
      <c r="I2619" s="14"/>
      <c r="J2619" s="14"/>
      <c r="K2619" s="14"/>
      <c r="L2619" s="15"/>
      <c r="M2619" s="15"/>
      <c r="N2619" s="15"/>
      <c r="O2619" s="15"/>
      <c r="P2619" s="15"/>
      <c r="Q2619" s="14"/>
      <c r="R2619" s="14"/>
      <c r="S2619" s="14"/>
      <c r="T2619" s="14"/>
      <c r="U2619" s="15"/>
      <c r="V2619" s="14"/>
      <c r="W2619" s="14"/>
      <c r="X2619" s="14"/>
      <c r="Y2619" s="14"/>
      <c r="Z2619" s="14"/>
    </row>
    <row r="2620" spans="1:26" ht="13.2">
      <c r="A2620" s="13"/>
      <c r="B2620" s="14"/>
      <c r="C2620" s="14"/>
      <c r="D2620" s="14"/>
      <c r="E2620" s="14"/>
      <c r="F2620" s="14"/>
      <c r="G2620" s="14"/>
      <c r="H2620" s="14"/>
      <c r="I2620" s="14"/>
      <c r="J2620" s="14"/>
      <c r="K2620" s="14"/>
      <c r="L2620" s="15"/>
      <c r="M2620" s="15"/>
      <c r="N2620" s="15"/>
      <c r="O2620" s="15"/>
      <c r="P2620" s="15"/>
      <c r="Q2620" s="14"/>
      <c r="R2620" s="14"/>
      <c r="S2620" s="14"/>
      <c r="T2620" s="14"/>
      <c r="U2620" s="15"/>
      <c r="V2620" s="14"/>
      <c r="W2620" s="14"/>
      <c r="X2620" s="14"/>
      <c r="Y2620" s="14"/>
      <c r="Z2620" s="14"/>
    </row>
    <row r="2621" spans="1:26" ht="13.2">
      <c r="A2621" s="13"/>
      <c r="B2621" s="14"/>
      <c r="C2621" s="14"/>
      <c r="D2621" s="14"/>
      <c r="E2621" s="14"/>
      <c r="F2621" s="14"/>
      <c r="G2621" s="14"/>
      <c r="H2621" s="14"/>
      <c r="I2621" s="14"/>
      <c r="J2621" s="14"/>
      <c r="K2621" s="14"/>
      <c r="L2621" s="15"/>
      <c r="M2621" s="15"/>
      <c r="N2621" s="15"/>
      <c r="O2621" s="15"/>
      <c r="P2621" s="15"/>
      <c r="Q2621" s="14"/>
      <c r="R2621" s="14"/>
      <c r="S2621" s="14"/>
      <c r="T2621" s="14"/>
      <c r="U2621" s="15"/>
      <c r="V2621" s="14"/>
      <c r="W2621" s="14"/>
      <c r="X2621" s="14"/>
      <c r="Y2621" s="14"/>
      <c r="Z2621" s="14"/>
    </row>
    <row r="2622" spans="1:26" ht="13.2">
      <c r="A2622" s="13"/>
      <c r="B2622" s="14"/>
      <c r="C2622" s="14"/>
      <c r="D2622" s="14"/>
      <c r="E2622" s="14"/>
      <c r="F2622" s="14"/>
      <c r="G2622" s="14"/>
      <c r="H2622" s="14"/>
      <c r="I2622" s="14"/>
      <c r="J2622" s="14"/>
      <c r="K2622" s="14"/>
      <c r="L2622" s="15"/>
      <c r="M2622" s="15"/>
      <c r="N2622" s="15"/>
      <c r="O2622" s="15"/>
      <c r="P2622" s="15"/>
      <c r="Q2622" s="14"/>
      <c r="R2622" s="14"/>
      <c r="S2622" s="14"/>
      <c r="T2622" s="14"/>
      <c r="U2622" s="15"/>
      <c r="V2622" s="14"/>
      <c r="W2622" s="14"/>
      <c r="X2622" s="14"/>
      <c r="Y2622" s="14"/>
      <c r="Z2622" s="14"/>
    </row>
    <row r="2623" spans="1:26" ht="13.2">
      <c r="A2623" s="13"/>
      <c r="B2623" s="14"/>
      <c r="C2623" s="14"/>
      <c r="D2623" s="14"/>
      <c r="E2623" s="14"/>
      <c r="F2623" s="14"/>
      <c r="G2623" s="14"/>
      <c r="H2623" s="14"/>
      <c r="I2623" s="14"/>
      <c r="J2623" s="14"/>
      <c r="K2623" s="14"/>
      <c r="L2623" s="15"/>
      <c r="M2623" s="15"/>
      <c r="N2623" s="15"/>
      <c r="O2623" s="15"/>
      <c r="P2623" s="15"/>
      <c r="Q2623" s="14"/>
      <c r="R2623" s="14"/>
      <c r="S2623" s="14"/>
      <c r="T2623" s="14"/>
      <c r="U2623" s="15"/>
      <c r="V2623" s="14"/>
      <c r="W2623" s="14"/>
      <c r="X2623" s="14"/>
      <c r="Y2623" s="14"/>
      <c r="Z2623" s="14"/>
    </row>
    <row r="2624" spans="1:26" ht="13.2">
      <c r="A2624" s="13"/>
      <c r="B2624" s="14"/>
      <c r="C2624" s="14"/>
      <c r="D2624" s="14"/>
      <c r="E2624" s="14"/>
      <c r="F2624" s="14"/>
      <c r="G2624" s="14"/>
      <c r="H2624" s="14"/>
      <c r="I2624" s="14"/>
      <c r="J2624" s="14"/>
      <c r="K2624" s="14"/>
      <c r="L2624" s="15"/>
      <c r="M2624" s="15"/>
      <c r="N2624" s="15"/>
      <c r="O2624" s="15"/>
      <c r="P2624" s="15"/>
      <c r="Q2624" s="14"/>
      <c r="R2624" s="14"/>
      <c r="S2624" s="14"/>
      <c r="T2624" s="14"/>
      <c r="U2624" s="15"/>
      <c r="V2624" s="14"/>
      <c r="W2624" s="14"/>
      <c r="X2624" s="14"/>
      <c r="Y2624" s="14"/>
      <c r="Z2624" s="14"/>
    </row>
    <row r="2625" spans="1:26" ht="13.2">
      <c r="A2625" s="13"/>
      <c r="B2625" s="14"/>
      <c r="C2625" s="14"/>
      <c r="D2625" s="14"/>
      <c r="E2625" s="14"/>
      <c r="F2625" s="14"/>
      <c r="G2625" s="14"/>
      <c r="H2625" s="14"/>
      <c r="I2625" s="14"/>
      <c r="J2625" s="14"/>
      <c r="K2625" s="14"/>
      <c r="L2625" s="15"/>
      <c r="M2625" s="15"/>
      <c r="N2625" s="15"/>
      <c r="O2625" s="15"/>
      <c r="P2625" s="15"/>
      <c r="Q2625" s="14"/>
      <c r="R2625" s="14"/>
      <c r="S2625" s="14"/>
      <c r="T2625" s="14"/>
      <c r="U2625" s="15"/>
      <c r="V2625" s="14"/>
      <c r="W2625" s="14"/>
      <c r="X2625" s="14"/>
      <c r="Y2625" s="14"/>
      <c r="Z2625" s="14"/>
    </row>
    <row r="2626" spans="1:26" ht="13.2">
      <c r="A2626" s="13"/>
      <c r="B2626" s="14"/>
      <c r="C2626" s="14"/>
      <c r="D2626" s="14"/>
      <c r="E2626" s="14"/>
      <c r="F2626" s="14"/>
      <c r="G2626" s="14"/>
      <c r="H2626" s="14"/>
      <c r="I2626" s="14"/>
      <c r="J2626" s="14"/>
      <c r="K2626" s="14"/>
      <c r="L2626" s="15"/>
      <c r="M2626" s="15"/>
      <c r="N2626" s="15"/>
      <c r="O2626" s="15"/>
      <c r="P2626" s="15"/>
      <c r="Q2626" s="14"/>
      <c r="R2626" s="14"/>
      <c r="S2626" s="14"/>
      <c r="T2626" s="14"/>
      <c r="U2626" s="15"/>
      <c r="V2626" s="14"/>
      <c r="W2626" s="14"/>
      <c r="X2626" s="14"/>
      <c r="Y2626" s="14"/>
      <c r="Z2626" s="14"/>
    </row>
    <row r="2627" spans="1:26" ht="13.2">
      <c r="A2627" s="13"/>
      <c r="B2627" s="14"/>
      <c r="C2627" s="14"/>
      <c r="D2627" s="14"/>
      <c r="E2627" s="14"/>
      <c r="F2627" s="14"/>
      <c r="G2627" s="14"/>
      <c r="H2627" s="14"/>
      <c r="I2627" s="14"/>
      <c r="J2627" s="14"/>
      <c r="K2627" s="14"/>
      <c r="L2627" s="15"/>
      <c r="M2627" s="15"/>
      <c r="N2627" s="15"/>
      <c r="O2627" s="15"/>
      <c r="P2627" s="15"/>
      <c r="Q2627" s="14"/>
      <c r="R2627" s="14"/>
      <c r="S2627" s="14"/>
      <c r="T2627" s="14"/>
      <c r="U2627" s="15"/>
      <c r="V2627" s="14"/>
      <c r="W2627" s="14"/>
      <c r="X2627" s="14"/>
      <c r="Y2627" s="14"/>
      <c r="Z2627" s="14"/>
    </row>
    <row r="2628" spans="1:26" ht="13.2">
      <c r="A2628" s="13"/>
      <c r="B2628" s="14"/>
      <c r="C2628" s="14"/>
      <c r="D2628" s="14"/>
      <c r="E2628" s="14"/>
      <c r="F2628" s="14"/>
      <c r="G2628" s="14"/>
      <c r="H2628" s="14"/>
      <c r="I2628" s="14"/>
      <c r="J2628" s="14"/>
      <c r="K2628" s="14"/>
      <c r="L2628" s="15"/>
      <c r="M2628" s="15"/>
      <c r="N2628" s="15"/>
      <c r="O2628" s="15"/>
      <c r="P2628" s="15"/>
      <c r="Q2628" s="14"/>
      <c r="R2628" s="14"/>
      <c r="S2628" s="14"/>
      <c r="T2628" s="14"/>
      <c r="U2628" s="15"/>
      <c r="V2628" s="14"/>
      <c r="W2628" s="14"/>
      <c r="X2628" s="14"/>
      <c r="Y2628" s="14"/>
      <c r="Z2628" s="14"/>
    </row>
    <row r="2629" spans="1:26" ht="13.2">
      <c r="A2629" s="13"/>
      <c r="B2629" s="14"/>
      <c r="C2629" s="14"/>
      <c r="D2629" s="14"/>
      <c r="E2629" s="14"/>
      <c r="F2629" s="14"/>
      <c r="G2629" s="14"/>
      <c r="H2629" s="14"/>
      <c r="I2629" s="14"/>
      <c r="J2629" s="14"/>
      <c r="K2629" s="14"/>
      <c r="L2629" s="15"/>
      <c r="M2629" s="15"/>
      <c r="N2629" s="15"/>
      <c r="O2629" s="15"/>
      <c r="P2629" s="15"/>
      <c r="Q2629" s="14"/>
      <c r="R2629" s="14"/>
      <c r="S2629" s="14"/>
      <c r="T2629" s="14"/>
      <c r="U2629" s="15"/>
      <c r="V2629" s="14"/>
      <c r="W2629" s="14"/>
      <c r="X2629" s="14"/>
      <c r="Y2629" s="14"/>
      <c r="Z2629" s="14"/>
    </row>
    <row r="2630" spans="1:26" ht="13.2">
      <c r="A2630" s="13"/>
      <c r="B2630" s="14"/>
      <c r="C2630" s="14"/>
      <c r="D2630" s="14"/>
      <c r="E2630" s="14"/>
      <c r="F2630" s="14"/>
      <c r="G2630" s="14"/>
      <c r="H2630" s="14"/>
      <c r="I2630" s="14"/>
      <c r="J2630" s="14"/>
      <c r="K2630" s="14"/>
      <c r="L2630" s="15"/>
      <c r="M2630" s="15"/>
      <c r="N2630" s="15"/>
      <c r="O2630" s="15"/>
      <c r="P2630" s="15"/>
      <c r="Q2630" s="14"/>
      <c r="R2630" s="14"/>
      <c r="S2630" s="14"/>
      <c r="T2630" s="14"/>
      <c r="U2630" s="15"/>
      <c r="V2630" s="14"/>
      <c r="W2630" s="14"/>
      <c r="X2630" s="14"/>
      <c r="Y2630" s="14"/>
      <c r="Z2630" s="14"/>
    </row>
    <row r="2631" spans="1:26" ht="13.2">
      <c r="A2631" s="13"/>
      <c r="B2631" s="14"/>
      <c r="C2631" s="14"/>
      <c r="D2631" s="14"/>
      <c r="E2631" s="14"/>
      <c r="F2631" s="14"/>
      <c r="G2631" s="14"/>
      <c r="H2631" s="14"/>
      <c r="I2631" s="14"/>
      <c r="J2631" s="14"/>
      <c r="K2631" s="14"/>
      <c r="L2631" s="15"/>
      <c r="M2631" s="15"/>
      <c r="N2631" s="15"/>
      <c r="O2631" s="15"/>
      <c r="P2631" s="15"/>
      <c r="Q2631" s="14"/>
      <c r="R2631" s="14"/>
      <c r="S2631" s="14"/>
      <c r="T2631" s="14"/>
      <c r="U2631" s="15"/>
      <c r="V2631" s="14"/>
      <c r="W2631" s="14"/>
      <c r="X2631" s="14"/>
      <c r="Y2631" s="14"/>
      <c r="Z2631" s="14"/>
    </row>
    <row r="2632" spans="1:26" ht="13.2">
      <c r="A2632" s="13"/>
      <c r="B2632" s="14"/>
      <c r="C2632" s="14"/>
      <c r="D2632" s="14"/>
      <c r="E2632" s="14"/>
      <c r="F2632" s="14"/>
      <c r="G2632" s="14"/>
      <c r="H2632" s="14"/>
      <c r="I2632" s="14"/>
      <c r="J2632" s="14"/>
      <c r="K2632" s="14"/>
      <c r="L2632" s="15"/>
      <c r="M2632" s="15"/>
      <c r="N2632" s="15"/>
      <c r="O2632" s="15"/>
      <c r="P2632" s="15"/>
      <c r="Q2632" s="14"/>
      <c r="R2632" s="14"/>
      <c r="S2632" s="14"/>
      <c r="T2632" s="14"/>
      <c r="U2632" s="15"/>
      <c r="V2632" s="14"/>
      <c r="W2632" s="14"/>
      <c r="X2632" s="14"/>
      <c r="Y2632" s="14"/>
      <c r="Z2632" s="14"/>
    </row>
    <row r="2633" spans="1:26" ht="13.2">
      <c r="A2633" s="13"/>
      <c r="B2633" s="14"/>
      <c r="C2633" s="14"/>
      <c r="D2633" s="14"/>
      <c r="E2633" s="14"/>
      <c r="F2633" s="14"/>
      <c r="G2633" s="14"/>
      <c r="H2633" s="14"/>
      <c r="I2633" s="14"/>
      <c r="J2633" s="14"/>
      <c r="K2633" s="14"/>
      <c r="L2633" s="15"/>
      <c r="M2633" s="15"/>
      <c r="N2633" s="15"/>
      <c r="O2633" s="15"/>
      <c r="P2633" s="15"/>
      <c r="Q2633" s="14"/>
      <c r="R2633" s="14"/>
      <c r="S2633" s="14"/>
      <c r="T2633" s="14"/>
      <c r="U2633" s="15"/>
      <c r="V2633" s="14"/>
      <c r="W2633" s="14"/>
      <c r="X2633" s="14"/>
      <c r="Y2633" s="14"/>
      <c r="Z2633" s="14"/>
    </row>
    <row r="2634" spans="1:26" ht="13.2">
      <c r="A2634" s="13"/>
      <c r="B2634" s="14"/>
      <c r="C2634" s="14"/>
      <c r="D2634" s="14"/>
      <c r="E2634" s="14"/>
      <c r="F2634" s="14"/>
      <c r="G2634" s="14"/>
      <c r="H2634" s="14"/>
      <c r="I2634" s="14"/>
      <c r="J2634" s="14"/>
      <c r="K2634" s="14"/>
      <c r="L2634" s="15"/>
      <c r="M2634" s="15"/>
      <c r="N2634" s="15"/>
      <c r="O2634" s="15"/>
      <c r="P2634" s="15"/>
      <c r="Q2634" s="14"/>
      <c r="R2634" s="14"/>
      <c r="S2634" s="14"/>
      <c r="T2634" s="14"/>
      <c r="U2634" s="15"/>
      <c r="V2634" s="14"/>
      <c r="W2634" s="14"/>
      <c r="X2634" s="14"/>
      <c r="Y2634" s="14"/>
      <c r="Z2634" s="14"/>
    </row>
    <row r="2635" spans="1:26" ht="13.2">
      <c r="A2635" s="13"/>
      <c r="B2635" s="14"/>
      <c r="C2635" s="14"/>
      <c r="D2635" s="14"/>
      <c r="E2635" s="14"/>
      <c r="F2635" s="14"/>
      <c r="G2635" s="14"/>
      <c r="H2635" s="14"/>
      <c r="I2635" s="14"/>
      <c r="J2635" s="14"/>
      <c r="K2635" s="14"/>
      <c r="L2635" s="15"/>
      <c r="M2635" s="15"/>
      <c r="N2635" s="15"/>
      <c r="O2635" s="15"/>
      <c r="P2635" s="15"/>
      <c r="Q2635" s="14"/>
      <c r="R2635" s="14"/>
      <c r="S2635" s="14"/>
      <c r="T2635" s="14"/>
      <c r="U2635" s="15"/>
      <c r="V2635" s="14"/>
      <c r="W2635" s="14"/>
      <c r="X2635" s="14"/>
      <c r="Y2635" s="14"/>
      <c r="Z2635" s="14"/>
    </row>
    <row r="2636" spans="1:26" ht="13.2">
      <c r="A2636" s="13"/>
      <c r="B2636" s="14"/>
      <c r="C2636" s="14"/>
      <c r="D2636" s="14"/>
      <c r="E2636" s="14"/>
      <c r="F2636" s="14"/>
      <c r="G2636" s="14"/>
      <c r="H2636" s="14"/>
      <c r="I2636" s="14"/>
      <c r="J2636" s="14"/>
      <c r="K2636" s="14"/>
      <c r="L2636" s="15"/>
      <c r="M2636" s="15"/>
      <c r="N2636" s="15"/>
      <c r="O2636" s="15"/>
      <c r="P2636" s="15"/>
      <c r="Q2636" s="14"/>
      <c r="R2636" s="14"/>
      <c r="S2636" s="14"/>
      <c r="T2636" s="14"/>
      <c r="U2636" s="15"/>
      <c r="V2636" s="14"/>
      <c r="W2636" s="14"/>
      <c r="X2636" s="14"/>
      <c r="Y2636" s="14"/>
      <c r="Z2636" s="14"/>
    </row>
    <row r="2637" spans="1:26" ht="13.2">
      <c r="A2637" s="13"/>
      <c r="B2637" s="14"/>
      <c r="C2637" s="14"/>
      <c r="D2637" s="14"/>
      <c r="E2637" s="14"/>
      <c r="F2637" s="14"/>
      <c r="G2637" s="14"/>
      <c r="H2637" s="14"/>
      <c r="I2637" s="14"/>
      <c r="J2637" s="14"/>
      <c r="K2637" s="14"/>
      <c r="L2637" s="15"/>
      <c r="M2637" s="15"/>
      <c r="N2637" s="15"/>
      <c r="O2637" s="15"/>
      <c r="P2637" s="15"/>
      <c r="Q2637" s="14"/>
      <c r="R2637" s="14"/>
      <c r="S2637" s="14"/>
      <c r="T2637" s="14"/>
      <c r="U2637" s="15"/>
      <c r="V2637" s="14"/>
      <c r="W2637" s="14"/>
      <c r="X2637" s="14"/>
      <c r="Y2637" s="14"/>
      <c r="Z2637" s="14"/>
    </row>
    <row r="2638" spans="1:26" ht="13.2">
      <c r="A2638" s="13"/>
      <c r="B2638" s="14"/>
      <c r="C2638" s="14"/>
      <c r="D2638" s="14"/>
      <c r="E2638" s="14"/>
      <c r="F2638" s="14"/>
      <c r="G2638" s="14"/>
      <c r="H2638" s="14"/>
      <c r="I2638" s="14"/>
      <c r="J2638" s="14"/>
      <c r="K2638" s="14"/>
      <c r="L2638" s="15"/>
      <c r="M2638" s="15"/>
      <c r="N2638" s="15"/>
      <c r="O2638" s="15"/>
      <c r="P2638" s="15"/>
      <c r="Q2638" s="14"/>
      <c r="R2638" s="14"/>
      <c r="S2638" s="14"/>
      <c r="T2638" s="14"/>
      <c r="U2638" s="15"/>
      <c r="V2638" s="14"/>
      <c r="W2638" s="14"/>
      <c r="X2638" s="14"/>
      <c r="Y2638" s="14"/>
      <c r="Z2638" s="14"/>
    </row>
    <row r="2639" spans="1:26" ht="13.2">
      <c r="A2639" s="13"/>
      <c r="B2639" s="14"/>
      <c r="C2639" s="14"/>
      <c r="D2639" s="14"/>
      <c r="E2639" s="14"/>
      <c r="F2639" s="14"/>
      <c r="G2639" s="14"/>
      <c r="H2639" s="14"/>
      <c r="I2639" s="14"/>
      <c r="J2639" s="14"/>
      <c r="K2639" s="14"/>
      <c r="L2639" s="15"/>
      <c r="M2639" s="15"/>
      <c r="N2639" s="15"/>
      <c r="O2639" s="15"/>
      <c r="P2639" s="15"/>
      <c r="Q2639" s="14"/>
      <c r="R2639" s="14"/>
      <c r="S2639" s="14"/>
      <c r="T2639" s="14"/>
      <c r="U2639" s="15"/>
      <c r="V2639" s="14"/>
      <c r="W2639" s="14"/>
      <c r="X2639" s="14"/>
      <c r="Y2639" s="14"/>
      <c r="Z2639" s="14"/>
    </row>
    <row r="2640" spans="1:26" ht="13.2">
      <c r="A2640" s="13"/>
      <c r="B2640" s="14"/>
      <c r="C2640" s="14"/>
      <c r="D2640" s="14"/>
      <c r="E2640" s="14"/>
      <c r="F2640" s="14"/>
      <c r="G2640" s="14"/>
      <c r="H2640" s="14"/>
      <c r="I2640" s="14"/>
      <c r="J2640" s="14"/>
      <c r="K2640" s="14"/>
      <c r="L2640" s="15"/>
      <c r="M2640" s="15"/>
      <c r="N2640" s="15"/>
      <c r="O2640" s="15"/>
      <c r="P2640" s="15"/>
      <c r="Q2640" s="14"/>
      <c r="R2640" s="14"/>
      <c r="S2640" s="14"/>
      <c r="T2640" s="14"/>
      <c r="U2640" s="15"/>
      <c r="V2640" s="14"/>
      <c r="W2640" s="14"/>
      <c r="X2640" s="14"/>
      <c r="Y2640" s="14"/>
      <c r="Z2640" s="14"/>
    </row>
    <row r="2641" spans="1:26" ht="13.2">
      <c r="A2641" s="13"/>
      <c r="B2641" s="14"/>
      <c r="C2641" s="14"/>
      <c r="D2641" s="14"/>
      <c r="E2641" s="14"/>
      <c r="F2641" s="14"/>
      <c r="G2641" s="14"/>
      <c r="H2641" s="14"/>
      <c r="I2641" s="14"/>
      <c r="J2641" s="14"/>
      <c r="K2641" s="14"/>
      <c r="L2641" s="15"/>
      <c r="M2641" s="15"/>
      <c r="N2641" s="15"/>
      <c r="O2641" s="15"/>
      <c r="P2641" s="15"/>
      <c r="Q2641" s="14"/>
      <c r="R2641" s="14"/>
      <c r="S2641" s="14"/>
      <c r="T2641" s="14"/>
      <c r="U2641" s="15"/>
      <c r="V2641" s="14"/>
      <c r="W2641" s="14"/>
      <c r="X2641" s="14"/>
      <c r="Y2641" s="14"/>
      <c r="Z2641" s="14"/>
    </row>
    <row r="2642" spans="1:26" ht="13.2">
      <c r="A2642" s="13"/>
      <c r="B2642" s="14"/>
      <c r="C2642" s="14"/>
      <c r="D2642" s="14"/>
      <c r="E2642" s="14"/>
      <c r="F2642" s="14"/>
      <c r="G2642" s="14"/>
      <c r="H2642" s="14"/>
      <c r="I2642" s="14"/>
      <c r="J2642" s="14"/>
      <c r="K2642" s="14"/>
      <c r="L2642" s="15"/>
      <c r="M2642" s="15"/>
      <c r="N2642" s="15"/>
      <c r="O2642" s="15"/>
      <c r="P2642" s="15"/>
      <c r="Q2642" s="14"/>
      <c r="R2642" s="14"/>
      <c r="S2642" s="14"/>
      <c r="T2642" s="14"/>
      <c r="U2642" s="15"/>
      <c r="V2642" s="14"/>
      <c r="W2642" s="14"/>
      <c r="X2642" s="14"/>
      <c r="Y2642" s="14"/>
      <c r="Z2642" s="14"/>
    </row>
    <row r="2643" spans="1:26" ht="13.2">
      <c r="A2643" s="13"/>
      <c r="B2643" s="14"/>
      <c r="C2643" s="14"/>
      <c r="D2643" s="14"/>
      <c r="E2643" s="14"/>
      <c r="F2643" s="14"/>
      <c r="G2643" s="14"/>
      <c r="H2643" s="14"/>
      <c r="I2643" s="14"/>
      <c r="J2643" s="14"/>
      <c r="K2643" s="14"/>
      <c r="L2643" s="15"/>
      <c r="M2643" s="15"/>
      <c r="N2643" s="15"/>
      <c r="O2643" s="15"/>
      <c r="P2643" s="15"/>
      <c r="Q2643" s="14"/>
      <c r="R2643" s="14"/>
      <c r="S2643" s="14"/>
      <c r="T2643" s="14"/>
      <c r="U2643" s="15"/>
      <c r="V2643" s="14"/>
      <c r="W2643" s="14"/>
      <c r="X2643" s="14"/>
      <c r="Y2643" s="14"/>
      <c r="Z2643" s="14"/>
    </row>
    <row r="2644" spans="1:26" ht="13.2">
      <c r="A2644" s="13"/>
      <c r="B2644" s="14"/>
      <c r="C2644" s="14"/>
      <c r="D2644" s="14"/>
      <c r="E2644" s="14"/>
      <c r="F2644" s="14"/>
      <c r="G2644" s="14"/>
      <c r="H2644" s="14"/>
      <c r="I2644" s="14"/>
      <c r="J2644" s="14"/>
      <c r="K2644" s="14"/>
      <c r="L2644" s="15"/>
      <c r="M2644" s="15"/>
      <c r="N2644" s="15"/>
      <c r="O2644" s="15"/>
      <c r="P2644" s="15"/>
      <c r="Q2644" s="14"/>
      <c r="R2644" s="14"/>
      <c r="S2644" s="14"/>
      <c r="T2644" s="14"/>
      <c r="U2644" s="15"/>
      <c r="V2644" s="14"/>
      <c r="W2644" s="14"/>
      <c r="X2644" s="14"/>
      <c r="Y2644" s="14"/>
      <c r="Z2644" s="14"/>
    </row>
    <row r="2645" spans="1:26" ht="13.2">
      <c r="A2645" s="13"/>
      <c r="B2645" s="14"/>
      <c r="C2645" s="14"/>
      <c r="D2645" s="14"/>
      <c r="E2645" s="14"/>
      <c r="F2645" s="14"/>
      <c r="G2645" s="14"/>
      <c r="H2645" s="14"/>
      <c r="I2645" s="14"/>
      <c r="J2645" s="14"/>
      <c r="K2645" s="14"/>
      <c r="L2645" s="15"/>
      <c r="M2645" s="15"/>
      <c r="N2645" s="15"/>
      <c r="O2645" s="15"/>
      <c r="P2645" s="15"/>
      <c r="Q2645" s="14"/>
      <c r="R2645" s="14"/>
      <c r="S2645" s="14"/>
      <c r="T2645" s="14"/>
      <c r="U2645" s="15"/>
      <c r="V2645" s="14"/>
      <c r="W2645" s="14"/>
      <c r="X2645" s="14"/>
      <c r="Y2645" s="14"/>
      <c r="Z2645" s="14"/>
    </row>
    <row r="2646" spans="1:26" ht="13.2">
      <c r="A2646" s="13"/>
      <c r="B2646" s="14"/>
      <c r="C2646" s="14"/>
      <c r="D2646" s="14"/>
      <c r="E2646" s="14"/>
      <c r="F2646" s="14"/>
      <c r="G2646" s="14"/>
      <c r="H2646" s="14"/>
      <c r="I2646" s="14"/>
      <c r="J2646" s="14"/>
      <c r="K2646" s="14"/>
      <c r="L2646" s="15"/>
      <c r="M2646" s="15"/>
      <c r="N2646" s="15"/>
      <c r="O2646" s="15"/>
      <c r="P2646" s="15"/>
      <c r="Q2646" s="14"/>
      <c r="R2646" s="14"/>
      <c r="S2646" s="14"/>
      <c r="T2646" s="14"/>
      <c r="U2646" s="15"/>
      <c r="V2646" s="14"/>
      <c r="W2646" s="14"/>
      <c r="X2646" s="14"/>
      <c r="Y2646" s="14"/>
      <c r="Z2646" s="14"/>
    </row>
    <row r="2647" spans="1:26" ht="13.2">
      <c r="A2647" s="13"/>
      <c r="B2647" s="14"/>
      <c r="C2647" s="14"/>
      <c r="D2647" s="14"/>
      <c r="E2647" s="14"/>
      <c r="F2647" s="14"/>
      <c r="G2647" s="14"/>
      <c r="H2647" s="14"/>
      <c r="I2647" s="14"/>
      <c r="J2647" s="14"/>
      <c r="K2647" s="14"/>
      <c r="L2647" s="15"/>
      <c r="M2647" s="15"/>
      <c r="N2647" s="15"/>
      <c r="O2647" s="15"/>
      <c r="P2647" s="15"/>
      <c r="Q2647" s="14"/>
      <c r="R2647" s="14"/>
      <c r="S2647" s="14"/>
      <c r="T2647" s="14"/>
      <c r="U2647" s="15"/>
      <c r="V2647" s="14"/>
      <c r="W2647" s="14"/>
      <c r="X2647" s="14"/>
      <c r="Y2647" s="14"/>
      <c r="Z2647" s="14"/>
    </row>
    <row r="2648" spans="1:26" ht="13.2">
      <c r="A2648" s="13"/>
      <c r="B2648" s="14"/>
      <c r="C2648" s="14"/>
      <c r="D2648" s="14"/>
      <c r="E2648" s="14"/>
      <c r="F2648" s="14"/>
      <c r="G2648" s="14"/>
      <c r="H2648" s="14"/>
      <c r="I2648" s="14"/>
      <c r="J2648" s="14"/>
      <c r="K2648" s="14"/>
      <c r="L2648" s="15"/>
      <c r="M2648" s="15"/>
      <c r="N2648" s="15"/>
      <c r="O2648" s="15"/>
      <c r="P2648" s="15"/>
      <c r="Q2648" s="14"/>
      <c r="R2648" s="14"/>
      <c r="S2648" s="14"/>
      <c r="T2648" s="14"/>
      <c r="U2648" s="15"/>
      <c r="V2648" s="14"/>
      <c r="W2648" s="14"/>
      <c r="X2648" s="14"/>
      <c r="Y2648" s="14"/>
      <c r="Z2648" s="14"/>
    </row>
    <row r="2649" spans="1:26" ht="13.2">
      <c r="A2649" s="13"/>
      <c r="B2649" s="14"/>
      <c r="C2649" s="14"/>
      <c r="D2649" s="14"/>
      <c r="E2649" s="14"/>
      <c r="F2649" s="14"/>
      <c r="G2649" s="14"/>
      <c r="H2649" s="14"/>
      <c r="I2649" s="14"/>
      <c r="J2649" s="14"/>
      <c r="K2649" s="14"/>
      <c r="L2649" s="15"/>
      <c r="M2649" s="15"/>
      <c r="N2649" s="15"/>
      <c r="O2649" s="15"/>
      <c r="P2649" s="15"/>
      <c r="Q2649" s="14"/>
      <c r="R2649" s="14"/>
      <c r="S2649" s="14"/>
      <c r="T2649" s="14"/>
      <c r="U2649" s="15"/>
      <c r="V2649" s="14"/>
      <c r="W2649" s="14"/>
      <c r="X2649" s="14"/>
      <c r="Y2649" s="14"/>
      <c r="Z2649" s="14"/>
    </row>
    <row r="2650" spans="1:26" ht="13.2">
      <c r="A2650" s="13"/>
      <c r="B2650" s="14"/>
      <c r="C2650" s="14"/>
      <c r="D2650" s="14"/>
      <c r="E2650" s="14"/>
      <c r="F2650" s="14"/>
      <c r="G2650" s="14"/>
      <c r="H2650" s="14"/>
      <c r="I2650" s="14"/>
      <c r="J2650" s="14"/>
      <c r="K2650" s="14"/>
      <c r="L2650" s="15"/>
      <c r="M2650" s="15"/>
      <c r="N2650" s="15"/>
      <c r="O2650" s="15"/>
      <c r="P2650" s="15"/>
      <c r="Q2650" s="14"/>
      <c r="R2650" s="14"/>
      <c r="S2650" s="14"/>
      <c r="T2650" s="14"/>
      <c r="U2650" s="15"/>
      <c r="V2650" s="14"/>
      <c r="W2650" s="14"/>
      <c r="X2650" s="14"/>
      <c r="Y2650" s="14"/>
      <c r="Z2650" s="14"/>
    </row>
    <row r="2651" spans="1:26" ht="13.2">
      <c r="A2651" s="13"/>
      <c r="B2651" s="14"/>
      <c r="C2651" s="14"/>
      <c r="D2651" s="14"/>
      <c r="E2651" s="14"/>
      <c r="F2651" s="14"/>
      <c r="G2651" s="14"/>
      <c r="H2651" s="14"/>
      <c r="I2651" s="14"/>
      <c r="J2651" s="14"/>
      <c r="K2651" s="14"/>
      <c r="L2651" s="15"/>
      <c r="M2651" s="15"/>
      <c r="N2651" s="15"/>
      <c r="O2651" s="15"/>
      <c r="P2651" s="15"/>
      <c r="Q2651" s="14"/>
      <c r="R2651" s="14"/>
      <c r="S2651" s="14"/>
      <c r="T2651" s="14"/>
      <c r="U2651" s="15"/>
      <c r="V2651" s="14"/>
      <c r="W2651" s="14"/>
      <c r="X2651" s="14"/>
      <c r="Y2651" s="14"/>
      <c r="Z2651" s="14"/>
    </row>
    <row r="2652" spans="1:26" ht="13.2">
      <c r="A2652" s="13"/>
      <c r="B2652" s="14"/>
      <c r="C2652" s="14"/>
      <c r="D2652" s="14"/>
      <c r="E2652" s="14"/>
      <c r="F2652" s="14"/>
      <c r="G2652" s="14"/>
      <c r="H2652" s="14"/>
      <c r="I2652" s="14"/>
      <c r="J2652" s="14"/>
      <c r="K2652" s="14"/>
      <c r="L2652" s="15"/>
      <c r="M2652" s="15"/>
      <c r="N2652" s="15"/>
      <c r="O2652" s="15"/>
      <c r="P2652" s="15"/>
      <c r="Q2652" s="14"/>
      <c r="R2652" s="14"/>
      <c r="S2652" s="14"/>
      <c r="T2652" s="14"/>
      <c r="U2652" s="15"/>
      <c r="V2652" s="14"/>
      <c r="W2652" s="14"/>
      <c r="X2652" s="14"/>
      <c r="Y2652" s="14"/>
      <c r="Z2652" s="14"/>
    </row>
    <row r="2653" spans="1:26" ht="13.2">
      <c r="A2653" s="13"/>
      <c r="B2653" s="14"/>
      <c r="C2653" s="14"/>
      <c r="D2653" s="14"/>
      <c r="E2653" s="14"/>
      <c r="F2653" s="14"/>
      <c r="G2653" s="14"/>
      <c r="H2653" s="14"/>
      <c r="I2653" s="14"/>
      <c r="J2653" s="14"/>
      <c r="K2653" s="14"/>
      <c r="L2653" s="15"/>
      <c r="M2653" s="15"/>
      <c r="N2653" s="15"/>
      <c r="O2653" s="15"/>
      <c r="P2653" s="15"/>
      <c r="Q2653" s="14"/>
      <c r="R2653" s="14"/>
      <c r="S2653" s="14"/>
      <c r="T2653" s="14"/>
      <c r="U2653" s="15"/>
      <c r="V2653" s="14"/>
      <c r="W2653" s="14"/>
      <c r="X2653" s="14"/>
      <c r="Y2653" s="14"/>
      <c r="Z2653" s="14"/>
    </row>
    <row r="2654" spans="1:26" ht="13.2">
      <c r="A2654" s="13"/>
      <c r="B2654" s="14"/>
      <c r="C2654" s="14"/>
      <c r="D2654" s="14"/>
      <c r="E2654" s="14"/>
      <c r="F2654" s="14"/>
      <c r="G2654" s="14"/>
      <c r="H2654" s="14"/>
      <c r="I2654" s="14"/>
      <c r="J2654" s="14"/>
      <c r="K2654" s="14"/>
      <c r="L2654" s="15"/>
      <c r="M2654" s="15"/>
      <c r="N2654" s="15"/>
      <c r="O2654" s="15"/>
      <c r="P2654" s="15"/>
      <c r="Q2654" s="14"/>
      <c r="R2654" s="14"/>
      <c r="S2654" s="14"/>
      <c r="T2654" s="14"/>
      <c r="U2654" s="15"/>
      <c r="V2654" s="14"/>
      <c r="W2654" s="14"/>
      <c r="X2654" s="14"/>
      <c r="Y2654" s="14"/>
      <c r="Z2654" s="14"/>
    </row>
    <row r="2655" spans="1:26" ht="13.2">
      <c r="A2655" s="13"/>
      <c r="B2655" s="14"/>
      <c r="C2655" s="14"/>
      <c r="D2655" s="14"/>
      <c r="E2655" s="14"/>
      <c r="F2655" s="14"/>
      <c r="G2655" s="14"/>
      <c r="H2655" s="14"/>
      <c r="I2655" s="14"/>
      <c r="J2655" s="14"/>
      <c r="K2655" s="14"/>
      <c r="L2655" s="15"/>
      <c r="M2655" s="15"/>
      <c r="N2655" s="15"/>
      <c r="O2655" s="15"/>
      <c r="P2655" s="15"/>
      <c r="Q2655" s="14"/>
      <c r="R2655" s="14"/>
      <c r="S2655" s="14"/>
      <c r="T2655" s="14"/>
      <c r="U2655" s="15"/>
      <c r="V2655" s="14"/>
      <c r="W2655" s="14"/>
      <c r="X2655" s="14"/>
      <c r="Y2655" s="14"/>
      <c r="Z2655" s="14"/>
    </row>
    <row r="2656" spans="1:26" ht="13.2">
      <c r="A2656" s="13"/>
      <c r="B2656" s="14"/>
      <c r="C2656" s="14"/>
      <c r="D2656" s="14"/>
      <c r="E2656" s="14"/>
      <c r="F2656" s="14"/>
      <c r="G2656" s="14"/>
      <c r="H2656" s="14"/>
      <c r="I2656" s="14"/>
      <c r="J2656" s="14"/>
      <c r="K2656" s="14"/>
      <c r="L2656" s="15"/>
      <c r="M2656" s="15"/>
      <c r="N2656" s="15"/>
      <c r="O2656" s="15"/>
      <c r="P2656" s="15"/>
      <c r="Q2656" s="14"/>
      <c r="R2656" s="14"/>
      <c r="S2656" s="14"/>
      <c r="T2656" s="14"/>
      <c r="U2656" s="15"/>
      <c r="V2656" s="14"/>
      <c r="W2656" s="14"/>
      <c r="X2656" s="14"/>
      <c r="Y2656" s="14"/>
      <c r="Z2656" s="14"/>
    </row>
    <row r="2657" spans="1:26" ht="13.2">
      <c r="A2657" s="13"/>
      <c r="B2657" s="14"/>
      <c r="C2657" s="14"/>
      <c r="D2657" s="14"/>
      <c r="E2657" s="14"/>
      <c r="F2657" s="14"/>
      <c r="G2657" s="14"/>
      <c r="H2657" s="14"/>
      <c r="I2657" s="14"/>
      <c r="J2657" s="14"/>
      <c r="K2657" s="14"/>
      <c r="L2657" s="15"/>
      <c r="M2657" s="15"/>
      <c r="N2657" s="15"/>
      <c r="O2657" s="15"/>
      <c r="P2657" s="15"/>
      <c r="Q2657" s="14"/>
      <c r="R2657" s="14"/>
      <c r="S2657" s="14"/>
      <c r="T2657" s="14"/>
      <c r="U2657" s="15"/>
      <c r="V2657" s="14"/>
      <c r="W2657" s="14"/>
      <c r="X2657" s="14"/>
      <c r="Y2657" s="14"/>
      <c r="Z2657" s="14"/>
    </row>
    <row r="2658" spans="1:26" ht="13.2">
      <c r="A2658" s="13"/>
      <c r="B2658" s="14"/>
      <c r="C2658" s="14"/>
      <c r="D2658" s="14"/>
      <c r="E2658" s="14"/>
      <c r="F2658" s="14"/>
      <c r="G2658" s="14"/>
      <c r="H2658" s="14"/>
      <c r="I2658" s="14"/>
      <c r="J2658" s="14"/>
      <c r="K2658" s="14"/>
      <c r="L2658" s="15"/>
      <c r="M2658" s="15"/>
      <c r="N2658" s="15"/>
      <c r="O2658" s="15"/>
      <c r="P2658" s="15"/>
      <c r="Q2658" s="14"/>
      <c r="R2658" s="14"/>
      <c r="S2658" s="14"/>
      <c r="T2658" s="14"/>
      <c r="U2658" s="15"/>
      <c r="V2658" s="14"/>
      <c r="W2658" s="14"/>
      <c r="X2658" s="14"/>
      <c r="Y2658" s="14"/>
      <c r="Z2658" s="14"/>
    </row>
    <row r="2659" spans="1:26" ht="13.2">
      <c r="A2659" s="13"/>
      <c r="B2659" s="14"/>
      <c r="C2659" s="14"/>
      <c r="D2659" s="14"/>
      <c r="E2659" s="14"/>
      <c r="F2659" s="14"/>
      <c r="G2659" s="14"/>
      <c r="H2659" s="14"/>
      <c r="I2659" s="14"/>
      <c r="J2659" s="14"/>
      <c r="K2659" s="14"/>
      <c r="L2659" s="15"/>
      <c r="M2659" s="15"/>
      <c r="N2659" s="15"/>
      <c r="O2659" s="15"/>
      <c r="P2659" s="15"/>
      <c r="Q2659" s="14"/>
      <c r="R2659" s="14"/>
      <c r="S2659" s="14"/>
      <c r="T2659" s="14"/>
      <c r="U2659" s="15"/>
      <c r="V2659" s="14"/>
      <c r="W2659" s="14"/>
      <c r="X2659" s="14"/>
      <c r="Y2659" s="14"/>
      <c r="Z2659" s="14"/>
    </row>
    <row r="2660" spans="1:26" ht="13.2">
      <c r="A2660" s="13"/>
      <c r="B2660" s="14"/>
      <c r="C2660" s="14"/>
      <c r="D2660" s="14"/>
      <c r="E2660" s="14"/>
      <c r="F2660" s="14"/>
      <c r="G2660" s="14"/>
      <c r="H2660" s="14"/>
      <c r="I2660" s="14"/>
      <c r="J2660" s="14"/>
      <c r="K2660" s="14"/>
      <c r="L2660" s="15"/>
      <c r="M2660" s="15"/>
      <c r="N2660" s="15"/>
      <c r="O2660" s="15"/>
      <c r="P2660" s="15"/>
      <c r="Q2660" s="14"/>
      <c r="R2660" s="14"/>
      <c r="S2660" s="14"/>
      <c r="T2660" s="14"/>
      <c r="U2660" s="15"/>
      <c r="V2660" s="14"/>
      <c r="W2660" s="14"/>
      <c r="X2660" s="14"/>
      <c r="Y2660" s="14"/>
      <c r="Z2660" s="14"/>
    </row>
    <row r="2661" spans="1:26" ht="13.2">
      <c r="A2661" s="13"/>
      <c r="B2661" s="14"/>
      <c r="C2661" s="14"/>
      <c r="D2661" s="14"/>
      <c r="E2661" s="14"/>
      <c r="F2661" s="14"/>
      <c r="G2661" s="14"/>
      <c r="H2661" s="14"/>
      <c r="I2661" s="14"/>
      <c r="J2661" s="14"/>
      <c r="K2661" s="14"/>
      <c r="L2661" s="15"/>
      <c r="M2661" s="15"/>
      <c r="N2661" s="15"/>
      <c r="O2661" s="15"/>
      <c r="P2661" s="15"/>
      <c r="Q2661" s="14"/>
      <c r="R2661" s="14"/>
      <c r="S2661" s="14"/>
      <c r="T2661" s="14"/>
      <c r="U2661" s="15"/>
      <c r="V2661" s="14"/>
      <c r="W2661" s="14"/>
      <c r="X2661" s="14"/>
      <c r="Y2661" s="14"/>
      <c r="Z2661" s="14"/>
    </row>
    <row r="2662" spans="1:26" ht="13.2">
      <c r="A2662" s="13"/>
      <c r="B2662" s="14"/>
      <c r="C2662" s="14"/>
      <c r="D2662" s="14"/>
      <c r="E2662" s="14"/>
      <c r="F2662" s="14"/>
      <c r="G2662" s="14"/>
      <c r="H2662" s="14"/>
      <c r="I2662" s="14"/>
      <c r="J2662" s="14"/>
      <c r="K2662" s="14"/>
      <c r="L2662" s="15"/>
      <c r="M2662" s="15"/>
      <c r="N2662" s="15"/>
      <c r="O2662" s="15"/>
      <c r="P2662" s="15"/>
      <c r="Q2662" s="14"/>
      <c r="R2662" s="14"/>
      <c r="S2662" s="14"/>
      <c r="T2662" s="14"/>
      <c r="U2662" s="15"/>
      <c r="V2662" s="14"/>
      <c r="W2662" s="14"/>
      <c r="X2662" s="14"/>
      <c r="Y2662" s="14"/>
      <c r="Z2662" s="14"/>
    </row>
    <row r="2663" spans="1:26" ht="13.2">
      <c r="A2663" s="13"/>
      <c r="B2663" s="14"/>
      <c r="C2663" s="14"/>
      <c r="D2663" s="14"/>
      <c r="E2663" s="14"/>
      <c r="F2663" s="14"/>
      <c r="G2663" s="14"/>
      <c r="H2663" s="14"/>
      <c r="I2663" s="14"/>
      <c r="J2663" s="14"/>
      <c r="K2663" s="14"/>
      <c r="L2663" s="15"/>
      <c r="M2663" s="15"/>
      <c r="N2663" s="15"/>
      <c r="O2663" s="15"/>
      <c r="P2663" s="15"/>
      <c r="Q2663" s="14"/>
      <c r="R2663" s="14"/>
      <c r="S2663" s="14"/>
      <c r="T2663" s="14"/>
      <c r="U2663" s="15"/>
      <c r="V2663" s="14"/>
      <c r="W2663" s="14"/>
      <c r="X2663" s="14"/>
      <c r="Y2663" s="14"/>
      <c r="Z2663" s="14"/>
    </row>
    <row r="2664" spans="1:26" ht="13.2">
      <c r="A2664" s="13"/>
      <c r="B2664" s="14"/>
      <c r="C2664" s="14"/>
      <c r="D2664" s="14"/>
      <c r="E2664" s="14"/>
      <c r="F2664" s="14"/>
      <c r="G2664" s="14"/>
      <c r="H2664" s="14"/>
      <c r="I2664" s="14"/>
      <c r="J2664" s="14"/>
      <c r="K2664" s="14"/>
      <c r="L2664" s="15"/>
      <c r="M2664" s="15"/>
      <c r="N2664" s="15"/>
      <c r="O2664" s="15"/>
      <c r="P2664" s="15"/>
      <c r="Q2664" s="14"/>
      <c r="R2664" s="14"/>
      <c r="S2664" s="14"/>
      <c r="T2664" s="14"/>
      <c r="U2664" s="15"/>
      <c r="V2664" s="14"/>
      <c r="W2664" s="14"/>
      <c r="X2664" s="14"/>
      <c r="Y2664" s="14"/>
      <c r="Z2664" s="14"/>
    </row>
    <row r="2665" spans="1:26" ht="13.2">
      <c r="A2665" s="13"/>
      <c r="B2665" s="14"/>
      <c r="C2665" s="14"/>
      <c r="D2665" s="14"/>
      <c r="E2665" s="14"/>
      <c r="F2665" s="14"/>
      <c r="G2665" s="14"/>
      <c r="H2665" s="14"/>
      <c r="I2665" s="14"/>
      <c r="J2665" s="14"/>
      <c r="K2665" s="14"/>
      <c r="L2665" s="15"/>
      <c r="M2665" s="15"/>
      <c r="N2665" s="15"/>
      <c r="O2665" s="15"/>
      <c r="P2665" s="15"/>
      <c r="Q2665" s="14"/>
      <c r="R2665" s="14"/>
      <c r="S2665" s="14"/>
      <c r="T2665" s="14"/>
      <c r="U2665" s="15"/>
      <c r="V2665" s="14"/>
      <c r="W2665" s="14"/>
      <c r="X2665" s="14"/>
      <c r="Y2665" s="14"/>
      <c r="Z2665" s="14"/>
    </row>
    <row r="2666" spans="1:26" ht="13.2">
      <c r="A2666" s="13"/>
      <c r="B2666" s="14"/>
      <c r="C2666" s="14"/>
      <c r="D2666" s="14"/>
      <c r="E2666" s="14"/>
      <c r="F2666" s="14"/>
      <c r="G2666" s="14"/>
      <c r="H2666" s="14"/>
      <c r="I2666" s="14"/>
      <c r="J2666" s="14"/>
      <c r="K2666" s="14"/>
      <c r="L2666" s="15"/>
      <c r="M2666" s="15"/>
      <c r="N2666" s="15"/>
      <c r="O2666" s="15"/>
      <c r="P2666" s="15"/>
      <c r="Q2666" s="14"/>
      <c r="R2666" s="14"/>
      <c r="S2666" s="14"/>
      <c r="T2666" s="14"/>
      <c r="U2666" s="15"/>
      <c r="V2666" s="14"/>
      <c r="W2666" s="14"/>
      <c r="X2666" s="14"/>
      <c r="Y2666" s="14"/>
      <c r="Z2666" s="14"/>
    </row>
    <row r="2667" spans="1:26" ht="13.2">
      <c r="A2667" s="13"/>
      <c r="B2667" s="14"/>
      <c r="C2667" s="14"/>
      <c r="D2667" s="14"/>
      <c r="E2667" s="14"/>
      <c r="F2667" s="14"/>
      <c r="G2667" s="14"/>
      <c r="H2667" s="14"/>
      <c r="I2667" s="14"/>
      <c r="J2667" s="14"/>
      <c r="K2667" s="14"/>
      <c r="L2667" s="15"/>
      <c r="M2667" s="15"/>
      <c r="N2667" s="15"/>
      <c r="O2667" s="15"/>
      <c r="P2667" s="15"/>
      <c r="Q2667" s="14"/>
      <c r="R2667" s="14"/>
      <c r="S2667" s="14"/>
      <c r="T2667" s="14"/>
      <c r="U2667" s="15"/>
      <c r="V2667" s="14"/>
      <c r="W2667" s="14"/>
      <c r="X2667" s="14"/>
      <c r="Y2667" s="14"/>
      <c r="Z2667" s="14"/>
    </row>
    <row r="2668" spans="1:26" ht="13.2">
      <c r="A2668" s="13"/>
      <c r="B2668" s="14"/>
      <c r="C2668" s="14"/>
      <c r="D2668" s="14"/>
      <c r="E2668" s="14"/>
      <c r="F2668" s="14"/>
      <c r="G2668" s="14"/>
      <c r="H2668" s="14"/>
      <c r="I2668" s="14"/>
      <c r="J2668" s="14"/>
      <c r="K2668" s="14"/>
      <c r="L2668" s="15"/>
      <c r="M2668" s="15"/>
      <c r="N2668" s="15"/>
      <c r="O2668" s="15"/>
      <c r="P2668" s="15"/>
      <c r="Q2668" s="14"/>
      <c r="R2668" s="14"/>
      <c r="S2668" s="14"/>
      <c r="T2668" s="14"/>
      <c r="U2668" s="15"/>
      <c r="V2668" s="14"/>
      <c r="W2668" s="14"/>
      <c r="X2668" s="14"/>
      <c r="Y2668" s="14"/>
      <c r="Z2668" s="14"/>
    </row>
    <row r="2669" spans="1:26" ht="13.2">
      <c r="A2669" s="13"/>
      <c r="B2669" s="14"/>
      <c r="C2669" s="14"/>
      <c r="D2669" s="14"/>
      <c r="E2669" s="14"/>
      <c r="F2669" s="14"/>
      <c r="G2669" s="14"/>
      <c r="H2669" s="14"/>
      <c r="I2669" s="14"/>
      <c r="J2669" s="14"/>
      <c r="K2669" s="14"/>
      <c r="L2669" s="15"/>
      <c r="M2669" s="15"/>
      <c r="N2669" s="15"/>
      <c r="O2669" s="15"/>
      <c r="P2669" s="15"/>
      <c r="Q2669" s="14"/>
      <c r="R2669" s="14"/>
      <c r="S2669" s="14"/>
      <c r="T2669" s="14"/>
      <c r="U2669" s="15"/>
      <c r="V2669" s="14"/>
      <c r="W2669" s="14"/>
      <c r="X2669" s="14"/>
      <c r="Y2669" s="14"/>
      <c r="Z2669" s="14"/>
    </row>
    <row r="2670" spans="1:26" ht="13.2">
      <c r="A2670" s="13"/>
      <c r="B2670" s="14"/>
      <c r="C2670" s="14"/>
      <c r="D2670" s="14"/>
      <c r="E2670" s="14"/>
      <c r="F2670" s="14"/>
      <c r="G2670" s="14"/>
      <c r="H2670" s="14"/>
      <c r="I2670" s="14"/>
      <c r="J2670" s="14"/>
      <c r="K2670" s="14"/>
      <c r="L2670" s="15"/>
      <c r="M2670" s="15"/>
      <c r="N2670" s="15"/>
      <c r="O2670" s="15"/>
      <c r="P2670" s="15"/>
      <c r="Q2670" s="14"/>
      <c r="R2670" s="14"/>
      <c r="S2670" s="14"/>
      <c r="T2670" s="14"/>
      <c r="U2670" s="15"/>
      <c r="V2670" s="14"/>
      <c r="W2670" s="14"/>
      <c r="X2670" s="14"/>
      <c r="Y2670" s="14"/>
      <c r="Z2670" s="14"/>
    </row>
    <row r="2671" spans="1:26" ht="13.2">
      <c r="A2671" s="13"/>
      <c r="B2671" s="14"/>
      <c r="C2671" s="14"/>
      <c r="D2671" s="14"/>
      <c r="E2671" s="14"/>
      <c r="F2671" s="14"/>
      <c r="G2671" s="14"/>
      <c r="H2671" s="14"/>
      <c r="I2671" s="14"/>
      <c r="J2671" s="14"/>
      <c r="K2671" s="14"/>
      <c r="L2671" s="15"/>
      <c r="M2671" s="15"/>
      <c r="N2671" s="15"/>
      <c r="O2671" s="15"/>
      <c r="P2671" s="15"/>
      <c r="Q2671" s="14"/>
      <c r="R2671" s="14"/>
      <c r="S2671" s="14"/>
      <c r="T2671" s="14"/>
      <c r="U2671" s="15"/>
      <c r="V2671" s="14"/>
      <c r="W2671" s="14"/>
      <c r="X2671" s="14"/>
      <c r="Y2671" s="14"/>
      <c r="Z2671" s="14"/>
    </row>
    <row r="2672" spans="1:26" ht="13.2">
      <c r="A2672" s="13"/>
      <c r="B2672" s="14"/>
      <c r="C2672" s="14"/>
      <c r="D2672" s="14"/>
      <c r="E2672" s="14"/>
      <c r="F2672" s="14"/>
      <c r="G2672" s="14"/>
      <c r="H2672" s="14"/>
      <c r="I2672" s="14"/>
      <c r="J2672" s="14"/>
      <c r="K2672" s="14"/>
      <c r="L2672" s="15"/>
      <c r="M2672" s="15"/>
      <c r="N2672" s="15"/>
      <c r="O2672" s="15"/>
      <c r="P2672" s="15"/>
      <c r="Q2672" s="14"/>
      <c r="R2672" s="14"/>
      <c r="S2672" s="14"/>
      <c r="T2672" s="14"/>
      <c r="U2672" s="15"/>
      <c r="V2672" s="14"/>
      <c r="W2672" s="14"/>
      <c r="X2672" s="14"/>
      <c r="Y2672" s="14"/>
      <c r="Z2672" s="14"/>
    </row>
    <row r="2673" spans="1:26" ht="13.2">
      <c r="A2673" s="13"/>
      <c r="B2673" s="14"/>
      <c r="C2673" s="14"/>
      <c r="D2673" s="14"/>
      <c r="E2673" s="14"/>
      <c r="F2673" s="14"/>
      <c r="G2673" s="14"/>
      <c r="H2673" s="14"/>
      <c r="I2673" s="14"/>
      <c r="J2673" s="14"/>
      <c r="K2673" s="14"/>
      <c r="L2673" s="15"/>
      <c r="M2673" s="15"/>
      <c r="N2673" s="15"/>
      <c r="O2673" s="15"/>
      <c r="P2673" s="15"/>
      <c r="Q2673" s="14"/>
      <c r="R2673" s="14"/>
      <c r="S2673" s="14"/>
      <c r="T2673" s="14"/>
      <c r="U2673" s="15"/>
      <c r="V2673" s="14"/>
      <c r="W2673" s="14"/>
      <c r="X2673" s="14"/>
      <c r="Y2673" s="14"/>
      <c r="Z2673" s="14"/>
    </row>
    <row r="2674" spans="1:26" ht="13.2">
      <c r="A2674" s="13"/>
      <c r="B2674" s="14"/>
      <c r="C2674" s="14"/>
      <c r="D2674" s="14"/>
      <c r="E2674" s="14"/>
      <c r="F2674" s="14"/>
      <c r="G2674" s="14"/>
      <c r="H2674" s="14"/>
      <c r="I2674" s="14"/>
      <c r="J2674" s="14"/>
      <c r="K2674" s="14"/>
      <c r="L2674" s="15"/>
      <c r="M2674" s="15"/>
      <c r="N2674" s="15"/>
      <c r="O2674" s="15"/>
      <c r="P2674" s="15"/>
      <c r="Q2674" s="14"/>
      <c r="R2674" s="14"/>
      <c r="S2674" s="14"/>
      <c r="T2674" s="14"/>
      <c r="U2674" s="15"/>
      <c r="V2674" s="14"/>
      <c r="W2674" s="14"/>
      <c r="X2674" s="14"/>
      <c r="Y2674" s="14"/>
      <c r="Z2674" s="14"/>
    </row>
    <row r="2675" spans="1:26" ht="13.2">
      <c r="A2675" s="13"/>
      <c r="B2675" s="14"/>
      <c r="C2675" s="14"/>
      <c r="D2675" s="14"/>
      <c r="E2675" s="14"/>
      <c r="F2675" s="14"/>
      <c r="G2675" s="14"/>
      <c r="H2675" s="14"/>
      <c r="I2675" s="14"/>
      <c r="J2675" s="14"/>
      <c r="K2675" s="14"/>
      <c r="L2675" s="15"/>
      <c r="M2675" s="15"/>
      <c r="N2675" s="15"/>
      <c r="O2675" s="15"/>
      <c r="P2675" s="15"/>
      <c r="Q2675" s="14"/>
      <c r="R2675" s="14"/>
      <c r="S2675" s="14"/>
      <c r="T2675" s="14"/>
      <c r="U2675" s="15"/>
      <c r="V2675" s="14"/>
      <c r="W2675" s="14"/>
      <c r="X2675" s="14"/>
      <c r="Y2675" s="14"/>
      <c r="Z2675" s="14"/>
    </row>
    <row r="2676" spans="1:26" ht="13.2">
      <c r="A2676" s="13"/>
      <c r="B2676" s="14"/>
      <c r="C2676" s="14"/>
      <c r="D2676" s="14"/>
      <c r="E2676" s="14"/>
      <c r="F2676" s="14"/>
      <c r="G2676" s="14"/>
      <c r="H2676" s="14"/>
      <c r="I2676" s="14"/>
      <c r="J2676" s="14"/>
      <c r="K2676" s="14"/>
      <c r="L2676" s="15"/>
      <c r="M2676" s="15"/>
      <c r="N2676" s="15"/>
      <c r="O2676" s="15"/>
      <c r="P2676" s="15"/>
      <c r="Q2676" s="14"/>
      <c r="R2676" s="14"/>
      <c r="S2676" s="14"/>
      <c r="T2676" s="14"/>
      <c r="U2676" s="15"/>
      <c r="V2676" s="14"/>
      <c r="W2676" s="14"/>
      <c r="X2676" s="14"/>
      <c r="Y2676" s="14"/>
      <c r="Z2676" s="14"/>
    </row>
    <row r="2677" spans="1:26" ht="13.2">
      <c r="A2677" s="13"/>
      <c r="B2677" s="14"/>
      <c r="C2677" s="14"/>
      <c r="D2677" s="14"/>
      <c r="E2677" s="14"/>
      <c r="F2677" s="14"/>
      <c r="G2677" s="14"/>
      <c r="H2677" s="14"/>
      <c r="I2677" s="14"/>
      <c r="J2677" s="14"/>
      <c r="K2677" s="14"/>
      <c r="L2677" s="15"/>
      <c r="M2677" s="15"/>
      <c r="N2677" s="15"/>
      <c r="O2677" s="15"/>
      <c r="P2677" s="15"/>
      <c r="Q2677" s="14"/>
      <c r="R2677" s="14"/>
      <c r="S2677" s="14"/>
      <c r="T2677" s="14"/>
      <c r="U2677" s="15"/>
      <c r="V2677" s="14"/>
      <c r="W2677" s="14"/>
      <c r="X2677" s="14"/>
      <c r="Y2677" s="14"/>
      <c r="Z2677" s="14"/>
    </row>
    <row r="2678" spans="1:26" ht="13.2">
      <c r="A2678" s="13"/>
      <c r="B2678" s="14"/>
      <c r="C2678" s="14"/>
      <c r="D2678" s="14"/>
      <c r="E2678" s="14"/>
      <c r="F2678" s="14"/>
      <c r="G2678" s="14"/>
      <c r="H2678" s="14"/>
      <c r="I2678" s="14"/>
      <c r="J2678" s="14"/>
      <c r="K2678" s="14"/>
      <c r="L2678" s="15"/>
      <c r="M2678" s="15"/>
      <c r="N2678" s="15"/>
      <c r="O2678" s="15"/>
      <c r="P2678" s="15"/>
      <c r="Q2678" s="14"/>
      <c r="R2678" s="14"/>
      <c r="S2678" s="14"/>
      <c r="T2678" s="14"/>
      <c r="U2678" s="15"/>
      <c r="V2678" s="14"/>
      <c r="W2678" s="14"/>
      <c r="X2678" s="14"/>
      <c r="Y2678" s="14"/>
      <c r="Z2678" s="14"/>
    </row>
    <row r="2679" spans="1:26" ht="13.2">
      <c r="A2679" s="13"/>
      <c r="B2679" s="14"/>
      <c r="C2679" s="14"/>
      <c r="D2679" s="14"/>
      <c r="E2679" s="14"/>
      <c r="F2679" s="14"/>
      <c r="G2679" s="14"/>
      <c r="H2679" s="14"/>
      <c r="I2679" s="14"/>
      <c r="J2679" s="14"/>
      <c r="K2679" s="14"/>
      <c r="L2679" s="15"/>
      <c r="M2679" s="15"/>
      <c r="N2679" s="15"/>
      <c r="O2679" s="15"/>
      <c r="P2679" s="15"/>
      <c r="Q2679" s="14"/>
      <c r="R2679" s="14"/>
      <c r="S2679" s="14"/>
      <c r="T2679" s="14"/>
      <c r="U2679" s="15"/>
      <c r="V2679" s="14"/>
      <c r="W2679" s="14"/>
      <c r="X2679" s="14"/>
      <c r="Y2679" s="14"/>
      <c r="Z2679" s="14"/>
    </row>
    <row r="2680" spans="1:26" ht="13.2">
      <c r="A2680" s="13"/>
      <c r="B2680" s="14"/>
      <c r="C2680" s="14"/>
      <c r="D2680" s="14"/>
      <c r="E2680" s="14"/>
      <c r="F2680" s="14"/>
      <c r="G2680" s="14"/>
      <c r="H2680" s="14"/>
      <c r="I2680" s="14"/>
      <c r="J2680" s="14"/>
      <c r="K2680" s="14"/>
      <c r="L2680" s="15"/>
      <c r="M2680" s="15"/>
      <c r="N2680" s="15"/>
      <c r="O2680" s="15"/>
      <c r="P2680" s="15"/>
      <c r="Q2680" s="14"/>
      <c r="R2680" s="14"/>
      <c r="S2680" s="14"/>
      <c r="T2680" s="14"/>
      <c r="U2680" s="15"/>
      <c r="V2680" s="14"/>
      <c r="W2680" s="14"/>
      <c r="X2680" s="14"/>
      <c r="Y2680" s="14"/>
      <c r="Z2680" s="14"/>
    </row>
    <row r="2681" spans="1:26" ht="13.2">
      <c r="A2681" s="13"/>
      <c r="B2681" s="14"/>
      <c r="C2681" s="14"/>
      <c r="D2681" s="14"/>
      <c r="E2681" s="14"/>
      <c r="F2681" s="14"/>
      <c r="G2681" s="14"/>
      <c r="H2681" s="14"/>
      <c r="I2681" s="14"/>
      <c r="J2681" s="14"/>
      <c r="K2681" s="14"/>
      <c r="L2681" s="15"/>
      <c r="M2681" s="15"/>
      <c r="N2681" s="15"/>
      <c r="O2681" s="15"/>
      <c r="P2681" s="15"/>
      <c r="Q2681" s="14"/>
      <c r="R2681" s="14"/>
      <c r="S2681" s="14"/>
      <c r="T2681" s="14"/>
      <c r="U2681" s="15"/>
      <c r="V2681" s="14"/>
      <c r="W2681" s="14"/>
      <c r="X2681" s="14"/>
      <c r="Y2681" s="14"/>
      <c r="Z2681" s="14"/>
    </row>
    <row r="2682" spans="1:26" ht="13.2">
      <c r="A2682" s="13"/>
      <c r="B2682" s="14"/>
      <c r="C2682" s="14"/>
      <c r="D2682" s="14"/>
      <c r="E2682" s="14"/>
      <c r="F2682" s="14"/>
      <c r="G2682" s="14"/>
      <c r="H2682" s="14"/>
      <c r="I2682" s="14"/>
      <c r="J2682" s="14"/>
      <c r="K2682" s="14"/>
      <c r="L2682" s="15"/>
      <c r="M2682" s="15"/>
      <c r="N2682" s="15"/>
      <c r="O2682" s="15"/>
      <c r="P2682" s="15"/>
      <c r="Q2682" s="14"/>
      <c r="R2682" s="14"/>
      <c r="S2682" s="14"/>
      <c r="T2682" s="14"/>
      <c r="U2682" s="15"/>
      <c r="V2682" s="14"/>
      <c r="W2682" s="14"/>
      <c r="X2682" s="14"/>
      <c r="Y2682" s="14"/>
      <c r="Z2682" s="14"/>
    </row>
    <row r="2683" spans="1:26" ht="13.2">
      <c r="A2683" s="13"/>
      <c r="B2683" s="14"/>
      <c r="C2683" s="14"/>
      <c r="D2683" s="14"/>
      <c r="E2683" s="14"/>
      <c r="F2683" s="14"/>
      <c r="G2683" s="14"/>
      <c r="H2683" s="14"/>
      <c r="I2683" s="14"/>
      <c r="J2683" s="14"/>
      <c r="K2683" s="14"/>
      <c r="L2683" s="15"/>
      <c r="M2683" s="15"/>
      <c r="N2683" s="15"/>
      <c r="O2683" s="15"/>
      <c r="P2683" s="15"/>
      <c r="Q2683" s="14"/>
      <c r="R2683" s="14"/>
      <c r="S2683" s="14"/>
      <c r="T2683" s="14"/>
      <c r="U2683" s="15"/>
      <c r="V2683" s="14"/>
      <c r="W2683" s="14"/>
      <c r="X2683" s="14"/>
      <c r="Y2683" s="14"/>
      <c r="Z2683" s="14"/>
    </row>
    <row r="2684" spans="1:26" ht="13.2">
      <c r="A2684" s="13"/>
      <c r="B2684" s="14"/>
      <c r="C2684" s="14"/>
      <c r="D2684" s="14"/>
      <c r="E2684" s="14"/>
      <c r="F2684" s="14"/>
      <c r="G2684" s="14"/>
      <c r="H2684" s="14"/>
      <c r="I2684" s="14"/>
      <c r="J2684" s="14"/>
      <c r="K2684" s="14"/>
      <c r="L2684" s="15"/>
      <c r="M2684" s="15"/>
      <c r="N2684" s="15"/>
      <c r="O2684" s="15"/>
      <c r="P2684" s="15"/>
      <c r="Q2684" s="14"/>
      <c r="R2684" s="14"/>
      <c r="S2684" s="14"/>
      <c r="T2684" s="14"/>
      <c r="U2684" s="15"/>
      <c r="V2684" s="14"/>
      <c r="W2684" s="14"/>
      <c r="X2684" s="14"/>
      <c r="Y2684" s="14"/>
      <c r="Z2684" s="14"/>
    </row>
    <row r="2685" spans="1:26" ht="13.2">
      <c r="A2685" s="13"/>
      <c r="B2685" s="14"/>
      <c r="C2685" s="14"/>
      <c r="D2685" s="14"/>
      <c r="E2685" s="14"/>
      <c r="F2685" s="14"/>
      <c r="G2685" s="14"/>
      <c r="H2685" s="14"/>
      <c r="I2685" s="14"/>
      <c r="J2685" s="14"/>
      <c r="K2685" s="14"/>
      <c r="L2685" s="15"/>
      <c r="M2685" s="15"/>
      <c r="N2685" s="15"/>
      <c r="O2685" s="15"/>
      <c r="P2685" s="15"/>
      <c r="Q2685" s="14"/>
      <c r="R2685" s="14"/>
      <c r="S2685" s="14"/>
      <c r="T2685" s="14"/>
      <c r="U2685" s="15"/>
      <c r="V2685" s="14"/>
      <c r="W2685" s="14"/>
      <c r="X2685" s="14"/>
      <c r="Y2685" s="14"/>
      <c r="Z2685" s="14"/>
    </row>
    <row r="2686" spans="1:26" ht="13.2">
      <c r="A2686" s="13"/>
      <c r="B2686" s="14"/>
      <c r="C2686" s="14"/>
      <c r="D2686" s="14"/>
      <c r="E2686" s="14"/>
      <c r="F2686" s="14"/>
      <c r="G2686" s="14"/>
      <c r="H2686" s="14"/>
      <c r="I2686" s="14"/>
      <c r="J2686" s="14"/>
      <c r="K2686" s="14"/>
      <c r="L2686" s="15"/>
      <c r="M2686" s="15"/>
      <c r="N2686" s="15"/>
      <c r="O2686" s="15"/>
      <c r="P2686" s="15"/>
      <c r="Q2686" s="14"/>
      <c r="R2686" s="14"/>
      <c r="S2686" s="14"/>
      <c r="T2686" s="14"/>
      <c r="U2686" s="15"/>
      <c r="V2686" s="14"/>
      <c r="W2686" s="14"/>
      <c r="X2686" s="14"/>
      <c r="Y2686" s="14"/>
      <c r="Z2686" s="14"/>
    </row>
    <row r="2687" spans="1:26" ht="13.2">
      <c r="A2687" s="13"/>
      <c r="B2687" s="14"/>
      <c r="C2687" s="14"/>
      <c r="D2687" s="14"/>
      <c r="E2687" s="14"/>
      <c r="F2687" s="14"/>
      <c r="G2687" s="14"/>
      <c r="H2687" s="14"/>
      <c r="I2687" s="14"/>
      <c r="J2687" s="14"/>
      <c r="K2687" s="14"/>
      <c r="L2687" s="15"/>
      <c r="M2687" s="15"/>
      <c r="N2687" s="15"/>
      <c r="O2687" s="15"/>
      <c r="P2687" s="15"/>
      <c r="Q2687" s="14"/>
      <c r="R2687" s="14"/>
      <c r="S2687" s="14"/>
      <c r="T2687" s="14"/>
      <c r="U2687" s="15"/>
      <c r="V2687" s="14"/>
      <c r="W2687" s="14"/>
      <c r="X2687" s="14"/>
      <c r="Y2687" s="14"/>
      <c r="Z2687" s="14"/>
    </row>
    <row r="2688" spans="1:26" ht="13.2">
      <c r="A2688" s="13"/>
      <c r="B2688" s="14"/>
      <c r="C2688" s="14"/>
      <c r="D2688" s="14"/>
      <c r="E2688" s="14"/>
      <c r="F2688" s="14"/>
      <c r="G2688" s="14"/>
      <c r="H2688" s="14"/>
      <c r="I2688" s="14"/>
      <c r="J2688" s="14"/>
      <c r="K2688" s="14"/>
      <c r="L2688" s="15"/>
      <c r="M2688" s="15"/>
      <c r="N2688" s="15"/>
      <c r="O2688" s="15"/>
      <c r="P2688" s="15"/>
      <c r="Q2688" s="14"/>
      <c r="R2688" s="14"/>
      <c r="S2688" s="14"/>
      <c r="T2688" s="14"/>
      <c r="U2688" s="15"/>
      <c r="V2688" s="14"/>
      <c r="W2688" s="14"/>
      <c r="X2688" s="14"/>
      <c r="Y2688" s="14"/>
      <c r="Z2688" s="14"/>
    </row>
    <row r="2689" spans="1:26" ht="13.2">
      <c r="A2689" s="13"/>
      <c r="B2689" s="14"/>
      <c r="C2689" s="14"/>
      <c r="D2689" s="14"/>
      <c r="E2689" s="14"/>
      <c r="F2689" s="14"/>
      <c r="G2689" s="14"/>
      <c r="H2689" s="14"/>
      <c r="I2689" s="14"/>
      <c r="J2689" s="14"/>
      <c r="K2689" s="14"/>
      <c r="L2689" s="15"/>
      <c r="M2689" s="15"/>
      <c r="N2689" s="15"/>
      <c r="O2689" s="15"/>
      <c r="P2689" s="15"/>
      <c r="Q2689" s="14"/>
      <c r="R2689" s="14"/>
      <c r="S2689" s="14"/>
      <c r="T2689" s="14"/>
      <c r="U2689" s="15"/>
      <c r="V2689" s="14"/>
      <c r="W2689" s="14"/>
      <c r="X2689" s="14"/>
      <c r="Y2689" s="14"/>
      <c r="Z2689" s="14"/>
    </row>
    <row r="2690" spans="1:26" ht="13.2">
      <c r="A2690" s="13"/>
      <c r="B2690" s="14"/>
      <c r="C2690" s="14"/>
      <c r="D2690" s="14"/>
      <c r="E2690" s="14"/>
      <c r="F2690" s="14"/>
      <c r="G2690" s="14"/>
      <c r="H2690" s="14"/>
      <c r="I2690" s="14"/>
      <c r="J2690" s="14"/>
      <c r="K2690" s="14"/>
      <c r="L2690" s="15"/>
      <c r="M2690" s="15"/>
      <c r="N2690" s="15"/>
      <c r="O2690" s="15"/>
      <c r="P2690" s="15"/>
      <c r="Q2690" s="14"/>
      <c r="R2690" s="14"/>
      <c r="S2690" s="14"/>
      <c r="T2690" s="14"/>
      <c r="U2690" s="15"/>
      <c r="V2690" s="14"/>
      <c r="W2690" s="14"/>
      <c r="X2690" s="14"/>
      <c r="Y2690" s="14"/>
      <c r="Z2690" s="14"/>
    </row>
    <row r="2691" spans="1:26" ht="13.2">
      <c r="A2691" s="13"/>
      <c r="B2691" s="14"/>
      <c r="C2691" s="14"/>
      <c r="D2691" s="14"/>
      <c r="E2691" s="14"/>
      <c r="F2691" s="14"/>
      <c r="G2691" s="14"/>
      <c r="H2691" s="14"/>
      <c r="I2691" s="14"/>
      <c r="J2691" s="14"/>
      <c r="K2691" s="14"/>
      <c r="L2691" s="15"/>
      <c r="M2691" s="15"/>
      <c r="N2691" s="15"/>
      <c r="O2691" s="15"/>
      <c r="P2691" s="15"/>
      <c r="Q2691" s="14"/>
      <c r="R2691" s="14"/>
      <c r="S2691" s="14"/>
      <c r="T2691" s="14"/>
      <c r="U2691" s="15"/>
      <c r="V2691" s="14"/>
      <c r="W2691" s="14"/>
      <c r="X2691" s="14"/>
      <c r="Y2691" s="14"/>
      <c r="Z2691" s="14"/>
    </row>
    <row r="2692" spans="1:26" ht="13.2">
      <c r="A2692" s="13"/>
      <c r="B2692" s="14"/>
      <c r="C2692" s="14"/>
      <c r="D2692" s="14"/>
      <c r="E2692" s="14"/>
      <c r="F2692" s="14"/>
      <c r="G2692" s="14"/>
      <c r="H2692" s="14"/>
      <c r="I2692" s="14"/>
      <c r="J2692" s="14"/>
      <c r="K2692" s="14"/>
      <c r="L2692" s="15"/>
      <c r="M2692" s="15"/>
      <c r="N2692" s="15"/>
      <c r="O2692" s="15"/>
      <c r="P2692" s="15"/>
      <c r="Q2692" s="14"/>
      <c r="R2692" s="14"/>
      <c r="S2692" s="14"/>
      <c r="T2692" s="14"/>
      <c r="U2692" s="15"/>
      <c r="V2692" s="14"/>
      <c r="W2692" s="14"/>
      <c r="X2692" s="14"/>
      <c r="Y2692" s="14"/>
      <c r="Z2692" s="14"/>
    </row>
    <row r="2693" spans="1:26" ht="13.2">
      <c r="A2693" s="13"/>
      <c r="B2693" s="14"/>
      <c r="C2693" s="14"/>
      <c r="D2693" s="14"/>
      <c r="E2693" s="14"/>
      <c r="F2693" s="14"/>
      <c r="G2693" s="14"/>
      <c r="H2693" s="14"/>
      <c r="I2693" s="14"/>
      <c r="J2693" s="14"/>
      <c r="K2693" s="14"/>
      <c r="L2693" s="15"/>
      <c r="M2693" s="15"/>
      <c r="N2693" s="15"/>
      <c r="O2693" s="15"/>
      <c r="P2693" s="15"/>
      <c r="Q2693" s="14"/>
      <c r="R2693" s="14"/>
      <c r="S2693" s="14"/>
      <c r="T2693" s="14"/>
      <c r="U2693" s="15"/>
      <c r="V2693" s="14"/>
      <c r="W2693" s="14"/>
      <c r="X2693" s="14"/>
      <c r="Y2693" s="14"/>
      <c r="Z2693" s="14"/>
    </row>
    <row r="2694" spans="1:26" ht="13.2">
      <c r="A2694" s="13"/>
      <c r="B2694" s="14"/>
      <c r="C2694" s="14"/>
      <c r="D2694" s="14"/>
      <c r="E2694" s="14"/>
      <c r="F2694" s="14"/>
      <c r="G2694" s="14"/>
      <c r="H2694" s="14"/>
      <c r="I2694" s="14"/>
      <c r="J2694" s="14"/>
      <c r="K2694" s="14"/>
      <c r="L2694" s="15"/>
      <c r="M2694" s="15"/>
      <c r="N2694" s="15"/>
      <c r="O2694" s="15"/>
      <c r="P2694" s="15"/>
      <c r="Q2694" s="14"/>
      <c r="R2694" s="14"/>
      <c r="S2694" s="14"/>
      <c r="T2694" s="14"/>
      <c r="U2694" s="15"/>
      <c r="V2694" s="14"/>
      <c r="W2694" s="14"/>
      <c r="X2694" s="14"/>
      <c r="Y2694" s="14"/>
      <c r="Z2694" s="14"/>
    </row>
    <row r="2695" spans="1:26" ht="13.2">
      <c r="A2695" s="13"/>
      <c r="B2695" s="14"/>
      <c r="C2695" s="14"/>
      <c r="D2695" s="14"/>
      <c r="E2695" s="14"/>
      <c r="F2695" s="14"/>
      <c r="G2695" s="14"/>
      <c r="H2695" s="14"/>
      <c r="I2695" s="14"/>
      <c r="J2695" s="14"/>
      <c r="K2695" s="14"/>
      <c r="L2695" s="15"/>
      <c r="M2695" s="15"/>
      <c r="N2695" s="15"/>
      <c r="O2695" s="15"/>
      <c r="P2695" s="15"/>
      <c r="Q2695" s="14"/>
      <c r="R2695" s="14"/>
      <c r="S2695" s="14"/>
      <c r="T2695" s="14"/>
      <c r="U2695" s="15"/>
      <c r="V2695" s="14"/>
      <c r="W2695" s="14"/>
      <c r="X2695" s="14"/>
      <c r="Y2695" s="14"/>
      <c r="Z2695" s="14"/>
    </row>
    <row r="2696" spans="1:26" ht="13.2">
      <c r="A2696" s="13"/>
      <c r="B2696" s="14"/>
      <c r="C2696" s="14"/>
      <c r="D2696" s="14"/>
      <c r="E2696" s="14"/>
      <c r="F2696" s="14"/>
      <c r="G2696" s="14"/>
      <c r="H2696" s="14"/>
      <c r="I2696" s="14"/>
      <c r="J2696" s="14"/>
      <c r="K2696" s="14"/>
      <c r="L2696" s="15"/>
      <c r="M2696" s="15"/>
      <c r="N2696" s="15"/>
      <c r="O2696" s="15"/>
      <c r="P2696" s="15"/>
      <c r="Q2696" s="14"/>
      <c r="R2696" s="14"/>
      <c r="S2696" s="14"/>
      <c r="T2696" s="14"/>
      <c r="U2696" s="15"/>
      <c r="V2696" s="14"/>
      <c r="W2696" s="14"/>
      <c r="X2696" s="14"/>
      <c r="Y2696" s="14"/>
      <c r="Z2696" s="14"/>
    </row>
    <row r="2697" spans="1:26" ht="13.2">
      <c r="A2697" s="13"/>
      <c r="B2697" s="14"/>
      <c r="C2697" s="14"/>
      <c r="D2697" s="14"/>
      <c r="E2697" s="14"/>
      <c r="F2697" s="14"/>
      <c r="G2697" s="14"/>
      <c r="H2697" s="14"/>
      <c r="I2697" s="14"/>
      <c r="J2697" s="14"/>
      <c r="K2697" s="14"/>
      <c r="L2697" s="15"/>
      <c r="M2697" s="15"/>
      <c r="N2697" s="15"/>
      <c r="O2697" s="15"/>
      <c r="P2697" s="15"/>
      <c r="Q2697" s="14"/>
      <c r="R2697" s="14"/>
      <c r="S2697" s="14"/>
      <c r="T2697" s="14"/>
      <c r="U2697" s="15"/>
      <c r="V2697" s="14"/>
      <c r="W2697" s="14"/>
      <c r="X2697" s="14"/>
      <c r="Y2697" s="14"/>
      <c r="Z2697" s="14"/>
    </row>
    <row r="2698" spans="1:26" ht="13.2">
      <c r="A2698" s="13"/>
      <c r="B2698" s="14"/>
      <c r="C2698" s="14"/>
      <c r="D2698" s="14"/>
      <c r="E2698" s="14"/>
      <c r="F2698" s="14"/>
      <c r="G2698" s="14"/>
      <c r="H2698" s="14"/>
      <c r="I2698" s="14"/>
      <c r="J2698" s="14"/>
      <c r="K2698" s="14"/>
      <c r="L2698" s="15"/>
      <c r="M2698" s="15"/>
      <c r="N2698" s="15"/>
      <c r="O2698" s="15"/>
      <c r="P2698" s="15"/>
      <c r="Q2698" s="14"/>
      <c r="R2698" s="14"/>
      <c r="S2698" s="14"/>
      <c r="T2698" s="14"/>
      <c r="U2698" s="15"/>
      <c r="V2698" s="14"/>
      <c r="W2698" s="14"/>
      <c r="X2698" s="14"/>
      <c r="Y2698" s="14"/>
      <c r="Z2698" s="14"/>
    </row>
    <row r="2699" spans="1:26" ht="13.2">
      <c r="A2699" s="13"/>
      <c r="B2699" s="14"/>
      <c r="C2699" s="14"/>
      <c r="D2699" s="14"/>
      <c r="E2699" s="14"/>
      <c r="F2699" s="14"/>
      <c r="G2699" s="14"/>
      <c r="H2699" s="14"/>
      <c r="I2699" s="14"/>
      <c r="J2699" s="14"/>
      <c r="K2699" s="14"/>
      <c r="L2699" s="15"/>
      <c r="M2699" s="15"/>
      <c r="N2699" s="15"/>
      <c r="O2699" s="15"/>
      <c r="P2699" s="15"/>
      <c r="Q2699" s="14"/>
      <c r="R2699" s="14"/>
      <c r="S2699" s="14"/>
      <c r="T2699" s="14"/>
      <c r="U2699" s="15"/>
      <c r="V2699" s="14"/>
      <c r="W2699" s="14"/>
      <c r="X2699" s="14"/>
      <c r="Y2699" s="14"/>
      <c r="Z2699" s="14"/>
    </row>
    <row r="2700" spans="1:26" ht="13.2">
      <c r="A2700" s="13"/>
      <c r="B2700" s="14"/>
      <c r="C2700" s="14"/>
      <c r="D2700" s="14"/>
      <c r="E2700" s="14"/>
      <c r="F2700" s="14"/>
      <c r="G2700" s="14"/>
      <c r="H2700" s="14"/>
      <c r="I2700" s="14"/>
      <c r="J2700" s="14"/>
      <c r="K2700" s="14"/>
      <c r="L2700" s="15"/>
      <c r="M2700" s="15"/>
      <c r="N2700" s="15"/>
      <c r="O2700" s="15"/>
      <c r="P2700" s="15"/>
      <c r="Q2700" s="14"/>
      <c r="R2700" s="14"/>
      <c r="S2700" s="14"/>
      <c r="T2700" s="14"/>
      <c r="U2700" s="15"/>
      <c r="V2700" s="14"/>
      <c r="W2700" s="14"/>
      <c r="X2700" s="14"/>
      <c r="Y2700" s="14"/>
      <c r="Z2700" s="14"/>
    </row>
    <row r="2701" spans="1:26" ht="13.2">
      <c r="A2701" s="13"/>
      <c r="B2701" s="14"/>
      <c r="C2701" s="14"/>
      <c r="D2701" s="14"/>
      <c r="E2701" s="14"/>
      <c r="F2701" s="14"/>
      <c r="G2701" s="14"/>
      <c r="H2701" s="14"/>
      <c r="I2701" s="14"/>
      <c r="J2701" s="14"/>
      <c r="K2701" s="14"/>
      <c r="L2701" s="15"/>
      <c r="M2701" s="15"/>
      <c r="N2701" s="15"/>
      <c r="O2701" s="15"/>
      <c r="P2701" s="15"/>
      <c r="Q2701" s="14"/>
      <c r="R2701" s="14"/>
      <c r="S2701" s="14"/>
      <c r="T2701" s="14"/>
      <c r="U2701" s="15"/>
      <c r="V2701" s="14"/>
      <c r="W2701" s="14"/>
      <c r="X2701" s="14"/>
      <c r="Y2701" s="14"/>
      <c r="Z2701" s="14"/>
    </row>
    <row r="2702" spans="1:26" ht="13.2">
      <c r="A2702" s="13"/>
      <c r="B2702" s="14"/>
      <c r="C2702" s="14"/>
      <c r="D2702" s="14"/>
      <c r="E2702" s="14"/>
      <c r="F2702" s="14"/>
      <c r="G2702" s="14"/>
      <c r="H2702" s="14"/>
      <c r="I2702" s="14"/>
      <c r="J2702" s="14"/>
      <c r="K2702" s="14"/>
      <c r="L2702" s="15"/>
      <c r="M2702" s="15"/>
      <c r="N2702" s="15"/>
      <c r="O2702" s="15"/>
      <c r="P2702" s="15"/>
      <c r="Q2702" s="14"/>
      <c r="R2702" s="14"/>
      <c r="S2702" s="14"/>
      <c r="T2702" s="14"/>
      <c r="U2702" s="15"/>
      <c r="V2702" s="14"/>
      <c r="W2702" s="14"/>
      <c r="X2702" s="14"/>
      <c r="Y2702" s="14"/>
      <c r="Z2702" s="14"/>
    </row>
    <row r="2703" spans="1:26" ht="13.2">
      <c r="A2703" s="13"/>
      <c r="B2703" s="14"/>
      <c r="C2703" s="14"/>
      <c r="D2703" s="14"/>
      <c r="E2703" s="14"/>
      <c r="F2703" s="14"/>
      <c r="G2703" s="14"/>
      <c r="H2703" s="14"/>
      <c r="I2703" s="14"/>
      <c r="J2703" s="14"/>
      <c r="K2703" s="14"/>
      <c r="L2703" s="15"/>
      <c r="M2703" s="15"/>
      <c r="N2703" s="15"/>
      <c r="O2703" s="15"/>
      <c r="P2703" s="15"/>
      <c r="Q2703" s="14"/>
      <c r="R2703" s="14"/>
      <c r="S2703" s="14"/>
      <c r="T2703" s="14"/>
      <c r="U2703" s="15"/>
      <c r="V2703" s="14"/>
      <c r="W2703" s="14"/>
      <c r="X2703" s="14"/>
      <c r="Y2703" s="14"/>
      <c r="Z2703" s="14"/>
    </row>
    <row r="2704" spans="1:26" ht="13.2">
      <c r="A2704" s="13"/>
      <c r="B2704" s="14"/>
      <c r="C2704" s="14"/>
      <c r="D2704" s="14"/>
      <c r="E2704" s="14"/>
      <c r="F2704" s="14"/>
      <c r="G2704" s="14"/>
      <c r="H2704" s="14"/>
      <c r="I2704" s="14"/>
      <c r="J2704" s="14"/>
      <c r="K2704" s="14"/>
      <c r="L2704" s="15"/>
      <c r="M2704" s="15"/>
      <c r="N2704" s="15"/>
      <c r="O2704" s="15"/>
      <c r="P2704" s="15"/>
      <c r="Q2704" s="14"/>
      <c r="R2704" s="14"/>
      <c r="S2704" s="14"/>
      <c r="T2704" s="14"/>
      <c r="U2704" s="15"/>
      <c r="V2704" s="14"/>
      <c r="W2704" s="14"/>
      <c r="X2704" s="14"/>
      <c r="Y2704" s="14"/>
      <c r="Z2704" s="14"/>
    </row>
    <row r="2705" spans="1:26" ht="13.2">
      <c r="A2705" s="13"/>
      <c r="B2705" s="14"/>
      <c r="C2705" s="14"/>
      <c r="D2705" s="14"/>
      <c r="E2705" s="14"/>
      <c r="F2705" s="14"/>
      <c r="G2705" s="14"/>
      <c r="H2705" s="14"/>
      <c r="I2705" s="14"/>
      <c r="J2705" s="14"/>
      <c r="K2705" s="14"/>
      <c r="L2705" s="15"/>
      <c r="M2705" s="15"/>
      <c r="N2705" s="15"/>
      <c r="O2705" s="15"/>
      <c r="P2705" s="15"/>
      <c r="Q2705" s="14"/>
      <c r="R2705" s="14"/>
      <c r="S2705" s="14"/>
      <c r="T2705" s="14"/>
      <c r="U2705" s="15"/>
      <c r="V2705" s="14"/>
      <c r="W2705" s="14"/>
      <c r="X2705" s="14"/>
      <c r="Y2705" s="14"/>
      <c r="Z2705" s="14"/>
    </row>
    <row r="2706" spans="1:26" ht="13.2">
      <c r="A2706" s="13"/>
      <c r="B2706" s="14"/>
      <c r="C2706" s="14"/>
      <c r="D2706" s="14"/>
      <c r="E2706" s="14"/>
      <c r="F2706" s="14"/>
      <c r="G2706" s="14"/>
      <c r="H2706" s="14"/>
      <c r="I2706" s="14"/>
      <c r="J2706" s="14"/>
      <c r="K2706" s="14"/>
      <c r="L2706" s="15"/>
      <c r="M2706" s="15"/>
      <c r="N2706" s="15"/>
      <c r="O2706" s="15"/>
      <c r="P2706" s="15"/>
      <c r="Q2706" s="14"/>
      <c r="R2706" s="14"/>
      <c r="S2706" s="14"/>
      <c r="T2706" s="14"/>
      <c r="U2706" s="15"/>
      <c r="V2706" s="14"/>
      <c r="W2706" s="14"/>
      <c r="X2706" s="14"/>
      <c r="Y2706" s="14"/>
      <c r="Z2706" s="14"/>
    </row>
    <row r="2707" spans="1:26" ht="13.2">
      <c r="A2707" s="13"/>
      <c r="B2707" s="14"/>
      <c r="C2707" s="14"/>
      <c r="D2707" s="14"/>
      <c r="E2707" s="14"/>
      <c r="F2707" s="14"/>
      <c r="G2707" s="14"/>
      <c r="H2707" s="14"/>
      <c r="I2707" s="14"/>
      <c r="J2707" s="14"/>
      <c r="K2707" s="14"/>
      <c r="L2707" s="15"/>
      <c r="M2707" s="15"/>
      <c r="N2707" s="15"/>
      <c r="O2707" s="15"/>
      <c r="P2707" s="15"/>
      <c r="Q2707" s="14"/>
      <c r="R2707" s="14"/>
      <c r="S2707" s="14"/>
      <c r="T2707" s="14"/>
      <c r="U2707" s="15"/>
      <c r="V2707" s="14"/>
      <c r="W2707" s="14"/>
      <c r="X2707" s="14"/>
      <c r="Y2707" s="14"/>
      <c r="Z2707" s="14"/>
    </row>
    <row r="2708" spans="1:26" ht="13.2">
      <c r="A2708" s="13"/>
      <c r="B2708" s="14"/>
      <c r="C2708" s="14"/>
      <c r="D2708" s="14"/>
      <c r="E2708" s="14"/>
      <c r="F2708" s="14"/>
      <c r="G2708" s="14"/>
      <c r="H2708" s="14"/>
      <c r="I2708" s="14"/>
      <c r="J2708" s="14"/>
      <c r="K2708" s="14"/>
      <c r="L2708" s="15"/>
      <c r="M2708" s="15"/>
      <c r="N2708" s="15"/>
      <c r="O2708" s="15"/>
      <c r="P2708" s="15"/>
      <c r="Q2708" s="14"/>
      <c r="R2708" s="14"/>
      <c r="S2708" s="14"/>
      <c r="T2708" s="14"/>
      <c r="U2708" s="15"/>
      <c r="V2708" s="14"/>
      <c r="W2708" s="14"/>
      <c r="X2708" s="14"/>
      <c r="Y2708" s="14"/>
      <c r="Z2708" s="14"/>
    </row>
    <row r="2709" spans="1:26" ht="13.2">
      <c r="A2709" s="13"/>
      <c r="B2709" s="14"/>
      <c r="C2709" s="14"/>
      <c r="D2709" s="14"/>
      <c r="E2709" s="14"/>
      <c r="F2709" s="14"/>
      <c r="G2709" s="14"/>
      <c r="H2709" s="14"/>
      <c r="I2709" s="14"/>
      <c r="J2709" s="14"/>
      <c r="K2709" s="14"/>
      <c r="L2709" s="15"/>
      <c r="M2709" s="15"/>
      <c r="N2709" s="15"/>
      <c r="O2709" s="15"/>
      <c r="P2709" s="15"/>
      <c r="Q2709" s="14"/>
      <c r="R2709" s="14"/>
      <c r="S2709" s="14"/>
      <c r="T2709" s="14"/>
      <c r="U2709" s="15"/>
      <c r="V2709" s="14"/>
      <c r="W2709" s="14"/>
      <c r="X2709" s="14"/>
      <c r="Y2709" s="14"/>
      <c r="Z2709" s="14"/>
    </row>
    <row r="2710" spans="1:26" ht="13.2">
      <c r="A2710" s="13"/>
      <c r="B2710" s="14"/>
      <c r="C2710" s="14"/>
      <c r="D2710" s="14"/>
      <c r="E2710" s="14"/>
      <c r="F2710" s="14"/>
      <c r="G2710" s="14"/>
      <c r="H2710" s="14"/>
      <c r="I2710" s="14"/>
      <c r="J2710" s="14"/>
      <c r="K2710" s="14"/>
      <c r="L2710" s="15"/>
      <c r="M2710" s="15"/>
      <c r="N2710" s="15"/>
      <c r="O2710" s="15"/>
      <c r="P2710" s="15"/>
      <c r="Q2710" s="14"/>
      <c r="R2710" s="14"/>
      <c r="S2710" s="14"/>
      <c r="T2710" s="14"/>
      <c r="U2710" s="15"/>
      <c r="V2710" s="14"/>
      <c r="W2710" s="14"/>
      <c r="X2710" s="14"/>
      <c r="Y2710" s="14"/>
      <c r="Z2710" s="14"/>
    </row>
    <row r="2711" spans="1:26" ht="13.2">
      <c r="A2711" s="13"/>
      <c r="B2711" s="14"/>
      <c r="C2711" s="14"/>
      <c r="D2711" s="14"/>
      <c r="E2711" s="14"/>
      <c r="F2711" s="14"/>
      <c r="G2711" s="14"/>
      <c r="H2711" s="14"/>
      <c r="I2711" s="14"/>
      <c r="J2711" s="14"/>
      <c r="K2711" s="14"/>
      <c r="L2711" s="15"/>
      <c r="M2711" s="15"/>
      <c r="N2711" s="15"/>
      <c r="O2711" s="15"/>
      <c r="P2711" s="15"/>
      <c r="Q2711" s="14"/>
      <c r="R2711" s="14"/>
      <c r="S2711" s="14"/>
      <c r="T2711" s="14"/>
      <c r="U2711" s="15"/>
      <c r="V2711" s="14"/>
      <c r="W2711" s="14"/>
      <c r="X2711" s="14"/>
      <c r="Y2711" s="14"/>
      <c r="Z2711" s="14"/>
    </row>
    <row r="2712" spans="1:26" ht="13.2">
      <c r="A2712" s="13"/>
      <c r="B2712" s="14"/>
      <c r="C2712" s="14"/>
      <c r="D2712" s="14"/>
      <c r="E2712" s="14"/>
      <c r="F2712" s="14"/>
      <c r="G2712" s="14"/>
      <c r="H2712" s="14"/>
      <c r="I2712" s="14"/>
      <c r="J2712" s="14"/>
      <c r="K2712" s="14"/>
      <c r="L2712" s="15"/>
      <c r="M2712" s="15"/>
      <c r="N2712" s="15"/>
      <c r="O2712" s="15"/>
      <c r="P2712" s="15"/>
      <c r="Q2712" s="14"/>
      <c r="R2712" s="14"/>
      <c r="S2712" s="14"/>
      <c r="T2712" s="14"/>
      <c r="U2712" s="15"/>
      <c r="V2712" s="14"/>
      <c r="W2712" s="14"/>
      <c r="X2712" s="14"/>
      <c r="Y2712" s="14"/>
      <c r="Z2712" s="14"/>
    </row>
    <row r="2713" spans="1:26" ht="13.2">
      <c r="A2713" s="13"/>
      <c r="B2713" s="14"/>
      <c r="C2713" s="14"/>
      <c r="D2713" s="14"/>
      <c r="E2713" s="14"/>
      <c r="F2713" s="14"/>
      <c r="G2713" s="14"/>
      <c r="H2713" s="14"/>
      <c r="I2713" s="14"/>
      <c r="J2713" s="14"/>
      <c r="K2713" s="14"/>
      <c r="L2713" s="15"/>
      <c r="M2713" s="15"/>
      <c r="N2713" s="15"/>
      <c r="O2713" s="15"/>
      <c r="P2713" s="15"/>
      <c r="Q2713" s="14"/>
      <c r="R2713" s="14"/>
      <c r="S2713" s="14"/>
      <c r="T2713" s="14"/>
      <c r="U2713" s="15"/>
      <c r="V2713" s="14"/>
      <c r="W2713" s="14"/>
      <c r="X2713" s="14"/>
      <c r="Y2713" s="14"/>
      <c r="Z2713" s="14"/>
    </row>
    <row r="2714" spans="1:26" ht="13.2">
      <c r="A2714" s="13"/>
      <c r="B2714" s="14"/>
      <c r="C2714" s="14"/>
      <c r="D2714" s="14"/>
      <c r="E2714" s="14"/>
      <c r="F2714" s="14"/>
      <c r="G2714" s="14"/>
      <c r="H2714" s="14"/>
      <c r="I2714" s="14"/>
      <c r="J2714" s="14"/>
      <c r="K2714" s="14"/>
      <c r="L2714" s="15"/>
      <c r="M2714" s="15"/>
      <c r="N2714" s="15"/>
      <c r="O2714" s="15"/>
      <c r="P2714" s="15"/>
      <c r="Q2714" s="14"/>
      <c r="R2714" s="14"/>
      <c r="S2714" s="14"/>
      <c r="T2714" s="14"/>
      <c r="U2714" s="15"/>
      <c r="V2714" s="14"/>
      <c r="W2714" s="14"/>
      <c r="X2714" s="14"/>
      <c r="Y2714" s="14"/>
      <c r="Z2714" s="14"/>
    </row>
    <row r="2715" spans="1:26" ht="13.2">
      <c r="A2715" s="13"/>
      <c r="B2715" s="14"/>
      <c r="C2715" s="14"/>
      <c r="D2715" s="14"/>
      <c r="E2715" s="14"/>
      <c r="F2715" s="14"/>
      <c r="G2715" s="14"/>
      <c r="H2715" s="14"/>
      <c r="I2715" s="14"/>
      <c r="J2715" s="14"/>
      <c r="K2715" s="14"/>
      <c r="L2715" s="15"/>
      <c r="M2715" s="15"/>
      <c r="N2715" s="15"/>
      <c r="O2715" s="15"/>
      <c r="P2715" s="15"/>
      <c r="Q2715" s="14"/>
      <c r="R2715" s="14"/>
      <c r="S2715" s="14"/>
      <c r="T2715" s="14"/>
      <c r="U2715" s="15"/>
      <c r="V2715" s="14"/>
      <c r="W2715" s="14"/>
      <c r="X2715" s="14"/>
      <c r="Y2715" s="14"/>
      <c r="Z2715" s="14"/>
    </row>
    <row r="2716" spans="1:26" ht="13.2">
      <c r="A2716" s="13"/>
      <c r="B2716" s="14"/>
      <c r="C2716" s="14"/>
      <c r="D2716" s="14"/>
      <c r="E2716" s="14"/>
      <c r="F2716" s="14"/>
      <c r="G2716" s="14"/>
      <c r="H2716" s="14"/>
      <c r="I2716" s="14"/>
      <c r="J2716" s="14"/>
      <c r="K2716" s="14"/>
      <c r="L2716" s="15"/>
      <c r="M2716" s="15"/>
      <c r="N2716" s="15"/>
      <c r="O2716" s="15"/>
      <c r="P2716" s="15"/>
      <c r="Q2716" s="14"/>
      <c r="R2716" s="14"/>
      <c r="S2716" s="14"/>
      <c r="T2716" s="14"/>
      <c r="U2716" s="15"/>
      <c r="V2716" s="14"/>
      <c r="W2716" s="14"/>
      <c r="X2716" s="14"/>
      <c r="Y2716" s="14"/>
      <c r="Z2716" s="14"/>
    </row>
    <row r="2717" spans="1:26" ht="13.2">
      <c r="A2717" s="13"/>
      <c r="B2717" s="14"/>
      <c r="C2717" s="14"/>
      <c r="D2717" s="14"/>
      <c r="E2717" s="14"/>
      <c r="F2717" s="14"/>
      <c r="G2717" s="14"/>
      <c r="H2717" s="14"/>
      <c r="I2717" s="14"/>
      <c r="J2717" s="14"/>
      <c r="K2717" s="14"/>
      <c r="L2717" s="15"/>
      <c r="M2717" s="15"/>
      <c r="N2717" s="15"/>
      <c r="O2717" s="15"/>
      <c r="P2717" s="15"/>
      <c r="Q2717" s="14"/>
      <c r="R2717" s="14"/>
      <c r="S2717" s="14"/>
      <c r="T2717" s="14"/>
      <c r="U2717" s="15"/>
      <c r="V2717" s="14"/>
      <c r="W2717" s="14"/>
      <c r="X2717" s="14"/>
      <c r="Y2717" s="14"/>
      <c r="Z2717" s="14"/>
    </row>
    <row r="2718" spans="1:26" ht="13.2">
      <c r="A2718" s="13"/>
      <c r="B2718" s="14"/>
      <c r="C2718" s="14"/>
      <c r="D2718" s="14"/>
      <c r="E2718" s="14"/>
      <c r="F2718" s="14"/>
      <c r="G2718" s="14"/>
      <c r="H2718" s="14"/>
      <c r="I2718" s="14"/>
      <c r="J2718" s="14"/>
      <c r="K2718" s="14"/>
      <c r="L2718" s="15"/>
      <c r="M2718" s="15"/>
      <c r="N2718" s="15"/>
      <c r="O2718" s="15"/>
      <c r="P2718" s="15"/>
      <c r="Q2718" s="14"/>
      <c r="R2718" s="14"/>
      <c r="S2718" s="14"/>
      <c r="T2718" s="14"/>
      <c r="U2718" s="15"/>
      <c r="V2718" s="14"/>
      <c r="W2718" s="14"/>
      <c r="X2718" s="14"/>
      <c r="Y2718" s="14"/>
      <c r="Z2718" s="14"/>
    </row>
    <row r="2719" spans="1:26" ht="13.2">
      <c r="A2719" s="13"/>
      <c r="B2719" s="14"/>
      <c r="C2719" s="14"/>
      <c r="D2719" s="14"/>
      <c r="E2719" s="14"/>
      <c r="F2719" s="14"/>
      <c r="G2719" s="14"/>
      <c r="H2719" s="14"/>
      <c r="I2719" s="14"/>
      <c r="J2719" s="14"/>
      <c r="K2719" s="14"/>
      <c r="L2719" s="15"/>
      <c r="M2719" s="15"/>
      <c r="N2719" s="15"/>
      <c r="O2719" s="15"/>
      <c r="P2719" s="15"/>
      <c r="Q2719" s="14"/>
      <c r="R2719" s="14"/>
      <c r="S2719" s="14"/>
      <c r="T2719" s="14"/>
      <c r="U2719" s="15"/>
      <c r="V2719" s="14"/>
      <c r="W2719" s="14"/>
      <c r="X2719" s="14"/>
      <c r="Y2719" s="14"/>
      <c r="Z2719" s="14"/>
    </row>
    <row r="2720" spans="1:26" ht="13.2">
      <c r="A2720" s="13"/>
      <c r="B2720" s="14"/>
      <c r="C2720" s="14"/>
      <c r="D2720" s="14"/>
      <c r="E2720" s="14"/>
      <c r="F2720" s="14"/>
      <c r="G2720" s="14"/>
      <c r="H2720" s="14"/>
      <c r="I2720" s="14"/>
      <c r="J2720" s="14"/>
      <c r="K2720" s="14"/>
      <c r="L2720" s="15"/>
      <c r="M2720" s="15"/>
      <c r="N2720" s="15"/>
      <c r="O2720" s="15"/>
      <c r="P2720" s="15"/>
      <c r="Q2720" s="14"/>
      <c r="R2720" s="14"/>
      <c r="S2720" s="14"/>
      <c r="T2720" s="14"/>
      <c r="U2720" s="15"/>
      <c r="V2720" s="14"/>
      <c r="W2720" s="14"/>
      <c r="X2720" s="14"/>
      <c r="Y2720" s="14"/>
      <c r="Z2720" s="14"/>
    </row>
    <row r="2721" spans="1:26" ht="13.2">
      <c r="A2721" s="13"/>
      <c r="B2721" s="14"/>
      <c r="C2721" s="14"/>
      <c r="D2721" s="14"/>
      <c r="E2721" s="14"/>
      <c r="F2721" s="14"/>
      <c r="G2721" s="14"/>
      <c r="H2721" s="14"/>
      <c r="I2721" s="14"/>
      <c r="J2721" s="14"/>
      <c r="K2721" s="14"/>
      <c r="L2721" s="15"/>
      <c r="M2721" s="15"/>
      <c r="N2721" s="15"/>
      <c r="O2721" s="15"/>
      <c r="P2721" s="15"/>
      <c r="Q2721" s="14"/>
      <c r="R2721" s="14"/>
      <c r="S2721" s="14"/>
      <c r="T2721" s="14"/>
      <c r="U2721" s="15"/>
      <c r="V2721" s="14"/>
      <c r="W2721" s="14"/>
      <c r="X2721" s="14"/>
      <c r="Y2721" s="14"/>
      <c r="Z2721" s="14"/>
    </row>
    <row r="2722" spans="1:26" ht="13.2">
      <c r="A2722" s="13"/>
      <c r="B2722" s="14"/>
      <c r="C2722" s="14"/>
      <c r="D2722" s="14"/>
      <c r="E2722" s="14"/>
      <c r="F2722" s="14"/>
      <c r="G2722" s="14"/>
      <c r="H2722" s="14"/>
      <c r="I2722" s="14"/>
      <c r="J2722" s="14"/>
      <c r="K2722" s="14"/>
      <c r="L2722" s="15"/>
      <c r="M2722" s="15"/>
      <c r="N2722" s="15"/>
      <c r="O2722" s="15"/>
      <c r="P2722" s="15"/>
      <c r="Q2722" s="14"/>
      <c r="R2722" s="14"/>
      <c r="S2722" s="14"/>
      <c r="T2722" s="14"/>
      <c r="U2722" s="15"/>
      <c r="V2722" s="14"/>
      <c r="W2722" s="14"/>
      <c r="X2722" s="14"/>
      <c r="Y2722" s="14"/>
      <c r="Z2722" s="14"/>
    </row>
    <row r="2723" spans="1:26" ht="13.2">
      <c r="A2723" s="13"/>
      <c r="B2723" s="14"/>
      <c r="C2723" s="14"/>
      <c r="D2723" s="14"/>
      <c r="E2723" s="14"/>
      <c r="F2723" s="14"/>
      <c r="G2723" s="14"/>
      <c r="H2723" s="14"/>
      <c r="I2723" s="14"/>
      <c r="J2723" s="14"/>
      <c r="K2723" s="14"/>
      <c r="L2723" s="15"/>
      <c r="M2723" s="15"/>
      <c r="N2723" s="15"/>
      <c r="O2723" s="15"/>
      <c r="P2723" s="15"/>
      <c r="Q2723" s="14"/>
      <c r="R2723" s="14"/>
      <c r="S2723" s="14"/>
      <c r="T2723" s="14"/>
      <c r="U2723" s="15"/>
      <c r="V2723" s="14"/>
      <c r="W2723" s="14"/>
      <c r="X2723" s="14"/>
      <c r="Y2723" s="14"/>
      <c r="Z2723" s="14"/>
    </row>
    <row r="2724" spans="1:26" ht="13.2">
      <c r="A2724" s="13"/>
      <c r="B2724" s="14"/>
      <c r="C2724" s="14"/>
      <c r="D2724" s="14"/>
      <c r="E2724" s="14"/>
      <c r="F2724" s="14"/>
      <c r="G2724" s="14"/>
      <c r="H2724" s="14"/>
      <c r="I2724" s="14"/>
      <c r="J2724" s="14"/>
      <c r="K2724" s="14"/>
      <c r="L2724" s="15"/>
      <c r="M2724" s="15"/>
      <c r="N2724" s="15"/>
      <c r="O2724" s="15"/>
      <c r="P2724" s="15"/>
      <c r="Q2724" s="14"/>
      <c r="R2724" s="14"/>
      <c r="S2724" s="14"/>
      <c r="T2724" s="14"/>
      <c r="U2724" s="15"/>
      <c r="V2724" s="14"/>
      <c r="W2724" s="14"/>
      <c r="X2724" s="14"/>
      <c r="Y2724" s="14"/>
      <c r="Z2724" s="14"/>
    </row>
    <row r="2725" spans="1:26" ht="13.2">
      <c r="A2725" s="13"/>
      <c r="B2725" s="14"/>
      <c r="C2725" s="14"/>
      <c r="D2725" s="14"/>
      <c r="E2725" s="14"/>
      <c r="F2725" s="14"/>
      <c r="G2725" s="14"/>
      <c r="H2725" s="14"/>
      <c r="I2725" s="14"/>
      <c r="J2725" s="14"/>
      <c r="K2725" s="14"/>
      <c r="L2725" s="15"/>
      <c r="M2725" s="15"/>
      <c r="N2725" s="15"/>
      <c r="O2725" s="15"/>
      <c r="P2725" s="15"/>
      <c r="Q2725" s="14"/>
      <c r="R2725" s="14"/>
      <c r="S2725" s="14"/>
      <c r="T2725" s="14"/>
      <c r="U2725" s="15"/>
      <c r="V2725" s="14"/>
      <c r="W2725" s="14"/>
      <c r="X2725" s="14"/>
      <c r="Y2725" s="14"/>
      <c r="Z2725" s="14"/>
    </row>
    <row r="2726" spans="1:26" ht="13.2">
      <c r="A2726" s="13"/>
      <c r="B2726" s="14"/>
      <c r="C2726" s="14"/>
      <c r="D2726" s="14"/>
      <c r="E2726" s="14"/>
      <c r="F2726" s="14"/>
      <c r="G2726" s="14"/>
      <c r="H2726" s="14"/>
      <c r="I2726" s="14"/>
      <c r="J2726" s="14"/>
      <c r="K2726" s="14"/>
      <c r="L2726" s="15"/>
      <c r="M2726" s="15"/>
      <c r="N2726" s="15"/>
      <c r="O2726" s="15"/>
      <c r="P2726" s="15"/>
      <c r="Q2726" s="14"/>
      <c r="R2726" s="14"/>
      <c r="S2726" s="14"/>
      <c r="T2726" s="14"/>
      <c r="U2726" s="15"/>
      <c r="V2726" s="14"/>
      <c r="W2726" s="14"/>
      <c r="X2726" s="14"/>
      <c r="Y2726" s="14"/>
      <c r="Z2726" s="14"/>
    </row>
    <row r="2727" spans="1:26" ht="13.2">
      <c r="A2727" s="13"/>
      <c r="B2727" s="14"/>
      <c r="C2727" s="14"/>
      <c r="D2727" s="14"/>
      <c r="E2727" s="14"/>
      <c r="F2727" s="14"/>
      <c r="G2727" s="14"/>
      <c r="H2727" s="14"/>
      <c r="I2727" s="14"/>
      <c r="J2727" s="14"/>
      <c r="K2727" s="14"/>
      <c r="L2727" s="15"/>
      <c r="M2727" s="15"/>
      <c r="N2727" s="15"/>
      <c r="O2727" s="15"/>
      <c r="P2727" s="15"/>
      <c r="Q2727" s="14"/>
      <c r="R2727" s="14"/>
      <c r="S2727" s="14"/>
      <c r="T2727" s="14"/>
      <c r="U2727" s="15"/>
      <c r="V2727" s="14"/>
      <c r="W2727" s="14"/>
      <c r="X2727" s="14"/>
      <c r="Y2727" s="14"/>
      <c r="Z2727" s="14"/>
    </row>
    <row r="2728" spans="1:26" ht="13.2">
      <c r="A2728" s="13"/>
      <c r="B2728" s="14"/>
      <c r="C2728" s="14"/>
      <c r="D2728" s="14"/>
      <c r="E2728" s="14"/>
      <c r="F2728" s="14"/>
      <c r="G2728" s="14"/>
      <c r="H2728" s="14"/>
      <c r="I2728" s="14"/>
      <c r="J2728" s="14"/>
      <c r="K2728" s="14"/>
      <c r="L2728" s="15"/>
      <c r="M2728" s="15"/>
      <c r="N2728" s="15"/>
      <c r="O2728" s="15"/>
      <c r="P2728" s="15"/>
      <c r="Q2728" s="14"/>
      <c r="R2728" s="14"/>
      <c r="S2728" s="14"/>
      <c r="T2728" s="14"/>
      <c r="U2728" s="15"/>
      <c r="V2728" s="14"/>
      <c r="W2728" s="14"/>
      <c r="X2728" s="14"/>
      <c r="Y2728" s="14"/>
      <c r="Z2728" s="14"/>
    </row>
    <row r="2729" spans="1:26" ht="13.2">
      <c r="A2729" s="13"/>
      <c r="B2729" s="14"/>
      <c r="C2729" s="14"/>
      <c r="D2729" s="14"/>
      <c r="E2729" s="14"/>
      <c r="F2729" s="14"/>
      <c r="G2729" s="14"/>
      <c r="H2729" s="14"/>
      <c r="I2729" s="14"/>
      <c r="J2729" s="14"/>
      <c r="K2729" s="14"/>
      <c r="L2729" s="15"/>
      <c r="M2729" s="15"/>
      <c r="N2729" s="15"/>
      <c r="O2729" s="15"/>
      <c r="P2729" s="15"/>
      <c r="Q2729" s="14"/>
      <c r="R2729" s="14"/>
      <c r="S2729" s="14"/>
      <c r="T2729" s="14"/>
      <c r="U2729" s="15"/>
      <c r="V2729" s="14"/>
      <c r="W2729" s="14"/>
      <c r="X2729" s="14"/>
      <c r="Y2729" s="14"/>
      <c r="Z2729" s="14"/>
    </row>
    <row r="2730" spans="1:26" ht="13.2">
      <c r="A2730" s="13"/>
      <c r="B2730" s="14"/>
      <c r="C2730" s="14"/>
      <c r="D2730" s="14"/>
      <c r="E2730" s="14"/>
      <c r="F2730" s="14"/>
      <c r="G2730" s="14"/>
      <c r="H2730" s="14"/>
      <c r="I2730" s="14"/>
      <c r="J2730" s="14"/>
      <c r="K2730" s="14"/>
      <c r="L2730" s="15"/>
      <c r="M2730" s="15"/>
      <c r="N2730" s="15"/>
      <c r="O2730" s="15"/>
      <c r="P2730" s="15"/>
      <c r="Q2730" s="14"/>
      <c r="R2730" s="14"/>
      <c r="S2730" s="14"/>
      <c r="T2730" s="14"/>
      <c r="U2730" s="15"/>
      <c r="V2730" s="14"/>
      <c r="W2730" s="14"/>
      <c r="X2730" s="14"/>
      <c r="Y2730" s="14"/>
      <c r="Z2730" s="14"/>
    </row>
    <row r="2731" spans="1:26" ht="13.2">
      <c r="A2731" s="13"/>
      <c r="B2731" s="14"/>
      <c r="C2731" s="14"/>
      <c r="D2731" s="14"/>
      <c r="E2731" s="14"/>
      <c r="F2731" s="14"/>
      <c r="G2731" s="14"/>
      <c r="H2731" s="14"/>
      <c r="I2731" s="14"/>
      <c r="J2731" s="14"/>
      <c r="K2731" s="14"/>
      <c r="L2731" s="15"/>
      <c r="M2731" s="15"/>
      <c r="N2731" s="15"/>
      <c r="O2731" s="15"/>
      <c r="P2731" s="15"/>
      <c r="Q2731" s="14"/>
      <c r="R2731" s="14"/>
      <c r="S2731" s="14"/>
      <c r="T2731" s="14"/>
      <c r="U2731" s="15"/>
      <c r="V2731" s="14"/>
      <c r="W2731" s="14"/>
      <c r="X2731" s="14"/>
      <c r="Y2731" s="14"/>
      <c r="Z2731" s="14"/>
    </row>
    <row r="2732" spans="1:26" ht="13.2">
      <c r="A2732" s="13"/>
      <c r="B2732" s="14"/>
      <c r="C2732" s="14"/>
      <c r="D2732" s="14"/>
      <c r="E2732" s="14"/>
      <c r="F2732" s="14"/>
      <c r="G2732" s="14"/>
      <c r="H2732" s="14"/>
      <c r="I2732" s="14"/>
      <c r="J2732" s="14"/>
      <c r="K2732" s="14"/>
      <c r="L2732" s="15"/>
      <c r="M2732" s="15"/>
      <c r="N2732" s="15"/>
      <c r="O2732" s="15"/>
      <c r="P2732" s="15"/>
      <c r="Q2732" s="14"/>
      <c r="R2732" s="14"/>
      <c r="S2732" s="14"/>
      <c r="T2732" s="14"/>
      <c r="U2732" s="15"/>
      <c r="V2732" s="14"/>
      <c r="W2732" s="14"/>
      <c r="X2732" s="14"/>
      <c r="Y2732" s="14"/>
      <c r="Z2732" s="14"/>
    </row>
    <row r="2733" spans="1:26" ht="13.2">
      <c r="A2733" s="13"/>
      <c r="B2733" s="14"/>
      <c r="C2733" s="14"/>
      <c r="D2733" s="14"/>
      <c r="E2733" s="14"/>
      <c r="F2733" s="14"/>
      <c r="G2733" s="14"/>
      <c r="H2733" s="14"/>
      <c r="I2733" s="14"/>
      <c r="J2733" s="14"/>
      <c r="K2733" s="14"/>
      <c r="L2733" s="15"/>
      <c r="M2733" s="15"/>
      <c r="N2733" s="15"/>
      <c r="O2733" s="15"/>
      <c r="P2733" s="15"/>
      <c r="Q2733" s="14"/>
      <c r="R2733" s="14"/>
      <c r="S2733" s="14"/>
      <c r="T2733" s="14"/>
      <c r="U2733" s="15"/>
      <c r="V2733" s="14"/>
      <c r="W2733" s="14"/>
      <c r="X2733" s="14"/>
      <c r="Y2733" s="14"/>
      <c r="Z2733" s="14"/>
    </row>
    <row r="2734" spans="1:26" ht="13.2">
      <c r="A2734" s="13"/>
      <c r="B2734" s="14"/>
      <c r="C2734" s="14"/>
      <c r="D2734" s="14"/>
      <c r="E2734" s="14"/>
      <c r="F2734" s="14"/>
      <c r="G2734" s="14"/>
      <c r="H2734" s="14"/>
      <c r="I2734" s="14"/>
      <c r="J2734" s="14"/>
      <c r="K2734" s="14"/>
      <c r="L2734" s="15"/>
      <c r="M2734" s="15"/>
      <c r="N2734" s="15"/>
      <c r="O2734" s="15"/>
      <c r="P2734" s="15"/>
      <c r="Q2734" s="14"/>
      <c r="R2734" s="14"/>
      <c r="S2734" s="14"/>
      <c r="T2734" s="14"/>
      <c r="U2734" s="15"/>
      <c r="V2734" s="14"/>
      <c r="W2734" s="14"/>
      <c r="X2734" s="14"/>
      <c r="Y2734" s="14"/>
      <c r="Z2734" s="14"/>
    </row>
    <row r="2735" spans="1:26" ht="13.2">
      <c r="A2735" s="13"/>
      <c r="B2735" s="14"/>
      <c r="C2735" s="14"/>
      <c r="D2735" s="14"/>
      <c r="E2735" s="14"/>
      <c r="F2735" s="14"/>
      <c r="G2735" s="14"/>
      <c r="H2735" s="14"/>
      <c r="I2735" s="14"/>
      <c r="J2735" s="14"/>
      <c r="K2735" s="14"/>
      <c r="L2735" s="15"/>
      <c r="M2735" s="15"/>
      <c r="N2735" s="15"/>
      <c r="O2735" s="15"/>
      <c r="P2735" s="15"/>
      <c r="Q2735" s="14"/>
      <c r="R2735" s="14"/>
      <c r="S2735" s="14"/>
      <c r="T2735" s="14"/>
      <c r="U2735" s="15"/>
      <c r="V2735" s="14"/>
      <c r="W2735" s="14"/>
      <c r="X2735" s="14"/>
      <c r="Y2735" s="14"/>
      <c r="Z2735" s="14"/>
    </row>
    <row r="2736" spans="1:26" ht="13.2">
      <c r="A2736" s="13"/>
      <c r="B2736" s="14"/>
      <c r="C2736" s="14"/>
      <c r="D2736" s="14"/>
      <c r="E2736" s="14"/>
      <c r="F2736" s="14"/>
      <c r="G2736" s="14"/>
      <c r="H2736" s="14"/>
      <c r="I2736" s="14"/>
      <c r="J2736" s="14"/>
      <c r="K2736" s="14"/>
      <c r="L2736" s="15"/>
      <c r="M2736" s="15"/>
      <c r="N2736" s="15"/>
      <c r="O2736" s="15"/>
      <c r="P2736" s="15"/>
      <c r="Q2736" s="14"/>
      <c r="R2736" s="14"/>
      <c r="S2736" s="14"/>
      <c r="T2736" s="14"/>
      <c r="U2736" s="15"/>
      <c r="V2736" s="14"/>
      <c r="W2736" s="14"/>
      <c r="X2736" s="14"/>
      <c r="Y2736" s="14"/>
      <c r="Z2736" s="14"/>
    </row>
    <row r="2737" spans="1:26" ht="13.2">
      <c r="A2737" s="13"/>
      <c r="B2737" s="14"/>
      <c r="C2737" s="14"/>
      <c r="D2737" s="14"/>
      <c r="E2737" s="14"/>
      <c r="F2737" s="14"/>
      <c r="G2737" s="14"/>
      <c r="H2737" s="14"/>
      <c r="I2737" s="14"/>
      <c r="J2737" s="14"/>
      <c r="K2737" s="14"/>
      <c r="L2737" s="15"/>
      <c r="M2737" s="15"/>
      <c r="N2737" s="15"/>
      <c r="O2737" s="15"/>
      <c r="P2737" s="15"/>
      <c r="Q2737" s="14"/>
      <c r="R2737" s="14"/>
      <c r="S2737" s="14"/>
      <c r="T2737" s="14"/>
      <c r="U2737" s="15"/>
      <c r="V2737" s="14"/>
      <c r="W2737" s="14"/>
      <c r="X2737" s="14"/>
      <c r="Y2737" s="14"/>
      <c r="Z2737" s="14"/>
    </row>
    <row r="2738" spans="1:26" ht="13.2">
      <c r="A2738" s="13"/>
      <c r="B2738" s="14"/>
      <c r="C2738" s="14"/>
      <c r="D2738" s="14"/>
      <c r="E2738" s="14"/>
      <c r="F2738" s="14"/>
      <c r="G2738" s="14"/>
      <c r="H2738" s="14"/>
      <c r="I2738" s="14"/>
      <c r="J2738" s="14"/>
      <c r="K2738" s="14"/>
      <c r="L2738" s="15"/>
      <c r="M2738" s="15"/>
      <c r="N2738" s="15"/>
      <c r="O2738" s="15"/>
      <c r="P2738" s="15"/>
      <c r="Q2738" s="14"/>
      <c r="R2738" s="14"/>
      <c r="S2738" s="14"/>
      <c r="T2738" s="14"/>
      <c r="U2738" s="15"/>
      <c r="V2738" s="14"/>
      <c r="W2738" s="14"/>
      <c r="X2738" s="14"/>
      <c r="Y2738" s="14"/>
      <c r="Z2738" s="14"/>
    </row>
    <row r="2739" spans="1:26" ht="13.2">
      <c r="A2739" s="13"/>
      <c r="B2739" s="14"/>
      <c r="C2739" s="14"/>
      <c r="D2739" s="14"/>
      <c r="E2739" s="14"/>
      <c r="F2739" s="14"/>
      <c r="G2739" s="14"/>
      <c r="H2739" s="14"/>
      <c r="I2739" s="14"/>
      <c r="J2739" s="14"/>
      <c r="K2739" s="14"/>
      <c r="L2739" s="15"/>
      <c r="M2739" s="15"/>
      <c r="N2739" s="15"/>
      <c r="O2739" s="15"/>
      <c r="P2739" s="15"/>
      <c r="Q2739" s="14"/>
      <c r="R2739" s="14"/>
      <c r="S2739" s="14"/>
      <c r="T2739" s="14"/>
      <c r="U2739" s="15"/>
      <c r="V2739" s="14"/>
      <c r="W2739" s="14"/>
      <c r="X2739" s="14"/>
      <c r="Y2739" s="14"/>
      <c r="Z2739" s="14"/>
    </row>
    <row r="2740" spans="1:26" ht="13.2">
      <c r="A2740" s="13"/>
      <c r="B2740" s="14"/>
      <c r="C2740" s="14"/>
      <c r="D2740" s="14"/>
      <c r="E2740" s="14"/>
      <c r="F2740" s="14"/>
      <c r="G2740" s="14"/>
      <c r="H2740" s="14"/>
      <c r="I2740" s="14"/>
      <c r="J2740" s="14"/>
      <c r="K2740" s="14"/>
      <c r="L2740" s="15"/>
      <c r="M2740" s="15"/>
      <c r="N2740" s="15"/>
      <c r="O2740" s="15"/>
      <c r="P2740" s="15"/>
      <c r="Q2740" s="14"/>
      <c r="R2740" s="14"/>
      <c r="S2740" s="14"/>
      <c r="T2740" s="14"/>
      <c r="U2740" s="15"/>
      <c r="V2740" s="14"/>
      <c r="W2740" s="14"/>
      <c r="X2740" s="14"/>
      <c r="Y2740" s="14"/>
      <c r="Z2740" s="14"/>
    </row>
    <row r="2741" spans="1:26" ht="13.2">
      <c r="A2741" s="13"/>
      <c r="B2741" s="14"/>
      <c r="C2741" s="14"/>
      <c r="D2741" s="14"/>
      <c r="E2741" s="14"/>
      <c r="F2741" s="14"/>
      <c r="G2741" s="14"/>
      <c r="H2741" s="14"/>
      <c r="I2741" s="14"/>
      <c r="J2741" s="14"/>
      <c r="K2741" s="14"/>
      <c r="L2741" s="15"/>
      <c r="M2741" s="15"/>
      <c r="N2741" s="15"/>
      <c r="O2741" s="15"/>
      <c r="P2741" s="15"/>
      <c r="Q2741" s="14"/>
      <c r="R2741" s="14"/>
      <c r="S2741" s="14"/>
      <c r="T2741" s="14"/>
      <c r="U2741" s="15"/>
      <c r="V2741" s="14"/>
      <c r="W2741" s="14"/>
      <c r="X2741" s="14"/>
      <c r="Y2741" s="14"/>
      <c r="Z2741" s="14"/>
    </row>
    <row r="2742" spans="1:26" ht="13.2">
      <c r="A2742" s="13"/>
      <c r="B2742" s="14"/>
      <c r="C2742" s="14"/>
      <c r="D2742" s="14"/>
      <c r="E2742" s="14"/>
      <c r="F2742" s="14"/>
      <c r="G2742" s="14"/>
      <c r="H2742" s="14"/>
      <c r="I2742" s="14"/>
      <c r="J2742" s="14"/>
      <c r="K2742" s="14"/>
      <c r="L2742" s="15"/>
      <c r="M2742" s="15"/>
      <c r="N2742" s="15"/>
      <c r="O2742" s="15"/>
      <c r="P2742" s="15"/>
      <c r="Q2742" s="14"/>
      <c r="R2742" s="14"/>
      <c r="S2742" s="14"/>
      <c r="T2742" s="14"/>
      <c r="U2742" s="15"/>
      <c r="V2742" s="14"/>
      <c r="W2742" s="14"/>
      <c r="X2742" s="14"/>
      <c r="Y2742" s="14"/>
      <c r="Z2742" s="14"/>
    </row>
    <row r="2743" spans="1:26" ht="13.2">
      <c r="A2743" s="13"/>
      <c r="B2743" s="14"/>
      <c r="C2743" s="14"/>
      <c r="D2743" s="14"/>
      <c r="E2743" s="14"/>
      <c r="F2743" s="14"/>
      <c r="G2743" s="14"/>
      <c r="H2743" s="14"/>
      <c r="I2743" s="14"/>
      <c r="J2743" s="14"/>
      <c r="K2743" s="14"/>
      <c r="L2743" s="15"/>
      <c r="M2743" s="15"/>
      <c r="N2743" s="15"/>
      <c r="O2743" s="15"/>
      <c r="P2743" s="15"/>
      <c r="Q2743" s="14"/>
      <c r="R2743" s="14"/>
      <c r="S2743" s="14"/>
      <c r="T2743" s="14"/>
      <c r="U2743" s="15"/>
      <c r="V2743" s="14"/>
      <c r="W2743" s="14"/>
      <c r="X2743" s="14"/>
      <c r="Y2743" s="14"/>
      <c r="Z2743" s="14"/>
    </row>
    <row r="2744" spans="1:26" ht="13.2">
      <c r="A2744" s="13"/>
      <c r="B2744" s="14"/>
      <c r="C2744" s="14"/>
      <c r="D2744" s="14"/>
      <c r="E2744" s="14"/>
      <c r="F2744" s="14"/>
      <c r="G2744" s="14"/>
      <c r="H2744" s="14"/>
      <c r="I2744" s="14"/>
      <c r="J2744" s="14"/>
      <c r="K2744" s="14"/>
      <c r="L2744" s="15"/>
      <c r="M2744" s="15"/>
      <c r="N2744" s="15"/>
      <c r="O2744" s="15"/>
      <c r="P2744" s="15"/>
      <c r="Q2744" s="14"/>
      <c r="R2744" s="14"/>
      <c r="S2744" s="14"/>
      <c r="T2744" s="14"/>
      <c r="U2744" s="15"/>
      <c r="V2744" s="14"/>
      <c r="W2744" s="14"/>
      <c r="X2744" s="14"/>
      <c r="Y2744" s="14"/>
      <c r="Z2744" s="14"/>
    </row>
    <row r="2745" spans="1:26" ht="13.2">
      <c r="A2745" s="13"/>
      <c r="B2745" s="14"/>
      <c r="C2745" s="14"/>
      <c r="D2745" s="14"/>
      <c r="E2745" s="14"/>
      <c r="F2745" s="14"/>
      <c r="G2745" s="14"/>
      <c r="H2745" s="14"/>
      <c r="I2745" s="14"/>
      <c r="J2745" s="14"/>
      <c r="K2745" s="14"/>
      <c r="L2745" s="15"/>
      <c r="M2745" s="15"/>
      <c r="N2745" s="15"/>
      <c r="O2745" s="15"/>
      <c r="P2745" s="15"/>
      <c r="Q2745" s="14"/>
      <c r="R2745" s="14"/>
      <c r="S2745" s="14"/>
      <c r="T2745" s="14"/>
      <c r="U2745" s="15"/>
      <c r="V2745" s="14"/>
      <c r="W2745" s="14"/>
      <c r="X2745" s="14"/>
      <c r="Y2745" s="14"/>
      <c r="Z2745" s="14"/>
    </row>
    <row r="2746" spans="1:26" ht="13.2">
      <c r="A2746" s="13"/>
      <c r="B2746" s="14"/>
      <c r="C2746" s="14"/>
      <c r="D2746" s="14"/>
      <c r="E2746" s="14"/>
      <c r="F2746" s="14"/>
      <c r="G2746" s="14"/>
      <c r="H2746" s="14"/>
      <c r="I2746" s="14"/>
      <c r="J2746" s="14"/>
      <c r="K2746" s="14"/>
      <c r="L2746" s="15"/>
      <c r="M2746" s="15"/>
      <c r="N2746" s="15"/>
      <c r="O2746" s="15"/>
      <c r="P2746" s="15"/>
      <c r="Q2746" s="14"/>
      <c r="R2746" s="14"/>
      <c r="S2746" s="14"/>
      <c r="T2746" s="14"/>
      <c r="U2746" s="15"/>
      <c r="V2746" s="14"/>
      <c r="W2746" s="14"/>
      <c r="X2746" s="14"/>
      <c r="Y2746" s="14"/>
      <c r="Z2746" s="14"/>
    </row>
    <row r="2747" spans="1:26" ht="13.2">
      <c r="A2747" s="13"/>
      <c r="B2747" s="14"/>
      <c r="C2747" s="14"/>
      <c r="D2747" s="14"/>
      <c r="E2747" s="14"/>
      <c r="F2747" s="14"/>
      <c r="G2747" s="14"/>
      <c r="H2747" s="14"/>
      <c r="I2747" s="14"/>
      <c r="J2747" s="14"/>
      <c r="K2747" s="14"/>
      <c r="L2747" s="15"/>
      <c r="M2747" s="15"/>
      <c r="N2747" s="15"/>
      <c r="O2747" s="15"/>
      <c r="P2747" s="15"/>
      <c r="Q2747" s="14"/>
      <c r="R2747" s="14"/>
      <c r="S2747" s="14"/>
      <c r="T2747" s="14"/>
      <c r="U2747" s="15"/>
      <c r="V2747" s="14"/>
      <c r="W2747" s="14"/>
      <c r="X2747" s="14"/>
      <c r="Y2747" s="14"/>
      <c r="Z2747" s="14"/>
    </row>
    <row r="2748" spans="1:26" ht="13.2">
      <c r="A2748" s="13"/>
      <c r="B2748" s="14"/>
      <c r="C2748" s="14"/>
      <c r="D2748" s="14"/>
      <c r="E2748" s="14"/>
      <c r="F2748" s="14"/>
      <c r="G2748" s="14"/>
      <c r="H2748" s="14"/>
      <c r="I2748" s="14"/>
      <c r="J2748" s="14"/>
      <c r="K2748" s="14"/>
      <c r="L2748" s="15"/>
      <c r="M2748" s="15"/>
      <c r="N2748" s="15"/>
      <c r="O2748" s="15"/>
      <c r="P2748" s="15"/>
      <c r="Q2748" s="14"/>
      <c r="R2748" s="14"/>
      <c r="S2748" s="14"/>
      <c r="T2748" s="14"/>
      <c r="U2748" s="15"/>
      <c r="V2748" s="14"/>
      <c r="W2748" s="14"/>
      <c r="X2748" s="14"/>
      <c r="Y2748" s="14"/>
      <c r="Z2748" s="14"/>
    </row>
    <row r="2749" spans="1:26" ht="13.2">
      <c r="A2749" s="13"/>
      <c r="B2749" s="14"/>
      <c r="C2749" s="14"/>
      <c r="D2749" s="14"/>
      <c r="E2749" s="14"/>
      <c r="F2749" s="14"/>
      <c r="G2749" s="14"/>
      <c r="H2749" s="14"/>
      <c r="I2749" s="14"/>
      <c r="J2749" s="14"/>
      <c r="K2749" s="14"/>
      <c r="L2749" s="15"/>
      <c r="M2749" s="15"/>
      <c r="N2749" s="15"/>
      <c r="O2749" s="15"/>
      <c r="P2749" s="15"/>
      <c r="Q2749" s="14"/>
      <c r="R2749" s="14"/>
      <c r="S2749" s="14"/>
      <c r="T2749" s="14"/>
      <c r="U2749" s="15"/>
      <c r="V2749" s="14"/>
      <c r="W2749" s="14"/>
      <c r="X2749" s="14"/>
      <c r="Y2749" s="14"/>
      <c r="Z2749" s="14"/>
    </row>
    <row r="2750" spans="1:26" ht="13.2">
      <c r="A2750" s="13"/>
      <c r="B2750" s="14"/>
      <c r="C2750" s="14"/>
      <c r="D2750" s="14"/>
      <c r="E2750" s="14"/>
      <c r="F2750" s="14"/>
      <c r="G2750" s="14"/>
      <c r="H2750" s="14"/>
      <c r="I2750" s="14"/>
      <c r="J2750" s="14"/>
      <c r="K2750" s="14"/>
      <c r="L2750" s="15"/>
      <c r="M2750" s="15"/>
      <c r="N2750" s="15"/>
      <c r="O2750" s="15"/>
      <c r="P2750" s="15"/>
      <c r="Q2750" s="14"/>
      <c r="R2750" s="14"/>
      <c r="S2750" s="14"/>
      <c r="T2750" s="14"/>
      <c r="U2750" s="15"/>
      <c r="V2750" s="14"/>
      <c r="W2750" s="14"/>
      <c r="X2750" s="14"/>
      <c r="Y2750" s="14"/>
      <c r="Z2750" s="14"/>
    </row>
    <row r="2751" spans="1:26" ht="13.2">
      <c r="A2751" s="13"/>
      <c r="B2751" s="14"/>
      <c r="C2751" s="14"/>
      <c r="D2751" s="14"/>
      <c r="E2751" s="14"/>
      <c r="F2751" s="14"/>
      <c r="G2751" s="14"/>
      <c r="H2751" s="14"/>
      <c r="I2751" s="14"/>
      <c r="J2751" s="14"/>
      <c r="K2751" s="14"/>
      <c r="L2751" s="15"/>
      <c r="M2751" s="15"/>
      <c r="N2751" s="15"/>
      <c r="O2751" s="15"/>
      <c r="P2751" s="15"/>
      <c r="Q2751" s="14"/>
      <c r="R2751" s="14"/>
      <c r="S2751" s="14"/>
      <c r="T2751" s="14"/>
      <c r="U2751" s="15"/>
      <c r="V2751" s="14"/>
      <c r="W2751" s="14"/>
      <c r="X2751" s="14"/>
      <c r="Y2751" s="14"/>
      <c r="Z2751" s="14"/>
    </row>
    <row r="2752" spans="1:26" ht="13.2">
      <c r="A2752" s="13"/>
      <c r="B2752" s="14"/>
      <c r="C2752" s="14"/>
      <c r="D2752" s="14"/>
      <c r="E2752" s="14"/>
      <c r="F2752" s="14"/>
      <c r="G2752" s="14"/>
      <c r="H2752" s="14"/>
      <c r="I2752" s="14"/>
      <c r="J2752" s="14"/>
      <c r="K2752" s="14"/>
      <c r="L2752" s="15"/>
      <c r="M2752" s="15"/>
      <c r="N2752" s="15"/>
      <c r="O2752" s="15"/>
      <c r="P2752" s="15"/>
      <c r="Q2752" s="14"/>
      <c r="R2752" s="14"/>
      <c r="S2752" s="14"/>
      <c r="T2752" s="14"/>
      <c r="U2752" s="15"/>
      <c r="V2752" s="14"/>
      <c r="W2752" s="14"/>
      <c r="X2752" s="14"/>
      <c r="Y2752" s="14"/>
      <c r="Z2752" s="14"/>
    </row>
    <row r="2753" spans="1:26" ht="13.2">
      <c r="A2753" s="13"/>
      <c r="B2753" s="14"/>
      <c r="C2753" s="14"/>
      <c r="D2753" s="14"/>
      <c r="E2753" s="14"/>
      <c r="F2753" s="14"/>
      <c r="G2753" s="14"/>
      <c r="H2753" s="14"/>
      <c r="I2753" s="14"/>
      <c r="J2753" s="14"/>
      <c r="K2753" s="14"/>
      <c r="L2753" s="15"/>
      <c r="M2753" s="15"/>
      <c r="N2753" s="15"/>
      <c r="O2753" s="15"/>
      <c r="P2753" s="15"/>
      <c r="Q2753" s="14"/>
      <c r="R2753" s="14"/>
      <c r="S2753" s="14"/>
      <c r="T2753" s="14"/>
      <c r="U2753" s="15"/>
      <c r="V2753" s="14"/>
      <c r="W2753" s="14"/>
      <c r="X2753" s="14"/>
      <c r="Y2753" s="14"/>
      <c r="Z2753" s="14"/>
    </row>
    <row r="2754" spans="1:26" ht="13.2">
      <c r="A2754" s="13"/>
      <c r="B2754" s="14"/>
      <c r="C2754" s="14"/>
      <c r="D2754" s="14"/>
      <c r="E2754" s="14"/>
      <c r="F2754" s="14"/>
      <c r="G2754" s="14"/>
      <c r="H2754" s="14"/>
      <c r="I2754" s="14"/>
      <c r="J2754" s="14"/>
      <c r="K2754" s="14"/>
      <c r="L2754" s="15"/>
      <c r="M2754" s="15"/>
      <c r="N2754" s="15"/>
      <c r="O2754" s="15"/>
      <c r="P2754" s="15"/>
      <c r="Q2754" s="14"/>
      <c r="R2754" s="14"/>
      <c r="S2754" s="14"/>
      <c r="T2754" s="14"/>
      <c r="U2754" s="15"/>
      <c r="V2754" s="14"/>
      <c r="W2754" s="14"/>
      <c r="X2754" s="14"/>
      <c r="Y2754" s="14"/>
      <c r="Z2754" s="14"/>
    </row>
    <row r="2755" spans="1:26" ht="13.2">
      <c r="A2755" s="13"/>
      <c r="B2755" s="14"/>
      <c r="C2755" s="14"/>
      <c r="D2755" s="14"/>
      <c r="E2755" s="14"/>
      <c r="F2755" s="14"/>
      <c r="G2755" s="14"/>
      <c r="H2755" s="14"/>
      <c r="I2755" s="14"/>
      <c r="J2755" s="14"/>
      <c r="K2755" s="14"/>
      <c r="L2755" s="15"/>
      <c r="M2755" s="15"/>
      <c r="N2755" s="15"/>
      <c r="O2755" s="15"/>
      <c r="P2755" s="15"/>
      <c r="Q2755" s="14"/>
      <c r="R2755" s="14"/>
      <c r="S2755" s="14"/>
      <c r="T2755" s="14"/>
      <c r="U2755" s="15"/>
      <c r="V2755" s="14"/>
      <c r="W2755" s="14"/>
      <c r="X2755" s="14"/>
      <c r="Y2755" s="14"/>
      <c r="Z2755" s="14"/>
    </row>
    <row r="2756" spans="1:26" ht="13.2">
      <c r="A2756" s="13"/>
      <c r="B2756" s="14"/>
      <c r="C2756" s="14"/>
      <c r="D2756" s="14"/>
      <c r="E2756" s="14"/>
      <c r="F2756" s="14"/>
      <c r="G2756" s="14"/>
      <c r="H2756" s="14"/>
      <c r="I2756" s="14"/>
      <c r="J2756" s="14"/>
      <c r="K2756" s="14"/>
      <c r="L2756" s="15"/>
      <c r="M2756" s="15"/>
      <c r="N2756" s="15"/>
      <c r="O2756" s="15"/>
      <c r="P2756" s="15"/>
      <c r="Q2756" s="14"/>
      <c r="R2756" s="14"/>
      <c r="S2756" s="14"/>
      <c r="T2756" s="14"/>
      <c r="U2756" s="15"/>
      <c r="V2756" s="14"/>
      <c r="W2756" s="14"/>
      <c r="X2756" s="14"/>
      <c r="Y2756" s="14"/>
      <c r="Z2756" s="14"/>
    </row>
    <row r="2757" spans="1:26" ht="13.2">
      <c r="A2757" s="13"/>
      <c r="B2757" s="14"/>
      <c r="C2757" s="14"/>
      <c r="D2757" s="14"/>
      <c r="E2757" s="14"/>
      <c r="F2757" s="14"/>
      <c r="G2757" s="14"/>
      <c r="H2757" s="14"/>
      <c r="I2757" s="14"/>
      <c r="J2757" s="14"/>
      <c r="K2757" s="14"/>
      <c r="L2757" s="15"/>
      <c r="M2757" s="15"/>
      <c r="N2757" s="15"/>
      <c r="O2757" s="15"/>
      <c r="P2757" s="15"/>
      <c r="Q2757" s="14"/>
      <c r="R2757" s="14"/>
      <c r="S2757" s="14"/>
      <c r="T2757" s="14"/>
      <c r="U2757" s="15"/>
      <c r="V2757" s="14"/>
      <c r="W2757" s="14"/>
      <c r="X2757" s="14"/>
      <c r="Y2757" s="14"/>
      <c r="Z2757" s="14"/>
    </row>
    <row r="2758" spans="1:26" ht="13.2">
      <c r="A2758" s="13"/>
      <c r="B2758" s="14"/>
      <c r="C2758" s="14"/>
      <c r="D2758" s="14"/>
      <c r="E2758" s="14"/>
      <c r="F2758" s="14"/>
      <c r="G2758" s="14"/>
      <c r="H2758" s="14"/>
      <c r="I2758" s="14"/>
      <c r="J2758" s="14"/>
      <c r="K2758" s="14"/>
      <c r="L2758" s="15"/>
      <c r="M2758" s="15"/>
      <c r="N2758" s="15"/>
      <c r="O2758" s="15"/>
      <c r="P2758" s="15"/>
      <c r="Q2758" s="14"/>
      <c r="R2758" s="14"/>
      <c r="S2758" s="14"/>
      <c r="T2758" s="14"/>
      <c r="U2758" s="15"/>
      <c r="V2758" s="14"/>
      <c r="W2758" s="14"/>
      <c r="X2758" s="14"/>
      <c r="Y2758" s="14"/>
      <c r="Z2758" s="14"/>
    </row>
    <row r="2759" spans="1:26" ht="13.2">
      <c r="A2759" s="13"/>
      <c r="B2759" s="14"/>
      <c r="C2759" s="14"/>
      <c r="D2759" s="14"/>
      <c r="E2759" s="14"/>
      <c r="F2759" s="14"/>
      <c r="G2759" s="14"/>
      <c r="H2759" s="14"/>
      <c r="I2759" s="14"/>
      <c r="J2759" s="14"/>
      <c r="K2759" s="14"/>
      <c r="L2759" s="15"/>
      <c r="M2759" s="15"/>
      <c r="N2759" s="15"/>
      <c r="O2759" s="15"/>
      <c r="P2759" s="15"/>
      <c r="Q2759" s="14"/>
      <c r="R2759" s="14"/>
      <c r="S2759" s="14"/>
      <c r="T2759" s="14"/>
      <c r="U2759" s="15"/>
      <c r="V2759" s="14"/>
      <c r="W2759" s="14"/>
      <c r="X2759" s="14"/>
      <c r="Y2759" s="14"/>
      <c r="Z2759" s="14"/>
    </row>
    <row r="2760" spans="1:26" ht="13.2">
      <c r="A2760" s="13"/>
      <c r="B2760" s="14"/>
      <c r="C2760" s="14"/>
      <c r="D2760" s="14"/>
      <c r="E2760" s="14"/>
      <c r="F2760" s="14"/>
      <c r="G2760" s="14"/>
      <c r="H2760" s="14"/>
      <c r="I2760" s="14"/>
      <c r="J2760" s="14"/>
      <c r="K2760" s="14"/>
      <c r="L2760" s="15"/>
      <c r="M2760" s="15"/>
      <c r="N2760" s="15"/>
      <c r="O2760" s="15"/>
      <c r="P2760" s="15"/>
      <c r="Q2760" s="14"/>
      <c r="R2760" s="14"/>
      <c r="S2760" s="14"/>
      <c r="T2760" s="14"/>
      <c r="U2760" s="15"/>
      <c r="V2760" s="14"/>
      <c r="W2760" s="14"/>
      <c r="X2760" s="14"/>
      <c r="Y2760" s="14"/>
      <c r="Z2760" s="14"/>
    </row>
    <row r="2761" spans="1:26" ht="13.2">
      <c r="A2761" s="13"/>
      <c r="B2761" s="14"/>
      <c r="C2761" s="14"/>
      <c r="D2761" s="14"/>
      <c r="E2761" s="14"/>
      <c r="F2761" s="14"/>
      <c r="G2761" s="14"/>
      <c r="H2761" s="14"/>
      <c r="I2761" s="14"/>
      <c r="J2761" s="14"/>
      <c r="K2761" s="14"/>
      <c r="L2761" s="15"/>
      <c r="M2761" s="15"/>
      <c r="N2761" s="15"/>
      <c r="O2761" s="15"/>
      <c r="P2761" s="15"/>
      <c r="Q2761" s="14"/>
      <c r="R2761" s="14"/>
      <c r="S2761" s="14"/>
      <c r="T2761" s="14"/>
      <c r="U2761" s="15"/>
      <c r="V2761" s="14"/>
      <c r="W2761" s="14"/>
      <c r="X2761" s="14"/>
      <c r="Y2761" s="14"/>
      <c r="Z2761" s="14"/>
    </row>
    <row r="2762" spans="1:26" ht="13.2">
      <c r="A2762" s="13"/>
      <c r="B2762" s="14"/>
      <c r="C2762" s="14"/>
      <c r="D2762" s="14"/>
      <c r="E2762" s="14"/>
      <c r="F2762" s="14"/>
      <c r="G2762" s="14"/>
      <c r="H2762" s="14"/>
      <c r="I2762" s="14"/>
      <c r="J2762" s="14"/>
      <c r="K2762" s="14"/>
      <c r="L2762" s="15"/>
      <c r="M2762" s="15"/>
      <c r="N2762" s="15"/>
      <c r="O2762" s="15"/>
      <c r="P2762" s="15"/>
      <c r="Q2762" s="14"/>
      <c r="R2762" s="14"/>
      <c r="S2762" s="14"/>
      <c r="T2762" s="14"/>
      <c r="U2762" s="15"/>
      <c r="V2762" s="14"/>
      <c r="W2762" s="14"/>
      <c r="X2762" s="14"/>
      <c r="Y2762" s="14"/>
      <c r="Z2762" s="14"/>
    </row>
    <row r="2763" spans="1:26" ht="13.2">
      <c r="A2763" s="13"/>
      <c r="B2763" s="14"/>
      <c r="C2763" s="14"/>
      <c r="D2763" s="14"/>
      <c r="E2763" s="14"/>
      <c r="F2763" s="14"/>
      <c r="G2763" s="14"/>
      <c r="H2763" s="14"/>
      <c r="I2763" s="14"/>
      <c r="J2763" s="14"/>
      <c r="K2763" s="14"/>
      <c r="L2763" s="15"/>
      <c r="M2763" s="15"/>
      <c r="N2763" s="15"/>
      <c r="O2763" s="15"/>
      <c r="P2763" s="15"/>
      <c r="Q2763" s="14"/>
      <c r="R2763" s="14"/>
      <c r="S2763" s="14"/>
      <c r="T2763" s="14"/>
      <c r="U2763" s="15"/>
      <c r="V2763" s="14"/>
      <c r="W2763" s="14"/>
      <c r="X2763" s="14"/>
      <c r="Y2763" s="14"/>
      <c r="Z2763" s="14"/>
    </row>
    <row r="2764" spans="1:26" ht="13.2">
      <c r="A2764" s="13"/>
      <c r="B2764" s="14"/>
      <c r="C2764" s="14"/>
      <c r="D2764" s="14"/>
      <c r="E2764" s="14"/>
      <c r="F2764" s="14"/>
      <c r="G2764" s="14"/>
      <c r="H2764" s="14"/>
      <c r="I2764" s="14"/>
      <c r="J2764" s="14"/>
      <c r="K2764" s="14"/>
      <c r="L2764" s="15"/>
      <c r="M2764" s="15"/>
      <c r="N2764" s="15"/>
      <c r="O2764" s="15"/>
      <c r="P2764" s="15"/>
      <c r="Q2764" s="14"/>
      <c r="R2764" s="14"/>
      <c r="S2764" s="14"/>
      <c r="T2764" s="14"/>
      <c r="U2764" s="15"/>
      <c r="V2764" s="14"/>
      <c r="W2764" s="14"/>
      <c r="X2764" s="14"/>
      <c r="Y2764" s="14"/>
      <c r="Z2764" s="14"/>
    </row>
    <row r="2765" spans="1:26" ht="13.2">
      <c r="A2765" s="13"/>
      <c r="B2765" s="14"/>
      <c r="C2765" s="14"/>
      <c r="D2765" s="14"/>
      <c r="E2765" s="14"/>
      <c r="F2765" s="14"/>
      <c r="G2765" s="14"/>
      <c r="H2765" s="14"/>
      <c r="I2765" s="14"/>
      <c r="J2765" s="14"/>
      <c r="K2765" s="14"/>
      <c r="L2765" s="15"/>
      <c r="M2765" s="15"/>
      <c r="N2765" s="15"/>
      <c r="O2765" s="15"/>
      <c r="P2765" s="15"/>
      <c r="Q2765" s="14"/>
      <c r="R2765" s="14"/>
      <c r="S2765" s="14"/>
      <c r="T2765" s="14"/>
      <c r="U2765" s="15"/>
      <c r="V2765" s="14"/>
      <c r="W2765" s="14"/>
      <c r="X2765" s="14"/>
      <c r="Y2765" s="14"/>
      <c r="Z2765" s="14"/>
    </row>
    <row r="2766" spans="1:26" ht="13.2">
      <c r="A2766" s="13"/>
      <c r="B2766" s="14"/>
      <c r="C2766" s="14"/>
      <c r="D2766" s="14"/>
      <c r="E2766" s="14"/>
      <c r="F2766" s="14"/>
      <c r="G2766" s="14"/>
      <c r="H2766" s="14"/>
      <c r="I2766" s="14"/>
      <c r="J2766" s="14"/>
      <c r="K2766" s="14"/>
      <c r="L2766" s="15"/>
      <c r="M2766" s="15"/>
      <c r="N2766" s="15"/>
      <c r="O2766" s="15"/>
      <c r="P2766" s="15"/>
      <c r="Q2766" s="14"/>
      <c r="R2766" s="14"/>
      <c r="S2766" s="14"/>
      <c r="T2766" s="14"/>
      <c r="U2766" s="15"/>
      <c r="V2766" s="14"/>
      <c r="W2766" s="14"/>
      <c r="X2766" s="14"/>
      <c r="Y2766" s="14"/>
      <c r="Z2766" s="14"/>
    </row>
    <row r="2767" spans="1:26" ht="13.2">
      <c r="A2767" s="13"/>
      <c r="B2767" s="14"/>
      <c r="C2767" s="14"/>
      <c r="D2767" s="14"/>
      <c r="E2767" s="14"/>
      <c r="F2767" s="14"/>
      <c r="G2767" s="14"/>
      <c r="H2767" s="14"/>
      <c r="I2767" s="14"/>
      <c r="J2767" s="14"/>
      <c r="K2767" s="14"/>
      <c r="L2767" s="15"/>
      <c r="M2767" s="15"/>
      <c r="N2767" s="15"/>
      <c r="O2767" s="15"/>
      <c r="P2767" s="15"/>
      <c r="Q2767" s="14"/>
      <c r="R2767" s="14"/>
      <c r="S2767" s="14"/>
      <c r="T2767" s="14"/>
      <c r="U2767" s="15"/>
      <c r="V2767" s="14"/>
      <c r="W2767" s="14"/>
      <c r="X2767" s="14"/>
      <c r="Y2767" s="14"/>
      <c r="Z2767" s="14"/>
    </row>
    <row r="2768" spans="1:26" ht="13.2">
      <c r="A2768" s="13"/>
      <c r="B2768" s="14"/>
      <c r="C2768" s="14"/>
      <c r="D2768" s="14"/>
      <c r="E2768" s="14"/>
      <c r="F2768" s="14"/>
      <c r="G2768" s="14"/>
      <c r="H2768" s="14"/>
      <c r="I2768" s="14"/>
      <c r="J2768" s="14"/>
      <c r="K2768" s="14"/>
      <c r="L2768" s="15"/>
      <c r="M2768" s="15"/>
      <c r="N2768" s="15"/>
      <c r="O2768" s="15"/>
      <c r="P2768" s="15"/>
      <c r="Q2768" s="14"/>
      <c r="R2768" s="14"/>
      <c r="S2768" s="14"/>
      <c r="T2768" s="14"/>
      <c r="U2768" s="15"/>
      <c r="V2768" s="14"/>
      <c r="W2768" s="14"/>
      <c r="X2768" s="14"/>
      <c r="Y2768" s="14"/>
      <c r="Z2768" s="14"/>
    </row>
    <row r="2769" spans="1:26" ht="13.2">
      <c r="A2769" s="13"/>
      <c r="B2769" s="14"/>
      <c r="C2769" s="14"/>
      <c r="D2769" s="14"/>
      <c r="E2769" s="14"/>
      <c r="F2769" s="14"/>
      <c r="G2769" s="14"/>
      <c r="H2769" s="14"/>
      <c r="I2769" s="14"/>
      <c r="J2769" s="14"/>
      <c r="K2769" s="14"/>
      <c r="L2769" s="15"/>
      <c r="M2769" s="15"/>
      <c r="N2769" s="15"/>
      <c r="O2769" s="15"/>
      <c r="P2769" s="15"/>
      <c r="Q2769" s="14"/>
      <c r="R2769" s="14"/>
      <c r="S2769" s="14"/>
      <c r="T2769" s="14"/>
      <c r="U2769" s="15"/>
      <c r="V2769" s="14"/>
      <c r="W2769" s="14"/>
      <c r="X2769" s="14"/>
      <c r="Y2769" s="14"/>
      <c r="Z2769" s="14"/>
    </row>
    <row r="2770" spans="1:26" ht="13.2">
      <c r="A2770" s="13"/>
      <c r="B2770" s="14"/>
      <c r="C2770" s="14"/>
      <c r="D2770" s="14"/>
      <c r="E2770" s="14"/>
      <c r="F2770" s="14"/>
      <c r="G2770" s="14"/>
      <c r="H2770" s="14"/>
      <c r="I2770" s="14"/>
      <c r="J2770" s="14"/>
      <c r="K2770" s="14"/>
      <c r="L2770" s="15"/>
      <c r="M2770" s="15"/>
      <c r="N2770" s="15"/>
      <c r="O2770" s="15"/>
      <c r="P2770" s="15"/>
      <c r="Q2770" s="14"/>
      <c r="R2770" s="14"/>
      <c r="S2770" s="14"/>
      <c r="T2770" s="14"/>
      <c r="U2770" s="15"/>
      <c r="V2770" s="14"/>
      <c r="W2770" s="14"/>
      <c r="X2770" s="14"/>
      <c r="Y2770" s="14"/>
      <c r="Z2770" s="14"/>
    </row>
    <row r="2771" spans="1:26" ht="13.2">
      <c r="A2771" s="13"/>
      <c r="B2771" s="14"/>
      <c r="C2771" s="14"/>
      <c r="D2771" s="14"/>
      <c r="E2771" s="14"/>
      <c r="F2771" s="14"/>
      <c r="G2771" s="14"/>
      <c r="H2771" s="14"/>
      <c r="I2771" s="14"/>
      <c r="J2771" s="14"/>
      <c r="K2771" s="14"/>
      <c r="L2771" s="15"/>
      <c r="M2771" s="15"/>
      <c r="N2771" s="15"/>
      <c r="O2771" s="15"/>
      <c r="P2771" s="15"/>
      <c r="Q2771" s="14"/>
      <c r="R2771" s="14"/>
      <c r="S2771" s="14"/>
      <c r="T2771" s="14"/>
      <c r="U2771" s="15"/>
      <c r="V2771" s="14"/>
      <c r="W2771" s="14"/>
      <c r="X2771" s="14"/>
      <c r="Y2771" s="14"/>
      <c r="Z2771" s="14"/>
    </row>
    <row r="2772" spans="1:26" ht="13.2">
      <c r="A2772" s="13"/>
      <c r="B2772" s="14"/>
      <c r="C2772" s="14"/>
      <c r="D2772" s="14"/>
      <c r="E2772" s="14"/>
      <c r="F2772" s="14"/>
      <c r="G2772" s="14"/>
      <c r="H2772" s="14"/>
      <c r="I2772" s="14"/>
      <c r="J2772" s="14"/>
      <c r="K2772" s="14"/>
      <c r="L2772" s="15"/>
      <c r="M2772" s="15"/>
      <c r="N2772" s="15"/>
      <c r="O2772" s="15"/>
      <c r="P2772" s="15"/>
      <c r="Q2772" s="14"/>
      <c r="R2772" s="14"/>
      <c r="S2772" s="14"/>
      <c r="T2772" s="14"/>
      <c r="U2772" s="15"/>
      <c r="V2772" s="14"/>
      <c r="W2772" s="14"/>
      <c r="X2772" s="14"/>
      <c r="Y2772" s="14"/>
      <c r="Z2772" s="14"/>
    </row>
    <row r="2773" spans="1:26" ht="13.2">
      <c r="A2773" s="13"/>
      <c r="B2773" s="14"/>
      <c r="C2773" s="14"/>
      <c r="D2773" s="14"/>
      <c r="E2773" s="14"/>
      <c r="F2773" s="14"/>
      <c r="G2773" s="14"/>
      <c r="H2773" s="14"/>
      <c r="I2773" s="14"/>
      <c r="J2773" s="14"/>
      <c r="K2773" s="14"/>
      <c r="L2773" s="15"/>
      <c r="M2773" s="15"/>
      <c r="N2773" s="15"/>
      <c r="O2773" s="15"/>
      <c r="P2773" s="15"/>
      <c r="Q2773" s="14"/>
      <c r="R2773" s="14"/>
      <c r="S2773" s="14"/>
      <c r="T2773" s="14"/>
      <c r="U2773" s="15"/>
      <c r="V2773" s="14"/>
      <c r="W2773" s="14"/>
      <c r="X2773" s="14"/>
      <c r="Y2773" s="14"/>
      <c r="Z2773" s="14"/>
    </row>
    <row r="2774" spans="1:26" ht="13.2">
      <c r="A2774" s="13"/>
      <c r="B2774" s="14"/>
      <c r="C2774" s="14"/>
      <c r="D2774" s="14"/>
      <c r="E2774" s="14"/>
      <c r="F2774" s="14"/>
      <c r="G2774" s="14"/>
      <c r="H2774" s="14"/>
      <c r="I2774" s="14"/>
      <c r="J2774" s="14"/>
      <c r="K2774" s="14"/>
      <c r="L2774" s="15"/>
      <c r="M2774" s="15"/>
      <c r="N2774" s="15"/>
      <c r="O2774" s="15"/>
      <c r="P2774" s="15"/>
      <c r="Q2774" s="14"/>
      <c r="R2774" s="14"/>
      <c r="S2774" s="14"/>
      <c r="T2774" s="14"/>
      <c r="U2774" s="15"/>
      <c r="V2774" s="14"/>
      <c r="W2774" s="14"/>
      <c r="X2774" s="14"/>
      <c r="Y2774" s="14"/>
      <c r="Z2774" s="14"/>
    </row>
    <row r="2775" spans="1:26" ht="13.2">
      <c r="A2775" s="13"/>
      <c r="B2775" s="14"/>
      <c r="C2775" s="14"/>
      <c r="D2775" s="14"/>
      <c r="E2775" s="14"/>
      <c r="F2775" s="14"/>
      <c r="G2775" s="14"/>
      <c r="H2775" s="14"/>
      <c r="I2775" s="14"/>
      <c r="J2775" s="14"/>
      <c r="K2775" s="14"/>
      <c r="L2775" s="15"/>
      <c r="M2775" s="15"/>
      <c r="N2775" s="15"/>
      <c r="O2775" s="15"/>
      <c r="P2775" s="15"/>
      <c r="Q2775" s="14"/>
      <c r="R2775" s="14"/>
      <c r="S2775" s="14"/>
      <c r="T2775" s="14"/>
      <c r="U2775" s="15"/>
      <c r="V2775" s="14"/>
      <c r="W2775" s="14"/>
      <c r="X2775" s="14"/>
      <c r="Y2775" s="14"/>
      <c r="Z2775" s="14"/>
    </row>
    <row r="2776" spans="1:26" ht="13.2">
      <c r="A2776" s="13"/>
      <c r="B2776" s="14"/>
      <c r="C2776" s="14"/>
      <c r="D2776" s="14"/>
      <c r="E2776" s="14"/>
      <c r="F2776" s="14"/>
      <c r="G2776" s="14"/>
      <c r="H2776" s="14"/>
      <c r="I2776" s="14"/>
      <c r="J2776" s="14"/>
      <c r="K2776" s="14"/>
      <c r="L2776" s="15"/>
      <c r="M2776" s="15"/>
      <c r="N2776" s="15"/>
      <c r="O2776" s="15"/>
      <c r="P2776" s="15"/>
      <c r="Q2776" s="14"/>
      <c r="R2776" s="14"/>
      <c r="S2776" s="14"/>
      <c r="T2776" s="14"/>
      <c r="U2776" s="15"/>
      <c r="V2776" s="14"/>
      <c r="W2776" s="14"/>
      <c r="X2776" s="14"/>
      <c r="Y2776" s="14"/>
      <c r="Z2776" s="14"/>
    </row>
    <row r="2777" spans="1:26" ht="13.2">
      <c r="A2777" s="13"/>
      <c r="B2777" s="14"/>
      <c r="C2777" s="14"/>
      <c r="D2777" s="14"/>
      <c r="E2777" s="14"/>
      <c r="F2777" s="14"/>
      <c r="G2777" s="14"/>
      <c r="H2777" s="14"/>
      <c r="I2777" s="14"/>
      <c r="J2777" s="14"/>
      <c r="K2777" s="14"/>
      <c r="L2777" s="15"/>
      <c r="M2777" s="15"/>
      <c r="N2777" s="15"/>
      <c r="O2777" s="15"/>
      <c r="P2777" s="15"/>
      <c r="Q2777" s="14"/>
      <c r="R2777" s="14"/>
      <c r="S2777" s="14"/>
      <c r="T2777" s="14"/>
      <c r="U2777" s="15"/>
      <c r="V2777" s="14"/>
      <c r="W2777" s="14"/>
      <c r="X2777" s="14"/>
      <c r="Y2777" s="14"/>
      <c r="Z2777" s="14"/>
    </row>
    <row r="2778" spans="1:26" ht="13.2">
      <c r="A2778" s="13"/>
      <c r="B2778" s="14"/>
      <c r="C2778" s="14"/>
      <c r="D2778" s="14"/>
      <c r="E2778" s="14"/>
      <c r="F2778" s="14"/>
      <c r="G2778" s="14"/>
      <c r="H2778" s="14"/>
      <c r="I2778" s="14"/>
      <c r="J2778" s="14"/>
      <c r="K2778" s="14"/>
      <c r="L2778" s="15"/>
      <c r="M2778" s="15"/>
      <c r="N2778" s="15"/>
      <c r="O2778" s="15"/>
      <c r="P2778" s="15"/>
      <c r="Q2778" s="14"/>
      <c r="R2778" s="14"/>
      <c r="S2778" s="14"/>
      <c r="T2778" s="14"/>
      <c r="U2778" s="15"/>
      <c r="V2778" s="14"/>
      <c r="W2778" s="14"/>
      <c r="X2778" s="14"/>
      <c r="Y2778" s="14"/>
      <c r="Z2778" s="14"/>
    </row>
    <row r="2779" spans="1:26" ht="13.2">
      <c r="A2779" s="13"/>
      <c r="B2779" s="14"/>
      <c r="C2779" s="14"/>
      <c r="D2779" s="14"/>
      <c r="E2779" s="14"/>
      <c r="F2779" s="14"/>
      <c r="G2779" s="14"/>
      <c r="H2779" s="14"/>
      <c r="I2779" s="14"/>
      <c r="J2779" s="14"/>
      <c r="K2779" s="14"/>
      <c r="L2779" s="15"/>
      <c r="M2779" s="15"/>
      <c r="N2779" s="15"/>
      <c r="O2779" s="15"/>
      <c r="P2779" s="15"/>
      <c r="Q2779" s="14"/>
      <c r="R2779" s="14"/>
      <c r="S2779" s="14"/>
      <c r="T2779" s="14"/>
      <c r="U2779" s="15"/>
      <c r="V2779" s="14"/>
      <c r="W2779" s="14"/>
      <c r="X2779" s="14"/>
      <c r="Y2779" s="14"/>
      <c r="Z2779" s="14"/>
    </row>
    <row r="2780" spans="1:26" ht="13.2">
      <c r="A2780" s="13"/>
      <c r="B2780" s="14"/>
      <c r="C2780" s="14"/>
      <c r="D2780" s="14"/>
      <c r="E2780" s="14"/>
      <c r="F2780" s="14"/>
      <c r="G2780" s="14"/>
      <c r="H2780" s="14"/>
      <c r="I2780" s="14"/>
      <c r="J2780" s="14"/>
      <c r="K2780" s="14"/>
      <c r="L2780" s="15"/>
      <c r="M2780" s="15"/>
      <c r="N2780" s="15"/>
      <c r="O2780" s="15"/>
      <c r="P2780" s="15"/>
      <c r="Q2780" s="14"/>
      <c r="R2780" s="14"/>
      <c r="S2780" s="14"/>
      <c r="T2780" s="14"/>
      <c r="U2780" s="15"/>
      <c r="V2780" s="14"/>
      <c r="W2780" s="14"/>
      <c r="X2780" s="14"/>
      <c r="Y2780" s="14"/>
      <c r="Z2780" s="14"/>
    </row>
    <row r="2781" spans="1:26" ht="13.2">
      <c r="A2781" s="13"/>
      <c r="B2781" s="14"/>
      <c r="C2781" s="14"/>
      <c r="D2781" s="14"/>
      <c r="E2781" s="14"/>
      <c r="F2781" s="14"/>
      <c r="G2781" s="14"/>
      <c r="H2781" s="14"/>
      <c r="I2781" s="14"/>
      <c r="J2781" s="14"/>
      <c r="K2781" s="14"/>
      <c r="L2781" s="15"/>
      <c r="M2781" s="15"/>
      <c r="N2781" s="15"/>
      <c r="O2781" s="15"/>
      <c r="P2781" s="15"/>
      <c r="Q2781" s="14"/>
      <c r="R2781" s="14"/>
      <c r="S2781" s="14"/>
      <c r="T2781" s="14"/>
      <c r="U2781" s="15"/>
      <c r="V2781" s="14"/>
      <c r="W2781" s="14"/>
      <c r="X2781" s="14"/>
      <c r="Y2781" s="14"/>
      <c r="Z2781" s="14"/>
    </row>
    <row r="2782" spans="1:26" ht="13.2">
      <c r="A2782" s="13"/>
      <c r="B2782" s="14"/>
      <c r="C2782" s="14"/>
      <c r="D2782" s="14"/>
      <c r="E2782" s="14"/>
      <c r="F2782" s="14"/>
      <c r="G2782" s="14"/>
      <c r="H2782" s="14"/>
      <c r="I2782" s="14"/>
      <c r="J2782" s="14"/>
      <c r="K2782" s="14"/>
      <c r="L2782" s="15"/>
      <c r="M2782" s="15"/>
      <c r="N2782" s="15"/>
      <c r="O2782" s="15"/>
      <c r="P2782" s="15"/>
      <c r="Q2782" s="14"/>
      <c r="R2782" s="14"/>
      <c r="S2782" s="14"/>
      <c r="T2782" s="14"/>
      <c r="U2782" s="15"/>
      <c r="V2782" s="14"/>
      <c r="W2782" s="14"/>
      <c r="X2782" s="14"/>
      <c r="Y2782" s="14"/>
      <c r="Z2782" s="14"/>
    </row>
    <row r="2783" spans="1:26" ht="13.2">
      <c r="A2783" s="13"/>
      <c r="B2783" s="14"/>
      <c r="C2783" s="14"/>
      <c r="D2783" s="14"/>
      <c r="E2783" s="14"/>
      <c r="F2783" s="14"/>
      <c r="G2783" s="14"/>
      <c r="H2783" s="14"/>
      <c r="I2783" s="14"/>
      <c r="J2783" s="14"/>
      <c r="K2783" s="14"/>
      <c r="L2783" s="15"/>
      <c r="M2783" s="15"/>
      <c r="N2783" s="15"/>
      <c r="O2783" s="15"/>
      <c r="P2783" s="15"/>
      <c r="Q2783" s="14"/>
      <c r="R2783" s="14"/>
      <c r="S2783" s="14"/>
      <c r="T2783" s="14"/>
      <c r="U2783" s="15"/>
      <c r="V2783" s="14"/>
      <c r="W2783" s="14"/>
      <c r="X2783" s="14"/>
      <c r="Y2783" s="14"/>
      <c r="Z2783" s="14"/>
    </row>
    <row r="2784" spans="1:26" ht="13.2">
      <c r="A2784" s="13"/>
      <c r="B2784" s="14"/>
      <c r="C2784" s="14"/>
      <c r="D2784" s="14"/>
      <c r="E2784" s="14"/>
      <c r="F2784" s="14"/>
      <c r="G2784" s="14"/>
      <c r="H2784" s="14"/>
      <c r="I2784" s="14"/>
      <c r="J2784" s="14"/>
      <c r="K2784" s="14"/>
      <c r="L2784" s="15"/>
      <c r="M2784" s="15"/>
      <c r="N2784" s="15"/>
      <c r="O2784" s="15"/>
      <c r="P2784" s="15"/>
      <c r="Q2784" s="14"/>
      <c r="R2784" s="14"/>
      <c r="S2784" s="14"/>
      <c r="T2784" s="14"/>
      <c r="U2784" s="15"/>
      <c r="V2784" s="14"/>
      <c r="W2784" s="14"/>
      <c r="X2784" s="14"/>
      <c r="Y2784" s="14"/>
      <c r="Z2784" s="14"/>
    </row>
    <row r="2785" spans="1:26" ht="13.2">
      <c r="A2785" s="13"/>
      <c r="B2785" s="14"/>
      <c r="C2785" s="14"/>
      <c r="D2785" s="14"/>
      <c r="E2785" s="14"/>
      <c r="F2785" s="14"/>
      <c r="G2785" s="14"/>
      <c r="H2785" s="14"/>
      <c r="I2785" s="14"/>
      <c r="J2785" s="14"/>
      <c r="K2785" s="14"/>
      <c r="L2785" s="15"/>
      <c r="M2785" s="15"/>
      <c r="N2785" s="15"/>
      <c r="O2785" s="15"/>
      <c r="P2785" s="15"/>
      <c r="Q2785" s="14"/>
      <c r="R2785" s="14"/>
      <c r="S2785" s="14"/>
      <c r="T2785" s="14"/>
      <c r="U2785" s="15"/>
      <c r="V2785" s="14"/>
      <c r="W2785" s="14"/>
      <c r="X2785" s="14"/>
      <c r="Y2785" s="14"/>
      <c r="Z2785" s="14"/>
    </row>
    <row r="2786" spans="1:26" ht="13.2">
      <c r="A2786" s="13"/>
      <c r="B2786" s="14"/>
      <c r="C2786" s="14"/>
      <c r="D2786" s="14"/>
      <c r="E2786" s="14"/>
      <c r="F2786" s="14"/>
      <c r="G2786" s="14"/>
      <c r="H2786" s="14"/>
      <c r="I2786" s="14"/>
      <c r="J2786" s="14"/>
      <c r="K2786" s="14"/>
      <c r="L2786" s="15"/>
      <c r="M2786" s="15"/>
      <c r="N2786" s="15"/>
      <c r="O2786" s="15"/>
      <c r="P2786" s="15"/>
      <c r="Q2786" s="14"/>
      <c r="R2786" s="14"/>
      <c r="S2786" s="14"/>
      <c r="T2786" s="14"/>
      <c r="U2786" s="15"/>
      <c r="V2786" s="14"/>
      <c r="W2786" s="14"/>
      <c r="X2786" s="14"/>
      <c r="Y2786" s="14"/>
      <c r="Z2786" s="14"/>
    </row>
    <row r="2787" spans="1:26" ht="13.2">
      <c r="A2787" s="13"/>
      <c r="B2787" s="14"/>
      <c r="C2787" s="14"/>
      <c r="D2787" s="14"/>
      <c r="E2787" s="14"/>
      <c r="F2787" s="14"/>
      <c r="G2787" s="14"/>
      <c r="H2787" s="14"/>
      <c r="I2787" s="14"/>
      <c r="J2787" s="14"/>
      <c r="K2787" s="14"/>
      <c r="L2787" s="15"/>
      <c r="M2787" s="15"/>
      <c r="N2787" s="15"/>
      <c r="O2787" s="15"/>
      <c r="P2787" s="15"/>
      <c r="Q2787" s="14"/>
      <c r="R2787" s="14"/>
      <c r="S2787" s="14"/>
      <c r="T2787" s="14"/>
      <c r="U2787" s="15"/>
      <c r="V2787" s="14"/>
      <c r="W2787" s="14"/>
      <c r="X2787" s="14"/>
      <c r="Y2787" s="14"/>
      <c r="Z2787" s="14"/>
    </row>
    <row r="2788" spans="1:26" ht="13.2">
      <c r="A2788" s="13"/>
      <c r="B2788" s="14"/>
      <c r="C2788" s="14"/>
      <c r="D2788" s="14"/>
      <c r="E2788" s="14"/>
      <c r="F2788" s="14"/>
      <c r="G2788" s="14"/>
      <c r="H2788" s="14"/>
      <c r="I2788" s="14"/>
      <c r="J2788" s="14"/>
      <c r="K2788" s="14"/>
      <c r="L2788" s="15"/>
      <c r="M2788" s="15"/>
      <c r="N2788" s="15"/>
      <c r="O2788" s="15"/>
      <c r="P2788" s="15"/>
      <c r="Q2788" s="14"/>
      <c r="R2788" s="14"/>
      <c r="S2788" s="14"/>
      <c r="T2788" s="14"/>
      <c r="U2788" s="15"/>
      <c r="V2788" s="14"/>
      <c r="W2788" s="14"/>
      <c r="X2788" s="14"/>
      <c r="Y2788" s="14"/>
      <c r="Z2788" s="14"/>
    </row>
    <row r="2789" spans="1:26" ht="13.2">
      <c r="A2789" s="13"/>
      <c r="B2789" s="14"/>
      <c r="C2789" s="14"/>
      <c r="D2789" s="14"/>
      <c r="E2789" s="14"/>
      <c r="F2789" s="14"/>
      <c r="G2789" s="14"/>
      <c r="H2789" s="14"/>
      <c r="I2789" s="14"/>
      <c r="J2789" s="14"/>
      <c r="K2789" s="14"/>
      <c r="L2789" s="15"/>
      <c r="M2789" s="15"/>
      <c r="N2789" s="15"/>
      <c r="O2789" s="15"/>
      <c r="P2789" s="15"/>
      <c r="Q2789" s="14"/>
      <c r="R2789" s="14"/>
      <c r="S2789" s="14"/>
      <c r="T2789" s="14"/>
      <c r="U2789" s="15"/>
      <c r="V2789" s="14"/>
      <c r="W2789" s="14"/>
      <c r="X2789" s="14"/>
      <c r="Y2789" s="14"/>
      <c r="Z2789" s="14"/>
    </row>
    <row r="2790" spans="1:26" ht="13.2">
      <c r="A2790" s="13"/>
      <c r="B2790" s="14"/>
      <c r="C2790" s="14"/>
      <c r="D2790" s="14"/>
      <c r="E2790" s="14"/>
      <c r="F2790" s="14"/>
      <c r="G2790" s="14"/>
      <c r="H2790" s="14"/>
      <c r="I2790" s="14"/>
      <c r="J2790" s="14"/>
      <c r="K2790" s="14"/>
      <c r="L2790" s="15"/>
      <c r="M2790" s="15"/>
      <c r="N2790" s="15"/>
      <c r="O2790" s="15"/>
      <c r="P2790" s="15"/>
      <c r="Q2790" s="14"/>
      <c r="R2790" s="14"/>
      <c r="S2790" s="14"/>
      <c r="T2790" s="14"/>
      <c r="U2790" s="15"/>
      <c r="V2790" s="14"/>
      <c r="W2790" s="14"/>
      <c r="X2790" s="14"/>
      <c r="Y2790" s="14"/>
      <c r="Z2790" s="14"/>
    </row>
    <row r="2791" spans="1:26" ht="13.2">
      <c r="A2791" s="13"/>
      <c r="B2791" s="14"/>
      <c r="C2791" s="14"/>
      <c r="D2791" s="14"/>
      <c r="E2791" s="14"/>
      <c r="F2791" s="14"/>
      <c r="G2791" s="14"/>
      <c r="H2791" s="14"/>
      <c r="I2791" s="14"/>
      <c r="J2791" s="14"/>
      <c r="K2791" s="14"/>
      <c r="L2791" s="15"/>
      <c r="M2791" s="15"/>
      <c r="N2791" s="15"/>
      <c r="O2791" s="15"/>
      <c r="P2791" s="15"/>
      <c r="Q2791" s="14"/>
      <c r="R2791" s="14"/>
      <c r="S2791" s="14"/>
      <c r="T2791" s="14"/>
      <c r="U2791" s="15"/>
      <c r="V2791" s="14"/>
      <c r="W2791" s="14"/>
      <c r="X2791" s="14"/>
      <c r="Y2791" s="14"/>
      <c r="Z2791" s="14"/>
    </row>
    <row r="2792" spans="1:26" ht="13.2">
      <c r="A2792" s="13"/>
      <c r="B2792" s="14"/>
      <c r="C2792" s="14"/>
      <c r="D2792" s="14"/>
      <c r="E2792" s="14"/>
      <c r="F2792" s="14"/>
      <c r="G2792" s="14"/>
      <c r="H2792" s="14"/>
      <c r="I2792" s="14"/>
      <c r="J2792" s="14"/>
      <c r="K2792" s="14"/>
      <c r="L2792" s="15"/>
      <c r="M2792" s="15"/>
      <c r="N2792" s="15"/>
      <c r="O2792" s="15"/>
      <c r="P2792" s="15"/>
      <c r="Q2792" s="14"/>
      <c r="R2792" s="14"/>
      <c r="S2792" s="14"/>
      <c r="T2792" s="14"/>
      <c r="U2792" s="15"/>
      <c r="V2792" s="14"/>
      <c r="W2792" s="14"/>
      <c r="X2792" s="14"/>
      <c r="Y2792" s="14"/>
      <c r="Z2792" s="14"/>
    </row>
    <row r="2793" spans="1:26" ht="13.2">
      <c r="A2793" s="13"/>
      <c r="B2793" s="14"/>
      <c r="C2793" s="14"/>
      <c r="D2793" s="14"/>
      <c r="E2793" s="14"/>
      <c r="F2793" s="14"/>
      <c r="G2793" s="14"/>
      <c r="H2793" s="14"/>
      <c r="I2793" s="14"/>
      <c r="J2793" s="14"/>
      <c r="K2793" s="14"/>
      <c r="L2793" s="15"/>
      <c r="M2793" s="15"/>
      <c r="N2793" s="15"/>
      <c r="O2793" s="15"/>
      <c r="P2793" s="15"/>
      <c r="Q2793" s="14"/>
      <c r="R2793" s="14"/>
      <c r="S2793" s="14"/>
      <c r="T2793" s="14"/>
      <c r="U2793" s="15"/>
      <c r="V2793" s="14"/>
      <c r="W2793" s="14"/>
      <c r="X2793" s="14"/>
      <c r="Y2793" s="14"/>
      <c r="Z2793" s="14"/>
    </row>
    <row r="2794" spans="1:26" ht="13.2">
      <c r="A2794" s="13"/>
      <c r="B2794" s="14"/>
      <c r="C2794" s="14"/>
      <c r="D2794" s="14"/>
      <c r="E2794" s="14"/>
      <c r="F2794" s="14"/>
      <c r="G2794" s="14"/>
      <c r="H2794" s="14"/>
      <c r="I2794" s="14"/>
      <c r="J2794" s="14"/>
      <c r="K2794" s="14"/>
      <c r="L2794" s="15"/>
      <c r="M2794" s="15"/>
      <c r="N2794" s="15"/>
      <c r="O2794" s="15"/>
      <c r="P2794" s="15"/>
      <c r="Q2794" s="14"/>
      <c r="R2794" s="14"/>
      <c r="S2794" s="14"/>
      <c r="T2794" s="14"/>
      <c r="U2794" s="15"/>
      <c r="V2794" s="14"/>
      <c r="W2794" s="14"/>
      <c r="X2794" s="14"/>
      <c r="Y2794" s="14"/>
      <c r="Z2794" s="14"/>
    </row>
    <row r="2795" spans="1:26" ht="13.2">
      <c r="A2795" s="13"/>
      <c r="B2795" s="14"/>
      <c r="C2795" s="14"/>
      <c r="D2795" s="14"/>
      <c r="E2795" s="14"/>
      <c r="F2795" s="14"/>
      <c r="G2795" s="14"/>
      <c r="H2795" s="14"/>
      <c r="I2795" s="14"/>
      <c r="J2795" s="14"/>
      <c r="K2795" s="14"/>
      <c r="L2795" s="15"/>
      <c r="M2795" s="15"/>
      <c r="N2795" s="15"/>
      <c r="O2795" s="15"/>
      <c r="P2795" s="15"/>
      <c r="Q2795" s="14"/>
      <c r="R2795" s="14"/>
      <c r="S2795" s="14"/>
      <c r="T2795" s="14"/>
      <c r="U2795" s="15"/>
      <c r="V2795" s="14"/>
      <c r="W2795" s="14"/>
      <c r="X2795" s="14"/>
      <c r="Y2795" s="14"/>
      <c r="Z2795" s="14"/>
    </row>
    <row r="2796" spans="1:26" ht="13.2">
      <c r="A2796" s="13"/>
      <c r="B2796" s="14"/>
      <c r="C2796" s="14"/>
      <c r="D2796" s="14"/>
      <c r="E2796" s="14"/>
      <c r="F2796" s="14"/>
      <c r="G2796" s="14"/>
      <c r="H2796" s="14"/>
      <c r="I2796" s="14"/>
      <c r="J2796" s="14"/>
      <c r="K2796" s="14"/>
      <c r="L2796" s="15"/>
      <c r="M2796" s="15"/>
      <c r="N2796" s="15"/>
      <c r="O2796" s="15"/>
      <c r="P2796" s="15"/>
      <c r="Q2796" s="14"/>
      <c r="R2796" s="14"/>
      <c r="S2796" s="14"/>
      <c r="T2796" s="14"/>
      <c r="U2796" s="15"/>
      <c r="V2796" s="14"/>
      <c r="W2796" s="14"/>
      <c r="X2796" s="14"/>
      <c r="Y2796" s="14"/>
      <c r="Z2796" s="14"/>
    </row>
    <row r="2797" spans="1:26" ht="13.2">
      <c r="A2797" s="13"/>
      <c r="B2797" s="14"/>
      <c r="C2797" s="14"/>
      <c r="D2797" s="14"/>
      <c r="E2797" s="14"/>
      <c r="F2797" s="14"/>
      <c r="G2797" s="14"/>
      <c r="H2797" s="14"/>
      <c r="I2797" s="14"/>
      <c r="J2797" s="14"/>
      <c r="K2797" s="14"/>
      <c r="L2797" s="15"/>
      <c r="M2797" s="15"/>
      <c r="N2797" s="15"/>
      <c r="O2797" s="15"/>
      <c r="P2797" s="15"/>
      <c r="Q2797" s="14"/>
      <c r="R2797" s="14"/>
      <c r="S2797" s="14"/>
      <c r="T2797" s="14"/>
      <c r="U2797" s="15"/>
      <c r="V2797" s="14"/>
      <c r="W2797" s="14"/>
      <c r="X2797" s="14"/>
      <c r="Y2797" s="14"/>
      <c r="Z2797" s="14"/>
    </row>
    <row r="2798" spans="1:26" ht="13.2">
      <c r="A2798" s="13"/>
      <c r="B2798" s="14"/>
      <c r="C2798" s="14"/>
      <c r="D2798" s="14"/>
      <c r="E2798" s="14"/>
      <c r="F2798" s="14"/>
      <c r="G2798" s="14"/>
      <c r="H2798" s="14"/>
      <c r="I2798" s="14"/>
      <c r="J2798" s="14"/>
      <c r="K2798" s="14"/>
      <c r="L2798" s="15"/>
      <c r="M2798" s="15"/>
      <c r="N2798" s="15"/>
      <c r="O2798" s="15"/>
      <c r="P2798" s="15"/>
      <c r="Q2798" s="14"/>
      <c r="R2798" s="14"/>
      <c r="S2798" s="14"/>
      <c r="T2798" s="14"/>
      <c r="U2798" s="15"/>
      <c r="V2798" s="14"/>
      <c r="W2798" s="14"/>
      <c r="X2798" s="14"/>
      <c r="Y2798" s="14"/>
      <c r="Z2798" s="14"/>
    </row>
    <row r="2799" spans="1:26" ht="13.2">
      <c r="A2799" s="13"/>
      <c r="B2799" s="14"/>
      <c r="C2799" s="14"/>
      <c r="D2799" s="14"/>
      <c r="E2799" s="14"/>
      <c r="F2799" s="14"/>
      <c r="G2799" s="14"/>
      <c r="H2799" s="14"/>
      <c r="I2799" s="14"/>
      <c r="J2799" s="14"/>
      <c r="K2799" s="14"/>
      <c r="L2799" s="15"/>
      <c r="M2799" s="15"/>
      <c r="N2799" s="15"/>
      <c r="O2799" s="15"/>
      <c r="P2799" s="15"/>
      <c r="Q2799" s="14"/>
      <c r="R2799" s="14"/>
      <c r="S2799" s="14"/>
      <c r="T2799" s="14"/>
      <c r="U2799" s="15"/>
      <c r="V2799" s="14"/>
      <c r="W2799" s="14"/>
      <c r="X2799" s="14"/>
      <c r="Y2799" s="14"/>
      <c r="Z2799" s="14"/>
    </row>
    <row r="2800" spans="1:26" ht="13.2">
      <c r="A2800" s="13"/>
      <c r="B2800" s="14"/>
      <c r="C2800" s="14"/>
      <c r="D2800" s="14"/>
      <c r="E2800" s="14"/>
      <c r="F2800" s="14"/>
      <c r="G2800" s="14"/>
      <c r="H2800" s="14"/>
      <c r="I2800" s="14"/>
      <c r="J2800" s="14"/>
      <c r="K2800" s="14"/>
      <c r="L2800" s="15"/>
      <c r="M2800" s="15"/>
      <c r="N2800" s="15"/>
      <c r="O2800" s="15"/>
      <c r="P2800" s="15"/>
      <c r="Q2800" s="14"/>
      <c r="R2800" s="14"/>
      <c r="S2800" s="14"/>
      <c r="T2800" s="14"/>
      <c r="U2800" s="15"/>
      <c r="V2800" s="14"/>
      <c r="W2800" s="14"/>
      <c r="X2800" s="14"/>
      <c r="Y2800" s="14"/>
      <c r="Z2800" s="14"/>
    </row>
    <row r="2801" spans="1:26" ht="13.2">
      <c r="A2801" s="13"/>
      <c r="B2801" s="14"/>
      <c r="C2801" s="14"/>
      <c r="D2801" s="14"/>
      <c r="E2801" s="14"/>
      <c r="F2801" s="14"/>
      <c r="G2801" s="14"/>
      <c r="H2801" s="14"/>
      <c r="I2801" s="14"/>
      <c r="J2801" s="14"/>
      <c r="K2801" s="14"/>
      <c r="L2801" s="15"/>
      <c r="M2801" s="15"/>
      <c r="N2801" s="15"/>
      <c r="O2801" s="15"/>
      <c r="P2801" s="15"/>
      <c r="Q2801" s="14"/>
      <c r="R2801" s="14"/>
      <c r="S2801" s="14"/>
      <c r="T2801" s="14"/>
      <c r="U2801" s="15"/>
      <c r="V2801" s="14"/>
      <c r="W2801" s="14"/>
      <c r="X2801" s="14"/>
      <c r="Y2801" s="14"/>
      <c r="Z2801" s="14"/>
    </row>
    <row r="2802" spans="1:26" ht="13.2">
      <c r="A2802" s="13"/>
      <c r="B2802" s="14"/>
      <c r="C2802" s="14"/>
      <c r="D2802" s="14"/>
      <c r="E2802" s="14"/>
      <c r="F2802" s="14"/>
      <c r="G2802" s="14"/>
      <c r="H2802" s="14"/>
      <c r="I2802" s="14"/>
      <c r="J2802" s="14"/>
      <c r="K2802" s="14"/>
      <c r="L2802" s="15"/>
      <c r="M2802" s="15"/>
      <c r="N2802" s="15"/>
      <c r="O2802" s="15"/>
      <c r="P2802" s="15"/>
      <c r="Q2802" s="14"/>
      <c r="R2802" s="14"/>
      <c r="S2802" s="14"/>
      <c r="T2802" s="14"/>
      <c r="U2802" s="15"/>
      <c r="V2802" s="14"/>
      <c r="W2802" s="14"/>
      <c r="X2802" s="14"/>
      <c r="Y2802" s="14"/>
      <c r="Z2802" s="14"/>
    </row>
    <row r="2803" spans="1:26" ht="13.2">
      <c r="A2803" s="13"/>
      <c r="B2803" s="14"/>
      <c r="C2803" s="14"/>
      <c r="D2803" s="14"/>
      <c r="E2803" s="14"/>
      <c r="F2803" s="14"/>
      <c r="G2803" s="14"/>
      <c r="H2803" s="14"/>
      <c r="I2803" s="14"/>
      <c r="J2803" s="14"/>
      <c r="K2803" s="14"/>
      <c r="L2803" s="15"/>
      <c r="M2803" s="15"/>
      <c r="N2803" s="15"/>
      <c r="O2803" s="15"/>
      <c r="P2803" s="15"/>
      <c r="Q2803" s="14"/>
      <c r="R2803" s="14"/>
      <c r="S2803" s="14"/>
      <c r="T2803" s="14"/>
      <c r="U2803" s="15"/>
      <c r="V2803" s="14"/>
      <c r="W2803" s="14"/>
      <c r="X2803" s="14"/>
      <c r="Y2803" s="14"/>
      <c r="Z2803" s="14"/>
    </row>
    <row r="2804" spans="1:26" ht="13.2">
      <c r="A2804" s="13"/>
      <c r="B2804" s="14"/>
      <c r="C2804" s="14"/>
      <c r="D2804" s="14"/>
      <c r="E2804" s="14"/>
      <c r="F2804" s="14"/>
      <c r="G2804" s="14"/>
      <c r="H2804" s="14"/>
      <c r="I2804" s="14"/>
      <c r="J2804" s="14"/>
      <c r="K2804" s="14"/>
      <c r="L2804" s="15"/>
      <c r="M2804" s="15"/>
      <c r="N2804" s="15"/>
      <c r="O2804" s="15"/>
      <c r="P2804" s="15"/>
      <c r="Q2804" s="14"/>
      <c r="R2804" s="14"/>
      <c r="S2804" s="14"/>
      <c r="T2804" s="14"/>
      <c r="U2804" s="15"/>
      <c r="V2804" s="14"/>
      <c r="W2804" s="14"/>
      <c r="X2804" s="14"/>
      <c r="Y2804" s="14"/>
      <c r="Z2804" s="14"/>
    </row>
    <row r="2805" spans="1:26" ht="13.2">
      <c r="A2805" s="13"/>
      <c r="B2805" s="14"/>
      <c r="C2805" s="14"/>
      <c r="D2805" s="14"/>
      <c r="E2805" s="14"/>
      <c r="F2805" s="14"/>
      <c r="G2805" s="14"/>
      <c r="H2805" s="14"/>
      <c r="I2805" s="14"/>
      <c r="J2805" s="14"/>
      <c r="K2805" s="14"/>
      <c r="L2805" s="15"/>
      <c r="M2805" s="15"/>
      <c r="N2805" s="15"/>
      <c r="O2805" s="15"/>
      <c r="P2805" s="15"/>
      <c r="Q2805" s="14"/>
      <c r="R2805" s="14"/>
      <c r="S2805" s="14"/>
      <c r="T2805" s="14"/>
      <c r="U2805" s="15"/>
      <c r="V2805" s="14"/>
      <c r="W2805" s="14"/>
      <c r="X2805" s="14"/>
      <c r="Y2805" s="14"/>
      <c r="Z2805" s="14"/>
    </row>
    <row r="2806" spans="1:26" ht="13.2">
      <c r="A2806" s="13"/>
      <c r="B2806" s="14"/>
      <c r="C2806" s="14"/>
      <c r="D2806" s="14"/>
      <c r="E2806" s="14"/>
      <c r="F2806" s="14"/>
      <c r="G2806" s="14"/>
      <c r="H2806" s="14"/>
      <c r="I2806" s="14"/>
      <c r="J2806" s="14"/>
      <c r="K2806" s="14"/>
      <c r="L2806" s="15"/>
      <c r="M2806" s="15"/>
      <c r="N2806" s="15"/>
      <c r="O2806" s="15"/>
      <c r="P2806" s="15"/>
      <c r="Q2806" s="14"/>
      <c r="R2806" s="14"/>
      <c r="S2806" s="14"/>
      <c r="T2806" s="14"/>
      <c r="U2806" s="15"/>
      <c r="V2806" s="14"/>
      <c r="W2806" s="14"/>
      <c r="X2806" s="14"/>
      <c r="Y2806" s="14"/>
      <c r="Z2806" s="14"/>
    </row>
    <row r="2807" spans="1:26" ht="13.2">
      <c r="A2807" s="13"/>
      <c r="B2807" s="14"/>
      <c r="C2807" s="14"/>
      <c r="D2807" s="14"/>
      <c r="E2807" s="14"/>
      <c r="F2807" s="14"/>
      <c r="G2807" s="14"/>
      <c r="H2807" s="14"/>
      <c r="I2807" s="14"/>
      <c r="J2807" s="14"/>
      <c r="K2807" s="14"/>
      <c r="L2807" s="15"/>
      <c r="M2807" s="15"/>
      <c r="N2807" s="15"/>
      <c r="O2807" s="15"/>
      <c r="P2807" s="15"/>
      <c r="Q2807" s="14"/>
      <c r="R2807" s="14"/>
      <c r="S2807" s="14"/>
      <c r="T2807" s="14"/>
      <c r="U2807" s="15"/>
      <c r="V2807" s="14"/>
      <c r="W2807" s="14"/>
      <c r="X2807" s="14"/>
      <c r="Y2807" s="14"/>
      <c r="Z2807" s="14"/>
    </row>
    <row r="2808" spans="1:26" ht="13.2">
      <c r="A2808" s="13"/>
      <c r="B2808" s="14"/>
      <c r="C2808" s="14"/>
      <c r="D2808" s="14"/>
      <c r="E2808" s="14"/>
      <c r="F2808" s="14"/>
      <c r="G2808" s="14"/>
      <c r="H2808" s="14"/>
      <c r="I2808" s="14"/>
      <c r="J2808" s="14"/>
      <c r="K2808" s="14"/>
      <c r="L2808" s="15"/>
      <c r="M2808" s="15"/>
      <c r="N2808" s="15"/>
      <c r="O2808" s="15"/>
      <c r="P2808" s="15"/>
      <c r="Q2808" s="14"/>
      <c r="R2808" s="14"/>
      <c r="S2808" s="14"/>
      <c r="T2808" s="14"/>
      <c r="U2808" s="15"/>
      <c r="V2808" s="14"/>
      <c r="W2808" s="14"/>
      <c r="X2808" s="14"/>
      <c r="Y2808" s="14"/>
      <c r="Z2808" s="14"/>
    </row>
    <row r="2809" spans="1:26" ht="13.2">
      <c r="A2809" s="13"/>
      <c r="B2809" s="14"/>
      <c r="C2809" s="14"/>
      <c r="D2809" s="14"/>
      <c r="E2809" s="14"/>
      <c r="F2809" s="14"/>
      <c r="G2809" s="14"/>
      <c r="H2809" s="14"/>
      <c r="I2809" s="14"/>
      <c r="J2809" s="14"/>
      <c r="K2809" s="14"/>
      <c r="L2809" s="15"/>
      <c r="M2809" s="15"/>
      <c r="N2809" s="15"/>
      <c r="O2809" s="15"/>
      <c r="P2809" s="15"/>
      <c r="Q2809" s="14"/>
      <c r="R2809" s="14"/>
      <c r="S2809" s="14"/>
      <c r="T2809" s="14"/>
      <c r="U2809" s="15"/>
      <c r="V2809" s="14"/>
      <c r="W2809" s="14"/>
      <c r="X2809" s="14"/>
      <c r="Y2809" s="14"/>
      <c r="Z2809" s="14"/>
    </row>
    <row r="2810" spans="1:26" ht="13.2">
      <c r="A2810" s="13"/>
      <c r="B2810" s="14"/>
      <c r="C2810" s="14"/>
      <c r="D2810" s="14"/>
      <c r="E2810" s="14"/>
      <c r="F2810" s="14"/>
      <c r="G2810" s="14"/>
      <c r="H2810" s="14"/>
      <c r="I2810" s="14"/>
      <c r="J2810" s="14"/>
      <c r="K2810" s="14"/>
      <c r="L2810" s="15"/>
      <c r="M2810" s="15"/>
      <c r="N2810" s="15"/>
      <c r="O2810" s="15"/>
      <c r="P2810" s="15"/>
      <c r="Q2810" s="14"/>
      <c r="R2810" s="14"/>
      <c r="S2810" s="14"/>
      <c r="T2810" s="14"/>
      <c r="U2810" s="15"/>
      <c r="V2810" s="14"/>
      <c r="W2810" s="14"/>
      <c r="X2810" s="14"/>
      <c r="Y2810" s="14"/>
      <c r="Z2810" s="14"/>
    </row>
    <row r="2811" spans="1:26" ht="13.2">
      <c r="A2811" s="13"/>
      <c r="B2811" s="14"/>
      <c r="C2811" s="14"/>
      <c r="D2811" s="14"/>
      <c r="E2811" s="14"/>
      <c r="F2811" s="14"/>
      <c r="G2811" s="14"/>
      <c r="H2811" s="14"/>
      <c r="I2811" s="14"/>
      <c r="J2811" s="14"/>
      <c r="K2811" s="14"/>
      <c r="L2811" s="15"/>
      <c r="M2811" s="15"/>
      <c r="N2811" s="15"/>
      <c r="O2811" s="15"/>
      <c r="P2811" s="15"/>
      <c r="Q2811" s="14"/>
      <c r="R2811" s="14"/>
      <c r="S2811" s="14"/>
      <c r="T2811" s="14"/>
      <c r="U2811" s="15"/>
      <c r="V2811" s="14"/>
      <c r="W2811" s="14"/>
      <c r="X2811" s="14"/>
      <c r="Y2811" s="14"/>
      <c r="Z2811" s="14"/>
    </row>
    <row r="2812" spans="1:26" ht="13.2">
      <c r="A2812" s="13"/>
      <c r="B2812" s="14"/>
      <c r="C2812" s="14"/>
      <c r="D2812" s="14"/>
      <c r="E2812" s="14"/>
      <c r="F2812" s="14"/>
      <c r="G2812" s="14"/>
      <c r="H2812" s="14"/>
      <c r="I2812" s="14"/>
      <c r="J2812" s="14"/>
      <c r="K2812" s="14"/>
      <c r="L2812" s="15"/>
      <c r="M2812" s="15"/>
      <c r="N2812" s="15"/>
      <c r="O2812" s="15"/>
      <c r="P2812" s="15"/>
      <c r="Q2812" s="14"/>
      <c r="R2812" s="14"/>
      <c r="S2812" s="14"/>
      <c r="T2812" s="14"/>
      <c r="U2812" s="15"/>
      <c r="V2812" s="14"/>
      <c r="W2812" s="14"/>
      <c r="X2812" s="14"/>
      <c r="Y2812" s="14"/>
      <c r="Z2812" s="14"/>
    </row>
    <row r="2813" spans="1:26" ht="13.2">
      <c r="A2813" s="13"/>
      <c r="B2813" s="14"/>
      <c r="C2813" s="14"/>
      <c r="D2813" s="14"/>
      <c r="E2813" s="14"/>
      <c r="F2813" s="14"/>
      <c r="G2813" s="14"/>
      <c r="H2813" s="14"/>
      <c r="I2813" s="14"/>
      <c r="J2813" s="14"/>
      <c r="K2813" s="14"/>
      <c r="L2813" s="15"/>
      <c r="M2813" s="15"/>
      <c r="N2813" s="15"/>
      <c r="O2813" s="15"/>
      <c r="P2813" s="15"/>
      <c r="Q2813" s="14"/>
      <c r="R2813" s="14"/>
      <c r="S2813" s="14"/>
      <c r="T2813" s="14"/>
      <c r="U2813" s="15"/>
      <c r="V2813" s="14"/>
      <c r="W2813" s="14"/>
      <c r="X2813" s="14"/>
      <c r="Y2813" s="14"/>
      <c r="Z2813" s="14"/>
    </row>
    <row r="2814" spans="1:26" ht="13.2">
      <c r="A2814" s="13"/>
      <c r="B2814" s="14"/>
      <c r="C2814" s="14"/>
      <c r="D2814" s="14"/>
      <c r="E2814" s="14"/>
      <c r="F2814" s="14"/>
      <c r="G2814" s="14"/>
      <c r="H2814" s="14"/>
      <c r="I2814" s="14"/>
      <c r="J2814" s="14"/>
      <c r="K2814" s="14"/>
      <c r="L2814" s="15"/>
      <c r="M2814" s="15"/>
      <c r="N2814" s="15"/>
      <c r="O2814" s="15"/>
      <c r="P2814" s="15"/>
      <c r="Q2814" s="14"/>
      <c r="R2814" s="14"/>
      <c r="S2814" s="14"/>
      <c r="T2814" s="14"/>
      <c r="U2814" s="15"/>
      <c r="V2814" s="14"/>
      <c r="W2814" s="14"/>
      <c r="X2814" s="14"/>
      <c r="Y2814" s="14"/>
      <c r="Z2814" s="14"/>
    </row>
    <row r="2815" spans="1:26" ht="13.2">
      <c r="A2815" s="13"/>
      <c r="B2815" s="14"/>
      <c r="C2815" s="14"/>
      <c r="D2815" s="14"/>
      <c r="E2815" s="14"/>
      <c r="F2815" s="14"/>
      <c r="G2815" s="14"/>
      <c r="H2815" s="14"/>
      <c r="I2815" s="14"/>
      <c r="J2815" s="14"/>
      <c r="K2815" s="14"/>
      <c r="L2815" s="15"/>
      <c r="M2815" s="15"/>
      <c r="N2815" s="15"/>
      <c r="O2815" s="15"/>
      <c r="P2815" s="15"/>
      <c r="Q2815" s="14"/>
      <c r="R2815" s="14"/>
      <c r="S2815" s="14"/>
      <c r="T2815" s="14"/>
      <c r="U2815" s="15"/>
      <c r="V2815" s="14"/>
      <c r="W2815" s="14"/>
      <c r="X2815" s="14"/>
      <c r="Y2815" s="14"/>
      <c r="Z2815" s="14"/>
    </row>
    <row r="2816" spans="1:26" ht="13.2">
      <c r="A2816" s="13"/>
      <c r="B2816" s="14"/>
      <c r="C2816" s="14"/>
      <c r="D2816" s="14"/>
      <c r="E2816" s="14"/>
      <c r="F2816" s="14"/>
      <c r="G2816" s="14"/>
      <c r="H2816" s="14"/>
      <c r="I2816" s="14"/>
      <c r="J2816" s="14"/>
      <c r="K2816" s="14"/>
      <c r="L2816" s="15"/>
      <c r="M2816" s="15"/>
      <c r="N2816" s="15"/>
      <c r="O2816" s="15"/>
      <c r="P2816" s="15"/>
      <c r="Q2816" s="14"/>
      <c r="R2816" s="14"/>
      <c r="S2816" s="14"/>
      <c r="T2816" s="14"/>
      <c r="U2816" s="15"/>
      <c r="V2816" s="14"/>
      <c r="W2816" s="14"/>
      <c r="X2816" s="14"/>
      <c r="Y2816" s="14"/>
      <c r="Z2816" s="14"/>
    </row>
    <row r="2817" spans="1:26" ht="13.2">
      <c r="A2817" s="13"/>
      <c r="B2817" s="14"/>
      <c r="C2817" s="14"/>
      <c r="D2817" s="14"/>
      <c r="E2817" s="14"/>
      <c r="F2817" s="14"/>
      <c r="G2817" s="14"/>
      <c r="H2817" s="14"/>
      <c r="I2817" s="14"/>
      <c r="J2817" s="14"/>
      <c r="K2817" s="14"/>
      <c r="L2817" s="15"/>
      <c r="M2817" s="15"/>
      <c r="N2817" s="15"/>
      <c r="O2817" s="15"/>
      <c r="P2817" s="15"/>
      <c r="Q2817" s="14"/>
      <c r="R2817" s="14"/>
      <c r="S2817" s="14"/>
      <c r="T2817" s="14"/>
      <c r="U2817" s="15"/>
      <c r="V2817" s="14"/>
      <c r="W2817" s="14"/>
      <c r="X2817" s="14"/>
      <c r="Y2817" s="14"/>
      <c r="Z2817" s="14"/>
    </row>
    <row r="2818" spans="1:26" ht="13.2">
      <c r="A2818" s="13"/>
      <c r="B2818" s="14"/>
      <c r="C2818" s="14"/>
      <c r="D2818" s="14"/>
      <c r="E2818" s="14"/>
      <c r="F2818" s="14"/>
      <c r="G2818" s="14"/>
      <c r="H2818" s="14"/>
      <c r="I2818" s="14"/>
      <c r="J2818" s="14"/>
      <c r="K2818" s="14"/>
      <c r="L2818" s="15"/>
      <c r="M2818" s="15"/>
      <c r="N2818" s="15"/>
      <c r="O2818" s="15"/>
      <c r="P2818" s="15"/>
      <c r="Q2818" s="14"/>
      <c r="R2818" s="14"/>
      <c r="S2818" s="14"/>
      <c r="T2818" s="14"/>
      <c r="U2818" s="15"/>
      <c r="V2818" s="14"/>
      <c r="W2818" s="14"/>
      <c r="X2818" s="14"/>
      <c r="Y2818" s="14"/>
      <c r="Z2818" s="14"/>
    </row>
    <row r="2819" spans="1:26" ht="13.2">
      <c r="A2819" s="13"/>
      <c r="B2819" s="14"/>
      <c r="C2819" s="14"/>
      <c r="D2819" s="14"/>
      <c r="E2819" s="14"/>
      <c r="F2819" s="14"/>
      <c r="G2819" s="14"/>
      <c r="H2819" s="14"/>
      <c r="I2819" s="14"/>
      <c r="J2819" s="14"/>
      <c r="K2819" s="14"/>
      <c r="L2819" s="15"/>
      <c r="M2819" s="15"/>
      <c r="N2819" s="15"/>
      <c r="O2819" s="15"/>
      <c r="P2819" s="15"/>
      <c r="Q2819" s="14"/>
      <c r="R2819" s="14"/>
      <c r="S2819" s="14"/>
      <c r="T2819" s="14"/>
      <c r="U2819" s="15"/>
      <c r="V2819" s="14"/>
      <c r="W2819" s="14"/>
      <c r="X2819" s="14"/>
      <c r="Y2819" s="14"/>
      <c r="Z2819" s="14"/>
    </row>
    <row r="2820" spans="1:26" ht="13.2">
      <c r="A2820" s="13"/>
      <c r="B2820" s="14"/>
      <c r="C2820" s="14"/>
      <c r="D2820" s="14"/>
      <c r="E2820" s="14"/>
      <c r="F2820" s="14"/>
      <c r="G2820" s="14"/>
      <c r="H2820" s="14"/>
      <c r="I2820" s="14"/>
      <c r="J2820" s="14"/>
      <c r="K2820" s="14"/>
      <c r="L2820" s="15"/>
      <c r="M2820" s="15"/>
      <c r="N2820" s="15"/>
      <c r="O2820" s="15"/>
      <c r="P2820" s="15"/>
      <c r="Q2820" s="14"/>
      <c r="R2820" s="14"/>
      <c r="S2820" s="14"/>
      <c r="T2820" s="14"/>
      <c r="U2820" s="15"/>
      <c r="V2820" s="14"/>
      <c r="W2820" s="14"/>
      <c r="X2820" s="14"/>
      <c r="Y2820" s="14"/>
      <c r="Z2820" s="14"/>
    </row>
    <row r="2821" spans="1:26" ht="13.2">
      <c r="A2821" s="13"/>
      <c r="B2821" s="14"/>
      <c r="C2821" s="14"/>
      <c r="D2821" s="14"/>
      <c r="E2821" s="14"/>
      <c r="F2821" s="14"/>
      <c r="G2821" s="14"/>
      <c r="H2821" s="14"/>
      <c r="I2821" s="14"/>
      <c r="J2821" s="14"/>
      <c r="K2821" s="14"/>
      <c r="L2821" s="15"/>
      <c r="M2821" s="15"/>
      <c r="N2821" s="15"/>
      <c r="O2821" s="15"/>
      <c r="P2821" s="15"/>
      <c r="Q2821" s="14"/>
      <c r="R2821" s="14"/>
      <c r="S2821" s="14"/>
      <c r="T2821" s="14"/>
      <c r="U2821" s="15"/>
      <c r="V2821" s="14"/>
      <c r="W2821" s="14"/>
      <c r="X2821" s="14"/>
      <c r="Y2821" s="14"/>
      <c r="Z2821" s="14"/>
    </row>
    <row r="2822" spans="1:26" ht="13.2">
      <c r="A2822" s="13"/>
      <c r="B2822" s="14"/>
      <c r="C2822" s="14"/>
      <c r="D2822" s="14"/>
      <c r="E2822" s="14"/>
      <c r="F2822" s="14"/>
      <c r="G2822" s="14"/>
      <c r="H2822" s="14"/>
      <c r="I2822" s="14"/>
      <c r="J2822" s="14"/>
      <c r="K2822" s="14"/>
      <c r="L2822" s="15"/>
      <c r="M2822" s="15"/>
      <c r="N2822" s="15"/>
      <c r="O2822" s="15"/>
      <c r="P2822" s="15"/>
      <c r="Q2822" s="14"/>
      <c r="R2822" s="14"/>
      <c r="S2822" s="14"/>
      <c r="T2822" s="14"/>
      <c r="U2822" s="15"/>
      <c r="V2822" s="14"/>
      <c r="W2822" s="14"/>
      <c r="X2822" s="14"/>
      <c r="Y2822" s="14"/>
      <c r="Z2822" s="14"/>
    </row>
    <row r="2823" spans="1:26" ht="13.2">
      <c r="A2823" s="13"/>
      <c r="B2823" s="14"/>
      <c r="C2823" s="14"/>
      <c r="D2823" s="14"/>
      <c r="E2823" s="14"/>
      <c r="F2823" s="14"/>
      <c r="G2823" s="14"/>
      <c r="H2823" s="14"/>
      <c r="I2823" s="14"/>
      <c r="J2823" s="14"/>
      <c r="K2823" s="14"/>
      <c r="L2823" s="15"/>
      <c r="M2823" s="15"/>
      <c r="N2823" s="15"/>
      <c r="O2823" s="15"/>
      <c r="P2823" s="15"/>
      <c r="Q2823" s="14"/>
      <c r="R2823" s="14"/>
      <c r="S2823" s="14"/>
      <c r="T2823" s="14"/>
      <c r="U2823" s="15"/>
      <c r="V2823" s="14"/>
      <c r="W2823" s="14"/>
      <c r="X2823" s="14"/>
      <c r="Y2823" s="14"/>
      <c r="Z2823" s="14"/>
    </row>
    <row r="2824" spans="1:26" ht="13.2">
      <c r="A2824" s="13"/>
      <c r="B2824" s="14"/>
      <c r="C2824" s="14"/>
      <c r="D2824" s="14"/>
      <c r="E2824" s="14"/>
      <c r="F2824" s="14"/>
      <c r="G2824" s="14"/>
      <c r="H2824" s="14"/>
      <c r="I2824" s="14"/>
      <c r="J2824" s="14"/>
      <c r="K2824" s="14"/>
      <c r="L2824" s="15"/>
      <c r="M2824" s="15"/>
      <c r="N2824" s="15"/>
      <c r="O2824" s="15"/>
      <c r="P2824" s="15"/>
      <c r="Q2824" s="14"/>
      <c r="R2824" s="14"/>
      <c r="S2824" s="14"/>
      <c r="T2824" s="14"/>
      <c r="U2824" s="15"/>
      <c r="V2824" s="14"/>
      <c r="W2824" s="14"/>
      <c r="X2824" s="14"/>
      <c r="Y2824" s="14"/>
      <c r="Z2824" s="14"/>
    </row>
    <row r="2825" spans="1:26" ht="13.2">
      <c r="A2825" s="13"/>
      <c r="B2825" s="14"/>
      <c r="C2825" s="14"/>
      <c r="D2825" s="14"/>
      <c r="E2825" s="14"/>
      <c r="F2825" s="14"/>
      <c r="G2825" s="14"/>
      <c r="H2825" s="14"/>
      <c r="I2825" s="14"/>
      <c r="J2825" s="14"/>
      <c r="K2825" s="14"/>
      <c r="L2825" s="15"/>
      <c r="M2825" s="15"/>
      <c r="N2825" s="15"/>
      <c r="O2825" s="15"/>
      <c r="P2825" s="15"/>
      <c r="Q2825" s="14"/>
      <c r="R2825" s="14"/>
      <c r="S2825" s="14"/>
      <c r="T2825" s="14"/>
      <c r="U2825" s="15"/>
      <c r="V2825" s="14"/>
      <c r="W2825" s="14"/>
      <c r="X2825" s="14"/>
      <c r="Y2825" s="14"/>
      <c r="Z2825" s="14"/>
    </row>
    <row r="2826" spans="1:26" ht="13.2">
      <c r="A2826" s="13"/>
      <c r="B2826" s="14"/>
      <c r="C2826" s="14"/>
      <c r="D2826" s="14"/>
      <c r="E2826" s="14"/>
      <c r="F2826" s="14"/>
      <c r="G2826" s="14"/>
      <c r="H2826" s="14"/>
      <c r="I2826" s="14"/>
      <c r="J2826" s="14"/>
      <c r="K2826" s="14"/>
      <c r="L2826" s="15"/>
      <c r="M2826" s="15"/>
      <c r="N2826" s="15"/>
      <c r="O2826" s="15"/>
      <c r="P2826" s="15"/>
      <c r="Q2826" s="14"/>
      <c r="R2826" s="14"/>
      <c r="S2826" s="14"/>
      <c r="T2826" s="14"/>
      <c r="U2826" s="15"/>
      <c r="V2826" s="14"/>
      <c r="W2826" s="14"/>
      <c r="X2826" s="14"/>
      <c r="Y2826" s="14"/>
      <c r="Z2826" s="14"/>
    </row>
    <row r="2827" spans="1:26" ht="13.2">
      <c r="A2827" s="13"/>
      <c r="B2827" s="14"/>
      <c r="C2827" s="14"/>
      <c r="D2827" s="14"/>
      <c r="E2827" s="14"/>
      <c r="F2827" s="14"/>
      <c r="G2827" s="14"/>
      <c r="H2827" s="14"/>
      <c r="I2827" s="14"/>
      <c r="J2827" s="14"/>
      <c r="K2827" s="14"/>
      <c r="L2827" s="15"/>
      <c r="M2827" s="15"/>
      <c r="N2827" s="15"/>
      <c r="O2827" s="15"/>
      <c r="P2827" s="15"/>
      <c r="Q2827" s="14"/>
      <c r="R2827" s="14"/>
      <c r="S2827" s="14"/>
      <c r="T2827" s="14"/>
      <c r="U2827" s="15"/>
      <c r="V2827" s="14"/>
      <c r="W2827" s="14"/>
      <c r="X2827" s="14"/>
      <c r="Y2827" s="14"/>
      <c r="Z2827" s="14"/>
    </row>
    <row r="2828" spans="1:26" ht="13.2">
      <c r="A2828" s="13"/>
      <c r="B2828" s="14"/>
      <c r="C2828" s="14"/>
      <c r="D2828" s="14"/>
      <c r="E2828" s="14"/>
      <c r="F2828" s="14"/>
      <c r="G2828" s="14"/>
      <c r="H2828" s="14"/>
      <c r="I2828" s="14"/>
      <c r="J2828" s="14"/>
      <c r="K2828" s="14"/>
      <c r="L2828" s="15"/>
      <c r="M2828" s="15"/>
      <c r="N2828" s="15"/>
      <c r="O2828" s="15"/>
      <c r="P2828" s="15"/>
      <c r="Q2828" s="14"/>
      <c r="R2828" s="14"/>
      <c r="S2828" s="14"/>
      <c r="T2828" s="14"/>
      <c r="U2828" s="15"/>
      <c r="V2828" s="14"/>
      <c r="W2828" s="14"/>
      <c r="X2828" s="14"/>
      <c r="Y2828" s="14"/>
      <c r="Z2828" s="14"/>
    </row>
    <row r="2829" spans="1:26" ht="13.2">
      <c r="A2829" s="13"/>
      <c r="B2829" s="14"/>
      <c r="C2829" s="14"/>
      <c r="D2829" s="14"/>
      <c r="E2829" s="14"/>
      <c r="F2829" s="14"/>
      <c r="G2829" s="14"/>
      <c r="H2829" s="14"/>
      <c r="I2829" s="14"/>
      <c r="J2829" s="14"/>
      <c r="K2829" s="14"/>
      <c r="L2829" s="15"/>
      <c r="M2829" s="15"/>
      <c r="N2829" s="15"/>
      <c r="O2829" s="15"/>
      <c r="P2829" s="15"/>
      <c r="Q2829" s="14"/>
      <c r="R2829" s="14"/>
      <c r="S2829" s="14"/>
      <c r="T2829" s="14"/>
      <c r="U2829" s="15"/>
      <c r="V2829" s="14"/>
      <c r="W2829" s="14"/>
      <c r="X2829" s="14"/>
      <c r="Y2829" s="14"/>
      <c r="Z2829" s="14"/>
    </row>
    <row r="2830" spans="1:26" ht="13.2">
      <c r="A2830" s="13"/>
      <c r="B2830" s="14"/>
      <c r="C2830" s="14"/>
      <c r="D2830" s="14"/>
      <c r="E2830" s="14"/>
      <c r="F2830" s="14"/>
      <c r="G2830" s="14"/>
      <c r="H2830" s="14"/>
      <c r="I2830" s="14"/>
      <c r="J2830" s="14"/>
      <c r="K2830" s="14"/>
      <c r="L2830" s="15"/>
      <c r="M2830" s="15"/>
      <c r="N2830" s="15"/>
      <c r="O2830" s="15"/>
      <c r="P2830" s="15"/>
      <c r="Q2830" s="14"/>
      <c r="R2830" s="14"/>
      <c r="S2830" s="14"/>
      <c r="T2830" s="14"/>
      <c r="U2830" s="15"/>
      <c r="V2830" s="14"/>
      <c r="W2830" s="14"/>
      <c r="X2830" s="14"/>
      <c r="Y2830" s="14"/>
      <c r="Z2830" s="14"/>
    </row>
    <row r="2831" spans="1:26" ht="13.2">
      <c r="A2831" s="13"/>
      <c r="B2831" s="14"/>
      <c r="C2831" s="14"/>
      <c r="D2831" s="14"/>
      <c r="E2831" s="14"/>
      <c r="F2831" s="14"/>
      <c r="G2831" s="14"/>
      <c r="H2831" s="14"/>
      <c r="I2831" s="14"/>
      <c r="J2831" s="14"/>
      <c r="K2831" s="14"/>
      <c r="L2831" s="15"/>
      <c r="M2831" s="15"/>
      <c r="N2831" s="15"/>
      <c r="O2831" s="15"/>
      <c r="P2831" s="15"/>
      <c r="Q2831" s="14"/>
      <c r="R2831" s="14"/>
      <c r="S2831" s="14"/>
      <c r="T2831" s="14"/>
      <c r="U2831" s="15"/>
      <c r="V2831" s="14"/>
      <c r="W2831" s="14"/>
      <c r="X2831" s="14"/>
      <c r="Y2831" s="14"/>
      <c r="Z2831" s="14"/>
    </row>
    <row r="2832" spans="1:26" ht="13.2">
      <c r="A2832" s="13"/>
      <c r="B2832" s="14"/>
      <c r="C2832" s="14"/>
      <c r="D2832" s="14"/>
      <c r="E2832" s="14"/>
      <c r="F2832" s="14"/>
      <c r="G2832" s="14"/>
      <c r="H2832" s="14"/>
      <c r="I2832" s="14"/>
      <c r="J2832" s="14"/>
      <c r="K2832" s="14"/>
      <c r="L2832" s="15"/>
      <c r="M2832" s="15"/>
      <c r="N2832" s="15"/>
      <c r="O2832" s="15"/>
      <c r="P2832" s="15"/>
      <c r="Q2832" s="14"/>
      <c r="R2832" s="14"/>
      <c r="S2832" s="14"/>
      <c r="T2832" s="14"/>
      <c r="U2832" s="15"/>
      <c r="V2832" s="14"/>
      <c r="W2832" s="14"/>
      <c r="X2832" s="14"/>
      <c r="Y2832" s="14"/>
      <c r="Z2832" s="14"/>
    </row>
    <row r="2833" spans="1:26" ht="13.2">
      <c r="A2833" s="13"/>
      <c r="B2833" s="14"/>
      <c r="C2833" s="14"/>
      <c r="D2833" s="14"/>
      <c r="E2833" s="14"/>
      <c r="F2833" s="14"/>
      <c r="G2833" s="14"/>
      <c r="H2833" s="14"/>
      <c r="I2833" s="14"/>
      <c r="J2833" s="14"/>
      <c r="K2833" s="14"/>
      <c r="L2833" s="15"/>
      <c r="M2833" s="15"/>
      <c r="N2833" s="15"/>
      <c r="O2833" s="15"/>
      <c r="P2833" s="15"/>
      <c r="Q2833" s="14"/>
      <c r="R2833" s="14"/>
      <c r="S2833" s="14"/>
      <c r="T2833" s="14"/>
      <c r="U2833" s="15"/>
      <c r="V2833" s="14"/>
      <c r="W2833" s="14"/>
      <c r="X2833" s="14"/>
      <c r="Y2833" s="14"/>
      <c r="Z2833" s="14"/>
    </row>
    <row r="2834" spans="1:26" ht="13.2">
      <c r="A2834" s="13"/>
      <c r="B2834" s="14"/>
      <c r="C2834" s="14"/>
      <c r="D2834" s="14"/>
      <c r="E2834" s="14"/>
      <c r="F2834" s="14"/>
      <c r="G2834" s="14"/>
      <c r="H2834" s="14"/>
      <c r="I2834" s="14"/>
      <c r="J2834" s="14"/>
      <c r="K2834" s="14"/>
      <c r="L2834" s="15"/>
      <c r="M2834" s="15"/>
      <c r="N2834" s="15"/>
      <c r="O2834" s="15"/>
      <c r="P2834" s="15"/>
      <c r="Q2834" s="14"/>
      <c r="R2834" s="14"/>
      <c r="S2834" s="14"/>
      <c r="T2834" s="14"/>
      <c r="U2834" s="15"/>
      <c r="V2834" s="14"/>
      <c r="W2834" s="14"/>
      <c r="X2834" s="14"/>
      <c r="Y2834" s="14"/>
      <c r="Z2834" s="14"/>
    </row>
    <row r="2835" spans="1:26" ht="13.2">
      <c r="A2835" s="13"/>
      <c r="B2835" s="14"/>
      <c r="C2835" s="14"/>
      <c r="D2835" s="14"/>
      <c r="E2835" s="14"/>
      <c r="F2835" s="14"/>
      <c r="G2835" s="14"/>
      <c r="H2835" s="14"/>
      <c r="I2835" s="14"/>
      <c r="J2835" s="14"/>
      <c r="K2835" s="14"/>
      <c r="L2835" s="15"/>
      <c r="M2835" s="15"/>
      <c r="N2835" s="15"/>
      <c r="O2835" s="15"/>
      <c r="P2835" s="15"/>
      <c r="Q2835" s="14"/>
      <c r="R2835" s="14"/>
      <c r="S2835" s="14"/>
      <c r="T2835" s="14"/>
      <c r="U2835" s="15"/>
      <c r="V2835" s="14"/>
      <c r="W2835" s="14"/>
      <c r="X2835" s="14"/>
      <c r="Y2835" s="14"/>
      <c r="Z2835" s="14"/>
    </row>
    <row r="2836" spans="1:26" ht="13.2">
      <c r="A2836" s="13"/>
      <c r="B2836" s="14"/>
      <c r="C2836" s="14"/>
      <c r="D2836" s="14"/>
      <c r="E2836" s="14"/>
      <c r="F2836" s="14"/>
      <c r="G2836" s="14"/>
      <c r="H2836" s="14"/>
      <c r="I2836" s="14"/>
      <c r="J2836" s="14"/>
      <c r="K2836" s="14"/>
      <c r="L2836" s="15"/>
      <c r="M2836" s="15"/>
      <c r="N2836" s="15"/>
      <c r="O2836" s="15"/>
      <c r="P2836" s="15"/>
      <c r="Q2836" s="14"/>
      <c r="R2836" s="14"/>
      <c r="S2836" s="14"/>
      <c r="T2836" s="14"/>
      <c r="U2836" s="15"/>
      <c r="V2836" s="14"/>
      <c r="W2836" s="14"/>
      <c r="X2836" s="14"/>
      <c r="Y2836" s="14"/>
      <c r="Z2836" s="14"/>
    </row>
    <row r="2837" spans="1:26" ht="13.2">
      <c r="A2837" s="13"/>
      <c r="B2837" s="14"/>
      <c r="C2837" s="14"/>
      <c r="D2837" s="14"/>
      <c r="E2837" s="14"/>
      <c r="F2837" s="14"/>
      <c r="G2837" s="14"/>
      <c r="H2837" s="14"/>
      <c r="I2837" s="14"/>
      <c r="J2837" s="14"/>
      <c r="K2837" s="14"/>
      <c r="L2837" s="15"/>
      <c r="M2837" s="15"/>
      <c r="N2837" s="15"/>
      <c r="O2837" s="15"/>
      <c r="P2837" s="15"/>
      <c r="Q2837" s="14"/>
      <c r="R2837" s="14"/>
      <c r="S2837" s="14"/>
      <c r="T2837" s="14"/>
      <c r="U2837" s="15"/>
      <c r="V2837" s="14"/>
      <c r="W2837" s="14"/>
      <c r="X2837" s="14"/>
      <c r="Y2837" s="14"/>
      <c r="Z2837" s="14"/>
    </row>
    <row r="2838" spans="1:26" ht="13.2">
      <c r="A2838" s="13"/>
      <c r="B2838" s="14"/>
      <c r="C2838" s="14"/>
      <c r="D2838" s="14"/>
      <c r="E2838" s="14"/>
      <c r="F2838" s="14"/>
      <c r="G2838" s="14"/>
      <c r="H2838" s="14"/>
      <c r="I2838" s="14"/>
      <c r="J2838" s="14"/>
      <c r="K2838" s="14"/>
      <c r="L2838" s="15"/>
      <c r="M2838" s="15"/>
      <c r="N2838" s="15"/>
      <c r="O2838" s="15"/>
      <c r="P2838" s="15"/>
      <c r="Q2838" s="14"/>
      <c r="R2838" s="14"/>
      <c r="S2838" s="14"/>
      <c r="T2838" s="14"/>
      <c r="U2838" s="15"/>
      <c r="V2838" s="14"/>
      <c r="W2838" s="14"/>
      <c r="X2838" s="14"/>
      <c r="Y2838" s="14"/>
      <c r="Z2838" s="14"/>
    </row>
    <row r="2839" spans="1:26" ht="13.2">
      <c r="A2839" s="13"/>
      <c r="B2839" s="14"/>
      <c r="C2839" s="14"/>
      <c r="D2839" s="14"/>
      <c r="E2839" s="14"/>
      <c r="F2839" s="14"/>
      <c r="G2839" s="14"/>
      <c r="H2839" s="14"/>
      <c r="I2839" s="14"/>
      <c r="J2839" s="14"/>
      <c r="K2839" s="14"/>
      <c r="L2839" s="15"/>
      <c r="M2839" s="15"/>
      <c r="N2839" s="15"/>
      <c r="O2839" s="15"/>
      <c r="P2839" s="15"/>
      <c r="Q2839" s="14"/>
      <c r="R2839" s="14"/>
      <c r="S2839" s="14"/>
      <c r="T2839" s="14"/>
      <c r="U2839" s="15"/>
      <c r="V2839" s="14"/>
      <c r="W2839" s="14"/>
      <c r="X2839" s="14"/>
      <c r="Y2839" s="14"/>
      <c r="Z2839" s="14"/>
    </row>
    <row r="2840" spans="1:26" ht="13.2">
      <c r="A2840" s="13"/>
      <c r="B2840" s="14"/>
      <c r="C2840" s="14"/>
      <c r="D2840" s="14"/>
      <c r="E2840" s="14"/>
      <c r="F2840" s="14"/>
      <c r="G2840" s="14"/>
      <c r="H2840" s="14"/>
      <c r="I2840" s="14"/>
      <c r="J2840" s="14"/>
      <c r="K2840" s="14"/>
      <c r="L2840" s="15"/>
      <c r="M2840" s="15"/>
      <c r="N2840" s="15"/>
      <c r="O2840" s="15"/>
      <c r="P2840" s="15"/>
      <c r="Q2840" s="14"/>
      <c r="R2840" s="14"/>
      <c r="S2840" s="14"/>
      <c r="T2840" s="14"/>
      <c r="U2840" s="15"/>
      <c r="V2840" s="14"/>
      <c r="W2840" s="14"/>
      <c r="X2840" s="14"/>
      <c r="Y2840" s="14"/>
      <c r="Z2840" s="14"/>
    </row>
    <row r="2841" spans="1:26" ht="13.2">
      <c r="A2841" s="13"/>
      <c r="B2841" s="14"/>
      <c r="C2841" s="14"/>
      <c r="D2841" s="14"/>
      <c r="E2841" s="14"/>
      <c r="F2841" s="14"/>
      <c r="G2841" s="14"/>
      <c r="H2841" s="14"/>
      <c r="I2841" s="14"/>
      <c r="J2841" s="14"/>
      <c r="K2841" s="14"/>
      <c r="L2841" s="15"/>
      <c r="M2841" s="15"/>
      <c r="N2841" s="15"/>
      <c r="O2841" s="15"/>
      <c r="P2841" s="15"/>
      <c r="Q2841" s="14"/>
      <c r="R2841" s="14"/>
      <c r="S2841" s="14"/>
      <c r="T2841" s="14"/>
      <c r="U2841" s="15"/>
      <c r="V2841" s="14"/>
      <c r="W2841" s="14"/>
      <c r="X2841" s="14"/>
      <c r="Y2841" s="14"/>
      <c r="Z2841" s="14"/>
    </row>
    <row r="2842" spans="1:26" ht="13.2">
      <c r="A2842" s="13"/>
      <c r="B2842" s="14"/>
      <c r="C2842" s="14"/>
      <c r="D2842" s="14"/>
      <c r="E2842" s="14"/>
      <c r="F2842" s="14"/>
      <c r="G2842" s="14"/>
      <c r="H2842" s="14"/>
      <c r="I2842" s="14"/>
      <c r="J2842" s="14"/>
      <c r="K2842" s="14"/>
      <c r="L2842" s="15"/>
      <c r="M2842" s="15"/>
      <c r="N2842" s="15"/>
      <c r="O2842" s="15"/>
      <c r="P2842" s="15"/>
      <c r="Q2842" s="14"/>
      <c r="R2842" s="14"/>
      <c r="S2842" s="14"/>
      <c r="T2842" s="14"/>
      <c r="U2842" s="15"/>
      <c r="V2842" s="14"/>
      <c r="W2842" s="14"/>
      <c r="X2842" s="14"/>
      <c r="Y2842" s="14"/>
      <c r="Z2842" s="14"/>
    </row>
    <row r="2843" spans="1:26" ht="13.2">
      <c r="A2843" s="13"/>
      <c r="B2843" s="14"/>
      <c r="C2843" s="14"/>
      <c r="D2843" s="14"/>
      <c r="E2843" s="14"/>
      <c r="F2843" s="14"/>
      <c r="G2843" s="14"/>
      <c r="H2843" s="14"/>
      <c r="I2843" s="14"/>
      <c r="J2843" s="14"/>
      <c r="K2843" s="14"/>
      <c r="L2843" s="15"/>
      <c r="M2843" s="15"/>
      <c r="N2843" s="15"/>
      <c r="O2843" s="15"/>
      <c r="P2843" s="15"/>
      <c r="Q2843" s="14"/>
      <c r="R2843" s="14"/>
      <c r="S2843" s="14"/>
      <c r="T2843" s="14"/>
      <c r="U2843" s="15"/>
      <c r="V2843" s="14"/>
      <c r="W2843" s="14"/>
      <c r="X2843" s="14"/>
      <c r="Y2843" s="14"/>
      <c r="Z2843" s="14"/>
    </row>
    <row r="2844" spans="1:26" ht="13.2">
      <c r="A2844" s="13"/>
      <c r="B2844" s="14"/>
      <c r="C2844" s="14"/>
      <c r="D2844" s="14"/>
      <c r="E2844" s="14"/>
      <c r="F2844" s="14"/>
      <c r="G2844" s="14"/>
      <c r="H2844" s="14"/>
      <c r="I2844" s="14"/>
      <c r="J2844" s="14"/>
      <c r="K2844" s="14"/>
      <c r="L2844" s="15"/>
      <c r="M2844" s="15"/>
      <c r="N2844" s="15"/>
      <c r="O2844" s="15"/>
      <c r="P2844" s="15"/>
      <c r="Q2844" s="14"/>
      <c r="R2844" s="14"/>
      <c r="S2844" s="14"/>
      <c r="T2844" s="14"/>
      <c r="U2844" s="15"/>
      <c r="V2844" s="14"/>
      <c r="W2844" s="14"/>
      <c r="X2844" s="14"/>
      <c r="Y2844" s="14"/>
      <c r="Z2844" s="14"/>
    </row>
    <row r="2845" spans="1:26" ht="13.2">
      <c r="A2845" s="13"/>
      <c r="B2845" s="14"/>
      <c r="C2845" s="14"/>
      <c r="D2845" s="14"/>
      <c r="E2845" s="14"/>
      <c r="F2845" s="14"/>
      <c r="G2845" s="14"/>
      <c r="H2845" s="14"/>
      <c r="I2845" s="14"/>
      <c r="J2845" s="14"/>
      <c r="K2845" s="14"/>
      <c r="L2845" s="15"/>
      <c r="M2845" s="15"/>
      <c r="N2845" s="15"/>
      <c r="O2845" s="15"/>
      <c r="P2845" s="15"/>
      <c r="Q2845" s="14"/>
      <c r="R2845" s="14"/>
      <c r="S2845" s="14"/>
      <c r="T2845" s="14"/>
      <c r="U2845" s="15"/>
      <c r="V2845" s="14"/>
      <c r="W2845" s="14"/>
      <c r="X2845" s="14"/>
      <c r="Y2845" s="14"/>
      <c r="Z2845" s="14"/>
    </row>
    <row r="2846" spans="1:26" ht="13.2">
      <c r="A2846" s="13"/>
      <c r="B2846" s="14"/>
      <c r="C2846" s="14"/>
      <c r="D2846" s="14"/>
      <c r="E2846" s="14"/>
      <c r="F2846" s="14"/>
      <c r="G2846" s="14"/>
      <c r="H2846" s="14"/>
      <c r="I2846" s="14"/>
      <c r="J2846" s="14"/>
      <c r="K2846" s="14"/>
      <c r="L2846" s="15"/>
      <c r="M2846" s="15"/>
      <c r="N2846" s="15"/>
      <c r="O2846" s="15"/>
      <c r="P2846" s="15"/>
      <c r="Q2846" s="14"/>
      <c r="R2846" s="14"/>
      <c r="S2846" s="14"/>
      <c r="T2846" s="14"/>
      <c r="U2846" s="15"/>
      <c r="V2846" s="14"/>
      <c r="W2846" s="14"/>
      <c r="X2846" s="14"/>
      <c r="Y2846" s="14"/>
      <c r="Z2846" s="14"/>
    </row>
    <row r="2847" spans="1:26" ht="13.2">
      <c r="A2847" s="13"/>
      <c r="B2847" s="14"/>
      <c r="C2847" s="14"/>
      <c r="D2847" s="14"/>
      <c r="E2847" s="14"/>
      <c r="F2847" s="14"/>
      <c r="G2847" s="14"/>
      <c r="H2847" s="14"/>
      <c r="I2847" s="14"/>
      <c r="J2847" s="14"/>
      <c r="K2847" s="14"/>
      <c r="L2847" s="15"/>
      <c r="M2847" s="15"/>
      <c r="N2847" s="15"/>
      <c r="O2847" s="15"/>
      <c r="P2847" s="15"/>
      <c r="Q2847" s="14"/>
      <c r="R2847" s="14"/>
      <c r="S2847" s="14"/>
      <c r="T2847" s="14"/>
      <c r="U2847" s="15"/>
      <c r="V2847" s="14"/>
      <c r="W2847" s="14"/>
      <c r="X2847" s="14"/>
      <c r="Y2847" s="14"/>
      <c r="Z2847" s="14"/>
    </row>
    <row r="2848" spans="1:26" ht="13.2">
      <c r="A2848" s="13"/>
      <c r="B2848" s="14"/>
      <c r="C2848" s="14"/>
      <c r="D2848" s="14"/>
      <c r="E2848" s="14"/>
      <c r="F2848" s="14"/>
      <c r="G2848" s="14"/>
      <c r="H2848" s="14"/>
      <c r="I2848" s="14"/>
      <c r="J2848" s="14"/>
      <c r="K2848" s="14"/>
      <c r="L2848" s="15"/>
      <c r="M2848" s="15"/>
      <c r="N2848" s="15"/>
      <c r="O2848" s="15"/>
      <c r="P2848" s="15"/>
      <c r="Q2848" s="14"/>
      <c r="R2848" s="14"/>
      <c r="S2848" s="14"/>
      <c r="T2848" s="14"/>
      <c r="U2848" s="15"/>
      <c r="V2848" s="14"/>
      <c r="W2848" s="14"/>
      <c r="X2848" s="14"/>
      <c r="Y2848" s="14"/>
      <c r="Z2848" s="14"/>
    </row>
    <row r="2849" spans="1:26" ht="13.2">
      <c r="A2849" s="13"/>
      <c r="B2849" s="14"/>
      <c r="C2849" s="14"/>
      <c r="D2849" s="14"/>
      <c r="E2849" s="14"/>
      <c r="F2849" s="14"/>
      <c r="G2849" s="14"/>
      <c r="H2849" s="14"/>
      <c r="I2849" s="14"/>
      <c r="J2849" s="14"/>
      <c r="K2849" s="14"/>
      <c r="L2849" s="15"/>
      <c r="M2849" s="15"/>
      <c r="N2849" s="15"/>
      <c r="O2849" s="15"/>
      <c r="P2849" s="15"/>
      <c r="Q2849" s="14"/>
      <c r="R2849" s="14"/>
      <c r="S2849" s="14"/>
      <c r="T2849" s="14"/>
      <c r="U2849" s="15"/>
      <c r="V2849" s="14"/>
      <c r="W2849" s="14"/>
      <c r="X2849" s="14"/>
      <c r="Y2849" s="14"/>
      <c r="Z2849" s="14"/>
    </row>
    <row r="2850" spans="1:26" ht="13.2">
      <c r="A2850" s="13"/>
      <c r="B2850" s="14"/>
      <c r="C2850" s="14"/>
      <c r="D2850" s="14"/>
      <c r="E2850" s="14"/>
      <c r="F2850" s="14"/>
      <c r="G2850" s="14"/>
      <c r="H2850" s="14"/>
      <c r="I2850" s="14"/>
      <c r="J2850" s="14"/>
      <c r="K2850" s="14"/>
      <c r="L2850" s="15"/>
      <c r="M2850" s="15"/>
      <c r="N2850" s="15"/>
      <c r="O2850" s="15"/>
      <c r="P2850" s="15"/>
      <c r="Q2850" s="14"/>
      <c r="R2850" s="14"/>
      <c r="S2850" s="14"/>
      <c r="T2850" s="14"/>
      <c r="U2850" s="15"/>
      <c r="V2850" s="14"/>
      <c r="W2850" s="14"/>
      <c r="X2850" s="14"/>
      <c r="Y2850" s="14"/>
      <c r="Z2850" s="14"/>
    </row>
    <row r="2851" spans="1:26" ht="13.2">
      <c r="A2851" s="13"/>
      <c r="B2851" s="14"/>
      <c r="C2851" s="14"/>
      <c r="D2851" s="14"/>
      <c r="E2851" s="14"/>
      <c r="F2851" s="14"/>
      <c r="G2851" s="14"/>
      <c r="H2851" s="14"/>
      <c r="I2851" s="14"/>
      <c r="J2851" s="14"/>
      <c r="K2851" s="14"/>
      <c r="L2851" s="15"/>
      <c r="M2851" s="15"/>
      <c r="N2851" s="15"/>
      <c r="O2851" s="15"/>
      <c r="P2851" s="15"/>
      <c r="Q2851" s="14"/>
      <c r="R2851" s="14"/>
      <c r="S2851" s="14"/>
      <c r="T2851" s="14"/>
      <c r="U2851" s="15"/>
      <c r="V2851" s="14"/>
      <c r="W2851" s="14"/>
      <c r="X2851" s="14"/>
      <c r="Y2851" s="14"/>
      <c r="Z2851" s="14"/>
    </row>
    <row r="2852" spans="1:26" ht="13.2">
      <c r="A2852" s="13"/>
      <c r="B2852" s="14"/>
      <c r="C2852" s="14"/>
      <c r="D2852" s="14"/>
      <c r="E2852" s="14"/>
      <c r="F2852" s="14"/>
      <c r="G2852" s="14"/>
      <c r="H2852" s="14"/>
      <c r="I2852" s="14"/>
      <c r="J2852" s="14"/>
      <c r="K2852" s="14"/>
      <c r="L2852" s="15"/>
      <c r="M2852" s="15"/>
      <c r="N2852" s="15"/>
      <c r="O2852" s="15"/>
      <c r="P2852" s="15"/>
      <c r="Q2852" s="14"/>
      <c r="R2852" s="14"/>
      <c r="S2852" s="14"/>
      <c r="T2852" s="14"/>
      <c r="U2852" s="15"/>
      <c r="V2852" s="14"/>
      <c r="W2852" s="14"/>
      <c r="X2852" s="14"/>
      <c r="Y2852" s="14"/>
      <c r="Z2852" s="14"/>
    </row>
    <row r="2853" spans="1:26" ht="13.2">
      <c r="A2853" s="13"/>
      <c r="B2853" s="14"/>
      <c r="C2853" s="14"/>
      <c r="D2853" s="14"/>
      <c r="E2853" s="14"/>
      <c r="F2853" s="14"/>
      <c r="G2853" s="14"/>
      <c r="H2853" s="14"/>
      <c r="I2853" s="14"/>
      <c r="J2853" s="14"/>
      <c r="K2853" s="14"/>
      <c r="L2853" s="15"/>
      <c r="M2853" s="15"/>
      <c r="N2853" s="15"/>
      <c r="O2853" s="15"/>
      <c r="P2853" s="15"/>
      <c r="Q2853" s="14"/>
      <c r="R2853" s="14"/>
      <c r="S2853" s="14"/>
      <c r="T2853" s="14"/>
      <c r="U2853" s="15"/>
      <c r="V2853" s="14"/>
      <c r="W2853" s="14"/>
      <c r="X2853" s="14"/>
      <c r="Y2853" s="14"/>
      <c r="Z2853" s="14"/>
    </row>
    <row r="2854" spans="1:26" ht="13.2">
      <c r="A2854" s="13"/>
      <c r="B2854" s="14"/>
      <c r="C2854" s="14"/>
      <c r="D2854" s="14"/>
      <c r="E2854" s="14"/>
      <c r="F2854" s="14"/>
      <c r="G2854" s="14"/>
      <c r="H2854" s="14"/>
      <c r="I2854" s="14"/>
      <c r="J2854" s="14"/>
      <c r="K2854" s="14"/>
      <c r="L2854" s="15"/>
      <c r="M2854" s="15"/>
      <c r="N2854" s="15"/>
      <c r="O2854" s="15"/>
      <c r="P2854" s="15"/>
      <c r="Q2854" s="14"/>
      <c r="R2854" s="14"/>
      <c r="S2854" s="14"/>
      <c r="T2854" s="14"/>
      <c r="U2854" s="15"/>
      <c r="V2854" s="14"/>
      <c r="W2854" s="14"/>
      <c r="X2854" s="14"/>
      <c r="Y2854" s="14"/>
      <c r="Z2854" s="14"/>
    </row>
    <row r="2855" spans="1:26" ht="13.2">
      <c r="A2855" s="13"/>
      <c r="B2855" s="14"/>
      <c r="C2855" s="14"/>
      <c r="D2855" s="14"/>
      <c r="E2855" s="14"/>
      <c r="F2855" s="14"/>
      <c r="G2855" s="14"/>
      <c r="H2855" s="14"/>
      <c r="I2855" s="14"/>
      <c r="J2855" s="14"/>
      <c r="K2855" s="14"/>
      <c r="L2855" s="15"/>
      <c r="M2855" s="15"/>
      <c r="N2855" s="15"/>
      <c r="O2855" s="15"/>
      <c r="P2855" s="15"/>
      <c r="Q2855" s="14"/>
      <c r="R2855" s="14"/>
      <c r="S2855" s="14"/>
      <c r="T2855" s="14"/>
      <c r="U2855" s="15"/>
      <c r="V2855" s="14"/>
      <c r="W2855" s="14"/>
      <c r="X2855" s="14"/>
      <c r="Y2855" s="14"/>
      <c r="Z2855" s="14"/>
    </row>
    <row r="2856" spans="1:26" ht="13.2">
      <c r="A2856" s="13"/>
      <c r="B2856" s="14"/>
      <c r="C2856" s="14"/>
      <c r="D2856" s="14"/>
      <c r="E2856" s="14"/>
      <c r="F2856" s="14"/>
      <c r="G2856" s="14"/>
      <c r="H2856" s="14"/>
      <c r="I2856" s="14"/>
      <c r="J2856" s="14"/>
      <c r="K2856" s="14"/>
      <c r="L2856" s="15"/>
      <c r="M2856" s="15"/>
      <c r="N2856" s="15"/>
      <c r="O2856" s="15"/>
      <c r="P2856" s="15"/>
      <c r="Q2856" s="14"/>
      <c r="R2856" s="14"/>
      <c r="S2856" s="14"/>
      <c r="T2856" s="14"/>
      <c r="U2856" s="15"/>
      <c r="V2856" s="14"/>
      <c r="W2856" s="14"/>
      <c r="X2856" s="14"/>
      <c r="Y2856" s="14"/>
      <c r="Z2856" s="14"/>
    </row>
    <row r="2857" spans="1:26" ht="13.2">
      <c r="A2857" s="13"/>
      <c r="B2857" s="14"/>
      <c r="C2857" s="14"/>
      <c r="D2857" s="14"/>
      <c r="E2857" s="14"/>
      <c r="F2857" s="14"/>
      <c r="G2857" s="14"/>
      <c r="H2857" s="14"/>
      <c r="I2857" s="14"/>
      <c r="J2857" s="14"/>
      <c r="K2857" s="14"/>
      <c r="L2857" s="15"/>
      <c r="M2857" s="15"/>
      <c r="N2857" s="15"/>
      <c r="O2857" s="15"/>
      <c r="P2857" s="15"/>
      <c r="Q2857" s="14"/>
      <c r="R2857" s="14"/>
      <c r="S2857" s="14"/>
      <c r="T2857" s="14"/>
      <c r="U2857" s="15"/>
      <c r="V2857" s="14"/>
      <c r="W2857" s="14"/>
      <c r="X2857" s="14"/>
      <c r="Y2857" s="14"/>
      <c r="Z2857" s="14"/>
    </row>
    <row r="2858" spans="1:26" ht="13.2">
      <c r="A2858" s="13"/>
      <c r="B2858" s="14"/>
      <c r="C2858" s="14"/>
      <c r="D2858" s="14"/>
      <c r="E2858" s="14"/>
      <c r="F2858" s="14"/>
      <c r="G2858" s="14"/>
      <c r="H2858" s="14"/>
      <c r="I2858" s="14"/>
      <c r="J2858" s="14"/>
      <c r="K2858" s="14"/>
      <c r="L2858" s="15"/>
      <c r="M2858" s="15"/>
      <c r="N2858" s="15"/>
      <c r="O2858" s="15"/>
      <c r="P2858" s="15"/>
      <c r="Q2858" s="14"/>
      <c r="R2858" s="14"/>
      <c r="S2858" s="14"/>
      <c r="T2858" s="14"/>
      <c r="U2858" s="15"/>
      <c r="V2858" s="14"/>
      <c r="W2858" s="14"/>
      <c r="X2858" s="14"/>
      <c r="Y2858" s="14"/>
      <c r="Z2858" s="14"/>
    </row>
    <row r="2859" spans="1:26" ht="13.2">
      <c r="A2859" s="13"/>
      <c r="B2859" s="14"/>
      <c r="C2859" s="14"/>
      <c r="D2859" s="14"/>
      <c r="E2859" s="14"/>
      <c r="F2859" s="14"/>
      <c r="G2859" s="14"/>
      <c r="H2859" s="14"/>
      <c r="I2859" s="14"/>
      <c r="J2859" s="14"/>
      <c r="K2859" s="14"/>
      <c r="L2859" s="15"/>
      <c r="M2859" s="15"/>
      <c r="N2859" s="15"/>
      <c r="O2859" s="15"/>
      <c r="P2859" s="15"/>
      <c r="Q2859" s="14"/>
      <c r="R2859" s="14"/>
      <c r="S2859" s="14"/>
      <c r="T2859" s="14"/>
      <c r="U2859" s="15"/>
      <c r="V2859" s="14"/>
      <c r="W2859" s="14"/>
      <c r="X2859" s="14"/>
      <c r="Y2859" s="14"/>
      <c r="Z2859" s="14"/>
    </row>
    <row r="2860" spans="1:26" ht="13.2">
      <c r="A2860" s="13"/>
      <c r="B2860" s="14"/>
      <c r="C2860" s="14"/>
      <c r="D2860" s="14"/>
      <c r="E2860" s="14"/>
      <c r="F2860" s="14"/>
      <c r="G2860" s="14"/>
      <c r="H2860" s="14"/>
      <c r="I2860" s="14"/>
      <c r="J2860" s="14"/>
      <c r="K2860" s="14"/>
      <c r="L2860" s="15"/>
      <c r="M2860" s="15"/>
      <c r="N2860" s="15"/>
      <c r="O2860" s="15"/>
      <c r="P2860" s="15"/>
      <c r="Q2860" s="14"/>
      <c r="R2860" s="14"/>
      <c r="S2860" s="14"/>
      <c r="T2860" s="14"/>
      <c r="U2860" s="15"/>
      <c r="V2860" s="14"/>
      <c r="W2860" s="14"/>
      <c r="X2860" s="14"/>
      <c r="Y2860" s="14"/>
      <c r="Z2860" s="14"/>
    </row>
    <row r="2861" spans="1:26" ht="13.2">
      <c r="A2861" s="13"/>
      <c r="B2861" s="14"/>
      <c r="C2861" s="14"/>
      <c r="D2861" s="14"/>
      <c r="E2861" s="14"/>
      <c r="F2861" s="14"/>
      <c r="G2861" s="14"/>
      <c r="H2861" s="14"/>
      <c r="I2861" s="14"/>
      <c r="J2861" s="14"/>
      <c r="K2861" s="14"/>
      <c r="L2861" s="15"/>
      <c r="M2861" s="15"/>
      <c r="N2861" s="15"/>
      <c r="O2861" s="15"/>
      <c r="P2861" s="15"/>
      <c r="Q2861" s="14"/>
      <c r="R2861" s="14"/>
      <c r="S2861" s="14"/>
      <c r="T2861" s="14"/>
      <c r="U2861" s="15"/>
      <c r="V2861" s="14"/>
      <c r="W2861" s="14"/>
      <c r="X2861" s="14"/>
      <c r="Y2861" s="14"/>
      <c r="Z2861" s="14"/>
    </row>
    <row r="2862" spans="1:26" ht="13.2">
      <c r="A2862" s="13"/>
      <c r="B2862" s="14"/>
      <c r="C2862" s="14"/>
      <c r="D2862" s="14"/>
      <c r="E2862" s="14"/>
      <c r="F2862" s="14"/>
      <c r="G2862" s="14"/>
      <c r="H2862" s="14"/>
      <c r="I2862" s="14"/>
      <c r="J2862" s="14"/>
      <c r="K2862" s="14"/>
      <c r="L2862" s="15"/>
      <c r="M2862" s="15"/>
      <c r="N2862" s="15"/>
      <c r="O2862" s="15"/>
      <c r="P2862" s="15"/>
      <c r="Q2862" s="14"/>
      <c r="R2862" s="14"/>
      <c r="S2862" s="14"/>
      <c r="T2862" s="14"/>
      <c r="U2862" s="15"/>
      <c r="V2862" s="14"/>
      <c r="W2862" s="14"/>
      <c r="X2862" s="14"/>
      <c r="Y2862" s="14"/>
      <c r="Z2862" s="14"/>
    </row>
    <row r="2863" spans="1:26" ht="13.2">
      <c r="A2863" s="13"/>
      <c r="B2863" s="14"/>
      <c r="C2863" s="14"/>
      <c r="D2863" s="14"/>
      <c r="E2863" s="14"/>
      <c r="F2863" s="14"/>
      <c r="G2863" s="14"/>
      <c r="H2863" s="14"/>
      <c r="I2863" s="14"/>
      <c r="J2863" s="14"/>
      <c r="K2863" s="14"/>
      <c r="L2863" s="15"/>
      <c r="M2863" s="15"/>
      <c r="N2863" s="15"/>
      <c r="O2863" s="15"/>
      <c r="P2863" s="15"/>
      <c r="Q2863" s="14"/>
      <c r="R2863" s="14"/>
      <c r="S2863" s="14"/>
      <c r="T2863" s="14"/>
      <c r="U2863" s="15"/>
      <c r="V2863" s="14"/>
      <c r="W2863" s="14"/>
      <c r="X2863" s="14"/>
      <c r="Y2863" s="14"/>
      <c r="Z2863" s="14"/>
    </row>
    <row r="2864" spans="1:26" ht="13.2">
      <c r="A2864" s="13"/>
      <c r="B2864" s="14"/>
      <c r="C2864" s="14"/>
      <c r="D2864" s="14"/>
      <c r="E2864" s="14"/>
      <c r="F2864" s="14"/>
      <c r="G2864" s="14"/>
      <c r="H2864" s="14"/>
      <c r="I2864" s="14"/>
      <c r="J2864" s="14"/>
      <c r="K2864" s="14"/>
      <c r="L2864" s="15"/>
      <c r="M2864" s="15"/>
      <c r="N2864" s="15"/>
      <c r="O2864" s="15"/>
      <c r="P2864" s="15"/>
      <c r="Q2864" s="14"/>
      <c r="R2864" s="14"/>
      <c r="S2864" s="14"/>
      <c r="T2864" s="14"/>
      <c r="U2864" s="15"/>
      <c r="V2864" s="14"/>
      <c r="W2864" s="14"/>
      <c r="X2864" s="14"/>
      <c r="Y2864" s="14"/>
      <c r="Z2864" s="14"/>
    </row>
    <row r="2865" spans="1:26" ht="13.2">
      <c r="A2865" s="13"/>
      <c r="B2865" s="14"/>
      <c r="C2865" s="14"/>
      <c r="D2865" s="14"/>
      <c r="E2865" s="14"/>
      <c r="F2865" s="14"/>
      <c r="G2865" s="14"/>
      <c r="H2865" s="14"/>
      <c r="I2865" s="14"/>
      <c r="J2865" s="14"/>
      <c r="K2865" s="14"/>
      <c r="L2865" s="15"/>
      <c r="M2865" s="15"/>
      <c r="N2865" s="15"/>
      <c r="O2865" s="15"/>
      <c r="P2865" s="15"/>
      <c r="Q2865" s="14"/>
      <c r="R2865" s="14"/>
      <c r="S2865" s="14"/>
      <c r="T2865" s="14"/>
      <c r="U2865" s="15"/>
      <c r="V2865" s="14"/>
      <c r="W2865" s="14"/>
      <c r="X2865" s="14"/>
      <c r="Y2865" s="14"/>
      <c r="Z2865" s="14"/>
    </row>
    <row r="2866" spans="1:26" ht="13.2">
      <c r="A2866" s="13"/>
      <c r="B2866" s="14"/>
      <c r="C2866" s="14"/>
      <c r="D2866" s="14"/>
      <c r="E2866" s="14"/>
      <c r="F2866" s="14"/>
      <c r="G2866" s="14"/>
      <c r="H2866" s="14"/>
      <c r="I2866" s="14"/>
      <c r="J2866" s="14"/>
      <c r="K2866" s="14"/>
      <c r="L2866" s="15"/>
      <c r="M2866" s="15"/>
      <c r="N2866" s="15"/>
      <c r="O2866" s="15"/>
      <c r="P2866" s="15"/>
      <c r="Q2866" s="14"/>
      <c r="R2866" s="14"/>
      <c r="S2866" s="14"/>
      <c r="T2866" s="14"/>
      <c r="U2866" s="15"/>
      <c r="V2866" s="14"/>
      <c r="W2866" s="14"/>
      <c r="X2866" s="14"/>
      <c r="Y2866" s="14"/>
      <c r="Z2866" s="14"/>
    </row>
    <row r="2867" spans="1:26" ht="13.2">
      <c r="A2867" s="13"/>
      <c r="B2867" s="14"/>
      <c r="C2867" s="14"/>
      <c r="D2867" s="14"/>
      <c r="E2867" s="14"/>
      <c r="F2867" s="14"/>
      <c r="G2867" s="14"/>
      <c r="H2867" s="14"/>
      <c r="I2867" s="14"/>
      <c r="J2867" s="14"/>
      <c r="K2867" s="14"/>
      <c r="L2867" s="15"/>
      <c r="M2867" s="15"/>
      <c r="N2867" s="15"/>
      <c r="O2867" s="15"/>
      <c r="P2867" s="15"/>
      <c r="Q2867" s="14"/>
      <c r="R2867" s="14"/>
      <c r="S2867" s="14"/>
      <c r="T2867" s="14"/>
      <c r="U2867" s="15"/>
      <c r="V2867" s="14"/>
      <c r="W2867" s="14"/>
      <c r="X2867" s="14"/>
      <c r="Y2867" s="14"/>
      <c r="Z2867" s="14"/>
    </row>
    <row r="2868" spans="1:26" ht="13.2">
      <c r="A2868" s="13"/>
      <c r="B2868" s="14"/>
      <c r="C2868" s="14"/>
      <c r="D2868" s="14"/>
      <c r="E2868" s="14"/>
      <c r="F2868" s="14"/>
      <c r="G2868" s="14"/>
      <c r="H2868" s="14"/>
      <c r="I2868" s="14"/>
      <c r="J2868" s="14"/>
      <c r="K2868" s="14"/>
      <c r="L2868" s="15"/>
      <c r="M2868" s="15"/>
      <c r="N2868" s="15"/>
      <c r="O2868" s="15"/>
      <c r="P2868" s="15"/>
      <c r="Q2868" s="14"/>
      <c r="R2868" s="14"/>
      <c r="S2868" s="14"/>
      <c r="T2868" s="14"/>
      <c r="U2868" s="15"/>
      <c r="V2868" s="14"/>
      <c r="W2868" s="14"/>
      <c r="X2868" s="14"/>
      <c r="Y2868" s="14"/>
      <c r="Z2868" s="14"/>
    </row>
    <row r="2869" spans="1:26" ht="13.2">
      <c r="A2869" s="13"/>
      <c r="B2869" s="14"/>
      <c r="C2869" s="14"/>
      <c r="D2869" s="14"/>
      <c r="E2869" s="14"/>
      <c r="F2869" s="14"/>
      <c r="G2869" s="14"/>
      <c r="H2869" s="14"/>
      <c r="I2869" s="14"/>
      <c r="J2869" s="14"/>
      <c r="K2869" s="14"/>
      <c r="L2869" s="15"/>
      <c r="M2869" s="15"/>
      <c r="N2869" s="15"/>
      <c r="O2869" s="15"/>
      <c r="P2869" s="15"/>
      <c r="Q2869" s="14"/>
      <c r="R2869" s="14"/>
      <c r="S2869" s="14"/>
      <c r="T2869" s="14"/>
      <c r="U2869" s="15"/>
      <c r="V2869" s="14"/>
      <c r="W2869" s="14"/>
      <c r="X2869" s="14"/>
      <c r="Y2869" s="14"/>
      <c r="Z2869" s="14"/>
    </row>
    <row r="2870" spans="1:26" ht="13.2">
      <c r="A2870" s="13"/>
      <c r="B2870" s="14"/>
      <c r="C2870" s="14"/>
      <c r="D2870" s="14"/>
      <c r="E2870" s="14"/>
      <c r="F2870" s="14"/>
      <c r="G2870" s="14"/>
      <c r="H2870" s="14"/>
      <c r="I2870" s="14"/>
      <c r="J2870" s="14"/>
      <c r="K2870" s="14"/>
      <c r="L2870" s="15"/>
      <c r="M2870" s="15"/>
      <c r="N2870" s="15"/>
      <c r="O2870" s="15"/>
      <c r="P2870" s="15"/>
      <c r="Q2870" s="14"/>
      <c r="R2870" s="14"/>
      <c r="S2870" s="14"/>
      <c r="T2870" s="14"/>
      <c r="U2870" s="15"/>
      <c r="V2870" s="14"/>
      <c r="W2870" s="14"/>
      <c r="X2870" s="14"/>
      <c r="Y2870" s="14"/>
      <c r="Z2870" s="14"/>
    </row>
    <row r="2871" spans="1:26" ht="13.2">
      <c r="A2871" s="13"/>
      <c r="B2871" s="14"/>
      <c r="C2871" s="14"/>
      <c r="D2871" s="14"/>
      <c r="E2871" s="14"/>
      <c r="F2871" s="14"/>
      <c r="G2871" s="14"/>
      <c r="H2871" s="14"/>
      <c r="I2871" s="14"/>
      <c r="J2871" s="14"/>
      <c r="K2871" s="14"/>
      <c r="L2871" s="15"/>
      <c r="M2871" s="15"/>
      <c r="N2871" s="15"/>
      <c r="O2871" s="15"/>
      <c r="P2871" s="15"/>
      <c r="Q2871" s="14"/>
      <c r="R2871" s="14"/>
      <c r="S2871" s="14"/>
      <c r="T2871" s="14"/>
      <c r="U2871" s="15"/>
      <c r="V2871" s="14"/>
      <c r="W2871" s="14"/>
      <c r="X2871" s="14"/>
      <c r="Y2871" s="14"/>
      <c r="Z2871" s="14"/>
    </row>
    <row r="2872" spans="1:26" ht="13.2">
      <c r="A2872" s="13"/>
      <c r="B2872" s="14"/>
      <c r="C2872" s="14"/>
      <c r="D2872" s="14"/>
      <c r="E2872" s="14"/>
      <c r="F2872" s="14"/>
      <c r="G2872" s="14"/>
      <c r="H2872" s="14"/>
      <c r="I2872" s="14"/>
      <c r="J2872" s="14"/>
      <c r="K2872" s="14"/>
      <c r="L2872" s="15"/>
      <c r="M2872" s="15"/>
      <c r="N2872" s="15"/>
      <c r="O2872" s="15"/>
      <c r="P2872" s="15"/>
      <c r="Q2872" s="14"/>
      <c r="R2872" s="14"/>
      <c r="S2872" s="14"/>
      <c r="T2872" s="14"/>
      <c r="U2872" s="15"/>
      <c r="V2872" s="14"/>
      <c r="W2872" s="14"/>
      <c r="X2872" s="14"/>
      <c r="Y2872" s="14"/>
      <c r="Z2872" s="14"/>
    </row>
    <row r="2873" spans="1:26" ht="13.2">
      <c r="A2873" s="13"/>
      <c r="B2873" s="14"/>
      <c r="C2873" s="14"/>
      <c r="D2873" s="14"/>
      <c r="E2873" s="14"/>
      <c r="F2873" s="14"/>
      <c r="G2873" s="14"/>
      <c r="H2873" s="14"/>
      <c r="I2873" s="14"/>
      <c r="J2873" s="14"/>
      <c r="K2873" s="14"/>
      <c r="L2873" s="15"/>
      <c r="M2873" s="15"/>
      <c r="N2873" s="15"/>
      <c r="O2873" s="15"/>
      <c r="P2873" s="15"/>
      <c r="Q2873" s="14"/>
      <c r="R2873" s="14"/>
      <c r="S2873" s="14"/>
      <c r="T2873" s="14"/>
      <c r="U2873" s="15"/>
      <c r="V2873" s="14"/>
      <c r="W2873" s="14"/>
      <c r="X2873" s="14"/>
      <c r="Y2873" s="14"/>
      <c r="Z2873" s="14"/>
    </row>
    <row r="2874" spans="1:26" ht="13.2">
      <c r="A2874" s="13"/>
      <c r="B2874" s="14"/>
      <c r="C2874" s="14"/>
      <c r="D2874" s="14"/>
      <c r="E2874" s="14"/>
      <c r="F2874" s="14"/>
      <c r="G2874" s="14"/>
      <c r="H2874" s="14"/>
      <c r="I2874" s="14"/>
      <c r="J2874" s="14"/>
      <c r="K2874" s="14"/>
      <c r="L2874" s="15"/>
      <c r="M2874" s="15"/>
      <c r="N2874" s="15"/>
      <c r="O2874" s="15"/>
      <c r="P2874" s="15"/>
      <c r="Q2874" s="14"/>
      <c r="R2874" s="14"/>
      <c r="S2874" s="14"/>
      <c r="T2874" s="14"/>
      <c r="U2874" s="15"/>
      <c r="V2874" s="14"/>
      <c r="W2874" s="14"/>
      <c r="X2874" s="14"/>
      <c r="Y2874" s="14"/>
      <c r="Z2874" s="14"/>
    </row>
    <row r="2875" spans="1:26" ht="13.2">
      <c r="A2875" s="13"/>
      <c r="B2875" s="14"/>
      <c r="C2875" s="14"/>
      <c r="D2875" s="14"/>
      <c r="E2875" s="14"/>
      <c r="F2875" s="14"/>
      <c r="G2875" s="14"/>
      <c r="H2875" s="14"/>
      <c r="I2875" s="14"/>
      <c r="J2875" s="14"/>
      <c r="K2875" s="14"/>
      <c r="L2875" s="15"/>
      <c r="M2875" s="15"/>
      <c r="N2875" s="15"/>
      <c r="O2875" s="15"/>
      <c r="P2875" s="15"/>
      <c r="Q2875" s="14"/>
      <c r="R2875" s="14"/>
      <c r="S2875" s="14"/>
      <c r="T2875" s="14"/>
      <c r="U2875" s="15"/>
      <c r="V2875" s="14"/>
      <c r="W2875" s="14"/>
      <c r="X2875" s="14"/>
      <c r="Y2875" s="14"/>
      <c r="Z2875" s="14"/>
    </row>
    <row r="2876" spans="1:26" ht="13.2">
      <c r="A2876" s="13"/>
      <c r="B2876" s="14"/>
      <c r="C2876" s="14"/>
      <c r="D2876" s="14"/>
      <c r="E2876" s="14"/>
      <c r="F2876" s="14"/>
      <c r="G2876" s="14"/>
      <c r="H2876" s="14"/>
      <c r="I2876" s="14"/>
      <c r="J2876" s="14"/>
      <c r="K2876" s="14"/>
      <c r="L2876" s="15"/>
      <c r="M2876" s="15"/>
      <c r="N2876" s="15"/>
      <c r="O2876" s="15"/>
      <c r="P2876" s="15"/>
      <c r="Q2876" s="14"/>
      <c r="R2876" s="14"/>
      <c r="S2876" s="14"/>
      <c r="T2876" s="14"/>
      <c r="U2876" s="15"/>
      <c r="V2876" s="14"/>
      <c r="W2876" s="14"/>
      <c r="X2876" s="14"/>
      <c r="Y2876" s="14"/>
      <c r="Z2876" s="14"/>
    </row>
    <row r="2877" spans="1:26" ht="13.2">
      <c r="A2877" s="13"/>
      <c r="B2877" s="14"/>
      <c r="C2877" s="14"/>
      <c r="D2877" s="14"/>
      <c r="E2877" s="14"/>
      <c r="F2877" s="14"/>
      <c r="G2877" s="14"/>
      <c r="H2877" s="14"/>
      <c r="I2877" s="14"/>
      <c r="J2877" s="14"/>
      <c r="K2877" s="14"/>
      <c r="L2877" s="15"/>
      <c r="M2877" s="15"/>
      <c r="N2877" s="15"/>
      <c r="O2877" s="15"/>
      <c r="P2877" s="15"/>
      <c r="Q2877" s="14"/>
      <c r="R2877" s="14"/>
      <c r="S2877" s="14"/>
      <c r="T2877" s="14"/>
      <c r="U2877" s="15"/>
      <c r="V2877" s="14"/>
      <c r="W2877" s="14"/>
      <c r="X2877" s="14"/>
      <c r="Y2877" s="14"/>
      <c r="Z2877" s="14"/>
    </row>
    <row r="2878" spans="1:26" ht="13.2">
      <c r="A2878" s="13"/>
      <c r="B2878" s="14"/>
      <c r="C2878" s="14"/>
      <c r="D2878" s="14"/>
      <c r="E2878" s="14"/>
      <c r="F2878" s="14"/>
      <c r="G2878" s="14"/>
      <c r="H2878" s="14"/>
      <c r="I2878" s="14"/>
      <c r="J2878" s="14"/>
      <c r="K2878" s="14"/>
      <c r="L2878" s="15"/>
      <c r="M2878" s="15"/>
      <c r="N2878" s="15"/>
      <c r="O2878" s="15"/>
      <c r="P2878" s="15"/>
      <c r="Q2878" s="14"/>
      <c r="R2878" s="14"/>
      <c r="S2878" s="14"/>
      <c r="T2878" s="14"/>
      <c r="U2878" s="15"/>
      <c r="V2878" s="14"/>
      <c r="W2878" s="14"/>
      <c r="X2878" s="14"/>
      <c r="Y2878" s="14"/>
      <c r="Z2878" s="14"/>
    </row>
    <row r="2879" spans="1:26" ht="13.2">
      <c r="A2879" s="13"/>
      <c r="B2879" s="14"/>
      <c r="C2879" s="14"/>
      <c r="D2879" s="14"/>
      <c r="E2879" s="14"/>
      <c r="F2879" s="14"/>
      <c r="G2879" s="14"/>
      <c r="H2879" s="14"/>
      <c r="I2879" s="14"/>
      <c r="J2879" s="14"/>
      <c r="K2879" s="14"/>
      <c r="L2879" s="15"/>
      <c r="M2879" s="15"/>
      <c r="N2879" s="15"/>
      <c r="O2879" s="15"/>
      <c r="P2879" s="15"/>
      <c r="Q2879" s="14"/>
      <c r="R2879" s="14"/>
      <c r="S2879" s="14"/>
      <c r="T2879" s="14"/>
      <c r="U2879" s="15"/>
      <c r="V2879" s="14"/>
      <c r="W2879" s="14"/>
      <c r="X2879" s="14"/>
      <c r="Y2879" s="14"/>
      <c r="Z2879" s="14"/>
    </row>
    <row r="2880" spans="1:26" ht="13.2">
      <c r="A2880" s="13"/>
      <c r="B2880" s="14"/>
      <c r="C2880" s="14"/>
      <c r="D2880" s="14"/>
      <c r="E2880" s="14"/>
      <c r="F2880" s="14"/>
      <c r="G2880" s="14"/>
      <c r="H2880" s="14"/>
      <c r="I2880" s="14"/>
      <c r="J2880" s="14"/>
      <c r="K2880" s="14"/>
      <c r="L2880" s="15"/>
      <c r="M2880" s="15"/>
      <c r="N2880" s="15"/>
      <c r="O2880" s="15"/>
      <c r="P2880" s="15"/>
      <c r="Q2880" s="14"/>
      <c r="R2880" s="14"/>
      <c r="S2880" s="14"/>
      <c r="T2880" s="14"/>
      <c r="U2880" s="15"/>
      <c r="V2880" s="14"/>
      <c r="W2880" s="14"/>
      <c r="X2880" s="14"/>
      <c r="Y2880" s="14"/>
      <c r="Z2880" s="14"/>
    </row>
    <row r="2881" spans="1:26" ht="13.2">
      <c r="A2881" s="13"/>
      <c r="B2881" s="14"/>
      <c r="C2881" s="14"/>
      <c r="D2881" s="14"/>
      <c r="E2881" s="14"/>
      <c r="F2881" s="14"/>
      <c r="G2881" s="14"/>
      <c r="H2881" s="14"/>
      <c r="I2881" s="14"/>
      <c r="J2881" s="14"/>
      <c r="K2881" s="14"/>
      <c r="L2881" s="15"/>
      <c r="M2881" s="15"/>
      <c r="N2881" s="15"/>
      <c r="O2881" s="15"/>
      <c r="P2881" s="15"/>
      <c r="Q2881" s="14"/>
      <c r="R2881" s="14"/>
      <c r="S2881" s="14"/>
      <c r="T2881" s="14"/>
      <c r="U2881" s="15"/>
      <c r="V2881" s="14"/>
      <c r="W2881" s="14"/>
      <c r="X2881" s="14"/>
      <c r="Y2881" s="14"/>
      <c r="Z2881" s="14"/>
    </row>
    <row r="2882" spans="1:26" ht="13.2">
      <c r="A2882" s="13"/>
      <c r="B2882" s="14"/>
      <c r="C2882" s="14"/>
      <c r="D2882" s="14"/>
      <c r="E2882" s="14"/>
      <c r="F2882" s="14"/>
      <c r="G2882" s="14"/>
      <c r="H2882" s="14"/>
      <c r="I2882" s="14"/>
      <c r="J2882" s="14"/>
      <c r="K2882" s="14"/>
      <c r="L2882" s="15"/>
      <c r="M2882" s="15"/>
      <c r="N2882" s="15"/>
      <c r="O2882" s="15"/>
      <c r="P2882" s="15"/>
      <c r="Q2882" s="14"/>
      <c r="R2882" s="14"/>
      <c r="S2882" s="14"/>
      <c r="T2882" s="14"/>
      <c r="U2882" s="15"/>
      <c r="V2882" s="14"/>
      <c r="W2882" s="14"/>
      <c r="X2882" s="14"/>
      <c r="Y2882" s="14"/>
      <c r="Z2882" s="14"/>
    </row>
    <row r="2883" spans="1:26" ht="13.2">
      <c r="A2883" s="13"/>
      <c r="B2883" s="14"/>
      <c r="C2883" s="14"/>
      <c r="D2883" s="14"/>
      <c r="E2883" s="14"/>
      <c r="F2883" s="14"/>
      <c r="G2883" s="14"/>
      <c r="H2883" s="14"/>
      <c r="I2883" s="14"/>
      <c r="J2883" s="14"/>
      <c r="K2883" s="14"/>
      <c r="L2883" s="15"/>
      <c r="M2883" s="15"/>
      <c r="N2883" s="15"/>
      <c r="O2883" s="15"/>
      <c r="P2883" s="15"/>
      <c r="Q2883" s="14"/>
      <c r="R2883" s="14"/>
      <c r="S2883" s="14"/>
      <c r="T2883" s="14"/>
      <c r="U2883" s="15"/>
      <c r="V2883" s="14"/>
      <c r="W2883" s="14"/>
      <c r="X2883" s="14"/>
      <c r="Y2883" s="14"/>
      <c r="Z2883" s="14"/>
    </row>
    <row r="2884" spans="1:26" ht="13.2">
      <c r="A2884" s="13"/>
      <c r="B2884" s="14"/>
      <c r="C2884" s="14"/>
      <c r="D2884" s="14"/>
      <c r="E2884" s="14"/>
      <c r="F2884" s="14"/>
      <c r="G2884" s="14"/>
      <c r="H2884" s="14"/>
      <c r="I2884" s="14"/>
      <c r="J2884" s="14"/>
      <c r="K2884" s="14"/>
      <c r="L2884" s="15"/>
      <c r="M2884" s="15"/>
      <c r="N2884" s="15"/>
      <c r="O2884" s="15"/>
      <c r="P2884" s="15"/>
      <c r="Q2884" s="14"/>
      <c r="R2884" s="14"/>
      <c r="S2884" s="14"/>
      <c r="T2884" s="14"/>
      <c r="U2884" s="15"/>
      <c r="V2884" s="14"/>
      <c r="W2884" s="14"/>
      <c r="X2884" s="14"/>
      <c r="Y2884" s="14"/>
      <c r="Z2884" s="14"/>
    </row>
    <row r="2885" spans="1:26" ht="13.2">
      <c r="A2885" s="13"/>
      <c r="B2885" s="14"/>
      <c r="C2885" s="14"/>
      <c r="D2885" s="14"/>
      <c r="E2885" s="14"/>
      <c r="F2885" s="14"/>
      <c r="G2885" s="14"/>
      <c r="H2885" s="14"/>
      <c r="I2885" s="14"/>
      <c r="J2885" s="14"/>
      <c r="K2885" s="14"/>
      <c r="L2885" s="15"/>
      <c r="M2885" s="15"/>
      <c r="N2885" s="15"/>
      <c r="O2885" s="15"/>
      <c r="P2885" s="15"/>
      <c r="Q2885" s="14"/>
      <c r="R2885" s="14"/>
      <c r="S2885" s="14"/>
      <c r="T2885" s="14"/>
      <c r="U2885" s="15"/>
      <c r="V2885" s="14"/>
      <c r="W2885" s="14"/>
      <c r="X2885" s="14"/>
      <c r="Y2885" s="14"/>
      <c r="Z2885" s="14"/>
    </row>
    <row r="2886" spans="1:26" ht="13.2">
      <c r="A2886" s="13"/>
      <c r="B2886" s="14"/>
      <c r="C2886" s="14"/>
      <c r="D2886" s="14"/>
      <c r="E2886" s="14"/>
      <c r="F2886" s="14"/>
      <c r="G2886" s="14"/>
      <c r="H2886" s="14"/>
      <c r="I2886" s="14"/>
      <c r="J2886" s="14"/>
      <c r="K2886" s="14"/>
      <c r="L2886" s="15"/>
      <c r="M2886" s="15"/>
      <c r="N2886" s="15"/>
      <c r="O2886" s="15"/>
      <c r="P2886" s="15"/>
      <c r="Q2886" s="14"/>
      <c r="R2886" s="14"/>
      <c r="S2886" s="14"/>
      <c r="T2886" s="14"/>
      <c r="U2886" s="15"/>
      <c r="V2886" s="14"/>
      <c r="W2886" s="14"/>
      <c r="X2886" s="14"/>
      <c r="Y2886" s="14"/>
      <c r="Z2886" s="14"/>
    </row>
    <row r="2887" spans="1:26" ht="13.2">
      <c r="A2887" s="13"/>
      <c r="B2887" s="14"/>
      <c r="C2887" s="14"/>
      <c r="D2887" s="14"/>
      <c r="E2887" s="14"/>
      <c r="F2887" s="14"/>
      <c r="G2887" s="14"/>
      <c r="H2887" s="14"/>
      <c r="I2887" s="14"/>
      <c r="J2887" s="14"/>
      <c r="K2887" s="14"/>
      <c r="L2887" s="15"/>
      <c r="M2887" s="15"/>
      <c r="N2887" s="15"/>
      <c r="O2887" s="15"/>
      <c r="P2887" s="15"/>
      <c r="Q2887" s="14"/>
      <c r="R2887" s="14"/>
      <c r="S2887" s="14"/>
      <c r="T2887" s="14"/>
      <c r="U2887" s="15"/>
      <c r="V2887" s="14"/>
      <c r="W2887" s="14"/>
      <c r="X2887" s="14"/>
      <c r="Y2887" s="14"/>
      <c r="Z2887" s="14"/>
    </row>
    <row r="2888" spans="1:26" ht="13.2">
      <c r="A2888" s="13"/>
      <c r="B2888" s="14"/>
      <c r="C2888" s="14"/>
      <c r="D2888" s="14"/>
      <c r="E2888" s="14"/>
      <c r="F2888" s="14"/>
      <c r="G2888" s="14"/>
      <c r="H2888" s="14"/>
      <c r="I2888" s="14"/>
      <c r="J2888" s="14"/>
      <c r="K2888" s="14"/>
      <c r="L2888" s="15"/>
      <c r="M2888" s="15"/>
      <c r="N2888" s="15"/>
      <c r="O2888" s="15"/>
      <c r="P2888" s="15"/>
      <c r="Q2888" s="14"/>
      <c r="R2888" s="14"/>
      <c r="S2888" s="14"/>
      <c r="T2888" s="14"/>
      <c r="U2888" s="15"/>
      <c r="V2888" s="14"/>
      <c r="W2888" s="14"/>
      <c r="X2888" s="14"/>
      <c r="Y2888" s="14"/>
      <c r="Z2888" s="14"/>
    </row>
    <row r="2889" spans="1:26" ht="13.2">
      <c r="A2889" s="13"/>
      <c r="B2889" s="14"/>
      <c r="C2889" s="14"/>
      <c r="D2889" s="14"/>
      <c r="E2889" s="14"/>
      <c r="F2889" s="14"/>
      <c r="G2889" s="14"/>
      <c r="H2889" s="14"/>
      <c r="I2889" s="14"/>
      <c r="J2889" s="14"/>
      <c r="K2889" s="14"/>
      <c r="L2889" s="15"/>
      <c r="M2889" s="15"/>
      <c r="N2889" s="15"/>
      <c r="O2889" s="15"/>
      <c r="P2889" s="15"/>
      <c r="Q2889" s="14"/>
      <c r="R2889" s="14"/>
      <c r="S2889" s="14"/>
      <c r="T2889" s="14"/>
      <c r="U2889" s="15"/>
      <c r="V2889" s="14"/>
      <c r="W2889" s="14"/>
      <c r="X2889" s="14"/>
      <c r="Y2889" s="14"/>
      <c r="Z2889" s="14"/>
    </row>
    <row r="2890" spans="1:26" ht="13.2">
      <c r="A2890" s="13"/>
      <c r="B2890" s="14"/>
      <c r="C2890" s="14"/>
      <c r="D2890" s="14"/>
      <c r="E2890" s="14"/>
      <c r="F2890" s="14"/>
      <c r="G2890" s="14"/>
      <c r="H2890" s="14"/>
      <c r="I2890" s="14"/>
      <c r="J2890" s="14"/>
      <c r="K2890" s="14"/>
      <c r="L2890" s="15"/>
      <c r="M2890" s="15"/>
      <c r="N2890" s="15"/>
      <c r="O2890" s="15"/>
      <c r="P2890" s="15"/>
      <c r="Q2890" s="14"/>
      <c r="R2890" s="14"/>
      <c r="S2890" s="14"/>
      <c r="T2890" s="14"/>
      <c r="U2890" s="15"/>
      <c r="V2890" s="14"/>
      <c r="W2890" s="14"/>
      <c r="X2890" s="14"/>
      <c r="Y2890" s="14"/>
      <c r="Z2890" s="14"/>
    </row>
    <row r="2891" spans="1:26" ht="13.2">
      <c r="A2891" s="13"/>
      <c r="B2891" s="14"/>
      <c r="C2891" s="14"/>
      <c r="D2891" s="14"/>
      <c r="E2891" s="14"/>
      <c r="F2891" s="14"/>
      <c r="G2891" s="14"/>
      <c r="H2891" s="14"/>
      <c r="I2891" s="14"/>
      <c r="J2891" s="14"/>
      <c r="K2891" s="14"/>
      <c r="L2891" s="15"/>
      <c r="M2891" s="15"/>
      <c r="N2891" s="15"/>
      <c r="O2891" s="15"/>
      <c r="P2891" s="15"/>
      <c r="Q2891" s="14"/>
      <c r="R2891" s="14"/>
      <c r="S2891" s="14"/>
      <c r="T2891" s="14"/>
      <c r="U2891" s="15"/>
      <c r="V2891" s="14"/>
      <c r="W2891" s="14"/>
      <c r="X2891" s="14"/>
      <c r="Y2891" s="14"/>
      <c r="Z2891" s="14"/>
    </row>
    <row r="2892" spans="1:26" ht="13.2">
      <c r="A2892" s="13"/>
      <c r="B2892" s="14"/>
      <c r="C2892" s="14"/>
      <c r="D2892" s="14"/>
      <c r="E2892" s="14"/>
      <c r="F2892" s="14"/>
      <c r="G2892" s="14"/>
      <c r="H2892" s="14"/>
      <c r="I2892" s="14"/>
      <c r="J2892" s="14"/>
      <c r="K2892" s="14"/>
      <c r="L2892" s="15"/>
      <c r="M2892" s="15"/>
      <c r="N2892" s="15"/>
      <c r="O2892" s="15"/>
      <c r="P2892" s="15"/>
      <c r="Q2892" s="14"/>
      <c r="R2892" s="14"/>
      <c r="S2892" s="14"/>
      <c r="T2892" s="14"/>
      <c r="U2892" s="15"/>
      <c r="V2892" s="14"/>
      <c r="W2892" s="14"/>
      <c r="X2892" s="14"/>
      <c r="Y2892" s="14"/>
      <c r="Z2892" s="14"/>
    </row>
    <row r="2893" spans="1:26" ht="13.2">
      <c r="A2893" s="13"/>
      <c r="B2893" s="14"/>
      <c r="C2893" s="14"/>
      <c r="D2893" s="14"/>
      <c r="E2893" s="14"/>
      <c r="F2893" s="14"/>
      <c r="G2893" s="14"/>
      <c r="H2893" s="14"/>
      <c r="I2893" s="14"/>
      <c r="J2893" s="14"/>
      <c r="K2893" s="14"/>
      <c r="L2893" s="15"/>
      <c r="M2893" s="15"/>
      <c r="N2893" s="15"/>
      <c r="O2893" s="15"/>
      <c r="P2893" s="15"/>
      <c r="Q2893" s="14"/>
      <c r="R2893" s="14"/>
      <c r="S2893" s="14"/>
      <c r="T2893" s="14"/>
      <c r="U2893" s="15"/>
      <c r="V2893" s="14"/>
      <c r="W2893" s="14"/>
      <c r="X2893" s="14"/>
      <c r="Y2893" s="14"/>
      <c r="Z2893" s="14"/>
    </row>
    <row r="2894" spans="1:26" ht="13.2">
      <c r="A2894" s="13"/>
      <c r="B2894" s="14"/>
      <c r="C2894" s="14"/>
      <c r="D2894" s="14"/>
      <c r="E2894" s="14"/>
      <c r="F2894" s="14"/>
      <c r="G2894" s="14"/>
      <c r="H2894" s="14"/>
      <c r="I2894" s="14"/>
      <c r="J2894" s="14"/>
      <c r="K2894" s="14"/>
      <c r="L2894" s="15"/>
      <c r="M2894" s="15"/>
      <c r="N2894" s="15"/>
      <c r="O2894" s="15"/>
      <c r="P2894" s="15"/>
      <c r="Q2894" s="14"/>
      <c r="R2894" s="14"/>
      <c r="S2894" s="14"/>
      <c r="T2894" s="14"/>
      <c r="U2894" s="15"/>
      <c r="V2894" s="14"/>
      <c r="W2894" s="14"/>
      <c r="X2894" s="14"/>
      <c r="Y2894" s="14"/>
      <c r="Z2894" s="14"/>
    </row>
    <row r="2895" spans="1:26" ht="13.2">
      <c r="A2895" s="13"/>
      <c r="B2895" s="14"/>
      <c r="C2895" s="14"/>
      <c r="D2895" s="14"/>
      <c r="E2895" s="14"/>
      <c r="F2895" s="14"/>
      <c r="G2895" s="14"/>
      <c r="H2895" s="14"/>
      <c r="I2895" s="14"/>
      <c r="J2895" s="14"/>
      <c r="K2895" s="14"/>
      <c r="L2895" s="15"/>
      <c r="M2895" s="15"/>
      <c r="N2895" s="15"/>
      <c r="O2895" s="15"/>
      <c r="P2895" s="15"/>
      <c r="Q2895" s="14"/>
      <c r="R2895" s="14"/>
      <c r="S2895" s="14"/>
      <c r="T2895" s="14"/>
      <c r="U2895" s="15"/>
      <c r="V2895" s="14"/>
      <c r="W2895" s="14"/>
      <c r="X2895" s="14"/>
      <c r="Y2895" s="14"/>
      <c r="Z2895" s="14"/>
    </row>
    <row r="2896" spans="1:26" ht="13.2">
      <c r="A2896" s="13"/>
      <c r="B2896" s="14"/>
      <c r="C2896" s="14"/>
      <c r="D2896" s="14"/>
      <c r="E2896" s="14"/>
      <c r="F2896" s="14"/>
      <c r="G2896" s="14"/>
      <c r="H2896" s="14"/>
      <c r="I2896" s="14"/>
      <c r="J2896" s="14"/>
      <c r="K2896" s="14"/>
      <c r="L2896" s="15"/>
      <c r="M2896" s="15"/>
      <c r="N2896" s="15"/>
      <c r="O2896" s="15"/>
      <c r="P2896" s="15"/>
      <c r="Q2896" s="14"/>
      <c r="R2896" s="14"/>
      <c r="S2896" s="14"/>
      <c r="T2896" s="14"/>
      <c r="U2896" s="15"/>
      <c r="V2896" s="14"/>
      <c r="W2896" s="14"/>
      <c r="X2896" s="14"/>
      <c r="Y2896" s="14"/>
      <c r="Z2896" s="14"/>
    </row>
    <row r="2897" spans="1:26" ht="13.2">
      <c r="A2897" s="13"/>
      <c r="B2897" s="14"/>
      <c r="C2897" s="14"/>
      <c r="D2897" s="14"/>
      <c r="E2897" s="14"/>
      <c r="F2897" s="14"/>
      <c r="G2897" s="14"/>
      <c r="H2897" s="14"/>
      <c r="I2897" s="14"/>
      <c r="J2897" s="14"/>
      <c r="K2897" s="14"/>
      <c r="L2897" s="15"/>
      <c r="M2897" s="15"/>
      <c r="N2897" s="15"/>
      <c r="O2897" s="15"/>
      <c r="P2897" s="15"/>
      <c r="Q2897" s="14"/>
      <c r="R2897" s="14"/>
      <c r="S2897" s="14"/>
      <c r="T2897" s="14"/>
      <c r="U2897" s="15"/>
      <c r="V2897" s="14"/>
      <c r="W2897" s="14"/>
      <c r="X2897" s="14"/>
      <c r="Y2897" s="14"/>
      <c r="Z2897" s="14"/>
    </row>
    <row r="2898" spans="1:26" ht="13.2">
      <c r="A2898" s="13"/>
      <c r="B2898" s="14"/>
      <c r="C2898" s="14"/>
      <c r="D2898" s="14"/>
      <c r="E2898" s="14"/>
      <c r="F2898" s="14"/>
      <c r="G2898" s="14"/>
      <c r="H2898" s="14"/>
      <c r="I2898" s="14"/>
      <c r="J2898" s="14"/>
      <c r="K2898" s="14"/>
      <c r="L2898" s="15"/>
      <c r="M2898" s="15"/>
      <c r="N2898" s="15"/>
      <c r="O2898" s="15"/>
      <c r="P2898" s="15"/>
      <c r="Q2898" s="14"/>
      <c r="R2898" s="14"/>
      <c r="S2898" s="14"/>
      <c r="T2898" s="14"/>
      <c r="U2898" s="15"/>
      <c r="V2898" s="14"/>
      <c r="W2898" s="14"/>
      <c r="X2898" s="14"/>
      <c r="Y2898" s="14"/>
      <c r="Z2898" s="14"/>
    </row>
    <row r="2899" spans="1:26" ht="13.2">
      <c r="A2899" s="13"/>
      <c r="B2899" s="14"/>
      <c r="C2899" s="14"/>
      <c r="D2899" s="14"/>
      <c r="E2899" s="14"/>
      <c r="F2899" s="14"/>
      <c r="G2899" s="14"/>
      <c r="H2899" s="14"/>
      <c r="I2899" s="14"/>
      <c r="J2899" s="14"/>
      <c r="K2899" s="14"/>
      <c r="L2899" s="15"/>
      <c r="M2899" s="15"/>
      <c r="N2899" s="15"/>
      <c r="O2899" s="15"/>
      <c r="P2899" s="15"/>
      <c r="Q2899" s="14"/>
      <c r="R2899" s="14"/>
      <c r="S2899" s="14"/>
      <c r="T2899" s="14"/>
      <c r="U2899" s="15"/>
      <c r="V2899" s="14"/>
      <c r="W2899" s="14"/>
      <c r="X2899" s="14"/>
      <c r="Y2899" s="14"/>
      <c r="Z2899" s="14"/>
    </row>
    <row r="2900" spans="1:26" ht="13.2">
      <c r="A2900" s="13"/>
      <c r="B2900" s="14"/>
      <c r="C2900" s="14"/>
      <c r="D2900" s="14"/>
      <c r="E2900" s="14"/>
      <c r="F2900" s="14"/>
      <c r="G2900" s="14"/>
      <c r="H2900" s="14"/>
      <c r="I2900" s="14"/>
      <c r="J2900" s="14"/>
      <c r="K2900" s="14"/>
      <c r="L2900" s="15"/>
      <c r="M2900" s="15"/>
      <c r="N2900" s="15"/>
      <c r="O2900" s="15"/>
      <c r="P2900" s="15"/>
      <c r="Q2900" s="14"/>
      <c r="R2900" s="14"/>
      <c r="S2900" s="14"/>
      <c r="T2900" s="14"/>
      <c r="U2900" s="15"/>
      <c r="V2900" s="14"/>
      <c r="W2900" s="14"/>
      <c r="X2900" s="14"/>
      <c r="Y2900" s="14"/>
      <c r="Z2900" s="14"/>
    </row>
    <row r="2901" spans="1:26" ht="13.2">
      <c r="A2901" s="13"/>
      <c r="B2901" s="14"/>
      <c r="C2901" s="14"/>
      <c r="D2901" s="14"/>
      <c r="E2901" s="14"/>
      <c r="F2901" s="14"/>
      <c r="G2901" s="14"/>
      <c r="H2901" s="14"/>
      <c r="I2901" s="14"/>
      <c r="J2901" s="14"/>
      <c r="K2901" s="14"/>
      <c r="L2901" s="15"/>
      <c r="M2901" s="15"/>
      <c r="N2901" s="15"/>
      <c r="O2901" s="15"/>
      <c r="P2901" s="15"/>
      <c r="Q2901" s="14"/>
      <c r="R2901" s="14"/>
      <c r="S2901" s="14"/>
      <c r="T2901" s="14"/>
      <c r="U2901" s="15"/>
      <c r="V2901" s="14"/>
      <c r="W2901" s="14"/>
      <c r="X2901" s="14"/>
      <c r="Y2901" s="14"/>
      <c r="Z2901" s="14"/>
    </row>
    <row r="2902" spans="1:26" ht="13.2">
      <c r="A2902" s="13"/>
      <c r="B2902" s="14"/>
      <c r="C2902" s="14"/>
      <c r="D2902" s="14"/>
      <c r="E2902" s="14"/>
      <c r="F2902" s="14"/>
      <c r="G2902" s="14"/>
      <c r="H2902" s="14"/>
      <c r="I2902" s="14"/>
      <c r="J2902" s="14"/>
      <c r="K2902" s="14"/>
      <c r="L2902" s="15"/>
      <c r="M2902" s="15"/>
      <c r="N2902" s="15"/>
      <c r="O2902" s="15"/>
      <c r="P2902" s="15"/>
      <c r="Q2902" s="14"/>
      <c r="R2902" s="14"/>
      <c r="S2902" s="14"/>
      <c r="T2902" s="14"/>
      <c r="U2902" s="15"/>
      <c r="V2902" s="14"/>
      <c r="W2902" s="14"/>
      <c r="X2902" s="14"/>
      <c r="Y2902" s="14"/>
      <c r="Z2902" s="14"/>
    </row>
    <row r="2903" spans="1:26" ht="13.2">
      <c r="A2903" s="13"/>
      <c r="B2903" s="14"/>
      <c r="C2903" s="14"/>
      <c r="D2903" s="14"/>
      <c r="E2903" s="14"/>
      <c r="F2903" s="14"/>
      <c r="G2903" s="14"/>
      <c r="H2903" s="14"/>
      <c r="I2903" s="14"/>
      <c r="J2903" s="14"/>
      <c r="K2903" s="14"/>
      <c r="L2903" s="15"/>
      <c r="M2903" s="15"/>
      <c r="N2903" s="15"/>
      <c r="O2903" s="15"/>
      <c r="P2903" s="15"/>
      <c r="Q2903" s="14"/>
      <c r="R2903" s="14"/>
      <c r="S2903" s="14"/>
      <c r="T2903" s="14"/>
      <c r="U2903" s="15"/>
      <c r="V2903" s="14"/>
      <c r="W2903" s="14"/>
      <c r="X2903" s="14"/>
      <c r="Y2903" s="14"/>
      <c r="Z2903" s="14"/>
    </row>
    <row r="2904" spans="1:26" ht="13.2">
      <c r="A2904" s="13"/>
      <c r="B2904" s="14"/>
      <c r="C2904" s="14"/>
      <c r="D2904" s="14"/>
      <c r="E2904" s="14"/>
      <c r="F2904" s="14"/>
      <c r="G2904" s="14"/>
      <c r="H2904" s="14"/>
      <c r="I2904" s="14"/>
      <c r="J2904" s="14"/>
      <c r="K2904" s="14"/>
      <c r="L2904" s="15"/>
      <c r="M2904" s="15"/>
      <c r="N2904" s="15"/>
      <c r="O2904" s="15"/>
      <c r="P2904" s="15"/>
      <c r="Q2904" s="14"/>
      <c r="R2904" s="14"/>
      <c r="S2904" s="14"/>
      <c r="T2904" s="14"/>
      <c r="U2904" s="15"/>
      <c r="V2904" s="14"/>
      <c r="W2904" s="14"/>
      <c r="X2904" s="14"/>
      <c r="Y2904" s="14"/>
      <c r="Z2904" s="14"/>
    </row>
    <row r="2905" spans="1:26" ht="13.2">
      <c r="A2905" s="13"/>
      <c r="B2905" s="14"/>
      <c r="C2905" s="14"/>
      <c r="D2905" s="14"/>
      <c r="E2905" s="14"/>
      <c r="F2905" s="14"/>
      <c r="G2905" s="14"/>
      <c r="H2905" s="14"/>
      <c r="I2905" s="14"/>
      <c r="J2905" s="14"/>
      <c r="K2905" s="14"/>
      <c r="L2905" s="15"/>
      <c r="M2905" s="15"/>
      <c r="N2905" s="15"/>
      <c r="O2905" s="15"/>
      <c r="P2905" s="15"/>
      <c r="Q2905" s="14"/>
      <c r="R2905" s="14"/>
      <c r="S2905" s="14"/>
      <c r="T2905" s="14"/>
      <c r="U2905" s="15"/>
      <c r="V2905" s="14"/>
      <c r="W2905" s="14"/>
      <c r="X2905" s="14"/>
      <c r="Y2905" s="14"/>
      <c r="Z2905" s="14"/>
    </row>
    <row r="2906" spans="1:26" ht="13.2">
      <c r="A2906" s="13"/>
      <c r="B2906" s="14"/>
      <c r="C2906" s="14"/>
      <c r="D2906" s="14"/>
      <c r="E2906" s="14"/>
      <c r="F2906" s="14"/>
      <c r="G2906" s="14"/>
      <c r="H2906" s="14"/>
      <c r="I2906" s="14"/>
      <c r="J2906" s="14"/>
      <c r="K2906" s="14"/>
      <c r="L2906" s="15"/>
      <c r="M2906" s="15"/>
      <c r="N2906" s="15"/>
      <c r="O2906" s="15"/>
      <c r="P2906" s="15"/>
      <c r="Q2906" s="14"/>
      <c r="R2906" s="14"/>
      <c r="S2906" s="14"/>
      <c r="T2906" s="14"/>
      <c r="U2906" s="15"/>
      <c r="V2906" s="14"/>
      <c r="W2906" s="14"/>
      <c r="X2906" s="14"/>
      <c r="Y2906" s="14"/>
      <c r="Z2906" s="14"/>
    </row>
    <row r="2907" spans="1:26" ht="13.2">
      <c r="A2907" s="13"/>
      <c r="B2907" s="14"/>
      <c r="C2907" s="14"/>
      <c r="D2907" s="14"/>
      <c r="E2907" s="14"/>
      <c r="F2907" s="14"/>
      <c r="G2907" s="14"/>
      <c r="H2907" s="14"/>
      <c r="I2907" s="14"/>
      <c r="J2907" s="14"/>
      <c r="K2907" s="14"/>
      <c r="L2907" s="15"/>
      <c r="M2907" s="15"/>
      <c r="N2907" s="15"/>
      <c r="O2907" s="15"/>
      <c r="P2907" s="15"/>
      <c r="Q2907" s="14"/>
      <c r="R2907" s="14"/>
      <c r="S2907" s="14"/>
      <c r="T2907" s="14"/>
      <c r="U2907" s="15"/>
      <c r="V2907" s="14"/>
      <c r="W2907" s="14"/>
      <c r="X2907" s="14"/>
      <c r="Y2907" s="14"/>
      <c r="Z2907" s="14"/>
    </row>
    <row r="2908" spans="1:26" ht="13.2">
      <c r="A2908" s="13"/>
      <c r="B2908" s="14"/>
      <c r="C2908" s="14"/>
      <c r="D2908" s="14"/>
      <c r="E2908" s="14"/>
      <c r="F2908" s="14"/>
      <c r="G2908" s="14"/>
      <c r="H2908" s="14"/>
      <c r="I2908" s="14"/>
      <c r="J2908" s="14"/>
      <c r="K2908" s="14"/>
      <c r="L2908" s="15"/>
      <c r="M2908" s="15"/>
      <c r="N2908" s="15"/>
      <c r="O2908" s="15"/>
      <c r="P2908" s="15"/>
      <c r="Q2908" s="14"/>
      <c r="R2908" s="14"/>
      <c r="S2908" s="14"/>
      <c r="T2908" s="14"/>
      <c r="U2908" s="15"/>
      <c r="V2908" s="14"/>
      <c r="W2908" s="14"/>
      <c r="X2908" s="14"/>
      <c r="Y2908" s="14"/>
      <c r="Z2908" s="14"/>
    </row>
    <row r="2909" spans="1:26" ht="13.2">
      <c r="A2909" s="13"/>
      <c r="B2909" s="14"/>
      <c r="C2909" s="14"/>
      <c r="D2909" s="14"/>
      <c r="E2909" s="14"/>
      <c r="F2909" s="14"/>
      <c r="G2909" s="14"/>
      <c r="H2909" s="14"/>
      <c r="I2909" s="14"/>
      <c r="J2909" s="14"/>
      <c r="K2909" s="14"/>
      <c r="L2909" s="15"/>
      <c r="M2909" s="15"/>
      <c r="N2909" s="15"/>
      <c r="O2909" s="15"/>
      <c r="P2909" s="15"/>
      <c r="Q2909" s="14"/>
      <c r="R2909" s="14"/>
      <c r="S2909" s="14"/>
      <c r="T2909" s="14"/>
      <c r="U2909" s="15"/>
      <c r="V2909" s="14"/>
      <c r="W2909" s="14"/>
      <c r="X2909" s="14"/>
      <c r="Y2909" s="14"/>
      <c r="Z2909" s="14"/>
    </row>
    <row r="2910" spans="1:26" ht="13.2">
      <c r="A2910" s="13"/>
      <c r="B2910" s="14"/>
      <c r="C2910" s="14"/>
      <c r="D2910" s="14"/>
      <c r="E2910" s="14"/>
      <c r="F2910" s="14"/>
      <c r="G2910" s="14"/>
      <c r="H2910" s="14"/>
      <c r="I2910" s="14"/>
      <c r="J2910" s="14"/>
      <c r="K2910" s="14"/>
      <c r="L2910" s="15"/>
      <c r="M2910" s="15"/>
      <c r="N2910" s="15"/>
      <c r="O2910" s="15"/>
      <c r="P2910" s="15"/>
      <c r="Q2910" s="14"/>
      <c r="R2910" s="14"/>
      <c r="S2910" s="14"/>
      <c r="T2910" s="14"/>
      <c r="U2910" s="15"/>
      <c r="V2910" s="14"/>
      <c r="W2910" s="14"/>
      <c r="X2910" s="14"/>
      <c r="Y2910" s="14"/>
      <c r="Z2910" s="14"/>
    </row>
    <row r="2911" spans="1:26" ht="13.2">
      <c r="A2911" s="13"/>
      <c r="B2911" s="14"/>
      <c r="C2911" s="14"/>
      <c r="D2911" s="14"/>
      <c r="E2911" s="14"/>
      <c r="F2911" s="14"/>
      <c r="G2911" s="14"/>
      <c r="H2911" s="14"/>
      <c r="I2911" s="14"/>
      <c r="J2911" s="14"/>
      <c r="K2911" s="14"/>
      <c r="L2911" s="15"/>
      <c r="M2911" s="15"/>
      <c r="N2911" s="15"/>
      <c r="O2911" s="15"/>
      <c r="P2911" s="15"/>
      <c r="Q2911" s="14"/>
      <c r="R2911" s="14"/>
      <c r="S2911" s="14"/>
      <c r="T2911" s="14"/>
      <c r="U2911" s="15"/>
      <c r="V2911" s="14"/>
      <c r="W2911" s="14"/>
      <c r="X2911" s="14"/>
      <c r="Y2911" s="14"/>
      <c r="Z2911" s="14"/>
    </row>
    <row r="2912" spans="1:26" ht="13.2">
      <c r="A2912" s="13"/>
      <c r="B2912" s="14"/>
      <c r="C2912" s="14"/>
      <c r="D2912" s="14"/>
      <c r="E2912" s="14"/>
      <c r="F2912" s="14"/>
      <c r="G2912" s="14"/>
      <c r="H2912" s="14"/>
      <c r="I2912" s="14"/>
      <c r="J2912" s="14"/>
      <c r="K2912" s="14"/>
      <c r="L2912" s="15"/>
      <c r="M2912" s="15"/>
      <c r="N2912" s="15"/>
      <c r="O2912" s="15"/>
      <c r="P2912" s="15"/>
      <c r="Q2912" s="14"/>
      <c r="R2912" s="14"/>
      <c r="S2912" s="14"/>
      <c r="T2912" s="14"/>
      <c r="U2912" s="15"/>
      <c r="V2912" s="14"/>
      <c r="W2912" s="14"/>
      <c r="X2912" s="14"/>
      <c r="Y2912" s="14"/>
      <c r="Z2912" s="14"/>
    </row>
    <row r="2913" spans="1:26" ht="13.2">
      <c r="A2913" s="13"/>
      <c r="B2913" s="14"/>
      <c r="C2913" s="14"/>
      <c r="D2913" s="14"/>
      <c r="E2913" s="14"/>
      <c r="F2913" s="14"/>
      <c r="G2913" s="14"/>
      <c r="H2913" s="14"/>
      <c r="I2913" s="14"/>
      <c r="J2913" s="14"/>
      <c r="K2913" s="14"/>
      <c r="L2913" s="15"/>
      <c r="M2913" s="15"/>
      <c r="N2913" s="15"/>
      <c r="O2913" s="15"/>
      <c r="P2913" s="15"/>
      <c r="Q2913" s="14"/>
      <c r="R2913" s="14"/>
      <c r="S2913" s="14"/>
      <c r="T2913" s="14"/>
      <c r="U2913" s="15"/>
      <c r="V2913" s="14"/>
      <c r="W2913" s="14"/>
      <c r="X2913" s="14"/>
      <c r="Y2913" s="14"/>
      <c r="Z2913" s="14"/>
    </row>
    <row r="2914" spans="1:26" ht="13.2">
      <c r="A2914" s="13"/>
      <c r="B2914" s="14"/>
      <c r="C2914" s="14"/>
      <c r="D2914" s="14"/>
      <c r="E2914" s="14"/>
      <c r="F2914" s="14"/>
      <c r="G2914" s="14"/>
      <c r="H2914" s="14"/>
      <c r="I2914" s="14"/>
      <c r="J2914" s="14"/>
      <c r="K2914" s="14"/>
      <c r="L2914" s="15"/>
      <c r="M2914" s="15"/>
      <c r="N2914" s="15"/>
      <c r="O2914" s="15"/>
      <c r="P2914" s="15"/>
      <c r="Q2914" s="14"/>
      <c r="R2914" s="14"/>
      <c r="S2914" s="14"/>
      <c r="T2914" s="14"/>
      <c r="U2914" s="15"/>
      <c r="V2914" s="14"/>
      <c r="W2914" s="14"/>
      <c r="X2914" s="14"/>
      <c r="Y2914" s="14"/>
      <c r="Z2914" s="14"/>
    </row>
    <row r="2915" spans="1:26" ht="13.2">
      <c r="A2915" s="13"/>
      <c r="B2915" s="14"/>
      <c r="C2915" s="14"/>
      <c r="D2915" s="14"/>
      <c r="E2915" s="14"/>
      <c r="F2915" s="14"/>
      <c r="G2915" s="14"/>
      <c r="H2915" s="14"/>
      <c r="I2915" s="14"/>
      <c r="J2915" s="14"/>
      <c r="K2915" s="14"/>
      <c r="L2915" s="15"/>
      <c r="M2915" s="15"/>
      <c r="N2915" s="15"/>
      <c r="O2915" s="15"/>
      <c r="P2915" s="15"/>
      <c r="Q2915" s="14"/>
      <c r="R2915" s="14"/>
      <c r="S2915" s="14"/>
      <c r="T2915" s="14"/>
      <c r="U2915" s="15"/>
      <c r="V2915" s="14"/>
      <c r="W2915" s="14"/>
      <c r="X2915" s="14"/>
      <c r="Y2915" s="14"/>
      <c r="Z2915" s="14"/>
    </row>
    <row r="2916" spans="1:26" ht="13.2">
      <c r="A2916" s="13"/>
      <c r="B2916" s="14"/>
      <c r="C2916" s="14"/>
      <c r="D2916" s="14"/>
      <c r="E2916" s="14"/>
      <c r="F2916" s="14"/>
      <c r="G2916" s="14"/>
      <c r="H2916" s="14"/>
      <c r="I2916" s="14"/>
      <c r="J2916" s="14"/>
      <c r="K2916" s="14"/>
      <c r="L2916" s="15"/>
      <c r="M2916" s="15"/>
      <c r="N2916" s="15"/>
      <c r="O2916" s="15"/>
      <c r="P2916" s="15"/>
      <c r="Q2916" s="14"/>
      <c r="R2916" s="14"/>
      <c r="S2916" s="14"/>
      <c r="T2916" s="14"/>
      <c r="U2916" s="15"/>
      <c r="V2916" s="14"/>
      <c r="W2916" s="14"/>
      <c r="X2916" s="14"/>
      <c r="Y2916" s="14"/>
      <c r="Z2916" s="14"/>
    </row>
    <row r="2917" spans="1:26" ht="13.2">
      <c r="A2917" s="13"/>
      <c r="B2917" s="14"/>
      <c r="C2917" s="14"/>
      <c r="D2917" s="14"/>
      <c r="E2917" s="14"/>
      <c r="F2917" s="14"/>
      <c r="G2917" s="14"/>
      <c r="H2917" s="14"/>
      <c r="I2917" s="14"/>
      <c r="J2917" s="14"/>
      <c r="K2917" s="14"/>
      <c r="L2917" s="15"/>
      <c r="M2917" s="15"/>
      <c r="N2917" s="15"/>
      <c r="O2917" s="15"/>
      <c r="P2917" s="15"/>
      <c r="Q2917" s="14"/>
      <c r="R2917" s="14"/>
      <c r="S2917" s="14"/>
      <c r="T2917" s="14"/>
      <c r="U2917" s="15"/>
      <c r="V2917" s="14"/>
      <c r="W2917" s="14"/>
      <c r="X2917" s="14"/>
      <c r="Y2917" s="14"/>
      <c r="Z2917" s="14"/>
    </row>
    <row r="2918" spans="1:26" ht="13.2">
      <c r="A2918" s="13"/>
      <c r="B2918" s="14"/>
      <c r="C2918" s="14"/>
      <c r="D2918" s="14"/>
      <c r="E2918" s="14"/>
      <c r="F2918" s="14"/>
      <c r="G2918" s="14"/>
      <c r="H2918" s="14"/>
      <c r="I2918" s="14"/>
      <c r="J2918" s="14"/>
      <c r="K2918" s="14"/>
      <c r="L2918" s="15"/>
      <c r="M2918" s="15"/>
      <c r="N2918" s="15"/>
      <c r="O2918" s="15"/>
      <c r="P2918" s="15"/>
      <c r="Q2918" s="14"/>
      <c r="R2918" s="14"/>
      <c r="S2918" s="14"/>
      <c r="T2918" s="14"/>
      <c r="U2918" s="15"/>
      <c r="V2918" s="14"/>
      <c r="W2918" s="14"/>
      <c r="X2918" s="14"/>
      <c r="Y2918" s="14"/>
      <c r="Z2918" s="14"/>
    </row>
    <row r="2919" spans="1:26" ht="13.2">
      <c r="A2919" s="13"/>
      <c r="B2919" s="14"/>
      <c r="C2919" s="14"/>
      <c r="D2919" s="14"/>
      <c r="E2919" s="14"/>
      <c r="F2919" s="14"/>
      <c r="G2919" s="14"/>
      <c r="H2919" s="14"/>
      <c r="I2919" s="14"/>
      <c r="J2919" s="14"/>
      <c r="K2919" s="14"/>
      <c r="L2919" s="15"/>
      <c r="M2919" s="15"/>
      <c r="N2919" s="15"/>
      <c r="O2919" s="15"/>
      <c r="P2919" s="15"/>
      <c r="Q2919" s="14"/>
      <c r="R2919" s="14"/>
      <c r="S2919" s="14"/>
      <c r="T2919" s="14"/>
      <c r="U2919" s="15"/>
      <c r="V2919" s="14"/>
      <c r="W2919" s="14"/>
      <c r="X2919" s="14"/>
      <c r="Y2919" s="14"/>
      <c r="Z2919" s="14"/>
    </row>
    <row r="2920" spans="1:26" ht="13.2">
      <c r="A2920" s="13"/>
      <c r="B2920" s="14"/>
      <c r="C2920" s="14"/>
      <c r="D2920" s="14"/>
      <c r="E2920" s="14"/>
      <c r="F2920" s="14"/>
      <c r="G2920" s="14"/>
      <c r="H2920" s="14"/>
      <c r="I2920" s="14"/>
      <c r="J2920" s="14"/>
      <c r="K2920" s="14"/>
      <c r="L2920" s="15"/>
      <c r="M2920" s="15"/>
      <c r="N2920" s="15"/>
      <c r="O2920" s="15"/>
      <c r="P2920" s="15"/>
      <c r="Q2920" s="14"/>
      <c r="R2920" s="14"/>
      <c r="S2920" s="14"/>
      <c r="T2920" s="14"/>
      <c r="U2920" s="15"/>
      <c r="V2920" s="14"/>
      <c r="W2920" s="14"/>
      <c r="X2920" s="14"/>
      <c r="Y2920" s="14"/>
      <c r="Z2920" s="14"/>
    </row>
    <row r="2921" spans="1:26" ht="13.2">
      <c r="A2921" s="13"/>
      <c r="B2921" s="14"/>
      <c r="C2921" s="14"/>
      <c r="D2921" s="14"/>
      <c r="E2921" s="14"/>
      <c r="F2921" s="14"/>
      <c r="G2921" s="14"/>
      <c r="H2921" s="14"/>
      <c r="I2921" s="14"/>
      <c r="J2921" s="14"/>
      <c r="K2921" s="14"/>
      <c r="L2921" s="15"/>
      <c r="M2921" s="15"/>
      <c r="N2921" s="15"/>
      <c r="O2921" s="15"/>
      <c r="P2921" s="15"/>
      <c r="Q2921" s="14"/>
      <c r="R2921" s="14"/>
      <c r="S2921" s="14"/>
      <c r="T2921" s="14"/>
      <c r="U2921" s="15"/>
      <c r="V2921" s="14"/>
      <c r="W2921" s="14"/>
      <c r="X2921" s="14"/>
      <c r="Y2921" s="14"/>
      <c r="Z2921" s="14"/>
    </row>
    <row r="2922" spans="1:26" ht="13.2">
      <c r="A2922" s="13"/>
      <c r="B2922" s="14"/>
      <c r="C2922" s="14"/>
      <c r="D2922" s="14"/>
      <c r="E2922" s="14"/>
      <c r="F2922" s="14"/>
      <c r="G2922" s="14"/>
      <c r="H2922" s="14"/>
      <c r="I2922" s="14"/>
      <c r="J2922" s="14"/>
      <c r="K2922" s="14"/>
      <c r="L2922" s="15"/>
      <c r="M2922" s="15"/>
      <c r="N2922" s="15"/>
      <c r="O2922" s="15"/>
      <c r="P2922" s="15"/>
      <c r="Q2922" s="14"/>
      <c r="R2922" s="14"/>
      <c r="S2922" s="14"/>
      <c r="T2922" s="14"/>
      <c r="U2922" s="15"/>
      <c r="V2922" s="14"/>
      <c r="W2922" s="14"/>
      <c r="X2922" s="14"/>
      <c r="Y2922" s="14"/>
      <c r="Z2922" s="14"/>
    </row>
    <row r="2923" spans="1:26" ht="13.2">
      <c r="A2923" s="13"/>
      <c r="B2923" s="14"/>
      <c r="C2923" s="14"/>
      <c r="D2923" s="14"/>
      <c r="E2923" s="14"/>
      <c r="F2923" s="14"/>
      <c r="G2923" s="14"/>
      <c r="H2923" s="14"/>
      <c r="I2923" s="14"/>
      <c r="J2923" s="14"/>
      <c r="K2923" s="14"/>
      <c r="L2923" s="15"/>
      <c r="M2923" s="15"/>
      <c r="N2923" s="15"/>
      <c r="O2923" s="15"/>
      <c r="P2923" s="15"/>
      <c r="Q2923" s="14"/>
      <c r="R2923" s="14"/>
      <c r="S2923" s="14"/>
      <c r="T2923" s="14"/>
      <c r="U2923" s="15"/>
      <c r="V2923" s="14"/>
      <c r="W2923" s="14"/>
      <c r="X2923" s="14"/>
      <c r="Y2923" s="14"/>
      <c r="Z2923" s="14"/>
    </row>
    <row r="2924" spans="1:26" ht="13.2">
      <c r="A2924" s="13"/>
      <c r="B2924" s="14"/>
      <c r="C2924" s="14"/>
      <c r="D2924" s="14"/>
      <c r="E2924" s="14"/>
      <c r="F2924" s="14"/>
      <c r="G2924" s="14"/>
      <c r="H2924" s="14"/>
      <c r="I2924" s="14"/>
      <c r="J2924" s="14"/>
      <c r="K2924" s="14"/>
      <c r="L2924" s="15"/>
      <c r="M2924" s="15"/>
      <c r="N2924" s="15"/>
      <c r="O2924" s="15"/>
      <c r="P2924" s="15"/>
      <c r="Q2924" s="14"/>
      <c r="R2924" s="14"/>
      <c r="S2924" s="14"/>
      <c r="T2924" s="14"/>
      <c r="U2924" s="15"/>
      <c r="V2924" s="14"/>
      <c r="W2924" s="14"/>
      <c r="X2924" s="14"/>
      <c r="Y2924" s="14"/>
      <c r="Z2924" s="14"/>
    </row>
    <row r="2925" spans="1:26" ht="13.2">
      <c r="A2925" s="13"/>
      <c r="B2925" s="14"/>
      <c r="C2925" s="14"/>
      <c r="D2925" s="14"/>
      <c r="E2925" s="14"/>
      <c r="F2925" s="14"/>
      <c r="G2925" s="14"/>
      <c r="H2925" s="14"/>
      <c r="I2925" s="14"/>
      <c r="J2925" s="14"/>
      <c r="K2925" s="14"/>
      <c r="L2925" s="15"/>
      <c r="M2925" s="15"/>
      <c r="N2925" s="15"/>
      <c r="O2925" s="15"/>
      <c r="P2925" s="15"/>
      <c r="Q2925" s="14"/>
      <c r="R2925" s="14"/>
      <c r="S2925" s="14"/>
      <c r="T2925" s="14"/>
      <c r="U2925" s="15"/>
      <c r="V2925" s="14"/>
      <c r="W2925" s="14"/>
      <c r="X2925" s="14"/>
      <c r="Y2925" s="14"/>
      <c r="Z2925" s="14"/>
    </row>
    <row r="2926" spans="1:26" ht="13.2">
      <c r="A2926" s="13"/>
      <c r="B2926" s="14"/>
      <c r="C2926" s="14"/>
      <c r="D2926" s="14"/>
      <c r="E2926" s="14"/>
      <c r="F2926" s="14"/>
      <c r="G2926" s="14"/>
      <c r="H2926" s="14"/>
      <c r="I2926" s="14"/>
      <c r="J2926" s="14"/>
      <c r="K2926" s="14"/>
      <c r="L2926" s="15"/>
      <c r="M2926" s="15"/>
      <c r="N2926" s="15"/>
      <c r="O2926" s="15"/>
      <c r="P2926" s="15"/>
      <c r="Q2926" s="14"/>
      <c r="R2926" s="14"/>
      <c r="S2926" s="14"/>
      <c r="T2926" s="14"/>
      <c r="U2926" s="15"/>
      <c r="V2926" s="14"/>
      <c r="W2926" s="14"/>
      <c r="X2926" s="14"/>
      <c r="Y2926" s="14"/>
      <c r="Z2926" s="14"/>
    </row>
    <row r="2927" spans="1:26" ht="13.2">
      <c r="A2927" s="13"/>
      <c r="B2927" s="14"/>
      <c r="C2927" s="14"/>
      <c r="D2927" s="14"/>
      <c r="E2927" s="14"/>
      <c r="F2927" s="14"/>
      <c r="G2927" s="14"/>
      <c r="H2927" s="14"/>
      <c r="I2927" s="14"/>
      <c r="J2927" s="14"/>
      <c r="K2927" s="14"/>
      <c r="L2927" s="15"/>
      <c r="M2927" s="15"/>
      <c r="N2927" s="15"/>
      <c r="O2927" s="15"/>
      <c r="P2927" s="15"/>
      <c r="Q2927" s="14"/>
      <c r="R2927" s="14"/>
      <c r="S2927" s="14"/>
      <c r="T2927" s="14"/>
      <c r="U2927" s="15"/>
      <c r="V2927" s="14"/>
      <c r="W2927" s="14"/>
      <c r="X2927" s="14"/>
      <c r="Y2927" s="14"/>
      <c r="Z2927" s="14"/>
    </row>
    <row r="2928" spans="1:26" ht="13.2">
      <c r="A2928" s="13"/>
      <c r="B2928" s="14"/>
      <c r="C2928" s="14"/>
      <c r="D2928" s="14"/>
      <c r="E2928" s="14"/>
      <c r="F2928" s="14"/>
      <c r="G2928" s="14"/>
      <c r="H2928" s="14"/>
      <c r="I2928" s="14"/>
      <c r="J2928" s="14"/>
      <c r="K2928" s="14"/>
      <c r="L2928" s="15"/>
      <c r="M2928" s="15"/>
      <c r="N2928" s="15"/>
      <c r="O2928" s="15"/>
      <c r="P2928" s="15"/>
      <c r="Q2928" s="14"/>
      <c r="R2928" s="14"/>
      <c r="S2928" s="14"/>
      <c r="T2928" s="14"/>
      <c r="U2928" s="15"/>
      <c r="V2928" s="14"/>
      <c r="W2928" s="14"/>
      <c r="X2928" s="14"/>
      <c r="Y2928" s="14"/>
      <c r="Z2928" s="14"/>
    </row>
    <row r="2929" spans="1:26" ht="13.2">
      <c r="A2929" s="13"/>
      <c r="B2929" s="14"/>
      <c r="C2929" s="14"/>
      <c r="D2929" s="14"/>
      <c r="E2929" s="14"/>
      <c r="F2929" s="14"/>
      <c r="G2929" s="14"/>
      <c r="H2929" s="14"/>
      <c r="I2929" s="14"/>
      <c r="J2929" s="14"/>
      <c r="K2929" s="14"/>
      <c r="L2929" s="15"/>
      <c r="M2929" s="15"/>
      <c r="N2929" s="15"/>
      <c r="O2929" s="15"/>
      <c r="P2929" s="15"/>
      <c r="Q2929" s="14"/>
      <c r="R2929" s="14"/>
      <c r="S2929" s="14"/>
      <c r="T2929" s="14"/>
      <c r="U2929" s="15"/>
      <c r="V2929" s="14"/>
      <c r="W2929" s="14"/>
      <c r="X2929" s="14"/>
      <c r="Y2929" s="14"/>
      <c r="Z2929" s="14"/>
    </row>
    <row r="2930" spans="1:26" ht="13.2">
      <c r="A2930" s="13"/>
      <c r="B2930" s="14"/>
      <c r="C2930" s="14"/>
      <c r="D2930" s="14"/>
      <c r="E2930" s="14"/>
      <c r="F2930" s="14"/>
      <c r="G2930" s="14"/>
      <c r="H2930" s="14"/>
      <c r="I2930" s="14"/>
      <c r="J2930" s="14"/>
      <c r="K2930" s="14"/>
      <c r="L2930" s="15"/>
      <c r="M2930" s="15"/>
      <c r="N2930" s="15"/>
      <c r="O2930" s="15"/>
      <c r="P2930" s="15"/>
      <c r="Q2930" s="14"/>
      <c r="R2930" s="14"/>
      <c r="S2930" s="14"/>
      <c r="T2930" s="14"/>
      <c r="U2930" s="15"/>
      <c r="V2930" s="14"/>
      <c r="W2930" s="14"/>
      <c r="X2930" s="14"/>
      <c r="Y2930" s="14"/>
      <c r="Z2930" s="14"/>
    </row>
    <row r="2931" spans="1:26" ht="13.2">
      <c r="A2931" s="13"/>
      <c r="B2931" s="14"/>
      <c r="C2931" s="14"/>
      <c r="D2931" s="14"/>
      <c r="E2931" s="14"/>
      <c r="F2931" s="14"/>
      <c r="G2931" s="14"/>
      <c r="H2931" s="14"/>
      <c r="I2931" s="14"/>
      <c r="J2931" s="14"/>
      <c r="K2931" s="14"/>
      <c r="L2931" s="15"/>
      <c r="M2931" s="15"/>
      <c r="N2931" s="15"/>
      <c r="O2931" s="15"/>
      <c r="P2931" s="15"/>
      <c r="Q2931" s="14"/>
      <c r="R2931" s="14"/>
      <c r="S2931" s="14"/>
      <c r="T2931" s="14"/>
      <c r="U2931" s="15"/>
      <c r="V2931" s="14"/>
      <c r="W2931" s="14"/>
      <c r="X2931" s="14"/>
      <c r="Y2931" s="14"/>
      <c r="Z2931" s="14"/>
    </row>
    <row r="2932" spans="1:26" ht="13.2">
      <c r="A2932" s="13"/>
      <c r="B2932" s="14"/>
      <c r="C2932" s="14"/>
      <c r="D2932" s="14"/>
      <c r="E2932" s="14"/>
      <c r="F2932" s="14"/>
      <c r="G2932" s="14"/>
      <c r="H2932" s="14"/>
      <c r="I2932" s="14"/>
      <c r="J2932" s="14"/>
      <c r="K2932" s="14"/>
      <c r="L2932" s="15"/>
      <c r="M2932" s="15"/>
      <c r="N2932" s="15"/>
      <c r="O2932" s="15"/>
      <c r="P2932" s="15"/>
      <c r="Q2932" s="14"/>
      <c r="R2932" s="14"/>
      <c r="S2932" s="14"/>
      <c r="T2932" s="14"/>
      <c r="U2932" s="15"/>
      <c r="V2932" s="14"/>
      <c r="W2932" s="14"/>
      <c r="X2932" s="14"/>
      <c r="Y2932" s="14"/>
      <c r="Z2932" s="14"/>
    </row>
    <row r="2933" spans="1:26" ht="13.2">
      <c r="A2933" s="13"/>
      <c r="B2933" s="14"/>
      <c r="C2933" s="14"/>
      <c r="D2933" s="14"/>
      <c r="E2933" s="14"/>
      <c r="F2933" s="14"/>
      <c r="G2933" s="14"/>
      <c r="H2933" s="14"/>
      <c r="I2933" s="14"/>
      <c r="J2933" s="14"/>
      <c r="K2933" s="14"/>
      <c r="L2933" s="15"/>
      <c r="M2933" s="15"/>
      <c r="N2933" s="15"/>
      <c r="O2933" s="15"/>
      <c r="P2933" s="15"/>
      <c r="Q2933" s="14"/>
      <c r="R2933" s="14"/>
      <c r="S2933" s="14"/>
      <c r="T2933" s="14"/>
      <c r="U2933" s="15"/>
      <c r="V2933" s="14"/>
      <c r="W2933" s="14"/>
      <c r="X2933" s="14"/>
      <c r="Y2933" s="14"/>
      <c r="Z2933" s="14"/>
    </row>
    <row r="2934" spans="1:26" ht="13.2">
      <c r="A2934" s="13"/>
      <c r="B2934" s="14"/>
      <c r="C2934" s="14"/>
      <c r="D2934" s="14"/>
      <c r="E2934" s="14"/>
      <c r="F2934" s="14"/>
      <c r="G2934" s="14"/>
      <c r="H2934" s="14"/>
      <c r="I2934" s="14"/>
      <c r="J2934" s="14"/>
      <c r="K2934" s="14"/>
      <c r="L2934" s="15"/>
      <c r="M2934" s="15"/>
      <c r="N2934" s="15"/>
      <c r="O2934" s="15"/>
      <c r="P2934" s="15"/>
      <c r="Q2934" s="14"/>
      <c r="R2934" s="14"/>
      <c r="S2934" s="14"/>
      <c r="T2934" s="14"/>
      <c r="U2934" s="15"/>
      <c r="V2934" s="14"/>
      <c r="W2934" s="14"/>
      <c r="X2934" s="14"/>
      <c r="Y2934" s="14"/>
      <c r="Z2934" s="14"/>
    </row>
    <row r="2935" spans="1:26" ht="13.2">
      <c r="A2935" s="13"/>
      <c r="B2935" s="14"/>
      <c r="C2935" s="14"/>
      <c r="D2935" s="14"/>
      <c r="E2935" s="14"/>
      <c r="F2935" s="14"/>
      <c r="G2935" s="14"/>
      <c r="H2935" s="14"/>
      <c r="I2935" s="14"/>
      <c r="J2935" s="14"/>
      <c r="K2935" s="14"/>
      <c r="L2935" s="15"/>
      <c r="M2935" s="15"/>
      <c r="N2935" s="15"/>
      <c r="O2935" s="15"/>
      <c r="P2935" s="15"/>
      <c r="Q2935" s="14"/>
      <c r="R2935" s="14"/>
      <c r="S2935" s="14"/>
      <c r="T2935" s="14"/>
      <c r="U2935" s="15"/>
      <c r="V2935" s="14"/>
      <c r="W2935" s="14"/>
      <c r="X2935" s="14"/>
      <c r="Y2935" s="14"/>
      <c r="Z2935" s="14"/>
    </row>
    <row r="2936" spans="1:26" ht="13.2">
      <c r="A2936" s="13"/>
      <c r="B2936" s="14"/>
      <c r="C2936" s="14"/>
      <c r="D2936" s="14"/>
      <c r="E2936" s="14"/>
      <c r="F2936" s="14"/>
      <c r="G2936" s="14"/>
      <c r="H2936" s="14"/>
      <c r="I2936" s="14"/>
      <c r="J2936" s="14"/>
      <c r="K2936" s="14"/>
      <c r="L2936" s="15"/>
      <c r="M2936" s="15"/>
      <c r="N2936" s="15"/>
      <c r="O2936" s="15"/>
      <c r="P2936" s="15"/>
      <c r="Q2936" s="14"/>
      <c r="R2936" s="14"/>
      <c r="S2936" s="14"/>
      <c r="T2936" s="14"/>
      <c r="U2936" s="15"/>
      <c r="V2936" s="14"/>
      <c r="W2936" s="14"/>
      <c r="X2936" s="14"/>
      <c r="Y2936" s="14"/>
      <c r="Z2936" s="14"/>
    </row>
    <row r="2937" spans="1:26" ht="13.2">
      <c r="A2937" s="13"/>
      <c r="B2937" s="14"/>
      <c r="C2937" s="14"/>
      <c r="D2937" s="14"/>
      <c r="E2937" s="14"/>
      <c r="F2937" s="14"/>
      <c r="G2937" s="14"/>
      <c r="H2937" s="14"/>
      <c r="I2937" s="14"/>
      <c r="J2937" s="14"/>
      <c r="K2937" s="14"/>
      <c r="L2937" s="15"/>
      <c r="M2937" s="15"/>
      <c r="N2937" s="15"/>
      <c r="O2937" s="15"/>
      <c r="P2937" s="15"/>
      <c r="Q2937" s="14"/>
      <c r="R2937" s="14"/>
      <c r="S2937" s="14"/>
      <c r="T2937" s="14"/>
      <c r="U2937" s="15"/>
      <c r="V2937" s="14"/>
      <c r="W2937" s="14"/>
      <c r="X2937" s="14"/>
      <c r="Y2937" s="14"/>
      <c r="Z2937" s="14"/>
    </row>
    <row r="2938" spans="1:26" ht="13.2">
      <c r="A2938" s="13"/>
      <c r="B2938" s="14"/>
      <c r="C2938" s="14"/>
      <c r="D2938" s="14"/>
      <c r="E2938" s="14"/>
      <c r="F2938" s="14"/>
      <c r="G2938" s="14"/>
      <c r="H2938" s="14"/>
      <c r="I2938" s="14"/>
      <c r="J2938" s="14"/>
      <c r="K2938" s="14"/>
      <c r="L2938" s="15"/>
      <c r="M2938" s="15"/>
      <c r="N2938" s="15"/>
      <c r="O2938" s="15"/>
      <c r="P2938" s="15"/>
      <c r="Q2938" s="14"/>
      <c r="R2938" s="14"/>
      <c r="S2938" s="14"/>
      <c r="T2938" s="14"/>
      <c r="U2938" s="15"/>
      <c r="V2938" s="14"/>
      <c r="W2938" s="14"/>
      <c r="X2938" s="14"/>
      <c r="Y2938" s="14"/>
      <c r="Z2938" s="14"/>
    </row>
    <row r="2939" spans="1:26" ht="13.2">
      <c r="A2939" s="13"/>
      <c r="B2939" s="14"/>
      <c r="C2939" s="14"/>
      <c r="D2939" s="14"/>
      <c r="E2939" s="14"/>
      <c r="F2939" s="14"/>
      <c r="G2939" s="14"/>
      <c r="H2939" s="14"/>
      <c r="I2939" s="14"/>
      <c r="J2939" s="14"/>
      <c r="K2939" s="14"/>
      <c r="L2939" s="15"/>
      <c r="M2939" s="15"/>
      <c r="N2939" s="15"/>
      <c r="O2939" s="15"/>
      <c r="P2939" s="15"/>
      <c r="Q2939" s="14"/>
      <c r="R2939" s="14"/>
      <c r="S2939" s="14"/>
      <c r="T2939" s="14"/>
      <c r="U2939" s="15"/>
      <c r="V2939" s="14"/>
      <c r="W2939" s="14"/>
      <c r="X2939" s="14"/>
      <c r="Y2939" s="14"/>
      <c r="Z2939" s="14"/>
    </row>
    <row r="2940" spans="1:26" ht="13.2">
      <c r="A2940" s="13"/>
      <c r="B2940" s="14"/>
      <c r="C2940" s="14"/>
      <c r="D2940" s="14"/>
      <c r="E2940" s="14"/>
      <c r="F2940" s="14"/>
      <c r="G2940" s="14"/>
      <c r="H2940" s="14"/>
      <c r="I2940" s="14"/>
      <c r="J2940" s="14"/>
      <c r="K2940" s="14"/>
      <c r="L2940" s="15"/>
      <c r="M2940" s="15"/>
      <c r="N2940" s="15"/>
      <c r="O2940" s="15"/>
      <c r="P2940" s="15"/>
      <c r="Q2940" s="14"/>
      <c r="R2940" s="14"/>
      <c r="S2940" s="14"/>
      <c r="T2940" s="14"/>
      <c r="U2940" s="15"/>
      <c r="V2940" s="14"/>
      <c r="W2940" s="14"/>
      <c r="X2940" s="14"/>
      <c r="Y2940" s="14"/>
      <c r="Z2940" s="14"/>
    </row>
    <row r="2941" spans="1:26" ht="13.2">
      <c r="A2941" s="13"/>
      <c r="B2941" s="14"/>
      <c r="C2941" s="14"/>
      <c r="D2941" s="14"/>
      <c r="E2941" s="14"/>
      <c r="F2941" s="14"/>
      <c r="G2941" s="14"/>
      <c r="H2941" s="14"/>
      <c r="I2941" s="14"/>
      <c r="J2941" s="14"/>
      <c r="K2941" s="14"/>
      <c r="L2941" s="15"/>
      <c r="M2941" s="15"/>
      <c r="N2941" s="15"/>
      <c r="O2941" s="15"/>
      <c r="P2941" s="15"/>
      <c r="Q2941" s="14"/>
      <c r="R2941" s="14"/>
      <c r="S2941" s="14"/>
      <c r="T2941" s="14"/>
      <c r="U2941" s="15"/>
      <c r="V2941" s="14"/>
      <c r="W2941" s="14"/>
      <c r="X2941" s="14"/>
      <c r="Y2941" s="14"/>
      <c r="Z2941" s="14"/>
    </row>
    <row r="2942" spans="1:26" ht="13.2">
      <c r="A2942" s="13"/>
      <c r="B2942" s="14"/>
      <c r="C2942" s="14"/>
      <c r="D2942" s="14"/>
      <c r="E2942" s="14"/>
      <c r="F2942" s="14"/>
      <c r="G2942" s="14"/>
      <c r="H2942" s="14"/>
      <c r="I2942" s="14"/>
      <c r="J2942" s="14"/>
      <c r="K2942" s="14"/>
      <c r="L2942" s="15"/>
      <c r="M2942" s="15"/>
      <c r="N2942" s="15"/>
      <c r="O2942" s="15"/>
      <c r="P2942" s="15"/>
      <c r="Q2942" s="14"/>
      <c r="R2942" s="14"/>
      <c r="S2942" s="14"/>
      <c r="T2942" s="14"/>
      <c r="U2942" s="15"/>
      <c r="V2942" s="14"/>
      <c r="W2942" s="14"/>
      <c r="X2942" s="14"/>
      <c r="Y2942" s="14"/>
      <c r="Z2942" s="14"/>
    </row>
    <row r="2943" spans="1:26" ht="13.2">
      <c r="A2943" s="13"/>
      <c r="B2943" s="14"/>
      <c r="C2943" s="14"/>
      <c r="D2943" s="14"/>
      <c r="E2943" s="14"/>
      <c r="F2943" s="14"/>
      <c r="G2943" s="14"/>
      <c r="H2943" s="14"/>
      <c r="I2943" s="14"/>
      <c r="J2943" s="14"/>
      <c r="K2943" s="14"/>
      <c r="L2943" s="15"/>
      <c r="M2943" s="15"/>
      <c r="N2943" s="15"/>
      <c r="O2943" s="15"/>
      <c r="P2943" s="15"/>
      <c r="Q2943" s="14"/>
      <c r="R2943" s="14"/>
      <c r="S2943" s="14"/>
      <c r="T2943" s="14"/>
      <c r="U2943" s="15"/>
      <c r="V2943" s="14"/>
      <c r="W2943" s="14"/>
      <c r="X2943" s="14"/>
      <c r="Y2943" s="14"/>
      <c r="Z2943" s="14"/>
    </row>
    <row r="2944" spans="1:26" ht="13.2">
      <c r="A2944" s="13"/>
      <c r="B2944" s="14"/>
      <c r="C2944" s="14"/>
      <c r="D2944" s="14"/>
      <c r="E2944" s="14"/>
      <c r="F2944" s="14"/>
      <c r="G2944" s="14"/>
      <c r="H2944" s="14"/>
      <c r="I2944" s="14"/>
      <c r="J2944" s="14"/>
      <c r="K2944" s="14"/>
      <c r="L2944" s="15"/>
      <c r="M2944" s="15"/>
      <c r="N2944" s="15"/>
      <c r="O2944" s="15"/>
      <c r="P2944" s="15"/>
      <c r="Q2944" s="14"/>
      <c r="R2944" s="14"/>
      <c r="S2944" s="14"/>
      <c r="T2944" s="14"/>
      <c r="U2944" s="15"/>
      <c r="V2944" s="14"/>
      <c r="W2944" s="14"/>
      <c r="X2944" s="14"/>
      <c r="Y2944" s="14"/>
      <c r="Z2944" s="14"/>
    </row>
    <row r="2945" spans="1:26" ht="13.2">
      <c r="A2945" s="13"/>
      <c r="B2945" s="14"/>
      <c r="C2945" s="14"/>
      <c r="D2945" s="14"/>
      <c r="E2945" s="14"/>
      <c r="F2945" s="14"/>
      <c r="G2945" s="14"/>
      <c r="H2945" s="14"/>
      <c r="I2945" s="14"/>
      <c r="J2945" s="14"/>
      <c r="K2945" s="14"/>
      <c r="L2945" s="15"/>
      <c r="M2945" s="15"/>
      <c r="N2945" s="15"/>
      <c r="O2945" s="15"/>
      <c r="P2945" s="15"/>
      <c r="Q2945" s="14"/>
      <c r="R2945" s="14"/>
      <c r="S2945" s="14"/>
      <c r="T2945" s="14"/>
      <c r="U2945" s="15"/>
      <c r="V2945" s="14"/>
      <c r="W2945" s="14"/>
      <c r="X2945" s="14"/>
      <c r="Y2945" s="14"/>
      <c r="Z2945" s="14"/>
    </row>
    <row r="2946" spans="1:26" ht="13.2">
      <c r="A2946" s="13"/>
      <c r="B2946" s="14"/>
      <c r="C2946" s="14"/>
      <c r="D2946" s="14"/>
      <c r="E2946" s="14"/>
      <c r="F2946" s="14"/>
      <c r="G2946" s="14"/>
      <c r="H2946" s="14"/>
      <c r="I2946" s="14"/>
      <c r="J2946" s="14"/>
      <c r="K2946" s="14"/>
      <c r="L2946" s="15"/>
      <c r="M2946" s="15"/>
      <c r="N2946" s="15"/>
      <c r="O2946" s="15"/>
      <c r="P2946" s="15"/>
      <c r="Q2946" s="14"/>
      <c r="R2946" s="14"/>
      <c r="S2946" s="14"/>
      <c r="T2946" s="14"/>
      <c r="U2946" s="15"/>
      <c r="V2946" s="14"/>
      <c r="W2946" s="14"/>
      <c r="X2946" s="14"/>
      <c r="Y2946" s="14"/>
      <c r="Z2946" s="14"/>
    </row>
    <row r="2947" spans="1:26" ht="13.2">
      <c r="A2947" s="13"/>
      <c r="B2947" s="14"/>
      <c r="C2947" s="14"/>
      <c r="D2947" s="14"/>
      <c r="E2947" s="14"/>
      <c r="F2947" s="14"/>
      <c r="G2947" s="14"/>
      <c r="H2947" s="14"/>
      <c r="I2947" s="14"/>
      <c r="J2947" s="14"/>
      <c r="K2947" s="14"/>
      <c r="L2947" s="15"/>
      <c r="M2947" s="15"/>
      <c r="N2947" s="15"/>
      <c r="O2947" s="15"/>
      <c r="P2947" s="15"/>
      <c r="Q2947" s="14"/>
      <c r="R2947" s="14"/>
      <c r="S2947" s="14"/>
      <c r="T2947" s="14"/>
      <c r="U2947" s="15"/>
      <c r="V2947" s="14"/>
      <c r="W2947" s="14"/>
      <c r="X2947" s="14"/>
      <c r="Y2947" s="14"/>
      <c r="Z2947" s="14"/>
    </row>
    <row r="2948" spans="1:26" ht="13.2">
      <c r="A2948" s="13"/>
      <c r="B2948" s="14"/>
      <c r="C2948" s="14"/>
      <c r="D2948" s="14"/>
      <c r="E2948" s="14"/>
      <c r="F2948" s="14"/>
      <c r="G2948" s="14"/>
      <c r="H2948" s="14"/>
      <c r="I2948" s="14"/>
      <c r="J2948" s="14"/>
      <c r="K2948" s="14"/>
      <c r="L2948" s="15"/>
      <c r="M2948" s="15"/>
      <c r="N2948" s="15"/>
      <c r="O2948" s="15"/>
      <c r="P2948" s="15"/>
      <c r="Q2948" s="14"/>
      <c r="R2948" s="14"/>
      <c r="S2948" s="14"/>
      <c r="T2948" s="14"/>
      <c r="U2948" s="15"/>
      <c r="V2948" s="14"/>
      <c r="W2948" s="14"/>
      <c r="X2948" s="14"/>
      <c r="Y2948" s="14"/>
      <c r="Z2948" s="14"/>
    </row>
    <row r="2949" spans="1:26" ht="13.2">
      <c r="A2949" s="13"/>
      <c r="B2949" s="14"/>
      <c r="C2949" s="14"/>
      <c r="D2949" s="14"/>
      <c r="E2949" s="14"/>
      <c r="F2949" s="14"/>
      <c r="G2949" s="14"/>
      <c r="H2949" s="14"/>
      <c r="I2949" s="14"/>
      <c r="J2949" s="14"/>
      <c r="K2949" s="14"/>
      <c r="L2949" s="15"/>
      <c r="M2949" s="15"/>
      <c r="N2949" s="15"/>
      <c r="O2949" s="15"/>
      <c r="P2949" s="15"/>
      <c r="Q2949" s="14"/>
      <c r="R2949" s="14"/>
      <c r="S2949" s="14"/>
      <c r="T2949" s="14"/>
      <c r="U2949" s="15"/>
      <c r="V2949" s="14"/>
      <c r="W2949" s="14"/>
      <c r="X2949" s="14"/>
      <c r="Y2949" s="14"/>
      <c r="Z2949" s="14"/>
    </row>
    <row r="2950" spans="1:26" ht="13.2">
      <c r="A2950" s="13"/>
      <c r="B2950" s="14"/>
      <c r="C2950" s="14"/>
      <c r="D2950" s="14"/>
      <c r="E2950" s="14"/>
      <c r="F2950" s="14"/>
      <c r="G2950" s="14"/>
      <c r="H2950" s="14"/>
      <c r="I2950" s="14"/>
      <c r="J2950" s="14"/>
      <c r="K2950" s="14"/>
      <c r="L2950" s="15"/>
      <c r="M2950" s="15"/>
      <c r="N2950" s="15"/>
      <c r="O2950" s="15"/>
      <c r="P2950" s="15"/>
      <c r="Q2950" s="14"/>
      <c r="R2950" s="14"/>
      <c r="S2950" s="14"/>
      <c r="T2950" s="14"/>
      <c r="U2950" s="15"/>
      <c r="V2950" s="14"/>
      <c r="W2950" s="14"/>
      <c r="X2950" s="14"/>
      <c r="Y2950" s="14"/>
      <c r="Z2950" s="14"/>
    </row>
    <row r="2951" spans="1:26" ht="13.2">
      <c r="A2951" s="13"/>
      <c r="B2951" s="14"/>
      <c r="C2951" s="14"/>
      <c r="D2951" s="14"/>
      <c r="E2951" s="14"/>
      <c r="F2951" s="14"/>
      <c r="G2951" s="14"/>
      <c r="H2951" s="14"/>
      <c r="I2951" s="14"/>
      <c r="J2951" s="14"/>
      <c r="K2951" s="14"/>
      <c r="L2951" s="15"/>
      <c r="M2951" s="15"/>
      <c r="N2951" s="15"/>
      <c r="O2951" s="15"/>
      <c r="P2951" s="15"/>
      <c r="Q2951" s="14"/>
      <c r="R2951" s="14"/>
      <c r="S2951" s="14"/>
      <c r="T2951" s="14"/>
      <c r="U2951" s="15"/>
      <c r="V2951" s="14"/>
      <c r="W2951" s="14"/>
      <c r="X2951" s="14"/>
      <c r="Y2951" s="14"/>
      <c r="Z2951" s="14"/>
    </row>
    <row r="2952" spans="1:26" ht="13.2">
      <c r="A2952" s="13"/>
      <c r="B2952" s="14"/>
      <c r="C2952" s="14"/>
      <c r="D2952" s="14"/>
      <c r="E2952" s="14"/>
      <c r="F2952" s="14"/>
      <c r="G2952" s="14"/>
      <c r="H2952" s="14"/>
      <c r="I2952" s="14"/>
      <c r="J2952" s="14"/>
      <c r="K2952" s="14"/>
      <c r="L2952" s="15"/>
      <c r="M2952" s="15"/>
      <c r="N2952" s="15"/>
      <c r="O2952" s="15"/>
      <c r="P2952" s="15"/>
      <c r="Q2952" s="14"/>
      <c r="R2952" s="14"/>
      <c r="S2952" s="14"/>
      <c r="T2952" s="14"/>
      <c r="U2952" s="15"/>
      <c r="V2952" s="14"/>
      <c r="W2952" s="14"/>
      <c r="X2952" s="14"/>
      <c r="Y2952" s="14"/>
      <c r="Z2952" s="14"/>
    </row>
    <row r="2953" spans="1:26" ht="13.2">
      <c r="A2953" s="13"/>
      <c r="B2953" s="14"/>
      <c r="C2953" s="14"/>
      <c r="D2953" s="14"/>
      <c r="E2953" s="14"/>
      <c r="F2953" s="14"/>
      <c r="G2953" s="14"/>
      <c r="H2953" s="14"/>
      <c r="I2953" s="14"/>
      <c r="J2953" s="14"/>
      <c r="K2953" s="14"/>
      <c r="L2953" s="15"/>
      <c r="M2953" s="15"/>
      <c r="N2953" s="15"/>
      <c r="O2953" s="15"/>
      <c r="P2953" s="15"/>
      <c r="Q2953" s="14"/>
      <c r="R2953" s="14"/>
      <c r="S2953" s="14"/>
      <c r="T2953" s="14"/>
      <c r="U2953" s="15"/>
      <c r="V2953" s="14"/>
      <c r="W2953" s="14"/>
      <c r="X2953" s="14"/>
      <c r="Y2953" s="14"/>
      <c r="Z2953" s="14"/>
    </row>
    <row r="2954" spans="1:26" ht="13.2">
      <c r="A2954" s="13"/>
      <c r="B2954" s="14"/>
      <c r="C2954" s="14"/>
      <c r="D2954" s="14"/>
      <c r="E2954" s="14"/>
      <c r="F2954" s="14"/>
      <c r="G2954" s="14"/>
      <c r="H2954" s="14"/>
      <c r="I2954" s="14"/>
      <c r="J2954" s="14"/>
      <c r="K2954" s="14"/>
      <c r="L2954" s="15"/>
      <c r="M2954" s="15"/>
      <c r="N2954" s="15"/>
      <c r="O2954" s="15"/>
      <c r="P2954" s="15"/>
      <c r="Q2954" s="14"/>
      <c r="R2954" s="14"/>
      <c r="S2954" s="14"/>
      <c r="T2954" s="14"/>
      <c r="U2954" s="15"/>
      <c r="V2954" s="14"/>
      <c r="W2954" s="14"/>
      <c r="X2954" s="14"/>
      <c r="Y2954" s="14"/>
      <c r="Z2954" s="14"/>
    </row>
    <row r="2955" spans="1:26" ht="13.2">
      <c r="A2955" s="13"/>
      <c r="B2955" s="14"/>
      <c r="C2955" s="14"/>
      <c r="D2955" s="14"/>
      <c r="E2955" s="14"/>
      <c r="F2955" s="14"/>
      <c r="G2955" s="14"/>
      <c r="H2955" s="14"/>
      <c r="I2955" s="14"/>
      <c r="J2955" s="14"/>
      <c r="K2955" s="14"/>
      <c r="L2955" s="15"/>
      <c r="M2955" s="15"/>
      <c r="N2955" s="15"/>
      <c r="O2955" s="15"/>
      <c r="P2955" s="15"/>
      <c r="Q2955" s="14"/>
      <c r="R2955" s="14"/>
      <c r="S2955" s="14"/>
      <c r="T2955" s="14"/>
      <c r="U2955" s="15"/>
      <c r="V2955" s="14"/>
      <c r="W2955" s="14"/>
      <c r="X2955" s="14"/>
      <c r="Y2955" s="14"/>
      <c r="Z2955" s="14"/>
    </row>
    <row r="2956" spans="1:26" ht="13.2">
      <c r="A2956" s="13"/>
      <c r="B2956" s="14"/>
      <c r="C2956" s="14"/>
      <c r="D2956" s="14"/>
      <c r="E2956" s="14"/>
      <c r="F2956" s="14"/>
      <c r="G2956" s="14"/>
      <c r="H2956" s="14"/>
      <c r="I2956" s="14"/>
      <c r="J2956" s="14"/>
      <c r="K2956" s="14"/>
      <c r="L2956" s="15"/>
      <c r="M2956" s="15"/>
      <c r="N2956" s="15"/>
      <c r="O2956" s="15"/>
      <c r="P2956" s="15"/>
      <c r="Q2956" s="14"/>
      <c r="R2956" s="14"/>
      <c r="S2956" s="14"/>
      <c r="T2956" s="14"/>
      <c r="U2956" s="15"/>
      <c r="V2956" s="14"/>
      <c r="W2956" s="14"/>
      <c r="X2956" s="14"/>
      <c r="Y2956" s="14"/>
      <c r="Z2956" s="14"/>
    </row>
    <row r="2957" spans="1:26" ht="13.2">
      <c r="A2957" s="13"/>
      <c r="B2957" s="14"/>
      <c r="C2957" s="14"/>
      <c r="D2957" s="14"/>
      <c r="E2957" s="14"/>
      <c r="F2957" s="14"/>
      <c r="G2957" s="14"/>
      <c r="H2957" s="14"/>
      <c r="I2957" s="14"/>
      <c r="J2957" s="14"/>
      <c r="K2957" s="14"/>
      <c r="L2957" s="15"/>
      <c r="M2957" s="15"/>
      <c r="N2957" s="15"/>
      <c r="O2957" s="15"/>
      <c r="P2957" s="15"/>
      <c r="Q2957" s="14"/>
      <c r="R2957" s="14"/>
      <c r="S2957" s="14"/>
      <c r="T2957" s="14"/>
      <c r="U2957" s="15"/>
      <c r="V2957" s="14"/>
      <c r="W2957" s="14"/>
      <c r="X2957" s="14"/>
      <c r="Y2957" s="14"/>
      <c r="Z2957" s="14"/>
    </row>
    <row r="2958" spans="1:26" ht="13.2">
      <c r="A2958" s="13"/>
      <c r="B2958" s="14"/>
      <c r="C2958" s="14"/>
      <c r="D2958" s="14"/>
      <c r="E2958" s="14"/>
      <c r="F2958" s="14"/>
      <c r="G2958" s="14"/>
      <c r="H2958" s="14"/>
      <c r="I2958" s="14"/>
      <c r="J2958" s="14"/>
      <c r="K2958" s="14"/>
      <c r="L2958" s="15"/>
      <c r="M2958" s="15"/>
      <c r="N2958" s="15"/>
      <c r="O2958" s="15"/>
      <c r="P2958" s="15"/>
      <c r="Q2958" s="14"/>
      <c r="R2958" s="14"/>
      <c r="S2958" s="14"/>
      <c r="T2958" s="14"/>
      <c r="U2958" s="15"/>
      <c r="V2958" s="14"/>
      <c r="W2958" s="14"/>
      <c r="X2958" s="14"/>
      <c r="Y2958" s="14"/>
      <c r="Z2958" s="14"/>
    </row>
    <row r="2959" spans="1:26" ht="13.2">
      <c r="A2959" s="13"/>
      <c r="B2959" s="14"/>
      <c r="C2959" s="14"/>
      <c r="D2959" s="14"/>
      <c r="E2959" s="14"/>
      <c r="F2959" s="14"/>
      <c r="G2959" s="14"/>
      <c r="H2959" s="14"/>
      <c r="I2959" s="14"/>
      <c r="J2959" s="14"/>
      <c r="K2959" s="14"/>
      <c r="L2959" s="15"/>
      <c r="M2959" s="15"/>
      <c r="N2959" s="15"/>
      <c r="O2959" s="15"/>
      <c r="P2959" s="15"/>
      <c r="Q2959" s="14"/>
      <c r="R2959" s="14"/>
      <c r="S2959" s="14"/>
      <c r="T2959" s="14"/>
      <c r="U2959" s="15"/>
      <c r="V2959" s="14"/>
      <c r="W2959" s="14"/>
      <c r="X2959" s="14"/>
      <c r="Y2959" s="14"/>
      <c r="Z2959" s="14"/>
    </row>
    <row r="2960" spans="1:26" ht="13.2">
      <c r="A2960" s="13"/>
      <c r="B2960" s="14"/>
      <c r="C2960" s="14"/>
      <c r="D2960" s="14"/>
      <c r="E2960" s="14"/>
      <c r="F2960" s="14"/>
      <c r="G2960" s="14"/>
      <c r="H2960" s="14"/>
      <c r="I2960" s="14"/>
      <c r="J2960" s="14"/>
      <c r="K2960" s="14"/>
      <c r="L2960" s="15"/>
      <c r="M2960" s="15"/>
      <c r="N2960" s="15"/>
      <c r="O2960" s="15"/>
      <c r="P2960" s="15"/>
      <c r="Q2960" s="14"/>
      <c r="R2960" s="14"/>
      <c r="S2960" s="14"/>
      <c r="T2960" s="14"/>
      <c r="U2960" s="15"/>
      <c r="V2960" s="14"/>
      <c r="W2960" s="14"/>
      <c r="X2960" s="14"/>
      <c r="Y2960" s="14"/>
      <c r="Z2960" s="14"/>
    </row>
    <row r="2961" spans="1:26" ht="13.2">
      <c r="A2961" s="13"/>
      <c r="B2961" s="14"/>
      <c r="C2961" s="14"/>
      <c r="D2961" s="14"/>
      <c r="E2961" s="14"/>
      <c r="F2961" s="14"/>
      <c r="G2961" s="14"/>
      <c r="H2961" s="14"/>
      <c r="I2961" s="14"/>
      <c r="J2961" s="14"/>
      <c r="K2961" s="14"/>
      <c r="L2961" s="15"/>
      <c r="M2961" s="15"/>
      <c r="N2961" s="15"/>
      <c r="O2961" s="15"/>
      <c r="P2961" s="15"/>
      <c r="Q2961" s="14"/>
      <c r="R2961" s="14"/>
      <c r="S2961" s="14"/>
      <c r="T2961" s="14"/>
      <c r="U2961" s="15"/>
      <c r="V2961" s="14"/>
      <c r="W2961" s="14"/>
      <c r="X2961" s="14"/>
      <c r="Y2961" s="14"/>
      <c r="Z2961" s="14"/>
    </row>
    <row r="2962" spans="1:26" ht="13.2">
      <c r="A2962" s="13"/>
      <c r="B2962" s="14"/>
      <c r="C2962" s="14"/>
      <c r="D2962" s="14"/>
      <c r="E2962" s="14"/>
      <c r="F2962" s="14"/>
      <c r="G2962" s="14"/>
      <c r="H2962" s="14"/>
      <c r="I2962" s="14"/>
      <c r="J2962" s="14"/>
      <c r="K2962" s="14"/>
      <c r="L2962" s="15"/>
      <c r="M2962" s="15"/>
      <c r="N2962" s="15"/>
      <c r="O2962" s="15"/>
      <c r="P2962" s="15"/>
      <c r="Q2962" s="14"/>
      <c r="R2962" s="14"/>
      <c r="S2962" s="14"/>
      <c r="T2962" s="14"/>
      <c r="U2962" s="15"/>
      <c r="V2962" s="14"/>
      <c r="W2962" s="14"/>
      <c r="X2962" s="14"/>
      <c r="Y2962" s="14"/>
      <c r="Z2962" s="14"/>
    </row>
    <row r="2963" spans="1:26" ht="13.2">
      <c r="A2963" s="13"/>
      <c r="B2963" s="14"/>
      <c r="C2963" s="14"/>
      <c r="D2963" s="14"/>
      <c r="E2963" s="14"/>
      <c r="F2963" s="14"/>
      <c r="G2963" s="14"/>
      <c r="H2963" s="14"/>
      <c r="I2963" s="14"/>
      <c r="J2963" s="14"/>
      <c r="K2963" s="14"/>
      <c r="L2963" s="15"/>
      <c r="M2963" s="15"/>
      <c r="N2963" s="15"/>
      <c r="O2963" s="15"/>
      <c r="P2963" s="15"/>
      <c r="Q2963" s="14"/>
      <c r="R2963" s="14"/>
      <c r="S2963" s="14"/>
      <c r="T2963" s="14"/>
      <c r="U2963" s="15"/>
      <c r="V2963" s="14"/>
      <c r="W2963" s="14"/>
      <c r="X2963" s="14"/>
      <c r="Y2963" s="14"/>
      <c r="Z2963" s="14"/>
    </row>
    <row r="2964" spans="1:26" ht="13.2">
      <c r="A2964" s="13"/>
      <c r="B2964" s="14"/>
      <c r="C2964" s="14"/>
      <c r="D2964" s="14"/>
      <c r="E2964" s="14"/>
      <c r="F2964" s="14"/>
      <c r="G2964" s="14"/>
      <c r="H2964" s="14"/>
      <c r="I2964" s="14"/>
      <c r="J2964" s="14"/>
      <c r="K2964" s="14"/>
      <c r="L2964" s="15"/>
      <c r="M2964" s="15"/>
      <c r="N2964" s="15"/>
      <c r="O2964" s="15"/>
      <c r="P2964" s="15"/>
      <c r="Q2964" s="14"/>
      <c r="R2964" s="14"/>
      <c r="S2964" s="14"/>
      <c r="T2964" s="14"/>
      <c r="U2964" s="15"/>
      <c r="V2964" s="14"/>
      <c r="W2964" s="14"/>
      <c r="X2964" s="14"/>
      <c r="Y2964" s="14"/>
      <c r="Z2964" s="14"/>
    </row>
    <row r="2965" spans="1:26" ht="13.2">
      <c r="A2965" s="13"/>
      <c r="B2965" s="14"/>
      <c r="C2965" s="14"/>
      <c r="D2965" s="14"/>
      <c r="E2965" s="14"/>
      <c r="F2965" s="14"/>
      <c r="G2965" s="14"/>
      <c r="H2965" s="14"/>
      <c r="I2965" s="14"/>
      <c r="J2965" s="14"/>
      <c r="K2965" s="14"/>
      <c r="L2965" s="15"/>
      <c r="M2965" s="15"/>
      <c r="N2965" s="15"/>
      <c r="O2965" s="15"/>
      <c r="P2965" s="15"/>
      <c r="Q2965" s="14"/>
      <c r="R2965" s="14"/>
      <c r="S2965" s="14"/>
      <c r="T2965" s="14"/>
      <c r="U2965" s="15"/>
      <c r="V2965" s="14"/>
      <c r="W2965" s="14"/>
      <c r="X2965" s="14"/>
      <c r="Y2965" s="14"/>
      <c r="Z2965" s="14"/>
    </row>
    <row r="2966" spans="1:26" ht="13.2">
      <c r="A2966" s="13"/>
      <c r="B2966" s="14"/>
      <c r="C2966" s="14"/>
      <c r="D2966" s="14"/>
      <c r="E2966" s="14"/>
      <c r="F2966" s="14"/>
      <c r="G2966" s="14"/>
      <c r="H2966" s="14"/>
      <c r="I2966" s="14"/>
      <c r="J2966" s="14"/>
      <c r="K2966" s="14"/>
      <c r="L2966" s="15"/>
      <c r="M2966" s="15"/>
      <c r="N2966" s="15"/>
      <c r="O2966" s="15"/>
      <c r="P2966" s="15"/>
      <c r="Q2966" s="14"/>
      <c r="R2966" s="14"/>
      <c r="S2966" s="14"/>
      <c r="T2966" s="14"/>
      <c r="U2966" s="15"/>
      <c r="V2966" s="14"/>
      <c r="W2966" s="14"/>
      <c r="X2966" s="14"/>
      <c r="Y2966" s="14"/>
      <c r="Z2966" s="14"/>
    </row>
    <row r="2967" spans="1:26" ht="13.2">
      <c r="A2967" s="13"/>
      <c r="B2967" s="14"/>
      <c r="C2967" s="14"/>
      <c r="D2967" s="14"/>
      <c r="E2967" s="14"/>
      <c r="F2967" s="14"/>
      <c r="G2967" s="14"/>
      <c r="H2967" s="14"/>
      <c r="I2967" s="14"/>
      <c r="J2967" s="14"/>
      <c r="K2967" s="14"/>
      <c r="L2967" s="15"/>
      <c r="M2967" s="15"/>
      <c r="N2967" s="15"/>
      <c r="O2967" s="15"/>
      <c r="P2967" s="15"/>
      <c r="Q2967" s="14"/>
      <c r="R2967" s="14"/>
      <c r="S2967" s="14"/>
      <c r="T2967" s="14"/>
      <c r="U2967" s="15"/>
      <c r="V2967" s="14"/>
      <c r="W2967" s="14"/>
      <c r="X2967" s="14"/>
      <c r="Y2967" s="14"/>
      <c r="Z2967" s="14"/>
    </row>
    <row r="2968" spans="1:26" ht="13.2">
      <c r="A2968" s="13"/>
      <c r="B2968" s="14"/>
      <c r="C2968" s="14"/>
      <c r="D2968" s="14"/>
      <c r="E2968" s="14"/>
      <c r="F2968" s="14"/>
      <c r="G2968" s="14"/>
      <c r="H2968" s="14"/>
      <c r="I2968" s="14"/>
      <c r="J2968" s="14"/>
      <c r="K2968" s="14"/>
      <c r="L2968" s="15"/>
      <c r="M2968" s="15"/>
      <c r="N2968" s="15"/>
      <c r="O2968" s="15"/>
      <c r="P2968" s="15"/>
      <c r="Q2968" s="14"/>
      <c r="R2968" s="14"/>
      <c r="S2968" s="14"/>
      <c r="T2968" s="14"/>
      <c r="U2968" s="15"/>
      <c r="V2968" s="14"/>
      <c r="W2968" s="14"/>
      <c r="X2968" s="14"/>
      <c r="Y2968" s="14"/>
      <c r="Z2968" s="14"/>
    </row>
    <row r="2969" spans="1:26" ht="13.2">
      <c r="A2969" s="13"/>
      <c r="B2969" s="14"/>
      <c r="C2969" s="14"/>
      <c r="D2969" s="14"/>
      <c r="E2969" s="14"/>
      <c r="F2969" s="14"/>
      <c r="G2969" s="14"/>
      <c r="H2969" s="14"/>
      <c r="I2969" s="14"/>
      <c r="J2969" s="14"/>
      <c r="K2969" s="14"/>
      <c r="L2969" s="15"/>
      <c r="M2969" s="15"/>
      <c r="N2969" s="15"/>
      <c r="O2969" s="15"/>
      <c r="P2969" s="15"/>
      <c r="Q2969" s="14"/>
      <c r="R2969" s="14"/>
      <c r="S2969" s="14"/>
      <c r="T2969" s="14"/>
      <c r="U2969" s="15"/>
      <c r="V2969" s="14"/>
      <c r="W2969" s="14"/>
      <c r="X2969" s="14"/>
      <c r="Y2969" s="14"/>
      <c r="Z2969" s="14"/>
    </row>
    <row r="2970" spans="1:26" ht="13.2">
      <c r="A2970" s="13"/>
      <c r="B2970" s="14"/>
      <c r="C2970" s="14"/>
      <c r="D2970" s="14"/>
      <c r="E2970" s="14"/>
      <c r="F2970" s="14"/>
      <c r="G2970" s="14"/>
      <c r="H2970" s="14"/>
      <c r="I2970" s="14"/>
      <c r="J2970" s="14"/>
      <c r="K2970" s="14"/>
      <c r="L2970" s="15"/>
      <c r="M2970" s="15"/>
      <c r="N2970" s="15"/>
      <c r="O2970" s="15"/>
      <c r="P2970" s="15"/>
      <c r="Q2970" s="14"/>
      <c r="R2970" s="14"/>
      <c r="S2970" s="14"/>
      <c r="T2970" s="14"/>
      <c r="U2970" s="15"/>
      <c r="V2970" s="14"/>
      <c r="W2970" s="14"/>
      <c r="X2970" s="14"/>
      <c r="Y2970" s="14"/>
      <c r="Z2970" s="14"/>
    </row>
    <row r="2971" spans="1:26" ht="13.2">
      <c r="A2971" s="13"/>
      <c r="B2971" s="14"/>
      <c r="C2971" s="14"/>
      <c r="D2971" s="14"/>
      <c r="E2971" s="14"/>
      <c r="F2971" s="14"/>
      <c r="G2971" s="14"/>
      <c r="H2971" s="14"/>
      <c r="I2971" s="14"/>
      <c r="J2971" s="14"/>
      <c r="K2971" s="14"/>
      <c r="L2971" s="15"/>
      <c r="M2971" s="15"/>
      <c r="N2971" s="15"/>
      <c r="O2971" s="15"/>
      <c r="P2971" s="15"/>
      <c r="Q2971" s="14"/>
      <c r="R2971" s="14"/>
      <c r="S2971" s="14"/>
      <c r="T2971" s="14"/>
      <c r="U2971" s="15"/>
      <c r="V2971" s="14"/>
      <c r="W2971" s="14"/>
      <c r="X2971" s="14"/>
      <c r="Y2971" s="14"/>
      <c r="Z2971" s="14"/>
    </row>
    <row r="2972" spans="1:26" ht="13.2">
      <c r="A2972" s="13"/>
      <c r="B2972" s="14"/>
      <c r="C2972" s="14"/>
      <c r="D2972" s="14"/>
      <c r="E2972" s="14"/>
      <c r="F2972" s="14"/>
      <c r="G2972" s="14"/>
      <c r="H2972" s="14"/>
      <c r="I2972" s="14"/>
      <c r="J2972" s="14"/>
      <c r="K2972" s="14"/>
      <c r="L2972" s="15"/>
      <c r="M2972" s="15"/>
      <c r="N2972" s="15"/>
      <c r="O2972" s="15"/>
      <c r="P2972" s="15"/>
      <c r="Q2972" s="14"/>
      <c r="R2972" s="14"/>
      <c r="S2972" s="14"/>
      <c r="T2972" s="14"/>
      <c r="U2972" s="15"/>
      <c r="V2972" s="14"/>
      <c r="W2972" s="14"/>
      <c r="X2972" s="14"/>
      <c r="Y2972" s="14"/>
      <c r="Z2972" s="14"/>
    </row>
    <row r="2973" spans="1:26" ht="13.2">
      <c r="A2973" s="13"/>
      <c r="B2973" s="14"/>
      <c r="C2973" s="14"/>
      <c r="D2973" s="14"/>
      <c r="E2973" s="14"/>
      <c r="F2973" s="14"/>
      <c r="G2973" s="14"/>
      <c r="H2973" s="14"/>
      <c r="I2973" s="14"/>
      <c r="J2973" s="14"/>
      <c r="K2973" s="14"/>
      <c r="L2973" s="15"/>
      <c r="M2973" s="15"/>
      <c r="N2973" s="15"/>
      <c r="O2973" s="15"/>
      <c r="P2973" s="15"/>
      <c r="Q2973" s="14"/>
      <c r="R2973" s="14"/>
      <c r="S2973" s="14"/>
      <c r="T2973" s="14"/>
      <c r="U2973" s="15"/>
      <c r="V2973" s="14"/>
      <c r="W2973" s="14"/>
      <c r="X2973" s="14"/>
      <c r="Y2973" s="14"/>
      <c r="Z2973" s="14"/>
    </row>
    <row r="2974" spans="1:26" ht="13.2">
      <c r="A2974" s="13"/>
      <c r="B2974" s="14"/>
      <c r="C2974" s="14"/>
      <c r="D2974" s="14"/>
      <c r="E2974" s="14"/>
      <c r="F2974" s="14"/>
      <c r="G2974" s="14"/>
      <c r="H2974" s="14"/>
      <c r="I2974" s="14"/>
      <c r="J2974" s="14"/>
      <c r="K2974" s="14"/>
      <c r="L2974" s="15"/>
      <c r="M2974" s="15"/>
      <c r="N2974" s="15"/>
      <c r="O2974" s="15"/>
      <c r="P2974" s="15"/>
      <c r="Q2974" s="14"/>
      <c r="R2974" s="14"/>
      <c r="S2974" s="14"/>
      <c r="T2974" s="14"/>
      <c r="U2974" s="15"/>
      <c r="V2974" s="14"/>
      <c r="W2974" s="14"/>
      <c r="X2974" s="14"/>
      <c r="Y2974" s="14"/>
      <c r="Z2974" s="14"/>
    </row>
    <row r="2975" spans="1:26" ht="13.2">
      <c r="A2975" s="13"/>
      <c r="B2975" s="14"/>
      <c r="C2975" s="14"/>
      <c r="D2975" s="14"/>
      <c r="E2975" s="14"/>
      <c r="F2975" s="14"/>
      <c r="G2975" s="14"/>
      <c r="H2975" s="14"/>
      <c r="I2975" s="14"/>
      <c r="J2975" s="14"/>
      <c r="K2975" s="14"/>
      <c r="L2975" s="15"/>
      <c r="M2975" s="15"/>
      <c r="N2975" s="15"/>
      <c r="O2975" s="15"/>
      <c r="P2975" s="15"/>
      <c r="Q2975" s="14"/>
      <c r="R2975" s="14"/>
      <c r="S2975" s="14"/>
      <c r="T2975" s="14"/>
      <c r="U2975" s="15"/>
      <c r="V2975" s="14"/>
      <c r="W2975" s="14"/>
      <c r="X2975" s="14"/>
      <c r="Y2975" s="14"/>
      <c r="Z2975" s="14"/>
    </row>
    <row r="2976" spans="1:26" ht="13.2">
      <c r="A2976" s="13"/>
      <c r="B2976" s="14"/>
      <c r="C2976" s="14"/>
      <c r="D2976" s="14"/>
      <c r="E2976" s="14"/>
      <c r="F2976" s="14"/>
      <c r="G2976" s="14"/>
      <c r="H2976" s="14"/>
      <c r="I2976" s="14"/>
      <c r="J2976" s="14"/>
      <c r="K2976" s="14"/>
      <c r="L2976" s="15"/>
      <c r="M2976" s="15"/>
      <c r="N2976" s="15"/>
      <c r="O2976" s="15"/>
      <c r="P2976" s="15"/>
      <c r="Q2976" s="14"/>
      <c r="R2976" s="14"/>
      <c r="S2976" s="14"/>
      <c r="T2976" s="14"/>
      <c r="U2976" s="15"/>
      <c r="V2976" s="14"/>
      <c r="W2976" s="14"/>
      <c r="X2976" s="14"/>
      <c r="Y2976" s="14"/>
      <c r="Z2976" s="14"/>
    </row>
    <row r="2977" spans="1:26" ht="13.2">
      <c r="A2977" s="13"/>
      <c r="B2977" s="14"/>
      <c r="C2977" s="14"/>
      <c r="D2977" s="14"/>
      <c r="E2977" s="14"/>
      <c r="F2977" s="14"/>
      <c r="G2977" s="14"/>
      <c r="H2977" s="14"/>
      <c r="I2977" s="14"/>
      <c r="J2977" s="14"/>
      <c r="K2977" s="14"/>
      <c r="L2977" s="15"/>
      <c r="M2977" s="15"/>
      <c r="N2977" s="15"/>
      <c r="O2977" s="15"/>
      <c r="P2977" s="15"/>
      <c r="Q2977" s="14"/>
      <c r="R2977" s="14"/>
      <c r="S2977" s="14"/>
      <c r="T2977" s="14"/>
      <c r="U2977" s="15"/>
      <c r="V2977" s="14"/>
      <c r="W2977" s="14"/>
      <c r="X2977" s="14"/>
      <c r="Y2977" s="14"/>
      <c r="Z2977" s="14"/>
    </row>
    <row r="2978" spans="1:26" ht="13.2">
      <c r="A2978" s="13"/>
      <c r="B2978" s="14"/>
      <c r="C2978" s="14"/>
      <c r="D2978" s="14"/>
      <c r="E2978" s="14"/>
      <c r="F2978" s="14"/>
      <c r="G2978" s="14"/>
      <c r="H2978" s="14"/>
      <c r="I2978" s="14"/>
      <c r="J2978" s="14"/>
      <c r="K2978" s="14"/>
      <c r="L2978" s="15"/>
      <c r="M2978" s="15"/>
      <c r="N2978" s="15"/>
      <c r="O2978" s="15"/>
      <c r="P2978" s="15"/>
      <c r="Q2978" s="14"/>
      <c r="R2978" s="14"/>
      <c r="S2978" s="14"/>
      <c r="T2978" s="14"/>
      <c r="U2978" s="15"/>
      <c r="V2978" s="14"/>
      <c r="W2978" s="14"/>
      <c r="X2978" s="14"/>
      <c r="Y2978" s="14"/>
      <c r="Z2978" s="14"/>
    </row>
    <row r="2979" spans="1:26" ht="13.2">
      <c r="A2979" s="13"/>
      <c r="B2979" s="14"/>
      <c r="C2979" s="14"/>
      <c r="D2979" s="14"/>
      <c r="E2979" s="14"/>
      <c r="F2979" s="14"/>
      <c r="G2979" s="14"/>
      <c r="H2979" s="14"/>
      <c r="I2979" s="14"/>
      <c r="J2979" s="14"/>
      <c r="K2979" s="14"/>
      <c r="L2979" s="15"/>
      <c r="M2979" s="15"/>
      <c r="N2979" s="15"/>
      <c r="O2979" s="15"/>
      <c r="P2979" s="15"/>
      <c r="Q2979" s="14"/>
      <c r="R2979" s="14"/>
      <c r="S2979" s="14"/>
      <c r="T2979" s="14"/>
      <c r="U2979" s="15"/>
      <c r="V2979" s="14"/>
      <c r="W2979" s="14"/>
      <c r="X2979" s="14"/>
      <c r="Y2979" s="14"/>
      <c r="Z2979" s="14"/>
    </row>
    <row r="2980" spans="1:26" ht="13.2">
      <c r="A2980" s="13"/>
      <c r="B2980" s="14"/>
      <c r="C2980" s="14"/>
      <c r="D2980" s="14"/>
      <c r="E2980" s="14"/>
      <c r="F2980" s="14"/>
      <c r="G2980" s="14"/>
      <c r="H2980" s="14"/>
      <c r="I2980" s="14"/>
      <c r="J2980" s="14"/>
      <c r="K2980" s="14"/>
      <c r="L2980" s="15"/>
      <c r="M2980" s="15"/>
      <c r="N2980" s="15"/>
      <c r="O2980" s="15"/>
      <c r="P2980" s="15"/>
      <c r="Q2980" s="14"/>
      <c r="R2980" s="14"/>
      <c r="S2980" s="14"/>
      <c r="T2980" s="14"/>
      <c r="U2980" s="15"/>
      <c r="V2980" s="14"/>
      <c r="W2980" s="14"/>
      <c r="X2980" s="14"/>
      <c r="Y2980" s="14"/>
      <c r="Z2980" s="14"/>
    </row>
    <row r="2981" spans="1:26" ht="13.2">
      <c r="A2981" s="13"/>
      <c r="B2981" s="14"/>
      <c r="C2981" s="14"/>
      <c r="D2981" s="14"/>
      <c r="E2981" s="14"/>
      <c r="F2981" s="14"/>
      <c r="G2981" s="14"/>
      <c r="H2981" s="14"/>
      <c r="I2981" s="14"/>
      <c r="J2981" s="14"/>
      <c r="K2981" s="14"/>
      <c r="L2981" s="15"/>
      <c r="M2981" s="15"/>
      <c r="N2981" s="15"/>
      <c r="O2981" s="15"/>
      <c r="P2981" s="15"/>
      <c r="Q2981" s="14"/>
      <c r="R2981" s="14"/>
      <c r="S2981" s="14"/>
      <c r="T2981" s="14"/>
      <c r="U2981" s="15"/>
      <c r="V2981" s="14"/>
      <c r="W2981" s="14"/>
      <c r="X2981" s="14"/>
      <c r="Y2981" s="14"/>
      <c r="Z2981" s="14"/>
    </row>
    <row r="2982" spans="1:26" ht="13.2">
      <c r="A2982" s="13"/>
      <c r="B2982" s="14"/>
      <c r="C2982" s="14"/>
      <c r="D2982" s="14"/>
      <c r="E2982" s="14"/>
      <c r="F2982" s="14"/>
      <c r="G2982" s="14"/>
      <c r="H2982" s="14"/>
      <c r="I2982" s="14"/>
      <c r="J2982" s="14"/>
      <c r="K2982" s="14"/>
      <c r="L2982" s="15"/>
      <c r="M2982" s="15"/>
      <c r="N2982" s="15"/>
      <c r="O2982" s="15"/>
      <c r="P2982" s="15"/>
      <c r="Q2982" s="14"/>
      <c r="R2982" s="14"/>
      <c r="S2982" s="14"/>
      <c r="T2982" s="14"/>
      <c r="U2982" s="15"/>
      <c r="V2982" s="14"/>
      <c r="W2982" s="14"/>
      <c r="X2982" s="14"/>
      <c r="Y2982" s="14"/>
      <c r="Z2982" s="14"/>
    </row>
    <row r="2983" spans="1:26" ht="13.2">
      <c r="A2983" s="13"/>
      <c r="B2983" s="14"/>
      <c r="C2983" s="14"/>
      <c r="D2983" s="14"/>
      <c r="E2983" s="14"/>
      <c r="F2983" s="14"/>
      <c r="G2983" s="14"/>
      <c r="H2983" s="14"/>
      <c r="I2983" s="14"/>
      <c r="J2983" s="14"/>
      <c r="K2983" s="14"/>
      <c r="L2983" s="15"/>
      <c r="M2983" s="15"/>
      <c r="N2983" s="15"/>
      <c r="O2983" s="15"/>
      <c r="P2983" s="15"/>
      <c r="Q2983" s="14"/>
      <c r="R2983" s="14"/>
      <c r="S2983" s="14"/>
      <c r="T2983" s="14"/>
      <c r="U2983" s="15"/>
      <c r="V2983" s="14"/>
      <c r="W2983" s="14"/>
      <c r="X2983" s="14"/>
      <c r="Y2983" s="14"/>
      <c r="Z2983" s="14"/>
    </row>
    <row r="2984" spans="1:26" ht="13.2">
      <c r="A2984" s="13"/>
      <c r="B2984" s="14"/>
      <c r="C2984" s="14"/>
      <c r="D2984" s="14"/>
      <c r="E2984" s="14"/>
      <c r="F2984" s="14"/>
      <c r="G2984" s="14"/>
      <c r="H2984" s="14"/>
      <c r="I2984" s="14"/>
      <c r="J2984" s="14"/>
      <c r="K2984" s="14"/>
      <c r="L2984" s="15"/>
      <c r="M2984" s="15"/>
      <c r="N2984" s="15"/>
      <c r="O2984" s="15"/>
      <c r="P2984" s="15"/>
      <c r="Q2984" s="14"/>
      <c r="R2984" s="14"/>
      <c r="S2984" s="14"/>
      <c r="T2984" s="14"/>
      <c r="U2984" s="15"/>
      <c r="V2984" s="14"/>
      <c r="W2984" s="14"/>
      <c r="X2984" s="14"/>
      <c r="Y2984" s="14"/>
      <c r="Z2984" s="14"/>
    </row>
    <row r="2985" spans="1:26" ht="13.2">
      <c r="A2985" s="13"/>
      <c r="B2985" s="14"/>
      <c r="C2985" s="14"/>
      <c r="D2985" s="14"/>
      <c r="E2985" s="14"/>
      <c r="F2985" s="14"/>
      <c r="G2985" s="14"/>
      <c r="H2985" s="14"/>
      <c r="I2985" s="14"/>
      <c r="J2985" s="14"/>
      <c r="K2985" s="14"/>
      <c r="L2985" s="15"/>
      <c r="M2985" s="15"/>
      <c r="N2985" s="15"/>
      <c r="O2985" s="15"/>
      <c r="P2985" s="15"/>
      <c r="Q2985" s="14"/>
      <c r="R2985" s="14"/>
      <c r="S2985" s="14"/>
      <c r="T2985" s="14"/>
      <c r="U2985" s="15"/>
      <c r="V2985" s="14"/>
      <c r="W2985" s="14"/>
      <c r="X2985" s="14"/>
      <c r="Y2985" s="14"/>
      <c r="Z2985" s="14"/>
    </row>
    <row r="2986" spans="1:26" ht="13.2">
      <c r="A2986" s="13"/>
      <c r="B2986" s="14"/>
      <c r="C2986" s="14"/>
      <c r="D2986" s="14"/>
      <c r="E2986" s="14"/>
      <c r="F2986" s="14"/>
      <c r="G2986" s="14"/>
      <c r="H2986" s="14"/>
      <c r="I2986" s="14"/>
      <c r="J2986" s="14"/>
      <c r="K2986" s="14"/>
      <c r="L2986" s="15"/>
      <c r="M2986" s="15"/>
      <c r="N2986" s="15"/>
      <c r="O2986" s="15"/>
      <c r="P2986" s="15"/>
      <c r="Q2986" s="14"/>
      <c r="R2986" s="14"/>
      <c r="S2986" s="14"/>
      <c r="T2986" s="14"/>
      <c r="U2986" s="15"/>
      <c r="V2986" s="14"/>
      <c r="W2986" s="14"/>
      <c r="X2986" s="14"/>
      <c r="Y2986" s="14"/>
      <c r="Z2986" s="14"/>
    </row>
    <row r="2987" spans="1:26" ht="13.2">
      <c r="A2987" s="13"/>
      <c r="B2987" s="14"/>
      <c r="C2987" s="14"/>
      <c r="D2987" s="14"/>
      <c r="E2987" s="14"/>
      <c r="F2987" s="14"/>
      <c r="G2987" s="14"/>
      <c r="H2987" s="14"/>
      <c r="I2987" s="14"/>
      <c r="J2987" s="14"/>
      <c r="K2987" s="14"/>
      <c r="L2987" s="15"/>
      <c r="M2987" s="15"/>
      <c r="N2987" s="15"/>
      <c r="O2987" s="15"/>
      <c r="P2987" s="15"/>
      <c r="Q2987" s="14"/>
      <c r="R2987" s="14"/>
      <c r="S2987" s="14"/>
      <c r="T2987" s="14"/>
      <c r="U2987" s="15"/>
      <c r="V2987" s="14"/>
      <c r="W2987" s="14"/>
      <c r="X2987" s="14"/>
      <c r="Y2987" s="14"/>
      <c r="Z2987" s="14"/>
    </row>
    <row r="2988" spans="1:26" ht="13.2">
      <c r="A2988" s="13"/>
      <c r="B2988" s="14"/>
      <c r="C2988" s="14"/>
      <c r="D2988" s="14"/>
      <c r="E2988" s="14"/>
      <c r="F2988" s="14"/>
      <c r="G2988" s="14"/>
      <c r="H2988" s="14"/>
      <c r="I2988" s="14"/>
      <c r="J2988" s="14"/>
      <c r="K2988" s="14"/>
      <c r="L2988" s="15"/>
      <c r="M2988" s="15"/>
      <c r="N2988" s="15"/>
      <c r="O2988" s="15"/>
      <c r="P2988" s="15"/>
      <c r="Q2988" s="14"/>
      <c r="R2988" s="14"/>
      <c r="S2988" s="14"/>
      <c r="T2988" s="14"/>
      <c r="U2988" s="15"/>
      <c r="V2988" s="14"/>
      <c r="W2988" s="14"/>
      <c r="X2988" s="14"/>
      <c r="Y2988" s="14"/>
      <c r="Z2988" s="14"/>
    </row>
    <row r="2989" spans="1:26" ht="13.2">
      <c r="A2989" s="13"/>
      <c r="B2989" s="14"/>
      <c r="C2989" s="14"/>
      <c r="D2989" s="14"/>
      <c r="E2989" s="14"/>
      <c r="F2989" s="14"/>
      <c r="G2989" s="14"/>
      <c r="H2989" s="14"/>
      <c r="I2989" s="14"/>
      <c r="J2989" s="14"/>
      <c r="K2989" s="14"/>
      <c r="L2989" s="15"/>
      <c r="M2989" s="15"/>
      <c r="N2989" s="15"/>
      <c r="O2989" s="15"/>
      <c r="P2989" s="15"/>
      <c r="Q2989" s="14"/>
      <c r="R2989" s="14"/>
      <c r="S2989" s="14"/>
      <c r="T2989" s="14"/>
      <c r="U2989" s="15"/>
      <c r="V2989" s="14"/>
      <c r="W2989" s="14"/>
      <c r="X2989" s="14"/>
      <c r="Y2989" s="14"/>
      <c r="Z2989" s="14"/>
    </row>
    <row r="2990" spans="1:26" ht="13.2">
      <c r="A2990" s="13"/>
      <c r="B2990" s="14"/>
      <c r="C2990" s="14"/>
      <c r="D2990" s="14"/>
      <c r="E2990" s="14"/>
      <c r="F2990" s="14"/>
      <c r="G2990" s="14"/>
      <c r="H2990" s="14"/>
      <c r="I2990" s="14"/>
      <c r="J2990" s="14"/>
      <c r="K2990" s="14"/>
      <c r="L2990" s="15"/>
      <c r="M2990" s="15"/>
      <c r="N2990" s="15"/>
      <c r="O2990" s="15"/>
      <c r="P2990" s="15"/>
      <c r="Q2990" s="14"/>
      <c r="R2990" s="14"/>
      <c r="S2990" s="14"/>
      <c r="T2990" s="14"/>
      <c r="U2990" s="15"/>
      <c r="V2990" s="14"/>
      <c r="W2990" s="14"/>
      <c r="X2990" s="14"/>
      <c r="Y2990" s="14"/>
      <c r="Z2990" s="14"/>
    </row>
    <row r="2991" spans="1:26" ht="13.2">
      <c r="A2991" s="13"/>
      <c r="B2991" s="14"/>
      <c r="C2991" s="14"/>
      <c r="D2991" s="14"/>
      <c r="E2991" s="14"/>
      <c r="F2991" s="14"/>
      <c r="G2991" s="14"/>
      <c r="H2991" s="14"/>
      <c r="I2991" s="14"/>
      <c r="J2991" s="14"/>
      <c r="K2991" s="14"/>
      <c r="L2991" s="15"/>
      <c r="M2991" s="15"/>
      <c r="N2991" s="15"/>
      <c r="O2991" s="15"/>
      <c r="P2991" s="15"/>
      <c r="Q2991" s="14"/>
      <c r="R2991" s="14"/>
      <c r="S2991" s="14"/>
      <c r="T2991" s="14"/>
      <c r="U2991" s="15"/>
      <c r="V2991" s="14"/>
      <c r="W2991" s="14"/>
      <c r="X2991" s="14"/>
      <c r="Y2991" s="14"/>
      <c r="Z2991" s="14"/>
    </row>
    <row r="2992" spans="1:26" ht="13.2">
      <c r="A2992" s="13"/>
      <c r="B2992" s="14"/>
      <c r="C2992" s="14"/>
      <c r="D2992" s="14"/>
      <c r="E2992" s="14"/>
      <c r="F2992" s="14"/>
      <c r="G2992" s="14"/>
      <c r="H2992" s="14"/>
      <c r="I2992" s="14"/>
      <c r="J2992" s="14"/>
      <c r="K2992" s="14"/>
      <c r="L2992" s="15"/>
      <c r="M2992" s="15"/>
      <c r="N2992" s="15"/>
      <c r="O2992" s="15"/>
      <c r="P2992" s="15"/>
      <c r="Q2992" s="14"/>
      <c r="R2992" s="14"/>
      <c r="S2992" s="14"/>
      <c r="T2992" s="14"/>
      <c r="U2992" s="15"/>
      <c r="V2992" s="14"/>
      <c r="W2992" s="14"/>
      <c r="X2992" s="14"/>
      <c r="Y2992" s="14"/>
      <c r="Z2992" s="14"/>
    </row>
    <row r="2993" spans="1:26" ht="13.2">
      <c r="A2993" s="13"/>
      <c r="B2993" s="14"/>
      <c r="C2993" s="14"/>
      <c r="D2993" s="14"/>
      <c r="E2993" s="14"/>
      <c r="F2993" s="14"/>
      <c r="G2993" s="14"/>
      <c r="H2993" s="14"/>
      <c r="I2993" s="14"/>
      <c r="J2993" s="14"/>
      <c r="K2993" s="14"/>
      <c r="L2993" s="15"/>
      <c r="M2993" s="15"/>
      <c r="N2993" s="15"/>
      <c r="O2993" s="15"/>
      <c r="P2993" s="15"/>
      <c r="Q2993" s="14"/>
      <c r="R2993" s="14"/>
      <c r="S2993" s="14"/>
      <c r="T2993" s="14"/>
      <c r="U2993" s="15"/>
      <c r="V2993" s="14"/>
      <c r="W2993" s="14"/>
      <c r="X2993" s="14"/>
      <c r="Y2993" s="14"/>
      <c r="Z2993" s="14"/>
    </row>
    <row r="2994" spans="1:26" ht="13.2">
      <c r="A2994" s="13"/>
      <c r="B2994" s="14"/>
      <c r="C2994" s="14"/>
      <c r="D2994" s="14"/>
      <c r="E2994" s="14"/>
      <c r="F2994" s="14"/>
      <c r="G2994" s="14"/>
      <c r="H2994" s="14"/>
      <c r="I2994" s="14"/>
      <c r="J2994" s="14"/>
      <c r="K2994" s="14"/>
      <c r="L2994" s="15"/>
      <c r="M2994" s="15"/>
      <c r="N2994" s="15"/>
      <c r="O2994" s="15"/>
      <c r="P2994" s="15"/>
      <c r="Q2994" s="14"/>
      <c r="R2994" s="14"/>
      <c r="S2994" s="14"/>
      <c r="T2994" s="14"/>
      <c r="U2994" s="15"/>
      <c r="V2994" s="14"/>
      <c r="W2994" s="14"/>
      <c r="X2994" s="14"/>
      <c r="Y2994" s="14"/>
      <c r="Z2994" s="14"/>
    </row>
    <row r="2995" spans="1:26" ht="13.2">
      <c r="A2995" s="13"/>
      <c r="B2995" s="14"/>
      <c r="C2995" s="14"/>
      <c r="D2995" s="14"/>
      <c r="E2995" s="14"/>
      <c r="F2995" s="14"/>
      <c r="G2995" s="14"/>
      <c r="H2995" s="14"/>
      <c r="I2995" s="14"/>
      <c r="J2995" s="14"/>
      <c r="K2995" s="14"/>
      <c r="L2995" s="15"/>
      <c r="M2995" s="15"/>
      <c r="N2995" s="15"/>
      <c r="O2995" s="15"/>
      <c r="P2995" s="15"/>
      <c r="Q2995" s="14"/>
      <c r="R2995" s="14"/>
      <c r="S2995" s="14"/>
      <c r="T2995" s="14"/>
      <c r="U2995" s="15"/>
      <c r="V2995" s="14"/>
      <c r="W2995" s="14"/>
      <c r="X2995" s="14"/>
      <c r="Y2995" s="14"/>
      <c r="Z2995" s="14"/>
    </row>
    <row r="2996" spans="1:26" ht="13.2">
      <c r="A2996" s="13"/>
      <c r="B2996" s="14"/>
      <c r="C2996" s="14"/>
      <c r="D2996" s="14"/>
      <c r="E2996" s="14"/>
      <c r="F2996" s="14"/>
      <c r="G2996" s="14"/>
      <c r="H2996" s="14"/>
      <c r="I2996" s="14"/>
      <c r="J2996" s="14"/>
      <c r="K2996" s="14"/>
      <c r="L2996" s="15"/>
      <c r="M2996" s="15"/>
      <c r="N2996" s="15"/>
      <c r="O2996" s="15"/>
      <c r="P2996" s="15"/>
      <c r="Q2996" s="14"/>
      <c r="R2996" s="14"/>
      <c r="S2996" s="14"/>
      <c r="T2996" s="14"/>
      <c r="U2996" s="15"/>
      <c r="V2996" s="14"/>
      <c r="W2996" s="14"/>
      <c r="X2996" s="14"/>
      <c r="Y2996" s="14"/>
      <c r="Z2996" s="14"/>
    </row>
    <row r="2997" spans="1:26" ht="13.2">
      <c r="A2997" s="13"/>
      <c r="B2997" s="14"/>
      <c r="C2997" s="14"/>
      <c r="D2997" s="14"/>
      <c r="E2997" s="14"/>
      <c r="F2997" s="14"/>
      <c r="G2997" s="14"/>
      <c r="H2997" s="14"/>
      <c r="I2997" s="14"/>
      <c r="J2997" s="14"/>
      <c r="K2997" s="14"/>
      <c r="L2997" s="15"/>
      <c r="M2997" s="15"/>
      <c r="N2997" s="15"/>
      <c r="O2997" s="15"/>
      <c r="P2997" s="15"/>
      <c r="Q2997" s="14"/>
      <c r="R2997" s="14"/>
      <c r="S2997" s="14"/>
      <c r="T2997" s="14"/>
      <c r="U2997" s="15"/>
      <c r="V2997" s="14"/>
      <c r="W2997" s="14"/>
      <c r="X2997" s="14"/>
      <c r="Y2997" s="14"/>
      <c r="Z2997" s="14"/>
    </row>
    <row r="2998" spans="1:26" ht="13.2">
      <c r="A2998" s="13"/>
      <c r="B2998" s="14"/>
      <c r="C2998" s="14"/>
      <c r="D2998" s="14"/>
      <c r="E2998" s="14"/>
      <c r="F2998" s="14"/>
      <c r="G2998" s="14"/>
      <c r="H2998" s="14"/>
      <c r="I2998" s="14"/>
      <c r="J2998" s="14"/>
      <c r="K2998" s="14"/>
      <c r="L2998" s="15"/>
      <c r="M2998" s="15"/>
      <c r="N2998" s="15"/>
      <c r="O2998" s="15"/>
      <c r="P2998" s="15"/>
      <c r="Q2998" s="14"/>
      <c r="R2998" s="14"/>
      <c r="S2998" s="14"/>
      <c r="T2998" s="14"/>
      <c r="U2998" s="15"/>
      <c r="V2998" s="14"/>
      <c r="W2998" s="14"/>
      <c r="X2998" s="14"/>
      <c r="Y2998" s="14"/>
      <c r="Z2998" s="14"/>
    </row>
    <row r="2999" spans="1:26" ht="13.2">
      <c r="A2999" s="13"/>
      <c r="B2999" s="14"/>
      <c r="C2999" s="14"/>
      <c r="D2999" s="14"/>
      <c r="E2999" s="14"/>
      <c r="F2999" s="14"/>
      <c r="G2999" s="14"/>
      <c r="H2999" s="14"/>
      <c r="I2999" s="14"/>
      <c r="J2999" s="14"/>
      <c r="K2999" s="14"/>
      <c r="L2999" s="15"/>
      <c r="M2999" s="15"/>
      <c r="N2999" s="15"/>
      <c r="O2999" s="15"/>
      <c r="P2999" s="15"/>
      <c r="Q2999" s="14"/>
      <c r="R2999" s="14"/>
      <c r="S2999" s="14"/>
      <c r="T2999" s="14"/>
      <c r="U2999" s="15"/>
      <c r="V2999" s="14"/>
      <c r="W2999" s="14"/>
      <c r="X2999" s="14"/>
      <c r="Y2999" s="14"/>
      <c r="Z2999" s="14"/>
    </row>
    <row r="3000" spans="1:26" ht="13.2">
      <c r="A3000" s="13"/>
      <c r="B3000" s="14"/>
      <c r="C3000" s="14"/>
      <c r="D3000" s="14"/>
      <c r="E3000" s="14"/>
      <c r="F3000" s="14"/>
      <c r="G3000" s="14"/>
      <c r="H3000" s="14"/>
      <c r="I3000" s="14"/>
      <c r="J3000" s="14"/>
      <c r="K3000" s="14"/>
      <c r="L3000" s="15"/>
      <c r="M3000" s="15"/>
      <c r="N3000" s="15"/>
      <c r="O3000" s="15"/>
      <c r="P3000" s="15"/>
      <c r="Q3000" s="14"/>
      <c r="R3000" s="14"/>
      <c r="S3000" s="14"/>
      <c r="T3000" s="14"/>
      <c r="U3000" s="15"/>
      <c r="V3000" s="14"/>
      <c r="W3000" s="14"/>
      <c r="X3000" s="14"/>
      <c r="Y3000" s="14"/>
      <c r="Z3000" s="14"/>
    </row>
    <row r="3001" spans="1:26" ht="13.2">
      <c r="A3001" s="13"/>
      <c r="B3001" s="14"/>
      <c r="C3001" s="14"/>
      <c r="D3001" s="14"/>
      <c r="E3001" s="14"/>
      <c r="F3001" s="14"/>
      <c r="G3001" s="14"/>
      <c r="H3001" s="14"/>
      <c r="I3001" s="14"/>
      <c r="J3001" s="14"/>
      <c r="K3001" s="14"/>
      <c r="L3001" s="15"/>
      <c r="M3001" s="15"/>
      <c r="N3001" s="15"/>
      <c r="O3001" s="15"/>
      <c r="P3001" s="15"/>
      <c r="Q3001" s="14"/>
      <c r="R3001" s="14"/>
      <c r="S3001" s="14"/>
      <c r="T3001" s="14"/>
      <c r="U3001" s="15"/>
      <c r="V3001" s="14"/>
      <c r="W3001" s="14"/>
      <c r="X3001" s="14"/>
      <c r="Y3001" s="14"/>
      <c r="Z3001" s="14"/>
    </row>
    <row r="3002" spans="1:26" ht="13.2">
      <c r="A3002" s="13"/>
      <c r="B3002" s="14"/>
      <c r="C3002" s="14"/>
      <c r="D3002" s="14"/>
      <c r="E3002" s="14"/>
      <c r="F3002" s="14"/>
      <c r="G3002" s="14"/>
      <c r="H3002" s="14"/>
      <c r="I3002" s="14"/>
      <c r="J3002" s="14"/>
      <c r="K3002" s="14"/>
      <c r="L3002" s="15"/>
      <c r="M3002" s="15"/>
      <c r="N3002" s="15"/>
      <c r="O3002" s="15"/>
      <c r="P3002" s="15"/>
      <c r="Q3002" s="14"/>
      <c r="R3002" s="14"/>
      <c r="S3002" s="14"/>
      <c r="T3002" s="14"/>
      <c r="U3002" s="15"/>
      <c r="V3002" s="14"/>
      <c r="W3002" s="14"/>
      <c r="X3002" s="14"/>
      <c r="Y3002" s="14"/>
      <c r="Z3002" s="14"/>
    </row>
    <row r="3003" spans="1:26" ht="13.2">
      <c r="A3003" s="13"/>
      <c r="B3003" s="14"/>
      <c r="C3003" s="14"/>
      <c r="D3003" s="14"/>
      <c r="E3003" s="14"/>
      <c r="F3003" s="14"/>
      <c r="G3003" s="14"/>
      <c r="H3003" s="14"/>
      <c r="I3003" s="14"/>
      <c r="J3003" s="14"/>
      <c r="K3003" s="14"/>
      <c r="L3003" s="15"/>
      <c r="M3003" s="15"/>
      <c r="N3003" s="15"/>
      <c r="O3003" s="15"/>
      <c r="P3003" s="15"/>
      <c r="Q3003" s="14"/>
      <c r="R3003" s="14"/>
      <c r="S3003" s="14"/>
      <c r="T3003" s="14"/>
      <c r="U3003" s="15"/>
      <c r="V3003" s="14"/>
      <c r="W3003" s="14"/>
      <c r="X3003" s="14"/>
      <c r="Y3003" s="14"/>
      <c r="Z3003" s="14"/>
    </row>
    <row r="3004" spans="1:26" ht="13.2">
      <c r="A3004" s="13"/>
      <c r="B3004" s="14"/>
      <c r="C3004" s="14"/>
      <c r="D3004" s="14"/>
      <c r="E3004" s="14"/>
      <c r="F3004" s="14"/>
      <c r="G3004" s="14"/>
      <c r="H3004" s="14"/>
      <c r="I3004" s="14"/>
      <c r="J3004" s="14"/>
      <c r="K3004" s="14"/>
      <c r="L3004" s="15"/>
      <c r="M3004" s="15"/>
      <c r="N3004" s="15"/>
      <c r="O3004" s="15"/>
      <c r="P3004" s="15"/>
      <c r="Q3004" s="14"/>
      <c r="R3004" s="14"/>
      <c r="S3004" s="14"/>
      <c r="T3004" s="14"/>
      <c r="U3004" s="15"/>
      <c r="V3004" s="14"/>
      <c r="W3004" s="14"/>
      <c r="X3004" s="14"/>
      <c r="Y3004" s="14"/>
      <c r="Z3004" s="14"/>
    </row>
    <row r="3005" spans="1:26" ht="13.2">
      <c r="A3005" s="13"/>
      <c r="B3005" s="14"/>
      <c r="C3005" s="14"/>
      <c r="D3005" s="14"/>
      <c r="E3005" s="14"/>
      <c r="F3005" s="14"/>
      <c r="G3005" s="14"/>
      <c r="H3005" s="14"/>
      <c r="I3005" s="14"/>
      <c r="J3005" s="14"/>
      <c r="K3005" s="14"/>
      <c r="L3005" s="15"/>
      <c r="M3005" s="15"/>
      <c r="N3005" s="15"/>
      <c r="O3005" s="15"/>
      <c r="P3005" s="15"/>
      <c r="Q3005" s="14"/>
      <c r="R3005" s="14"/>
      <c r="S3005" s="14"/>
      <c r="T3005" s="14"/>
      <c r="U3005" s="15"/>
      <c r="V3005" s="14"/>
      <c r="W3005" s="14"/>
      <c r="X3005" s="14"/>
      <c r="Y3005" s="14"/>
      <c r="Z3005" s="14"/>
    </row>
    <row r="3006" spans="1:26" ht="13.2">
      <c r="A3006" s="13"/>
      <c r="B3006" s="14"/>
      <c r="C3006" s="14"/>
      <c r="D3006" s="14"/>
      <c r="E3006" s="14"/>
      <c r="F3006" s="14"/>
      <c r="G3006" s="14"/>
      <c r="H3006" s="14"/>
      <c r="I3006" s="14"/>
      <c r="J3006" s="14"/>
      <c r="K3006" s="14"/>
      <c r="L3006" s="15"/>
      <c r="M3006" s="15"/>
      <c r="N3006" s="15"/>
      <c r="O3006" s="15"/>
      <c r="P3006" s="15"/>
      <c r="Q3006" s="14"/>
      <c r="R3006" s="14"/>
      <c r="S3006" s="14"/>
      <c r="T3006" s="14"/>
      <c r="U3006" s="15"/>
      <c r="V3006" s="14"/>
      <c r="W3006" s="14"/>
      <c r="X3006" s="14"/>
      <c r="Y3006" s="14"/>
      <c r="Z3006" s="14"/>
    </row>
    <row r="3007" spans="1:26" ht="13.2">
      <c r="A3007" s="13"/>
      <c r="B3007" s="14"/>
      <c r="C3007" s="14"/>
      <c r="D3007" s="14"/>
      <c r="E3007" s="14"/>
      <c r="F3007" s="14"/>
      <c r="G3007" s="14"/>
      <c r="H3007" s="14"/>
      <c r="I3007" s="14"/>
      <c r="J3007" s="14"/>
      <c r="K3007" s="14"/>
      <c r="L3007" s="15"/>
      <c r="M3007" s="15"/>
      <c r="N3007" s="15"/>
      <c r="O3007" s="15"/>
      <c r="P3007" s="15"/>
      <c r="Q3007" s="14"/>
      <c r="R3007" s="14"/>
      <c r="S3007" s="14"/>
      <c r="T3007" s="14"/>
      <c r="U3007" s="15"/>
      <c r="V3007" s="14"/>
      <c r="W3007" s="14"/>
      <c r="X3007" s="14"/>
      <c r="Y3007" s="14"/>
      <c r="Z3007" s="14"/>
    </row>
    <row r="3008" spans="1:26" ht="13.2">
      <c r="A3008" s="13"/>
      <c r="B3008" s="14"/>
      <c r="C3008" s="14"/>
      <c r="D3008" s="14"/>
      <c r="E3008" s="14"/>
      <c r="F3008" s="14"/>
      <c r="G3008" s="14"/>
      <c r="H3008" s="14"/>
      <c r="I3008" s="14"/>
      <c r="J3008" s="14"/>
      <c r="K3008" s="14"/>
      <c r="L3008" s="15"/>
      <c r="M3008" s="15"/>
      <c r="N3008" s="15"/>
      <c r="O3008" s="15"/>
      <c r="P3008" s="15"/>
      <c r="Q3008" s="14"/>
      <c r="R3008" s="14"/>
      <c r="S3008" s="14"/>
      <c r="T3008" s="14"/>
      <c r="U3008" s="15"/>
      <c r="V3008" s="14"/>
      <c r="W3008" s="14"/>
      <c r="X3008" s="14"/>
      <c r="Y3008" s="14"/>
      <c r="Z3008" s="14"/>
    </row>
    <row r="3009" spans="1:26" ht="13.2">
      <c r="A3009" s="13"/>
      <c r="B3009" s="14"/>
      <c r="C3009" s="14"/>
      <c r="D3009" s="14"/>
      <c r="E3009" s="14"/>
      <c r="F3009" s="14"/>
      <c r="G3009" s="14"/>
      <c r="H3009" s="14"/>
      <c r="I3009" s="14"/>
      <c r="J3009" s="14"/>
      <c r="K3009" s="14"/>
      <c r="L3009" s="15"/>
      <c r="M3009" s="15"/>
      <c r="N3009" s="15"/>
      <c r="O3009" s="15"/>
      <c r="P3009" s="15"/>
      <c r="Q3009" s="14"/>
      <c r="R3009" s="14"/>
      <c r="S3009" s="14"/>
      <c r="T3009" s="14"/>
      <c r="U3009" s="15"/>
      <c r="V3009" s="14"/>
      <c r="W3009" s="14"/>
      <c r="X3009" s="14"/>
      <c r="Y3009" s="14"/>
      <c r="Z3009" s="14"/>
    </row>
    <row r="3010" spans="1:26" ht="13.2">
      <c r="A3010" s="13"/>
      <c r="B3010" s="14"/>
      <c r="C3010" s="14"/>
      <c r="D3010" s="14"/>
      <c r="E3010" s="14"/>
      <c r="F3010" s="14"/>
      <c r="G3010" s="14"/>
      <c r="H3010" s="14"/>
      <c r="I3010" s="14"/>
      <c r="J3010" s="14"/>
      <c r="K3010" s="14"/>
      <c r="L3010" s="15"/>
      <c r="M3010" s="15"/>
      <c r="N3010" s="15"/>
      <c r="O3010" s="15"/>
      <c r="P3010" s="15"/>
      <c r="Q3010" s="14"/>
      <c r="R3010" s="14"/>
      <c r="S3010" s="14"/>
      <c r="T3010" s="14"/>
      <c r="U3010" s="15"/>
      <c r="V3010" s="14"/>
      <c r="W3010" s="14"/>
      <c r="X3010" s="14"/>
      <c r="Y3010" s="14"/>
      <c r="Z3010" s="14"/>
    </row>
    <row r="3011" spans="1:26" ht="13.2">
      <c r="A3011" s="13"/>
      <c r="B3011" s="14"/>
      <c r="C3011" s="14"/>
      <c r="D3011" s="14"/>
      <c r="E3011" s="14"/>
      <c r="F3011" s="14"/>
      <c r="G3011" s="14"/>
      <c r="H3011" s="14"/>
      <c r="I3011" s="14"/>
      <c r="J3011" s="14"/>
      <c r="K3011" s="14"/>
      <c r="L3011" s="15"/>
      <c r="M3011" s="15"/>
      <c r="N3011" s="15"/>
      <c r="O3011" s="15"/>
      <c r="P3011" s="15"/>
      <c r="Q3011" s="14"/>
      <c r="R3011" s="14"/>
      <c r="S3011" s="14"/>
      <c r="T3011" s="14"/>
      <c r="U3011" s="15"/>
      <c r="V3011" s="14"/>
      <c r="W3011" s="14"/>
      <c r="X3011" s="14"/>
      <c r="Y3011" s="14"/>
      <c r="Z3011" s="14"/>
    </row>
    <row r="3012" spans="1:26" ht="13.2">
      <c r="A3012" s="13"/>
      <c r="B3012" s="14"/>
      <c r="C3012" s="14"/>
      <c r="D3012" s="14"/>
      <c r="E3012" s="14"/>
      <c r="F3012" s="14"/>
      <c r="G3012" s="14"/>
      <c r="H3012" s="14"/>
      <c r="I3012" s="14"/>
      <c r="J3012" s="14"/>
      <c r="K3012" s="14"/>
      <c r="L3012" s="15"/>
      <c r="M3012" s="15"/>
      <c r="N3012" s="15"/>
      <c r="O3012" s="15"/>
      <c r="P3012" s="15"/>
      <c r="Q3012" s="14"/>
      <c r="R3012" s="14"/>
      <c r="S3012" s="14"/>
      <c r="T3012" s="14"/>
      <c r="U3012" s="15"/>
      <c r="V3012" s="14"/>
      <c r="W3012" s="14"/>
      <c r="X3012" s="14"/>
      <c r="Y3012" s="14"/>
      <c r="Z3012" s="14"/>
    </row>
    <row r="3013" spans="1:26" ht="13.2">
      <c r="A3013" s="13"/>
      <c r="B3013" s="14"/>
      <c r="C3013" s="14"/>
      <c r="D3013" s="14"/>
      <c r="E3013" s="14"/>
      <c r="F3013" s="14"/>
      <c r="G3013" s="14"/>
      <c r="H3013" s="14"/>
      <c r="I3013" s="14"/>
      <c r="J3013" s="14"/>
      <c r="K3013" s="14"/>
      <c r="L3013" s="15"/>
      <c r="M3013" s="15"/>
      <c r="N3013" s="15"/>
      <c r="O3013" s="15"/>
      <c r="P3013" s="15"/>
      <c r="Q3013" s="14"/>
      <c r="R3013" s="14"/>
      <c r="S3013" s="14"/>
      <c r="T3013" s="14"/>
      <c r="U3013" s="15"/>
      <c r="V3013" s="14"/>
      <c r="W3013" s="14"/>
      <c r="X3013" s="14"/>
      <c r="Y3013" s="14"/>
      <c r="Z3013" s="14"/>
    </row>
    <row r="3014" spans="1:26" ht="13.2">
      <c r="A3014" s="13"/>
      <c r="B3014" s="14"/>
      <c r="C3014" s="14"/>
      <c r="D3014" s="14"/>
      <c r="E3014" s="14"/>
      <c r="F3014" s="14"/>
      <c r="G3014" s="14"/>
      <c r="H3014" s="14"/>
      <c r="I3014" s="14"/>
      <c r="J3014" s="14"/>
      <c r="K3014" s="14"/>
      <c r="L3014" s="15"/>
      <c r="M3014" s="15"/>
      <c r="N3014" s="15"/>
      <c r="O3014" s="15"/>
      <c r="P3014" s="15"/>
      <c r="Q3014" s="14"/>
      <c r="R3014" s="14"/>
      <c r="S3014" s="14"/>
      <c r="T3014" s="14"/>
      <c r="U3014" s="15"/>
      <c r="V3014" s="14"/>
      <c r="W3014" s="14"/>
      <c r="X3014" s="14"/>
      <c r="Y3014" s="14"/>
      <c r="Z3014" s="14"/>
    </row>
    <row r="3015" spans="1:26" ht="13.2">
      <c r="A3015" s="13"/>
      <c r="B3015" s="14"/>
      <c r="C3015" s="14"/>
      <c r="D3015" s="14"/>
      <c r="E3015" s="14"/>
      <c r="F3015" s="14"/>
      <c r="G3015" s="14"/>
      <c r="H3015" s="14"/>
      <c r="I3015" s="14"/>
      <c r="J3015" s="14"/>
      <c r="K3015" s="14"/>
      <c r="L3015" s="15"/>
      <c r="M3015" s="15"/>
      <c r="N3015" s="15"/>
      <c r="O3015" s="15"/>
      <c r="P3015" s="15"/>
      <c r="Q3015" s="14"/>
      <c r="R3015" s="14"/>
      <c r="S3015" s="14"/>
      <c r="T3015" s="14"/>
      <c r="U3015" s="15"/>
      <c r="V3015" s="14"/>
      <c r="W3015" s="14"/>
      <c r="X3015" s="14"/>
      <c r="Y3015" s="14"/>
      <c r="Z3015" s="14"/>
    </row>
    <row r="3016" spans="1:26" ht="13.2">
      <c r="A3016" s="13"/>
      <c r="B3016" s="14"/>
      <c r="C3016" s="14"/>
      <c r="D3016" s="14"/>
      <c r="E3016" s="14"/>
      <c r="F3016" s="14"/>
      <c r="G3016" s="14"/>
      <c r="H3016" s="14"/>
      <c r="I3016" s="14"/>
      <c r="J3016" s="14"/>
      <c r="K3016" s="14"/>
      <c r="L3016" s="15"/>
      <c r="M3016" s="15"/>
      <c r="N3016" s="15"/>
      <c r="O3016" s="15"/>
      <c r="P3016" s="15"/>
      <c r="Q3016" s="14"/>
      <c r="R3016" s="14"/>
      <c r="S3016" s="14"/>
      <c r="T3016" s="14"/>
      <c r="U3016" s="15"/>
      <c r="V3016" s="14"/>
      <c r="W3016" s="14"/>
      <c r="X3016" s="14"/>
      <c r="Y3016" s="14"/>
      <c r="Z3016" s="14"/>
    </row>
    <row r="3017" spans="1:26" ht="13.2">
      <c r="A3017" s="13"/>
      <c r="B3017" s="14"/>
      <c r="C3017" s="14"/>
      <c r="D3017" s="14"/>
      <c r="E3017" s="14"/>
      <c r="F3017" s="14"/>
      <c r="G3017" s="14"/>
      <c r="H3017" s="14"/>
      <c r="I3017" s="14"/>
      <c r="J3017" s="14"/>
      <c r="K3017" s="14"/>
      <c r="L3017" s="15"/>
      <c r="M3017" s="15"/>
      <c r="N3017" s="15"/>
      <c r="O3017" s="15"/>
      <c r="P3017" s="15"/>
      <c r="Q3017" s="14"/>
      <c r="R3017" s="14"/>
      <c r="S3017" s="14"/>
      <c r="T3017" s="14"/>
      <c r="U3017" s="15"/>
      <c r="V3017" s="14"/>
      <c r="W3017" s="14"/>
      <c r="X3017" s="14"/>
      <c r="Y3017" s="14"/>
      <c r="Z3017" s="14"/>
    </row>
    <row r="3018" spans="1:26" ht="13.2">
      <c r="A3018" s="13"/>
      <c r="B3018" s="14"/>
      <c r="C3018" s="14"/>
      <c r="D3018" s="14"/>
      <c r="E3018" s="14"/>
      <c r="F3018" s="14"/>
      <c r="G3018" s="14"/>
      <c r="H3018" s="14"/>
      <c r="I3018" s="14"/>
      <c r="J3018" s="14"/>
      <c r="K3018" s="14"/>
      <c r="L3018" s="15"/>
      <c r="M3018" s="15"/>
      <c r="N3018" s="15"/>
      <c r="O3018" s="15"/>
      <c r="P3018" s="15"/>
      <c r="Q3018" s="14"/>
      <c r="R3018" s="14"/>
      <c r="S3018" s="14"/>
      <c r="T3018" s="14"/>
      <c r="U3018" s="15"/>
      <c r="V3018" s="14"/>
      <c r="W3018" s="14"/>
      <c r="X3018" s="14"/>
      <c r="Y3018" s="14"/>
      <c r="Z3018" s="14"/>
    </row>
    <row r="3019" spans="1:26" ht="13.2">
      <c r="A3019" s="13"/>
      <c r="B3019" s="14"/>
      <c r="C3019" s="14"/>
      <c r="D3019" s="14"/>
      <c r="E3019" s="14"/>
      <c r="F3019" s="14"/>
      <c r="G3019" s="14"/>
      <c r="H3019" s="14"/>
      <c r="I3019" s="14"/>
      <c r="J3019" s="14"/>
      <c r="K3019" s="14"/>
      <c r="L3019" s="15"/>
      <c r="M3019" s="15"/>
      <c r="N3019" s="15"/>
      <c r="O3019" s="15"/>
      <c r="P3019" s="15"/>
      <c r="Q3019" s="14"/>
      <c r="R3019" s="14"/>
      <c r="S3019" s="14"/>
      <c r="T3019" s="14"/>
      <c r="U3019" s="15"/>
      <c r="V3019" s="14"/>
      <c r="W3019" s="14"/>
      <c r="X3019" s="14"/>
      <c r="Y3019" s="14"/>
      <c r="Z3019" s="14"/>
    </row>
    <row r="3020" spans="1:26" ht="13.2">
      <c r="A3020" s="13"/>
      <c r="B3020" s="14"/>
      <c r="C3020" s="14"/>
      <c r="D3020" s="14"/>
      <c r="E3020" s="14"/>
      <c r="F3020" s="14"/>
      <c r="G3020" s="14"/>
      <c r="H3020" s="14"/>
      <c r="I3020" s="14"/>
      <c r="J3020" s="14"/>
      <c r="K3020" s="14"/>
      <c r="L3020" s="15"/>
      <c r="M3020" s="15"/>
      <c r="N3020" s="15"/>
      <c r="O3020" s="15"/>
      <c r="P3020" s="15"/>
      <c r="Q3020" s="14"/>
      <c r="R3020" s="14"/>
      <c r="S3020" s="14"/>
      <c r="T3020" s="14"/>
      <c r="U3020" s="15"/>
      <c r="V3020" s="14"/>
      <c r="W3020" s="14"/>
      <c r="X3020" s="14"/>
      <c r="Y3020" s="14"/>
      <c r="Z3020" s="14"/>
    </row>
    <row r="3021" spans="1:26" ht="13.2">
      <c r="A3021" s="13"/>
      <c r="B3021" s="14"/>
      <c r="C3021" s="14"/>
      <c r="D3021" s="14"/>
      <c r="E3021" s="14"/>
      <c r="F3021" s="14"/>
      <c r="G3021" s="14"/>
      <c r="H3021" s="14"/>
      <c r="I3021" s="14"/>
      <c r="J3021" s="14"/>
      <c r="K3021" s="14"/>
      <c r="L3021" s="15"/>
      <c r="M3021" s="15"/>
      <c r="N3021" s="15"/>
      <c r="O3021" s="15"/>
      <c r="P3021" s="15"/>
      <c r="Q3021" s="14"/>
      <c r="R3021" s="14"/>
      <c r="S3021" s="14"/>
      <c r="T3021" s="14"/>
      <c r="U3021" s="15"/>
      <c r="V3021" s="14"/>
      <c r="W3021" s="14"/>
      <c r="X3021" s="14"/>
      <c r="Y3021" s="14"/>
      <c r="Z3021" s="14"/>
    </row>
    <row r="3022" spans="1:26" ht="13.2">
      <c r="A3022" s="13"/>
      <c r="B3022" s="14"/>
      <c r="C3022" s="14"/>
      <c r="D3022" s="14"/>
      <c r="E3022" s="14"/>
      <c r="F3022" s="14"/>
      <c r="G3022" s="14"/>
      <c r="H3022" s="14"/>
      <c r="I3022" s="14"/>
      <c r="J3022" s="14"/>
      <c r="K3022" s="14"/>
      <c r="L3022" s="15"/>
      <c r="M3022" s="15"/>
      <c r="N3022" s="15"/>
      <c r="O3022" s="15"/>
      <c r="P3022" s="15"/>
      <c r="Q3022" s="14"/>
      <c r="R3022" s="14"/>
      <c r="S3022" s="14"/>
      <c r="T3022" s="14"/>
      <c r="U3022" s="15"/>
      <c r="V3022" s="14"/>
      <c r="W3022" s="14"/>
      <c r="X3022" s="14"/>
      <c r="Y3022" s="14"/>
      <c r="Z3022" s="14"/>
    </row>
    <row r="3023" spans="1:26" ht="13.2">
      <c r="A3023" s="13"/>
      <c r="B3023" s="14"/>
      <c r="C3023" s="14"/>
      <c r="D3023" s="14"/>
      <c r="E3023" s="14"/>
      <c r="F3023" s="14"/>
      <c r="G3023" s="14"/>
      <c r="H3023" s="14"/>
      <c r="I3023" s="14"/>
      <c r="J3023" s="14"/>
      <c r="K3023" s="14"/>
      <c r="L3023" s="15"/>
      <c r="M3023" s="15"/>
      <c r="N3023" s="15"/>
      <c r="O3023" s="15"/>
      <c r="P3023" s="15"/>
      <c r="Q3023" s="14"/>
      <c r="R3023" s="14"/>
      <c r="S3023" s="14"/>
      <c r="T3023" s="14"/>
      <c r="U3023" s="15"/>
      <c r="V3023" s="14"/>
      <c r="W3023" s="14"/>
      <c r="X3023" s="14"/>
      <c r="Y3023" s="14"/>
      <c r="Z3023" s="14"/>
    </row>
    <row r="3024" spans="1:26" ht="13.2">
      <c r="A3024" s="13"/>
      <c r="B3024" s="14"/>
      <c r="C3024" s="14"/>
      <c r="D3024" s="14"/>
      <c r="E3024" s="14"/>
      <c r="F3024" s="14"/>
      <c r="G3024" s="14"/>
      <c r="H3024" s="14"/>
      <c r="I3024" s="14"/>
      <c r="J3024" s="14"/>
      <c r="K3024" s="14"/>
      <c r="L3024" s="15"/>
      <c r="M3024" s="15"/>
      <c r="N3024" s="15"/>
      <c r="O3024" s="15"/>
      <c r="P3024" s="15"/>
      <c r="Q3024" s="14"/>
      <c r="R3024" s="14"/>
      <c r="S3024" s="14"/>
      <c r="T3024" s="14"/>
      <c r="U3024" s="15"/>
      <c r="V3024" s="14"/>
      <c r="W3024" s="14"/>
      <c r="X3024" s="14"/>
      <c r="Y3024" s="14"/>
      <c r="Z3024" s="14"/>
    </row>
    <row r="3025" spans="1:26" ht="13.2">
      <c r="A3025" s="13"/>
      <c r="B3025" s="14"/>
      <c r="C3025" s="14"/>
      <c r="D3025" s="14"/>
      <c r="E3025" s="14"/>
      <c r="F3025" s="14"/>
      <c r="G3025" s="14"/>
      <c r="H3025" s="14"/>
      <c r="I3025" s="14"/>
      <c r="J3025" s="14"/>
      <c r="K3025" s="14"/>
      <c r="L3025" s="15"/>
      <c r="M3025" s="15"/>
      <c r="N3025" s="15"/>
      <c r="O3025" s="15"/>
      <c r="P3025" s="15"/>
      <c r="Q3025" s="14"/>
      <c r="R3025" s="14"/>
      <c r="S3025" s="14"/>
      <c r="T3025" s="14"/>
      <c r="U3025" s="15"/>
      <c r="V3025" s="14"/>
      <c r="W3025" s="14"/>
      <c r="X3025" s="14"/>
      <c r="Y3025" s="14"/>
      <c r="Z3025" s="14"/>
    </row>
    <row r="3026" spans="1:26" ht="13.2">
      <c r="A3026" s="13"/>
      <c r="B3026" s="14"/>
      <c r="C3026" s="14"/>
      <c r="D3026" s="14"/>
      <c r="E3026" s="14"/>
      <c r="F3026" s="14"/>
      <c r="G3026" s="14"/>
      <c r="H3026" s="14"/>
      <c r="I3026" s="14"/>
      <c r="J3026" s="14"/>
      <c r="K3026" s="14"/>
      <c r="L3026" s="15"/>
      <c r="M3026" s="15"/>
      <c r="N3026" s="15"/>
      <c r="O3026" s="15"/>
      <c r="P3026" s="15"/>
      <c r="Q3026" s="14"/>
      <c r="R3026" s="14"/>
      <c r="S3026" s="14"/>
      <c r="T3026" s="14"/>
      <c r="U3026" s="15"/>
      <c r="V3026" s="14"/>
      <c r="W3026" s="14"/>
      <c r="X3026" s="14"/>
      <c r="Y3026" s="14"/>
      <c r="Z3026" s="14"/>
    </row>
    <row r="3027" spans="1:26" ht="13.2">
      <c r="A3027" s="13"/>
      <c r="B3027" s="14"/>
      <c r="C3027" s="14"/>
      <c r="D3027" s="14"/>
      <c r="E3027" s="14"/>
      <c r="F3027" s="14"/>
      <c r="G3027" s="14"/>
      <c r="H3027" s="14"/>
      <c r="I3027" s="14"/>
      <c r="J3027" s="14"/>
      <c r="K3027" s="14"/>
      <c r="L3027" s="15"/>
      <c r="M3027" s="15"/>
      <c r="N3027" s="15"/>
      <c r="O3027" s="15"/>
      <c r="P3027" s="15"/>
      <c r="Q3027" s="14"/>
      <c r="R3027" s="14"/>
      <c r="S3027" s="14"/>
      <c r="T3027" s="14"/>
      <c r="U3027" s="15"/>
      <c r="V3027" s="14"/>
      <c r="W3027" s="14"/>
      <c r="X3027" s="14"/>
      <c r="Y3027" s="14"/>
      <c r="Z3027" s="14"/>
    </row>
    <row r="3028" spans="1:26" ht="13.2">
      <c r="A3028" s="13"/>
      <c r="B3028" s="14"/>
      <c r="C3028" s="14"/>
      <c r="D3028" s="14"/>
      <c r="E3028" s="14"/>
      <c r="F3028" s="14"/>
      <c r="G3028" s="14"/>
      <c r="H3028" s="14"/>
      <c r="I3028" s="14"/>
      <c r="J3028" s="14"/>
      <c r="K3028" s="14"/>
      <c r="L3028" s="15"/>
      <c r="M3028" s="15"/>
      <c r="N3028" s="15"/>
      <c r="O3028" s="15"/>
      <c r="P3028" s="15"/>
      <c r="Q3028" s="14"/>
      <c r="R3028" s="14"/>
      <c r="S3028" s="14"/>
      <c r="T3028" s="14"/>
      <c r="U3028" s="15"/>
      <c r="V3028" s="14"/>
      <c r="W3028" s="14"/>
      <c r="X3028" s="14"/>
      <c r="Y3028" s="14"/>
      <c r="Z3028" s="14"/>
    </row>
    <row r="3029" spans="1:26" ht="13.2">
      <c r="A3029" s="13"/>
      <c r="B3029" s="14"/>
      <c r="C3029" s="14"/>
      <c r="D3029" s="14"/>
      <c r="E3029" s="14"/>
      <c r="F3029" s="14"/>
      <c r="G3029" s="14"/>
      <c r="H3029" s="14"/>
      <c r="I3029" s="14"/>
      <c r="J3029" s="14"/>
      <c r="K3029" s="14"/>
      <c r="L3029" s="15"/>
      <c r="M3029" s="15"/>
      <c r="N3029" s="15"/>
      <c r="O3029" s="15"/>
      <c r="P3029" s="15"/>
      <c r="Q3029" s="14"/>
      <c r="R3029" s="14"/>
      <c r="S3029" s="14"/>
      <c r="T3029" s="14"/>
      <c r="U3029" s="15"/>
      <c r="V3029" s="14"/>
      <c r="W3029" s="14"/>
      <c r="X3029" s="14"/>
      <c r="Y3029" s="14"/>
      <c r="Z3029" s="14"/>
    </row>
    <row r="3030" spans="1:26" ht="13.2">
      <c r="A3030" s="13"/>
      <c r="B3030" s="14"/>
      <c r="C3030" s="14"/>
      <c r="D3030" s="14"/>
      <c r="E3030" s="14"/>
      <c r="F3030" s="14"/>
      <c r="G3030" s="14"/>
      <c r="H3030" s="14"/>
      <c r="I3030" s="14"/>
      <c r="J3030" s="14"/>
      <c r="K3030" s="14"/>
      <c r="L3030" s="15"/>
      <c r="M3030" s="15"/>
      <c r="N3030" s="15"/>
      <c r="O3030" s="15"/>
      <c r="P3030" s="15"/>
      <c r="Q3030" s="14"/>
      <c r="R3030" s="14"/>
      <c r="S3030" s="14"/>
      <c r="T3030" s="14"/>
      <c r="U3030" s="15"/>
      <c r="V3030" s="14"/>
      <c r="W3030" s="14"/>
      <c r="X3030" s="14"/>
      <c r="Y3030" s="14"/>
      <c r="Z3030" s="14"/>
    </row>
    <row r="3031" spans="1:26" ht="13.2">
      <c r="A3031" s="13"/>
      <c r="B3031" s="14"/>
      <c r="C3031" s="14"/>
      <c r="D3031" s="14"/>
      <c r="E3031" s="14"/>
      <c r="F3031" s="14"/>
      <c r="G3031" s="14"/>
      <c r="H3031" s="14"/>
      <c r="I3031" s="14"/>
      <c r="J3031" s="14"/>
      <c r="K3031" s="14"/>
      <c r="L3031" s="15"/>
      <c r="M3031" s="15"/>
      <c r="N3031" s="15"/>
      <c r="O3031" s="15"/>
      <c r="P3031" s="15"/>
      <c r="Q3031" s="14"/>
      <c r="R3031" s="14"/>
      <c r="S3031" s="14"/>
      <c r="T3031" s="14"/>
      <c r="U3031" s="15"/>
      <c r="V3031" s="14"/>
      <c r="W3031" s="14"/>
      <c r="X3031" s="14"/>
      <c r="Y3031" s="14"/>
      <c r="Z3031" s="14"/>
    </row>
    <row r="3032" spans="1:26" ht="13.2">
      <c r="A3032" s="13"/>
      <c r="B3032" s="14"/>
      <c r="C3032" s="14"/>
      <c r="D3032" s="14"/>
      <c r="E3032" s="14"/>
      <c r="F3032" s="14"/>
      <c r="G3032" s="14"/>
      <c r="H3032" s="14"/>
      <c r="I3032" s="14"/>
      <c r="J3032" s="14"/>
      <c r="K3032" s="14"/>
      <c r="L3032" s="15"/>
      <c r="M3032" s="15"/>
      <c r="N3032" s="15"/>
      <c r="O3032" s="15"/>
      <c r="P3032" s="15"/>
      <c r="Q3032" s="14"/>
      <c r="R3032" s="14"/>
      <c r="S3032" s="14"/>
      <c r="T3032" s="14"/>
      <c r="U3032" s="15"/>
      <c r="V3032" s="14"/>
      <c r="W3032" s="14"/>
      <c r="X3032" s="14"/>
      <c r="Y3032" s="14"/>
      <c r="Z3032" s="14"/>
    </row>
    <row r="3033" spans="1:26" ht="13.2">
      <c r="A3033" s="13"/>
      <c r="B3033" s="14"/>
      <c r="C3033" s="14"/>
      <c r="D3033" s="14"/>
      <c r="E3033" s="14"/>
      <c r="F3033" s="14"/>
      <c r="G3033" s="14"/>
      <c r="H3033" s="14"/>
      <c r="I3033" s="14"/>
      <c r="J3033" s="14"/>
      <c r="K3033" s="14"/>
      <c r="L3033" s="15"/>
      <c r="M3033" s="15"/>
      <c r="N3033" s="15"/>
      <c r="O3033" s="15"/>
      <c r="P3033" s="15"/>
      <c r="Q3033" s="14"/>
      <c r="R3033" s="14"/>
      <c r="S3033" s="14"/>
      <c r="T3033" s="14"/>
      <c r="U3033" s="15"/>
      <c r="V3033" s="14"/>
      <c r="W3033" s="14"/>
      <c r="X3033" s="14"/>
      <c r="Y3033" s="14"/>
      <c r="Z3033" s="14"/>
    </row>
    <row r="3034" spans="1:26" ht="13.2">
      <c r="A3034" s="13"/>
      <c r="B3034" s="14"/>
      <c r="C3034" s="14"/>
      <c r="D3034" s="14"/>
      <c r="E3034" s="14"/>
      <c r="F3034" s="14"/>
      <c r="G3034" s="14"/>
      <c r="H3034" s="14"/>
      <c r="I3034" s="14"/>
      <c r="J3034" s="14"/>
      <c r="K3034" s="14"/>
      <c r="L3034" s="15"/>
      <c r="M3034" s="15"/>
      <c r="N3034" s="15"/>
      <c r="O3034" s="15"/>
      <c r="P3034" s="15"/>
      <c r="Q3034" s="14"/>
      <c r="R3034" s="14"/>
      <c r="S3034" s="14"/>
      <c r="T3034" s="14"/>
      <c r="U3034" s="15"/>
      <c r="V3034" s="14"/>
      <c r="W3034" s="14"/>
      <c r="X3034" s="14"/>
      <c r="Y3034" s="14"/>
      <c r="Z3034" s="14"/>
    </row>
    <row r="3035" spans="1:26" ht="13.2">
      <c r="A3035" s="13"/>
      <c r="B3035" s="14"/>
      <c r="C3035" s="14"/>
      <c r="D3035" s="14"/>
      <c r="E3035" s="14"/>
      <c r="F3035" s="14"/>
      <c r="G3035" s="14"/>
      <c r="H3035" s="14"/>
      <c r="I3035" s="14"/>
      <c r="J3035" s="14"/>
      <c r="K3035" s="14"/>
      <c r="L3035" s="15"/>
      <c r="M3035" s="15"/>
      <c r="N3035" s="15"/>
      <c r="O3035" s="15"/>
      <c r="P3035" s="15"/>
      <c r="Q3035" s="14"/>
      <c r="R3035" s="14"/>
      <c r="S3035" s="14"/>
      <c r="T3035" s="14"/>
      <c r="U3035" s="15"/>
      <c r="V3035" s="14"/>
      <c r="W3035" s="14"/>
      <c r="X3035" s="14"/>
      <c r="Y3035" s="14"/>
      <c r="Z3035" s="14"/>
    </row>
    <row r="3036" spans="1:26" ht="13.2">
      <c r="A3036" s="13"/>
      <c r="B3036" s="14"/>
      <c r="C3036" s="14"/>
      <c r="D3036" s="14"/>
      <c r="E3036" s="14"/>
      <c r="F3036" s="14"/>
      <c r="G3036" s="14"/>
      <c r="H3036" s="14"/>
      <c r="I3036" s="14"/>
      <c r="J3036" s="14"/>
      <c r="K3036" s="14"/>
      <c r="L3036" s="15"/>
      <c r="M3036" s="15"/>
      <c r="N3036" s="15"/>
      <c r="O3036" s="15"/>
      <c r="P3036" s="15"/>
      <c r="Q3036" s="14"/>
      <c r="R3036" s="14"/>
      <c r="S3036" s="14"/>
      <c r="T3036" s="14"/>
      <c r="U3036" s="15"/>
      <c r="V3036" s="14"/>
      <c r="W3036" s="14"/>
      <c r="X3036" s="14"/>
      <c r="Y3036" s="14"/>
      <c r="Z3036" s="14"/>
    </row>
    <row r="3037" spans="1:26" ht="13.2">
      <c r="A3037" s="13"/>
      <c r="B3037" s="14"/>
      <c r="C3037" s="14"/>
      <c r="D3037" s="14"/>
      <c r="E3037" s="14"/>
      <c r="F3037" s="14"/>
      <c r="G3037" s="14"/>
      <c r="H3037" s="14"/>
      <c r="I3037" s="14"/>
      <c r="J3037" s="14"/>
      <c r="K3037" s="14"/>
      <c r="L3037" s="15"/>
      <c r="M3037" s="15"/>
      <c r="N3037" s="15"/>
      <c r="O3037" s="15"/>
      <c r="P3037" s="15"/>
      <c r="Q3037" s="14"/>
      <c r="R3037" s="14"/>
      <c r="S3037" s="14"/>
      <c r="T3037" s="14"/>
      <c r="U3037" s="15"/>
      <c r="V3037" s="14"/>
      <c r="W3037" s="14"/>
      <c r="X3037" s="14"/>
      <c r="Y3037" s="14"/>
      <c r="Z3037" s="14"/>
    </row>
    <row r="3038" spans="1:26" ht="13.2">
      <c r="A3038" s="13"/>
      <c r="B3038" s="14"/>
      <c r="C3038" s="14"/>
      <c r="D3038" s="14"/>
      <c r="E3038" s="14"/>
      <c r="F3038" s="14"/>
      <c r="G3038" s="14"/>
      <c r="H3038" s="14"/>
      <c r="I3038" s="14"/>
      <c r="J3038" s="14"/>
      <c r="K3038" s="14"/>
      <c r="L3038" s="15"/>
      <c r="M3038" s="15"/>
      <c r="N3038" s="15"/>
      <c r="O3038" s="15"/>
      <c r="P3038" s="15"/>
      <c r="Q3038" s="14"/>
      <c r="R3038" s="14"/>
      <c r="S3038" s="14"/>
      <c r="T3038" s="14"/>
      <c r="U3038" s="15"/>
      <c r="V3038" s="14"/>
      <c r="W3038" s="14"/>
      <c r="X3038" s="14"/>
      <c r="Y3038" s="14"/>
      <c r="Z3038" s="14"/>
    </row>
    <row r="3039" spans="1:26" ht="13.2">
      <c r="A3039" s="13"/>
      <c r="B3039" s="14"/>
      <c r="C3039" s="14"/>
      <c r="D3039" s="14"/>
      <c r="E3039" s="14"/>
      <c r="F3039" s="14"/>
      <c r="G3039" s="14"/>
      <c r="H3039" s="14"/>
      <c r="I3039" s="14"/>
      <c r="J3039" s="14"/>
      <c r="K3039" s="14"/>
      <c r="L3039" s="15"/>
      <c r="M3039" s="15"/>
      <c r="N3039" s="15"/>
      <c r="O3039" s="15"/>
      <c r="P3039" s="15"/>
      <c r="Q3039" s="14"/>
      <c r="R3039" s="14"/>
      <c r="S3039" s="14"/>
      <c r="T3039" s="14"/>
      <c r="U3039" s="15"/>
      <c r="V3039" s="14"/>
      <c r="W3039" s="14"/>
      <c r="X3039" s="14"/>
      <c r="Y3039" s="14"/>
      <c r="Z3039" s="14"/>
    </row>
    <row r="3040" spans="1:26" ht="13.2">
      <c r="A3040" s="13"/>
      <c r="B3040" s="14"/>
      <c r="C3040" s="14"/>
      <c r="D3040" s="14"/>
      <c r="E3040" s="14"/>
      <c r="F3040" s="14"/>
      <c r="G3040" s="14"/>
      <c r="H3040" s="14"/>
      <c r="I3040" s="14"/>
      <c r="J3040" s="14"/>
      <c r="K3040" s="14"/>
      <c r="L3040" s="15"/>
      <c r="M3040" s="15"/>
      <c r="N3040" s="15"/>
      <c r="O3040" s="15"/>
      <c r="P3040" s="15"/>
      <c r="Q3040" s="14"/>
      <c r="R3040" s="14"/>
      <c r="S3040" s="14"/>
      <c r="T3040" s="14"/>
      <c r="U3040" s="15"/>
      <c r="V3040" s="14"/>
      <c r="W3040" s="14"/>
      <c r="X3040" s="14"/>
      <c r="Y3040" s="14"/>
      <c r="Z3040" s="14"/>
    </row>
    <row r="3041" spans="1:26" ht="13.2">
      <c r="A3041" s="13"/>
      <c r="B3041" s="14"/>
      <c r="C3041" s="14"/>
      <c r="D3041" s="14"/>
      <c r="E3041" s="14"/>
      <c r="F3041" s="14"/>
      <c r="G3041" s="14"/>
      <c r="H3041" s="14"/>
      <c r="I3041" s="14"/>
      <c r="J3041" s="14"/>
      <c r="K3041" s="14"/>
      <c r="L3041" s="15"/>
      <c r="M3041" s="15"/>
      <c r="N3041" s="15"/>
      <c r="O3041" s="15"/>
      <c r="P3041" s="15"/>
      <c r="Q3041" s="14"/>
      <c r="R3041" s="14"/>
      <c r="S3041" s="14"/>
      <c r="T3041" s="14"/>
      <c r="U3041" s="15"/>
      <c r="V3041" s="14"/>
      <c r="W3041" s="14"/>
      <c r="X3041" s="14"/>
      <c r="Y3041" s="14"/>
      <c r="Z3041" s="14"/>
    </row>
    <row r="3042" spans="1:26" ht="13.2">
      <c r="A3042" s="13"/>
      <c r="B3042" s="14"/>
      <c r="C3042" s="14"/>
      <c r="D3042" s="14"/>
      <c r="E3042" s="14"/>
      <c r="F3042" s="14"/>
      <c r="G3042" s="14"/>
      <c r="H3042" s="14"/>
      <c r="I3042" s="14"/>
      <c r="J3042" s="14"/>
      <c r="K3042" s="14"/>
      <c r="L3042" s="15"/>
      <c r="M3042" s="15"/>
      <c r="N3042" s="15"/>
      <c r="O3042" s="15"/>
      <c r="P3042" s="15"/>
      <c r="Q3042" s="14"/>
      <c r="R3042" s="14"/>
      <c r="S3042" s="14"/>
      <c r="T3042" s="14"/>
      <c r="U3042" s="15"/>
      <c r="V3042" s="14"/>
      <c r="W3042" s="14"/>
      <c r="X3042" s="14"/>
      <c r="Y3042" s="14"/>
      <c r="Z3042" s="14"/>
    </row>
    <row r="3043" spans="1:26" ht="13.2">
      <c r="A3043" s="13"/>
      <c r="B3043" s="14"/>
      <c r="C3043" s="14"/>
      <c r="D3043" s="14"/>
      <c r="E3043" s="14"/>
      <c r="F3043" s="14"/>
      <c r="G3043" s="14"/>
      <c r="H3043" s="14"/>
      <c r="I3043" s="14"/>
      <c r="J3043" s="14"/>
      <c r="K3043" s="14"/>
      <c r="L3043" s="15"/>
      <c r="M3043" s="15"/>
      <c r="N3043" s="15"/>
      <c r="O3043" s="15"/>
      <c r="P3043" s="15"/>
      <c r="Q3043" s="14"/>
      <c r="R3043" s="14"/>
      <c r="S3043" s="14"/>
      <c r="T3043" s="14"/>
      <c r="U3043" s="15"/>
      <c r="V3043" s="14"/>
      <c r="W3043" s="14"/>
      <c r="X3043" s="14"/>
      <c r="Y3043" s="14"/>
      <c r="Z3043" s="14"/>
    </row>
    <row r="3044" spans="1:26" ht="13.2">
      <c r="A3044" s="13"/>
      <c r="B3044" s="14"/>
      <c r="C3044" s="14"/>
      <c r="D3044" s="14"/>
      <c r="E3044" s="14"/>
      <c r="F3044" s="14"/>
      <c r="G3044" s="14"/>
      <c r="H3044" s="14"/>
      <c r="I3044" s="14"/>
      <c r="J3044" s="14"/>
      <c r="K3044" s="14"/>
      <c r="L3044" s="15"/>
      <c r="M3044" s="15"/>
      <c r="N3044" s="15"/>
      <c r="O3044" s="15"/>
      <c r="P3044" s="15"/>
      <c r="Q3044" s="14"/>
      <c r="R3044" s="14"/>
      <c r="S3044" s="14"/>
      <c r="T3044" s="14"/>
      <c r="U3044" s="15"/>
      <c r="V3044" s="14"/>
      <c r="W3044" s="14"/>
      <c r="X3044" s="14"/>
      <c r="Y3044" s="14"/>
      <c r="Z3044" s="14"/>
    </row>
    <row r="3045" spans="1:26" ht="13.2">
      <c r="A3045" s="13"/>
      <c r="B3045" s="14"/>
      <c r="C3045" s="14"/>
      <c r="D3045" s="14"/>
      <c r="E3045" s="14"/>
      <c r="F3045" s="14"/>
      <c r="G3045" s="14"/>
      <c r="H3045" s="14"/>
      <c r="I3045" s="14"/>
      <c r="J3045" s="14"/>
      <c r="K3045" s="14"/>
      <c r="L3045" s="15"/>
      <c r="M3045" s="15"/>
      <c r="N3045" s="15"/>
      <c r="O3045" s="15"/>
      <c r="P3045" s="15"/>
      <c r="Q3045" s="14"/>
      <c r="R3045" s="14"/>
      <c r="S3045" s="14"/>
      <c r="T3045" s="14"/>
      <c r="U3045" s="15"/>
      <c r="V3045" s="14"/>
      <c r="W3045" s="14"/>
      <c r="X3045" s="14"/>
      <c r="Y3045" s="14"/>
      <c r="Z3045" s="14"/>
    </row>
    <row r="3046" spans="1:26" ht="13.2">
      <c r="A3046" s="13"/>
      <c r="B3046" s="14"/>
      <c r="C3046" s="14"/>
      <c r="D3046" s="14"/>
      <c r="E3046" s="14"/>
      <c r="F3046" s="14"/>
      <c r="G3046" s="14"/>
      <c r="H3046" s="14"/>
      <c r="I3046" s="14"/>
      <c r="J3046" s="14"/>
      <c r="K3046" s="14"/>
      <c r="L3046" s="15"/>
      <c r="M3046" s="15"/>
      <c r="N3046" s="15"/>
      <c r="O3046" s="15"/>
      <c r="P3046" s="15"/>
      <c r="Q3046" s="14"/>
      <c r="R3046" s="14"/>
      <c r="S3046" s="14"/>
      <c r="T3046" s="14"/>
      <c r="U3046" s="15"/>
      <c r="V3046" s="14"/>
      <c r="W3046" s="14"/>
      <c r="X3046" s="14"/>
      <c r="Y3046" s="14"/>
      <c r="Z3046" s="14"/>
    </row>
    <row r="3047" spans="1:26" ht="13.2">
      <c r="A3047" s="13"/>
      <c r="B3047" s="14"/>
      <c r="C3047" s="14"/>
      <c r="D3047" s="14"/>
      <c r="E3047" s="14"/>
      <c r="F3047" s="14"/>
      <c r="G3047" s="14"/>
      <c r="H3047" s="14"/>
      <c r="I3047" s="14"/>
      <c r="J3047" s="14"/>
      <c r="K3047" s="14"/>
      <c r="L3047" s="15"/>
      <c r="M3047" s="15"/>
      <c r="N3047" s="15"/>
      <c r="O3047" s="15"/>
      <c r="P3047" s="15"/>
      <c r="Q3047" s="14"/>
      <c r="R3047" s="14"/>
      <c r="S3047" s="14"/>
      <c r="T3047" s="14"/>
      <c r="U3047" s="15"/>
      <c r="V3047" s="14"/>
      <c r="W3047" s="14"/>
      <c r="X3047" s="14"/>
      <c r="Y3047" s="14"/>
      <c r="Z3047" s="14"/>
    </row>
    <row r="3048" spans="1:26" ht="13.2">
      <c r="A3048" s="13"/>
      <c r="B3048" s="14"/>
      <c r="C3048" s="14"/>
      <c r="D3048" s="14"/>
      <c r="E3048" s="14"/>
      <c r="F3048" s="14"/>
      <c r="G3048" s="14"/>
      <c r="H3048" s="14"/>
      <c r="I3048" s="14"/>
      <c r="J3048" s="14"/>
      <c r="K3048" s="14"/>
      <c r="L3048" s="15"/>
      <c r="M3048" s="15"/>
      <c r="N3048" s="15"/>
      <c r="O3048" s="15"/>
      <c r="P3048" s="15"/>
      <c r="Q3048" s="14"/>
      <c r="R3048" s="14"/>
      <c r="S3048" s="14"/>
      <c r="T3048" s="14"/>
      <c r="U3048" s="15"/>
      <c r="V3048" s="14"/>
      <c r="W3048" s="14"/>
      <c r="X3048" s="14"/>
      <c r="Y3048" s="14"/>
      <c r="Z3048" s="14"/>
    </row>
    <row r="3049" spans="1:26" ht="13.2">
      <c r="A3049" s="13"/>
      <c r="B3049" s="14"/>
      <c r="C3049" s="14"/>
      <c r="D3049" s="14"/>
      <c r="E3049" s="14"/>
      <c r="F3049" s="14"/>
      <c r="G3049" s="14"/>
      <c r="H3049" s="14"/>
      <c r="I3049" s="14"/>
      <c r="J3049" s="14"/>
      <c r="K3049" s="14"/>
      <c r="L3049" s="15"/>
      <c r="M3049" s="15"/>
      <c r="N3049" s="15"/>
      <c r="O3049" s="15"/>
      <c r="P3049" s="15"/>
      <c r="Q3049" s="14"/>
      <c r="R3049" s="14"/>
      <c r="S3049" s="14"/>
      <c r="T3049" s="14"/>
      <c r="U3049" s="15"/>
      <c r="V3049" s="14"/>
      <c r="W3049" s="14"/>
      <c r="X3049" s="14"/>
      <c r="Y3049" s="14"/>
      <c r="Z3049" s="14"/>
    </row>
    <row r="3050" spans="1:26" ht="13.2">
      <c r="A3050" s="13"/>
      <c r="B3050" s="14"/>
      <c r="C3050" s="14"/>
      <c r="D3050" s="14"/>
      <c r="E3050" s="14"/>
      <c r="F3050" s="14"/>
      <c r="G3050" s="14"/>
      <c r="H3050" s="14"/>
      <c r="I3050" s="14"/>
      <c r="J3050" s="14"/>
      <c r="K3050" s="14"/>
      <c r="L3050" s="15"/>
      <c r="M3050" s="15"/>
      <c r="N3050" s="15"/>
      <c r="O3050" s="15"/>
      <c r="P3050" s="15"/>
      <c r="Q3050" s="14"/>
      <c r="R3050" s="14"/>
      <c r="S3050" s="14"/>
      <c r="T3050" s="14"/>
      <c r="U3050" s="15"/>
      <c r="V3050" s="14"/>
      <c r="W3050" s="14"/>
      <c r="X3050" s="14"/>
      <c r="Y3050" s="14"/>
      <c r="Z3050" s="14"/>
    </row>
    <row r="3051" spans="1:26" ht="13.2">
      <c r="A3051" s="13"/>
      <c r="B3051" s="14"/>
      <c r="C3051" s="14"/>
      <c r="D3051" s="14"/>
      <c r="E3051" s="14"/>
      <c r="F3051" s="14"/>
      <c r="G3051" s="14"/>
      <c r="H3051" s="14"/>
      <c r="I3051" s="14"/>
      <c r="J3051" s="14"/>
      <c r="K3051" s="14"/>
      <c r="L3051" s="15"/>
      <c r="M3051" s="15"/>
      <c r="N3051" s="15"/>
      <c r="O3051" s="15"/>
      <c r="P3051" s="15"/>
      <c r="Q3051" s="14"/>
      <c r="R3051" s="14"/>
      <c r="S3051" s="14"/>
      <c r="T3051" s="14"/>
      <c r="U3051" s="15"/>
      <c r="V3051" s="14"/>
      <c r="W3051" s="14"/>
      <c r="X3051" s="14"/>
      <c r="Y3051" s="14"/>
      <c r="Z3051" s="14"/>
    </row>
    <row r="3052" spans="1:26" ht="13.2">
      <c r="A3052" s="13"/>
      <c r="B3052" s="14"/>
      <c r="C3052" s="14"/>
      <c r="D3052" s="14"/>
      <c r="E3052" s="14"/>
      <c r="F3052" s="14"/>
      <c r="G3052" s="14"/>
      <c r="H3052" s="14"/>
      <c r="I3052" s="14"/>
      <c r="J3052" s="14"/>
      <c r="K3052" s="14"/>
      <c r="L3052" s="15"/>
      <c r="M3052" s="15"/>
      <c r="N3052" s="15"/>
      <c r="O3052" s="15"/>
      <c r="P3052" s="15"/>
      <c r="Q3052" s="14"/>
      <c r="R3052" s="14"/>
      <c r="S3052" s="14"/>
      <c r="T3052" s="14"/>
      <c r="U3052" s="15"/>
      <c r="V3052" s="14"/>
      <c r="W3052" s="14"/>
      <c r="X3052" s="14"/>
      <c r="Y3052" s="14"/>
      <c r="Z3052" s="14"/>
    </row>
    <row r="3053" spans="1:26" ht="13.2">
      <c r="A3053" s="13"/>
      <c r="B3053" s="14"/>
      <c r="C3053" s="14"/>
      <c r="D3053" s="14"/>
      <c r="E3053" s="14"/>
      <c r="F3053" s="14"/>
      <c r="G3053" s="14"/>
      <c r="H3053" s="14"/>
      <c r="I3053" s="14"/>
      <c r="J3053" s="14"/>
      <c r="K3053" s="14"/>
      <c r="L3053" s="15"/>
      <c r="M3053" s="15"/>
      <c r="N3053" s="15"/>
      <c r="O3053" s="15"/>
      <c r="P3053" s="15"/>
      <c r="Q3053" s="14"/>
      <c r="R3053" s="14"/>
      <c r="S3053" s="14"/>
      <c r="T3053" s="14"/>
      <c r="U3053" s="15"/>
      <c r="V3053" s="14"/>
      <c r="W3053" s="14"/>
      <c r="X3053" s="14"/>
      <c r="Y3053" s="14"/>
      <c r="Z3053" s="14"/>
    </row>
    <row r="3054" spans="1:26" ht="13.2">
      <c r="A3054" s="13"/>
      <c r="B3054" s="14"/>
      <c r="C3054" s="14"/>
      <c r="D3054" s="14"/>
      <c r="E3054" s="14"/>
      <c r="F3054" s="14"/>
      <c r="G3054" s="14"/>
      <c r="H3054" s="14"/>
      <c r="I3054" s="14"/>
      <c r="J3054" s="14"/>
      <c r="K3054" s="14"/>
      <c r="L3054" s="15"/>
      <c r="M3054" s="15"/>
      <c r="N3054" s="15"/>
      <c r="O3054" s="15"/>
      <c r="P3054" s="15"/>
      <c r="Q3054" s="14"/>
      <c r="R3054" s="14"/>
      <c r="S3054" s="14"/>
      <c r="T3054" s="14"/>
      <c r="U3054" s="15"/>
      <c r="V3054" s="14"/>
      <c r="W3054" s="14"/>
      <c r="X3054" s="14"/>
      <c r="Y3054" s="14"/>
      <c r="Z3054" s="14"/>
    </row>
    <row r="3055" spans="1:26" ht="13.2">
      <c r="A3055" s="13"/>
      <c r="B3055" s="14"/>
      <c r="C3055" s="14"/>
      <c r="D3055" s="14"/>
      <c r="E3055" s="14"/>
      <c r="F3055" s="14"/>
      <c r="G3055" s="14"/>
      <c r="H3055" s="14"/>
      <c r="I3055" s="14"/>
      <c r="J3055" s="14"/>
      <c r="K3055" s="14"/>
      <c r="L3055" s="15"/>
      <c r="M3055" s="15"/>
      <c r="N3055" s="15"/>
      <c r="O3055" s="15"/>
      <c r="P3055" s="15"/>
      <c r="Q3055" s="14"/>
      <c r="R3055" s="14"/>
      <c r="S3055" s="14"/>
      <c r="T3055" s="14"/>
      <c r="U3055" s="15"/>
      <c r="V3055" s="14"/>
      <c r="W3055" s="14"/>
      <c r="X3055" s="14"/>
      <c r="Y3055" s="14"/>
      <c r="Z3055" s="14"/>
    </row>
    <row r="3056" spans="1:26" ht="13.2">
      <c r="A3056" s="13"/>
      <c r="B3056" s="14"/>
      <c r="C3056" s="14"/>
      <c r="D3056" s="14"/>
      <c r="E3056" s="14"/>
      <c r="F3056" s="14"/>
      <c r="G3056" s="14"/>
      <c r="H3056" s="14"/>
      <c r="I3056" s="14"/>
      <c r="J3056" s="14"/>
      <c r="K3056" s="14"/>
      <c r="L3056" s="15"/>
      <c r="M3056" s="15"/>
      <c r="N3056" s="15"/>
      <c r="O3056" s="15"/>
      <c r="P3056" s="15"/>
      <c r="Q3056" s="14"/>
      <c r="R3056" s="14"/>
      <c r="S3056" s="14"/>
      <c r="T3056" s="14"/>
      <c r="U3056" s="15"/>
      <c r="V3056" s="14"/>
      <c r="W3056" s="14"/>
      <c r="X3056" s="14"/>
      <c r="Y3056" s="14"/>
      <c r="Z3056" s="14"/>
    </row>
    <row r="3057" spans="1:26" ht="13.2">
      <c r="A3057" s="13"/>
      <c r="B3057" s="14"/>
      <c r="C3057" s="14"/>
      <c r="D3057" s="14"/>
      <c r="E3057" s="14"/>
      <c r="F3057" s="14"/>
      <c r="G3057" s="14"/>
      <c r="H3057" s="14"/>
      <c r="I3057" s="14"/>
      <c r="J3057" s="14"/>
      <c r="K3057" s="14"/>
      <c r="L3057" s="15"/>
      <c r="M3057" s="15"/>
      <c r="N3057" s="15"/>
      <c r="O3057" s="15"/>
      <c r="P3057" s="15"/>
      <c r="Q3057" s="14"/>
      <c r="R3057" s="14"/>
      <c r="S3057" s="14"/>
      <c r="T3057" s="14"/>
      <c r="U3057" s="15"/>
      <c r="V3057" s="14"/>
      <c r="W3057" s="14"/>
      <c r="X3057" s="14"/>
      <c r="Y3057" s="14"/>
      <c r="Z3057" s="14"/>
    </row>
    <row r="3058" spans="1:26" ht="13.2">
      <c r="A3058" s="13"/>
      <c r="B3058" s="14"/>
      <c r="C3058" s="14"/>
      <c r="D3058" s="14"/>
      <c r="E3058" s="14"/>
      <c r="F3058" s="14"/>
      <c r="G3058" s="14"/>
      <c r="H3058" s="14"/>
      <c r="I3058" s="14"/>
      <c r="J3058" s="14"/>
      <c r="K3058" s="14"/>
      <c r="L3058" s="15"/>
      <c r="M3058" s="15"/>
      <c r="N3058" s="15"/>
      <c r="O3058" s="15"/>
      <c r="P3058" s="15"/>
      <c r="Q3058" s="14"/>
      <c r="R3058" s="14"/>
      <c r="S3058" s="14"/>
      <c r="T3058" s="14"/>
      <c r="U3058" s="15"/>
      <c r="V3058" s="14"/>
      <c r="W3058" s="14"/>
      <c r="X3058" s="14"/>
      <c r="Y3058" s="14"/>
      <c r="Z3058" s="14"/>
    </row>
    <row r="3059" spans="1:26" ht="13.2">
      <c r="A3059" s="13"/>
      <c r="B3059" s="14"/>
      <c r="C3059" s="14"/>
      <c r="D3059" s="14"/>
      <c r="E3059" s="14"/>
      <c r="F3059" s="14"/>
      <c r="G3059" s="14"/>
      <c r="H3059" s="14"/>
      <c r="I3059" s="14"/>
      <c r="J3059" s="14"/>
      <c r="K3059" s="14"/>
      <c r="L3059" s="15"/>
      <c r="M3059" s="15"/>
      <c r="N3059" s="15"/>
      <c r="O3059" s="15"/>
      <c r="P3059" s="15"/>
      <c r="Q3059" s="14"/>
      <c r="R3059" s="14"/>
      <c r="S3059" s="14"/>
      <c r="T3059" s="14"/>
      <c r="U3059" s="15"/>
      <c r="V3059" s="14"/>
      <c r="W3059" s="14"/>
      <c r="X3059" s="14"/>
      <c r="Y3059" s="14"/>
      <c r="Z3059" s="14"/>
    </row>
    <row r="3060" spans="1:26" ht="13.2">
      <c r="A3060" s="13"/>
      <c r="B3060" s="14"/>
      <c r="C3060" s="14"/>
      <c r="D3060" s="14"/>
      <c r="E3060" s="14"/>
      <c r="F3060" s="14"/>
      <c r="G3060" s="14"/>
      <c r="H3060" s="14"/>
      <c r="I3060" s="14"/>
      <c r="J3060" s="14"/>
      <c r="K3060" s="14"/>
      <c r="L3060" s="15"/>
      <c r="M3060" s="15"/>
      <c r="N3060" s="15"/>
      <c r="O3060" s="15"/>
      <c r="P3060" s="15"/>
      <c r="Q3060" s="14"/>
      <c r="R3060" s="14"/>
      <c r="S3060" s="14"/>
      <c r="T3060" s="14"/>
      <c r="U3060" s="15"/>
      <c r="V3060" s="14"/>
      <c r="W3060" s="14"/>
      <c r="X3060" s="14"/>
      <c r="Y3060" s="14"/>
      <c r="Z3060" s="14"/>
    </row>
    <row r="3061" spans="1:26" ht="13.2">
      <c r="A3061" s="13"/>
      <c r="B3061" s="14"/>
      <c r="C3061" s="14"/>
      <c r="D3061" s="14"/>
      <c r="E3061" s="14"/>
      <c r="F3061" s="14"/>
      <c r="G3061" s="14"/>
      <c r="H3061" s="14"/>
      <c r="I3061" s="14"/>
      <c r="J3061" s="14"/>
      <c r="K3061" s="14"/>
      <c r="L3061" s="15"/>
      <c r="M3061" s="15"/>
      <c r="N3061" s="15"/>
      <c r="O3061" s="15"/>
      <c r="P3061" s="15"/>
      <c r="Q3061" s="14"/>
      <c r="R3061" s="14"/>
      <c r="S3061" s="14"/>
      <c r="T3061" s="14"/>
      <c r="U3061" s="15"/>
      <c r="V3061" s="14"/>
      <c r="W3061" s="14"/>
      <c r="X3061" s="14"/>
      <c r="Y3061" s="14"/>
      <c r="Z3061" s="14"/>
    </row>
    <row r="3062" spans="1:26" ht="13.2">
      <c r="A3062" s="13"/>
      <c r="B3062" s="14"/>
      <c r="C3062" s="14"/>
      <c r="D3062" s="14"/>
      <c r="E3062" s="14"/>
      <c r="F3062" s="14"/>
      <c r="G3062" s="14"/>
      <c r="H3062" s="14"/>
      <c r="I3062" s="14"/>
      <c r="J3062" s="14"/>
      <c r="K3062" s="14"/>
      <c r="L3062" s="15"/>
      <c r="M3062" s="15"/>
      <c r="N3062" s="15"/>
      <c r="O3062" s="15"/>
      <c r="P3062" s="15"/>
      <c r="Q3062" s="14"/>
      <c r="R3062" s="14"/>
      <c r="S3062" s="14"/>
      <c r="T3062" s="14"/>
      <c r="U3062" s="15"/>
      <c r="V3062" s="14"/>
      <c r="W3062" s="14"/>
      <c r="X3062" s="14"/>
      <c r="Y3062" s="14"/>
      <c r="Z3062" s="14"/>
    </row>
    <row r="3063" spans="1:26" ht="13.2">
      <c r="A3063" s="13"/>
      <c r="B3063" s="14"/>
      <c r="C3063" s="14"/>
      <c r="D3063" s="14"/>
      <c r="E3063" s="14"/>
      <c r="F3063" s="14"/>
      <c r="G3063" s="14"/>
      <c r="H3063" s="14"/>
      <c r="I3063" s="14"/>
      <c r="J3063" s="14"/>
      <c r="K3063" s="14"/>
      <c r="L3063" s="15"/>
      <c r="M3063" s="15"/>
      <c r="N3063" s="15"/>
      <c r="O3063" s="15"/>
      <c r="P3063" s="15"/>
      <c r="Q3063" s="14"/>
      <c r="R3063" s="14"/>
      <c r="S3063" s="14"/>
      <c r="T3063" s="14"/>
      <c r="U3063" s="15"/>
      <c r="V3063" s="14"/>
      <c r="W3063" s="14"/>
      <c r="X3063" s="14"/>
      <c r="Y3063" s="14"/>
      <c r="Z3063" s="14"/>
    </row>
    <row r="3064" spans="1:26" ht="13.2">
      <c r="A3064" s="13"/>
      <c r="B3064" s="14"/>
      <c r="C3064" s="14"/>
      <c r="D3064" s="14"/>
      <c r="E3064" s="14"/>
      <c r="F3064" s="14"/>
      <c r="G3064" s="14"/>
      <c r="H3064" s="14"/>
      <c r="I3064" s="14"/>
      <c r="J3064" s="14"/>
      <c r="K3064" s="14"/>
      <c r="L3064" s="15"/>
      <c r="M3064" s="15"/>
      <c r="N3064" s="15"/>
      <c r="O3064" s="15"/>
      <c r="P3064" s="15"/>
      <c r="Q3064" s="14"/>
      <c r="R3064" s="14"/>
      <c r="S3064" s="14"/>
      <c r="T3064" s="14"/>
      <c r="U3064" s="15"/>
      <c r="V3064" s="14"/>
      <c r="W3064" s="14"/>
      <c r="X3064" s="14"/>
      <c r="Y3064" s="14"/>
      <c r="Z3064" s="14"/>
    </row>
    <row r="3065" spans="1:26" ht="13.2">
      <c r="A3065" s="13"/>
      <c r="B3065" s="14"/>
      <c r="C3065" s="14"/>
      <c r="D3065" s="14"/>
      <c r="E3065" s="14"/>
      <c r="F3065" s="14"/>
      <c r="G3065" s="14"/>
      <c r="H3065" s="14"/>
      <c r="I3065" s="14"/>
      <c r="J3065" s="14"/>
      <c r="K3065" s="14"/>
      <c r="L3065" s="15"/>
      <c r="M3065" s="15"/>
      <c r="N3065" s="15"/>
      <c r="O3065" s="15"/>
      <c r="P3065" s="15"/>
      <c r="Q3065" s="14"/>
      <c r="R3065" s="14"/>
      <c r="S3065" s="14"/>
      <c r="T3065" s="14"/>
      <c r="U3065" s="15"/>
      <c r="V3065" s="14"/>
      <c r="W3065" s="14"/>
      <c r="X3065" s="14"/>
      <c r="Y3065" s="14"/>
      <c r="Z3065" s="14"/>
    </row>
    <row r="3066" spans="1:26" ht="13.2">
      <c r="A3066" s="13"/>
      <c r="B3066" s="14"/>
      <c r="C3066" s="14"/>
      <c r="D3066" s="14"/>
      <c r="E3066" s="14"/>
      <c r="F3066" s="14"/>
      <c r="G3066" s="14"/>
      <c r="H3066" s="14"/>
      <c r="I3066" s="14"/>
      <c r="J3066" s="14"/>
      <c r="K3066" s="14"/>
      <c r="L3066" s="15"/>
      <c r="M3066" s="15"/>
      <c r="N3066" s="15"/>
      <c r="O3066" s="15"/>
      <c r="P3066" s="15"/>
      <c r="Q3066" s="14"/>
      <c r="R3066" s="14"/>
      <c r="S3066" s="14"/>
      <c r="T3066" s="14"/>
      <c r="U3066" s="15"/>
      <c r="V3066" s="14"/>
      <c r="W3066" s="14"/>
      <c r="X3066" s="14"/>
      <c r="Y3066" s="14"/>
      <c r="Z3066" s="14"/>
    </row>
    <row r="3067" spans="1:26" ht="13.2">
      <c r="A3067" s="13"/>
      <c r="B3067" s="14"/>
      <c r="C3067" s="14"/>
      <c r="D3067" s="14"/>
      <c r="E3067" s="14"/>
      <c r="F3067" s="14"/>
      <c r="G3067" s="14"/>
      <c r="H3067" s="14"/>
      <c r="I3067" s="14"/>
      <c r="J3067" s="14"/>
      <c r="K3067" s="14"/>
      <c r="L3067" s="15"/>
      <c r="M3067" s="15"/>
      <c r="N3067" s="15"/>
      <c r="O3067" s="15"/>
      <c r="P3067" s="15"/>
      <c r="Q3067" s="14"/>
      <c r="R3067" s="14"/>
      <c r="S3067" s="14"/>
      <c r="T3067" s="14"/>
      <c r="U3067" s="15"/>
      <c r="V3067" s="14"/>
      <c r="W3067" s="14"/>
      <c r="X3067" s="14"/>
      <c r="Y3067" s="14"/>
      <c r="Z3067" s="14"/>
    </row>
    <row r="3068" spans="1:26" ht="13.2">
      <c r="A3068" s="13"/>
      <c r="B3068" s="14"/>
      <c r="C3068" s="14"/>
      <c r="D3068" s="14"/>
      <c r="E3068" s="14"/>
      <c r="F3068" s="14"/>
      <c r="G3068" s="14"/>
      <c r="H3068" s="14"/>
      <c r="I3068" s="14"/>
      <c r="J3068" s="14"/>
      <c r="K3068" s="14"/>
      <c r="L3068" s="15"/>
      <c r="M3068" s="15"/>
      <c r="N3068" s="15"/>
      <c r="O3068" s="15"/>
      <c r="P3068" s="15"/>
      <c r="Q3068" s="14"/>
      <c r="R3068" s="14"/>
      <c r="S3068" s="14"/>
      <c r="T3068" s="14"/>
      <c r="U3068" s="15"/>
      <c r="V3068" s="14"/>
      <c r="W3068" s="14"/>
      <c r="X3068" s="14"/>
      <c r="Y3068" s="14"/>
      <c r="Z3068" s="14"/>
    </row>
    <row r="3069" spans="1:26" ht="13.2">
      <c r="A3069" s="13"/>
      <c r="B3069" s="14"/>
      <c r="C3069" s="14"/>
      <c r="D3069" s="14"/>
      <c r="E3069" s="14"/>
      <c r="F3069" s="14"/>
      <c r="G3069" s="14"/>
      <c r="H3069" s="14"/>
      <c r="I3069" s="14"/>
      <c r="J3069" s="14"/>
      <c r="K3069" s="14"/>
      <c r="L3069" s="15"/>
      <c r="M3069" s="15"/>
      <c r="N3069" s="15"/>
      <c r="O3069" s="15"/>
      <c r="P3069" s="15"/>
      <c r="Q3069" s="14"/>
      <c r="R3069" s="14"/>
      <c r="S3069" s="14"/>
      <c r="T3069" s="14"/>
      <c r="U3069" s="15"/>
      <c r="V3069" s="14"/>
      <c r="W3069" s="14"/>
      <c r="X3069" s="14"/>
      <c r="Y3069" s="14"/>
      <c r="Z3069" s="14"/>
    </row>
    <row r="3070" spans="1:26" ht="13.2">
      <c r="A3070" s="13"/>
      <c r="B3070" s="14"/>
      <c r="C3070" s="14"/>
      <c r="D3070" s="14"/>
      <c r="E3070" s="14"/>
      <c r="F3070" s="14"/>
      <c r="G3070" s="14"/>
      <c r="H3070" s="14"/>
      <c r="I3070" s="14"/>
      <c r="J3070" s="14"/>
      <c r="K3070" s="14"/>
      <c r="L3070" s="15"/>
      <c r="M3070" s="15"/>
      <c r="N3070" s="15"/>
      <c r="O3070" s="15"/>
      <c r="P3070" s="15"/>
      <c r="Q3070" s="14"/>
      <c r="R3070" s="14"/>
      <c r="S3070" s="14"/>
      <c r="T3070" s="14"/>
      <c r="U3070" s="15"/>
      <c r="V3070" s="14"/>
      <c r="W3070" s="14"/>
      <c r="X3070" s="14"/>
      <c r="Y3070" s="14"/>
      <c r="Z3070" s="14"/>
    </row>
    <row r="3071" spans="1:26" ht="13.2">
      <c r="A3071" s="13"/>
      <c r="B3071" s="14"/>
      <c r="C3071" s="14"/>
      <c r="D3071" s="14"/>
      <c r="E3071" s="14"/>
      <c r="F3071" s="14"/>
      <c r="G3071" s="14"/>
      <c r="H3071" s="14"/>
      <c r="I3071" s="14"/>
      <c r="J3071" s="14"/>
      <c r="K3071" s="14"/>
      <c r="L3071" s="15"/>
      <c r="M3071" s="15"/>
      <c r="N3071" s="15"/>
      <c r="O3071" s="15"/>
      <c r="P3071" s="15"/>
      <c r="Q3071" s="14"/>
      <c r="R3071" s="14"/>
      <c r="S3071" s="14"/>
      <c r="T3071" s="14"/>
      <c r="U3071" s="15"/>
      <c r="V3071" s="14"/>
      <c r="W3071" s="14"/>
      <c r="X3071" s="14"/>
      <c r="Y3071" s="14"/>
      <c r="Z3071" s="14"/>
    </row>
    <row r="3072" spans="1:26" ht="13.2">
      <c r="A3072" s="13"/>
      <c r="B3072" s="14"/>
      <c r="C3072" s="14"/>
      <c r="D3072" s="14"/>
      <c r="E3072" s="14"/>
      <c r="F3072" s="14"/>
      <c r="G3072" s="14"/>
      <c r="H3072" s="14"/>
      <c r="I3072" s="14"/>
      <c r="J3072" s="14"/>
      <c r="K3072" s="14"/>
      <c r="L3072" s="15"/>
      <c r="M3072" s="15"/>
      <c r="N3072" s="15"/>
      <c r="O3072" s="15"/>
      <c r="P3072" s="15"/>
      <c r="Q3072" s="14"/>
      <c r="R3072" s="14"/>
      <c r="S3072" s="14"/>
      <c r="T3072" s="14"/>
      <c r="U3072" s="15"/>
      <c r="V3072" s="14"/>
      <c r="W3072" s="14"/>
      <c r="X3072" s="14"/>
      <c r="Y3072" s="14"/>
      <c r="Z3072" s="14"/>
    </row>
    <row r="3073" spans="1:26" ht="13.2">
      <c r="A3073" s="13"/>
      <c r="B3073" s="14"/>
      <c r="C3073" s="14"/>
      <c r="D3073" s="14"/>
      <c r="E3073" s="14"/>
      <c r="F3073" s="14"/>
      <c r="G3073" s="14"/>
      <c r="H3073" s="14"/>
      <c r="I3073" s="14"/>
      <c r="J3073" s="14"/>
      <c r="K3073" s="14"/>
      <c r="L3073" s="15"/>
      <c r="M3073" s="15"/>
      <c r="N3073" s="15"/>
      <c r="O3073" s="15"/>
      <c r="P3073" s="15"/>
      <c r="Q3073" s="14"/>
      <c r="R3073" s="14"/>
      <c r="S3073" s="14"/>
      <c r="T3073" s="14"/>
      <c r="U3073" s="15"/>
      <c r="V3073" s="14"/>
      <c r="W3073" s="14"/>
      <c r="X3073" s="14"/>
      <c r="Y3073" s="14"/>
      <c r="Z3073" s="14"/>
    </row>
    <row r="3074" spans="1:26" ht="13.2">
      <c r="A3074" s="13"/>
      <c r="B3074" s="14"/>
      <c r="C3074" s="14"/>
      <c r="D3074" s="14"/>
      <c r="E3074" s="14"/>
      <c r="F3074" s="14"/>
      <c r="G3074" s="14"/>
      <c r="H3074" s="14"/>
      <c r="I3074" s="14"/>
      <c r="J3074" s="14"/>
      <c r="K3074" s="14"/>
      <c r="L3074" s="15"/>
      <c r="M3074" s="15"/>
      <c r="N3074" s="15"/>
      <c r="O3074" s="15"/>
      <c r="P3074" s="15"/>
      <c r="Q3074" s="14"/>
      <c r="R3074" s="14"/>
      <c r="S3074" s="14"/>
      <c r="T3074" s="14"/>
      <c r="U3074" s="15"/>
      <c r="V3074" s="14"/>
      <c r="W3074" s="14"/>
      <c r="X3074" s="14"/>
      <c r="Y3074" s="14"/>
      <c r="Z3074" s="14"/>
    </row>
    <row r="3075" spans="1:26" ht="13.2">
      <c r="A3075" s="13"/>
      <c r="B3075" s="14"/>
      <c r="C3075" s="14"/>
      <c r="D3075" s="14"/>
      <c r="E3075" s="14"/>
      <c r="F3075" s="14"/>
      <c r="G3075" s="14"/>
      <c r="H3075" s="14"/>
      <c r="I3075" s="14"/>
      <c r="J3075" s="14"/>
      <c r="K3075" s="14"/>
      <c r="L3075" s="15"/>
      <c r="M3075" s="15"/>
      <c r="N3075" s="15"/>
      <c r="O3075" s="15"/>
      <c r="P3075" s="15"/>
      <c r="Q3075" s="14"/>
      <c r="R3075" s="14"/>
      <c r="S3075" s="14"/>
      <c r="T3075" s="14"/>
      <c r="U3075" s="15"/>
      <c r="V3075" s="14"/>
      <c r="W3075" s="14"/>
      <c r="X3075" s="14"/>
      <c r="Y3075" s="14"/>
      <c r="Z3075" s="14"/>
    </row>
    <row r="3076" spans="1:26" ht="13.2">
      <c r="A3076" s="13"/>
      <c r="B3076" s="14"/>
      <c r="C3076" s="14"/>
      <c r="D3076" s="14"/>
      <c r="E3076" s="14"/>
      <c r="F3076" s="14"/>
      <c r="G3076" s="14"/>
      <c r="H3076" s="14"/>
      <c r="I3076" s="14"/>
      <c r="J3076" s="14"/>
      <c r="K3076" s="14"/>
      <c r="L3076" s="15"/>
      <c r="M3076" s="15"/>
      <c r="N3076" s="15"/>
      <c r="O3076" s="15"/>
      <c r="P3076" s="15"/>
      <c r="Q3076" s="14"/>
      <c r="R3076" s="14"/>
      <c r="S3076" s="14"/>
      <c r="T3076" s="14"/>
      <c r="U3076" s="15"/>
      <c r="V3076" s="14"/>
      <c r="W3076" s="14"/>
      <c r="X3076" s="14"/>
      <c r="Y3076" s="14"/>
      <c r="Z3076" s="14"/>
    </row>
    <row r="3077" spans="1:26" ht="13.2">
      <c r="A3077" s="13"/>
      <c r="B3077" s="14"/>
      <c r="C3077" s="14"/>
      <c r="D3077" s="14"/>
      <c r="E3077" s="14"/>
      <c r="F3077" s="14"/>
      <c r="G3077" s="14"/>
      <c r="H3077" s="14"/>
      <c r="I3077" s="14"/>
      <c r="J3077" s="14"/>
      <c r="K3077" s="14"/>
      <c r="L3077" s="15"/>
      <c r="M3077" s="15"/>
      <c r="N3077" s="15"/>
      <c r="O3077" s="15"/>
      <c r="P3077" s="15"/>
      <c r="Q3077" s="14"/>
      <c r="R3077" s="14"/>
      <c r="S3077" s="14"/>
      <c r="T3077" s="14"/>
      <c r="U3077" s="15"/>
      <c r="V3077" s="14"/>
      <c r="W3077" s="14"/>
      <c r="X3077" s="14"/>
      <c r="Y3077" s="14"/>
      <c r="Z3077" s="14"/>
    </row>
    <row r="3078" spans="1:26" ht="13.2">
      <c r="A3078" s="13"/>
      <c r="B3078" s="14"/>
      <c r="C3078" s="14"/>
      <c r="D3078" s="14"/>
      <c r="E3078" s="14"/>
      <c r="F3078" s="14"/>
      <c r="G3078" s="14"/>
      <c r="H3078" s="14"/>
      <c r="I3078" s="14"/>
      <c r="J3078" s="14"/>
      <c r="K3078" s="14"/>
      <c r="L3078" s="15"/>
      <c r="M3078" s="15"/>
      <c r="N3078" s="15"/>
      <c r="O3078" s="15"/>
      <c r="P3078" s="15"/>
      <c r="Q3078" s="14"/>
      <c r="R3078" s="14"/>
      <c r="S3078" s="14"/>
      <c r="T3078" s="14"/>
      <c r="U3078" s="15"/>
      <c r="V3078" s="14"/>
      <c r="W3078" s="14"/>
      <c r="X3078" s="14"/>
      <c r="Y3078" s="14"/>
      <c r="Z3078" s="14"/>
    </row>
    <row r="3079" spans="1:26" ht="13.2">
      <c r="A3079" s="13"/>
      <c r="B3079" s="14"/>
      <c r="C3079" s="14"/>
      <c r="D3079" s="14"/>
      <c r="E3079" s="14"/>
      <c r="F3079" s="14"/>
      <c r="G3079" s="14"/>
      <c r="H3079" s="14"/>
      <c r="I3079" s="14"/>
      <c r="J3079" s="14"/>
      <c r="K3079" s="14"/>
      <c r="L3079" s="15"/>
      <c r="M3079" s="15"/>
      <c r="N3079" s="15"/>
      <c r="O3079" s="15"/>
      <c r="P3079" s="15"/>
      <c r="Q3079" s="14"/>
      <c r="R3079" s="14"/>
      <c r="S3079" s="14"/>
      <c r="T3079" s="14"/>
      <c r="U3079" s="15"/>
      <c r="V3079" s="14"/>
      <c r="W3079" s="14"/>
      <c r="X3079" s="14"/>
      <c r="Y3079" s="14"/>
      <c r="Z3079" s="14"/>
    </row>
    <row r="3080" spans="1:26" ht="13.2">
      <c r="A3080" s="13"/>
      <c r="B3080" s="14"/>
      <c r="C3080" s="14"/>
      <c r="D3080" s="14"/>
      <c r="E3080" s="14"/>
      <c r="F3080" s="14"/>
      <c r="G3080" s="14"/>
      <c r="H3080" s="14"/>
      <c r="I3080" s="14"/>
      <c r="J3080" s="14"/>
      <c r="K3080" s="14"/>
      <c r="L3080" s="15"/>
      <c r="M3080" s="15"/>
      <c r="N3080" s="15"/>
      <c r="O3080" s="15"/>
      <c r="P3080" s="15"/>
      <c r="Q3080" s="14"/>
      <c r="R3080" s="14"/>
      <c r="S3080" s="14"/>
      <c r="T3080" s="14"/>
      <c r="U3080" s="15"/>
      <c r="V3080" s="14"/>
      <c r="W3080" s="14"/>
      <c r="X3080" s="14"/>
      <c r="Y3080" s="14"/>
      <c r="Z3080" s="14"/>
    </row>
    <row r="3081" spans="1:26" ht="13.2">
      <c r="A3081" s="13"/>
      <c r="B3081" s="14"/>
      <c r="C3081" s="14"/>
      <c r="D3081" s="14"/>
      <c r="E3081" s="14"/>
      <c r="F3081" s="14"/>
      <c r="G3081" s="14"/>
      <c r="H3081" s="14"/>
      <c r="I3081" s="14"/>
      <c r="J3081" s="14"/>
      <c r="K3081" s="14"/>
      <c r="L3081" s="15"/>
      <c r="M3081" s="15"/>
      <c r="N3081" s="15"/>
      <c r="O3081" s="15"/>
      <c r="P3081" s="15"/>
      <c r="Q3081" s="14"/>
      <c r="R3081" s="14"/>
      <c r="S3081" s="14"/>
      <c r="T3081" s="14"/>
      <c r="U3081" s="15"/>
      <c r="V3081" s="14"/>
      <c r="W3081" s="14"/>
      <c r="X3081" s="14"/>
      <c r="Y3081" s="14"/>
      <c r="Z3081" s="14"/>
    </row>
    <row r="3082" spans="1:26" ht="13.2">
      <c r="A3082" s="13"/>
      <c r="B3082" s="14"/>
      <c r="C3082" s="14"/>
      <c r="D3082" s="14"/>
      <c r="E3082" s="14"/>
      <c r="F3082" s="14"/>
      <c r="G3082" s="14"/>
      <c r="H3082" s="14"/>
      <c r="I3082" s="14"/>
      <c r="J3082" s="14"/>
      <c r="K3082" s="14"/>
      <c r="L3082" s="15"/>
      <c r="M3082" s="15"/>
      <c r="N3082" s="15"/>
      <c r="O3082" s="15"/>
      <c r="P3082" s="15"/>
      <c r="Q3082" s="14"/>
      <c r="R3082" s="14"/>
      <c r="S3082" s="14"/>
      <c r="T3082" s="14"/>
      <c r="U3082" s="15"/>
      <c r="V3082" s="14"/>
      <c r="W3082" s="14"/>
      <c r="X3082" s="14"/>
      <c r="Y3082" s="14"/>
      <c r="Z3082" s="14"/>
    </row>
    <row r="3083" spans="1:26" ht="13.2">
      <c r="A3083" s="13"/>
      <c r="B3083" s="14"/>
      <c r="C3083" s="14"/>
      <c r="D3083" s="14"/>
      <c r="E3083" s="14"/>
      <c r="F3083" s="14"/>
      <c r="G3083" s="14"/>
      <c r="H3083" s="14"/>
      <c r="I3083" s="14"/>
      <c r="J3083" s="14"/>
      <c r="K3083" s="14"/>
      <c r="L3083" s="15"/>
      <c r="M3083" s="15"/>
      <c r="N3083" s="15"/>
      <c r="O3083" s="15"/>
      <c r="P3083" s="15"/>
      <c r="Q3083" s="14"/>
      <c r="R3083" s="14"/>
      <c r="S3083" s="14"/>
      <c r="T3083" s="14"/>
      <c r="U3083" s="15"/>
      <c r="V3083" s="14"/>
      <c r="W3083" s="14"/>
      <c r="X3083" s="14"/>
      <c r="Y3083" s="14"/>
      <c r="Z3083" s="14"/>
    </row>
    <row r="3084" spans="1:26" ht="13.2">
      <c r="A3084" s="13"/>
      <c r="B3084" s="14"/>
      <c r="C3084" s="14"/>
      <c r="D3084" s="14"/>
      <c r="E3084" s="14"/>
      <c r="F3084" s="14"/>
      <c r="G3084" s="14"/>
      <c r="H3084" s="14"/>
      <c r="I3084" s="14"/>
      <c r="J3084" s="14"/>
      <c r="K3084" s="14"/>
      <c r="L3084" s="15"/>
      <c r="M3084" s="15"/>
      <c r="N3084" s="15"/>
      <c r="O3084" s="15"/>
      <c r="P3084" s="15"/>
      <c r="Q3084" s="14"/>
      <c r="R3084" s="14"/>
      <c r="S3084" s="14"/>
      <c r="T3084" s="14"/>
      <c r="U3084" s="15"/>
      <c r="V3084" s="14"/>
      <c r="W3084" s="14"/>
      <c r="X3084" s="14"/>
      <c r="Y3084" s="14"/>
      <c r="Z3084" s="14"/>
    </row>
    <row r="3085" spans="1:26" ht="13.2">
      <c r="A3085" s="13"/>
      <c r="B3085" s="14"/>
      <c r="C3085" s="14"/>
      <c r="D3085" s="14"/>
      <c r="E3085" s="14"/>
      <c r="F3085" s="14"/>
      <c r="G3085" s="14"/>
      <c r="H3085" s="14"/>
      <c r="I3085" s="14"/>
      <c r="J3085" s="14"/>
      <c r="K3085" s="14"/>
      <c r="L3085" s="15"/>
      <c r="M3085" s="15"/>
      <c r="N3085" s="15"/>
      <c r="O3085" s="15"/>
      <c r="P3085" s="15"/>
      <c r="Q3085" s="14"/>
      <c r="R3085" s="14"/>
      <c r="S3085" s="14"/>
      <c r="T3085" s="14"/>
      <c r="U3085" s="15"/>
      <c r="V3085" s="14"/>
      <c r="W3085" s="14"/>
      <c r="X3085" s="14"/>
      <c r="Y3085" s="14"/>
      <c r="Z3085" s="14"/>
    </row>
    <row r="3086" spans="1:26" ht="13.2">
      <c r="A3086" s="13"/>
      <c r="B3086" s="14"/>
      <c r="C3086" s="14"/>
      <c r="D3086" s="14"/>
      <c r="E3086" s="14"/>
      <c r="F3086" s="14"/>
      <c r="G3086" s="14"/>
      <c r="H3086" s="14"/>
      <c r="I3086" s="14"/>
      <c r="J3086" s="14"/>
      <c r="K3086" s="14"/>
      <c r="L3086" s="15"/>
      <c r="M3086" s="15"/>
      <c r="N3086" s="15"/>
      <c r="O3086" s="15"/>
      <c r="P3086" s="15"/>
      <c r="Q3086" s="14"/>
      <c r="R3086" s="14"/>
      <c r="S3086" s="14"/>
      <c r="T3086" s="14"/>
      <c r="U3086" s="15"/>
      <c r="V3086" s="14"/>
      <c r="W3086" s="14"/>
      <c r="X3086" s="14"/>
      <c r="Y3086" s="14"/>
      <c r="Z3086" s="14"/>
    </row>
    <row r="3087" spans="1:26" ht="13.2">
      <c r="A3087" s="13"/>
      <c r="B3087" s="14"/>
      <c r="C3087" s="14"/>
      <c r="D3087" s="14"/>
      <c r="E3087" s="14"/>
      <c r="F3087" s="14"/>
      <c r="G3087" s="14"/>
      <c r="H3087" s="14"/>
      <c r="I3087" s="14"/>
      <c r="J3087" s="14"/>
      <c r="K3087" s="14"/>
      <c r="L3087" s="15"/>
      <c r="M3087" s="15"/>
      <c r="N3087" s="15"/>
      <c r="O3087" s="15"/>
      <c r="P3087" s="15"/>
      <c r="Q3087" s="14"/>
      <c r="R3087" s="14"/>
      <c r="S3087" s="14"/>
      <c r="T3087" s="14"/>
      <c r="U3087" s="15"/>
      <c r="V3087" s="14"/>
      <c r="W3087" s="14"/>
      <c r="X3087" s="14"/>
      <c r="Y3087" s="14"/>
      <c r="Z3087" s="14"/>
    </row>
    <row r="3088" spans="1:26" ht="13.2">
      <c r="A3088" s="13"/>
      <c r="B3088" s="14"/>
      <c r="C3088" s="14"/>
      <c r="D3088" s="14"/>
      <c r="E3088" s="14"/>
      <c r="F3088" s="14"/>
      <c r="G3088" s="14"/>
      <c r="H3088" s="14"/>
      <c r="I3088" s="14"/>
      <c r="J3088" s="14"/>
      <c r="K3088" s="14"/>
      <c r="L3088" s="15"/>
      <c r="M3088" s="15"/>
      <c r="N3088" s="15"/>
      <c r="O3088" s="15"/>
      <c r="P3088" s="15"/>
      <c r="Q3088" s="14"/>
      <c r="R3088" s="14"/>
      <c r="S3088" s="14"/>
      <c r="T3088" s="14"/>
      <c r="U3088" s="15"/>
      <c r="V3088" s="14"/>
      <c r="W3088" s="14"/>
      <c r="X3088" s="14"/>
      <c r="Y3088" s="14"/>
      <c r="Z3088" s="14"/>
    </row>
    <row r="3089" spans="1:26" ht="13.2">
      <c r="A3089" s="13"/>
      <c r="B3089" s="14"/>
      <c r="C3089" s="14"/>
      <c r="D3089" s="14"/>
      <c r="E3089" s="14"/>
      <c r="F3089" s="14"/>
      <c r="G3089" s="14"/>
      <c r="H3089" s="14"/>
      <c r="I3089" s="14"/>
      <c r="J3089" s="14"/>
      <c r="K3089" s="14"/>
      <c r="L3089" s="15"/>
      <c r="M3089" s="15"/>
      <c r="N3089" s="15"/>
      <c r="O3089" s="15"/>
      <c r="P3089" s="15"/>
      <c r="Q3089" s="14"/>
      <c r="R3089" s="14"/>
      <c r="S3089" s="14"/>
      <c r="T3089" s="14"/>
      <c r="U3089" s="15"/>
      <c r="V3089" s="14"/>
      <c r="W3089" s="14"/>
      <c r="X3089" s="14"/>
      <c r="Y3089" s="14"/>
      <c r="Z3089" s="14"/>
    </row>
    <row r="3090" spans="1:26" ht="13.2">
      <c r="A3090" s="13"/>
      <c r="B3090" s="14"/>
      <c r="C3090" s="14"/>
      <c r="D3090" s="14"/>
      <c r="E3090" s="14"/>
      <c r="F3090" s="14"/>
      <c r="G3090" s="14"/>
      <c r="H3090" s="14"/>
      <c r="I3090" s="14"/>
      <c r="J3090" s="14"/>
      <c r="K3090" s="14"/>
      <c r="L3090" s="15"/>
      <c r="M3090" s="15"/>
      <c r="N3090" s="15"/>
      <c r="O3090" s="15"/>
      <c r="P3090" s="15"/>
      <c r="Q3090" s="14"/>
      <c r="R3090" s="14"/>
      <c r="S3090" s="14"/>
      <c r="T3090" s="14"/>
      <c r="U3090" s="15"/>
      <c r="V3090" s="14"/>
      <c r="W3090" s="14"/>
      <c r="X3090" s="14"/>
      <c r="Y3090" s="14"/>
      <c r="Z3090" s="14"/>
    </row>
    <row r="3091" spans="1:26" ht="13.2">
      <c r="A3091" s="13"/>
      <c r="B3091" s="14"/>
      <c r="C3091" s="14"/>
      <c r="D3091" s="14"/>
      <c r="E3091" s="14"/>
      <c r="F3091" s="14"/>
      <c r="G3091" s="14"/>
      <c r="H3091" s="14"/>
      <c r="I3091" s="14"/>
      <c r="J3091" s="14"/>
      <c r="K3091" s="14"/>
      <c r="L3091" s="15"/>
      <c r="M3091" s="15"/>
      <c r="N3091" s="15"/>
      <c r="O3091" s="15"/>
      <c r="P3091" s="15"/>
      <c r="Q3091" s="14"/>
      <c r="R3091" s="14"/>
      <c r="S3091" s="14"/>
      <c r="T3091" s="14"/>
      <c r="U3091" s="15"/>
      <c r="V3091" s="14"/>
      <c r="W3091" s="14"/>
      <c r="X3091" s="14"/>
      <c r="Y3091" s="14"/>
      <c r="Z3091" s="14"/>
    </row>
    <row r="3092" spans="1:26" ht="13.2">
      <c r="A3092" s="13"/>
      <c r="B3092" s="14"/>
      <c r="C3092" s="14"/>
      <c r="D3092" s="14"/>
      <c r="E3092" s="14"/>
      <c r="F3092" s="14"/>
      <c r="G3092" s="14"/>
      <c r="H3092" s="14"/>
      <c r="I3092" s="14"/>
      <c r="J3092" s="14"/>
      <c r="K3092" s="14"/>
      <c r="L3092" s="15"/>
      <c r="M3092" s="15"/>
      <c r="N3092" s="15"/>
      <c r="O3092" s="15"/>
      <c r="P3092" s="15"/>
      <c r="Q3092" s="14"/>
      <c r="R3092" s="14"/>
      <c r="S3092" s="14"/>
      <c r="T3092" s="14"/>
      <c r="U3092" s="15"/>
      <c r="V3092" s="14"/>
      <c r="W3092" s="14"/>
      <c r="X3092" s="14"/>
      <c r="Y3092" s="14"/>
      <c r="Z3092" s="14"/>
    </row>
    <row r="3093" spans="1:26" ht="13.2">
      <c r="A3093" s="13"/>
      <c r="B3093" s="14"/>
      <c r="C3093" s="14"/>
      <c r="D3093" s="14"/>
      <c r="E3093" s="14"/>
      <c r="F3093" s="14"/>
      <c r="G3093" s="14"/>
      <c r="H3093" s="14"/>
      <c r="I3093" s="14"/>
      <c r="J3093" s="14"/>
      <c r="K3093" s="14"/>
      <c r="L3093" s="15"/>
      <c r="M3093" s="15"/>
      <c r="N3093" s="15"/>
      <c r="O3093" s="15"/>
      <c r="P3093" s="15"/>
      <c r="Q3093" s="14"/>
      <c r="R3093" s="14"/>
      <c r="S3093" s="14"/>
      <c r="T3093" s="14"/>
      <c r="U3093" s="15"/>
      <c r="V3093" s="14"/>
      <c r="W3093" s="14"/>
      <c r="X3093" s="14"/>
      <c r="Y3093" s="14"/>
      <c r="Z3093" s="14"/>
    </row>
    <row r="3094" spans="1:26" ht="13.2">
      <c r="A3094" s="13"/>
      <c r="B3094" s="14"/>
      <c r="C3094" s="14"/>
      <c r="D3094" s="14"/>
      <c r="E3094" s="14"/>
      <c r="F3094" s="14"/>
      <c r="G3094" s="14"/>
      <c r="H3094" s="14"/>
      <c r="I3094" s="14"/>
      <c r="J3094" s="14"/>
      <c r="K3094" s="14"/>
      <c r="L3094" s="15"/>
      <c r="M3094" s="15"/>
      <c r="N3094" s="15"/>
      <c r="O3094" s="15"/>
      <c r="P3094" s="15"/>
      <c r="Q3094" s="14"/>
      <c r="R3094" s="14"/>
      <c r="S3094" s="14"/>
      <c r="T3094" s="14"/>
      <c r="U3094" s="15"/>
      <c r="V3094" s="14"/>
      <c r="W3094" s="14"/>
      <c r="X3094" s="14"/>
      <c r="Y3094" s="14"/>
      <c r="Z3094" s="14"/>
    </row>
    <row r="3095" spans="1:26" ht="13.2">
      <c r="A3095" s="13"/>
      <c r="B3095" s="14"/>
      <c r="C3095" s="14"/>
      <c r="D3095" s="14"/>
      <c r="E3095" s="14"/>
      <c r="F3095" s="14"/>
      <c r="G3095" s="14"/>
      <c r="H3095" s="14"/>
      <c r="I3095" s="14"/>
      <c r="J3095" s="14"/>
      <c r="K3095" s="14"/>
      <c r="L3095" s="15"/>
      <c r="M3095" s="15"/>
      <c r="N3095" s="15"/>
      <c r="O3095" s="15"/>
      <c r="P3095" s="15"/>
      <c r="Q3095" s="14"/>
      <c r="R3095" s="14"/>
      <c r="S3095" s="14"/>
      <c r="T3095" s="14"/>
      <c r="U3095" s="15"/>
      <c r="V3095" s="14"/>
      <c r="W3095" s="14"/>
      <c r="X3095" s="14"/>
      <c r="Y3095" s="14"/>
      <c r="Z3095" s="14"/>
    </row>
    <row r="3096" spans="1:26" ht="13.2">
      <c r="A3096" s="13"/>
      <c r="B3096" s="14"/>
      <c r="C3096" s="14"/>
      <c r="D3096" s="14"/>
      <c r="E3096" s="14"/>
      <c r="F3096" s="14"/>
      <c r="G3096" s="14"/>
      <c r="H3096" s="14"/>
      <c r="I3096" s="14"/>
      <c r="J3096" s="14"/>
      <c r="K3096" s="14"/>
      <c r="L3096" s="15"/>
      <c r="M3096" s="15"/>
      <c r="N3096" s="15"/>
      <c r="O3096" s="15"/>
      <c r="P3096" s="15"/>
      <c r="Q3096" s="14"/>
      <c r="R3096" s="14"/>
      <c r="S3096" s="14"/>
      <c r="T3096" s="14"/>
      <c r="U3096" s="15"/>
      <c r="V3096" s="14"/>
      <c r="W3096" s="14"/>
      <c r="X3096" s="14"/>
      <c r="Y3096" s="14"/>
      <c r="Z3096" s="14"/>
    </row>
    <row r="3097" spans="1:26" ht="13.2">
      <c r="A3097" s="13"/>
      <c r="B3097" s="14"/>
      <c r="C3097" s="14"/>
      <c r="D3097" s="14"/>
      <c r="E3097" s="14"/>
      <c r="F3097" s="14"/>
      <c r="G3097" s="14"/>
      <c r="H3097" s="14"/>
      <c r="I3097" s="14"/>
      <c r="J3097" s="14"/>
      <c r="K3097" s="14"/>
      <c r="L3097" s="15"/>
      <c r="M3097" s="15"/>
      <c r="N3097" s="15"/>
      <c r="O3097" s="15"/>
      <c r="P3097" s="15"/>
      <c r="Q3097" s="14"/>
      <c r="R3097" s="14"/>
      <c r="S3097" s="14"/>
      <c r="T3097" s="14"/>
      <c r="U3097" s="15"/>
      <c r="V3097" s="14"/>
      <c r="W3097" s="14"/>
      <c r="X3097" s="14"/>
      <c r="Y3097" s="14"/>
      <c r="Z3097" s="14"/>
    </row>
    <row r="3098" spans="1:26" ht="13.2">
      <c r="A3098" s="13"/>
      <c r="B3098" s="14"/>
      <c r="C3098" s="14"/>
      <c r="D3098" s="14"/>
      <c r="E3098" s="14"/>
      <c r="F3098" s="14"/>
      <c r="G3098" s="14"/>
      <c r="H3098" s="14"/>
      <c r="I3098" s="14"/>
      <c r="J3098" s="14"/>
      <c r="K3098" s="14"/>
      <c r="L3098" s="15"/>
      <c r="M3098" s="15"/>
      <c r="N3098" s="15"/>
      <c r="O3098" s="15"/>
      <c r="P3098" s="15"/>
      <c r="Q3098" s="14"/>
      <c r="R3098" s="14"/>
      <c r="S3098" s="14"/>
      <c r="T3098" s="14"/>
      <c r="U3098" s="15"/>
      <c r="V3098" s="14"/>
      <c r="W3098" s="14"/>
      <c r="X3098" s="14"/>
      <c r="Y3098" s="14"/>
      <c r="Z3098" s="14"/>
    </row>
    <row r="3099" spans="1:26" ht="13.2">
      <c r="A3099" s="13"/>
      <c r="B3099" s="14"/>
      <c r="C3099" s="14"/>
      <c r="D3099" s="14"/>
      <c r="E3099" s="14"/>
      <c r="F3099" s="14"/>
      <c r="G3099" s="14"/>
      <c r="H3099" s="14"/>
      <c r="I3099" s="14"/>
      <c r="J3099" s="14"/>
      <c r="K3099" s="14"/>
      <c r="L3099" s="15"/>
      <c r="M3099" s="15"/>
      <c r="N3099" s="15"/>
      <c r="O3099" s="15"/>
      <c r="P3099" s="15"/>
      <c r="Q3099" s="14"/>
      <c r="R3099" s="14"/>
      <c r="S3099" s="14"/>
      <c r="T3099" s="14"/>
      <c r="U3099" s="15"/>
      <c r="V3099" s="14"/>
      <c r="W3099" s="14"/>
      <c r="X3099" s="14"/>
      <c r="Y3099" s="14"/>
      <c r="Z3099" s="14"/>
    </row>
    <row r="3100" spans="1:26" ht="13.2">
      <c r="A3100" s="13"/>
      <c r="B3100" s="14"/>
      <c r="C3100" s="14"/>
      <c r="D3100" s="14"/>
      <c r="E3100" s="14"/>
      <c r="F3100" s="14"/>
      <c r="G3100" s="14"/>
      <c r="H3100" s="14"/>
      <c r="I3100" s="14"/>
      <c r="J3100" s="14"/>
      <c r="K3100" s="14"/>
      <c r="L3100" s="15"/>
      <c r="M3100" s="15"/>
      <c r="N3100" s="15"/>
      <c r="O3100" s="15"/>
      <c r="P3100" s="15"/>
      <c r="Q3100" s="14"/>
      <c r="R3100" s="14"/>
      <c r="S3100" s="14"/>
      <c r="T3100" s="14"/>
      <c r="U3100" s="15"/>
      <c r="V3100" s="14"/>
      <c r="W3100" s="14"/>
      <c r="X3100" s="14"/>
      <c r="Y3100" s="14"/>
      <c r="Z3100" s="14"/>
    </row>
    <row r="3101" spans="1:26" ht="13.2">
      <c r="A3101" s="13"/>
      <c r="B3101" s="14"/>
      <c r="C3101" s="14"/>
      <c r="D3101" s="14"/>
      <c r="E3101" s="14"/>
      <c r="F3101" s="14"/>
      <c r="G3101" s="14"/>
      <c r="H3101" s="14"/>
      <c r="I3101" s="14"/>
      <c r="J3101" s="14"/>
      <c r="K3101" s="14"/>
      <c r="L3101" s="15"/>
      <c r="M3101" s="15"/>
      <c r="N3101" s="15"/>
      <c r="O3101" s="15"/>
      <c r="P3101" s="15"/>
      <c r="Q3101" s="14"/>
      <c r="R3101" s="14"/>
      <c r="S3101" s="14"/>
      <c r="T3101" s="14"/>
      <c r="U3101" s="15"/>
      <c r="V3101" s="14"/>
      <c r="W3101" s="14"/>
      <c r="X3101" s="14"/>
      <c r="Y3101" s="14"/>
      <c r="Z3101" s="14"/>
    </row>
    <row r="3102" spans="1:26" ht="13.2">
      <c r="A3102" s="13"/>
      <c r="B3102" s="14"/>
      <c r="C3102" s="14"/>
      <c r="D3102" s="14"/>
      <c r="E3102" s="14"/>
      <c r="F3102" s="14"/>
      <c r="G3102" s="14"/>
      <c r="H3102" s="14"/>
      <c r="I3102" s="14"/>
      <c r="J3102" s="14"/>
      <c r="K3102" s="14"/>
      <c r="L3102" s="15"/>
      <c r="M3102" s="15"/>
      <c r="N3102" s="15"/>
      <c r="O3102" s="15"/>
      <c r="P3102" s="15"/>
      <c r="Q3102" s="14"/>
      <c r="R3102" s="14"/>
      <c r="S3102" s="14"/>
      <c r="T3102" s="14"/>
      <c r="U3102" s="15"/>
      <c r="V3102" s="14"/>
      <c r="W3102" s="14"/>
      <c r="X3102" s="14"/>
      <c r="Y3102" s="14"/>
      <c r="Z3102" s="14"/>
    </row>
    <row r="3103" spans="1:26" ht="13.2">
      <c r="A3103" s="13"/>
      <c r="B3103" s="14"/>
      <c r="C3103" s="14"/>
      <c r="D3103" s="14"/>
      <c r="E3103" s="14"/>
      <c r="F3103" s="14"/>
      <c r="G3103" s="14"/>
      <c r="H3103" s="14"/>
      <c r="I3103" s="14"/>
      <c r="J3103" s="14"/>
      <c r="K3103" s="14"/>
      <c r="L3103" s="15"/>
      <c r="M3103" s="15"/>
      <c r="N3103" s="15"/>
      <c r="O3103" s="15"/>
      <c r="P3103" s="15"/>
      <c r="Q3103" s="14"/>
      <c r="R3103" s="14"/>
      <c r="S3103" s="14"/>
      <c r="T3103" s="14"/>
      <c r="U3103" s="15"/>
      <c r="V3103" s="14"/>
      <c r="W3103" s="14"/>
      <c r="X3103" s="14"/>
      <c r="Y3103" s="14"/>
      <c r="Z3103" s="14"/>
    </row>
    <row r="3104" spans="1:26" ht="13.2">
      <c r="A3104" s="13"/>
      <c r="B3104" s="14"/>
      <c r="C3104" s="14"/>
      <c r="D3104" s="14"/>
      <c r="E3104" s="14"/>
      <c r="F3104" s="14"/>
      <c r="G3104" s="14"/>
      <c r="H3104" s="14"/>
      <c r="I3104" s="14"/>
      <c r="J3104" s="14"/>
      <c r="K3104" s="14"/>
      <c r="L3104" s="15"/>
      <c r="M3104" s="15"/>
      <c r="N3104" s="15"/>
      <c r="O3104" s="15"/>
      <c r="P3104" s="15"/>
      <c r="Q3104" s="14"/>
      <c r="R3104" s="14"/>
      <c r="S3104" s="14"/>
      <c r="T3104" s="14"/>
      <c r="U3104" s="15"/>
      <c r="V3104" s="14"/>
      <c r="W3104" s="14"/>
      <c r="X3104" s="14"/>
      <c r="Y3104" s="14"/>
      <c r="Z3104" s="14"/>
    </row>
    <row r="3105" spans="1:26" ht="13.2">
      <c r="A3105" s="13"/>
      <c r="B3105" s="14"/>
      <c r="C3105" s="14"/>
      <c r="D3105" s="14"/>
      <c r="E3105" s="14"/>
      <c r="F3105" s="14"/>
      <c r="G3105" s="14"/>
      <c r="H3105" s="14"/>
      <c r="I3105" s="14"/>
      <c r="J3105" s="14"/>
      <c r="K3105" s="14"/>
      <c r="L3105" s="15"/>
      <c r="M3105" s="15"/>
      <c r="N3105" s="15"/>
      <c r="O3105" s="15"/>
      <c r="P3105" s="15"/>
      <c r="Q3105" s="14"/>
      <c r="R3105" s="14"/>
      <c r="S3105" s="14"/>
      <c r="T3105" s="14"/>
      <c r="U3105" s="15"/>
      <c r="V3105" s="14"/>
      <c r="W3105" s="14"/>
      <c r="X3105" s="14"/>
      <c r="Y3105" s="14"/>
      <c r="Z3105" s="14"/>
    </row>
    <row r="3106" spans="1:26" ht="13.2">
      <c r="A3106" s="13"/>
      <c r="B3106" s="14"/>
      <c r="C3106" s="14"/>
      <c r="D3106" s="14"/>
      <c r="E3106" s="14"/>
      <c r="F3106" s="14"/>
      <c r="G3106" s="14"/>
      <c r="H3106" s="14"/>
      <c r="I3106" s="14"/>
      <c r="J3106" s="14"/>
      <c r="K3106" s="14"/>
      <c r="L3106" s="15"/>
      <c r="M3106" s="15"/>
      <c r="N3106" s="15"/>
      <c r="O3106" s="15"/>
      <c r="P3106" s="15"/>
      <c r="Q3106" s="14"/>
      <c r="R3106" s="14"/>
      <c r="S3106" s="14"/>
      <c r="T3106" s="14"/>
      <c r="U3106" s="15"/>
      <c r="V3106" s="14"/>
      <c r="W3106" s="14"/>
      <c r="X3106" s="14"/>
      <c r="Y3106" s="14"/>
      <c r="Z3106" s="14"/>
    </row>
    <row r="3107" spans="1:26" ht="13.2">
      <c r="A3107" s="13"/>
      <c r="B3107" s="14"/>
      <c r="C3107" s="14"/>
      <c r="D3107" s="14"/>
      <c r="E3107" s="14"/>
      <c r="F3107" s="14"/>
      <c r="G3107" s="14"/>
      <c r="H3107" s="14"/>
      <c r="I3107" s="14"/>
      <c r="J3107" s="14"/>
      <c r="K3107" s="14"/>
      <c r="L3107" s="15"/>
      <c r="M3107" s="15"/>
      <c r="N3107" s="15"/>
      <c r="O3107" s="15"/>
      <c r="P3107" s="15"/>
      <c r="Q3107" s="14"/>
      <c r="R3107" s="14"/>
      <c r="S3107" s="14"/>
      <c r="T3107" s="14"/>
      <c r="U3107" s="15"/>
      <c r="V3107" s="14"/>
      <c r="W3107" s="14"/>
      <c r="X3107" s="14"/>
      <c r="Y3107" s="14"/>
      <c r="Z3107" s="14"/>
    </row>
    <row r="3108" spans="1:26" ht="13.2">
      <c r="A3108" s="13"/>
      <c r="B3108" s="14"/>
      <c r="C3108" s="14"/>
      <c r="D3108" s="14"/>
      <c r="E3108" s="14"/>
      <c r="F3108" s="14"/>
      <c r="G3108" s="14"/>
      <c r="H3108" s="14"/>
      <c r="I3108" s="14"/>
      <c r="J3108" s="14"/>
      <c r="K3108" s="14"/>
      <c r="L3108" s="15"/>
      <c r="M3108" s="15"/>
      <c r="N3108" s="15"/>
      <c r="O3108" s="15"/>
      <c r="P3108" s="15"/>
      <c r="Q3108" s="14"/>
      <c r="R3108" s="14"/>
      <c r="S3108" s="14"/>
      <c r="T3108" s="14"/>
      <c r="U3108" s="15"/>
      <c r="V3108" s="14"/>
      <c r="W3108" s="14"/>
      <c r="X3108" s="14"/>
      <c r="Y3108" s="14"/>
      <c r="Z3108" s="14"/>
    </row>
    <row r="3109" spans="1:26" ht="13.2">
      <c r="A3109" s="13"/>
      <c r="B3109" s="14"/>
      <c r="C3109" s="14"/>
      <c r="D3109" s="14"/>
      <c r="E3109" s="14"/>
      <c r="F3109" s="14"/>
      <c r="G3109" s="14"/>
      <c r="H3109" s="14"/>
      <c r="I3109" s="14"/>
      <c r="J3109" s="14"/>
      <c r="K3109" s="14"/>
      <c r="L3109" s="15"/>
      <c r="M3109" s="15"/>
      <c r="N3109" s="15"/>
      <c r="O3109" s="15"/>
      <c r="P3109" s="15"/>
      <c r="Q3109" s="14"/>
      <c r="R3109" s="14"/>
      <c r="S3109" s="14"/>
      <c r="T3109" s="14"/>
      <c r="U3109" s="15"/>
      <c r="V3109" s="14"/>
      <c r="W3109" s="14"/>
      <c r="X3109" s="14"/>
      <c r="Y3109" s="14"/>
      <c r="Z3109" s="14"/>
    </row>
    <row r="3110" spans="1:26" ht="13.2">
      <c r="A3110" s="13"/>
      <c r="B3110" s="14"/>
      <c r="C3110" s="14"/>
      <c r="D3110" s="14"/>
      <c r="E3110" s="14"/>
      <c r="F3110" s="14"/>
      <c r="G3110" s="14"/>
      <c r="H3110" s="14"/>
      <c r="I3110" s="14"/>
      <c r="J3110" s="14"/>
      <c r="K3110" s="14"/>
      <c r="L3110" s="15"/>
      <c r="M3110" s="15"/>
      <c r="N3110" s="15"/>
      <c r="O3110" s="15"/>
      <c r="P3110" s="15"/>
      <c r="Q3110" s="14"/>
      <c r="R3110" s="14"/>
      <c r="S3110" s="14"/>
      <c r="T3110" s="14"/>
      <c r="U3110" s="15"/>
      <c r="V3110" s="14"/>
      <c r="W3110" s="14"/>
      <c r="X3110" s="14"/>
      <c r="Y3110" s="14"/>
      <c r="Z3110" s="14"/>
    </row>
    <row r="3111" spans="1:26" ht="13.2">
      <c r="A3111" s="13"/>
      <c r="B3111" s="14"/>
      <c r="C3111" s="14"/>
      <c r="D3111" s="14"/>
      <c r="E3111" s="14"/>
      <c r="F3111" s="14"/>
      <c r="G3111" s="14"/>
      <c r="H3111" s="14"/>
      <c r="I3111" s="14"/>
      <c r="J3111" s="14"/>
      <c r="K3111" s="14"/>
      <c r="L3111" s="15"/>
      <c r="M3111" s="15"/>
      <c r="N3111" s="15"/>
      <c r="O3111" s="15"/>
      <c r="P3111" s="15"/>
      <c r="Q3111" s="14"/>
      <c r="R3111" s="14"/>
      <c r="S3111" s="14"/>
      <c r="T3111" s="14"/>
      <c r="U3111" s="15"/>
      <c r="V3111" s="14"/>
      <c r="W3111" s="14"/>
      <c r="X3111" s="14"/>
      <c r="Y3111" s="14"/>
      <c r="Z3111" s="14"/>
    </row>
    <row r="3112" spans="1:26" ht="13.2">
      <c r="A3112" s="13"/>
      <c r="B3112" s="14"/>
      <c r="C3112" s="14"/>
      <c r="D3112" s="14"/>
      <c r="E3112" s="14"/>
      <c r="F3112" s="14"/>
      <c r="G3112" s="14"/>
      <c r="H3112" s="14"/>
      <c r="I3112" s="14"/>
      <c r="J3112" s="14"/>
      <c r="K3112" s="14"/>
      <c r="L3112" s="15"/>
      <c r="M3112" s="15"/>
      <c r="N3112" s="15"/>
      <c r="O3112" s="15"/>
      <c r="P3112" s="15"/>
      <c r="Q3112" s="14"/>
      <c r="R3112" s="14"/>
      <c r="S3112" s="14"/>
      <c r="T3112" s="14"/>
      <c r="U3112" s="15"/>
      <c r="V3112" s="14"/>
      <c r="W3112" s="14"/>
      <c r="X3112" s="14"/>
      <c r="Y3112" s="14"/>
      <c r="Z3112" s="14"/>
    </row>
    <row r="3113" spans="1:26" ht="13.2">
      <c r="A3113" s="13"/>
      <c r="B3113" s="14"/>
      <c r="C3113" s="14"/>
      <c r="D3113" s="14"/>
      <c r="E3113" s="14"/>
      <c r="F3113" s="14"/>
      <c r="G3113" s="14"/>
      <c r="H3113" s="14"/>
      <c r="I3113" s="14"/>
      <c r="J3113" s="14"/>
      <c r="K3113" s="14"/>
      <c r="L3113" s="15"/>
      <c r="M3113" s="15"/>
      <c r="N3113" s="15"/>
      <c r="O3113" s="15"/>
      <c r="P3113" s="15"/>
      <c r="Q3113" s="14"/>
      <c r="R3113" s="14"/>
      <c r="S3113" s="14"/>
      <c r="T3113" s="14"/>
      <c r="U3113" s="15"/>
      <c r="V3113" s="14"/>
      <c r="W3113" s="14"/>
      <c r="X3113" s="14"/>
      <c r="Y3113" s="14"/>
      <c r="Z3113" s="14"/>
    </row>
    <row r="3114" spans="1:26" ht="13.2">
      <c r="A3114" s="13"/>
      <c r="B3114" s="14"/>
      <c r="C3114" s="14"/>
      <c r="D3114" s="14"/>
      <c r="E3114" s="14"/>
      <c r="F3114" s="14"/>
      <c r="G3114" s="14"/>
      <c r="H3114" s="14"/>
      <c r="I3114" s="14"/>
      <c r="J3114" s="14"/>
      <c r="K3114" s="14"/>
      <c r="L3114" s="15"/>
      <c r="M3114" s="15"/>
      <c r="N3114" s="15"/>
      <c r="O3114" s="15"/>
      <c r="P3114" s="15"/>
      <c r="Q3114" s="14"/>
      <c r="R3114" s="14"/>
      <c r="S3114" s="14"/>
      <c r="T3114" s="14"/>
      <c r="U3114" s="15"/>
      <c r="V3114" s="14"/>
      <c r="W3114" s="14"/>
      <c r="X3114" s="14"/>
      <c r="Y3114" s="14"/>
      <c r="Z3114" s="14"/>
    </row>
    <row r="3115" spans="1:26" ht="13.2">
      <c r="A3115" s="13"/>
      <c r="B3115" s="14"/>
      <c r="C3115" s="14"/>
      <c r="D3115" s="14"/>
      <c r="E3115" s="14"/>
      <c r="F3115" s="14"/>
      <c r="G3115" s="14"/>
      <c r="H3115" s="14"/>
      <c r="I3115" s="14"/>
      <c r="J3115" s="14"/>
      <c r="K3115" s="14"/>
      <c r="L3115" s="15"/>
      <c r="M3115" s="15"/>
      <c r="N3115" s="15"/>
      <c r="O3115" s="15"/>
      <c r="P3115" s="15"/>
      <c r="Q3115" s="14"/>
      <c r="R3115" s="14"/>
      <c r="S3115" s="14"/>
      <c r="T3115" s="14"/>
      <c r="U3115" s="15"/>
      <c r="V3115" s="14"/>
      <c r="W3115" s="14"/>
      <c r="X3115" s="14"/>
      <c r="Y3115" s="14"/>
      <c r="Z3115" s="14"/>
    </row>
    <row r="3116" spans="1:26" ht="13.2">
      <c r="A3116" s="13"/>
      <c r="B3116" s="14"/>
      <c r="C3116" s="14"/>
      <c r="D3116" s="14"/>
      <c r="E3116" s="14"/>
      <c r="F3116" s="14"/>
      <c r="G3116" s="14"/>
      <c r="H3116" s="14"/>
      <c r="I3116" s="14"/>
      <c r="J3116" s="14"/>
      <c r="K3116" s="14"/>
      <c r="L3116" s="15"/>
      <c r="M3116" s="15"/>
      <c r="N3116" s="15"/>
      <c r="O3116" s="15"/>
      <c r="P3116" s="15"/>
      <c r="Q3116" s="14"/>
      <c r="R3116" s="14"/>
      <c r="S3116" s="14"/>
      <c r="T3116" s="14"/>
      <c r="U3116" s="15"/>
      <c r="V3116" s="14"/>
      <c r="W3116" s="14"/>
      <c r="X3116" s="14"/>
      <c r="Y3116" s="14"/>
      <c r="Z3116" s="14"/>
    </row>
    <row r="3117" spans="1:26" ht="13.2">
      <c r="A3117" s="13"/>
      <c r="B3117" s="14"/>
      <c r="C3117" s="14"/>
      <c r="D3117" s="14"/>
      <c r="E3117" s="14"/>
      <c r="F3117" s="14"/>
      <c r="G3117" s="14"/>
      <c r="H3117" s="14"/>
      <c r="I3117" s="14"/>
      <c r="J3117" s="14"/>
      <c r="K3117" s="14"/>
      <c r="L3117" s="15"/>
      <c r="M3117" s="15"/>
      <c r="N3117" s="15"/>
      <c r="O3117" s="15"/>
      <c r="P3117" s="15"/>
      <c r="Q3117" s="14"/>
      <c r="R3117" s="14"/>
      <c r="S3117" s="14"/>
      <c r="T3117" s="14"/>
      <c r="U3117" s="15"/>
      <c r="V3117" s="14"/>
      <c r="W3117" s="14"/>
      <c r="X3117" s="14"/>
      <c r="Y3117" s="14"/>
      <c r="Z3117" s="14"/>
    </row>
    <row r="3118" spans="1:26" ht="13.2">
      <c r="A3118" s="13"/>
      <c r="B3118" s="14"/>
      <c r="C3118" s="14"/>
      <c r="D3118" s="14"/>
      <c r="E3118" s="14"/>
      <c r="F3118" s="14"/>
      <c r="G3118" s="14"/>
      <c r="H3118" s="14"/>
      <c r="I3118" s="14"/>
      <c r="J3118" s="14"/>
      <c r="K3118" s="14"/>
      <c r="L3118" s="15"/>
      <c r="M3118" s="15"/>
      <c r="N3118" s="15"/>
      <c r="O3118" s="15"/>
      <c r="P3118" s="15"/>
      <c r="Q3118" s="14"/>
      <c r="R3118" s="14"/>
      <c r="S3118" s="14"/>
      <c r="T3118" s="14"/>
      <c r="U3118" s="15"/>
      <c r="V3118" s="14"/>
      <c r="W3118" s="14"/>
      <c r="X3118" s="14"/>
      <c r="Y3118" s="14"/>
      <c r="Z3118" s="14"/>
    </row>
    <row r="3119" spans="1:26" ht="13.2">
      <c r="A3119" s="13"/>
      <c r="B3119" s="14"/>
      <c r="C3119" s="14"/>
      <c r="D3119" s="14"/>
      <c r="E3119" s="14"/>
      <c r="F3119" s="14"/>
      <c r="G3119" s="14"/>
      <c r="H3119" s="14"/>
      <c r="I3119" s="14"/>
      <c r="J3119" s="14"/>
      <c r="K3119" s="14"/>
      <c r="L3119" s="15"/>
      <c r="M3119" s="15"/>
      <c r="N3119" s="15"/>
      <c r="O3119" s="15"/>
      <c r="P3119" s="15"/>
      <c r="Q3119" s="14"/>
      <c r="R3119" s="14"/>
      <c r="S3119" s="14"/>
      <c r="T3119" s="14"/>
      <c r="U3119" s="15"/>
      <c r="V3119" s="14"/>
      <c r="W3119" s="14"/>
      <c r="X3119" s="14"/>
      <c r="Y3119" s="14"/>
      <c r="Z3119" s="14"/>
    </row>
    <row r="3120" spans="1:26" ht="13.2">
      <c r="A3120" s="13"/>
      <c r="B3120" s="14"/>
      <c r="C3120" s="14"/>
      <c r="D3120" s="14"/>
      <c r="E3120" s="14"/>
      <c r="F3120" s="14"/>
      <c r="G3120" s="14"/>
      <c r="H3120" s="14"/>
      <c r="I3120" s="14"/>
      <c r="J3120" s="14"/>
      <c r="K3120" s="14"/>
      <c r="L3120" s="15"/>
      <c r="M3120" s="15"/>
      <c r="N3120" s="15"/>
      <c r="O3120" s="15"/>
      <c r="P3120" s="15"/>
      <c r="Q3120" s="14"/>
      <c r="R3120" s="14"/>
      <c r="S3120" s="14"/>
      <c r="T3120" s="14"/>
      <c r="U3120" s="15"/>
      <c r="V3120" s="14"/>
      <c r="W3120" s="14"/>
      <c r="X3120" s="14"/>
      <c r="Y3120" s="14"/>
      <c r="Z3120" s="14"/>
    </row>
    <row r="3121" spans="1:26" ht="13.2">
      <c r="A3121" s="13"/>
      <c r="B3121" s="14"/>
      <c r="C3121" s="14"/>
      <c r="D3121" s="14"/>
      <c r="E3121" s="14"/>
      <c r="F3121" s="14"/>
      <c r="G3121" s="14"/>
      <c r="H3121" s="14"/>
      <c r="I3121" s="14"/>
      <c r="J3121" s="14"/>
      <c r="K3121" s="14"/>
      <c r="L3121" s="15"/>
      <c r="M3121" s="15"/>
      <c r="N3121" s="15"/>
      <c r="O3121" s="15"/>
      <c r="P3121" s="15"/>
      <c r="Q3121" s="14"/>
      <c r="R3121" s="14"/>
      <c r="S3121" s="14"/>
      <c r="T3121" s="14"/>
      <c r="U3121" s="15"/>
      <c r="V3121" s="14"/>
      <c r="W3121" s="14"/>
      <c r="X3121" s="14"/>
      <c r="Y3121" s="14"/>
      <c r="Z3121" s="14"/>
    </row>
    <row r="3122" spans="1:26" ht="13.2">
      <c r="A3122" s="13"/>
      <c r="B3122" s="14"/>
      <c r="C3122" s="14"/>
      <c r="D3122" s="14"/>
      <c r="E3122" s="14"/>
      <c r="F3122" s="14"/>
      <c r="G3122" s="14"/>
      <c r="H3122" s="14"/>
      <c r="I3122" s="14"/>
      <c r="J3122" s="14"/>
      <c r="K3122" s="14"/>
      <c r="L3122" s="15"/>
      <c r="M3122" s="15"/>
      <c r="N3122" s="15"/>
      <c r="O3122" s="15"/>
      <c r="P3122" s="15"/>
      <c r="Q3122" s="14"/>
      <c r="R3122" s="14"/>
      <c r="S3122" s="14"/>
      <c r="T3122" s="14"/>
      <c r="U3122" s="15"/>
      <c r="V3122" s="14"/>
      <c r="W3122" s="14"/>
      <c r="X3122" s="14"/>
      <c r="Y3122" s="14"/>
      <c r="Z3122" s="14"/>
    </row>
    <row r="3123" spans="1:26" ht="13.2">
      <c r="A3123" s="13"/>
      <c r="B3123" s="14"/>
      <c r="C3123" s="14"/>
      <c r="D3123" s="14"/>
      <c r="E3123" s="14"/>
      <c r="F3123" s="14"/>
      <c r="G3123" s="14"/>
      <c r="H3123" s="14"/>
      <c r="I3123" s="14"/>
      <c r="J3123" s="14"/>
      <c r="K3123" s="14"/>
      <c r="L3123" s="15"/>
      <c r="M3123" s="15"/>
      <c r="N3123" s="15"/>
      <c r="O3123" s="15"/>
      <c r="P3123" s="15"/>
      <c r="Q3123" s="14"/>
      <c r="R3123" s="14"/>
      <c r="S3123" s="14"/>
      <c r="T3123" s="14"/>
      <c r="U3123" s="15"/>
      <c r="V3123" s="14"/>
      <c r="W3123" s="14"/>
      <c r="X3123" s="14"/>
      <c r="Y3123" s="14"/>
      <c r="Z3123" s="14"/>
    </row>
    <row r="3124" spans="1:26" ht="13.2">
      <c r="A3124" s="13"/>
      <c r="B3124" s="14"/>
      <c r="C3124" s="14"/>
      <c r="D3124" s="14"/>
      <c r="E3124" s="14"/>
      <c r="F3124" s="14"/>
      <c r="G3124" s="14"/>
      <c r="H3124" s="14"/>
      <c r="I3124" s="14"/>
      <c r="J3124" s="14"/>
      <c r="K3124" s="14"/>
      <c r="L3124" s="15"/>
      <c r="M3124" s="15"/>
      <c r="N3124" s="15"/>
      <c r="O3124" s="15"/>
      <c r="P3124" s="15"/>
      <c r="Q3124" s="14"/>
      <c r="R3124" s="14"/>
      <c r="S3124" s="14"/>
      <c r="T3124" s="14"/>
      <c r="U3124" s="15"/>
      <c r="V3124" s="14"/>
      <c r="W3124" s="14"/>
      <c r="X3124" s="14"/>
      <c r="Y3124" s="14"/>
      <c r="Z3124" s="14"/>
    </row>
    <row r="3125" spans="1:26" ht="13.2">
      <c r="A3125" s="13"/>
      <c r="B3125" s="14"/>
      <c r="C3125" s="14"/>
      <c r="D3125" s="14"/>
      <c r="E3125" s="14"/>
      <c r="F3125" s="14"/>
      <c r="G3125" s="14"/>
      <c r="H3125" s="14"/>
      <c r="I3125" s="14"/>
      <c r="J3125" s="14"/>
      <c r="K3125" s="14"/>
      <c r="L3125" s="15"/>
      <c r="M3125" s="15"/>
      <c r="N3125" s="15"/>
      <c r="O3125" s="15"/>
      <c r="P3125" s="15"/>
      <c r="Q3125" s="14"/>
      <c r="R3125" s="14"/>
      <c r="S3125" s="14"/>
      <c r="T3125" s="14"/>
      <c r="U3125" s="15"/>
      <c r="V3125" s="14"/>
      <c r="W3125" s="14"/>
      <c r="X3125" s="14"/>
      <c r="Y3125" s="14"/>
      <c r="Z3125" s="14"/>
    </row>
    <row r="3126" spans="1:26" ht="13.2">
      <c r="A3126" s="13"/>
      <c r="B3126" s="14"/>
      <c r="C3126" s="14"/>
      <c r="D3126" s="14"/>
      <c r="E3126" s="14"/>
      <c r="F3126" s="14"/>
      <c r="G3126" s="14"/>
      <c r="H3126" s="14"/>
      <c r="I3126" s="14"/>
      <c r="J3126" s="14"/>
      <c r="K3126" s="14"/>
      <c r="L3126" s="15"/>
      <c r="M3126" s="15"/>
      <c r="N3126" s="15"/>
      <c r="O3126" s="15"/>
      <c r="P3126" s="15"/>
      <c r="Q3126" s="14"/>
      <c r="R3126" s="14"/>
      <c r="S3126" s="14"/>
      <c r="T3126" s="14"/>
      <c r="U3126" s="15"/>
      <c r="V3126" s="14"/>
      <c r="W3126" s="14"/>
      <c r="X3126" s="14"/>
      <c r="Y3126" s="14"/>
      <c r="Z3126" s="14"/>
    </row>
    <row r="3127" spans="1:26" ht="13.2">
      <c r="A3127" s="13"/>
      <c r="B3127" s="14"/>
      <c r="C3127" s="14"/>
      <c r="D3127" s="14"/>
      <c r="E3127" s="14"/>
      <c r="F3127" s="14"/>
      <c r="G3127" s="14"/>
      <c r="H3127" s="14"/>
      <c r="I3127" s="14"/>
      <c r="J3127" s="14"/>
      <c r="K3127" s="14"/>
      <c r="L3127" s="15"/>
      <c r="M3127" s="15"/>
      <c r="N3127" s="15"/>
      <c r="O3127" s="15"/>
      <c r="P3127" s="15"/>
      <c r="Q3127" s="14"/>
      <c r="R3127" s="14"/>
      <c r="S3127" s="14"/>
      <c r="T3127" s="14"/>
      <c r="U3127" s="15"/>
      <c r="V3127" s="14"/>
      <c r="W3127" s="14"/>
      <c r="X3127" s="14"/>
      <c r="Y3127" s="14"/>
      <c r="Z3127" s="14"/>
    </row>
    <row r="3128" spans="1:26" ht="13.2">
      <c r="A3128" s="13"/>
      <c r="B3128" s="14"/>
      <c r="C3128" s="14"/>
      <c r="D3128" s="14"/>
      <c r="E3128" s="14"/>
      <c r="F3128" s="14"/>
      <c r="G3128" s="14"/>
      <c r="H3128" s="14"/>
      <c r="I3128" s="14"/>
      <c r="J3128" s="14"/>
      <c r="K3128" s="14"/>
      <c r="L3128" s="15"/>
      <c r="M3128" s="15"/>
      <c r="N3128" s="15"/>
      <c r="O3128" s="15"/>
      <c r="P3128" s="15"/>
      <c r="Q3128" s="14"/>
      <c r="R3128" s="14"/>
      <c r="S3128" s="14"/>
      <c r="T3128" s="14"/>
      <c r="U3128" s="15"/>
      <c r="V3128" s="14"/>
      <c r="W3128" s="14"/>
      <c r="X3128" s="14"/>
      <c r="Y3128" s="14"/>
      <c r="Z3128" s="14"/>
    </row>
    <row r="3129" spans="1:26" ht="13.2">
      <c r="A3129" s="13"/>
      <c r="B3129" s="14"/>
      <c r="C3129" s="14"/>
      <c r="D3129" s="14"/>
      <c r="E3129" s="14"/>
      <c r="F3129" s="14"/>
      <c r="G3129" s="14"/>
      <c r="H3129" s="14"/>
      <c r="I3129" s="14"/>
      <c r="J3129" s="14"/>
      <c r="K3129" s="14"/>
      <c r="L3129" s="15"/>
      <c r="M3129" s="15"/>
      <c r="N3129" s="15"/>
      <c r="O3129" s="15"/>
      <c r="P3129" s="15"/>
      <c r="Q3129" s="14"/>
      <c r="R3129" s="14"/>
      <c r="S3129" s="14"/>
      <c r="T3129" s="14"/>
      <c r="U3129" s="15"/>
      <c r="V3129" s="14"/>
      <c r="W3129" s="14"/>
      <c r="X3129" s="14"/>
      <c r="Y3129" s="14"/>
      <c r="Z3129" s="14"/>
    </row>
    <row r="3130" spans="1:26" ht="13.2">
      <c r="A3130" s="13"/>
      <c r="B3130" s="14"/>
      <c r="C3130" s="14"/>
      <c r="D3130" s="14"/>
      <c r="E3130" s="14"/>
      <c r="F3130" s="14"/>
      <c r="G3130" s="14"/>
      <c r="H3130" s="14"/>
      <c r="I3130" s="14"/>
      <c r="J3130" s="14"/>
      <c r="K3130" s="14"/>
      <c r="L3130" s="15"/>
      <c r="M3130" s="15"/>
      <c r="N3130" s="15"/>
      <c r="O3130" s="15"/>
      <c r="P3130" s="15"/>
      <c r="Q3130" s="14"/>
      <c r="R3130" s="14"/>
      <c r="S3130" s="14"/>
      <c r="T3130" s="14"/>
      <c r="U3130" s="15"/>
      <c r="V3130" s="14"/>
      <c r="W3130" s="14"/>
      <c r="X3130" s="14"/>
      <c r="Y3130" s="14"/>
      <c r="Z3130" s="14"/>
    </row>
    <row r="3131" spans="1:26" ht="13.2">
      <c r="A3131" s="13"/>
      <c r="B3131" s="14"/>
      <c r="C3131" s="14"/>
      <c r="D3131" s="14"/>
      <c r="E3131" s="14"/>
      <c r="F3131" s="14"/>
      <c r="G3131" s="14"/>
      <c r="H3131" s="14"/>
      <c r="I3131" s="14"/>
      <c r="J3131" s="14"/>
      <c r="K3131" s="14"/>
      <c r="L3131" s="15"/>
      <c r="M3131" s="15"/>
      <c r="N3131" s="15"/>
      <c r="O3131" s="15"/>
      <c r="P3131" s="15"/>
      <c r="Q3131" s="14"/>
      <c r="R3131" s="14"/>
      <c r="S3131" s="14"/>
      <c r="T3131" s="14"/>
      <c r="U3131" s="15"/>
      <c r="V3131" s="14"/>
      <c r="W3131" s="14"/>
      <c r="X3131" s="14"/>
      <c r="Y3131" s="14"/>
      <c r="Z3131" s="14"/>
    </row>
    <row r="3132" spans="1:26" ht="13.2">
      <c r="A3132" s="13"/>
      <c r="B3132" s="14"/>
      <c r="C3132" s="14"/>
      <c r="D3132" s="14"/>
      <c r="E3132" s="14"/>
      <c r="F3132" s="14"/>
      <c r="G3132" s="14"/>
      <c r="H3132" s="14"/>
      <c r="I3132" s="14"/>
      <c r="J3132" s="14"/>
      <c r="K3132" s="14"/>
      <c r="L3132" s="15"/>
      <c r="M3132" s="15"/>
      <c r="N3132" s="15"/>
      <c r="O3132" s="15"/>
      <c r="P3132" s="15"/>
      <c r="Q3132" s="14"/>
      <c r="R3132" s="14"/>
      <c r="S3132" s="14"/>
      <c r="T3132" s="14"/>
      <c r="U3132" s="15"/>
      <c r="V3132" s="14"/>
      <c r="W3132" s="14"/>
      <c r="X3132" s="14"/>
      <c r="Y3132" s="14"/>
      <c r="Z3132" s="14"/>
    </row>
    <row r="3133" spans="1:26" ht="13.2">
      <c r="A3133" s="13"/>
      <c r="B3133" s="14"/>
      <c r="C3133" s="14"/>
      <c r="D3133" s="14"/>
      <c r="E3133" s="14"/>
      <c r="F3133" s="14"/>
      <c r="G3133" s="14"/>
      <c r="H3133" s="14"/>
      <c r="I3133" s="14"/>
      <c r="J3133" s="14"/>
      <c r="K3133" s="14"/>
      <c r="L3133" s="15"/>
      <c r="M3133" s="15"/>
      <c r="N3133" s="15"/>
      <c r="O3133" s="15"/>
      <c r="P3133" s="15"/>
      <c r="Q3133" s="14"/>
      <c r="R3133" s="14"/>
      <c r="S3133" s="14"/>
      <c r="T3133" s="14"/>
      <c r="U3133" s="15"/>
      <c r="V3133" s="14"/>
      <c r="W3133" s="14"/>
      <c r="X3133" s="14"/>
      <c r="Y3133" s="14"/>
      <c r="Z3133" s="14"/>
    </row>
    <row r="3134" spans="1:26" ht="13.2">
      <c r="A3134" s="13"/>
      <c r="B3134" s="14"/>
      <c r="C3134" s="14"/>
      <c r="D3134" s="14"/>
      <c r="E3134" s="14"/>
      <c r="F3134" s="14"/>
      <c r="G3134" s="14"/>
      <c r="H3134" s="14"/>
      <c r="I3134" s="14"/>
      <c r="J3134" s="14"/>
      <c r="K3134" s="14"/>
      <c r="L3134" s="15"/>
      <c r="M3134" s="15"/>
      <c r="N3134" s="15"/>
      <c r="O3134" s="15"/>
      <c r="P3134" s="15"/>
      <c r="Q3134" s="14"/>
      <c r="R3134" s="14"/>
      <c r="S3134" s="14"/>
      <c r="T3134" s="14"/>
      <c r="U3134" s="15"/>
      <c r="V3134" s="14"/>
      <c r="W3134" s="14"/>
      <c r="X3134" s="14"/>
      <c r="Y3134" s="14"/>
      <c r="Z3134" s="14"/>
    </row>
    <row r="3135" spans="1:26" ht="13.2">
      <c r="A3135" s="13"/>
      <c r="B3135" s="14"/>
      <c r="C3135" s="14"/>
      <c r="D3135" s="14"/>
      <c r="E3135" s="14"/>
      <c r="F3135" s="14"/>
      <c r="G3135" s="14"/>
      <c r="H3135" s="14"/>
      <c r="I3135" s="14"/>
      <c r="J3135" s="14"/>
      <c r="K3135" s="14"/>
      <c r="L3135" s="15"/>
      <c r="M3135" s="15"/>
      <c r="N3135" s="15"/>
      <c r="O3135" s="15"/>
      <c r="P3135" s="15"/>
      <c r="Q3135" s="14"/>
      <c r="R3135" s="14"/>
      <c r="S3135" s="14"/>
      <c r="T3135" s="14"/>
      <c r="U3135" s="15"/>
      <c r="V3135" s="14"/>
      <c r="W3135" s="14"/>
      <c r="X3135" s="14"/>
      <c r="Y3135" s="14"/>
      <c r="Z3135" s="14"/>
    </row>
    <row r="3136" spans="1:26" ht="13.2">
      <c r="A3136" s="13"/>
      <c r="B3136" s="14"/>
      <c r="C3136" s="14"/>
      <c r="D3136" s="14"/>
      <c r="E3136" s="14"/>
      <c r="F3136" s="14"/>
      <c r="G3136" s="14"/>
      <c r="H3136" s="14"/>
      <c r="I3136" s="14"/>
      <c r="J3136" s="14"/>
      <c r="K3136" s="14"/>
      <c r="L3136" s="15"/>
      <c r="M3136" s="15"/>
      <c r="N3136" s="15"/>
      <c r="O3136" s="15"/>
      <c r="P3136" s="15"/>
      <c r="Q3136" s="14"/>
      <c r="R3136" s="14"/>
      <c r="S3136" s="14"/>
      <c r="T3136" s="14"/>
      <c r="U3136" s="15"/>
      <c r="V3136" s="14"/>
      <c r="W3136" s="14"/>
      <c r="X3136" s="14"/>
      <c r="Y3136" s="14"/>
      <c r="Z3136" s="14"/>
    </row>
    <row r="3137" spans="1:26" ht="13.2">
      <c r="A3137" s="13"/>
      <c r="B3137" s="14"/>
      <c r="C3137" s="14"/>
      <c r="D3137" s="14"/>
      <c r="E3137" s="14"/>
      <c r="F3137" s="14"/>
      <c r="G3137" s="14"/>
      <c r="H3137" s="14"/>
      <c r="I3137" s="14"/>
      <c r="J3137" s="14"/>
      <c r="K3137" s="14"/>
      <c r="L3137" s="15"/>
      <c r="M3137" s="15"/>
      <c r="N3137" s="15"/>
      <c r="O3137" s="15"/>
      <c r="P3137" s="15"/>
      <c r="Q3137" s="14"/>
      <c r="R3137" s="14"/>
      <c r="S3137" s="14"/>
      <c r="T3137" s="14"/>
      <c r="U3137" s="15"/>
      <c r="V3137" s="14"/>
      <c r="W3137" s="14"/>
      <c r="X3137" s="14"/>
      <c r="Y3137" s="14"/>
      <c r="Z3137" s="14"/>
    </row>
    <row r="3138" spans="1:26" ht="13.2">
      <c r="A3138" s="13"/>
      <c r="B3138" s="14"/>
      <c r="C3138" s="14"/>
      <c r="D3138" s="14"/>
      <c r="E3138" s="14"/>
      <c r="F3138" s="14"/>
      <c r="G3138" s="14"/>
      <c r="H3138" s="14"/>
      <c r="I3138" s="14"/>
      <c r="J3138" s="14"/>
      <c r="K3138" s="14"/>
      <c r="L3138" s="15"/>
      <c r="M3138" s="15"/>
      <c r="N3138" s="15"/>
      <c r="O3138" s="15"/>
      <c r="P3138" s="15"/>
      <c r="Q3138" s="14"/>
      <c r="R3138" s="14"/>
      <c r="S3138" s="14"/>
      <c r="T3138" s="14"/>
      <c r="U3138" s="15"/>
      <c r="V3138" s="14"/>
      <c r="W3138" s="14"/>
      <c r="X3138" s="14"/>
      <c r="Y3138" s="14"/>
      <c r="Z3138" s="14"/>
    </row>
    <row r="3139" spans="1:26" ht="13.2">
      <c r="A3139" s="13"/>
      <c r="B3139" s="14"/>
      <c r="C3139" s="14"/>
      <c r="D3139" s="14"/>
      <c r="E3139" s="14"/>
      <c r="F3139" s="14"/>
      <c r="G3139" s="14"/>
      <c r="H3139" s="14"/>
      <c r="I3139" s="14"/>
      <c r="J3139" s="14"/>
      <c r="K3139" s="14"/>
      <c r="L3139" s="15"/>
      <c r="M3139" s="15"/>
      <c r="N3139" s="15"/>
      <c r="O3139" s="15"/>
      <c r="P3139" s="15"/>
      <c r="Q3139" s="14"/>
      <c r="R3139" s="14"/>
      <c r="S3139" s="14"/>
      <c r="T3139" s="14"/>
      <c r="U3139" s="15"/>
      <c r="V3139" s="14"/>
      <c r="W3139" s="14"/>
      <c r="X3139" s="14"/>
      <c r="Y3139" s="14"/>
      <c r="Z3139" s="14"/>
    </row>
    <row r="3140" spans="1:26" ht="13.2">
      <c r="A3140" s="13"/>
      <c r="B3140" s="14"/>
      <c r="C3140" s="14"/>
      <c r="D3140" s="14"/>
      <c r="E3140" s="14"/>
      <c r="F3140" s="14"/>
      <c r="G3140" s="14"/>
      <c r="H3140" s="14"/>
      <c r="I3140" s="14"/>
      <c r="J3140" s="14"/>
      <c r="K3140" s="14"/>
      <c r="L3140" s="15"/>
      <c r="M3140" s="15"/>
      <c r="N3140" s="15"/>
      <c r="O3140" s="15"/>
      <c r="P3140" s="15"/>
      <c r="Q3140" s="14"/>
      <c r="R3140" s="14"/>
      <c r="S3140" s="14"/>
      <c r="T3140" s="14"/>
      <c r="U3140" s="15"/>
      <c r="V3140" s="14"/>
      <c r="W3140" s="14"/>
      <c r="X3140" s="14"/>
      <c r="Y3140" s="14"/>
      <c r="Z3140" s="14"/>
    </row>
    <row r="3141" spans="1:26" ht="13.2">
      <c r="A3141" s="13"/>
      <c r="B3141" s="14"/>
      <c r="C3141" s="14"/>
      <c r="D3141" s="14"/>
      <c r="E3141" s="14"/>
      <c r="F3141" s="14"/>
      <c r="G3141" s="14"/>
      <c r="H3141" s="14"/>
      <c r="I3141" s="14"/>
      <c r="J3141" s="14"/>
      <c r="K3141" s="14"/>
      <c r="L3141" s="15"/>
      <c r="M3141" s="15"/>
      <c r="N3141" s="15"/>
      <c r="O3141" s="15"/>
      <c r="P3141" s="15"/>
      <c r="Q3141" s="14"/>
      <c r="R3141" s="14"/>
      <c r="S3141" s="14"/>
      <c r="T3141" s="14"/>
      <c r="U3141" s="15"/>
      <c r="V3141" s="14"/>
      <c r="W3141" s="14"/>
      <c r="X3141" s="14"/>
      <c r="Y3141" s="14"/>
      <c r="Z3141" s="14"/>
    </row>
    <row r="3142" spans="1:26" ht="13.2">
      <c r="A3142" s="13"/>
      <c r="B3142" s="14"/>
      <c r="C3142" s="14"/>
      <c r="D3142" s="14"/>
      <c r="E3142" s="14"/>
      <c r="F3142" s="14"/>
      <c r="G3142" s="14"/>
      <c r="H3142" s="14"/>
      <c r="I3142" s="14"/>
      <c r="J3142" s="14"/>
      <c r="K3142" s="14"/>
      <c r="L3142" s="15"/>
      <c r="M3142" s="15"/>
      <c r="N3142" s="15"/>
      <c r="O3142" s="15"/>
      <c r="P3142" s="15"/>
      <c r="Q3142" s="14"/>
      <c r="R3142" s="14"/>
      <c r="S3142" s="14"/>
      <c r="T3142" s="14"/>
      <c r="U3142" s="15"/>
      <c r="V3142" s="14"/>
      <c r="W3142" s="14"/>
      <c r="X3142" s="14"/>
      <c r="Y3142" s="14"/>
      <c r="Z3142" s="14"/>
    </row>
    <row r="3143" spans="1:26" ht="13.2">
      <c r="A3143" s="13"/>
      <c r="B3143" s="14"/>
      <c r="C3143" s="14"/>
      <c r="D3143" s="14"/>
      <c r="E3143" s="14"/>
      <c r="F3143" s="14"/>
      <c r="G3143" s="14"/>
      <c r="H3143" s="14"/>
      <c r="I3143" s="14"/>
      <c r="J3143" s="14"/>
      <c r="K3143" s="14"/>
      <c r="L3143" s="15"/>
      <c r="M3143" s="15"/>
      <c r="N3143" s="15"/>
      <c r="O3143" s="15"/>
      <c r="P3143" s="15"/>
      <c r="Q3143" s="14"/>
      <c r="R3143" s="14"/>
      <c r="S3143" s="14"/>
      <c r="T3143" s="14"/>
      <c r="U3143" s="15"/>
      <c r="V3143" s="14"/>
      <c r="W3143" s="14"/>
      <c r="X3143" s="14"/>
      <c r="Y3143" s="14"/>
      <c r="Z3143" s="14"/>
    </row>
    <row r="3144" spans="1:26" ht="13.2">
      <c r="A3144" s="13"/>
      <c r="B3144" s="14"/>
      <c r="C3144" s="14"/>
      <c r="D3144" s="14"/>
      <c r="E3144" s="14"/>
      <c r="F3144" s="14"/>
      <c r="G3144" s="14"/>
      <c r="H3144" s="14"/>
      <c r="I3144" s="14"/>
      <c r="J3144" s="14"/>
      <c r="K3144" s="14"/>
      <c r="L3144" s="15"/>
      <c r="M3144" s="15"/>
      <c r="N3144" s="15"/>
      <c r="O3144" s="15"/>
      <c r="P3144" s="15"/>
      <c r="Q3144" s="14"/>
      <c r="R3144" s="14"/>
      <c r="S3144" s="14"/>
      <c r="T3144" s="14"/>
      <c r="U3144" s="15"/>
      <c r="V3144" s="14"/>
      <c r="W3144" s="14"/>
      <c r="X3144" s="14"/>
      <c r="Y3144" s="14"/>
      <c r="Z3144" s="14"/>
    </row>
    <row r="3145" spans="1:26" ht="13.2">
      <c r="A3145" s="13"/>
      <c r="B3145" s="14"/>
      <c r="C3145" s="14"/>
      <c r="D3145" s="14"/>
      <c r="E3145" s="14"/>
      <c r="F3145" s="14"/>
      <c r="G3145" s="14"/>
      <c r="H3145" s="14"/>
      <c r="I3145" s="14"/>
      <c r="J3145" s="14"/>
      <c r="K3145" s="14"/>
      <c r="L3145" s="15"/>
      <c r="M3145" s="15"/>
      <c r="N3145" s="15"/>
      <c r="O3145" s="15"/>
      <c r="P3145" s="15"/>
      <c r="Q3145" s="14"/>
      <c r="R3145" s="14"/>
      <c r="S3145" s="14"/>
      <c r="T3145" s="14"/>
      <c r="U3145" s="15"/>
      <c r="V3145" s="14"/>
      <c r="W3145" s="14"/>
      <c r="X3145" s="14"/>
      <c r="Y3145" s="14"/>
      <c r="Z3145" s="14"/>
    </row>
    <row r="3146" spans="1:26" ht="13.2">
      <c r="A3146" s="13"/>
      <c r="B3146" s="14"/>
      <c r="C3146" s="14"/>
      <c r="D3146" s="14"/>
      <c r="E3146" s="14"/>
      <c r="F3146" s="14"/>
      <c r="G3146" s="14"/>
      <c r="H3146" s="14"/>
      <c r="I3146" s="14"/>
      <c r="J3146" s="14"/>
      <c r="K3146" s="14"/>
      <c r="L3146" s="15"/>
      <c r="M3146" s="15"/>
      <c r="N3146" s="15"/>
      <c r="O3146" s="15"/>
      <c r="P3146" s="15"/>
      <c r="Q3146" s="14"/>
      <c r="R3146" s="14"/>
      <c r="S3146" s="14"/>
      <c r="T3146" s="14"/>
      <c r="U3146" s="15"/>
      <c r="V3146" s="14"/>
      <c r="W3146" s="14"/>
      <c r="X3146" s="14"/>
      <c r="Y3146" s="14"/>
      <c r="Z3146" s="14"/>
    </row>
    <row r="3147" spans="1:26" ht="13.2">
      <c r="A3147" s="13"/>
      <c r="B3147" s="14"/>
      <c r="C3147" s="14"/>
      <c r="D3147" s="14"/>
      <c r="E3147" s="14"/>
      <c r="F3147" s="14"/>
      <c r="G3147" s="14"/>
      <c r="H3147" s="14"/>
      <c r="I3147" s="14"/>
      <c r="J3147" s="14"/>
      <c r="K3147" s="14"/>
      <c r="L3147" s="15"/>
      <c r="M3147" s="15"/>
      <c r="N3147" s="15"/>
      <c r="O3147" s="15"/>
      <c r="P3147" s="15"/>
      <c r="Q3147" s="14"/>
      <c r="R3147" s="14"/>
      <c r="S3147" s="14"/>
      <c r="T3147" s="14"/>
      <c r="U3147" s="15"/>
      <c r="V3147" s="14"/>
      <c r="W3147" s="14"/>
      <c r="X3147" s="14"/>
      <c r="Y3147" s="14"/>
      <c r="Z3147" s="14"/>
    </row>
    <row r="3148" spans="1:26" ht="13.2">
      <c r="A3148" s="13"/>
      <c r="B3148" s="14"/>
      <c r="C3148" s="14"/>
      <c r="D3148" s="14"/>
      <c r="E3148" s="14"/>
      <c r="F3148" s="14"/>
      <c r="G3148" s="14"/>
      <c r="H3148" s="14"/>
      <c r="I3148" s="14"/>
      <c r="J3148" s="14"/>
      <c r="K3148" s="14"/>
      <c r="L3148" s="15"/>
      <c r="M3148" s="15"/>
      <c r="N3148" s="15"/>
      <c r="O3148" s="15"/>
      <c r="P3148" s="15"/>
      <c r="Q3148" s="14"/>
      <c r="R3148" s="14"/>
      <c r="S3148" s="14"/>
      <c r="T3148" s="14"/>
      <c r="U3148" s="15"/>
      <c r="V3148" s="14"/>
      <c r="W3148" s="14"/>
      <c r="X3148" s="14"/>
      <c r="Y3148" s="14"/>
      <c r="Z3148" s="14"/>
    </row>
    <row r="3149" spans="1:26" ht="13.2">
      <c r="A3149" s="13"/>
      <c r="B3149" s="14"/>
      <c r="C3149" s="14"/>
      <c r="D3149" s="14"/>
      <c r="E3149" s="14"/>
      <c r="F3149" s="14"/>
      <c r="G3149" s="14"/>
      <c r="H3149" s="14"/>
      <c r="I3149" s="14"/>
      <c r="J3149" s="14"/>
      <c r="K3149" s="14"/>
      <c r="L3149" s="15"/>
      <c r="M3149" s="15"/>
      <c r="N3149" s="15"/>
      <c r="O3149" s="15"/>
      <c r="P3149" s="15"/>
      <c r="Q3149" s="14"/>
      <c r="R3149" s="14"/>
      <c r="S3149" s="14"/>
      <c r="T3149" s="14"/>
      <c r="U3149" s="15"/>
      <c r="V3149" s="14"/>
      <c r="W3149" s="14"/>
      <c r="X3149" s="14"/>
      <c r="Y3149" s="14"/>
      <c r="Z3149" s="14"/>
    </row>
    <row r="3150" spans="1:26" ht="13.2">
      <c r="A3150" s="13"/>
      <c r="B3150" s="14"/>
      <c r="C3150" s="14"/>
      <c r="D3150" s="14"/>
      <c r="E3150" s="14"/>
      <c r="F3150" s="14"/>
      <c r="G3150" s="14"/>
      <c r="H3150" s="14"/>
      <c r="I3150" s="14"/>
      <c r="J3150" s="14"/>
      <c r="K3150" s="14"/>
      <c r="L3150" s="15"/>
      <c r="M3150" s="15"/>
      <c r="N3150" s="15"/>
      <c r="O3150" s="15"/>
      <c r="P3150" s="15"/>
      <c r="Q3150" s="14"/>
      <c r="R3150" s="14"/>
      <c r="S3150" s="14"/>
      <c r="T3150" s="14"/>
      <c r="U3150" s="15"/>
      <c r="V3150" s="14"/>
      <c r="W3150" s="14"/>
      <c r="X3150" s="14"/>
      <c r="Y3150" s="14"/>
      <c r="Z3150" s="14"/>
    </row>
    <row r="3151" spans="1:26" ht="13.2">
      <c r="A3151" s="13"/>
      <c r="B3151" s="14"/>
      <c r="C3151" s="14"/>
      <c r="D3151" s="14"/>
      <c r="E3151" s="14"/>
      <c r="F3151" s="14"/>
      <c r="G3151" s="14"/>
      <c r="H3151" s="14"/>
      <c r="I3151" s="14"/>
      <c r="J3151" s="14"/>
      <c r="K3151" s="14"/>
      <c r="L3151" s="15"/>
      <c r="M3151" s="15"/>
      <c r="N3151" s="15"/>
      <c r="O3151" s="15"/>
      <c r="P3151" s="15"/>
      <c r="Q3151" s="14"/>
      <c r="R3151" s="14"/>
      <c r="S3151" s="14"/>
      <c r="T3151" s="14"/>
      <c r="U3151" s="15"/>
      <c r="V3151" s="14"/>
      <c r="W3151" s="14"/>
      <c r="X3151" s="14"/>
      <c r="Y3151" s="14"/>
      <c r="Z3151" s="14"/>
    </row>
    <row r="3152" spans="1:26" ht="13.2">
      <c r="A3152" s="13"/>
      <c r="B3152" s="14"/>
      <c r="C3152" s="14"/>
      <c r="D3152" s="14"/>
      <c r="E3152" s="14"/>
      <c r="F3152" s="14"/>
      <c r="G3152" s="14"/>
      <c r="H3152" s="14"/>
      <c r="I3152" s="14"/>
      <c r="J3152" s="14"/>
      <c r="K3152" s="14"/>
      <c r="L3152" s="15"/>
      <c r="M3152" s="15"/>
      <c r="N3152" s="15"/>
      <c r="O3152" s="15"/>
      <c r="P3152" s="15"/>
      <c r="Q3152" s="14"/>
      <c r="R3152" s="14"/>
      <c r="S3152" s="14"/>
      <c r="T3152" s="14"/>
      <c r="U3152" s="15"/>
      <c r="V3152" s="14"/>
      <c r="W3152" s="14"/>
      <c r="X3152" s="14"/>
      <c r="Y3152" s="14"/>
      <c r="Z3152" s="14"/>
    </row>
    <row r="3153" spans="1:26" ht="13.2">
      <c r="A3153" s="13"/>
      <c r="B3153" s="14"/>
      <c r="C3153" s="14"/>
      <c r="D3153" s="14"/>
      <c r="E3153" s="14"/>
      <c r="F3153" s="14"/>
      <c r="G3153" s="14"/>
      <c r="H3153" s="14"/>
      <c r="I3153" s="14"/>
      <c r="J3153" s="14"/>
      <c r="K3153" s="14"/>
      <c r="L3153" s="15"/>
      <c r="M3153" s="15"/>
      <c r="N3153" s="15"/>
      <c r="O3153" s="15"/>
      <c r="P3153" s="15"/>
      <c r="Q3153" s="14"/>
      <c r="R3153" s="14"/>
      <c r="S3153" s="14"/>
      <c r="T3153" s="14"/>
      <c r="U3153" s="15"/>
      <c r="V3153" s="14"/>
      <c r="W3153" s="14"/>
      <c r="X3153" s="14"/>
      <c r="Y3153" s="14"/>
      <c r="Z3153" s="14"/>
    </row>
    <row r="3154" spans="1:26" ht="13.2">
      <c r="A3154" s="13"/>
      <c r="B3154" s="14"/>
      <c r="C3154" s="14"/>
      <c r="D3154" s="14"/>
      <c r="E3154" s="14"/>
      <c r="F3154" s="14"/>
      <c r="G3154" s="14"/>
      <c r="H3154" s="14"/>
      <c r="I3154" s="14"/>
      <c r="J3154" s="14"/>
      <c r="K3154" s="14"/>
      <c r="L3154" s="15"/>
      <c r="M3154" s="15"/>
      <c r="N3154" s="15"/>
      <c r="O3154" s="15"/>
      <c r="P3154" s="15"/>
      <c r="Q3154" s="14"/>
      <c r="R3154" s="14"/>
      <c r="S3154" s="14"/>
      <c r="T3154" s="14"/>
      <c r="U3154" s="15"/>
      <c r="V3154" s="14"/>
      <c r="W3154" s="14"/>
      <c r="X3154" s="14"/>
      <c r="Y3154" s="14"/>
      <c r="Z3154" s="14"/>
    </row>
    <row r="3155" spans="1:26" ht="13.2">
      <c r="A3155" s="13"/>
      <c r="B3155" s="14"/>
      <c r="C3155" s="14"/>
      <c r="D3155" s="14"/>
      <c r="E3155" s="14"/>
      <c r="F3155" s="14"/>
      <c r="G3155" s="14"/>
      <c r="H3155" s="14"/>
      <c r="I3155" s="14"/>
      <c r="J3155" s="14"/>
      <c r="K3155" s="14"/>
      <c r="L3155" s="15"/>
      <c r="M3155" s="15"/>
      <c r="N3155" s="15"/>
      <c r="O3155" s="15"/>
      <c r="P3155" s="15"/>
      <c r="Q3155" s="14"/>
      <c r="R3155" s="14"/>
      <c r="S3155" s="14"/>
      <c r="T3155" s="14"/>
      <c r="U3155" s="15"/>
      <c r="V3155" s="14"/>
      <c r="W3155" s="14"/>
      <c r="X3155" s="14"/>
      <c r="Y3155" s="14"/>
      <c r="Z3155" s="14"/>
    </row>
    <row r="3156" spans="1:26" ht="13.2">
      <c r="A3156" s="13"/>
      <c r="B3156" s="14"/>
      <c r="C3156" s="14"/>
      <c r="D3156" s="14"/>
      <c r="E3156" s="14"/>
      <c r="F3156" s="14"/>
      <c r="G3156" s="14"/>
      <c r="H3156" s="14"/>
      <c r="I3156" s="14"/>
      <c r="J3156" s="14"/>
      <c r="K3156" s="14"/>
      <c r="L3156" s="15"/>
      <c r="M3156" s="15"/>
      <c r="N3156" s="15"/>
      <c r="O3156" s="15"/>
      <c r="P3156" s="15"/>
      <c r="Q3156" s="14"/>
      <c r="R3156" s="14"/>
      <c r="S3156" s="14"/>
      <c r="T3156" s="14"/>
      <c r="U3156" s="15"/>
      <c r="V3156" s="14"/>
      <c r="W3156" s="14"/>
      <c r="X3156" s="14"/>
      <c r="Y3156" s="14"/>
      <c r="Z3156" s="14"/>
    </row>
    <row r="3157" spans="1:26" ht="13.2">
      <c r="A3157" s="13"/>
      <c r="B3157" s="14"/>
      <c r="C3157" s="14"/>
      <c r="D3157" s="14"/>
      <c r="E3157" s="14"/>
      <c r="F3157" s="14"/>
      <c r="G3157" s="14"/>
      <c r="H3157" s="14"/>
      <c r="I3157" s="14"/>
      <c r="J3157" s="14"/>
      <c r="K3157" s="14"/>
      <c r="L3157" s="15"/>
      <c r="M3157" s="15"/>
      <c r="N3157" s="15"/>
      <c r="O3157" s="15"/>
      <c r="P3157" s="15"/>
      <c r="Q3157" s="14"/>
      <c r="R3157" s="14"/>
      <c r="S3157" s="14"/>
      <c r="T3157" s="14"/>
      <c r="U3157" s="15"/>
      <c r="V3157" s="14"/>
      <c r="W3157" s="14"/>
      <c r="X3157" s="14"/>
      <c r="Y3157" s="14"/>
      <c r="Z3157" s="14"/>
    </row>
    <row r="3158" spans="1:26" ht="13.2">
      <c r="A3158" s="13"/>
      <c r="B3158" s="14"/>
      <c r="C3158" s="14"/>
      <c r="D3158" s="14"/>
      <c r="E3158" s="14"/>
      <c r="F3158" s="14"/>
      <c r="G3158" s="14"/>
      <c r="H3158" s="14"/>
      <c r="I3158" s="14"/>
      <c r="J3158" s="14"/>
      <c r="K3158" s="14"/>
      <c r="L3158" s="15"/>
      <c r="M3158" s="15"/>
      <c r="N3158" s="15"/>
      <c r="O3158" s="15"/>
      <c r="P3158" s="15"/>
      <c r="Q3158" s="14"/>
      <c r="R3158" s="14"/>
      <c r="S3158" s="14"/>
      <c r="T3158" s="14"/>
      <c r="U3158" s="15"/>
      <c r="V3158" s="14"/>
      <c r="W3158" s="14"/>
      <c r="X3158" s="14"/>
      <c r="Y3158" s="14"/>
      <c r="Z3158" s="14"/>
    </row>
    <row r="3159" spans="1:26" ht="13.2">
      <c r="A3159" s="13"/>
      <c r="B3159" s="14"/>
      <c r="C3159" s="14"/>
      <c r="D3159" s="14"/>
      <c r="E3159" s="14"/>
      <c r="F3159" s="14"/>
      <c r="G3159" s="14"/>
      <c r="H3159" s="14"/>
      <c r="I3159" s="14"/>
      <c r="J3159" s="14"/>
      <c r="K3159" s="14"/>
      <c r="L3159" s="15"/>
      <c r="M3159" s="15"/>
      <c r="N3159" s="15"/>
      <c r="O3159" s="15"/>
      <c r="P3159" s="15"/>
      <c r="Q3159" s="14"/>
      <c r="R3159" s="14"/>
      <c r="S3159" s="14"/>
      <c r="T3159" s="14"/>
      <c r="U3159" s="15"/>
      <c r="V3159" s="14"/>
      <c r="W3159" s="14"/>
      <c r="X3159" s="14"/>
      <c r="Y3159" s="14"/>
      <c r="Z3159" s="14"/>
    </row>
    <row r="3160" spans="1:26" ht="13.2">
      <c r="A3160" s="13"/>
      <c r="B3160" s="14"/>
      <c r="C3160" s="14"/>
      <c r="D3160" s="14"/>
      <c r="E3160" s="14"/>
      <c r="F3160" s="14"/>
      <c r="G3160" s="14"/>
      <c r="H3160" s="14"/>
      <c r="I3160" s="14"/>
      <c r="J3160" s="14"/>
      <c r="K3160" s="14"/>
      <c r="L3160" s="15"/>
      <c r="M3160" s="15"/>
      <c r="N3160" s="15"/>
      <c r="O3160" s="15"/>
      <c r="P3160" s="15"/>
      <c r="Q3160" s="14"/>
      <c r="R3160" s="14"/>
      <c r="S3160" s="14"/>
      <c r="T3160" s="14"/>
      <c r="U3160" s="15"/>
      <c r="V3160" s="14"/>
      <c r="W3160" s="14"/>
      <c r="X3160" s="14"/>
      <c r="Y3160" s="14"/>
      <c r="Z3160" s="14"/>
    </row>
    <row r="3161" spans="1:26" ht="13.2">
      <c r="A3161" s="13"/>
      <c r="B3161" s="14"/>
      <c r="C3161" s="14"/>
      <c r="D3161" s="14"/>
      <c r="E3161" s="14"/>
      <c r="F3161" s="14"/>
      <c r="G3161" s="14"/>
      <c r="H3161" s="14"/>
      <c r="I3161" s="14"/>
      <c r="J3161" s="14"/>
      <c r="K3161" s="14"/>
      <c r="L3161" s="15"/>
      <c r="M3161" s="15"/>
      <c r="N3161" s="15"/>
      <c r="O3161" s="15"/>
      <c r="P3161" s="15"/>
      <c r="Q3161" s="14"/>
      <c r="R3161" s="14"/>
      <c r="S3161" s="14"/>
      <c r="T3161" s="14"/>
      <c r="U3161" s="15"/>
      <c r="V3161" s="14"/>
      <c r="W3161" s="14"/>
      <c r="X3161" s="14"/>
      <c r="Y3161" s="14"/>
      <c r="Z3161" s="14"/>
    </row>
    <row r="3162" spans="1:26" ht="13.2">
      <c r="A3162" s="13"/>
      <c r="B3162" s="14"/>
      <c r="C3162" s="14"/>
      <c r="D3162" s="14"/>
      <c r="E3162" s="14"/>
      <c r="F3162" s="14"/>
      <c r="G3162" s="14"/>
      <c r="H3162" s="14"/>
      <c r="I3162" s="14"/>
      <c r="J3162" s="14"/>
      <c r="K3162" s="14"/>
      <c r="L3162" s="15"/>
      <c r="M3162" s="15"/>
      <c r="N3162" s="15"/>
      <c r="O3162" s="15"/>
      <c r="P3162" s="15"/>
      <c r="Q3162" s="14"/>
      <c r="R3162" s="14"/>
      <c r="S3162" s="14"/>
      <c r="T3162" s="14"/>
      <c r="U3162" s="15"/>
      <c r="V3162" s="14"/>
      <c r="W3162" s="14"/>
      <c r="X3162" s="14"/>
      <c r="Y3162" s="14"/>
      <c r="Z3162" s="14"/>
    </row>
    <row r="3163" spans="1:26" ht="13.2">
      <c r="A3163" s="13"/>
      <c r="B3163" s="14"/>
      <c r="C3163" s="14"/>
      <c r="D3163" s="14"/>
      <c r="E3163" s="14"/>
      <c r="F3163" s="14"/>
      <c r="G3163" s="14"/>
      <c r="H3163" s="14"/>
      <c r="I3163" s="14"/>
      <c r="J3163" s="14"/>
      <c r="K3163" s="14"/>
      <c r="L3163" s="15"/>
      <c r="M3163" s="15"/>
      <c r="N3163" s="15"/>
      <c r="O3163" s="15"/>
      <c r="P3163" s="15"/>
      <c r="Q3163" s="14"/>
      <c r="R3163" s="14"/>
      <c r="S3163" s="14"/>
      <c r="T3163" s="14"/>
      <c r="U3163" s="15"/>
      <c r="V3163" s="14"/>
      <c r="W3163" s="14"/>
      <c r="X3163" s="14"/>
      <c r="Y3163" s="14"/>
      <c r="Z3163" s="14"/>
    </row>
    <row r="3164" spans="1:26" ht="13.2">
      <c r="A3164" s="13"/>
      <c r="B3164" s="14"/>
      <c r="C3164" s="14"/>
      <c r="D3164" s="14"/>
      <c r="E3164" s="14"/>
      <c r="F3164" s="14"/>
      <c r="G3164" s="14"/>
      <c r="H3164" s="14"/>
      <c r="I3164" s="14"/>
      <c r="J3164" s="14"/>
      <c r="K3164" s="14"/>
      <c r="L3164" s="15"/>
      <c r="M3164" s="15"/>
      <c r="N3164" s="15"/>
      <c r="O3164" s="15"/>
      <c r="P3164" s="15"/>
      <c r="Q3164" s="14"/>
      <c r="R3164" s="14"/>
      <c r="S3164" s="14"/>
      <c r="T3164" s="14"/>
      <c r="U3164" s="15"/>
      <c r="V3164" s="14"/>
      <c r="W3164" s="14"/>
      <c r="X3164" s="14"/>
      <c r="Y3164" s="14"/>
      <c r="Z3164" s="14"/>
    </row>
    <row r="3165" spans="1:26" ht="13.2">
      <c r="A3165" s="13"/>
      <c r="B3165" s="14"/>
      <c r="C3165" s="14"/>
      <c r="D3165" s="14"/>
      <c r="E3165" s="14"/>
      <c r="F3165" s="14"/>
      <c r="G3165" s="14"/>
      <c r="H3165" s="14"/>
      <c r="I3165" s="14"/>
      <c r="J3165" s="14"/>
      <c r="K3165" s="14"/>
      <c r="L3165" s="15"/>
      <c r="M3165" s="15"/>
      <c r="N3165" s="15"/>
      <c r="O3165" s="15"/>
      <c r="P3165" s="15"/>
      <c r="Q3165" s="14"/>
      <c r="R3165" s="14"/>
      <c r="S3165" s="14"/>
      <c r="T3165" s="14"/>
      <c r="U3165" s="15"/>
      <c r="V3165" s="14"/>
      <c r="W3165" s="14"/>
      <c r="X3165" s="14"/>
      <c r="Y3165" s="14"/>
      <c r="Z3165" s="14"/>
    </row>
    <row r="3166" spans="1:26" ht="13.2">
      <c r="A3166" s="13"/>
      <c r="B3166" s="14"/>
      <c r="C3166" s="14"/>
      <c r="D3166" s="14"/>
      <c r="E3166" s="14"/>
      <c r="F3166" s="14"/>
      <c r="G3166" s="14"/>
      <c r="H3166" s="14"/>
      <c r="I3166" s="14"/>
      <c r="J3166" s="14"/>
      <c r="K3166" s="14"/>
      <c r="L3166" s="15"/>
      <c r="M3166" s="15"/>
      <c r="N3166" s="15"/>
      <c r="O3166" s="15"/>
      <c r="P3166" s="15"/>
      <c r="Q3166" s="14"/>
      <c r="R3166" s="14"/>
      <c r="S3166" s="14"/>
      <c r="T3166" s="14"/>
      <c r="U3166" s="15"/>
      <c r="V3166" s="14"/>
      <c r="W3166" s="14"/>
      <c r="X3166" s="14"/>
      <c r="Y3166" s="14"/>
      <c r="Z3166" s="14"/>
    </row>
    <row r="3167" spans="1:26" ht="13.2">
      <c r="A3167" s="13"/>
      <c r="B3167" s="14"/>
      <c r="C3167" s="14"/>
      <c r="D3167" s="14"/>
      <c r="E3167" s="14"/>
      <c r="F3167" s="14"/>
      <c r="G3167" s="14"/>
      <c r="H3167" s="14"/>
      <c r="I3167" s="14"/>
      <c r="J3167" s="14"/>
      <c r="K3167" s="14"/>
      <c r="L3167" s="15"/>
      <c r="M3167" s="15"/>
      <c r="N3167" s="15"/>
      <c r="O3167" s="15"/>
      <c r="P3167" s="15"/>
      <c r="Q3167" s="14"/>
      <c r="R3167" s="14"/>
      <c r="S3167" s="14"/>
      <c r="T3167" s="14"/>
      <c r="U3167" s="15"/>
      <c r="V3167" s="14"/>
      <c r="W3167" s="14"/>
      <c r="X3167" s="14"/>
      <c r="Y3167" s="14"/>
      <c r="Z3167" s="14"/>
    </row>
    <row r="3168" spans="1:26" ht="13.2">
      <c r="A3168" s="13"/>
      <c r="B3168" s="14"/>
      <c r="C3168" s="14"/>
      <c r="D3168" s="14"/>
      <c r="E3168" s="14"/>
      <c r="F3168" s="14"/>
      <c r="G3168" s="14"/>
      <c r="H3168" s="14"/>
      <c r="I3168" s="14"/>
      <c r="J3168" s="14"/>
      <c r="K3168" s="14"/>
      <c r="L3168" s="15"/>
      <c r="M3168" s="15"/>
      <c r="N3168" s="15"/>
      <c r="O3168" s="15"/>
      <c r="P3168" s="15"/>
      <c r="Q3168" s="14"/>
      <c r="R3168" s="14"/>
      <c r="S3168" s="14"/>
      <c r="T3168" s="14"/>
      <c r="U3168" s="15"/>
      <c r="V3168" s="14"/>
      <c r="W3168" s="14"/>
      <c r="X3168" s="14"/>
      <c r="Y3168" s="14"/>
      <c r="Z3168" s="14"/>
    </row>
    <row r="3169" spans="1:26" ht="13.2">
      <c r="A3169" s="13"/>
      <c r="B3169" s="14"/>
      <c r="C3169" s="14"/>
      <c r="D3169" s="14"/>
      <c r="E3169" s="14"/>
      <c r="F3169" s="14"/>
      <c r="G3169" s="14"/>
      <c r="H3169" s="14"/>
      <c r="I3169" s="14"/>
      <c r="J3169" s="14"/>
      <c r="K3169" s="14"/>
      <c r="L3169" s="15"/>
      <c r="M3169" s="15"/>
      <c r="N3169" s="15"/>
      <c r="O3169" s="15"/>
      <c r="P3169" s="15"/>
      <c r="Q3169" s="14"/>
      <c r="R3169" s="14"/>
      <c r="S3169" s="14"/>
      <c r="T3169" s="14"/>
      <c r="U3169" s="15"/>
      <c r="V3169" s="14"/>
      <c r="W3169" s="14"/>
      <c r="X3169" s="14"/>
      <c r="Y3169" s="14"/>
      <c r="Z3169" s="14"/>
    </row>
    <row r="3170" spans="1:26" ht="13.2">
      <c r="A3170" s="13"/>
      <c r="B3170" s="14"/>
      <c r="C3170" s="14"/>
      <c r="D3170" s="14"/>
      <c r="E3170" s="14"/>
      <c r="F3170" s="14"/>
      <c r="G3170" s="14"/>
      <c r="H3170" s="14"/>
      <c r="I3170" s="14"/>
      <c r="J3170" s="14"/>
      <c r="K3170" s="14"/>
      <c r="L3170" s="15"/>
      <c r="M3170" s="15"/>
      <c r="N3170" s="15"/>
      <c r="O3170" s="15"/>
      <c r="P3170" s="15"/>
      <c r="Q3170" s="14"/>
      <c r="R3170" s="14"/>
      <c r="S3170" s="14"/>
      <c r="T3170" s="14"/>
      <c r="U3170" s="15"/>
      <c r="V3170" s="14"/>
      <c r="W3170" s="14"/>
      <c r="X3170" s="14"/>
      <c r="Y3170" s="14"/>
      <c r="Z3170" s="14"/>
    </row>
    <row r="3171" spans="1:26" ht="13.2">
      <c r="A3171" s="13"/>
      <c r="B3171" s="14"/>
      <c r="C3171" s="14"/>
      <c r="D3171" s="14"/>
      <c r="E3171" s="14"/>
      <c r="F3171" s="14"/>
      <c r="G3171" s="14"/>
      <c r="H3171" s="14"/>
      <c r="I3171" s="14"/>
      <c r="J3171" s="14"/>
      <c r="K3171" s="14"/>
      <c r="L3171" s="15"/>
      <c r="M3171" s="15"/>
      <c r="N3171" s="15"/>
      <c r="O3171" s="15"/>
      <c r="P3171" s="15"/>
      <c r="Q3171" s="14"/>
      <c r="R3171" s="14"/>
      <c r="S3171" s="14"/>
      <c r="T3171" s="14"/>
      <c r="U3171" s="15"/>
      <c r="V3171" s="14"/>
      <c r="W3171" s="14"/>
      <c r="X3171" s="14"/>
      <c r="Y3171" s="14"/>
      <c r="Z3171" s="14"/>
    </row>
    <row r="3172" spans="1:26" ht="13.2">
      <c r="A3172" s="13"/>
      <c r="B3172" s="14"/>
      <c r="C3172" s="14"/>
      <c r="D3172" s="14"/>
      <c r="E3172" s="14"/>
      <c r="F3172" s="14"/>
      <c r="G3172" s="14"/>
      <c r="H3172" s="14"/>
      <c r="I3172" s="14"/>
      <c r="J3172" s="14"/>
      <c r="K3172" s="14"/>
      <c r="L3172" s="15"/>
      <c r="M3172" s="15"/>
      <c r="N3172" s="15"/>
      <c r="O3172" s="15"/>
      <c r="P3172" s="15"/>
      <c r="Q3172" s="14"/>
      <c r="R3172" s="14"/>
      <c r="S3172" s="14"/>
      <c r="T3172" s="14"/>
      <c r="U3172" s="15"/>
      <c r="V3172" s="14"/>
      <c r="W3172" s="14"/>
      <c r="X3172" s="14"/>
      <c r="Y3172" s="14"/>
      <c r="Z3172" s="14"/>
    </row>
    <row r="3173" spans="1:26" ht="13.2">
      <c r="A3173" s="13"/>
      <c r="B3173" s="14"/>
      <c r="C3173" s="14"/>
      <c r="D3173" s="14"/>
      <c r="E3173" s="14"/>
      <c r="F3173" s="14"/>
      <c r="G3173" s="14"/>
      <c r="H3173" s="14"/>
      <c r="I3173" s="14"/>
      <c r="J3173" s="14"/>
      <c r="K3173" s="14"/>
      <c r="L3173" s="15"/>
      <c r="M3173" s="15"/>
      <c r="N3173" s="15"/>
      <c r="O3173" s="15"/>
      <c r="P3173" s="15"/>
      <c r="Q3173" s="14"/>
      <c r="R3173" s="14"/>
      <c r="S3173" s="14"/>
      <c r="T3173" s="14"/>
      <c r="U3173" s="15"/>
      <c r="V3173" s="14"/>
      <c r="W3173" s="14"/>
      <c r="X3173" s="14"/>
      <c r="Y3173" s="14"/>
      <c r="Z3173" s="14"/>
    </row>
    <row r="3174" spans="1:26" ht="13.2">
      <c r="A3174" s="13"/>
      <c r="B3174" s="14"/>
      <c r="C3174" s="14"/>
      <c r="D3174" s="14"/>
      <c r="E3174" s="14"/>
      <c r="F3174" s="14"/>
      <c r="G3174" s="14"/>
      <c r="H3174" s="14"/>
      <c r="I3174" s="14"/>
      <c r="J3174" s="14"/>
      <c r="K3174" s="14"/>
      <c r="L3174" s="15"/>
      <c r="M3174" s="15"/>
      <c r="N3174" s="15"/>
      <c r="O3174" s="15"/>
      <c r="P3174" s="15"/>
      <c r="Q3174" s="14"/>
      <c r="R3174" s="14"/>
      <c r="S3174" s="14"/>
      <c r="T3174" s="14"/>
      <c r="U3174" s="15"/>
      <c r="V3174" s="14"/>
      <c r="W3174" s="14"/>
      <c r="X3174" s="14"/>
      <c r="Y3174" s="14"/>
      <c r="Z3174" s="14"/>
    </row>
    <row r="3175" spans="1:26" ht="13.2">
      <c r="A3175" s="13"/>
      <c r="B3175" s="14"/>
      <c r="C3175" s="14"/>
      <c r="D3175" s="14"/>
      <c r="E3175" s="14"/>
      <c r="F3175" s="14"/>
      <c r="G3175" s="14"/>
      <c r="H3175" s="14"/>
      <c r="I3175" s="14"/>
      <c r="J3175" s="14"/>
      <c r="K3175" s="14"/>
      <c r="L3175" s="15"/>
      <c r="M3175" s="15"/>
      <c r="N3175" s="15"/>
      <c r="O3175" s="15"/>
      <c r="P3175" s="15"/>
      <c r="Q3175" s="14"/>
      <c r="R3175" s="14"/>
      <c r="S3175" s="14"/>
      <c r="T3175" s="14"/>
      <c r="U3175" s="15"/>
      <c r="V3175" s="14"/>
      <c r="W3175" s="14"/>
      <c r="X3175" s="14"/>
      <c r="Y3175" s="14"/>
      <c r="Z3175" s="14"/>
    </row>
    <row r="3176" spans="1:26" ht="13.2">
      <c r="A3176" s="13"/>
      <c r="B3176" s="14"/>
      <c r="C3176" s="14"/>
      <c r="D3176" s="14"/>
      <c r="E3176" s="14"/>
      <c r="F3176" s="14"/>
      <c r="G3176" s="14"/>
      <c r="H3176" s="14"/>
      <c r="I3176" s="14"/>
      <c r="J3176" s="14"/>
      <c r="K3176" s="14"/>
      <c r="L3176" s="15"/>
      <c r="M3176" s="15"/>
      <c r="N3176" s="15"/>
      <c r="O3176" s="15"/>
      <c r="P3176" s="15"/>
      <c r="Q3176" s="14"/>
      <c r="R3176" s="14"/>
      <c r="S3176" s="14"/>
      <c r="T3176" s="14"/>
      <c r="U3176" s="15"/>
      <c r="V3176" s="14"/>
      <c r="W3176" s="14"/>
      <c r="X3176" s="14"/>
      <c r="Y3176" s="14"/>
      <c r="Z3176" s="14"/>
    </row>
    <row r="3177" spans="1:26" ht="13.2">
      <c r="A3177" s="13"/>
      <c r="B3177" s="14"/>
      <c r="C3177" s="14"/>
      <c r="D3177" s="14"/>
      <c r="E3177" s="14"/>
      <c r="F3177" s="14"/>
      <c r="G3177" s="14"/>
      <c r="H3177" s="14"/>
      <c r="I3177" s="14"/>
      <c r="J3177" s="14"/>
      <c r="K3177" s="14"/>
      <c r="L3177" s="15"/>
      <c r="M3177" s="15"/>
      <c r="N3177" s="15"/>
      <c r="O3177" s="15"/>
      <c r="P3177" s="15"/>
      <c r="Q3177" s="14"/>
      <c r="R3177" s="14"/>
      <c r="S3177" s="14"/>
      <c r="T3177" s="14"/>
      <c r="U3177" s="15"/>
      <c r="V3177" s="14"/>
      <c r="W3177" s="14"/>
      <c r="X3177" s="14"/>
      <c r="Y3177" s="14"/>
      <c r="Z3177" s="14"/>
    </row>
    <row r="3178" spans="1:26" ht="13.2">
      <c r="A3178" s="13"/>
      <c r="B3178" s="14"/>
      <c r="C3178" s="14"/>
      <c r="D3178" s="14"/>
      <c r="E3178" s="14"/>
      <c r="F3178" s="14"/>
      <c r="G3178" s="14"/>
      <c r="H3178" s="14"/>
      <c r="I3178" s="14"/>
      <c r="J3178" s="14"/>
      <c r="K3178" s="14"/>
      <c r="L3178" s="15"/>
      <c r="M3178" s="15"/>
      <c r="N3178" s="15"/>
      <c r="O3178" s="15"/>
      <c r="P3178" s="15"/>
      <c r="Q3178" s="14"/>
      <c r="R3178" s="14"/>
      <c r="S3178" s="14"/>
      <c r="T3178" s="14"/>
      <c r="U3178" s="15"/>
      <c r="V3178" s="14"/>
      <c r="W3178" s="14"/>
      <c r="X3178" s="14"/>
      <c r="Y3178" s="14"/>
      <c r="Z3178" s="14"/>
    </row>
    <row r="3179" spans="1:26" ht="13.2">
      <c r="A3179" s="13"/>
      <c r="B3179" s="14"/>
      <c r="C3179" s="14"/>
      <c r="D3179" s="14"/>
      <c r="E3179" s="14"/>
      <c r="F3179" s="14"/>
      <c r="G3179" s="14"/>
      <c r="H3179" s="14"/>
      <c r="I3179" s="14"/>
      <c r="J3179" s="14"/>
      <c r="K3179" s="14"/>
      <c r="L3179" s="15"/>
      <c r="M3179" s="15"/>
      <c r="N3179" s="15"/>
      <c r="O3179" s="15"/>
      <c r="P3179" s="15"/>
      <c r="Q3179" s="14"/>
      <c r="R3179" s="14"/>
      <c r="S3179" s="14"/>
      <c r="T3179" s="14"/>
      <c r="U3179" s="15"/>
      <c r="V3179" s="14"/>
      <c r="W3179" s="14"/>
      <c r="X3179" s="14"/>
      <c r="Y3179" s="14"/>
      <c r="Z3179" s="14"/>
    </row>
    <row r="3180" spans="1:26" ht="13.2">
      <c r="A3180" s="13"/>
      <c r="B3180" s="14"/>
      <c r="C3180" s="14"/>
      <c r="D3180" s="14"/>
      <c r="E3180" s="14"/>
      <c r="F3180" s="14"/>
      <c r="G3180" s="14"/>
      <c r="H3180" s="14"/>
      <c r="I3180" s="14"/>
      <c r="J3180" s="14"/>
      <c r="K3180" s="14"/>
      <c r="L3180" s="15"/>
      <c r="M3180" s="15"/>
      <c r="N3180" s="15"/>
      <c r="O3180" s="15"/>
      <c r="P3180" s="15"/>
      <c r="Q3180" s="14"/>
      <c r="R3180" s="14"/>
      <c r="S3180" s="14"/>
      <c r="T3180" s="14"/>
      <c r="U3180" s="15"/>
      <c r="V3180" s="14"/>
      <c r="W3180" s="14"/>
      <c r="X3180" s="14"/>
      <c r="Y3180" s="14"/>
      <c r="Z3180" s="14"/>
    </row>
    <row r="3181" spans="1:26" ht="13.2">
      <c r="A3181" s="13"/>
      <c r="B3181" s="14"/>
      <c r="C3181" s="14"/>
      <c r="D3181" s="14"/>
      <c r="E3181" s="14"/>
      <c r="F3181" s="14"/>
      <c r="G3181" s="14"/>
      <c r="H3181" s="14"/>
      <c r="I3181" s="14"/>
      <c r="J3181" s="14"/>
      <c r="K3181" s="14"/>
      <c r="L3181" s="15"/>
      <c r="M3181" s="15"/>
      <c r="N3181" s="15"/>
      <c r="O3181" s="15"/>
      <c r="P3181" s="15"/>
      <c r="Q3181" s="14"/>
      <c r="R3181" s="14"/>
      <c r="S3181" s="14"/>
      <c r="T3181" s="14"/>
      <c r="U3181" s="15"/>
      <c r="V3181" s="14"/>
      <c r="W3181" s="14"/>
      <c r="X3181" s="14"/>
      <c r="Y3181" s="14"/>
      <c r="Z3181" s="14"/>
    </row>
    <row r="3182" spans="1:26" ht="13.2">
      <c r="A3182" s="13"/>
      <c r="B3182" s="14"/>
      <c r="C3182" s="14"/>
      <c r="D3182" s="14"/>
      <c r="E3182" s="14"/>
      <c r="F3182" s="14"/>
      <c r="G3182" s="14"/>
      <c r="H3182" s="14"/>
      <c r="I3182" s="14"/>
      <c r="J3182" s="14"/>
      <c r="K3182" s="14"/>
      <c r="L3182" s="15"/>
      <c r="M3182" s="15"/>
      <c r="N3182" s="15"/>
      <c r="O3182" s="15"/>
      <c r="P3182" s="15"/>
      <c r="Q3182" s="14"/>
      <c r="R3182" s="14"/>
      <c r="S3182" s="14"/>
      <c r="T3182" s="14"/>
      <c r="U3182" s="15"/>
      <c r="V3182" s="14"/>
      <c r="W3182" s="14"/>
      <c r="X3182" s="14"/>
      <c r="Y3182" s="14"/>
      <c r="Z3182" s="14"/>
    </row>
    <row r="3183" spans="1:26" ht="13.2">
      <c r="A3183" s="13"/>
      <c r="B3183" s="14"/>
      <c r="C3183" s="14"/>
      <c r="D3183" s="14"/>
      <c r="E3183" s="14"/>
      <c r="F3183" s="14"/>
      <c r="G3183" s="14"/>
      <c r="H3183" s="14"/>
      <c r="I3183" s="14"/>
      <c r="J3183" s="14"/>
      <c r="K3183" s="14"/>
      <c r="L3183" s="15"/>
      <c r="M3183" s="15"/>
      <c r="N3183" s="15"/>
      <c r="O3183" s="15"/>
      <c r="P3183" s="15"/>
      <c r="Q3183" s="14"/>
      <c r="R3183" s="14"/>
      <c r="S3183" s="14"/>
      <c r="T3183" s="14"/>
      <c r="U3183" s="15"/>
      <c r="V3183" s="14"/>
      <c r="W3183" s="14"/>
      <c r="X3183" s="14"/>
      <c r="Y3183" s="14"/>
      <c r="Z3183" s="14"/>
    </row>
    <row r="3184" spans="1:26" ht="13.2">
      <c r="A3184" s="13"/>
      <c r="B3184" s="14"/>
      <c r="C3184" s="14"/>
      <c r="D3184" s="14"/>
      <c r="E3184" s="14"/>
      <c r="F3184" s="14"/>
      <c r="G3184" s="14"/>
      <c r="H3184" s="14"/>
      <c r="I3184" s="14"/>
      <c r="J3184" s="14"/>
      <c r="K3184" s="14"/>
      <c r="L3184" s="15"/>
      <c r="M3184" s="15"/>
      <c r="N3184" s="15"/>
      <c r="O3184" s="15"/>
      <c r="P3184" s="15"/>
      <c r="Q3184" s="14"/>
      <c r="R3184" s="14"/>
      <c r="S3184" s="14"/>
      <c r="T3184" s="14"/>
      <c r="U3184" s="15"/>
      <c r="V3184" s="14"/>
      <c r="W3184" s="14"/>
      <c r="X3184" s="14"/>
      <c r="Y3184" s="14"/>
      <c r="Z3184" s="14"/>
    </row>
    <row r="3185" spans="1:26" ht="13.2">
      <c r="A3185" s="13"/>
      <c r="B3185" s="14"/>
      <c r="C3185" s="14"/>
      <c r="D3185" s="14"/>
      <c r="E3185" s="14"/>
      <c r="F3185" s="14"/>
      <c r="G3185" s="14"/>
      <c r="H3185" s="14"/>
      <c r="I3185" s="14"/>
      <c r="J3185" s="14"/>
      <c r="K3185" s="14"/>
      <c r="L3185" s="15"/>
      <c r="M3185" s="15"/>
      <c r="N3185" s="15"/>
      <c r="O3185" s="15"/>
      <c r="P3185" s="15"/>
      <c r="Q3185" s="14"/>
      <c r="R3185" s="14"/>
      <c r="S3185" s="14"/>
      <c r="T3185" s="14"/>
      <c r="U3185" s="15"/>
      <c r="V3185" s="14"/>
      <c r="W3185" s="14"/>
      <c r="X3185" s="14"/>
      <c r="Y3185" s="14"/>
      <c r="Z3185" s="14"/>
    </row>
    <row r="3186" spans="1:26" ht="13.2">
      <c r="A3186" s="13"/>
      <c r="B3186" s="14"/>
      <c r="C3186" s="14"/>
      <c r="D3186" s="14"/>
      <c r="E3186" s="14"/>
      <c r="F3186" s="14"/>
      <c r="G3186" s="14"/>
      <c r="H3186" s="14"/>
      <c r="I3186" s="14"/>
      <c r="J3186" s="14"/>
      <c r="K3186" s="14"/>
      <c r="L3186" s="15"/>
      <c r="M3186" s="15"/>
      <c r="N3186" s="15"/>
      <c r="O3186" s="15"/>
      <c r="P3186" s="15"/>
      <c r="Q3186" s="14"/>
      <c r="R3186" s="14"/>
      <c r="S3186" s="14"/>
      <c r="T3186" s="14"/>
      <c r="U3186" s="15"/>
      <c r="V3186" s="14"/>
      <c r="W3186" s="14"/>
      <c r="X3186" s="14"/>
      <c r="Y3186" s="14"/>
      <c r="Z3186" s="14"/>
    </row>
    <row r="3187" spans="1:26" ht="13.2">
      <c r="A3187" s="13"/>
      <c r="B3187" s="14"/>
      <c r="C3187" s="14"/>
      <c r="D3187" s="14"/>
      <c r="E3187" s="14"/>
      <c r="F3187" s="14"/>
      <c r="G3187" s="14"/>
      <c r="H3187" s="14"/>
      <c r="I3187" s="14"/>
      <c r="J3187" s="14"/>
      <c r="K3187" s="14"/>
      <c r="L3187" s="15"/>
      <c r="M3187" s="15"/>
      <c r="N3187" s="15"/>
      <c r="O3187" s="15"/>
      <c r="P3187" s="15"/>
      <c r="Q3187" s="14"/>
      <c r="R3187" s="14"/>
      <c r="S3187" s="14"/>
      <c r="T3187" s="14"/>
      <c r="U3187" s="15"/>
      <c r="V3187" s="14"/>
      <c r="W3187" s="14"/>
      <c r="X3187" s="14"/>
      <c r="Y3187" s="14"/>
      <c r="Z3187" s="14"/>
    </row>
    <row r="3188" spans="1:26" ht="13.2">
      <c r="A3188" s="13"/>
      <c r="B3188" s="14"/>
      <c r="C3188" s="14"/>
      <c r="D3188" s="14"/>
      <c r="E3188" s="14"/>
      <c r="F3188" s="14"/>
      <c r="G3188" s="14"/>
      <c r="H3188" s="14"/>
      <c r="I3188" s="14"/>
      <c r="J3188" s="14"/>
      <c r="K3188" s="14"/>
      <c r="L3188" s="15"/>
      <c r="M3188" s="15"/>
      <c r="N3188" s="15"/>
      <c r="O3188" s="15"/>
      <c r="P3188" s="15"/>
      <c r="Q3188" s="14"/>
      <c r="R3188" s="14"/>
      <c r="S3188" s="14"/>
      <c r="T3188" s="14"/>
      <c r="U3188" s="15"/>
      <c r="V3188" s="14"/>
      <c r="W3188" s="14"/>
      <c r="X3188" s="14"/>
      <c r="Y3188" s="14"/>
      <c r="Z3188" s="14"/>
    </row>
    <row r="3189" spans="1:26" ht="13.2">
      <c r="A3189" s="13"/>
      <c r="B3189" s="14"/>
      <c r="C3189" s="14"/>
      <c r="D3189" s="14"/>
      <c r="E3189" s="14"/>
      <c r="F3189" s="14"/>
      <c r="G3189" s="14"/>
      <c r="H3189" s="14"/>
      <c r="I3189" s="14"/>
      <c r="J3189" s="14"/>
      <c r="K3189" s="14"/>
      <c r="L3189" s="15"/>
      <c r="M3189" s="15"/>
      <c r="N3189" s="15"/>
      <c r="O3189" s="15"/>
      <c r="P3189" s="15"/>
      <c r="Q3189" s="14"/>
      <c r="R3189" s="14"/>
      <c r="S3189" s="14"/>
      <c r="T3189" s="14"/>
      <c r="U3189" s="15"/>
      <c r="V3189" s="14"/>
      <c r="W3189" s="14"/>
      <c r="X3189" s="14"/>
      <c r="Y3189" s="14"/>
      <c r="Z3189" s="14"/>
    </row>
    <row r="3190" spans="1:26" ht="13.2">
      <c r="A3190" s="13"/>
      <c r="B3190" s="14"/>
      <c r="C3190" s="14"/>
      <c r="D3190" s="14"/>
      <c r="E3190" s="14"/>
      <c r="F3190" s="14"/>
      <c r="G3190" s="14"/>
      <c r="H3190" s="14"/>
      <c r="I3190" s="14"/>
      <c r="J3190" s="14"/>
      <c r="K3190" s="14"/>
      <c r="L3190" s="15"/>
      <c r="M3190" s="15"/>
      <c r="N3190" s="15"/>
      <c r="O3190" s="15"/>
      <c r="P3190" s="15"/>
      <c r="Q3190" s="14"/>
      <c r="R3190" s="14"/>
      <c r="S3190" s="14"/>
      <c r="T3190" s="14"/>
      <c r="U3190" s="15"/>
      <c r="V3190" s="14"/>
      <c r="W3190" s="14"/>
      <c r="X3190" s="14"/>
      <c r="Y3190" s="14"/>
      <c r="Z3190" s="14"/>
    </row>
    <row r="3191" spans="1:26" ht="13.2">
      <c r="A3191" s="13"/>
      <c r="B3191" s="14"/>
      <c r="C3191" s="14"/>
      <c r="D3191" s="14"/>
      <c r="E3191" s="14"/>
      <c r="F3191" s="14"/>
      <c r="G3191" s="14"/>
      <c r="H3191" s="14"/>
      <c r="I3191" s="14"/>
      <c r="J3191" s="14"/>
      <c r="K3191" s="14"/>
      <c r="L3191" s="15"/>
      <c r="M3191" s="15"/>
      <c r="N3191" s="15"/>
      <c r="O3191" s="15"/>
      <c r="P3191" s="15"/>
      <c r="Q3191" s="14"/>
      <c r="R3191" s="14"/>
      <c r="S3191" s="14"/>
      <c r="T3191" s="14"/>
      <c r="U3191" s="15"/>
      <c r="V3191" s="14"/>
      <c r="W3191" s="14"/>
      <c r="X3191" s="14"/>
      <c r="Y3191" s="14"/>
      <c r="Z3191" s="14"/>
    </row>
    <row r="3192" spans="1:26" ht="13.2">
      <c r="A3192" s="13"/>
      <c r="B3192" s="14"/>
      <c r="C3192" s="14"/>
      <c r="D3192" s="14"/>
      <c r="E3192" s="14"/>
      <c r="F3192" s="14"/>
      <c r="G3192" s="14"/>
      <c r="H3192" s="14"/>
      <c r="I3192" s="14"/>
      <c r="J3192" s="14"/>
      <c r="K3192" s="14"/>
      <c r="L3192" s="15"/>
      <c r="M3192" s="15"/>
      <c r="N3192" s="15"/>
      <c r="O3192" s="15"/>
      <c r="P3192" s="15"/>
      <c r="Q3192" s="14"/>
      <c r="R3192" s="14"/>
      <c r="S3192" s="14"/>
      <c r="T3192" s="14"/>
      <c r="U3192" s="15"/>
      <c r="V3192" s="14"/>
      <c r="W3192" s="14"/>
      <c r="X3192" s="14"/>
      <c r="Y3192" s="14"/>
      <c r="Z3192" s="14"/>
    </row>
    <row r="3193" spans="1:26" ht="13.2">
      <c r="A3193" s="13"/>
      <c r="B3193" s="14"/>
      <c r="C3193" s="14"/>
      <c r="D3193" s="14"/>
      <c r="E3193" s="14"/>
      <c r="F3193" s="14"/>
      <c r="G3193" s="14"/>
      <c r="H3193" s="14"/>
      <c r="I3193" s="14"/>
      <c r="J3193" s="14"/>
      <c r="K3193" s="14"/>
      <c r="L3193" s="15"/>
      <c r="M3193" s="15"/>
      <c r="N3193" s="15"/>
      <c r="O3193" s="15"/>
      <c r="P3193" s="15"/>
      <c r="Q3193" s="14"/>
      <c r="R3193" s="14"/>
      <c r="S3193" s="14"/>
      <c r="T3193" s="14"/>
      <c r="U3193" s="15"/>
      <c r="V3193" s="14"/>
      <c r="W3193" s="14"/>
      <c r="X3193" s="14"/>
      <c r="Y3193" s="14"/>
      <c r="Z3193" s="14"/>
    </row>
    <row r="3194" spans="1:26" ht="13.2">
      <c r="A3194" s="13"/>
      <c r="B3194" s="14"/>
      <c r="C3194" s="14"/>
      <c r="D3194" s="14"/>
      <c r="E3194" s="14"/>
      <c r="F3194" s="14"/>
      <c r="G3194" s="14"/>
      <c r="H3194" s="14"/>
      <c r="I3194" s="14"/>
      <c r="J3194" s="14"/>
      <c r="K3194" s="14"/>
      <c r="L3194" s="15"/>
      <c r="M3194" s="15"/>
      <c r="N3194" s="15"/>
      <c r="O3194" s="15"/>
      <c r="P3194" s="15"/>
      <c r="Q3194" s="14"/>
      <c r="R3194" s="14"/>
      <c r="S3194" s="14"/>
      <c r="T3194" s="14"/>
      <c r="U3194" s="15"/>
      <c r="V3194" s="14"/>
      <c r="W3194" s="14"/>
      <c r="X3194" s="14"/>
      <c r="Y3194" s="14"/>
      <c r="Z3194" s="14"/>
    </row>
    <row r="3195" spans="1:26" ht="13.2">
      <c r="A3195" s="13"/>
      <c r="B3195" s="14"/>
      <c r="C3195" s="14"/>
      <c r="D3195" s="14"/>
      <c r="E3195" s="14"/>
      <c r="F3195" s="14"/>
      <c r="G3195" s="14"/>
      <c r="H3195" s="14"/>
      <c r="I3195" s="14"/>
      <c r="J3195" s="14"/>
      <c r="K3195" s="14"/>
      <c r="L3195" s="15"/>
      <c r="M3195" s="15"/>
      <c r="N3195" s="15"/>
      <c r="O3195" s="15"/>
      <c r="P3195" s="15"/>
      <c r="Q3195" s="14"/>
      <c r="R3195" s="14"/>
      <c r="S3195" s="14"/>
      <c r="T3195" s="14"/>
      <c r="U3195" s="15"/>
      <c r="V3195" s="14"/>
      <c r="W3195" s="14"/>
      <c r="X3195" s="14"/>
      <c r="Y3195" s="14"/>
      <c r="Z3195" s="14"/>
    </row>
    <row r="3196" spans="1:26" ht="13.2">
      <c r="A3196" s="13"/>
      <c r="B3196" s="14"/>
      <c r="C3196" s="14"/>
      <c r="D3196" s="14"/>
      <c r="E3196" s="14"/>
      <c r="F3196" s="14"/>
      <c r="G3196" s="14"/>
      <c r="H3196" s="14"/>
      <c r="I3196" s="14"/>
      <c r="J3196" s="14"/>
      <c r="K3196" s="14"/>
      <c r="L3196" s="15"/>
      <c r="M3196" s="15"/>
      <c r="N3196" s="15"/>
      <c r="O3196" s="15"/>
      <c r="P3196" s="15"/>
      <c r="Q3196" s="14"/>
      <c r="R3196" s="14"/>
      <c r="S3196" s="14"/>
      <c r="T3196" s="14"/>
      <c r="U3196" s="15"/>
      <c r="V3196" s="14"/>
      <c r="W3196" s="14"/>
      <c r="X3196" s="14"/>
      <c r="Y3196" s="14"/>
      <c r="Z3196" s="14"/>
    </row>
    <row r="3197" spans="1:26" ht="13.2">
      <c r="A3197" s="13"/>
      <c r="B3197" s="14"/>
      <c r="C3197" s="14"/>
      <c r="D3197" s="14"/>
      <c r="E3197" s="14"/>
      <c r="F3197" s="14"/>
      <c r="G3197" s="14"/>
      <c r="H3197" s="14"/>
      <c r="I3197" s="14"/>
      <c r="J3197" s="14"/>
      <c r="K3197" s="14"/>
      <c r="L3197" s="15"/>
      <c r="M3197" s="15"/>
      <c r="N3197" s="15"/>
      <c r="O3197" s="15"/>
      <c r="P3197" s="15"/>
      <c r="Q3197" s="14"/>
      <c r="R3197" s="14"/>
      <c r="S3197" s="14"/>
      <c r="T3197" s="14"/>
      <c r="U3197" s="15"/>
      <c r="V3197" s="14"/>
      <c r="W3197" s="14"/>
      <c r="X3197" s="14"/>
      <c r="Y3197" s="14"/>
      <c r="Z3197" s="14"/>
    </row>
    <row r="3198" spans="1:26" ht="13.2">
      <c r="A3198" s="13"/>
      <c r="B3198" s="14"/>
      <c r="C3198" s="14"/>
      <c r="D3198" s="14"/>
      <c r="E3198" s="14"/>
      <c r="F3198" s="14"/>
      <c r="G3198" s="14"/>
      <c r="H3198" s="14"/>
      <c r="I3198" s="14"/>
      <c r="J3198" s="14"/>
      <c r="K3198" s="14"/>
      <c r="L3198" s="15"/>
      <c r="M3198" s="15"/>
      <c r="N3198" s="15"/>
      <c r="O3198" s="15"/>
      <c r="P3198" s="15"/>
      <c r="Q3198" s="14"/>
      <c r="R3198" s="14"/>
      <c r="S3198" s="14"/>
      <c r="T3198" s="14"/>
      <c r="U3198" s="15"/>
      <c r="V3198" s="14"/>
      <c r="W3198" s="14"/>
      <c r="X3198" s="14"/>
      <c r="Y3198" s="14"/>
      <c r="Z3198" s="14"/>
    </row>
    <row r="3199" spans="1:26" ht="13.2">
      <c r="A3199" s="13"/>
      <c r="B3199" s="14"/>
      <c r="C3199" s="14"/>
      <c r="D3199" s="14"/>
      <c r="E3199" s="14"/>
      <c r="F3199" s="14"/>
      <c r="G3199" s="14"/>
      <c r="H3199" s="14"/>
      <c r="I3199" s="14"/>
      <c r="J3199" s="14"/>
      <c r="K3199" s="14"/>
      <c r="L3199" s="15"/>
      <c r="M3199" s="15"/>
      <c r="N3199" s="15"/>
      <c r="O3199" s="15"/>
      <c r="P3199" s="15"/>
      <c r="Q3199" s="14"/>
      <c r="R3199" s="14"/>
      <c r="S3199" s="14"/>
      <c r="T3199" s="14"/>
      <c r="U3199" s="15"/>
      <c r="V3199" s="14"/>
      <c r="W3199" s="14"/>
      <c r="X3199" s="14"/>
      <c r="Y3199" s="14"/>
      <c r="Z3199" s="14"/>
    </row>
    <row r="3200" spans="1:26" ht="13.2">
      <c r="A3200" s="13"/>
      <c r="B3200" s="14"/>
      <c r="C3200" s="14"/>
      <c r="D3200" s="14"/>
      <c r="E3200" s="14"/>
      <c r="F3200" s="14"/>
      <c r="G3200" s="14"/>
      <c r="H3200" s="14"/>
      <c r="I3200" s="14"/>
      <c r="J3200" s="14"/>
      <c r="K3200" s="14"/>
      <c r="L3200" s="15"/>
      <c r="M3200" s="15"/>
      <c r="N3200" s="15"/>
      <c r="O3200" s="15"/>
      <c r="P3200" s="15"/>
      <c r="Q3200" s="14"/>
      <c r="R3200" s="14"/>
      <c r="S3200" s="14"/>
      <c r="T3200" s="14"/>
      <c r="U3200" s="15"/>
      <c r="V3200" s="14"/>
      <c r="W3200" s="14"/>
      <c r="X3200" s="14"/>
      <c r="Y3200" s="14"/>
      <c r="Z3200" s="14"/>
    </row>
    <row r="3201" spans="1:26" ht="13.2">
      <c r="A3201" s="13"/>
      <c r="B3201" s="14"/>
      <c r="C3201" s="14"/>
      <c r="D3201" s="14"/>
      <c r="E3201" s="14"/>
      <c r="F3201" s="14"/>
      <c r="G3201" s="14"/>
      <c r="H3201" s="14"/>
      <c r="I3201" s="14"/>
      <c r="J3201" s="14"/>
      <c r="K3201" s="14"/>
      <c r="L3201" s="15"/>
      <c r="M3201" s="15"/>
      <c r="N3201" s="15"/>
      <c r="O3201" s="15"/>
      <c r="P3201" s="15"/>
      <c r="Q3201" s="14"/>
      <c r="R3201" s="14"/>
      <c r="S3201" s="14"/>
      <c r="T3201" s="14"/>
      <c r="U3201" s="15"/>
      <c r="V3201" s="14"/>
      <c r="W3201" s="14"/>
      <c r="X3201" s="14"/>
      <c r="Y3201" s="14"/>
      <c r="Z3201" s="14"/>
    </row>
    <row r="3202" spans="1:26" ht="13.2">
      <c r="A3202" s="13"/>
      <c r="B3202" s="14"/>
      <c r="C3202" s="14"/>
      <c r="D3202" s="14"/>
      <c r="E3202" s="14"/>
      <c r="F3202" s="14"/>
      <c r="G3202" s="14"/>
      <c r="H3202" s="14"/>
      <c r="I3202" s="14"/>
      <c r="J3202" s="14"/>
      <c r="K3202" s="14"/>
      <c r="L3202" s="15"/>
      <c r="M3202" s="15"/>
      <c r="N3202" s="15"/>
      <c r="O3202" s="15"/>
      <c r="P3202" s="15"/>
      <c r="Q3202" s="14"/>
      <c r="R3202" s="14"/>
      <c r="S3202" s="14"/>
      <c r="T3202" s="14"/>
      <c r="U3202" s="15"/>
      <c r="V3202" s="14"/>
      <c r="W3202" s="14"/>
      <c r="X3202" s="14"/>
      <c r="Y3202" s="14"/>
      <c r="Z3202" s="14"/>
    </row>
    <row r="3203" spans="1:26" ht="13.2">
      <c r="A3203" s="13"/>
      <c r="B3203" s="14"/>
      <c r="C3203" s="14"/>
      <c r="D3203" s="14"/>
      <c r="E3203" s="14"/>
      <c r="F3203" s="14"/>
      <c r="G3203" s="14"/>
      <c r="H3203" s="14"/>
      <c r="I3203" s="14"/>
      <c r="J3203" s="14"/>
      <c r="K3203" s="14"/>
      <c r="L3203" s="15"/>
      <c r="M3203" s="15"/>
      <c r="N3203" s="15"/>
      <c r="O3203" s="15"/>
      <c r="P3203" s="15"/>
      <c r="Q3203" s="14"/>
      <c r="R3203" s="14"/>
      <c r="S3203" s="14"/>
      <c r="T3203" s="14"/>
      <c r="U3203" s="15"/>
      <c r="V3203" s="14"/>
      <c r="W3203" s="14"/>
      <c r="X3203" s="14"/>
      <c r="Y3203" s="14"/>
      <c r="Z3203" s="14"/>
    </row>
    <row r="3204" spans="1:26" ht="13.2">
      <c r="A3204" s="13"/>
      <c r="B3204" s="14"/>
      <c r="C3204" s="14"/>
      <c r="D3204" s="14"/>
      <c r="E3204" s="14"/>
      <c r="F3204" s="14"/>
      <c r="G3204" s="14"/>
      <c r="H3204" s="14"/>
      <c r="I3204" s="14"/>
      <c r="J3204" s="14"/>
      <c r="K3204" s="14"/>
      <c r="L3204" s="15"/>
      <c r="M3204" s="15"/>
      <c r="N3204" s="15"/>
      <c r="O3204" s="15"/>
      <c r="P3204" s="15"/>
      <c r="Q3204" s="14"/>
      <c r="R3204" s="14"/>
      <c r="S3204" s="14"/>
      <c r="T3204" s="14"/>
      <c r="U3204" s="15"/>
      <c r="V3204" s="14"/>
      <c r="W3204" s="14"/>
      <c r="X3204" s="14"/>
      <c r="Y3204" s="14"/>
      <c r="Z3204" s="14"/>
    </row>
    <row r="3205" spans="1:26" ht="13.2">
      <c r="A3205" s="13"/>
      <c r="B3205" s="14"/>
      <c r="C3205" s="14"/>
      <c r="D3205" s="14"/>
      <c r="E3205" s="14"/>
      <c r="F3205" s="14"/>
      <c r="G3205" s="14"/>
      <c r="H3205" s="14"/>
      <c r="I3205" s="14"/>
      <c r="J3205" s="14"/>
      <c r="K3205" s="14"/>
      <c r="L3205" s="15"/>
      <c r="M3205" s="15"/>
      <c r="N3205" s="15"/>
      <c r="O3205" s="15"/>
      <c r="P3205" s="15"/>
      <c r="Q3205" s="14"/>
      <c r="R3205" s="14"/>
      <c r="S3205" s="14"/>
      <c r="T3205" s="14"/>
      <c r="U3205" s="15"/>
      <c r="V3205" s="14"/>
      <c r="W3205" s="14"/>
      <c r="X3205" s="14"/>
      <c r="Y3205" s="14"/>
      <c r="Z3205" s="14"/>
    </row>
    <row r="3206" spans="1:26" ht="13.2">
      <c r="A3206" s="13"/>
      <c r="B3206" s="14"/>
      <c r="C3206" s="14"/>
      <c r="D3206" s="14"/>
      <c r="E3206" s="14"/>
      <c r="F3206" s="14"/>
      <c r="G3206" s="14"/>
      <c r="H3206" s="14"/>
      <c r="I3206" s="14"/>
      <c r="J3206" s="14"/>
      <c r="K3206" s="14"/>
      <c r="L3206" s="15"/>
      <c r="M3206" s="15"/>
      <c r="N3206" s="15"/>
      <c r="O3206" s="15"/>
      <c r="P3206" s="15"/>
      <c r="Q3206" s="14"/>
      <c r="R3206" s="14"/>
      <c r="S3206" s="14"/>
      <c r="T3206" s="14"/>
      <c r="U3206" s="15"/>
      <c r="V3206" s="14"/>
      <c r="W3206" s="14"/>
      <c r="X3206" s="14"/>
      <c r="Y3206" s="14"/>
      <c r="Z3206" s="14"/>
    </row>
    <row r="3207" spans="1:26" ht="13.2">
      <c r="A3207" s="13"/>
      <c r="B3207" s="14"/>
      <c r="C3207" s="14"/>
      <c r="D3207" s="14"/>
      <c r="E3207" s="14"/>
      <c r="F3207" s="14"/>
      <c r="G3207" s="14"/>
      <c r="H3207" s="14"/>
      <c r="I3207" s="14"/>
      <c r="J3207" s="14"/>
      <c r="K3207" s="14"/>
      <c r="L3207" s="15"/>
      <c r="M3207" s="15"/>
      <c r="N3207" s="15"/>
      <c r="O3207" s="15"/>
      <c r="P3207" s="15"/>
      <c r="Q3207" s="14"/>
      <c r="R3207" s="14"/>
      <c r="S3207" s="14"/>
      <c r="T3207" s="14"/>
      <c r="U3207" s="15"/>
      <c r="V3207" s="14"/>
      <c r="W3207" s="14"/>
      <c r="X3207" s="14"/>
      <c r="Y3207" s="14"/>
      <c r="Z3207" s="14"/>
    </row>
    <row r="3208" spans="1:26" ht="13.2">
      <c r="A3208" s="13"/>
      <c r="B3208" s="14"/>
      <c r="C3208" s="14"/>
      <c r="D3208" s="14"/>
      <c r="E3208" s="14"/>
      <c r="F3208" s="14"/>
      <c r="G3208" s="14"/>
      <c r="H3208" s="14"/>
      <c r="I3208" s="14"/>
      <c r="J3208" s="14"/>
      <c r="K3208" s="14"/>
      <c r="L3208" s="15"/>
      <c r="M3208" s="15"/>
      <c r="N3208" s="15"/>
      <c r="O3208" s="15"/>
      <c r="P3208" s="15"/>
      <c r="Q3208" s="14"/>
      <c r="R3208" s="14"/>
      <c r="S3208" s="14"/>
      <c r="T3208" s="14"/>
      <c r="U3208" s="15"/>
      <c r="V3208" s="14"/>
      <c r="W3208" s="14"/>
      <c r="X3208" s="14"/>
      <c r="Y3208" s="14"/>
      <c r="Z3208" s="14"/>
    </row>
    <row r="3209" spans="1:26" ht="13.2">
      <c r="A3209" s="13"/>
      <c r="B3209" s="14"/>
      <c r="C3209" s="14"/>
      <c r="D3209" s="14"/>
      <c r="E3209" s="14"/>
      <c r="F3209" s="14"/>
      <c r="G3209" s="14"/>
      <c r="H3209" s="14"/>
      <c r="I3209" s="14"/>
      <c r="J3209" s="14"/>
      <c r="K3209" s="14"/>
      <c r="L3209" s="15"/>
      <c r="M3209" s="15"/>
      <c r="N3209" s="15"/>
      <c r="O3209" s="15"/>
      <c r="P3209" s="15"/>
      <c r="Q3209" s="14"/>
      <c r="R3209" s="14"/>
      <c r="S3209" s="14"/>
      <c r="T3209" s="14"/>
      <c r="U3209" s="15"/>
      <c r="V3209" s="14"/>
      <c r="W3209" s="14"/>
      <c r="X3209" s="14"/>
      <c r="Y3209" s="14"/>
      <c r="Z3209" s="14"/>
    </row>
    <row r="3210" spans="1:26" ht="13.2">
      <c r="A3210" s="13"/>
      <c r="B3210" s="14"/>
      <c r="C3210" s="14"/>
      <c r="D3210" s="14"/>
      <c r="E3210" s="14"/>
      <c r="F3210" s="14"/>
      <c r="G3210" s="14"/>
      <c r="H3210" s="14"/>
      <c r="I3210" s="14"/>
      <c r="J3210" s="14"/>
      <c r="K3210" s="14"/>
      <c r="L3210" s="15"/>
      <c r="M3210" s="15"/>
      <c r="N3210" s="15"/>
      <c r="O3210" s="15"/>
      <c r="P3210" s="15"/>
      <c r="Q3210" s="14"/>
      <c r="R3210" s="14"/>
      <c r="S3210" s="14"/>
      <c r="T3210" s="14"/>
      <c r="U3210" s="15"/>
      <c r="V3210" s="14"/>
      <c r="W3210" s="14"/>
      <c r="X3210" s="14"/>
      <c r="Y3210" s="14"/>
      <c r="Z3210" s="14"/>
    </row>
    <row r="3211" spans="1:26" ht="13.2">
      <c r="A3211" s="13"/>
      <c r="B3211" s="14"/>
      <c r="C3211" s="14"/>
      <c r="D3211" s="14"/>
      <c r="E3211" s="14"/>
      <c r="F3211" s="14"/>
      <c r="G3211" s="14"/>
      <c r="H3211" s="14"/>
      <c r="I3211" s="14"/>
      <c r="J3211" s="14"/>
      <c r="K3211" s="14"/>
      <c r="L3211" s="15"/>
      <c r="M3211" s="15"/>
      <c r="N3211" s="15"/>
      <c r="O3211" s="15"/>
      <c r="P3211" s="15"/>
      <c r="Q3211" s="14"/>
      <c r="R3211" s="14"/>
      <c r="S3211" s="14"/>
      <c r="T3211" s="14"/>
      <c r="U3211" s="15"/>
      <c r="V3211" s="14"/>
      <c r="W3211" s="14"/>
      <c r="X3211" s="14"/>
      <c r="Y3211" s="14"/>
      <c r="Z3211" s="14"/>
    </row>
    <row r="3212" spans="1:26" ht="13.2">
      <c r="A3212" s="13"/>
      <c r="B3212" s="14"/>
      <c r="C3212" s="14"/>
      <c r="D3212" s="14"/>
      <c r="E3212" s="14"/>
      <c r="F3212" s="14"/>
      <c r="G3212" s="14"/>
      <c r="H3212" s="14"/>
      <c r="I3212" s="14"/>
      <c r="J3212" s="14"/>
      <c r="K3212" s="14"/>
      <c r="L3212" s="15"/>
      <c r="M3212" s="15"/>
      <c r="N3212" s="15"/>
      <c r="O3212" s="15"/>
      <c r="P3212" s="15"/>
      <c r="Q3212" s="14"/>
      <c r="R3212" s="14"/>
      <c r="S3212" s="14"/>
      <c r="T3212" s="14"/>
      <c r="U3212" s="15"/>
      <c r="V3212" s="14"/>
      <c r="W3212" s="14"/>
      <c r="X3212" s="14"/>
      <c r="Y3212" s="14"/>
      <c r="Z3212" s="14"/>
    </row>
    <row r="3213" spans="1:26" ht="13.2">
      <c r="A3213" s="13"/>
      <c r="B3213" s="14"/>
      <c r="C3213" s="14"/>
      <c r="D3213" s="14"/>
      <c r="E3213" s="14"/>
      <c r="F3213" s="14"/>
      <c r="G3213" s="14"/>
      <c r="H3213" s="14"/>
      <c r="I3213" s="14"/>
      <c r="J3213" s="14"/>
      <c r="K3213" s="14"/>
      <c r="L3213" s="15"/>
      <c r="M3213" s="15"/>
      <c r="N3213" s="15"/>
      <c r="O3213" s="15"/>
      <c r="P3213" s="15"/>
      <c r="Q3213" s="14"/>
      <c r="R3213" s="14"/>
      <c r="S3213" s="14"/>
      <c r="T3213" s="14"/>
      <c r="U3213" s="15"/>
      <c r="V3213" s="14"/>
      <c r="W3213" s="14"/>
      <c r="X3213" s="14"/>
      <c r="Y3213" s="14"/>
      <c r="Z3213" s="14"/>
    </row>
    <row r="3214" spans="1:26" ht="13.2">
      <c r="A3214" s="13"/>
      <c r="B3214" s="14"/>
      <c r="C3214" s="14"/>
      <c r="D3214" s="14"/>
      <c r="E3214" s="14"/>
      <c r="F3214" s="14"/>
      <c r="G3214" s="14"/>
      <c r="H3214" s="14"/>
      <c r="I3214" s="14"/>
      <c r="J3214" s="14"/>
      <c r="K3214" s="14"/>
      <c r="L3214" s="15"/>
      <c r="M3214" s="15"/>
      <c r="N3214" s="15"/>
      <c r="O3214" s="15"/>
      <c r="P3214" s="15"/>
      <c r="Q3214" s="14"/>
      <c r="R3214" s="14"/>
      <c r="S3214" s="14"/>
      <c r="T3214" s="14"/>
      <c r="U3214" s="15"/>
      <c r="V3214" s="14"/>
      <c r="W3214" s="14"/>
      <c r="X3214" s="14"/>
      <c r="Y3214" s="14"/>
      <c r="Z3214" s="14"/>
    </row>
    <row r="3215" spans="1:26" ht="13.2">
      <c r="A3215" s="13"/>
      <c r="B3215" s="14"/>
      <c r="C3215" s="14"/>
      <c r="D3215" s="14"/>
      <c r="E3215" s="14"/>
      <c r="F3215" s="14"/>
      <c r="G3215" s="14"/>
      <c r="H3215" s="14"/>
      <c r="I3215" s="14"/>
      <c r="J3215" s="14"/>
      <c r="K3215" s="14"/>
      <c r="L3215" s="15"/>
      <c r="M3215" s="15"/>
      <c r="N3215" s="15"/>
      <c r="O3215" s="15"/>
      <c r="P3215" s="15"/>
      <c r="Q3215" s="14"/>
      <c r="R3215" s="14"/>
      <c r="S3215" s="14"/>
      <c r="T3215" s="14"/>
      <c r="U3215" s="15"/>
      <c r="V3215" s="14"/>
      <c r="W3215" s="14"/>
      <c r="X3215" s="14"/>
      <c r="Y3215" s="14"/>
      <c r="Z3215" s="14"/>
    </row>
    <row r="3216" spans="1:26" ht="13.2">
      <c r="A3216" s="13"/>
      <c r="B3216" s="14"/>
      <c r="C3216" s="14"/>
      <c r="D3216" s="14"/>
      <c r="E3216" s="14"/>
      <c r="F3216" s="14"/>
      <c r="G3216" s="14"/>
      <c r="H3216" s="14"/>
      <c r="I3216" s="14"/>
      <c r="J3216" s="14"/>
      <c r="K3216" s="14"/>
      <c r="L3216" s="15"/>
      <c r="M3216" s="15"/>
      <c r="N3216" s="15"/>
      <c r="O3216" s="15"/>
      <c r="P3216" s="15"/>
      <c r="Q3216" s="14"/>
      <c r="R3216" s="14"/>
      <c r="S3216" s="14"/>
      <c r="T3216" s="14"/>
      <c r="U3216" s="15"/>
      <c r="V3216" s="14"/>
      <c r="W3216" s="14"/>
      <c r="X3216" s="14"/>
      <c r="Y3216" s="14"/>
      <c r="Z3216" s="14"/>
    </row>
    <row r="3217" spans="1:26" ht="13.2">
      <c r="A3217" s="13"/>
      <c r="B3217" s="14"/>
      <c r="C3217" s="14"/>
      <c r="D3217" s="14"/>
      <c r="E3217" s="14"/>
      <c r="F3217" s="14"/>
      <c r="G3217" s="14"/>
      <c r="H3217" s="14"/>
      <c r="I3217" s="14"/>
      <c r="J3217" s="14"/>
      <c r="K3217" s="14"/>
      <c r="L3217" s="15"/>
      <c r="M3217" s="15"/>
      <c r="N3217" s="15"/>
      <c r="O3217" s="15"/>
      <c r="P3217" s="15"/>
      <c r="Q3217" s="14"/>
      <c r="R3217" s="14"/>
      <c r="S3217" s="14"/>
      <c r="T3217" s="14"/>
      <c r="U3217" s="15"/>
      <c r="V3217" s="14"/>
      <c r="W3217" s="14"/>
      <c r="X3217" s="14"/>
      <c r="Y3217" s="14"/>
      <c r="Z3217" s="14"/>
    </row>
    <row r="3218" spans="1:26" ht="13.2">
      <c r="A3218" s="13"/>
      <c r="B3218" s="14"/>
      <c r="C3218" s="14"/>
      <c r="D3218" s="14"/>
      <c r="E3218" s="14"/>
      <c r="F3218" s="14"/>
      <c r="G3218" s="14"/>
      <c r="H3218" s="14"/>
      <c r="I3218" s="14"/>
      <c r="J3218" s="14"/>
      <c r="K3218" s="14"/>
      <c r="L3218" s="15"/>
      <c r="M3218" s="15"/>
      <c r="N3218" s="15"/>
      <c r="O3218" s="15"/>
      <c r="P3218" s="15"/>
      <c r="Q3218" s="14"/>
      <c r="R3218" s="14"/>
      <c r="S3218" s="14"/>
      <c r="T3218" s="14"/>
      <c r="U3218" s="15"/>
      <c r="V3218" s="14"/>
      <c r="W3218" s="14"/>
      <c r="X3218" s="14"/>
      <c r="Y3218" s="14"/>
      <c r="Z3218" s="14"/>
    </row>
  </sheetData>
  <hyperlinks>
    <hyperlink ref="F3" r:id="rId1" xr:uid="{754BD126-EABB-45AA-8BD9-E47DD069C433}"/>
    <hyperlink ref="S3" r:id="rId2" xr:uid="{7840E8EB-D9F3-46BD-926D-6BA107B8D638}"/>
    <hyperlink ref="G4" r:id="rId3" xr:uid="{F671E08C-187F-4EAB-9A8D-78C0266A09DD}"/>
    <hyperlink ref="S4" r:id="rId4" xr:uid="{10DE0906-F4A1-42B6-AB3B-3DCD52FAABE3}"/>
    <hyperlink ref="F5" r:id="rId5" xr:uid="{A8FC8DB5-BC41-4475-BE3A-1D411BA02579}"/>
    <hyperlink ref="G5" r:id="rId6" xr:uid="{DBF00E2B-880E-45CA-BBAF-162772A7E828}"/>
    <hyperlink ref="S5" r:id="rId7" xr:uid="{12DD63E2-B203-4D02-8C5E-92329E960AAB}"/>
    <hyperlink ref="S6" r:id="rId8" xr:uid="{391E5243-1F9A-4B92-BBF7-4229E59A8006}"/>
    <hyperlink ref="F7" r:id="rId9" xr:uid="{755722FC-B6F4-4C77-B4A5-40682BA621BD}"/>
    <hyperlink ref="F8" r:id="rId10" xr:uid="{7E2A8399-5CCA-4877-B660-3AB80AC5E110}"/>
    <hyperlink ref="F9" r:id="rId11" xr:uid="{D059B4A1-52D7-45AA-B544-0E55437C6ABB}"/>
    <hyperlink ref="S9" r:id="rId12" xr:uid="{0B62AF9C-AE89-4A87-BC41-A32D2C1A7B74}"/>
    <hyperlink ref="F10" r:id="rId13" xr:uid="{050411EA-66F0-4143-9F98-DDFEA1769E4B}"/>
    <hyperlink ref="G10" r:id="rId14" xr:uid="{AC1589FE-98AA-4157-97F5-7EA8490D7F18}"/>
    <hyperlink ref="S10" r:id="rId15" xr:uid="{6B675216-E6E1-4121-938E-5E6320C80F7D}"/>
    <hyperlink ref="F11" r:id="rId16" xr:uid="{E3D1E550-5103-481B-8E80-89897CB98032}"/>
    <hyperlink ref="G11" r:id="rId17" xr:uid="{BCA14941-0185-4A16-BA4D-BE33364E744B}"/>
    <hyperlink ref="S11" r:id="rId18" xr:uid="{C7B531A1-F6DD-40AD-8910-F35F5ACD3595}"/>
    <hyperlink ref="F12" r:id="rId19" xr:uid="{6499B3A3-6941-49AE-9A1D-7CE9D0CB00E3}"/>
    <hyperlink ref="S12" r:id="rId20" xr:uid="{1EE4AA73-A19F-4B37-99D4-C2A2A542E413}"/>
    <hyperlink ref="F13" r:id="rId21" xr:uid="{619CC812-F642-46D1-835D-73AF20F84B2E}"/>
    <hyperlink ref="S13" r:id="rId22" xr:uid="{6B3AC2BF-A10A-4776-99E8-08FFB0AC4854}"/>
    <hyperlink ref="F14" r:id="rId23" xr:uid="{C8CB72B3-0C52-4F73-836B-BA72A7D0B2F2}"/>
    <hyperlink ref="G14" r:id="rId24" xr:uid="{396313AE-087C-41EB-8FC9-9BB72BE52B26}"/>
    <hyperlink ref="S14" r:id="rId25" xr:uid="{388E377F-67CA-41EE-96B5-F2CD41FD3DFB}"/>
    <hyperlink ref="F15" r:id="rId26" xr:uid="{A49FA10D-DC77-4172-B2CC-8745CC2203CC}"/>
    <hyperlink ref="S15" r:id="rId27" xr:uid="{A8817DD4-756A-4EE5-9439-54BC14CA16D4}"/>
    <hyperlink ref="F16" r:id="rId28" xr:uid="{80B54EDA-F2FD-465D-AC7E-48983FEAB855}"/>
    <hyperlink ref="G16" r:id="rId29" xr:uid="{89291125-3C7C-48B8-B09F-B6F3209E8623}"/>
    <hyperlink ref="S16" r:id="rId30" xr:uid="{8D619CA2-B996-42E5-9B3F-EC555F661EA3}"/>
    <hyperlink ref="F17" r:id="rId31" xr:uid="{D6E2AC4B-8F4E-4CF2-851C-E6F025A58FC0}"/>
    <hyperlink ref="G17" r:id="rId32" xr:uid="{552765B7-DEF4-4DA1-B945-B1E168D14248}"/>
    <hyperlink ref="S17" r:id="rId33" xr:uid="{75F4CF1A-815B-4E65-8058-6E54A9326A46}"/>
    <hyperlink ref="G19" r:id="rId34" xr:uid="{EF90325F-B9B9-4420-82D5-F12CC1CF00BA}"/>
    <hyperlink ref="F20" r:id="rId35" xr:uid="{4C9F4523-C2CB-4264-9C59-DFE9C8E4CBDC}"/>
    <hyperlink ref="F21" r:id="rId36" xr:uid="{37AEE731-7B8F-422C-8051-C1B1895BF857}"/>
    <hyperlink ref="S21" r:id="rId37" xr:uid="{6EB0D3D9-8B96-41D4-8AD0-9D20DFD06131}"/>
    <hyperlink ref="F22" r:id="rId38" xr:uid="{30C8C820-CC92-43E9-A047-0A1DAA5768BD}"/>
    <hyperlink ref="S22" r:id="rId39" xr:uid="{38B29D8B-E735-4F65-A3FC-9E4E6CAC2871}"/>
    <hyperlink ref="F23" r:id="rId40" xr:uid="{11A7ADE1-AB8E-4DC5-97D6-1B24660A1523}"/>
    <hyperlink ref="G23" r:id="rId41" xr:uid="{C48659DF-7A8E-4B2B-BE71-1E7AA4974949}"/>
    <hyperlink ref="S23" r:id="rId42" xr:uid="{C0ACB0F1-2E61-442A-AB42-15A0A6805F42}"/>
    <hyperlink ref="F24" r:id="rId43" xr:uid="{E088641E-0EE6-496F-B665-21E184EB658F}"/>
    <hyperlink ref="G24" r:id="rId44" xr:uid="{4FAAB644-7928-4A1C-82CC-E957400A208F}"/>
    <hyperlink ref="S24" r:id="rId45" xr:uid="{57D8F78A-9EAA-423C-ABA1-B00DF436527C}"/>
    <hyperlink ref="F25" r:id="rId46" xr:uid="{AD76109D-08B5-4159-94BD-D7540A6C6984}"/>
    <hyperlink ref="F26" r:id="rId47" xr:uid="{2CCD60B7-3253-44A0-8431-B1337D50566C}"/>
    <hyperlink ref="F27" r:id="rId48" xr:uid="{1853CFCF-9EE2-4D5A-A687-E54FFAD1819C}"/>
    <hyperlink ref="S27" r:id="rId49" xr:uid="{D411E0A5-730E-4C6F-962A-096C373375B6}"/>
    <hyperlink ref="F28" r:id="rId50" xr:uid="{89145694-533A-4BBB-AA36-2C7401DC3F91}"/>
    <hyperlink ref="S28" r:id="rId51" xr:uid="{0C578DB4-DCF0-4DB3-AA7E-F4D868D2B11D}"/>
    <hyperlink ref="F29" r:id="rId52" xr:uid="{ADC6B3E6-44B1-46BC-B0C7-C5431BDAA441}"/>
    <hyperlink ref="S29" r:id="rId53" xr:uid="{AE429507-1C6A-432E-B24B-4F8561FAFE87}"/>
    <hyperlink ref="F30" r:id="rId54" xr:uid="{D257930E-97EE-46DE-B954-5755788FF290}"/>
    <hyperlink ref="G30" r:id="rId55" xr:uid="{C367D018-D8C2-4F5C-956F-1287D99B1699}"/>
    <hyperlink ref="S30" r:id="rId56" xr:uid="{D21D1551-4AE5-493D-8678-3F8890A1CD11}"/>
    <hyperlink ref="F31" r:id="rId57" xr:uid="{2599A23B-1935-4180-8784-313CCEEE9049}"/>
    <hyperlink ref="F32" r:id="rId58" xr:uid="{CF0DE732-6FC1-4E46-BD02-FFA58CFE7D00}"/>
    <hyperlink ref="S32" r:id="rId59" xr:uid="{51BDB335-518B-4C27-BAD6-4BB692FFF16F}"/>
    <hyperlink ref="F33" r:id="rId60" xr:uid="{143B7E52-5A92-4CD0-A4B6-36BA7FA4F598}"/>
    <hyperlink ref="S33" r:id="rId61" xr:uid="{F159754A-0CAC-49C2-B44E-843B0F48FDEE}"/>
    <hyperlink ref="F34" r:id="rId62" xr:uid="{A2A1422A-0BE6-4898-A5F1-518C7A661CC0}"/>
    <hyperlink ref="S34" r:id="rId63" xr:uid="{EFDD4C81-0ED1-482C-8029-57A67AFB3377}"/>
    <hyperlink ref="G35" r:id="rId64" xr:uid="{A52582E8-1E0B-4D67-9A34-AF484D7C00A1}"/>
    <hyperlink ref="S35" r:id="rId65" xr:uid="{4278E591-0270-4057-BE51-E97BC6717FE6}"/>
    <hyperlink ref="S36" r:id="rId66" xr:uid="{B3E2082B-CE6C-4266-951B-DBDA4E724FB4}"/>
    <hyperlink ref="F37" r:id="rId67" xr:uid="{6E735543-1032-487E-94D0-E9D6D3BBF171}"/>
    <hyperlink ref="S37" r:id="rId68" xr:uid="{5FB8D4D1-99DE-4F3A-A882-54B2FD166B04}"/>
    <hyperlink ref="F39" r:id="rId69" xr:uid="{DFFEEC79-34FE-42A9-A39A-6D5A89FACAE3}"/>
    <hyperlink ref="G39" r:id="rId70" xr:uid="{4F0D0452-E717-43D1-A9D4-F7A16908E41D}"/>
    <hyperlink ref="S39" r:id="rId71" xr:uid="{53544FC3-DA1D-4A97-A56A-51D1AEA30D0D}"/>
    <hyperlink ref="F40" r:id="rId72" xr:uid="{2353C259-5F73-406B-A10E-9D52FBA547A9}"/>
    <hyperlink ref="G40" r:id="rId73" xr:uid="{4788B73E-F493-4F95-A756-16DA9A2C14BB}"/>
    <hyperlink ref="S40" r:id="rId74" xr:uid="{573CFE06-9083-49D1-9680-2E1671AA571C}"/>
    <hyperlink ref="F41" r:id="rId75" xr:uid="{1EBD4462-592C-4A77-B5BE-FFCAAEBB5556}"/>
    <hyperlink ref="G41" r:id="rId76" xr:uid="{90664A6B-19BA-4F6F-B573-1811FED4E1D7}"/>
    <hyperlink ref="S41" r:id="rId77" xr:uid="{67CA6A56-EEEC-40A3-895A-ABBB63959A99}"/>
    <hyperlink ref="G42" r:id="rId78" xr:uid="{A5071E48-29E0-4E16-8F77-6E6940D72ACB}"/>
    <hyperlink ref="S42" r:id="rId79" xr:uid="{618DB006-D6FA-44CA-9BFE-443D50329A4C}"/>
    <hyperlink ref="F43" r:id="rId80" xr:uid="{93666FD1-1024-421E-9D2C-F062F6CFF9DE}"/>
    <hyperlink ref="G43" r:id="rId81" xr:uid="{373EE927-23E5-4D9B-A729-D7366BD96D62}"/>
    <hyperlink ref="S43" r:id="rId82" xr:uid="{61D6B4C5-A458-44BE-931E-72D1DCA1AFF3}"/>
    <hyperlink ref="G44" r:id="rId83" xr:uid="{960B4905-D8C5-4785-A9B7-5E5FABEEE139}"/>
    <hyperlink ref="S44" r:id="rId84" xr:uid="{18E651A2-F158-4DB0-89EC-858CE188A240}"/>
    <hyperlink ref="F45" r:id="rId85" xr:uid="{61815102-BE04-40CC-A40C-58E2ED6319AB}"/>
    <hyperlink ref="G45" r:id="rId86" xr:uid="{5EBCAFE7-7653-4CF0-ABF0-D9269A7D6743}"/>
    <hyperlink ref="S45" r:id="rId87" xr:uid="{73C5CEE5-0935-4CDF-BBD8-B48A2DB0CBFA}"/>
    <hyperlink ref="F46" r:id="rId88" xr:uid="{A64C183D-9B03-4FEF-9D7E-1D9994255E88}"/>
    <hyperlink ref="S46" r:id="rId89" xr:uid="{E6A765D2-40A1-4683-A85D-C4397EC0E3BA}"/>
    <hyperlink ref="F47" r:id="rId90" xr:uid="{6DE48424-FDE2-43CC-B8FB-1904D2E8CD1C}"/>
    <hyperlink ref="S47" r:id="rId91" xr:uid="{40ADC78D-F078-49E7-AC5E-C7CCDC943E52}"/>
    <hyperlink ref="S48" r:id="rId92" xr:uid="{334B3319-034A-496C-913B-23E07EFF1D3A}"/>
    <hyperlink ref="F49" r:id="rId93" xr:uid="{09114BB0-61B3-424B-A47E-17BE29B219C5}"/>
    <hyperlink ref="S49" r:id="rId94" xr:uid="{D6E8453B-AC47-4BDA-AEF5-EF1D2D2DBE76}"/>
    <hyperlink ref="F50" r:id="rId95" xr:uid="{4B7D93A7-49F6-4A43-9E61-FE02A8038D86}"/>
    <hyperlink ref="S50" r:id="rId96" xr:uid="{1A272438-AB7D-4DCD-8AEB-9B51CAE49B76}"/>
    <hyperlink ref="F51" r:id="rId97" xr:uid="{69050220-D469-4B65-94E1-3D85AA47C0F0}"/>
    <hyperlink ref="S51" r:id="rId98" xr:uid="{DEA774CC-73D5-491A-99B3-7FCF1940488C}"/>
    <hyperlink ref="F52" r:id="rId99" xr:uid="{6162A1D9-69CA-45A6-8A73-43DB6EE96AF4}"/>
    <hyperlink ref="S52" r:id="rId100" xr:uid="{511B6F80-7726-48F1-A6B4-F0D50C90C617}"/>
    <hyperlink ref="F53" r:id="rId101" xr:uid="{BAFC55B9-969E-45DD-B8AE-0DA382FD4811}"/>
    <hyperlink ref="F54" r:id="rId102" xr:uid="{09927F3F-6C8A-4C7C-8596-A5F227670221}"/>
    <hyperlink ref="F55" r:id="rId103" xr:uid="{8212752C-0B8A-4AF9-9138-56D92496DA38}"/>
    <hyperlink ref="G55" r:id="rId104" xr:uid="{952464DA-BA57-4E00-BEAE-8FD8B9B4F885}"/>
    <hyperlink ref="S55" r:id="rId105" xr:uid="{09B2201E-4812-471A-8F42-5B6FE8CFE12B}"/>
    <hyperlink ref="F56" r:id="rId106" xr:uid="{B8BC4524-00E2-4E9F-84A0-F0C6530C91E5}"/>
    <hyperlink ref="S56" r:id="rId107" xr:uid="{699C0B63-D2ED-4085-978D-A35A9AD41CF6}"/>
    <hyperlink ref="F57" r:id="rId108" xr:uid="{CFADDED1-879D-4B29-B3EE-56D62A431D1D}"/>
    <hyperlink ref="G57" r:id="rId109" xr:uid="{B47687FD-E533-4490-AC2A-B5443CBF0995}"/>
    <hyperlink ref="S57" r:id="rId110" xr:uid="{DD605301-B4BA-476B-AB0B-59312C7FD5E8}"/>
    <hyperlink ref="F58" r:id="rId111" xr:uid="{1A13AFCF-C718-4EBE-BA3F-F4E73D657AE8}"/>
    <hyperlink ref="S58" r:id="rId112" xr:uid="{6403EE5E-8917-45F1-AD71-2F3C3B6B5A3B}"/>
    <hyperlink ref="G59" r:id="rId113" xr:uid="{80F5E218-6513-45A5-8018-80050DD0E2AA}"/>
    <hyperlink ref="S59" r:id="rId114" xr:uid="{0847DE7A-0A0B-4713-80E5-D161AAF983F6}"/>
    <hyperlink ref="F60" r:id="rId115" xr:uid="{510B5129-7796-4500-9E36-0643C22672AC}"/>
    <hyperlink ref="F61" r:id="rId116" xr:uid="{6634B367-FF0D-4898-94BC-86C492A9DF46}"/>
    <hyperlink ref="S61" r:id="rId117" xr:uid="{AEC017E8-BBCA-4830-A912-525AD7E09AB2}"/>
    <hyperlink ref="F62" r:id="rId118" xr:uid="{8800E90B-1A91-4C65-9F5B-61B81665B48D}"/>
    <hyperlink ref="G62" r:id="rId119" xr:uid="{90275CBB-AD39-4F4C-9C69-CFC876AB50CD}"/>
    <hyperlink ref="S62" r:id="rId120" xr:uid="{7AAEAA4E-E644-4F9B-A095-BE7A60B62649}"/>
    <hyperlink ref="G63" r:id="rId121" xr:uid="{698F2993-58A5-48FA-B595-CCA8B3E0796C}"/>
    <hyperlink ref="S63" r:id="rId122" xr:uid="{03E33809-E053-45BD-8592-87D35CFC8AE5}"/>
    <hyperlink ref="F64" r:id="rId123" xr:uid="{217B69DA-A20E-4028-9BD2-FD7B12D3965A}"/>
    <hyperlink ref="G64" r:id="rId124" xr:uid="{91B94AE0-FB2D-4502-894A-B7928402779F}"/>
    <hyperlink ref="S64" r:id="rId125" xr:uid="{AB381546-58D0-4591-BF7F-D18101CE47D6}"/>
    <hyperlink ref="F66" r:id="rId126" xr:uid="{F848E353-3ADC-47BF-A0B5-110C6608D262}"/>
    <hyperlink ref="G66" r:id="rId127" xr:uid="{5011A30F-6881-498C-B8AC-10759972D417}"/>
    <hyperlink ref="S66" r:id="rId128" xr:uid="{DC12E17C-ADF1-4A78-994F-DA0620837B79}"/>
    <hyperlink ref="F67" r:id="rId129" xr:uid="{F3042F1E-7312-4CD5-8544-9B80F8FC0954}"/>
    <hyperlink ref="F68" r:id="rId130" xr:uid="{73EC2F25-BC0D-4CA4-B9F8-DD99B241ACF7}"/>
    <hyperlink ref="S68" r:id="rId131" xr:uid="{5FF281CA-0528-4B85-B433-F846E0163792}"/>
    <hyperlink ref="S69" r:id="rId132" xr:uid="{3450D40D-05E7-419D-8139-4293779A333C}"/>
    <hyperlink ref="G70" r:id="rId133" xr:uid="{5129C4FF-D084-442B-9ABE-48F8073A3ACB}"/>
    <hyperlink ref="S71" r:id="rId134" xr:uid="{6CF09319-4B0D-4D4D-9259-B4DD12B04080}"/>
    <hyperlink ref="F72" r:id="rId135" xr:uid="{32B4C963-EA39-4D31-A1A7-E96BA39BD2B8}"/>
    <hyperlink ref="G72" r:id="rId136" xr:uid="{10A61A3C-E81C-4E83-BBD7-597A8EFC1447}"/>
    <hyperlink ref="S72" r:id="rId137" xr:uid="{B1668430-16F8-461B-B028-0710395DA958}"/>
    <hyperlink ref="F73" r:id="rId138" xr:uid="{427274B4-E15E-4F63-B707-D56BF78A9A2B}"/>
    <hyperlink ref="F74" r:id="rId139" xr:uid="{B289B6F8-5BA1-45D0-95B7-FB1D6E8CF410}"/>
    <hyperlink ref="S74" r:id="rId140" xr:uid="{DB749968-B128-4A53-B8D2-9B2D3A49C8B9}"/>
    <hyperlink ref="F75" r:id="rId141" xr:uid="{7059A7DD-BD6F-4192-973D-6874BF6F8364}"/>
    <hyperlink ref="S75" r:id="rId142" xr:uid="{A6019E7D-D9B6-4DB3-A805-B8B027356114}"/>
    <hyperlink ref="F77" r:id="rId143" xr:uid="{A8C848BE-9D0A-4FB3-9953-9C671471562E}"/>
    <hyperlink ref="S77" r:id="rId144" xr:uid="{05D0F9F5-B256-4865-8FD9-84DFE108E8AD}"/>
    <hyperlink ref="G78" r:id="rId145" xr:uid="{C1D8F617-78CE-4FFF-B3B4-6A9FC11B8929}"/>
    <hyperlink ref="F79" r:id="rId146" xr:uid="{0E005A99-BFD5-4EE4-8437-B4292CBBAAD5}"/>
    <hyperlink ref="G79" r:id="rId147" xr:uid="{22197638-DEB2-4D09-9B9E-059A67EF888B}"/>
    <hyperlink ref="S79" r:id="rId148" xr:uid="{222A33C5-20E9-4182-BCBC-2FBC676D7880}"/>
    <hyperlink ref="G80" r:id="rId149" xr:uid="{C4E37AC3-84FD-4DE4-9BB1-C96F4DE5A785}"/>
    <hyperlink ref="S80" r:id="rId150" xr:uid="{953AAEC9-77CE-447B-89C7-BA21DF2D6446}"/>
    <hyperlink ref="F81" r:id="rId151" xr:uid="{2C7BF5C8-9D90-4D33-A7B1-7E6887B228A3}"/>
    <hyperlink ref="G82" r:id="rId152" xr:uid="{ED4D22F7-1633-443C-8A32-DEB2273D385F}"/>
    <hyperlink ref="S82" r:id="rId153" xr:uid="{724D7B8F-12C5-4461-99CD-F5A374C6B75B}"/>
    <hyperlink ref="F83" r:id="rId154" xr:uid="{D7AC4131-64FC-48D2-BDDC-AEBD392ACB08}"/>
    <hyperlink ref="G83" r:id="rId155" xr:uid="{8D695917-1A2B-4011-A46E-8C37D1840EF7}"/>
    <hyperlink ref="S84" r:id="rId156" xr:uid="{29F9CB0D-08F7-4168-BCCC-A0FF7F2C3ED0}"/>
    <hyperlink ref="G85" r:id="rId157" xr:uid="{CE07808F-849A-4741-9EA3-0CFC4F54E9AC}"/>
    <hyperlink ref="S85" r:id="rId158" xr:uid="{B1AE3AC3-2037-40C1-A784-08F21E7AC30D}"/>
    <hyperlink ref="G86" r:id="rId159" xr:uid="{E2142478-39DB-4A88-99B8-C0DEAD4F49E1}"/>
    <hyperlink ref="S86" r:id="rId160" xr:uid="{CF67E819-9365-44B3-8068-770C73718E1F}"/>
    <hyperlink ref="F87" r:id="rId161" xr:uid="{2D2D85C2-CD24-4613-9A37-96775F0F73EA}"/>
    <hyperlink ref="G87" r:id="rId162" xr:uid="{57C21C50-104E-4002-B209-EC5982B70FCE}"/>
    <hyperlink ref="S87" r:id="rId163" xr:uid="{F10236A7-F9FA-4BC2-A73C-34A5B7040F54}"/>
    <hyperlink ref="F88" r:id="rId164" xr:uid="{F951D315-BCBC-4CEE-A6DE-2B7992993C14}"/>
    <hyperlink ref="S88" r:id="rId165" xr:uid="{0BF8D4D9-7645-428C-BFB2-F9A7AFDD51D6}"/>
    <hyperlink ref="S89" r:id="rId166" xr:uid="{C2C75C7D-F0DC-4BDE-A91C-5539DE6A8481}"/>
    <hyperlink ref="F90" r:id="rId167" xr:uid="{1D80A1A6-C44A-4E6F-955D-51B2EE66CDD9}"/>
    <hyperlink ref="G90" r:id="rId168" xr:uid="{BB521744-1D04-41B7-B0E1-4B9058D11B71}"/>
    <hyperlink ref="S90" r:id="rId169" xr:uid="{EF7FB7BC-8495-4F54-8056-D731AEE20D3E}"/>
    <hyperlink ref="F91" r:id="rId170" xr:uid="{ACF276DC-39E3-4E86-B54C-178CF1C31769}"/>
    <hyperlink ref="S91" r:id="rId171" xr:uid="{7A84B29F-C59D-422C-AFA1-EC9978F29F6F}"/>
    <hyperlink ref="F92" r:id="rId172" xr:uid="{4F535643-DD0B-46D1-AB13-88A0CCBC22E9}"/>
    <hyperlink ref="G92" r:id="rId173" xr:uid="{5399610A-868A-4C27-AA25-E0106A8605EF}"/>
    <hyperlink ref="S92" r:id="rId174" xr:uid="{D5365911-627D-4A43-B42A-6A89F1AF391B}"/>
    <hyperlink ref="F93" r:id="rId175" xr:uid="{0CCF1C8A-A676-4333-B6FC-A2E8A9113103}"/>
    <hyperlink ref="S93" r:id="rId176" xr:uid="{7FF9AEC9-DD3F-4D6B-95F4-8C5A0C1FFBC9}"/>
    <hyperlink ref="F94" r:id="rId177" xr:uid="{ADCBCE9B-C05C-450D-9D2E-9F550B936223}"/>
    <hyperlink ref="S94" r:id="rId178" xr:uid="{86DDF5FF-187D-4B31-A215-52BA2B89C6E1}"/>
    <hyperlink ref="F95" r:id="rId179" xr:uid="{6E0B5452-F9FE-4A34-BAB0-5719B019B87D}"/>
    <hyperlink ref="G95" r:id="rId180" xr:uid="{18C1C809-C129-43F2-8B8D-E93CD58412D0}"/>
    <hyperlink ref="S95" r:id="rId181" xr:uid="{1481F4FA-AEA6-4557-BC27-D3574F4AAC60}"/>
    <hyperlink ref="S96" r:id="rId182" xr:uid="{03312C2E-3630-4DBD-A251-14F294CCDC48}"/>
    <hyperlink ref="F97" r:id="rId183" xr:uid="{1E3ED167-BA47-4178-B9CB-11799C708213}"/>
    <hyperlink ref="G97" r:id="rId184" xr:uid="{4A7175F7-B789-450F-932E-A87193589991}"/>
    <hyperlink ref="S97" r:id="rId185" xr:uid="{CA230B85-436E-4281-9241-417C9EBAFF74}"/>
    <hyperlink ref="F98" r:id="rId186" xr:uid="{EA39A56A-48B5-4BDF-96EC-889D9DECB5F3}"/>
    <hyperlink ref="S98" r:id="rId187" xr:uid="{F4C245BB-7C20-4373-9A56-409F399A5BA4}"/>
    <hyperlink ref="F99" r:id="rId188" xr:uid="{093BF921-17B4-402E-AB56-BC16E0DB10FB}"/>
    <hyperlink ref="G100" r:id="rId189" xr:uid="{D2F3603A-F3DF-45D6-9B02-0157139744BD}"/>
    <hyperlink ref="S100" r:id="rId190" xr:uid="{745CBC2B-A555-4E48-A452-EBB6AA6DD18B}"/>
    <hyperlink ref="F101" r:id="rId191" xr:uid="{BF2D46FD-99B4-44A4-BA2F-E38FC2C959D7}"/>
    <hyperlink ref="G101" r:id="rId192" xr:uid="{FBD8908F-004B-48AB-9F60-ECB5ABC78B55}"/>
    <hyperlink ref="S101" r:id="rId193" xr:uid="{BC7D455B-96E6-47F5-9D76-3E982EFF47CA}"/>
    <hyperlink ref="F102" r:id="rId194" xr:uid="{F01FEBAF-E730-4CF1-8DA8-0438E2509E06}"/>
    <hyperlink ref="G102" r:id="rId195" xr:uid="{81DA11EA-5C48-44EA-827B-4EB8DABA747A}"/>
    <hyperlink ref="S102" r:id="rId196" xr:uid="{E841E59E-F29A-4724-8E11-A26C343C292E}"/>
    <hyperlink ref="F103" r:id="rId197" xr:uid="{E9B22BEE-41E9-443D-A98B-CD26CECA54EA}"/>
    <hyperlink ref="G103" r:id="rId198" xr:uid="{FADACDF8-7588-42BE-A96A-BBCEC0142356}"/>
    <hyperlink ref="S103" r:id="rId199" xr:uid="{8E4FBB52-8C56-46CB-9169-4F37E96ADE34}"/>
    <hyperlink ref="F104" r:id="rId200" xr:uid="{38572C30-1E5B-4DF0-A563-D3EEFA253C57}"/>
    <hyperlink ref="G104" r:id="rId201" xr:uid="{D9327130-30E4-4835-A547-5E955807573C}"/>
    <hyperlink ref="S104" r:id="rId202" xr:uid="{D1DC1E34-2B2F-408D-A2BC-F8A7130340C9}"/>
    <hyperlink ref="F105" r:id="rId203" xr:uid="{7D6B69BE-1929-48F7-8702-C36398DEC39F}"/>
    <hyperlink ref="S105" r:id="rId204" xr:uid="{4069F2BD-16CF-46B1-A481-3F2440FE1F23}"/>
    <hyperlink ref="F106" r:id="rId205" xr:uid="{34B1382A-79A1-43A4-9E23-DDD9F5ACBB5F}"/>
    <hyperlink ref="G107" r:id="rId206" xr:uid="{6D0192E8-6717-4790-9FBD-85DE70433E10}"/>
    <hyperlink ref="F108" r:id="rId207" xr:uid="{AB617473-4B7B-4C55-848F-5CD82EFED404}"/>
    <hyperlink ref="S108" r:id="rId208" xr:uid="{579495AA-7B02-4985-89A2-4E3F3FC7FB39}"/>
    <hyperlink ref="G109" r:id="rId209" xr:uid="{FBA86654-2DB0-4BB0-BBDF-493F84A22FED}"/>
    <hyperlink ref="S109" r:id="rId210" xr:uid="{3F9B1FE4-09E4-4399-8B06-32D7BF2F8970}"/>
    <hyperlink ref="F110" r:id="rId211" xr:uid="{A700EE78-8DEF-4222-A368-4416890C4B23}"/>
    <hyperlink ref="S111" r:id="rId212" xr:uid="{6611764E-CEF7-4474-A8F5-1D3D36AF70A5}"/>
    <hyperlink ref="F112" r:id="rId213" xr:uid="{C142C993-6FC2-4850-8F33-98740D62D233}"/>
    <hyperlink ref="G112" r:id="rId214" xr:uid="{F7979EDA-3E6A-496F-B3E5-D90E871B6D50}"/>
    <hyperlink ref="S112" r:id="rId215" xr:uid="{88020855-0EFB-49FD-BD44-83EA9F504089}"/>
    <hyperlink ref="F113" r:id="rId216" xr:uid="{9010F035-5C52-4DD3-8A21-A692BFDDFEDF}"/>
    <hyperlink ref="G113" r:id="rId217" xr:uid="{780953F8-1F98-4DB3-94F7-BDBB086FCEB4}"/>
    <hyperlink ref="S113" r:id="rId218" xr:uid="{D4D08ADE-AC0E-4030-9EA9-81C72A03EBAF}"/>
    <hyperlink ref="F114" r:id="rId219" xr:uid="{49A9C206-E008-4B33-AAFA-2BC31C71A07A}"/>
    <hyperlink ref="S114" r:id="rId220" xr:uid="{5AA2C4E7-C356-4DFF-AADE-8535660494F8}"/>
    <hyperlink ref="G115" r:id="rId221" xr:uid="{7DC206C6-66E5-4689-90D2-AF2A8C7AC9C2}"/>
    <hyperlink ref="S115" r:id="rId222" xr:uid="{E1EEA060-7EF5-419E-A8F8-B56FF3B17F9F}"/>
    <hyperlink ref="F116" r:id="rId223" xr:uid="{F5B9C8F2-81B8-4F78-AEE6-07AF4B4671D3}"/>
    <hyperlink ref="G116" r:id="rId224" xr:uid="{78F116C7-BD64-48AB-A4AD-EAA15D26D307}"/>
    <hyperlink ref="S116" r:id="rId225" xr:uid="{C362B93F-57FF-40C6-A28A-93EBA5A16D0C}"/>
    <hyperlink ref="C118" r:id="rId226" xr:uid="{4E9F385A-7CE6-4385-AD25-56A08493D2FF}"/>
    <hyperlink ref="F118" r:id="rId227" xr:uid="{3034AADA-5AEE-4532-A899-33FF040C9CD4}"/>
    <hyperlink ref="S118" r:id="rId228" xr:uid="{40AB26A5-7FB1-4651-898E-B32A09B998A0}"/>
    <hyperlink ref="F119" r:id="rId229" xr:uid="{3F583BB7-B36E-4C83-B9D8-0363B89D73B6}"/>
    <hyperlink ref="F120" r:id="rId230" xr:uid="{202BD78F-D990-4E58-8DBD-C3381290BAD1}"/>
    <hyperlink ref="G120" r:id="rId231" xr:uid="{DB72481A-3100-405E-A29C-90578F9F82B5}"/>
    <hyperlink ref="S120" r:id="rId232" xr:uid="{64B98601-6125-4EDB-B5AF-0367657E30E0}"/>
    <hyperlink ref="F121" r:id="rId233" xr:uid="{5FD7893F-99C1-4A92-BD91-96C7E56B30FD}"/>
    <hyperlink ref="G121" r:id="rId234" xr:uid="{3135C2A5-C50C-4EC2-BEBF-8751BE90D0FA}"/>
    <hyperlink ref="S121" r:id="rId235" xr:uid="{A747E457-F96E-44AE-BF06-5016C8EB7733}"/>
    <hyperlink ref="G122" r:id="rId236" xr:uid="{D3C1E569-E7BB-4C8A-BBEC-BC2F5CAC2EB6}"/>
    <hyperlink ref="S122" r:id="rId237" xr:uid="{730F55C3-EF5F-4617-A708-55954BC0D1D0}"/>
    <hyperlink ref="G123" r:id="rId238" xr:uid="{9D6927C9-7A6A-4743-B699-FEC5FD23C4DC}"/>
    <hyperlink ref="S123" r:id="rId239" xr:uid="{19821C9F-E6BA-4AE0-AD1C-68851FDB6AE8}"/>
    <hyperlink ref="F124" r:id="rId240" xr:uid="{AEBFBEE4-1ACA-48E4-8996-17229E2D5578}"/>
    <hyperlink ref="S124" r:id="rId241" xr:uid="{E020A399-A7C9-4389-AC13-17AA323500D2}"/>
    <hyperlink ref="F125" r:id="rId242" xr:uid="{E839B504-F0A1-42B2-976A-06D05486DCFC}"/>
    <hyperlink ref="S125" r:id="rId243" xr:uid="{DFA33CA2-BF45-45DE-8E16-CC15827F27C5}"/>
    <hyperlink ref="F126" r:id="rId244" xr:uid="{88A4C235-133C-4486-9C13-DDB55B208900}"/>
    <hyperlink ref="G126" r:id="rId245" xr:uid="{87E330BC-E723-473D-BECB-4C52C374928F}"/>
    <hyperlink ref="S126" r:id="rId246" xr:uid="{BE6E74E2-F0B4-49DE-AA61-F4F4A8FFC284}"/>
    <hyperlink ref="F127" r:id="rId247" xr:uid="{9EF8D613-8B60-4413-820A-9E5E96D80F63}"/>
    <hyperlink ref="G127" r:id="rId248" xr:uid="{648554A4-C3F7-473E-8833-ABF4ABEFC4A1}"/>
    <hyperlink ref="S127" r:id="rId249" xr:uid="{60441EDD-0CE4-4872-88E1-9A8DC2502475}"/>
    <hyperlink ref="F128" r:id="rId250" xr:uid="{9B75CB53-8C07-4957-985B-AAEA989D44CC}"/>
    <hyperlink ref="S128" r:id="rId251" xr:uid="{E2F569C2-D992-4984-875A-F265C9F08196}"/>
    <hyperlink ref="F129" r:id="rId252" xr:uid="{2B2475B0-359C-4DDD-9FF2-92A13A330996}"/>
    <hyperlink ref="S129" r:id="rId253" xr:uid="{646647F2-B8D2-4DA7-8DD9-27674A0D00EA}"/>
    <hyperlink ref="F130" r:id="rId254" xr:uid="{E5490CFD-907F-4A73-87B5-CE198CC16118}"/>
    <hyperlink ref="S130" r:id="rId255" xr:uid="{02D77E17-6208-4B5C-AD93-60744B2D57CD}"/>
    <hyperlink ref="G131" r:id="rId256" xr:uid="{D443ECD0-E5D5-4B4D-8351-9096BCF52C74}"/>
    <hyperlink ref="F132" r:id="rId257" xr:uid="{F07DB471-6D9B-4F72-B09A-0B46A49C0182}"/>
    <hyperlink ref="G132" r:id="rId258" xr:uid="{9F97E6BB-7B28-4592-9B2B-184EE65E3AD1}"/>
    <hyperlink ref="S132" r:id="rId259" xr:uid="{D6B800C7-2118-45A4-9D29-18918163652F}"/>
    <hyperlink ref="F133" r:id="rId260" xr:uid="{ECDB5DF8-EC2A-4376-81AF-4ACA0E3CE1A9}"/>
    <hyperlink ref="S133" r:id="rId261" xr:uid="{7F643594-4565-4234-915A-E517FABD048F}"/>
    <hyperlink ref="F134" r:id="rId262" xr:uid="{8F1EC181-43DC-46FB-A1B4-074EC1C27F54}"/>
    <hyperlink ref="G134" r:id="rId263" xr:uid="{26E07D8C-34FC-4B28-A81D-933E9C081495}"/>
    <hyperlink ref="S134" r:id="rId264" xr:uid="{887B7A75-9C93-45CF-89F2-B2725392A8E8}"/>
    <hyperlink ref="F135" r:id="rId265" xr:uid="{2B299BEE-4376-43A9-8988-C9933012193E}"/>
    <hyperlink ref="G135" r:id="rId266" xr:uid="{B23AA9A3-5DE7-4040-ACD3-300EB22DC3C7}"/>
    <hyperlink ref="F136" r:id="rId267" xr:uid="{0B118F27-B45B-4687-8531-9466B07890F6}"/>
    <hyperlink ref="G136" r:id="rId268" xr:uid="{B62336F0-5197-4BFA-9F8F-DCA654EB5502}"/>
    <hyperlink ref="S136" r:id="rId269" xr:uid="{F4DC8717-5636-43C5-B52A-9DDB8C16CB6C}"/>
    <hyperlink ref="F137" r:id="rId270" xr:uid="{FB3F7C04-1D91-4713-9E57-C368622A823A}"/>
    <hyperlink ref="S137" r:id="rId271" xr:uid="{458500A7-9004-41AE-AF69-9B1AC8CD8C3A}"/>
    <hyperlink ref="G138" r:id="rId272" xr:uid="{5A539BF6-8915-43B3-966A-1CD6961BBFF8}"/>
    <hyperlink ref="C139" r:id="rId273" xr:uid="{F9D87517-0893-4CFE-A007-17D8D4AF9DE7}"/>
    <hyperlink ref="F139" r:id="rId274" xr:uid="{4AE4EBF8-685D-4753-8D0F-9CCA8D77D059}"/>
    <hyperlink ref="S139" r:id="rId275" xr:uid="{8E86E5A1-32D9-4833-B58E-6422BFF2B71F}"/>
    <hyperlink ref="F140" r:id="rId276" xr:uid="{99FFEED4-D9F9-446D-94C7-595DCDD4131E}"/>
    <hyperlink ref="S140" r:id="rId277" xr:uid="{3B0252EE-1200-4A30-B06E-305D2014BEFD}"/>
    <hyperlink ref="F141" r:id="rId278" xr:uid="{D371C9F7-4506-4355-A725-E42D869B65C1}"/>
    <hyperlink ref="G141" r:id="rId279" xr:uid="{D4C4FE33-13C1-472C-BF2B-55461F3D1972}"/>
    <hyperlink ref="S141" r:id="rId280" xr:uid="{7217B873-195B-4400-9621-C2C8A769D3C8}"/>
    <hyperlink ref="F142" r:id="rId281" xr:uid="{7AD4790C-F8C9-414B-8704-EC96CB5434B8}"/>
    <hyperlink ref="G142" r:id="rId282" xr:uid="{B2607385-E5EF-4FA9-9A25-C00C77CE9AA0}"/>
    <hyperlink ref="S142" r:id="rId283" xr:uid="{E3BF5E1A-C365-48B3-BA85-7DA3EDBD4290}"/>
    <hyperlink ref="F143" r:id="rId284" xr:uid="{23D8F497-4CD9-440D-907C-785062DC2494}"/>
    <hyperlink ref="S143" r:id="rId285" xr:uid="{651A8033-00B1-47A4-91F8-993D43EF7AD6}"/>
    <hyperlink ref="F144" r:id="rId286" xr:uid="{5C9C5F4C-A41B-448F-BF06-8B02D274F540}"/>
    <hyperlink ref="S144" r:id="rId287" xr:uid="{3F984321-C102-4B35-9014-11AFC1725BF8}"/>
    <hyperlink ref="G145" r:id="rId288" xr:uid="{6A394E38-5B7C-44A4-A81E-988FD8B8721E}"/>
    <hyperlink ref="F146" r:id="rId289" xr:uid="{56712145-3BC2-49FA-858E-EDA8A93634F4}"/>
    <hyperlink ref="S146" r:id="rId290" xr:uid="{130CFD3A-3551-410F-9BB1-53E8D3B315EC}"/>
    <hyperlink ref="S147" r:id="rId291" xr:uid="{1381AB9E-D217-4CCB-9DC7-C1C7B2E9A4D9}"/>
    <hyperlink ref="F148" r:id="rId292" xr:uid="{2BAEB528-F06D-4D9D-9757-0BAD9EF3AEF8}"/>
    <hyperlink ref="S148" r:id="rId293" xr:uid="{B2DDD95F-BA81-43F0-B983-DF0ADABD7CA5}"/>
    <hyperlink ref="F149" r:id="rId294" xr:uid="{67A1D59D-32F8-4532-880F-517AB083CFC1}"/>
    <hyperlink ref="S149" r:id="rId295" xr:uid="{70058144-5740-4B9D-B307-03269EE9C069}"/>
    <hyperlink ref="F150" r:id="rId296" xr:uid="{8684F3EE-38EF-4D6F-9B8B-C5C338C1FAD7}"/>
    <hyperlink ref="G150" r:id="rId297" xr:uid="{185C8DE5-A9A1-4184-BBA8-0185D3050C25}"/>
    <hyperlink ref="S150" r:id="rId298" xr:uid="{28C19CAE-38AF-4D8E-AB91-11339C98728F}"/>
    <hyperlink ref="F151" r:id="rId299" xr:uid="{83960C0C-4F70-454F-9538-2998772AA54E}"/>
    <hyperlink ref="S151" r:id="rId300" xr:uid="{63D31F0D-9229-4DF0-9220-EFEE4C814F51}"/>
    <hyperlink ref="G152" r:id="rId301" xr:uid="{3A73C720-3724-4DD3-AF62-82726977D330}"/>
    <hyperlink ref="S152" r:id="rId302" xr:uid="{3666FA63-61FF-4111-BFC3-9ECE531AABBE}"/>
    <hyperlink ref="G153" r:id="rId303" xr:uid="{E8A9C9E4-49E9-4ECD-A1F5-8B791D27ABC6}"/>
    <hyperlink ref="S153" r:id="rId304" xr:uid="{D7F8CC9C-85E6-48F2-8431-4181591889D4}"/>
    <hyperlink ref="F154" r:id="rId305" xr:uid="{3CDA0C35-94EA-4C90-9B6D-2DA7348D59A1}"/>
    <hyperlink ref="S154" r:id="rId306" xr:uid="{E911A752-9C9A-4221-ACFC-DA57B08E27BB}"/>
    <hyperlink ref="F155" r:id="rId307" xr:uid="{9D29A1AD-90EF-46ED-B4A5-2D52FD7DACDD}"/>
    <hyperlink ref="F156" r:id="rId308" xr:uid="{3E13C92C-F915-4A31-B838-F8BEBC2A55A2}"/>
    <hyperlink ref="S156" r:id="rId309" xr:uid="{B70EDE21-1321-4C09-8ECB-5C47BF38E9AC}"/>
    <hyperlink ref="F157" r:id="rId310" xr:uid="{B47F9891-6101-456F-B19A-9F9543BC6F7A}"/>
    <hyperlink ref="S157" r:id="rId311" xr:uid="{ACBCC263-AA12-4713-8E26-6C058B8AA314}"/>
    <hyperlink ref="F158" r:id="rId312" xr:uid="{E9F64A6D-3E71-4C45-8EC3-3C455D80242C}"/>
    <hyperlink ref="S158" r:id="rId313" xr:uid="{3840419C-7D76-4829-9E61-4A3E6C9B569B}"/>
    <hyperlink ref="F159" r:id="rId314" xr:uid="{1A354734-E97F-4B60-847B-3779E4A824B5}"/>
    <hyperlink ref="S159" r:id="rId315" xr:uid="{502D772F-C448-4533-BEB4-3DF4A87406E0}"/>
    <hyperlink ref="F160" r:id="rId316" xr:uid="{B133446A-306C-4CEF-AA2F-5570A59DCEE2}"/>
    <hyperlink ref="S160" r:id="rId317" xr:uid="{478BA28D-54E9-4D51-88A1-42CC361FBFAB}"/>
    <hyperlink ref="S161" r:id="rId318" xr:uid="{76CF5170-AD30-4165-BFDB-EC81B1565D66}"/>
    <hyperlink ref="F162" r:id="rId319" xr:uid="{633EEF20-353F-42BC-ACC1-D8CEFE4C4352}"/>
    <hyperlink ref="G162" r:id="rId320" xr:uid="{F4D5753A-9AC1-4CAA-B9F0-4E3A10F289F9}"/>
    <hyperlink ref="S162" r:id="rId321" xr:uid="{DE819812-9433-4BD4-B2F8-44E6BF5BC300}"/>
    <hyperlink ref="G163" r:id="rId322" xr:uid="{3BFCE102-EB2E-4B10-BF9A-6B587F6184D8}"/>
    <hyperlink ref="S163" r:id="rId323" xr:uid="{842A4D62-3124-4304-8C64-24DC61703119}"/>
    <hyperlink ref="F164" r:id="rId324" xr:uid="{16401250-08DF-485C-95DE-688B3854BF5D}"/>
    <hyperlink ref="S164" r:id="rId325" xr:uid="{CB625EAD-652D-439E-A798-1700CB4697AB}"/>
    <hyperlink ref="F165" r:id="rId326" xr:uid="{0A507ECD-E0F6-4BAE-AA82-FBC92627AE74}"/>
    <hyperlink ref="S165" r:id="rId327" xr:uid="{86EC989D-EF13-4031-B78C-86B87FB1D898}"/>
    <hyperlink ref="F166" r:id="rId328" xr:uid="{A87F5ECF-B3FF-48A9-91FD-EE79F2418819}"/>
    <hyperlink ref="G166" r:id="rId329" xr:uid="{DF805EDD-5661-4915-9A4C-5F46B54D3964}"/>
    <hyperlink ref="S166" r:id="rId330" xr:uid="{FC34A316-7C6B-4958-BEC5-A08809ABCAC8}"/>
    <hyperlink ref="F167" r:id="rId331" xr:uid="{B2D1D224-B6B2-47CF-BECB-C9EF9EA5FB43}"/>
    <hyperlink ref="G167" r:id="rId332" xr:uid="{CE247290-F6A5-4F25-926C-7D18305C146F}"/>
    <hyperlink ref="S167" r:id="rId333" xr:uid="{99E2CA21-40F4-40ED-BAFA-0651D5FFFFBD}"/>
    <hyperlink ref="F168" r:id="rId334" xr:uid="{307D2D87-4DE4-4212-8A42-10CC08B63967}"/>
    <hyperlink ref="G168" r:id="rId335" xr:uid="{AEEF5777-4EE9-4754-A343-72B8D2F466E5}"/>
    <hyperlink ref="S168" r:id="rId336" xr:uid="{B7D4B03D-4B23-4AC3-8F99-BC9731F360F5}"/>
    <hyperlink ref="F169" r:id="rId337" xr:uid="{7418DFD9-4B20-4514-AE63-12C682C702B5}"/>
    <hyperlink ref="S169" r:id="rId338" xr:uid="{D971DF8D-A6B7-48F3-B2B7-58F0B602E890}"/>
    <hyperlink ref="F170" r:id="rId339" xr:uid="{627474E9-4792-4DB9-9E0D-913092D0CF9E}"/>
    <hyperlink ref="S170" r:id="rId340" xr:uid="{D3E025A8-88CF-4104-B711-F5673D1A26B3}"/>
    <hyperlink ref="G171" r:id="rId341" xr:uid="{0E4C12FC-C546-4FA3-813B-40AC2B465BAE}"/>
    <hyperlink ref="F172" r:id="rId342" xr:uid="{7AAA8E15-030F-4C2D-BFFA-831E10C71A65}"/>
    <hyperlink ref="S172" r:id="rId343" xr:uid="{15A5BBFF-7528-442D-91CD-15BD10604905}"/>
    <hyperlink ref="S173" r:id="rId344" xr:uid="{D1AE0D4F-E242-4914-BC93-BE44FA76A4AF}"/>
    <hyperlink ref="F174" r:id="rId345" xr:uid="{44989AB8-F354-414B-8FDA-B6A8F3A004D6}"/>
    <hyperlink ref="G174" r:id="rId346" xr:uid="{FEA86BE5-FF26-4149-A150-7A1639E8F761}"/>
    <hyperlink ref="S174" r:id="rId347" xr:uid="{94D36FC3-3FF5-4FCB-9C94-0F9D8023EFD5}"/>
    <hyperlink ref="S175" r:id="rId348" xr:uid="{D08A1469-860C-4B00-A575-C883B23E2BF0}"/>
    <hyperlink ref="F176" r:id="rId349" xr:uid="{5EC4FEFC-DAD8-43E7-A5F1-BB221B64F243}"/>
    <hyperlink ref="S176" r:id="rId350" xr:uid="{AA84676B-33DF-4617-AF81-071E3C06289A}"/>
    <hyperlink ref="F177" r:id="rId351" xr:uid="{C5748FCC-E08F-4AC6-AA89-9A1412AD5055}"/>
    <hyperlink ref="G177" r:id="rId352" xr:uid="{8278B3A7-C960-4DD8-8E53-26C6FFF8FCDE}"/>
    <hyperlink ref="S177" r:id="rId353" xr:uid="{31D9D773-7134-4053-9F56-1505DE584CCC}"/>
    <hyperlink ref="G178" r:id="rId354" xr:uid="{55C4C585-48AC-4B23-83DF-98C50B956E62}"/>
    <hyperlink ref="S178" r:id="rId355" xr:uid="{AD26B228-DBCA-490B-AA8B-B913F0221B44}"/>
    <hyperlink ref="S179" r:id="rId356" xr:uid="{A9E66ABC-ED65-47DE-8F54-9D89242BAFCE}"/>
    <hyperlink ref="F180" r:id="rId357" xr:uid="{A22A7D19-5025-41A4-B24C-D29CF508AEA6}"/>
    <hyperlink ref="G180" r:id="rId358" xr:uid="{008AC7BA-3B78-4FF3-959F-8011E4FB7337}"/>
    <hyperlink ref="S180" r:id="rId359" xr:uid="{301B4C23-D4FB-4E32-8C36-DDE830EBA210}"/>
    <hyperlink ref="F181" r:id="rId360" xr:uid="{5D544697-2871-4727-8A26-FE87DCD744EF}"/>
    <hyperlink ref="G181" r:id="rId361" xr:uid="{4543AF38-EAA0-468D-B1DE-C47D604D8949}"/>
    <hyperlink ref="S181" r:id="rId362" xr:uid="{D61C04BF-9CA1-4467-BE84-8CE14E2609F2}"/>
    <hyperlink ref="F182" r:id="rId363" xr:uid="{C9BA5AA9-68FC-490E-9751-0CA9FDFF3E2F}"/>
    <hyperlink ref="S182" r:id="rId364" xr:uid="{58AE762E-8943-4559-9AF4-B3859A897226}"/>
    <hyperlink ref="F183" r:id="rId365" xr:uid="{40A4C1BA-DE3E-4699-8953-7D78B1CACA57}"/>
    <hyperlink ref="G183" r:id="rId366" xr:uid="{9909E2F9-C191-4CCD-9DEC-4ACC610C186A}"/>
    <hyperlink ref="F184" r:id="rId367" xr:uid="{3F73A400-A29D-4D6F-A708-2175B38AE8DA}"/>
    <hyperlink ref="G184" r:id="rId368" xr:uid="{6F625AEA-D028-48D6-BC0A-45F9221BFC3D}"/>
    <hyperlink ref="S184" r:id="rId369" xr:uid="{4ABB0D6E-1DE8-407B-88DD-1763B34E77FA}"/>
    <hyperlink ref="F185" r:id="rId370" xr:uid="{8A412DBB-7EFA-4FA3-8071-A2A7994EFB3B}"/>
    <hyperlink ref="G185" r:id="rId371" xr:uid="{53B1A123-0A35-491D-A359-188247A547DE}"/>
    <hyperlink ref="S185" r:id="rId372" xr:uid="{09E2805B-D61A-4679-B347-EC48BFE6BE10}"/>
    <hyperlink ref="F186" r:id="rId373" xr:uid="{55D723A5-B490-4B35-88B7-F7A6E4B4C55D}"/>
    <hyperlink ref="F187" r:id="rId374" xr:uid="{7398C36D-C0B9-4ED6-A5DB-5EC966783B9A}"/>
    <hyperlink ref="S187" r:id="rId375" xr:uid="{5C4934D7-07A6-44B8-8E16-24E0900D2401}"/>
    <hyperlink ref="F188" r:id="rId376" xr:uid="{D02DE322-BCDC-4C89-96CC-36A9AF8FD5BF}"/>
    <hyperlink ref="S188" r:id="rId377" xr:uid="{825FD4A7-D647-4799-9391-5C8EE2BA710F}"/>
    <hyperlink ref="F189" r:id="rId378" location=".YDUNFuhKhPZ" xr:uid="{364295E1-0EB0-494B-BE56-7A3F826CE002}"/>
    <hyperlink ref="S189" r:id="rId379" xr:uid="{8A69A928-851F-4279-BB1C-48B2F58D413A}"/>
    <hyperlink ref="F190" r:id="rId380" xr:uid="{58A7774B-92D1-48DF-9C8B-D0F8D2C259E0}"/>
    <hyperlink ref="G190" r:id="rId381" xr:uid="{18753A49-25E0-4327-A683-86FE2900901E}"/>
    <hyperlink ref="S190" r:id="rId382" xr:uid="{7A7F12DF-148B-4E8A-8B75-29B437A442FF}"/>
    <hyperlink ref="F191" r:id="rId383" xr:uid="{6879F442-78EC-48A5-8F54-7E1B71E6396D}"/>
    <hyperlink ref="G191" r:id="rId384" xr:uid="{B61C52C6-2341-4D37-A70C-86D5615FE045}"/>
    <hyperlink ref="G192" r:id="rId385" xr:uid="{A28BE74E-FE93-4650-89E1-F28C57A28382}"/>
    <hyperlink ref="G193" r:id="rId386" xr:uid="{AAA590DA-EEE1-4F61-A891-BDD66AD2ACF9}"/>
    <hyperlink ref="S193" r:id="rId387" xr:uid="{085428CB-2497-423F-AEF7-2428A47DC331}"/>
    <hyperlink ref="G194" r:id="rId388" xr:uid="{55CD1D83-CCC7-4496-A749-C0016CFE229C}"/>
    <hyperlink ref="S194" r:id="rId389" xr:uid="{56DC45D0-C9F3-4BD8-92B5-78A50501B25A}"/>
    <hyperlink ref="F195" r:id="rId390" xr:uid="{A4D16268-13AA-4F01-B032-670D38D9E9D1}"/>
    <hyperlink ref="S195" r:id="rId391" xr:uid="{3F70A24F-36A1-433E-BF8D-AB9926C27D5D}"/>
    <hyperlink ref="F196" r:id="rId392" xr:uid="{D6E25B00-B00A-4212-812D-E90F07A97026}"/>
    <hyperlink ref="S196" r:id="rId393" xr:uid="{F6733CA9-72AB-44A5-AED3-CE5FB0694313}"/>
    <hyperlink ref="F197" r:id="rId394" xr:uid="{7110EF3A-2BCF-4127-BCFF-D60E7E3DBF5C}"/>
    <hyperlink ref="G197" r:id="rId395" xr:uid="{30EDED34-3314-4075-B415-6B7C6A42525E}"/>
    <hyperlink ref="F198" r:id="rId396" xr:uid="{1B56B8E9-5465-46A2-9E46-3A9569841963}"/>
    <hyperlink ref="G198" r:id="rId397" xr:uid="{E5D1B638-8809-4602-9A3D-68BD9BD62F6B}"/>
    <hyperlink ref="S198" r:id="rId398" xr:uid="{6DCAAE27-757F-4B6D-9303-74AA1FA8C6E2}"/>
    <hyperlink ref="F199" r:id="rId399" xr:uid="{29AA9094-7B25-4E3F-B4E2-80A9148F2E6F}"/>
    <hyperlink ref="S199" r:id="rId400" xr:uid="{6F363925-9793-47AE-9183-820A96A77E14}"/>
    <hyperlink ref="S200" r:id="rId401" xr:uid="{7808B59E-A2A6-465D-8192-B57B24D8F29E}"/>
    <hyperlink ref="F201" r:id="rId402" xr:uid="{722D25B8-9A83-47D3-BD9A-18AE41278685}"/>
    <hyperlink ref="S201" r:id="rId403" xr:uid="{52C7EB7B-22E4-4831-85FA-132404E3B499}"/>
    <hyperlink ref="F202" r:id="rId404" xr:uid="{F4F68D27-8918-4542-A940-6C7D550943FB}"/>
    <hyperlink ref="G202" r:id="rId405" xr:uid="{C1ADC4E0-B943-4FB7-B289-F06619B01B01}"/>
    <hyperlink ref="S202" r:id="rId406" xr:uid="{CEA56773-18D5-4C3B-B660-3F9C73003762}"/>
    <hyperlink ref="F203" r:id="rId407" xr:uid="{913607F0-A79E-403A-83A6-E534DA9261B5}"/>
    <hyperlink ref="S203" r:id="rId408" xr:uid="{8A8FDF6B-AFB6-432C-A2F2-84E62EFD9949}"/>
    <hyperlink ref="F204" r:id="rId409" xr:uid="{98EA43A1-EE1B-47B3-BA0E-AD07C5CFBFE3}"/>
    <hyperlink ref="S204" r:id="rId410" xr:uid="{D9926315-A4D2-4820-A0BD-DE90AB25EBDA}"/>
    <hyperlink ref="S205" r:id="rId411" xr:uid="{FF53DD9E-2495-4959-BB0E-ABD4C2A9F6F0}"/>
    <hyperlink ref="F206" r:id="rId412" xr:uid="{8A3EC994-D270-4106-9280-26757549C0C0}"/>
    <hyperlink ref="G206" r:id="rId413" xr:uid="{2BEF1F81-337E-43B8-A34B-45B06830DDF9}"/>
    <hyperlink ref="S206" r:id="rId414" xr:uid="{4D6C7CE9-C20E-4E4E-A3FC-C6FDF1878BAA}"/>
    <hyperlink ref="G207" r:id="rId415" xr:uid="{653F2505-7DAA-4427-8723-3F28D313C815}"/>
    <hyperlink ref="S207" r:id="rId416" xr:uid="{10F4DA1E-9FF1-4A6A-9C6F-81AD14CF9889}"/>
    <hyperlink ref="F208" r:id="rId417" xr:uid="{26B0AD0C-AA7B-46CD-A60E-2550ABA39E40}"/>
    <hyperlink ref="G208" r:id="rId418" xr:uid="{40C2AB3F-5A94-44B4-AC4A-50F1B29E7CB8}"/>
    <hyperlink ref="S208" r:id="rId419" xr:uid="{1C948888-FE34-40F6-86C2-B20D8B1E97C1}"/>
    <hyperlink ref="G209" r:id="rId420" xr:uid="{CE70775B-A62D-4DD6-BD7A-F812C5E40126}"/>
    <hyperlink ref="S209" r:id="rId421" xr:uid="{9B7FAE29-C762-4D6E-A0FB-FC338C56CF54}"/>
    <hyperlink ref="F210" r:id="rId422" xr:uid="{9834B7DB-1B11-4203-A4FF-FB58BB93BB49}"/>
    <hyperlink ref="S210" r:id="rId423" xr:uid="{A834B523-F471-4C51-B499-45FE1393EE67}"/>
    <hyperlink ref="C211" r:id="rId424" xr:uid="{1CF9FE6C-A0F3-491C-971D-C31E3256C00C}"/>
    <hyperlink ref="F211" r:id="rId425" xr:uid="{9573C95D-DC25-4D16-9883-2AE81B5CEA6D}"/>
    <hyperlink ref="G211" r:id="rId426" xr:uid="{3139E59F-BC00-47AF-A12C-059EFFD9B67B}"/>
    <hyperlink ref="S211" r:id="rId427" xr:uid="{2FF0A5FD-4D07-4E0C-9B2D-096194DA20A8}"/>
    <hyperlink ref="S212" r:id="rId428" xr:uid="{7DC145B3-0936-4C5E-B284-E73DAF4C8D00}"/>
    <hyperlink ref="F213" r:id="rId429" xr:uid="{705612A2-3E38-4FF0-876C-D9DAEFD05B22}"/>
    <hyperlink ref="S213" r:id="rId430" xr:uid="{37F04CF9-0807-492E-9343-4C364DCD492D}"/>
    <hyperlink ref="F214" r:id="rId431" xr:uid="{4532A671-E675-4A0D-A2D3-DFD12C20E7F4}"/>
    <hyperlink ref="G214" r:id="rId432" xr:uid="{D59567EF-5FF3-4ECB-8B05-0DC77742A8C5}"/>
    <hyperlink ref="S214" r:id="rId433" xr:uid="{CC2CCCE7-01FE-45A6-BBB0-7013C392F9AD}"/>
    <hyperlink ref="F215" r:id="rId434" xr:uid="{5B740654-3B3E-46C5-A02E-FFDAFD6BB527}"/>
    <hyperlink ref="G215" r:id="rId435" xr:uid="{70B87665-50DC-4675-B179-E1BB6A8EE215}"/>
    <hyperlink ref="S215" r:id="rId436" xr:uid="{B4E21552-CA62-4A62-8F9A-7C939A05E125}"/>
    <hyperlink ref="G216" r:id="rId437" xr:uid="{FE6E19F6-A98D-4C06-B480-83FF6403FE9A}"/>
    <hyperlink ref="S216" r:id="rId438" xr:uid="{CDFD0DAE-EFC4-4655-9113-E32BC3946075}"/>
    <hyperlink ref="F217" r:id="rId439" xr:uid="{9D0F0B70-1E17-4A80-834A-F50AC21CE0F9}"/>
    <hyperlink ref="G217" r:id="rId440" xr:uid="{87DDFEDF-AE45-4AA0-BECD-04C4612DD1CB}"/>
    <hyperlink ref="S217" r:id="rId441" xr:uid="{0ACB6A79-AE1B-48EE-9924-FA32E494BA6B}"/>
    <hyperlink ref="F218" r:id="rId442" xr:uid="{3A7FB11D-6AA2-4EE8-9B7F-D5F3A5F84599}"/>
    <hyperlink ref="S218" r:id="rId443" xr:uid="{0671D3DE-B836-4EB2-8E59-2A9C763D8814}"/>
    <hyperlink ref="F219" r:id="rId444" xr:uid="{640C87C5-C842-48AE-BC02-65D6AAC33BAB}"/>
    <hyperlink ref="G219" r:id="rId445" xr:uid="{7D538699-7FB9-4B06-86E2-34E70B8733B6}"/>
    <hyperlink ref="S219" r:id="rId446" xr:uid="{50E51C9A-551C-41C2-A0EA-89E81A01C585}"/>
    <hyperlink ref="F220" r:id="rId447" xr:uid="{561918E8-98D2-4C71-A4E6-76E5B4908328}"/>
    <hyperlink ref="S220" r:id="rId448" xr:uid="{55EF2FEC-10D7-4100-8373-843D912F0847}"/>
    <hyperlink ref="F221" r:id="rId449" xr:uid="{428DFB4D-ADC2-426F-9041-F283EE446CF9}"/>
    <hyperlink ref="G221" r:id="rId450" xr:uid="{892D8273-5DF5-4F3A-8572-DCAC68ED423F}"/>
    <hyperlink ref="S221" r:id="rId451" xr:uid="{E545CEC7-2E14-4387-8793-F7B11B487DA4}"/>
    <hyperlink ref="F222" r:id="rId452" xr:uid="{86923FEA-4D1F-41F8-9B01-DE55CB684428}"/>
    <hyperlink ref="G222" r:id="rId453" xr:uid="{88103C18-1749-41E4-BD6E-934E2F4C27A0}"/>
    <hyperlink ref="S222" r:id="rId454" xr:uid="{B86AD449-FB5C-40B9-BDE7-94B25C782FA4}"/>
    <hyperlink ref="G223" r:id="rId455" xr:uid="{78C6A9D6-8E0D-48B0-B9E8-12A8414CA934}"/>
    <hyperlink ref="F224" r:id="rId456" xr:uid="{F504D507-8D01-43B9-BD12-BFF24F190200}"/>
    <hyperlink ref="F225" r:id="rId457" xr:uid="{CC1D87CF-6B44-4A0C-9F80-559EB06E6630}"/>
    <hyperlink ref="G225" r:id="rId458" xr:uid="{4DB74EF9-C540-4855-8999-1F5C9F9EEA55}"/>
    <hyperlink ref="S225" r:id="rId459" xr:uid="{F7716B2B-C2CD-451E-A330-9D1C218302AC}"/>
    <hyperlink ref="F226" r:id="rId460" xr:uid="{37D4565F-4385-4552-8899-2F1ABD578EC6}"/>
    <hyperlink ref="S226" r:id="rId461" xr:uid="{80E54262-26F2-4D63-98F4-2F2AA463298A}"/>
    <hyperlink ref="F227" r:id="rId462" xr:uid="{18D58A32-8C89-4AF2-B8B9-6C2C43A1E1A6}"/>
    <hyperlink ref="G227" r:id="rId463" xr:uid="{C805AEA8-80DC-4066-B53F-B34F662B4F3E}"/>
    <hyperlink ref="F228" r:id="rId464" xr:uid="{448FF3A9-BC5A-4B87-90A9-3341617EDCC9}"/>
    <hyperlink ref="S228" r:id="rId465" xr:uid="{2375CE05-C8F1-4E12-8132-F5700194871E}"/>
    <hyperlink ref="F229" r:id="rId466" xr:uid="{58A4006A-CF96-4E13-ADD9-37E77962BDC0}"/>
    <hyperlink ref="G229" r:id="rId467" xr:uid="{57790CBB-9519-4DF8-B4A2-EE90B8E06B01}"/>
    <hyperlink ref="S229" r:id="rId468" xr:uid="{D15B04CA-E5A4-4ADC-B4ED-01923B76179C}"/>
    <hyperlink ref="F230" r:id="rId469" xr:uid="{D514D38A-AFC7-462D-ADB9-C400A44D1B98}"/>
    <hyperlink ref="G230" r:id="rId470" xr:uid="{84462E19-3FF8-4603-B6C4-14C497B54AC9}"/>
    <hyperlink ref="S230" r:id="rId471" xr:uid="{E673CF53-FB3F-4E3C-BAC2-F9CA2377012D}"/>
    <hyperlink ref="F231" r:id="rId472" xr:uid="{26A2A619-4EB5-4B74-8044-BB63A1E66EC6}"/>
    <hyperlink ref="G231" r:id="rId473" xr:uid="{6EA43E65-0446-4EEC-A8BF-FD09DB4AAE57}"/>
    <hyperlink ref="F232" r:id="rId474" xr:uid="{93794F97-96B5-4DB9-9D57-7AF4D5BDC819}"/>
    <hyperlink ref="G232" r:id="rId475" xr:uid="{9605EACD-9458-4CD5-98E5-17A297FC018D}"/>
    <hyperlink ref="F233" r:id="rId476" xr:uid="{5457F9F1-0EEB-41D7-9F4A-BB013C4B6203}"/>
    <hyperlink ref="G233" r:id="rId477" xr:uid="{56C72A16-5BD5-4B77-8354-9F3439B3CD24}"/>
    <hyperlink ref="S233" r:id="rId478" xr:uid="{7A439BC7-C08F-4488-89B8-D685EB8A9609}"/>
    <hyperlink ref="F234" r:id="rId479" xr:uid="{896A03FC-C22C-4F34-9968-5799908A9F2D}"/>
    <hyperlink ref="G234" r:id="rId480" xr:uid="{FB03F49D-F299-4C7F-8173-C53F40C9FC99}"/>
    <hyperlink ref="S234" r:id="rId481" xr:uid="{BCEF67F3-9E18-4194-AE36-968CE754EC82}"/>
    <hyperlink ref="G235" r:id="rId482" xr:uid="{427B08F8-0E53-494A-BC28-E73D95C8CFF7}"/>
    <hyperlink ref="S235" r:id="rId483" xr:uid="{D332247F-CACF-4DB2-973A-76E714F691B1}"/>
    <hyperlink ref="F236" r:id="rId484" xr:uid="{031FDA4A-BD75-4527-A0A1-968EE336DBE9}"/>
    <hyperlink ref="S236" r:id="rId485" xr:uid="{29FB5438-28F8-48F4-AC7E-4863DA412B5D}"/>
    <hyperlink ref="F237" r:id="rId486" xr:uid="{02816376-E354-4AF4-819D-4593C7936DC7}"/>
    <hyperlink ref="G237" r:id="rId487" xr:uid="{ED3E5301-3C99-4D46-A89E-D6FA6F781812}"/>
    <hyperlink ref="S237" r:id="rId488" xr:uid="{5AFAB0CE-D5BC-4F35-B103-45164CAC0ACB}"/>
    <hyperlink ref="S238" r:id="rId489" xr:uid="{879D6FBF-2F1E-4D47-962B-62133AACB80A}"/>
    <hyperlink ref="F239" r:id="rId490" xr:uid="{C17D58B4-C2B2-4A9E-AF9D-6BCDCD681198}"/>
    <hyperlink ref="S239" r:id="rId491" xr:uid="{3678C04C-1372-48E2-8515-ADB906B9A8C6}"/>
    <hyperlink ref="G240" r:id="rId492" xr:uid="{BD851A68-E79D-4E2E-8997-FFF85438B372}"/>
    <hyperlink ref="S240" r:id="rId493" xr:uid="{ED3C6E40-D2E8-4488-BDF5-16209FDFC0C1}"/>
    <hyperlink ref="F241" r:id="rId494" xr:uid="{DA97758E-DF0C-4F24-BFBD-85615B02BA63}"/>
    <hyperlink ref="F242" r:id="rId495" xr:uid="{5D6C00B6-DB80-4CC9-91AA-30E6D4AB70AA}"/>
    <hyperlink ref="S242" r:id="rId496" xr:uid="{45F59FDA-06FC-4F0B-B704-DF88715FC239}"/>
    <hyperlink ref="S243" r:id="rId497" xr:uid="{4729D310-FBC0-4AAB-9726-3C5F76DF800E}"/>
    <hyperlink ref="F244" r:id="rId498" xr:uid="{1718D5E2-D1B7-4E45-B254-1744C5EA455D}"/>
    <hyperlink ref="G244" r:id="rId499" xr:uid="{F481DAA1-B9E8-4924-B274-382BA4533FE4}"/>
    <hyperlink ref="S244" r:id="rId500" xr:uid="{0D665FB2-D3EE-4A41-AA58-DB193B114AB1}"/>
    <hyperlink ref="F245" r:id="rId501" xr:uid="{F9A5A928-75AD-4DED-8C56-EF5C28163FA9}"/>
    <hyperlink ref="S245" r:id="rId502" xr:uid="{0344D78C-20D7-4A9C-B0B7-8273F7FD1906}"/>
    <hyperlink ref="F246" r:id="rId503" xr:uid="{14B2CEC4-F7F7-44BE-8BD5-1D7956B162DA}"/>
    <hyperlink ref="S246" r:id="rId504" xr:uid="{A9E22BF5-6861-43B1-A29E-BAFF0FE42F91}"/>
    <hyperlink ref="F247" r:id="rId505" xr:uid="{3D690045-3104-40AB-932D-6ED1D1B618AD}"/>
    <hyperlink ref="G247" r:id="rId506" xr:uid="{B69E080A-CC07-4BFB-B4A1-89E654D55989}"/>
    <hyperlink ref="S247" r:id="rId507" xr:uid="{9B1C172A-CB07-44A2-9B58-805660459557}"/>
    <hyperlink ref="G248" r:id="rId508" xr:uid="{33E43838-68F3-44B2-A4B2-D68539E06BB5}"/>
    <hyperlink ref="F249" r:id="rId509" xr:uid="{60F9075E-7EB1-4BBA-B63D-9B76611314F1}"/>
    <hyperlink ref="S249" r:id="rId510" xr:uid="{BB04E296-66F2-4AE2-A108-DEBEB3CEDFE8}"/>
    <hyperlink ref="F250" r:id="rId511" xr:uid="{64CD52F8-7669-462B-8255-EDB821DFBB6A}"/>
    <hyperlink ref="G250" r:id="rId512" xr:uid="{A0DAD03E-D2E4-45EA-A310-6010F624D892}"/>
    <hyperlink ref="S250" r:id="rId513" xr:uid="{AEF8D9D6-92E5-4A8C-B14D-49D77912D547}"/>
    <hyperlink ref="G251" r:id="rId514" xr:uid="{1B21D20D-CE01-431D-8236-7B0D08F8A0AA}"/>
    <hyperlink ref="S251" r:id="rId515" xr:uid="{96B75582-5BB3-4D96-A751-9BC56CEE0F2D}"/>
    <hyperlink ref="F252" r:id="rId516" xr:uid="{D91FF8A8-CF4E-4A3C-A5AA-4E12B3B977FB}"/>
    <hyperlink ref="S252" r:id="rId517" xr:uid="{B8941AFB-E58D-4A33-9BD9-5FEAFCE7456A}"/>
    <hyperlink ref="F253" r:id="rId518" xr:uid="{93F11741-A17D-4C0B-862A-2F2719442809}"/>
    <hyperlink ref="G254" r:id="rId519" xr:uid="{92CA02DB-3F9D-400A-9975-AE5D6DD5D4B9}"/>
    <hyperlink ref="S254" r:id="rId520" xr:uid="{1724FF41-144E-4BFF-A335-2B2BDF66EBB5}"/>
    <hyperlink ref="F255" r:id="rId521" xr:uid="{202F8A98-7ED6-4152-8B31-52548AE6EBB7}"/>
    <hyperlink ref="G255" r:id="rId522" xr:uid="{162899AD-DE9C-4F38-98F5-B79C324D435B}"/>
    <hyperlink ref="S255" r:id="rId523" xr:uid="{E4DEBC95-8CB4-4622-9BB9-B2E6DE84551A}"/>
    <hyperlink ref="S256" r:id="rId524" xr:uid="{1D6C1592-4DB9-4123-B927-AEEAB2D38239}"/>
    <hyperlink ref="G257" r:id="rId525" xr:uid="{14B5B695-E3EE-4CFC-B170-C9C76E3BA140}"/>
    <hyperlink ref="S257" r:id="rId526" xr:uid="{36E482C6-D74E-4772-ADD4-8E4210E1AD11}"/>
    <hyperlink ref="S258" r:id="rId527" xr:uid="{7F1E3D2E-AAF4-47B9-B0E7-B923249EB2FE}"/>
    <hyperlink ref="S259" r:id="rId528" xr:uid="{A9661AA0-58D2-4A52-A866-44307677729F}"/>
    <hyperlink ref="F260" r:id="rId529" xr:uid="{0423F85C-AB10-44AD-A4B8-B6027E8B8EF4}"/>
    <hyperlink ref="S260" r:id="rId530" xr:uid="{51BEEDDC-0F12-476E-8100-69E70BD42F5D}"/>
    <hyperlink ref="F261" r:id="rId531" xr:uid="{8A985960-3436-4BAF-AD33-79DE61BFAEC9}"/>
    <hyperlink ref="S261" r:id="rId532" xr:uid="{DBAB72DE-F78C-49C7-A5EB-34E06A503122}"/>
    <hyperlink ref="F262" r:id="rId533" xr:uid="{25A73524-6CAF-4DF9-A612-F638E0023B38}"/>
    <hyperlink ref="G262" r:id="rId534" xr:uid="{207BA17C-CE90-4C28-9AD8-E3ACB18F9D6F}"/>
    <hyperlink ref="S262" r:id="rId535" xr:uid="{6F83D034-A547-45F8-90B5-73F3EF53D7F1}"/>
    <hyperlink ref="F263" r:id="rId536" xr:uid="{4D6D9B7C-FBD0-4FD8-B931-E67FBA869EB5}"/>
    <hyperlink ref="S263" r:id="rId537" xr:uid="{49CF13CA-50DB-4D50-A018-DBC0E99EA8CF}"/>
    <hyperlink ref="F264" r:id="rId538" xr:uid="{3F141282-F5E3-4BA4-8D64-F9FA658E3850}"/>
    <hyperlink ref="F265" r:id="rId539" xr:uid="{EE32D32A-C184-4182-AD10-ECE388CE3043}"/>
    <hyperlink ref="G265" r:id="rId540" xr:uid="{CB3343B3-2EC2-471F-BFE8-1C3A6E183E51}"/>
    <hyperlink ref="S265" r:id="rId541" xr:uid="{E8757226-735E-4B64-BEBB-65380457629C}"/>
    <hyperlink ref="F266" r:id="rId542" xr:uid="{86E6D25C-7597-44D9-863F-9F1C1992D405}"/>
    <hyperlink ref="G266" r:id="rId543" xr:uid="{ED12716F-684A-413C-8B6B-C969B85F42C6}"/>
    <hyperlink ref="S266" r:id="rId544" xr:uid="{DBD2BF14-2E39-40F3-B517-E8BFB4B0EA90}"/>
    <hyperlink ref="F267" r:id="rId545" xr:uid="{F93D09D6-29BF-4E8E-AEFA-D596E7F74E98}"/>
    <hyperlink ref="S267" r:id="rId546" xr:uid="{DBE0D25C-7332-4F1B-8731-F27AA4F5B731}"/>
    <hyperlink ref="G268" r:id="rId547" xr:uid="{87273407-8858-47E7-96D2-5A3BBDBE8BFD}"/>
    <hyperlink ref="F269" r:id="rId548" xr:uid="{9284A5F0-EF0A-4219-80A0-9ECDEF8CD964}"/>
    <hyperlink ref="S269" r:id="rId549" xr:uid="{F8E2B353-F15F-4010-B83A-35AD63007038}"/>
    <hyperlink ref="S270" r:id="rId550" xr:uid="{F8D527D5-28CD-469D-AE9A-6549A74A4DD8}"/>
    <hyperlink ref="F272" r:id="rId551" xr:uid="{135135FA-1001-4CB2-9973-F509D9DEF25B}"/>
    <hyperlink ref="S272" r:id="rId552" xr:uid="{2FBA3B60-EA32-4CEE-BD87-D2174AE855D1}"/>
    <hyperlink ref="G273" r:id="rId553" xr:uid="{7D3FAD57-F468-4736-8CAD-4A222BEEB7A4}"/>
    <hyperlink ref="F274" r:id="rId554" xr:uid="{273217E3-3886-44C7-A59A-0BC55BC7D2D9}"/>
    <hyperlink ref="F275" r:id="rId555" xr:uid="{19621495-D964-49B9-A4A0-FA4F2E0DA38C}"/>
    <hyperlink ref="S275" r:id="rId556" xr:uid="{CFB03DC4-44B9-4640-92A4-CE3EF26FCA4E}"/>
    <hyperlink ref="F276" r:id="rId557" xr:uid="{E950D89A-0812-48B1-A9D5-C1E6F3CEA71B}"/>
    <hyperlink ref="G276" r:id="rId558" xr:uid="{F882045B-71EE-4A1A-B65E-E03D380FFEAE}"/>
    <hyperlink ref="S276" r:id="rId559" xr:uid="{E5C6F6C3-7F57-4F11-B017-B4526182F646}"/>
    <hyperlink ref="F277" r:id="rId560" xr:uid="{7416B804-2F98-484F-90D6-7C36F74AF492}"/>
    <hyperlink ref="S278" r:id="rId561" xr:uid="{C94063B0-953D-4C9A-BEEF-45342A35C471}"/>
    <hyperlink ref="F279" r:id="rId562" xr:uid="{FE15A338-D6E4-4477-BDBA-F6C206D69928}"/>
    <hyperlink ref="F280" r:id="rId563" xr:uid="{92A3895C-97CA-4C9D-AF2F-8551F1E064AB}"/>
    <hyperlink ref="G280" r:id="rId564" xr:uid="{B472B824-C790-4018-B797-EC8D8446C9D4}"/>
    <hyperlink ref="S280" r:id="rId565" xr:uid="{3F2888B6-A8EA-4F1D-A669-D249BCA142F6}"/>
    <hyperlink ref="G281" r:id="rId566" xr:uid="{11EFDE84-B673-4639-9F98-B4DDD33650AD}"/>
    <hyperlink ref="S281" r:id="rId567" xr:uid="{928A1601-CD09-4D26-AB2A-11D273873F2F}"/>
    <hyperlink ref="S282" r:id="rId568" xr:uid="{61AE8253-9BFB-4CB5-9BC3-8529263A9F68}"/>
    <hyperlink ref="F283" r:id="rId569" xr:uid="{99CB13C2-17C5-4610-B341-16E74D761CC8}"/>
    <hyperlink ref="G283" r:id="rId570" xr:uid="{DD25FFB7-7343-4522-BCF0-CC9089F6604A}"/>
    <hyperlink ref="S283" r:id="rId571" xr:uid="{F17197F5-132C-4E0A-8691-B3B549BF7F25}"/>
    <hyperlink ref="F284" r:id="rId572" xr:uid="{E5753817-57FD-456C-8972-5AF53ECFA4B9}"/>
    <hyperlink ref="S284" r:id="rId573" xr:uid="{87ABB2CD-5B0E-41C6-B204-8BA55B4D23EB}"/>
    <hyperlink ref="F285" r:id="rId574" xr:uid="{220B8877-87FB-4F5D-B343-6129B6033C30}"/>
    <hyperlink ref="G285" r:id="rId575" xr:uid="{2133BE19-6359-4DF2-9837-CD4A45C4FB0A}"/>
    <hyperlink ref="S285" r:id="rId576" xr:uid="{B407E6A9-0237-4871-96D1-3A9C36AB439B}"/>
    <hyperlink ref="F286" r:id="rId577" xr:uid="{25C765BD-4DE1-4B48-985B-E7E899902956}"/>
    <hyperlink ref="G286" r:id="rId578" xr:uid="{62F619A2-20F5-4B75-8138-7775A732D998}"/>
    <hyperlink ref="S286" r:id="rId579" xr:uid="{7FE8181B-CA58-4E89-9285-A41CC5475128}"/>
    <hyperlink ref="F287" r:id="rId580" xr:uid="{480640A3-DBF9-4080-BD71-CA4D6ECAA558}"/>
    <hyperlink ref="G287" r:id="rId581" xr:uid="{E7E2BE32-1BF7-4D7D-84E9-5912C9836407}"/>
    <hyperlink ref="S287" r:id="rId582" xr:uid="{189EFC40-A456-45DD-9C63-674D1AB47714}"/>
    <hyperlink ref="F288" r:id="rId583" xr:uid="{487CDCB9-AB93-4A85-A45D-B01A977812B4}"/>
    <hyperlink ref="G288" r:id="rId584" xr:uid="{2D4DFE4A-EE88-4D30-BE03-1CE3A75DDAE3}"/>
    <hyperlink ref="S288" r:id="rId585" xr:uid="{74A89D69-4D22-4153-BC58-5B4E7F4A9D02}"/>
    <hyperlink ref="G289" r:id="rId586" xr:uid="{CF9E5CE1-D01D-46AB-A995-3D656D3C6FB1}"/>
    <hyperlink ref="G290" r:id="rId587" xr:uid="{EC0CFE69-CD31-4B3E-990A-D276EA6306CD}"/>
    <hyperlink ref="S290" r:id="rId588" xr:uid="{6C3A9E43-BB7E-4CE3-8B6A-B33A0D1CF1C5}"/>
    <hyperlink ref="F291" r:id="rId589" xr:uid="{289719E0-9540-486A-8091-3FEFF25E127E}"/>
    <hyperlink ref="G291" r:id="rId590" xr:uid="{8A4EF60C-0F65-411A-B404-C01F3E650C7F}"/>
    <hyperlink ref="S291" r:id="rId591" xr:uid="{4D2E3935-C97A-4D5C-886B-E2FCD6963D2D}"/>
    <hyperlink ref="F292" r:id="rId592" xr:uid="{4F7F7B83-5258-4020-BAE8-1655D36FA158}"/>
    <hyperlink ref="G292" r:id="rId593" xr:uid="{5C47857C-BB7A-456C-B590-02FAB46DD8CD}"/>
    <hyperlink ref="G293" r:id="rId594" xr:uid="{BE4F8AAB-5D1B-43E2-9440-9F9F117C73FB}"/>
    <hyperlink ref="S293" r:id="rId595" xr:uid="{5E6060EA-9171-4963-8487-C844EAE84EBE}"/>
    <hyperlink ref="G294" r:id="rId596" xr:uid="{6BE777CB-4654-4F35-8A71-8996E729E5E2}"/>
    <hyperlink ref="G295" r:id="rId597" xr:uid="{51CC220F-DF64-4839-8274-F338A279F38D}"/>
    <hyperlink ref="G296" r:id="rId598" xr:uid="{49FD1089-4CB9-4A5A-8BD3-393B808C4FCF}"/>
    <hyperlink ref="S296" r:id="rId599" xr:uid="{8A475D16-9001-430A-8CD1-D5F48E7BDC5F}"/>
    <hyperlink ref="F297" r:id="rId600" xr:uid="{0EC14DC2-2E18-4ED9-B15A-D59C433D9630}"/>
    <hyperlink ref="G297" r:id="rId601" xr:uid="{86971A4D-E338-43A5-AA88-73853005FEBF}"/>
    <hyperlink ref="S297" r:id="rId602" xr:uid="{A18C917C-0FC4-4DBB-9A7D-F4E53C7F033F}"/>
    <hyperlink ref="F298" r:id="rId603" xr:uid="{5B9D28E2-81ED-4C09-B9E5-E857CABCDFA5}"/>
    <hyperlink ref="S298" r:id="rId604" xr:uid="{7E127374-BDA2-442B-93FD-3A1F7C160B77}"/>
    <hyperlink ref="G299" r:id="rId605" xr:uid="{D346593A-AA7A-4A39-B2E4-50B1DE67B521}"/>
    <hyperlink ref="S299" r:id="rId606" xr:uid="{C5BD01FA-59A4-4C6B-88B4-C63559A9C185}"/>
    <hyperlink ref="F300" r:id="rId607" xr:uid="{05FCD0AB-26DB-451B-B812-DA68F3E03B04}"/>
    <hyperlink ref="G300" r:id="rId608" xr:uid="{00CF9DD0-8C29-46D1-A27A-A1E1AC160759}"/>
    <hyperlink ref="S300" r:id="rId609" xr:uid="{8CFDF2A9-828B-4594-9B8A-ECAB6B6419B1}"/>
    <hyperlink ref="F301" r:id="rId610" xr:uid="{7351703E-3CE0-48EB-A991-F873A757B63C}"/>
    <hyperlink ref="S301" r:id="rId611" xr:uid="{60E1B119-09EB-4607-A488-D142E8C59E12}"/>
    <hyperlink ref="G302" r:id="rId612" xr:uid="{5D21C945-0B40-4E1B-B8D9-4F35B8AF1F78}"/>
    <hyperlink ref="S302" r:id="rId613" xr:uid="{4C4E319D-88F1-473E-8B3A-758DB1D0808D}"/>
    <hyperlink ref="F303" r:id="rId614" xr:uid="{9E97F22D-BE91-49D5-8731-59C6726A7D3F}"/>
    <hyperlink ref="G303" r:id="rId615" xr:uid="{0101B1EE-34E1-4D25-B156-0FE258C2B01E}"/>
    <hyperlink ref="S303" r:id="rId616" xr:uid="{C27A9552-A3F1-4C08-9968-5FC2348E5341}"/>
    <hyperlink ref="G304" r:id="rId617" xr:uid="{D19D2A07-44DD-4EF6-92B5-F0D78578D558}"/>
    <hyperlink ref="S304" r:id="rId618" xr:uid="{5A0D4670-4757-47E3-924D-17CA66959FD1}"/>
    <hyperlink ref="F305" r:id="rId619" xr:uid="{F2165658-2144-4C61-B3BC-B14579B11294}"/>
    <hyperlink ref="S305" r:id="rId620" xr:uid="{3FFFB856-3A89-4AE2-A80C-F48EF4B0B6D1}"/>
    <hyperlink ref="G306" r:id="rId621" xr:uid="{B3EDFDDE-49C2-41B9-BAD4-36218ED24C77}"/>
    <hyperlink ref="S306" r:id="rId622" xr:uid="{E6FEBE00-0286-468D-9EC7-BDE0401D520B}"/>
    <hyperlink ref="F307" r:id="rId623" xr:uid="{B30DD329-4429-4E4E-B381-EDD6CAFB1BBB}"/>
    <hyperlink ref="G307" r:id="rId624" xr:uid="{D0ABF18A-533A-466C-B497-DF427526C48C}"/>
    <hyperlink ref="S307" r:id="rId625" xr:uid="{3D326A0E-D86C-445F-B58D-A718CBA8F738}"/>
    <hyperlink ref="S308" r:id="rId626" xr:uid="{E3426EC3-B5A9-4C15-9D40-93125AC92379}"/>
    <hyperlink ref="F309" r:id="rId627" xr:uid="{DF477405-41C0-4ACA-8A20-0F6AD6F8B52A}"/>
    <hyperlink ref="S309" r:id="rId628" xr:uid="{9DC84D1F-21C3-41CB-8388-9957178041A9}"/>
    <hyperlink ref="F310" r:id="rId629" xr:uid="{A9088091-6EA2-4D63-9434-A5FF52877D7A}"/>
    <hyperlink ref="G310" r:id="rId630" xr:uid="{F41E2463-3960-4AEE-AF17-A4C767F130A2}"/>
    <hyperlink ref="S310" r:id="rId631" xr:uid="{312E1458-F74A-4414-8461-0508A0148D9C}"/>
    <hyperlink ref="G311" r:id="rId632" xr:uid="{793A74E8-8136-4DD4-B07A-D8512115AF43}"/>
    <hyperlink ref="S311" r:id="rId633" xr:uid="{23D500A7-A3DE-46A2-8A8F-2C8ACAFDD7CE}"/>
    <hyperlink ref="G312" r:id="rId634" xr:uid="{9F67D7D6-CC8B-4983-9984-FA0BF384A9EC}"/>
    <hyperlink ref="S312" r:id="rId635" xr:uid="{E108ABFF-D7CB-41E4-9AB3-2A25A31C6D6A}"/>
    <hyperlink ref="G313" r:id="rId636" xr:uid="{FE2B70C4-B1A1-4383-BF2B-60EBB5383DED}"/>
    <hyperlink ref="S313" r:id="rId637" xr:uid="{8239A03A-7E9B-428C-BB6E-9DF462443FAE}"/>
    <hyperlink ref="F314" r:id="rId638" xr:uid="{08679BB5-F0FB-4C3F-B38D-97188DCF9992}"/>
    <hyperlink ref="S314" r:id="rId639" xr:uid="{8E19C0D2-F30D-48B4-84AB-E02EAA8AA6E7}"/>
    <hyperlink ref="F315" r:id="rId640" xr:uid="{3C27822F-0304-4324-9D00-2569ABAEE30F}"/>
    <hyperlink ref="S315" r:id="rId641" xr:uid="{3661F1F5-C9E5-4F35-AF6A-6DFC183DC7B4}"/>
    <hyperlink ref="F316" r:id="rId642" xr:uid="{37F9BEB6-A3A4-4DE3-9698-3DDCCE319E31}"/>
    <hyperlink ref="S316" r:id="rId643" xr:uid="{FC6FAD52-D658-40D7-83C1-DB14A5420F51}"/>
    <hyperlink ref="F317" r:id="rId644" xr:uid="{FBB9D7F0-EDF0-47F5-9365-E5AC309FE454}"/>
    <hyperlink ref="G317" r:id="rId645" xr:uid="{D5FA7B3F-0F22-4D7D-A29F-E4DABFA0433A}"/>
    <hyperlink ref="S317" r:id="rId646" xr:uid="{AEEA305D-38BD-457E-AFD9-7A1C46E79C0C}"/>
    <hyperlink ref="G318" r:id="rId647" xr:uid="{8C8BD04B-B8C6-4F9A-AD6E-1B5D69B025B4}"/>
    <hyperlink ref="S318" r:id="rId648" xr:uid="{3BA7F483-8E7D-47A7-ABBE-57BE1EF34E41}"/>
    <hyperlink ref="S319" r:id="rId649" xr:uid="{9D0A9740-AD6B-4B1B-AFD9-291BB8FAE88B}"/>
    <hyperlink ref="F320" r:id="rId650" xr:uid="{901F5CB2-0194-4F93-956E-836FD17E0CD5}"/>
    <hyperlink ref="G320" r:id="rId651" xr:uid="{AE657BB8-311C-4309-A2D6-6CFCC3F444EB}"/>
    <hyperlink ref="S320" r:id="rId652" xr:uid="{921F458D-8F9C-45C0-9CD4-6823D910D269}"/>
    <hyperlink ref="F321" r:id="rId653" xr:uid="{CE673E6F-3E4A-49DC-8410-AAC78E6C4FFE}"/>
    <hyperlink ref="G321" r:id="rId654" xr:uid="{CCDBD1D2-0D21-4510-AC71-7AE84B5AF00E}"/>
    <hyperlink ref="S321" r:id="rId655" xr:uid="{1EDEBED8-EED5-4152-B5A7-12F005F3B1DF}"/>
    <hyperlink ref="F323" r:id="rId656" xr:uid="{A7769DF6-1B23-410B-A392-489F9EB89F6A}"/>
    <hyperlink ref="S323" r:id="rId657" xr:uid="{4D475E6E-5AEC-4E2C-BA38-BF9D063EF688}"/>
    <hyperlink ref="F324" r:id="rId658" xr:uid="{5B756B38-53A9-495F-92A3-A7CCF93CB4BF}"/>
    <hyperlink ref="G324" r:id="rId659" xr:uid="{A85E8B08-66F2-4CAD-802E-5D2372013DED}"/>
    <hyperlink ref="F325" r:id="rId660" xr:uid="{112E3292-E778-4DB9-BEC2-D12E2F067885}"/>
    <hyperlink ref="S325" r:id="rId661" xr:uid="{001D1253-896B-4A82-80A4-430DA6FC7971}"/>
    <hyperlink ref="F326" r:id="rId662" xr:uid="{CAD4D567-10EF-428F-9962-091C21311E98}"/>
    <hyperlink ref="S326" r:id="rId663" xr:uid="{E7CF1DB4-726A-45B9-A523-9270F393768E}"/>
    <hyperlink ref="G327" r:id="rId664" xr:uid="{936F7C3A-5BE1-42E5-B9C0-E7396609FC7A}"/>
    <hyperlink ref="S327" r:id="rId665" xr:uid="{AF5560E3-B7E5-493E-B487-7ADA7B2B7BB1}"/>
    <hyperlink ref="F328" r:id="rId666" xr:uid="{60AF3AB2-0858-4D8A-96E2-5EF732F574EF}"/>
    <hyperlink ref="G328" r:id="rId667" xr:uid="{F740AFB2-6EAC-41FA-9959-12D07D48E58F}"/>
    <hyperlink ref="S328" r:id="rId668" xr:uid="{8D99FD91-F089-43E8-9AB0-C451D3D1D1E7}"/>
    <hyperlink ref="F329" r:id="rId669" xr:uid="{7BBA40CA-A9F0-4B01-AC69-F8918AA17D1D}"/>
    <hyperlink ref="G329" r:id="rId670" xr:uid="{76A5025D-48F4-42C7-B1F4-D26B57F54455}"/>
    <hyperlink ref="S329" r:id="rId671" xr:uid="{595C2FEF-949D-47EB-B28C-4227E89DFF79}"/>
    <hyperlink ref="F330" r:id="rId672" xr:uid="{46D46A35-7E78-4A24-9575-D6381E85A366}"/>
    <hyperlink ref="G330" r:id="rId673" xr:uid="{6E5F8C41-4F4B-46B8-8CCE-D4C41CAD3FC7}"/>
    <hyperlink ref="S330" r:id="rId674" xr:uid="{AFB4E475-95EA-4409-866A-AE01C058C5A9}"/>
    <hyperlink ref="F331" r:id="rId675" xr:uid="{AA9D9250-9E15-4097-95AB-0629E82A5300}"/>
    <hyperlink ref="S331" r:id="rId676" xr:uid="{95E76CB5-8378-4E46-A09B-3EE1AC924FD4}"/>
    <hyperlink ref="F332" r:id="rId677" xr:uid="{A5604F50-BC28-415A-A00C-BE395AC5B0CE}"/>
    <hyperlink ref="S332" r:id="rId678" xr:uid="{83FF0126-C2A2-4BD9-8600-8EAF416E80FC}"/>
    <hyperlink ref="F334" r:id="rId679" xr:uid="{5E44A1B6-DEF6-4FBC-9964-6EACFE98E52A}"/>
    <hyperlink ref="S334" r:id="rId680" xr:uid="{9D32FD89-2DA3-4F6A-9920-F315D6911F2D}"/>
    <hyperlink ref="G335" r:id="rId681" xr:uid="{4FC4DBAE-F662-409F-BEAB-3BDDB4302E41}"/>
    <hyperlink ref="S335" r:id="rId682" xr:uid="{4A4C786F-9068-452B-B2BE-941DBC2D4E12}"/>
    <hyperlink ref="G336" r:id="rId683" xr:uid="{B1EF3C52-9E3B-4AE4-A237-DF0030296EB0}"/>
    <hyperlink ref="S336" r:id="rId684" xr:uid="{0BD952CA-CE9B-4543-84A0-9AE099AD2739}"/>
    <hyperlink ref="F337" r:id="rId685" xr:uid="{4B282B26-0D27-49D6-BF00-A3C101AB1D2E}"/>
    <hyperlink ref="G337" r:id="rId686" xr:uid="{A1B68474-8F91-410C-9F77-C5A23492E18C}"/>
    <hyperlink ref="S337" r:id="rId687" xr:uid="{445BF545-AF6A-4338-B62A-85152D98C22F}"/>
    <hyperlink ref="F338" r:id="rId688" xr:uid="{2C17294C-A282-40F5-8951-C9CE881CDB5B}"/>
    <hyperlink ref="G338" r:id="rId689" xr:uid="{59A02CCF-B6DE-460B-9D4B-DDA6E1DB68DB}"/>
    <hyperlink ref="S338" r:id="rId690" xr:uid="{AAF0398D-3EA5-4FC3-814B-14B268A8F431}"/>
    <hyperlink ref="S339" r:id="rId691" xr:uid="{904CDD02-5495-4AC4-B15A-F9F205E7F70F}"/>
    <hyperlink ref="F341" r:id="rId692" xr:uid="{CEA34B51-9EF9-49A6-BBA0-4AD4AA004EBC}"/>
    <hyperlink ref="S341" r:id="rId693" xr:uid="{AB32CA86-9EED-4C70-AA95-58DFD116CC8C}"/>
    <hyperlink ref="F343" r:id="rId694" xr:uid="{4FB96811-6A00-4E6F-B36D-718C003F0427}"/>
    <hyperlink ref="S343" r:id="rId695" xr:uid="{0D9AE32B-800F-41C8-9598-58333FAFF0A5}"/>
    <hyperlink ref="G344" r:id="rId696" xr:uid="{2170FE6E-4F9B-4FD5-A3F9-BBFAF9BF4002}"/>
    <hyperlink ref="S344" r:id="rId697" xr:uid="{7BE62AA1-D425-40F7-8EE2-0861E7CF7DBC}"/>
    <hyperlink ref="F345" r:id="rId698" xr:uid="{5D88E002-B0C8-4E21-876D-ED39391DDC62}"/>
    <hyperlink ref="S346" r:id="rId699" xr:uid="{6B41EA6C-64A9-4564-ADB4-69C8FC60E804}"/>
    <hyperlink ref="F347" r:id="rId700" xr:uid="{758836F7-196B-4817-9F75-BA59DE8FC7E5}"/>
    <hyperlink ref="S347" r:id="rId701" xr:uid="{5B059EC7-0162-4A1F-9799-B69BC792DCDA}"/>
    <hyperlink ref="F348" r:id="rId702" xr:uid="{E7F6C2C4-2C83-4CC2-AFD3-2694DA68B2DD}"/>
    <hyperlink ref="S348" r:id="rId703" xr:uid="{A134F6D3-645C-49B3-B2A7-5EA359C9B675}"/>
    <hyperlink ref="F349" r:id="rId704" xr:uid="{FDFFAD7A-9DFA-42EC-9EA2-5503FBC59460}"/>
    <hyperlink ref="S349" r:id="rId705" xr:uid="{85BE0A74-B0AE-4F2B-A930-648F76AD05CD}"/>
    <hyperlink ref="F350" r:id="rId706" xr:uid="{577B86C5-6C2C-49FD-A734-07D9C0684B57}"/>
    <hyperlink ref="G350" r:id="rId707" xr:uid="{896C39F7-DA74-4D6D-8A8C-EB08B59D2AA7}"/>
    <hyperlink ref="S350" r:id="rId708" xr:uid="{0E816784-4F92-4B37-A1CC-E36143A218FC}"/>
    <hyperlink ref="F352" r:id="rId709" xr:uid="{BC5C0762-3634-4445-9103-DFC154C4B9AF}"/>
    <hyperlink ref="G352" r:id="rId710" xr:uid="{C6D79A92-2563-42AD-BE26-176612D4CE2C}"/>
    <hyperlink ref="S352" r:id="rId711" xr:uid="{7EDC2B42-729D-40E0-841F-DFDA452D056B}"/>
    <hyperlink ref="G353" r:id="rId712" xr:uid="{810C79DD-0C0D-4A3E-B5CF-EEFBC73338A8}"/>
    <hyperlink ref="S353" r:id="rId713" xr:uid="{F1376527-9B38-445E-B296-10911A1AF0D8}"/>
    <hyperlink ref="F354" r:id="rId714" xr:uid="{A87F4D76-A7A8-4264-A2EA-075D90C6305E}"/>
    <hyperlink ref="G354" r:id="rId715" xr:uid="{1546BCC7-3267-40BD-BB6E-316E5D7E65B0}"/>
    <hyperlink ref="S354" r:id="rId716" xr:uid="{0D7F6593-7E42-4C59-90CA-0CCCCA531A13}"/>
    <hyperlink ref="G355" r:id="rId717" xr:uid="{44E8A9BC-6A77-4831-811A-C28BAC6441FC}"/>
    <hyperlink ref="S355" r:id="rId718" xr:uid="{D3D00CB5-D978-49A9-A2B5-355D8F1E3794}"/>
    <hyperlink ref="F357" r:id="rId719" xr:uid="{B8045DD8-F431-4A27-8344-8D64F88DA98D}"/>
    <hyperlink ref="G357" r:id="rId720" xr:uid="{AB3B429F-F863-4140-9A4C-5A4014477F26}"/>
    <hyperlink ref="S357" r:id="rId721" xr:uid="{8A21A499-806B-428A-A64A-4A37E008E295}"/>
    <hyperlink ref="F358" r:id="rId722" xr:uid="{3922136F-9EF5-49BA-9BB6-B2977F8AE8CD}"/>
    <hyperlink ref="S358" r:id="rId723" xr:uid="{EEBF576F-D5A5-40EA-9B52-0735E8998192}"/>
    <hyperlink ref="G359" r:id="rId724" xr:uid="{37A5B7A6-B333-4A50-AAC5-7EB631DF607B}"/>
    <hyperlink ref="S359" r:id="rId725" xr:uid="{33338B0D-FC8C-4291-BE4C-790867CEE690}"/>
    <hyperlink ref="F360" r:id="rId726" xr:uid="{3ED4FBF9-EC8C-41E7-946D-2C2F2CE1BDEC}"/>
    <hyperlink ref="G360" r:id="rId727" xr:uid="{FA315F5E-B3B9-4E99-9A59-7BB430F31103}"/>
    <hyperlink ref="S360" r:id="rId728" xr:uid="{643155D0-4242-4D55-9FB4-9B71D10F0FA4}"/>
    <hyperlink ref="G361" r:id="rId729" xr:uid="{D1160551-62CF-402C-BD96-221D49A8754C}"/>
    <hyperlink ref="S361" r:id="rId730" xr:uid="{1968E073-6950-4027-BD98-34BD041FD0AB}"/>
    <hyperlink ref="F363" r:id="rId731" xr:uid="{429717D2-034E-4A1B-A163-79665FE47DED}"/>
    <hyperlink ref="G363" r:id="rId732" xr:uid="{F76EC956-7F08-41B2-B398-B5D48E98ADCB}"/>
    <hyperlink ref="F364" r:id="rId733" xr:uid="{73E6F1C7-926A-47AB-9BA3-80A74609C1F4}"/>
    <hyperlink ref="S364" r:id="rId734" xr:uid="{C2EE0564-733E-4473-8624-6689EB0641C4}"/>
    <hyperlink ref="F365" r:id="rId735" xr:uid="{9287B908-7F75-4EB7-94FD-77ADD7930EC2}"/>
    <hyperlink ref="G365" r:id="rId736" xr:uid="{D97486F8-1661-4CE3-ADD9-F6E80E5BC31F}"/>
    <hyperlink ref="S365" r:id="rId737" xr:uid="{3074604F-80DB-4258-993F-1AFC5FE03560}"/>
    <hyperlink ref="F366" r:id="rId738" xr:uid="{F8A861B9-F2F1-42D2-BDFF-D69F62A2C01D}"/>
    <hyperlink ref="S366" r:id="rId739" xr:uid="{AEE951A0-DD4D-4C56-BEE3-AA8B47C2A12D}"/>
    <hyperlink ref="G367" r:id="rId740" xr:uid="{02809B4A-A931-4232-A0E0-C34ECAFC231B}"/>
    <hyperlink ref="S367" r:id="rId741" xr:uid="{45376886-1EB7-4046-A61D-5784225E01AC}"/>
    <hyperlink ref="F368" r:id="rId742" xr:uid="{0EF723AD-FE1D-400E-B771-02F7DFB2128B}"/>
    <hyperlink ref="S368" r:id="rId743" xr:uid="{81FD3D3B-7766-4E04-940C-668E7971DD67}"/>
    <hyperlink ref="G369" r:id="rId744" xr:uid="{DA3D6B2E-BF27-4D7B-A850-6180C3ACCEDC}"/>
    <hyperlink ref="S369" r:id="rId745" xr:uid="{466F4ABF-97FF-4833-9995-DD5D46880299}"/>
    <hyperlink ref="C370" r:id="rId746" xr:uid="{8F17FF40-761E-494E-8CC3-501797C521EE}"/>
    <hyperlink ref="F370" r:id="rId747" xr:uid="{97AFFA83-9EDB-4FC7-9C45-7CABDE15644E}"/>
    <hyperlink ref="S370" r:id="rId748" xr:uid="{E0BD648D-2283-4CD9-A04E-87D231477086}"/>
    <hyperlink ref="F372" r:id="rId749" xr:uid="{8AF58C06-EAAE-4C81-AB13-0F0418245A62}"/>
    <hyperlink ref="G372" r:id="rId750" xr:uid="{516BB903-CCA2-410F-AF0E-7165B8D620FA}"/>
    <hyperlink ref="F373" r:id="rId751" xr:uid="{7546AB53-98AB-40B8-838D-028E62B3E10B}"/>
    <hyperlink ref="S373" r:id="rId752" xr:uid="{F69E6C78-75C9-46E4-9580-F9CB087DFE81}"/>
    <hyperlink ref="F374" r:id="rId753" xr:uid="{93D957E5-2997-4AA8-8D6F-1389A54AA871}"/>
    <hyperlink ref="S374" r:id="rId754" xr:uid="{65C93C13-75A1-4732-A156-EA2A4699739C}"/>
    <hyperlink ref="F375" r:id="rId755" xr:uid="{84FD569D-D18F-4FE8-908E-24E56C3BF7DD}"/>
    <hyperlink ref="G375" r:id="rId756" xr:uid="{9B186A4C-409E-4B16-8046-BA4ED1E2A6BD}"/>
    <hyperlink ref="S375" r:id="rId757" xr:uid="{DB60BEB9-9F25-4F22-BFDE-2814EA19AC54}"/>
    <hyperlink ref="F376" r:id="rId758" xr:uid="{91FB721B-298D-4434-B57E-3FC348BD6249}"/>
    <hyperlink ref="S376" r:id="rId759" xr:uid="{D87BC70F-EFE7-443B-88DF-FEC9FF485D39}"/>
    <hyperlink ref="F377" r:id="rId760" xr:uid="{636B2D95-1EDC-4826-8191-E1F445941681}"/>
    <hyperlink ref="S377" r:id="rId761" xr:uid="{1F8A7354-71EC-4D01-A3AA-B96CB4BD23D4}"/>
    <hyperlink ref="F378" r:id="rId762" xr:uid="{901FD6CE-1BDF-4AB9-9916-D128FED5B53D}"/>
    <hyperlink ref="S378" r:id="rId763" xr:uid="{59732CBC-F812-4D68-9DCB-A83D0232A1CC}"/>
    <hyperlink ref="G379" r:id="rId764" xr:uid="{C7F38923-99C0-45F8-97B3-D3DC7C6F2C6D}"/>
    <hyperlink ref="S379" r:id="rId765" xr:uid="{5EB2441A-F6B3-4D3B-B6E6-8802185948F3}"/>
    <hyperlink ref="F380" r:id="rId766" xr:uid="{8432B81C-E3DD-4CC7-8CF6-66B74891031A}"/>
    <hyperlink ref="S380" r:id="rId767" xr:uid="{311E38E5-B326-4D5D-BFD0-7F68C1AC57FA}"/>
    <hyperlink ref="F382" r:id="rId768" xr:uid="{B8DD0DD0-9217-479B-BB8B-F50937F9D1F9}"/>
    <hyperlink ref="G382" r:id="rId769" xr:uid="{035345BF-D470-480C-984A-3DB40513BB5E}"/>
    <hyperlink ref="S382" r:id="rId770" xr:uid="{9FC0CF5C-8042-42E7-B6ED-86ECFFC96A2E}"/>
    <hyperlink ref="F383" r:id="rId771" xr:uid="{901779EE-9F08-43F3-A3FC-0A559E4ABBF5}"/>
    <hyperlink ref="S383" r:id="rId772" xr:uid="{64168470-184C-48D2-A0E1-C892703C82F9}"/>
    <hyperlink ref="F384" r:id="rId773" xr:uid="{82E39445-E97B-456E-8BE5-D212BE7FDC69}"/>
    <hyperlink ref="S384" r:id="rId774" xr:uid="{F38DC765-774E-4FD0-B32B-3D1E36035B25}"/>
    <hyperlink ref="G385" r:id="rId775" xr:uid="{CD98373D-714F-46CA-822D-3B6AF691A430}"/>
    <hyperlink ref="S385" r:id="rId776" xr:uid="{FFB0E7E5-1FEB-4858-AEF9-C64B540DC57C}"/>
    <hyperlink ref="F386" r:id="rId777" xr:uid="{991C98A3-71EC-42AB-922C-6F131861245E}"/>
    <hyperlink ref="S386" r:id="rId778" xr:uid="{5C62D272-D1E2-488C-9288-3C04DAEBE0F7}"/>
    <hyperlink ref="F387" r:id="rId779" xr:uid="{81132354-C14B-4471-B79B-CEEEBBD9C5AF}"/>
    <hyperlink ref="G387" r:id="rId780" xr:uid="{2C68350C-60BB-49A1-848E-E1AC8ACD1E39}"/>
    <hyperlink ref="S387" r:id="rId781" xr:uid="{CB8657D7-7BF1-47D4-8850-B5EB9A90F630}"/>
    <hyperlink ref="F388" r:id="rId782" xr:uid="{7B4B74E5-E196-426D-8A01-64CDDED050A6}"/>
    <hyperlink ref="S388" r:id="rId783" xr:uid="{39846A46-E3FC-4355-8FD9-C3E60790CC07}"/>
    <hyperlink ref="S389" r:id="rId784" xr:uid="{F1D43F9F-5E12-4C84-9E3E-F866F30E4DE4}"/>
    <hyperlink ref="F390" r:id="rId785" xr:uid="{77028BEA-0C36-4541-AD70-7D584B4F2014}"/>
    <hyperlink ref="G390" r:id="rId786" xr:uid="{BF67F2DE-EA03-4FF7-BD60-E9D63AD70BD9}"/>
    <hyperlink ref="S390" r:id="rId787" xr:uid="{81F8704A-363C-4714-91D4-9ED84CBFC75F}"/>
    <hyperlink ref="G392" r:id="rId788" xr:uid="{CB7A75DA-0DDE-4370-A51A-51DD8A1EDE1A}"/>
    <hyperlink ref="S392" r:id="rId789" xr:uid="{F4FBE2E0-4A05-4C7B-87B9-FF844A350469}"/>
    <hyperlink ref="F393" r:id="rId790" xr:uid="{28CAE312-8EBF-479A-BB7F-989491277169}"/>
    <hyperlink ref="F394" r:id="rId791" xr:uid="{98F6679A-5247-463C-8233-BC9B4174B59C}"/>
    <hyperlink ref="G394" r:id="rId792" xr:uid="{CCD0730E-62D3-4EE9-9370-BC563CC1B056}"/>
    <hyperlink ref="S394" r:id="rId793" xr:uid="{FD20F7E2-6ABF-4935-A170-BFE195D5F3E2}"/>
    <hyperlink ref="F395" r:id="rId794" xr:uid="{1C290999-D7F7-4AB4-A7C4-151AAE6CCC0B}"/>
    <hyperlink ref="G395" r:id="rId795" xr:uid="{758A4919-2E90-4C32-A354-71AEB0D16056}"/>
    <hyperlink ref="S395" r:id="rId796" xr:uid="{BC9789CD-A507-4AA6-A481-E36C874BCF46}"/>
    <hyperlink ref="F396" r:id="rId797" xr:uid="{C88B4C2D-46B9-481D-B875-188BAB53AF75}"/>
    <hyperlink ref="F397" r:id="rId798" xr:uid="{BF4E5DDF-DED0-42DC-8914-C36290FF54E9}"/>
    <hyperlink ref="S397" r:id="rId799" xr:uid="{A644B801-51FC-43A6-90BE-0C71B4524054}"/>
    <hyperlink ref="G398" r:id="rId800" xr:uid="{0FEC5CBA-77E3-4B90-B780-B3159CBCD9AF}"/>
    <hyperlink ref="F399" r:id="rId801" xr:uid="{66586F86-6531-4161-9930-7FB6F195F658}"/>
    <hyperlink ref="S399" r:id="rId802" xr:uid="{F804726D-51F5-4E7C-84E9-4D6E0FD5BE1F}"/>
    <hyperlink ref="G400" r:id="rId803" xr:uid="{E37A66C0-8710-4AF4-BA4C-69E7021AE79D}"/>
    <hyperlink ref="S400" r:id="rId804" xr:uid="{41601523-3EC6-42EF-B7E1-44EBC5F6D18A}"/>
    <hyperlink ref="F401" r:id="rId805" xr:uid="{E3CA8C8D-1354-4823-8E51-CF8A561F422E}"/>
    <hyperlink ref="S401" r:id="rId806" xr:uid="{F3609295-89CE-4214-8B52-B23091F32706}"/>
    <hyperlink ref="F402" r:id="rId807" xr:uid="{62AD7781-DB22-4012-B395-46AFAF4323DB}"/>
    <hyperlink ref="G402" r:id="rId808" xr:uid="{679BFCA9-1568-4D7C-B956-B0CA03D0EAF5}"/>
    <hyperlink ref="S402" r:id="rId809" xr:uid="{BF05A37D-2756-4F04-8E49-4E407C4F2C3F}"/>
    <hyperlink ref="F404" r:id="rId810" xr:uid="{B2806A6E-2D99-4102-825A-8D78C1A82502}"/>
    <hyperlink ref="F405" r:id="rId811" xr:uid="{E3B28117-5B5C-4353-BCE5-23801BAD4CB1}"/>
    <hyperlink ref="S405" r:id="rId812" xr:uid="{5E41308F-00E6-4600-8B68-E2393C68A707}"/>
    <hyperlink ref="F406" r:id="rId813" xr:uid="{FAA3C8D1-F388-4480-8891-B2FD99DC51ED}"/>
    <hyperlink ref="S406" r:id="rId814" xr:uid="{73134148-7A20-48E7-8317-35AFF7E49716}"/>
    <hyperlink ref="F407" r:id="rId815" xr:uid="{7B729E3C-F5E0-43B4-9B73-71D0049FF859}"/>
    <hyperlink ref="S407" r:id="rId816" xr:uid="{335A055F-F11D-4617-91CF-17473B369F4A}"/>
    <hyperlink ref="F408" r:id="rId817" xr:uid="{3E8D169A-2A9D-45DD-A8C8-7866C2F1F113}"/>
    <hyperlink ref="S408" r:id="rId818" xr:uid="{852A5964-3E9B-44B5-9A4A-D2F75BBC3E9E}"/>
    <hyperlink ref="F409" r:id="rId819" xr:uid="{E68FA81C-73A1-4432-995C-16875DA1B9EB}"/>
    <hyperlink ref="S409" r:id="rId820" xr:uid="{1A4DDBA6-AD64-4340-9788-270C34EC29F9}"/>
    <hyperlink ref="F410" r:id="rId821" xr:uid="{44CF7EDC-F5E1-4913-B36C-4B721F2CE527}"/>
    <hyperlink ref="S410" r:id="rId822" xr:uid="{00F91330-F316-4ABF-A0F1-071014F69882}"/>
    <hyperlink ref="F411" r:id="rId823" xr:uid="{86E566DE-9266-45CC-81C7-DA40F5DE55D6}"/>
    <hyperlink ref="S411" r:id="rId824" xr:uid="{AC8313A7-6F95-4FD6-BE39-B7E7C1B75CCF}"/>
    <hyperlink ref="F412" r:id="rId825" xr:uid="{F3B86882-C898-4291-921C-A5F879A12007}"/>
    <hyperlink ref="S412" r:id="rId826" xr:uid="{C01FE434-EB7F-4426-AFA0-E85CE6872A6C}"/>
    <hyperlink ref="F413" r:id="rId827" xr:uid="{A71F5CD8-7A6E-4185-BA60-D4ED5534B7B6}"/>
    <hyperlink ref="S413" r:id="rId828" xr:uid="{AE4AE739-F69D-449E-87DC-3B0FC44269ED}"/>
    <hyperlink ref="F414" r:id="rId829" xr:uid="{AEEBD9ED-32F6-4630-9A86-9CE72C560F7B}"/>
    <hyperlink ref="S414" r:id="rId830" xr:uid="{AD09E20A-CE05-4A07-9C47-726755BD889D}"/>
    <hyperlink ref="F415" r:id="rId831" xr:uid="{7C9E4FD7-F9A4-4B05-A6FD-EEF7D07029C8}"/>
    <hyperlink ref="S415" r:id="rId832" xr:uid="{DAB15696-3F66-4818-A481-029FEFF36639}"/>
    <hyperlink ref="F416" r:id="rId833" xr:uid="{682F2808-9C4B-4B05-A184-BB1780B91168}"/>
    <hyperlink ref="F417" r:id="rId834" xr:uid="{8CDD44E6-03F3-4020-A470-379705390A43}"/>
    <hyperlink ref="S417" r:id="rId835" xr:uid="{0A722C05-B090-48C0-8D43-A0A039B48385}"/>
    <hyperlink ref="G418" r:id="rId836" xr:uid="{003EF392-8AB7-4830-A037-591E30172837}"/>
    <hyperlink ref="F419" r:id="rId837" xr:uid="{29CBC402-952B-49CA-853A-3E81B99AF6F8}"/>
    <hyperlink ref="G419" r:id="rId838" xr:uid="{7E802391-85CF-44C8-8E69-43FC5C60D902}"/>
    <hyperlink ref="S419" r:id="rId839" xr:uid="{8F4A2533-576A-4FE0-8409-3D9601B67DD0}"/>
    <hyperlink ref="F420" r:id="rId840" xr:uid="{D4AB85B5-0EDE-48F3-97EC-A79291F82A9C}"/>
    <hyperlink ref="G420" r:id="rId841" xr:uid="{65C25498-F322-42BC-A519-6A7266D8CBFD}"/>
    <hyperlink ref="S420" r:id="rId842" xr:uid="{04FCE3B8-9CA2-42A6-BD15-2E9D355D2CFE}"/>
    <hyperlink ref="G421" r:id="rId843" xr:uid="{E4C8B6AF-166C-417F-A8B8-23C9FE027766}"/>
    <hyperlink ref="F422" r:id="rId844" xr:uid="{26AB7E1E-4DF3-4E82-9A5E-CB21A7EFF6AA}"/>
    <hyperlink ref="F423" r:id="rId845" xr:uid="{A5BCBFB3-2321-463B-A8E7-1FAEEC122B15}"/>
    <hyperlink ref="G423" r:id="rId846" xr:uid="{826F953D-4087-4FFD-9CAB-F4EF6E2A0834}"/>
    <hyperlink ref="F424" r:id="rId847" xr:uid="{E730C48A-48CB-47F7-A286-934FF2D85830}"/>
    <hyperlink ref="G424" r:id="rId848" xr:uid="{2BD060BE-5610-44A4-8867-0F5CFB4F2DF5}"/>
    <hyperlink ref="S424" r:id="rId849" xr:uid="{491D3F8A-FD1E-4C3A-87E7-D9F468D6A25C}"/>
    <hyperlink ref="F425" r:id="rId850" xr:uid="{28EEB284-8F1D-4843-BDA2-080B03684E59}"/>
    <hyperlink ref="S425" r:id="rId851" xr:uid="{A11A2C47-5ECD-4FD7-AD5D-FD3E40F67EDB}"/>
    <hyperlink ref="G426" r:id="rId852" xr:uid="{FB8C97B4-76BD-4F6A-9DD2-A3D221DCB595}"/>
    <hyperlink ref="S426" r:id="rId853" xr:uid="{C406D306-BABE-486E-850A-9194DA00574E}"/>
    <hyperlink ref="F427" r:id="rId854" xr:uid="{1058014A-8B97-44EB-8438-EC1D41BC5437}"/>
    <hyperlink ref="S427" r:id="rId855" xr:uid="{ACE6F735-D689-4B8E-ADB7-3FA5F06546CE}"/>
    <hyperlink ref="F428" r:id="rId856" xr:uid="{ABC3C3DE-5B2B-41F3-B7FA-E6E6792F26A1}"/>
    <hyperlink ref="S428" r:id="rId857" xr:uid="{302B27B1-28D0-4CCE-9E55-D5B2A0C6663D}"/>
    <hyperlink ref="F429" r:id="rId858" xr:uid="{83E38855-DAE8-48C2-9A0D-9C9AD513982F}"/>
    <hyperlink ref="S429" r:id="rId859" xr:uid="{54EFAACD-8D1F-4C8C-AA32-66507BE0800D}"/>
    <hyperlink ref="G430" r:id="rId860" xr:uid="{43DA950E-BF56-4C32-B989-EAC2FA1AFB4D}"/>
    <hyperlink ref="F431" r:id="rId861" xr:uid="{F111A2D7-68F0-4146-8C06-814B5BB2FEF7}"/>
    <hyperlink ref="G431" r:id="rId862" xr:uid="{3C929E47-A3CB-4881-B7B6-C354BFCC5295}"/>
    <hyperlink ref="S431" r:id="rId863" xr:uid="{B9F78894-099D-49CC-8F1D-4E1425C1CEA7}"/>
    <hyperlink ref="F432" r:id="rId864" xr:uid="{91F7FFBC-E89D-487E-8817-9A03C1547598}"/>
    <hyperlink ref="G432" r:id="rId865" xr:uid="{49BA511D-3F8B-411A-A18B-D6B2CBF5DBAF}"/>
    <hyperlink ref="S432" r:id="rId866" xr:uid="{2CDD532D-4476-4E4F-83B3-4C7DC889C321}"/>
    <hyperlink ref="F433" r:id="rId867" xr:uid="{D600EB28-2364-4301-A0D1-5A17BCA76917}"/>
    <hyperlink ref="S433" r:id="rId868" xr:uid="{4C641CEB-22B8-484B-BA0E-041158ACA9C7}"/>
    <hyperlink ref="S434" r:id="rId869" xr:uid="{8D7BFD5E-B100-4575-A405-C298F8EF7A93}"/>
    <hyperlink ref="F435" r:id="rId870" xr:uid="{E92E15D4-79CB-49C5-B76B-94090EC0F80F}"/>
    <hyperlink ref="G435" r:id="rId871" xr:uid="{390D8C29-30F9-4605-B1F3-570F40B8D42C}"/>
    <hyperlink ref="S435" r:id="rId872" xr:uid="{2FD28D72-9618-4017-8983-F4E3A1243C14}"/>
    <hyperlink ref="F436" r:id="rId873" xr:uid="{D2EDAA92-B28B-4DF3-840A-28B689D9A8F9}"/>
    <hyperlink ref="F437" r:id="rId874" xr:uid="{8DBFD86F-5DB7-405C-B486-D5E8483E076C}"/>
    <hyperlink ref="F438" r:id="rId875" xr:uid="{C97635B9-3FCE-4E1C-8D7F-A34C109BB05A}"/>
    <hyperlink ref="G438" r:id="rId876" xr:uid="{F6AB78BB-C4F2-4C59-8B71-24D7642C0829}"/>
    <hyperlink ref="S438" r:id="rId877" xr:uid="{343695A2-10CC-4C39-B026-95D06DADE802}"/>
    <hyperlink ref="F439" r:id="rId878" xr:uid="{F6FC7FF7-4E18-4838-AE55-3349DE2203EC}"/>
    <hyperlink ref="S439" r:id="rId879" xr:uid="{5FD9BD9E-99AE-419F-A5DC-23741BC3A0E8}"/>
    <hyperlink ref="F440" r:id="rId880" xr:uid="{0C8B6487-A09E-4A41-9B7D-5FCF49FD4EAF}"/>
    <hyperlink ref="S440" r:id="rId881" xr:uid="{EE4FE8F0-833B-461C-A3C6-1CC921D74E96}"/>
    <hyperlink ref="F441" r:id="rId882" xr:uid="{7733E276-4E78-4085-81CA-98F56F2B4AF6}"/>
    <hyperlink ref="F442" r:id="rId883" xr:uid="{896615B5-F221-4B8E-8410-180461FF9A04}"/>
    <hyperlink ref="G442" r:id="rId884" xr:uid="{BF19DC76-F69B-4DE4-AF91-99F4FEBDE80B}"/>
    <hyperlink ref="F443" r:id="rId885" xr:uid="{BC960C59-A1DC-4C9D-B95C-1C39EA71DA7D}"/>
    <hyperlink ref="S443" r:id="rId886" xr:uid="{AC8CC61C-D598-4802-9392-E8AB09D3C154}"/>
    <hyperlink ref="F444" r:id="rId887" xr:uid="{65F2CD7B-95DE-4BE8-8AF3-6C9A57C87A5E}"/>
    <hyperlink ref="G444" r:id="rId888" xr:uid="{A92FA475-EDED-46A9-BC97-EEF98A49FB91}"/>
    <hyperlink ref="S444" r:id="rId889" xr:uid="{A4B7032F-89CD-41DB-96AC-8B1A47CFE427}"/>
    <hyperlink ref="F445" r:id="rId890" xr:uid="{6563BF2A-F115-4E51-8838-75FB62080394}"/>
    <hyperlink ref="F446" r:id="rId891" xr:uid="{75BEF1DC-6CA7-4FD0-90FE-046A94AEF21C}"/>
    <hyperlink ref="S446" r:id="rId892" xr:uid="{5997BEAA-A28F-4B55-BE2D-BEB371DA3B21}"/>
    <hyperlink ref="F447" r:id="rId893" xr:uid="{347D7B03-8364-4D03-8B86-81A66130B0E0}"/>
    <hyperlink ref="F448" r:id="rId894" xr:uid="{5F3A9D26-99A4-4E37-B991-4CDF9E3870F2}"/>
    <hyperlink ref="F449" r:id="rId895" xr:uid="{D95D72FB-9EDD-4B36-94D4-4E2B05B5E74A}"/>
    <hyperlink ref="G449" r:id="rId896" xr:uid="{0E1716F9-0C8A-429E-9E91-A679BC5A7A4A}"/>
    <hyperlink ref="S449" r:id="rId897" xr:uid="{8ECAC70A-DA64-468E-9315-04B56C2F5372}"/>
    <hyperlink ref="G450" r:id="rId898" xr:uid="{78D652E2-C029-4DAD-9236-1FE4F16A9524}"/>
    <hyperlink ref="S450" r:id="rId899" xr:uid="{D70E73E7-53E0-4449-B808-EBB8C20DFB80}"/>
    <hyperlink ref="F451" r:id="rId900" xr:uid="{A7C0F4A9-6EF8-4A1D-A0C9-9460BE5CB769}"/>
    <hyperlink ref="G452" r:id="rId901" xr:uid="{BFF1BD2D-A231-4EDD-96C4-0680D4F13A24}"/>
    <hyperlink ref="S452" r:id="rId902" xr:uid="{6B5F5095-1782-4FAF-AEED-BA8033701E03}"/>
    <hyperlink ref="F453" r:id="rId903" xr:uid="{628699D7-1708-4EFA-9A64-B61B42EF3E83}"/>
    <hyperlink ref="S453" r:id="rId904" xr:uid="{79D84923-6375-446B-915C-72F5E4319670}"/>
    <hyperlink ref="F454" r:id="rId905" xr:uid="{A0CD1F25-7203-4B02-A0C7-021D26212B19}"/>
    <hyperlink ref="G454" r:id="rId906" xr:uid="{D5CA8BB4-D8F9-4460-BBAF-4781EC0A563E}"/>
    <hyperlink ref="S454" r:id="rId907" xr:uid="{71AF7409-818B-4FE2-867B-CEA5C94908C1}"/>
    <hyperlink ref="F455" r:id="rId908" xr:uid="{294552B8-1813-480D-89DF-19888A417454}"/>
    <hyperlink ref="G455" r:id="rId909" xr:uid="{4A0F14D0-114C-4BFC-ABBB-D4D8DC28AD2A}"/>
    <hyperlink ref="S455" r:id="rId910" xr:uid="{B7246E6B-4EE1-40AB-8EE9-70EFF16B9FD8}"/>
    <hyperlink ref="F456" r:id="rId911" xr:uid="{03854C8F-902E-4DE3-84C8-4A2FAC5700EA}"/>
    <hyperlink ref="S456" r:id="rId912" xr:uid="{C68F3386-585E-4C83-95D5-CB24300B72E2}"/>
    <hyperlink ref="F457" r:id="rId913" xr:uid="{30731F52-1D13-4BA7-8373-320D19737859}"/>
    <hyperlink ref="G457" r:id="rId914" xr:uid="{BE03CD1C-4CC3-4E8D-A1F1-ACBF08B41657}"/>
    <hyperlink ref="S457" r:id="rId915" xr:uid="{685E6773-F4F3-4240-AA12-D74A854308C4}"/>
    <hyperlink ref="F458" r:id="rId916" xr:uid="{7B0FE1B9-F2C0-46C0-982D-696E24BF9381}"/>
    <hyperlink ref="S458" r:id="rId917" xr:uid="{CAFDC7B8-2E1B-4E19-A8F6-4C791DE7DF2A}"/>
    <hyperlink ref="F459" r:id="rId918" xr:uid="{1880026F-24F4-4A56-BC8C-CA525C9E092E}"/>
    <hyperlink ref="F460" r:id="rId919" xr:uid="{3D969ACC-8214-49B2-B2D5-D52F32B6DE4F}"/>
    <hyperlink ref="S460" r:id="rId920" xr:uid="{97EA32A9-D8E8-42E9-9F52-004E100CD841}"/>
    <hyperlink ref="F461" r:id="rId921" xr:uid="{FF114D1D-5E0B-4C3D-94E4-A36CCBD28D9D}"/>
    <hyperlink ref="S461" r:id="rId922" xr:uid="{DAEB84C4-DDFC-4F05-B515-3EF6DB6DE7A7}"/>
    <hyperlink ref="F463" r:id="rId923" xr:uid="{14B309E5-6B6C-44B7-9DFF-541CB341110A}"/>
    <hyperlink ref="S463" r:id="rId924" xr:uid="{66BB2E99-DC85-4B6B-B608-85304A4130B3}"/>
    <hyperlink ref="F464" r:id="rId925" xr:uid="{B7981532-7939-4C96-AED9-B7817A0C12F9}"/>
    <hyperlink ref="S464" r:id="rId926" xr:uid="{FBD18B76-72DD-4C9D-BC2C-2B429B61F87A}"/>
    <hyperlink ref="F465" r:id="rId927" xr:uid="{153239E0-7B89-4D8F-8135-7E1241BB4A11}"/>
    <hyperlink ref="S465" r:id="rId928" xr:uid="{FCF18096-3C7D-4D1F-A68E-D22465177F96}"/>
    <hyperlink ref="F466" r:id="rId929" xr:uid="{2C108BE2-45B1-451E-8A0D-A84164DF0D2D}"/>
    <hyperlink ref="S466" r:id="rId930" xr:uid="{75DD74D7-1ED2-4D4D-B4FE-F4E882961EE2}"/>
    <hyperlink ref="F467" r:id="rId931" xr:uid="{8EF45DA8-1562-4EFE-B62E-E3A25E3238D0}"/>
    <hyperlink ref="S467" r:id="rId932" xr:uid="{CA61F1CC-704C-4D45-A7F8-0AADF4C1826E}"/>
    <hyperlink ref="F468" r:id="rId933" xr:uid="{42D41D07-6302-4320-9AA5-E4CA2ACDC497}"/>
    <hyperlink ref="S468" r:id="rId934" xr:uid="{C8E60966-5B5D-4130-AC20-25D845CD017A}"/>
    <hyperlink ref="G469" r:id="rId935" xr:uid="{4B8806D6-8392-4C9B-AC28-959F8B74C9CC}"/>
    <hyperlink ref="F470" r:id="rId936" xr:uid="{2C073656-EAB2-4803-BA8D-A8593F98D880}"/>
    <hyperlink ref="S470" r:id="rId937" xr:uid="{E14AB7E3-0340-4856-A807-FA132EF19010}"/>
    <hyperlink ref="F471" r:id="rId938" xr:uid="{C9FBF126-099C-47FC-A896-CC8930B58056}"/>
    <hyperlink ref="G471" r:id="rId939" xr:uid="{EE64CA47-696C-4921-BA2F-A3445579DDE1}"/>
    <hyperlink ref="S471" r:id="rId940" xr:uid="{90EFA5B2-5E15-4A27-B5F3-9838E374DBA2}"/>
    <hyperlink ref="F472" r:id="rId941" xr:uid="{61BFC290-C9B1-4DF9-BA99-111D8BE61CDC}"/>
    <hyperlink ref="G472" r:id="rId942" xr:uid="{894FCB7C-4AB9-47D1-B137-A2ACF317F88B}"/>
    <hyperlink ref="S472" r:id="rId943" xr:uid="{8A86FE91-9F78-4DF4-9C88-1C0EA36C9191}"/>
    <hyperlink ref="F473" r:id="rId944" xr:uid="{ACF5CA82-2388-48A5-9F4E-BE53A3CD9FE7}"/>
    <hyperlink ref="S473" r:id="rId945" xr:uid="{DE841CC8-AC49-4FA3-A275-20BA61CF6EE9}"/>
    <hyperlink ref="S474" r:id="rId946" xr:uid="{5DD69F0B-D97D-4013-9369-18918F6F76FE}"/>
    <hyperlink ref="F475" r:id="rId947" xr:uid="{75EE54CD-4C33-44AE-9689-50C158F7CCAD}"/>
    <hyperlink ref="G475" r:id="rId948" xr:uid="{874A5FA9-2736-459F-9C7C-8C85C5F9F6DC}"/>
    <hyperlink ref="S475" r:id="rId949" xr:uid="{0FEE7A46-A657-41EC-9A5C-30DC7D4A36E1}"/>
    <hyperlink ref="G476" r:id="rId950" xr:uid="{C30B4546-7023-4063-8D79-54852CAFEF62}"/>
    <hyperlink ref="F477" r:id="rId951" xr:uid="{F723EC45-A596-43FA-A460-EAB0C060A765}"/>
    <hyperlink ref="G477" r:id="rId952" xr:uid="{5DF8B60D-CA63-4180-8CB7-FD16E4447741}"/>
    <hyperlink ref="S477" r:id="rId953" xr:uid="{FB61480F-1274-4428-A205-339CB1DF3F8F}"/>
    <hyperlink ref="F478" r:id="rId954" xr:uid="{46B5D195-089C-4343-A34A-2E789E638E0F}"/>
    <hyperlink ref="G478" r:id="rId955" xr:uid="{45F887B2-94DE-4F03-A42C-365B2ED7BE95}"/>
    <hyperlink ref="S478" r:id="rId956" xr:uid="{3CA80547-F144-4BCD-AFEA-9BFA90B42B46}"/>
    <hyperlink ref="F479" r:id="rId957" xr:uid="{3FE1DF0D-6058-4CC3-9951-C98874705D15}"/>
    <hyperlink ref="S479" r:id="rId958" xr:uid="{E38F9339-4405-4F23-98D1-2184509D7867}"/>
    <hyperlink ref="S480" r:id="rId959" xr:uid="{61CF0E69-F2F2-442D-AF51-53CF953E2ABA}"/>
    <hyperlink ref="F481" r:id="rId960" xr:uid="{DB2FD0CA-C1D0-4E44-9A0B-2CCB690039F4}"/>
    <hyperlink ref="G481" r:id="rId961" xr:uid="{02316566-8C42-4A93-A1A6-A6D173454420}"/>
    <hyperlink ref="S481" r:id="rId962" xr:uid="{A38952E2-420B-474F-9B26-6D22B48A8E97}"/>
    <hyperlink ref="F482" r:id="rId963" xr:uid="{EF6CC388-7428-448F-8CFA-4AE67E07A0C0}"/>
    <hyperlink ref="S482" r:id="rId964" xr:uid="{7BF947EB-38ED-4105-ADC9-BE15C41DCC87}"/>
    <hyperlink ref="F483" r:id="rId965" xr:uid="{A789EBE8-FBAB-451D-BB11-F1A402197C0D}"/>
    <hyperlink ref="S483" r:id="rId966" xr:uid="{74F27883-F903-4546-B8B9-92F82C2D591E}"/>
    <hyperlink ref="F484" r:id="rId967" xr:uid="{956C2430-058A-4E72-A767-D1855CAEB656}"/>
    <hyperlink ref="F485" r:id="rId968" xr:uid="{11FC28BE-3788-4416-A30F-E3636DCFA5DD}"/>
    <hyperlink ref="G485" r:id="rId969" xr:uid="{2AE4F91D-0543-457A-B9FE-F9E68F3DBC97}"/>
    <hyperlink ref="S485" r:id="rId970" xr:uid="{5BA232DE-6FE4-4937-BA6B-A724C8C465BB}"/>
    <hyperlink ref="G486" r:id="rId971" xr:uid="{37F3AA53-7C29-45B6-92CB-9DB00C3A5070}"/>
    <hyperlink ref="F487" r:id="rId972" xr:uid="{33476939-7E74-4F74-BEFF-C49C7708D76A}"/>
    <hyperlink ref="S487" r:id="rId973" xr:uid="{9651C228-6489-4147-AA61-2713151287C6}"/>
    <hyperlink ref="F488" r:id="rId974" xr:uid="{FCB2C1F0-45AF-474C-99B5-57A7398CC6E7}"/>
    <hyperlink ref="F489" r:id="rId975" xr:uid="{9BB34908-1CF7-4642-A9BC-9B5384D2D1C4}"/>
    <hyperlink ref="S489" r:id="rId976" xr:uid="{8B43CCB1-B237-4C8F-9ED1-20E6951F258E}"/>
    <hyperlink ref="S490" r:id="rId977" xr:uid="{621A8E65-3418-4E5E-A894-98A7BD26D7F9}"/>
    <hyperlink ref="F491" r:id="rId978" xr:uid="{0B32FED9-796E-4F1F-A736-A10B124424C9}"/>
    <hyperlink ref="S491" r:id="rId979" xr:uid="{9C0F45D6-7094-436C-BDA5-806996C0C9F9}"/>
    <hyperlink ref="S492" r:id="rId980" xr:uid="{21494CE0-DEF7-4516-AC6D-7CDC8189870D}"/>
    <hyperlink ref="S493" r:id="rId981" xr:uid="{AC13232C-1E92-4895-9D33-DF0F33F7D3D3}"/>
    <hyperlink ref="F494" r:id="rId982" xr:uid="{2B8C24C7-D7E7-4C09-B877-6E63401C32A8}"/>
    <hyperlink ref="S494" r:id="rId983" xr:uid="{BA54AE57-0869-498F-A4D8-986D2104B43C}"/>
    <hyperlink ref="F495" r:id="rId984" xr:uid="{7EE4021C-7224-4FCB-9D4D-9F6925997FA5}"/>
    <hyperlink ref="G495" r:id="rId985" xr:uid="{49DD8B44-EEB0-474F-BB8D-10E3C0E1C7C8}"/>
    <hyperlink ref="S495" r:id="rId986" xr:uid="{0AA3B369-47CC-46DD-96B3-92F8473978DA}"/>
    <hyperlink ref="F496" r:id="rId987" xr:uid="{7F2D7E71-3195-4F29-8E78-555FB1F4C4DD}"/>
    <hyperlink ref="S496" r:id="rId988" xr:uid="{65EC6B75-17D7-4B04-B43D-AA7BEA10F26D}"/>
    <hyperlink ref="F497" r:id="rId989" xr:uid="{B0CC21BE-5F9E-4D00-B49F-74888E08095A}"/>
    <hyperlink ref="G497" r:id="rId990" xr:uid="{496B936B-7B46-4CE7-BE01-F800E487CD07}"/>
    <hyperlink ref="S497" r:id="rId991" xr:uid="{012472E8-923C-4854-BC3A-FECA3048837C}"/>
    <hyperlink ref="F498" r:id="rId992" xr:uid="{228FE154-A281-4E64-8987-097911F9318D}"/>
    <hyperlink ref="S498" r:id="rId993" xr:uid="{8A92B8E1-EB1F-4A47-AEF5-E78CFAF8A385}"/>
    <hyperlink ref="F499" r:id="rId994" xr:uid="{74902643-5658-433D-B778-F90ABCD60ADC}"/>
    <hyperlink ref="S499" r:id="rId995" xr:uid="{EEC49FF2-B8E7-479B-BA2C-C355A0868374}"/>
    <hyperlink ref="F500" r:id="rId996" xr:uid="{D2BDB43F-8128-4145-94BF-E6669562F3DB}"/>
    <hyperlink ref="S500" r:id="rId997" xr:uid="{CD0894BC-1A72-4659-87B3-F7CE3F29275C}"/>
    <hyperlink ref="F501" r:id="rId998" xr:uid="{BA0B693E-49F9-4DA1-A0EC-50D1E0BBDBEF}"/>
    <hyperlink ref="S502" r:id="rId999" xr:uid="{709DF928-E361-4CEF-94EA-E18DA18EAEBE}"/>
    <hyperlink ref="F503" r:id="rId1000" xr:uid="{015E264D-C873-4DB8-B147-CE0E5F682838}"/>
    <hyperlink ref="S503" r:id="rId1001" xr:uid="{964C446E-FCF0-4B44-849C-3394F95AEA88}"/>
    <hyperlink ref="F504" r:id="rId1002" xr:uid="{734DEABD-4693-4F01-A847-DFF68846089C}"/>
    <hyperlink ref="S504" r:id="rId1003" xr:uid="{9E43C634-EBCF-4BF0-98C5-9947D2B96F56}"/>
    <hyperlink ref="F505" r:id="rId1004" xr:uid="{D9F1E78C-E786-48A0-9806-52253EFD68EB}"/>
    <hyperlink ref="G505" r:id="rId1005" xr:uid="{89D20CDA-8684-446D-9DC3-EAA73CBFA160}"/>
    <hyperlink ref="S505" r:id="rId1006" xr:uid="{C374443E-5AA3-44B7-B732-C0644DB3BBF2}"/>
    <hyperlink ref="S506" r:id="rId1007" xr:uid="{32B3B699-0D82-4C7D-8802-BC6767250007}"/>
    <hyperlink ref="S507" r:id="rId1008" xr:uid="{82E33CA1-5390-4429-8F28-AB283096846A}"/>
    <hyperlink ref="S509" r:id="rId1009" xr:uid="{C147E493-D0CD-41C5-B221-0DF85B184E4E}"/>
    <hyperlink ref="S510" r:id="rId1010" xr:uid="{5BB05D6D-DD2F-42C7-B8B2-54339375B9DC}"/>
    <hyperlink ref="S511" r:id="rId1011" xr:uid="{6C77A2B8-3564-412E-94B1-7BCFB1A35A22}"/>
    <hyperlink ref="F512" r:id="rId1012" xr:uid="{518A21AC-FF61-49CE-9824-516E34D7B6E2}"/>
    <hyperlink ref="G512" r:id="rId1013" xr:uid="{BD177650-3736-4E3F-977F-684961B48B79}"/>
    <hyperlink ref="S512" r:id="rId1014" xr:uid="{68FEA8A9-AD35-4DCA-88E0-2ADF94D774B2}"/>
    <hyperlink ref="F513" r:id="rId1015" xr:uid="{72D7D70E-CFE4-4CEF-BB49-A016D21CE7D3}"/>
    <hyperlink ref="G513" r:id="rId1016" xr:uid="{CE0D929C-05C8-4D5E-9955-CE27A23FD027}"/>
    <hyperlink ref="F514" r:id="rId1017" xr:uid="{A3DF7156-CB8F-4ACB-9454-F660B460F2A6}"/>
    <hyperlink ref="G514" r:id="rId1018" xr:uid="{DD703E0C-80D3-4BAE-9640-3628DCAA1A1D}"/>
    <hyperlink ref="S514" r:id="rId1019" xr:uid="{EB07AE68-25CF-4BE4-AFB6-B9F43AAE9EA4}"/>
    <hyperlink ref="F515" r:id="rId1020" xr:uid="{115E3162-2CE0-4429-A14B-A00D73CDFEDA}"/>
    <hyperlink ref="G515" r:id="rId1021" xr:uid="{2C7D77DD-707B-4E80-A875-D675AB1BE4F1}"/>
    <hyperlink ref="S515" r:id="rId1022" xr:uid="{9645947B-C8A6-47C6-ADE7-939ECC8BBDDE}"/>
    <hyperlink ref="G516" r:id="rId1023" xr:uid="{394CAB48-11EF-43C9-9462-89ECB0C15B4D}"/>
    <hyperlink ref="F518" r:id="rId1024" xr:uid="{143E3B0C-5615-4571-92C5-1C7A9D35E2E4}"/>
    <hyperlink ref="S518" r:id="rId1025" xr:uid="{C726A0E3-C12D-4D1B-9A9C-DE1B77A11E23}"/>
    <hyperlink ref="S519" r:id="rId1026" xr:uid="{4E78D8F6-6513-4C96-915E-BBA041017D93}"/>
    <hyperlink ref="F520" r:id="rId1027" xr:uid="{55CE4C9C-37B3-4AF9-A666-55B3378308F6}"/>
    <hyperlink ref="F521" r:id="rId1028" xr:uid="{39C6BBAE-50AB-4B6B-807C-8B51465667BC}"/>
    <hyperlink ref="S521" r:id="rId1029" xr:uid="{878FF62C-ED56-4F68-9CF8-853167A11DBA}"/>
    <hyperlink ref="F522" r:id="rId1030" xr:uid="{0CEA5207-3819-4BB7-A132-FDC59E8E8E94}"/>
    <hyperlink ref="G522" r:id="rId1031" xr:uid="{08A03D32-01D9-4EE9-A711-45620FC6EF9C}"/>
    <hyperlink ref="F523" r:id="rId1032" xr:uid="{041378C1-AA48-43DD-B20B-15AE6C200AEA}"/>
    <hyperlink ref="S523" r:id="rId1033" xr:uid="{42A95577-9E7F-4A43-8AE8-637D739CBF15}"/>
    <hyperlink ref="F524" r:id="rId1034" xr:uid="{22F5C630-3B02-41F9-A8AC-FC735BBD0C86}"/>
    <hyperlink ref="G524" r:id="rId1035" xr:uid="{47B0DA3D-04D1-45F0-9BA6-41CF00FA5340}"/>
    <hyperlink ref="S524" r:id="rId1036" xr:uid="{D7BFD5BD-94CF-470B-9D74-C64C13FFBB5F}"/>
    <hyperlink ref="S525" r:id="rId1037" xr:uid="{89F3A80A-09FC-41EC-A7C5-DA94554DCA91}"/>
    <hyperlink ref="G526" r:id="rId1038" xr:uid="{34BB0AA0-E6DB-448F-BDF7-12C3AFE9FD8A}"/>
    <hyperlink ref="S526" r:id="rId1039" xr:uid="{EF273F2B-26DC-4111-A248-A42FA9899B92}"/>
    <hyperlink ref="S527" r:id="rId1040" xr:uid="{09650305-810A-4107-AE62-3D32068E0CFF}"/>
    <hyperlink ref="F528" r:id="rId1041" xr:uid="{4FB0F713-507D-41A9-B628-674365D298CF}"/>
    <hyperlink ref="G528" r:id="rId1042" xr:uid="{2F996287-A0EE-478D-BC84-0D733DAD0ACC}"/>
    <hyperlink ref="S528" r:id="rId1043" xr:uid="{27CE14E7-55B7-4452-84C4-7E1ADA1DB038}"/>
    <hyperlink ref="F529" r:id="rId1044" xr:uid="{31B169B3-0225-4C4D-8ED1-407CBB03F6E1}"/>
    <hyperlink ref="G529" r:id="rId1045" xr:uid="{23AD1669-CAB8-4D8D-A156-852919FAB729}"/>
    <hyperlink ref="S529" r:id="rId1046" xr:uid="{EA2B2CE9-93EB-4645-AB83-9530C6EB7008}"/>
    <hyperlink ref="F530" r:id="rId1047" xr:uid="{62CF3A7F-738E-4EF1-B8BD-02A0376B4D5C}"/>
    <hyperlink ref="S530" r:id="rId1048" xr:uid="{FACEF472-C059-479C-A205-4CD43B66E1DB}"/>
    <hyperlink ref="F531" r:id="rId1049" xr:uid="{B7F90C5B-E349-47F3-BD48-719CFF5DF01E}"/>
    <hyperlink ref="S531" r:id="rId1050" xr:uid="{B3DB3E7E-34AF-4E1C-823F-8C4E97438937}"/>
    <hyperlink ref="F532" r:id="rId1051" xr:uid="{1DF9636F-9B8A-4806-9A8A-B327529D16F5}"/>
    <hyperlink ref="S532" r:id="rId1052" xr:uid="{D69E9D2D-EDEA-434F-8C03-DCEDD0E4EF07}"/>
    <hyperlink ref="F534" r:id="rId1053" xr:uid="{BBAA419F-2240-4F48-8D3A-4E4C99A1D920}"/>
    <hyperlink ref="G534" r:id="rId1054" xr:uid="{26BB7E99-5816-48A4-8E14-EFDB4F54EDCC}"/>
    <hyperlink ref="S534" r:id="rId1055" xr:uid="{BAB37014-E6E8-41C2-A4F2-5731384ED281}"/>
    <hyperlink ref="S535" r:id="rId1056" xr:uid="{F12C8CF7-B561-4A75-9476-348DE7638E24}"/>
    <hyperlink ref="F536" r:id="rId1057" xr:uid="{A11AF33A-F387-461D-B419-5B3C4BE5D16C}"/>
    <hyperlink ref="G536" r:id="rId1058" xr:uid="{EC20C393-6F9E-49D6-8141-793F09E4EBCD}"/>
    <hyperlink ref="S536" r:id="rId1059" xr:uid="{01517125-2526-4F30-8716-AC6A9C377EE5}"/>
    <hyperlink ref="F537" r:id="rId1060" xr:uid="{696F2FA4-2693-4978-A192-6401EAD458F9}"/>
    <hyperlink ref="G537" r:id="rId1061" xr:uid="{CF2624BB-B6C6-4230-9D73-28527CCE48D1}"/>
    <hyperlink ref="S537" r:id="rId1062" xr:uid="{296BF45E-74E6-465B-A2FB-CD3A27C1D942}"/>
    <hyperlink ref="F538" r:id="rId1063" xr:uid="{AF449E39-BDF8-4162-8B04-4BADCF131685}"/>
    <hyperlink ref="G538" r:id="rId1064" xr:uid="{2042CD89-605E-4C3F-8E43-4ABB07A5A88B}"/>
    <hyperlink ref="S538" r:id="rId1065" xr:uid="{90A221B3-7650-4E2A-961B-985E59B678D9}"/>
    <hyperlink ref="S539" r:id="rId1066" xr:uid="{3F869258-589D-4D12-AD55-893841E03B37}"/>
    <hyperlink ref="F540" r:id="rId1067" xr:uid="{3E0C36CD-4980-449D-8D77-DFD98DB8A0A4}"/>
    <hyperlink ref="G540" r:id="rId1068" xr:uid="{61F5057A-169A-40BF-8E9F-30462EB77ABD}"/>
    <hyperlink ref="S540" r:id="rId1069" xr:uid="{CF885092-4267-402C-822D-9F10B4BDE9EE}"/>
    <hyperlink ref="F541" r:id="rId1070" xr:uid="{55234A6D-9A2B-4828-9AA0-17C9CA752193}"/>
    <hyperlink ref="G541" r:id="rId1071" xr:uid="{4644594F-61C3-403B-A0BC-45D453A5755D}"/>
    <hyperlink ref="S541" r:id="rId1072" xr:uid="{5032AA20-99D1-40E2-BBD9-65F65968CD06}"/>
    <hyperlink ref="F542" r:id="rId1073" xr:uid="{AB7CB895-ABD6-4DD5-8290-997C6504DBD2}"/>
    <hyperlink ref="S542" r:id="rId1074" xr:uid="{28927F1B-D92F-4D09-A2B9-833FDB6EA570}"/>
    <hyperlink ref="F543" r:id="rId1075" xr:uid="{52AB9E99-F92A-43E7-9B6C-BCB9489FB5F3}"/>
    <hyperlink ref="S543" r:id="rId1076" xr:uid="{1ACDC5FE-7D37-4AFE-ABE0-CB4424D1FFD9}"/>
    <hyperlink ref="G544" r:id="rId1077" xr:uid="{E7DB960F-A9EA-4A6D-982C-581809D1674E}"/>
    <hyperlink ref="S544" r:id="rId1078" xr:uid="{F44DE0B9-DAAB-418E-9375-E17ED871676A}"/>
    <hyperlink ref="G545" r:id="rId1079" xr:uid="{98753F1F-7085-487B-A062-C5A6B0237943}"/>
    <hyperlink ref="S545" r:id="rId1080" xr:uid="{8BA64FB6-BDE8-4BE4-8A1E-CB0168BBE0DB}"/>
    <hyperlink ref="F546" r:id="rId1081" xr:uid="{098F53DF-B8EA-4533-9114-76A8578EBF88}"/>
    <hyperlink ref="S546" r:id="rId1082" xr:uid="{4BB8934D-6DB4-4E0A-8BBB-0931C1B3E94C}"/>
    <hyperlink ref="F547" r:id="rId1083" xr:uid="{561642EF-D744-4779-BC42-BBCDB0A78A59}"/>
    <hyperlink ref="S547" r:id="rId1084" xr:uid="{3E7ECB3C-F1B6-429B-8B93-6FAB9D5BF854}"/>
    <hyperlink ref="F548" r:id="rId1085" xr:uid="{1F9A5112-D410-429A-BEDB-1289AB7E03B6}"/>
    <hyperlink ref="S548" r:id="rId1086" xr:uid="{5EC18A31-CBF5-400B-9CCA-D25E3A689109}"/>
    <hyperlink ref="F549" r:id="rId1087" xr:uid="{2E00558A-4A48-43C1-BF8A-02019A151047}"/>
    <hyperlink ref="F550" r:id="rId1088" xr:uid="{3E3E4A12-4EF8-481B-91EA-4C2301A5CBF8}"/>
    <hyperlink ref="G550" r:id="rId1089" xr:uid="{0BF44F81-F155-4CA0-96E7-6379D805A6CB}"/>
    <hyperlink ref="S550" r:id="rId1090" xr:uid="{BA041F18-7182-4A57-BF43-850686C723D6}"/>
    <hyperlink ref="F551" r:id="rId1091" xr:uid="{91B73F40-9B13-4A71-9BF0-C51DD48C3C9F}"/>
    <hyperlink ref="G551" r:id="rId1092" xr:uid="{FA9F7D9E-D045-4D09-95B0-95BE67AC9EF9}"/>
    <hyperlink ref="S551" r:id="rId1093" xr:uid="{6C8022D0-A7DB-48C4-B9E3-F41957DC5338}"/>
    <hyperlink ref="F552" r:id="rId1094" xr:uid="{9A5ABB6B-CFBE-4C7A-8D9A-F70CDD9C7183}"/>
    <hyperlink ref="G552" r:id="rId1095" xr:uid="{DD1DB61A-9C84-40A9-9261-901CC872988A}"/>
    <hyperlink ref="S552" r:id="rId1096" xr:uid="{6FB6D4BA-FBB4-4EE9-B797-D0E4D63AACAF}"/>
    <hyperlink ref="F553" r:id="rId1097" xr:uid="{4E2D1006-68B6-441A-960F-7FB6B048C1EE}"/>
    <hyperlink ref="S553" r:id="rId1098" xr:uid="{8E5E7AA1-C99C-48B4-9EA4-E0D7FFEF036D}"/>
    <hyperlink ref="F554" r:id="rId1099" xr:uid="{60E41A9F-7010-4980-B16D-6C0D8AF619EE}"/>
    <hyperlink ref="G554" r:id="rId1100" xr:uid="{0AE0C020-5147-483E-AA75-2780EE4E57E2}"/>
    <hyperlink ref="S554" r:id="rId1101" xr:uid="{8699B7E6-A9FC-4DED-8D62-F8C1705ED677}"/>
    <hyperlink ref="S555" r:id="rId1102" xr:uid="{AC69783B-CB1F-434A-AAEC-916B6BCB9AE0}"/>
    <hyperlink ref="F556" r:id="rId1103" xr:uid="{BE72E7AC-544E-4E43-B2DB-4818C3021F17}"/>
    <hyperlink ref="G556" r:id="rId1104" xr:uid="{286B3B1B-9ED7-4AE0-9D2D-73A379D962DF}"/>
    <hyperlink ref="S556" r:id="rId1105" xr:uid="{74A0B579-8EAC-4A34-8719-3CE2E83E45EF}"/>
    <hyperlink ref="F557" r:id="rId1106" xr:uid="{D1E98F43-A56E-4023-BA6F-361DD188E7DD}"/>
    <hyperlink ref="G557" r:id="rId1107" xr:uid="{779CC34B-D61D-4847-9290-25CC1E3D7D79}"/>
    <hyperlink ref="S557" r:id="rId1108" xr:uid="{55D51983-F9EC-4AF4-9307-9EFB23247008}"/>
    <hyperlink ref="F558" r:id="rId1109" xr:uid="{4F6C4794-F0E1-47F8-98C0-F76248429E36}"/>
    <hyperlink ref="G558" r:id="rId1110" xr:uid="{0565C8EB-4BA2-4BAA-8E3D-40DD061FBB00}"/>
    <hyperlink ref="S558" r:id="rId1111" xr:uid="{1C8F089E-2F5A-480E-B7EB-C3880E1C84AC}"/>
    <hyperlink ref="G559" r:id="rId1112" xr:uid="{784911DC-737E-4512-8FCE-6B08386A29F3}"/>
    <hyperlink ref="S559" r:id="rId1113" xr:uid="{41C15984-A2BF-455C-BC19-EB06409F8E48}"/>
    <hyperlink ref="G560" r:id="rId1114" xr:uid="{C5CDE6AF-A226-4619-A8F3-CAA90FE249DF}"/>
    <hyperlink ref="S560" r:id="rId1115" xr:uid="{0C6D4A12-A7B8-4E41-900A-2F5C52DA1D3D}"/>
    <hyperlink ref="F561" r:id="rId1116" xr:uid="{D98858F2-ADBF-4D06-82CA-C59F4309A49C}"/>
    <hyperlink ref="G561" r:id="rId1117" xr:uid="{4B822AAB-D9B5-44FA-B2EE-C6C65A848B02}"/>
    <hyperlink ref="S561" r:id="rId1118" xr:uid="{E5B00ABE-3584-40A7-8215-C2F5E85DF52A}"/>
    <hyperlink ref="F562" r:id="rId1119" xr:uid="{96A59D56-AB5A-4C83-86F0-C5DA1B89FAAD}"/>
    <hyperlink ref="S562" r:id="rId1120" xr:uid="{52BD4243-4FED-46B0-9E8D-69FBA5943C3C}"/>
    <hyperlink ref="G563" r:id="rId1121" xr:uid="{D16C5150-3247-4DAC-8774-F9060AFBB9AE}"/>
    <hyperlink ref="F564" r:id="rId1122" xr:uid="{C8427A65-92B1-47DD-A6D5-3B617938B70B}"/>
    <hyperlink ref="S564" r:id="rId1123" xr:uid="{037C3725-5801-475D-AF9B-E50E729417A4}"/>
    <hyperlink ref="F565" r:id="rId1124" xr:uid="{5695D2E6-04C7-474B-BA9D-168AF9C7C0C4}"/>
    <hyperlink ref="F566" r:id="rId1125" xr:uid="{416635E4-0141-4E3B-9FBB-D01DC5EE2D83}"/>
    <hyperlink ref="S566" r:id="rId1126" xr:uid="{7D9CE5A4-55D4-4521-B88A-341F9F100DB1}"/>
    <hyperlink ref="G567" r:id="rId1127" xr:uid="{A0CBF80D-403D-4660-9A62-2C37C8F739DD}"/>
    <hyperlink ref="S567" r:id="rId1128" xr:uid="{D55F49C0-2CFF-4D56-BB7C-C8BEE2A08FAD}"/>
    <hyperlink ref="F568" r:id="rId1129" xr:uid="{C3546535-ADF6-4E41-B8CE-2236B1956F7A}"/>
    <hyperlink ref="G568" r:id="rId1130" xr:uid="{2CC0714E-9926-4879-8B71-0DAA81E54A16}"/>
    <hyperlink ref="S568" r:id="rId1131" xr:uid="{DACBE60C-EC9C-442C-A182-95E521B5A2DF}"/>
    <hyperlink ref="F569" r:id="rId1132" xr:uid="{20B8CE84-4D3A-44BC-A15B-4CAB820CB4D5}"/>
    <hyperlink ref="G569" r:id="rId1133" xr:uid="{59AB8BED-6998-4995-AE9E-C9E2D417B477}"/>
    <hyperlink ref="S569" r:id="rId1134" xr:uid="{57E13E51-556B-4F29-BE30-141B55AEA215}"/>
    <hyperlink ref="F570" r:id="rId1135" xr:uid="{C83E09D4-471D-4B67-A134-6DE112CD3DE6}"/>
    <hyperlink ref="G570" r:id="rId1136" xr:uid="{89956A34-EFA1-4F7F-B9D2-F14558080375}"/>
    <hyperlink ref="S570" r:id="rId1137" xr:uid="{5A2A5B8A-7F71-496C-A0B3-6952938D1D0A}"/>
    <hyperlink ref="G571" r:id="rId1138" xr:uid="{928A52F6-8515-4BE6-9308-610FA3FED292}"/>
    <hyperlink ref="F572" r:id="rId1139" xr:uid="{E60A2AFF-75A8-4192-8368-4613F426FEE7}"/>
    <hyperlink ref="S572" r:id="rId1140" xr:uid="{286009CB-1A8F-4DC5-9C17-9C2DB342958A}"/>
    <hyperlink ref="F573" r:id="rId1141" xr:uid="{9B42053B-42FE-444F-B921-5330292BCFC9}"/>
    <hyperlink ref="S573" r:id="rId1142" xr:uid="{B0DDC939-624C-491C-A805-BF96FC207B3D}"/>
    <hyperlink ref="F574" r:id="rId1143" xr:uid="{B317C9EC-D6D2-4876-8E1D-6944FCD69BE4}"/>
    <hyperlink ref="G574" r:id="rId1144" xr:uid="{2978D8C2-63A1-4E79-9A38-DE2896C6E476}"/>
    <hyperlink ref="S574" r:id="rId1145" xr:uid="{EC3A8928-5AAF-4302-B801-713D23379DFF}"/>
    <hyperlink ref="F575" r:id="rId1146" xr:uid="{840ABA45-CE0C-4B11-AFE7-2A2C084D3211}"/>
    <hyperlink ref="G575" r:id="rId1147" xr:uid="{3CBF363B-DCC9-4E64-AB1D-BC2476B574AD}"/>
    <hyperlink ref="G576" r:id="rId1148" xr:uid="{03A0712F-CF99-4C61-8D33-3721D5BEDD62}"/>
    <hyperlink ref="S576" r:id="rId1149" xr:uid="{5B9ACCCB-91C1-4246-919D-90B44819E6C7}"/>
    <hyperlink ref="F577" r:id="rId1150" xr:uid="{30150CE1-82EB-45FC-BDB4-13C6C4FD7D71}"/>
    <hyperlink ref="G577" r:id="rId1151" xr:uid="{E5E33937-2BBA-4523-8B29-FCB08526C8FF}"/>
    <hyperlink ref="S577" r:id="rId1152" xr:uid="{87BC0AD8-D8D2-4772-A794-21A74A75C483}"/>
    <hyperlink ref="F579" r:id="rId1153" xr:uid="{E7D52B7C-A00B-4263-B40B-74D3DC9FDF26}"/>
    <hyperlink ref="G579" r:id="rId1154" xr:uid="{9FEEFAC2-4EA7-48B8-ADF1-E8C40E9B5AC5}"/>
    <hyperlink ref="S579" r:id="rId1155" xr:uid="{79F4EE01-9550-42BB-B2B1-C60CF350EF05}"/>
    <hyperlink ref="F580" r:id="rId1156" xr:uid="{AE679CB3-603B-4FEE-B7FF-06EE16ACD00E}"/>
    <hyperlink ref="S580" r:id="rId1157" xr:uid="{52763A6A-631D-46E0-94C9-83BC8D39D3C4}"/>
    <hyperlink ref="F581" r:id="rId1158" location="pone.0247203.ref001" xr:uid="{7F6699BA-5E16-4653-B8E0-C6D20F50ECA5}"/>
    <hyperlink ref="G581" r:id="rId1159" xr:uid="{86FF0BEE-D7C4-4929-9D7D-F87B1B049C17}"/>
    <hyperlink ref="S581" r:id="rId1160" xr:uid="{4F0FCF36-6DC7-43EF-841C-C4700D93017A}"/>
    <hyperlink ref="F583" r:id="rId1161" xr:uid="{DD7A8EED-6B9E-475C-A6B1-14290DC19A5F}"/>
    <hyperlink ref="S583" r:id="rId1162" xr:uid="{78DB695B-F67C-4BB5-8640-40F193BE9879}"/>
    <hyperlink ref="F584" r:id="rId1163" location=".YDUV7h40LXE.twitter" xr:uid="{AA12865E-DD63-4D9B-926B-6F91277C3E3B}"/>
    <hyperlink ref="S584" r:id="rId1164" xr:uid="{F271EE42-DC22-4BF0-8B04-63F7ED456418}"/>
    <hyperlink ref="F585" r:id="rId1165" xr:uid="{30245289-1FE1-4EFA-9618-DE71B8F41F20}"/>
    <hyperlink ref="F586" r:id="rId1166" xr:uid="{4FF0FC05-6255-4A38-9032-7C4B35FB5F97}"/>
    <hyperlink ref="S586" r:id="rId1167" xr:uid="{91D61917-05D9-4CFE-AA82-7050CC6710A9}"/>
    <hyperlink ref="F587" r:id="rId1168" xr:uid="{A097F2E8-891D-49EB-AFF1-9A1AE7040230}"/>
    <hyperlink ref="S587" r:id="rId1169" xr:uid="{BD7AF8C7-445E-4E20-860C-F5054D40C389}"/>
    <hyperlink ref="G588" r:id="rId1170" xr:uid="{BDBDADD9-9501-42D4-B9A4-8B710C5AC0DC}"/>
    <hyperlink ref="S588" r:id="rId1171" xr:uid="{B53F10B9-C2FC-4D66-BF92-BECBB3AD7E4A}"/>
    <hyperlink ref="F589" r:id="rId1172" xr:uid="{24E70EF0-054A-4884-A2F4-F087824A5757}"/>
    <hyperlink ref="F590" r:id="rId1173" xr:uid="{79D55E8F-ED44-4B67-99B3-7CD20E0A4907}"/>
    <hyperlink ref="G590" r:id="rId1174" xr:uid="{08865618-C7CF-44F8-813E-A23DE66CF7AE}"/>
    <hyperlink ref="S590" r:id="rId1175" xr:uid="{5F86817E-2A7F-4250-85EA-5944788F4F10}"/>
    <hyperlink ref="F591" r:id="rId1176" xr:uid="{92AF14B0-4047-434D-A17D-84BE6F30D1F4}"/>
    <hyperlink ref="G591" r:id="rId1177" xr:uid="{145F63AF-B3F1-4718-9D0B-B86987655857}"/>
    <hyperlink ref="S591" r:id="rId1178" xr:uid="{41976233-CD64-4A6C-A2EF-EE7305DD05CB}"/>
    <hyperlink ref="F592" r:id="rId1179" xr:uid="{387CFA79-830A-4360-B0CE-0C36CC3C6C85}"/>
    <hyperlink ref="S592" r:id="rId1180" xr:uid="{24FD078D-F03C-4CC4-A1E2-1F589A77AA6B}"/>
    <hyperlink ref="F593" r:id="rId1181" xr:uid="{8BBD3E0C-2FC7-45C9-9349-66252F41C9CF}"/>
    <hyperlink ref="S593" r:id="rId1182" xr:uid="{C6BFFBFC-91FF-4DE1-874A-57BAE349E9E6}"/>
    <hyperlink ref="F594" r:id="rId1183" xr:uid="{7A3CDF7B-73DA-4AAB-A080-F4ED609F4C57}"/>
    <hyperlink ref="F595" r:id="rId1184" xr:uid="{52021D55-606A-413E-B9C9-B6F06B7D8C05}"/>
    <hyperlink ref="F596" r:id="rId1185" xr:uid="{E3AF6AA9-4A4D-4C69-ADDD-4D03104900A6}"/>
    <hyperlink ref="F597" r:id="rId1186" xr:uid="{59C0D685-F7D9-4F9E-B9C9-11E7EF8AD0F8}"/>
    <hyperlink ref="G597" r:id="rId1187" xr:uid="{2E41E775-2BC7-4E79-8766-5EE9B374B022}"/>
    <hyperlink ref="S597" r:id="rId1188" xr:uid="{47186121-F797-44C3-9A55-6DB54438DC20}"/>
    <hyperlink ref="F598" r:id="rId1189" xr:uid="{3053E95E-2F92-4452-9BEE-29792A6C61C8}"/>
    <hyperlink ref="G598" r:id="rId1190" xr:uid="{6B3F67C3-AB5B-4478-8911-20D9C18502AC}"/>
    <hyperlink ref="S598" r:id="rId1191" xr:uid="{568AFC69-4BF1-431B-8078-80EE350C42D2}"/>
    <hyperlink ref="F599" r:id="rId1192" xr:uid="{A6C0255A-FC43-4350-B870-EBD8B99F78E2}"/>
    <hyperlink ref="G599" r:id="rId1193" xr:uid="{A5EB71C4-D5C0-4B28-95D0-E79F49942B8C}"/>
    <hyperlink ref="S599" r:id="rId1194" xr:uid="{A0D00032-91EF-4A95-9DE7-DD9E1377B289}"/>
    <hyperlink ref="F600" r:id="rId1195" xr:uid="{81D2F11C-7D30-484A-B777-9163A7791A47}"/>
    <hyperlink ref="F601" r:id="rId1196" xr:uid="{3C2E5D78-BF84-43AD-90F6-BD13ABD4E64B}"/>
    <hyperlink ref="S601" r:id="rId1197" xr:uid="{00CB0FDE-E158-463D-B032-44382BC061E2}"/>
    <hyperlink ref="F602" r:id="rId1198" xr:uid="{6298649F-A8C6-457B-8EDA-12B828E9EA57}"/>
    <hyperlink ref="S602" r:id="rId1199" xr:uid="{7CFD0B8B-BDE3-46E2-A2D5-4021D351CBFC}"/>
    <hyperlink ref="F603" r:id="rId1200" xr:uid="{1DF9E587-5AA7-4546-8C20-3B5A0BBEB4C0}"/>
    <hyperlink ref="F604" r:id="rId1201" xr:uid="{7D5BA847-0D7B-451B-AA2B-E9A4235C8E15}"/>
    <hyperlink ref="G604" r:id="rId1202" xr:uid="{8A70A9A8-FB53-4A28-A1A4-4F92A2287468}"/>
    <hyperlink ref="S604" r:id="rId1203" xr:uid="{C2BDCF1D-83FD-40DB-9E29-5226F32AC472}"/>
    <hyperlink ref="F605" r:id="rId1204" xr:uid="{52C4E37E-AED4-4EDD-AFBC-89842C7C0101}"/>
    <hyperlink ref="G605" r:id="rId1205" xr:uid="{BFB49D7D-1568-442F-A95B-8D47A1221A46}"/>
    <hyperlink ref="S605" r:id="rId1206" xr:uid="{48274DDF-B30C-473E-A2E6-01AC8322CF9C}"/>
    <hyperlink ref="F606" r:id="rId1207" xr:uid="{2E051ABE-0B5A-43ED-A129-2F8E2ACE60D8}"/>
    <hyperlink ref="G606" r:id="rId1208" xr:uid="{AE829BBA-7EB6-4659-9BC1-F1C37839A4A2}"/>
    <hyperlink ref="S606" r:id="rId1209" xr:uid="{EE2E4F5E-E221-4E88-A3C5-4502DE399232}"/>
    <hyperlink ref="G607" r:id="rId1210" xr:uid="{C04415F4-A595-4065-A513-8CA8191FC7B4}"/>
    <hyperlink ref="S607" r:id="rId1211" xr:uid="{98F3E08E-9366-4B60-A85D-EC52D147F0A4}"/>
    <hyperlink ref="F608" r:id="rId1212" xr:uid="{71BB8631-C33E-453D-A29D-9352EBA01001}"/>
    <hyperlink ref="S608" r:id="rId1213" xr:uid="{797A5276-5413-410C-9B92-50C9B05886FE}"/>
    <hyperlink ref="F609" r:id="rId1214" xr:uid="{B226AE19-DBD5-448E-BB31-7846A45C409F}"/>
    <hyperlink ref="S609" r:id="rId1215" xr:uid="{79FA5D82-3893-45E4-823D-A79FB45BD973}"/>
    <hyperlink ref="G610" r:id="rId1216" xr:uid="{4B8BF8E6-F823-4DE1-8D7C-A08E70D4077C}"/>
    <hyperlink ref="S610" r:id="rId1217" xr:uid="{CAAEDA29-EC00-4AA8-899C-C170527E2370}"/>
    <hyperlink ref="F611" r:id="rId1218" xr:uid="{9BD5C0A1-FA90-4B9D-AE14-DC3227AE29A8}"/>
    <hyperlink ref="S611" r:id="rId1219" xr:uid="{58F6BE63-C8A1-4D53-AE98-A0F1A3FCFC9E}"/>
    <hyperlink ref="F612" r:id="rId1220" xr:uid="{5A2EEDC7-E23D-4F7A-A4A4-13DCEC3D9771}"/>
    <hyperlink ref="F613" r:id="rId1221" xr:uid="{7747A4AC-601B-4A71-90BC-9BB88EB908C2}"/>
    <hyperlink ref="S613" r:id="rId1222" xr:uid="{9E915D18-FB22-4B4B-A0D7-0BC91DAD753D}"/>
    <hyperlink ref="G614" r:id="rId1223" xr:uid="{EAD3AA2B-54DD-4A93-B3A7-57F630496C72}"/>
    <hyperlink ref="F615" r:id="rId1224" xr:uid="{E21CFDD3-37E2-41B8-9B6C-6C16D8ACE01B}"/>
    <hyperlink ref="G615" r:id="rId1225" xr:uid="{B637BBA9-69C1-499B-BC52-0782D92F1325}"/>
    <hyperlink ref="F616" r:id="rId1226" xr:uid="{07CDCADE-298C-4875-87FC-3C2B9305EC26}"/>
    <hyperlink ref="F617" r:id="rId1227" xr:uid="{08154F78-A085-4959-BCD7-8AE0AB297C2E}"/>
    <hyperlink ref="G617" r:id="rId1228" xr:uid="{605A9630-EF2C-4AE4-9230-6FAE258BE6D3}"/>
    <hyperlink ref="S617" r:id="rId1229" xr:uid="{B3356927-4361-4B4C-B7D3-8B8CDABAABEE}"/>
    <hyperlink ref="F618" r:id="rId1230" xr:uid="{81C1C168-E519-4045-ADE6-BB0D40D709EA}"/>
    <hyperlink ref="G618" r:id="rId1231" xr:uid="{FC9921B4-2CA0-4F8F-8552-FF305F050F2E}"/>
    <hyperlink ref="F619" r:id="rId1232" xr:uid="{E0D78DC0-44BB-4256-B473-88B6548C4B76}"/>
    <hyperlink ref="S619" r:id="rId1233" xr:uid="{213A978F-2801-4515-9897-9288DC908977}"/>
    <hyperlink ref="F620" r:id="rId1234" xr:uid="{17253B5A-BCF0-46DA-A195-96CDD2341131}"/>
    <hyperlink ref="F621" r:id="rId1235" xr:uid="{98BC73C0-C482-4553-BC76-ABFAE762E13A}"/>
    <hyperlink ref="G621" r:id="rId1236" xr:uid="{2C1604DA-6CFA-4640-9CCF-6ED4DE7E5BEE}"/>
    <hyperlink ref="S621" r:id="rId1237" xr:uid="{A86C3FFF-2902-4598-9666-FDD2F15FF10D}"/>
    <hyperlink ref="S622" r:id="rId1238" xr:uid="{9F16C1F4-D55E-4854-A32A-C1DDE458245C}"/>
    <hyperlink ref="G623" r:id="rId1239" xr:uid="{B4454761-ACDD-4BFC-975B-55869721C41E}"/>
    <hyperlink ref="S623" r:id="rId1240" xr:uid="{3F149DE6-3940-4DB3-93AC-EF60C9FA938F}"/>
    <hyperlink ref="F624" r:id="rId1241" xr:uid="{52081BCC-F220-4D9E-BF58-50DAF2FE3D5B}"/>
    <hyperlink ref="F625" r:id="rId1242" xr:uid="{032C302F-6FBE-4386-954D-E1E90F2CC821}"/>
    <hyperlink ref="F626" r:id="rId1243" xr:uid="{16C00ACB-4902-4304-B6B3-E51765823784}"/>
    <hyperlink ref="S626" r:id="rId1244" xr:uid="{2226C9F7-1EAD-4268-A54D-06204E4E349E}"/>
    <hyperlink ref="F627" r:id="rId1245" xr:uid="{870DAE8B-6A8C-443B-961C-18B802CA36EF}"/>
    <hyperlink ref="S627" r:id="rId1246" xr:uid="{EDEA8A23-8E9E-4462-9997-E26E43EFAB9E}"/>
    <hyperlink ref="F628" r:id="rId1247" xr:uid="{3D6579C4-1665-4E33-B4D8-318A60A8CB4A}"/>
    <hyperlink ref="S628" r:id="rId1248" xr:uid="{3ECD4721-3B0A-40F3-9C8E-312FBD35826A}"/>
    <hyperlink ref="F629" r:id="rId1249" xr:uid="{137EEB65-3800-4427-870D-111EA498B85B}"/>
    <hyperlink ref="S629" r:id="rId1250" xr:uid="{03786D9F-7711-48B1-AE31-E19521FABCB1}"/>
    <hyperlink ref="G630" r:id="rId1251" xr:uid="{E7606AED-5EEE-48FF-90D3-8320CC392DFA}"/>
    <hyperlink ref="S630" r:id="rId1252" xr:uid="{D447930C-B55A-4A8E-B587-2C7AD21A0732}"/>
    <hyperlink ref="G631" r:id="rId1253" xr:uid="{B537E528-2AFF-4B41-9CFD-F9B13756602F}"/>
    <hyperlink ref="S631" r:id="rId1254" xr:uid="{70D077DC-3929-4943-A685-69B4F911CC60}"/>
    <hyperlink ref="F632" r:id="rId1255" xr:uid="{A8C47199-CEA0-4E82-B510-AB1B486C9E98}"/>
    <hyperlink ref="G632" r:id="rId1256" xr:uid="{0D21C954-0FA9-47A9-A3D6-54B7602FBF17}"/>
    <hyperlink ref="S632" r:id="rId1257" xr:uid="{78DAE10B-1D3C-46BF-A1F7-CD4CA35554C0}"/>
    <hyperlink ref="F633" r:id="rId1258" xr:uid="{26B8B35E-A139-4EBA-85B8-E717B04428EA}"/>
    <hyperlink ref="G633" r:id="rId1259" xr:uid="{BAF8DA3C-DF3C-4674-B8D4-C4DCA03954B5}"/>
    <hyperlink ref="S633" r:id="rId1260" xr:uid="{771DA594-7C09-4F3B-978E-61460C85125F}"/>
    <hyperlink ref="F634" r:id="rId1261" xr:uid="{2FE37763-EE59-499F-AB12-AD7B21B281BD}"/>
    <hyperlink ref="S635" r:id="rId1262" xr:uid="{B13D147A-3B20-4F19-AA02-91131A6E299F}"/>
    <hyperlink ref="G636" r:id="rId1263" xr:uid="{8B6854B4-EF66-4E3C-A32E-E8AE4AB7E5FE}"/>
    <hyperlink ref="S636" r:id="rId1264" xr:uid="{73EB4795-D75A-48B8-8DBB-BEE123F46787}"/>
    <hyperlink ref="F638" r:id="rId1265" xr:uid="{A2A51D8C-2B2F-409D-971A-C86A6DAE0806}"/>
    <hyperlink ref="S638" r:id="rId1266" xr:uid="{924D2444-E5CE-4A3C-9EF1-CF9A51FFDDF9}"/>
    <hyperlink ref="F639" r:id="rId1267" xr:uid="{54AB1027-6798-4691-BA36-77F00E0E8563}"/>
    <hyperlink ref="F640" r:id="rId1268" xr:uid="{26019FC9-6198-4C5C-B0FF-0C14D88994A5}"/>
    <hyperlink ref="S640" r:id="rId1269" xr:uid="{3F21A581-3643-482D-AAE4-3B629F91019D}"/>
    <hyperlink ref="G641" r:id="rId1270" xr:uid="{4A2F0C41-9E8F-4ABD-B217-CB9A40274ECA}"/>
    <hyperlink ref="S641" r:id="rId1271" xr:uid="{BE15B6FB-508E-4D21-9A32-004B9BBD75A8}"/>
    <hyperlink ref="F642" r:id="rId1272" xr:uid="{F7B0CBCA-DD83-47DC-9E0E-B72A7626D48B}"/>
    <hyperlink ref="G642" r:id="rId1273" xr:uid="{1B1DFEC7-935E-4A2E-BA4B-80CC85263AFC}"/>
    <hyperlink ref="S642" r:id="rId1274" xr:uid="{75AD7BFC-793E-4835-97DF-2FBDBEF2E454}"/>
    <hyperlink ref="F643" r:id="rId1275" xr:uid="{95866B2C-B8FF-4CBD-B0F9-543E8A19DA5D}"/>
    <hyperlink ref="G644" r:id="rId1276" xr:uid="{38E97A4E-0BA2-415E-801F-6356717B792C}"/>
    <hyperlink ref="S644" r:id="rId1277" xr:uid="{2069441D-69BC-47D6-8F49-807950A103BC}"/>
    <hyperlink ref="F645" r:id="rId1278" xr:uid="{CF6722C9-A67B-41BC-9527-19F4FD37DD3E}"/>
    <hyperlink ref="F646" r:id="rId1279" xr:uid="{FC08F23D-103C-492B-AE41-65F7B58F32C9}"/>
    <hyperlink ref="S646" r:id="rId1280" xr:uid="{27F33967-D52E-423C-A272-E2D887BF0F51}"/>
    <hyperlink ref="G647" r:id="rId1281" xr:uid="{8EAE19B5-5561-4364-B14F-E88FEC032C5F}"/>
    <hyperlink ref="S647" r:id="rId1282" xr:uid="{93FF1CEC-86A0-4FC5-80B4-D4EA9B2F3FD6}"/>
    <hyperlink ref="F648" r:id="rId1283" xr:uid="{9A912776-8653-49E9-8C0E-64543E84C50F}"/>
    <hyperlink ref="S648" r:id="rId1284" xr:uid="{5B2524E8-B209-4596-AF48-0F88C2B9DCA6}"/>
    <hyperlink ref="F649" r:id="rId1285" xr:uid="{6E459F27-2F36-455C-8BB0-D3D5EEE63C38}"/>
    <hyperlink ref="S649" r:id="rId1286" xr:uid="{9FD565AA-B0FE-4461-AEBA-DDDA4BD4CACE}"/>
    <hyperlink ref="F650" r:id="rId1287" xr:uid="{53EB04AB-7DA9-45A9-9C8E-B24246BCF951}"/>
    <hyperlink ref="S650" r:id="rId1288" xr:uid="{BE2DF2CB-7571-4F84-89B0-F11F12C40E71}"/>
    <hyperlink ref="F651" r:id="rId1289" xr:uid="{44422967-F7DE-45C9-897E-1CD436971401}"/>
    <hyperlink ref="S651" r:id="rId1290" xr:uid="{3812F9BF-5723-419D-9D39-F37008CCB753}"/>
    <hyperlink ref="F652" r:id="rId1291" xr:uid="{941B6A11-4108-4B62-8941-D853B129531C}"/>
    <hyperlink ref="S652" r:id="rId1292" xr:uid="{CDC21B18-D572-41EB-AD9F-767EF790AAE1}"/>
    <hyperlink ref="F653" r:id="rId1293" xr:uid="{6FA7D3BB-8F61-41AC-8D75-94A21BABE5A1}"/>
    <hyperlink ref="S653" r:id="rId1294" xr:uid="{B86FF5FE-A447-4558-9284-778909F00981}"/>
    <hyperlink ref="F654" r:id="rId1295" xr:uid="{E9866E25-70EB-415C-B199-ADA67176AF9C}"/>
    <hyperlink ref="G655" r:id="rId1296" xr:uid="{A73FCE54-25ED-4031-B3E9-3F332655FAEB}"/>
    <hyperlink ref="F657" r:id="rId1297" xr:uid="{BF1322B4-067E-4D79-AEC6-A60FE4E49056}"/>
    <hyperlink ref="F658" r:id="rId1298" xr:uid="{DB7E9880-F1C4-471A-A2AC-D1BFF29EB163}"/>
    <hyperlink ref="G658" r:id="rId1299" xr:uid="{5E49ED23-DDF4-48ED-B789-40F7738A183F}"/>
    <hyperlink ref="S658" r:id="rId1300" xr:uid="{88438CCF-6FEE-4CB9-B216-24A48C20448B}"/>
    <hyperlink ref="F659" r:id="rId1301" xr:uid="{37F0955C-FC11-4F1E-94CB-143B6D167BBE}"/>
    <hyperlink ref="G659" r:id="rId1302" xr:uid="{B85615DF-73F1-482E-9462-54E8B1623BDB}"/>
    <hyperlink ref="S659" r:id="rId1303" xr:uid="{4179FF4A-B894-4353-BCC9-3852637793F7}"/>
    <hyperlink ref="F660" r:id="rId1304" xr:uid="{60D19D48-5D4A-4B86-BDC0-E626B72F1A17}"/>
    <hyperlink ref="S660" r:id="rId1305" xr:uid="{5C180121-7BB2-4CE2-AB0A-F3C3F77CFCAD}"/>
    <hyperlink ref="F661" r:id="rId1306" xr:uid="{FF6FE7F9-9CE0-42F0-83DB-80C5AEEEA359}"/>
    <hyperlink ref="Q661" r:id="rId1307" xr:uid="{B86EBCBC-F29A-4EEA-89A5-545C066C5D9F}"/>
    <hyperlink ref="S661" r:id="rId1308" xr:uid="{281E5D26-6DB2-4334-9B6A-82D9009D53B2}"/>
    <hyperlink ref="S662" r:id="rId1309" xr:uid="{6E4616A6-B00A-40D2-A875-58FBF89CE999}"/>
    <hyperlink ref="G664" r:id="rId1310" xr:uid="{422F2E1B-4E4A-45B9-B08D-F1155CDE6B64}"/>
    <hyperlink ref="F665" r:id="rId1311" xr:uid="{F336AD0E-5212-46D2-AD88-BC48C21B1BA9}"/>
    <hyperlink ref="S665" r:id="rId1312" xr:uid="{F81AB9E1-372B-49DE-AE4D-76CDC771DBD3}"/>
    <hyperlink ref="F666" r:id="rId1313" xr:uid="{8EADA4CA-6F53-4238-BA94-4C95FB46D565}"/>
    <hyperlink ref="F667" r:id="rId1314" xr:uid="{15710218-18BA-4AA1-9A45-83B63129429B}"/>
    <hyperlink ref="F668" r:id="rId1315" xr:uid="{F8B0E0D4-EC8B-45AB-A59D-3F453C81A9E9}"/>
    <hyperlink ref="S669" r:id="rId1316" xr:uid="{E0AA3519-499A-4E17-B293-A68AF437A8F3}"/>
    <hyperlink ref="F670" r:id="rId1317" xr:uid="{2F03432B-60B7-4FD2-BCBB-0F17009C5CCD}"/>
    <hyperlink ref="S670" r:id="rId1318" xr:uid="{9C85A994-731E-45E4-B3B4-8E08310DA0DE}"/>
    <hyperlink ref="F671" r:id="rId1319" xr:uid="{D2F221E4-805C-4D4F-9950-6A2EF81B525D}"/>
    <hyperlink ref="S672" r:id="rId1320" xr:uid="{1E62A684-06E6-4A24-B966-B168CD7B3786}"/>
    <hyperlink ref="F673" r:id="rId1321" xr:uid="{C4FB02AC-96A5-474B-9023-100EA19B6BCF}"/>
    <hyperlink ref="F674" r:id="rId1322" xr:uid="{BFEEB6EA-141E-48EB-AD7C-4ACF4648B9E5}"/>
    <hyperlink ref="G674" r:id="rId1323" xr:uid="{403DFA7B-43E8-4A1C-A243-508BF530ED94}"/>
    <hyperlink ref="S674" r:id="rId1324" xr:uid="{FFE4ED33-128B-477A-9373-D83A6B239BBC}"/>
    <hyperlink ref="F675" r:id="rId1325" xr:uid="{56C614B6-5621-4BEB-9BB6-DF7D81E7C528}"/>
    <hyperlink ref="S675" r:id="rId1326" xr:uid="{1D1A39F8-463B-49CC-BE24-AB4A877B75A2}"/>
    <hyperlink ref="F676" r:id="rId1327" xr:uid="{0CFEEC26-7D9D-4D08-8C03-9CCC40AA7EF9}"/>
    <hyperlink ref="G676" r:id="rId1328" xr:uid="{6E1D0412-FAEE-40DE-AB05-2F82017855DD}"/>
    <hyperlink ref="S676" r:id="rId1329" xr:uid="{BCB0C3CF-4210-4D8E-A59F-B233A7953D79}"/>
    <hyperlink ref="F677" r:id="rId1330" xr:uid="{B0C42C8B-D411-453C-880B-DF92BEC399EC}"/>
    <hyperlink ref="S677" r:id="rId1331" xr:uid="{FCC1C631-2D23-4D9A-B676-2B4C54B917F7}"/>
    <hyperlink ref="G678" r:id="rId1332" xr:uid="{2BBF0F91-2B75-43B5-8844-54F2B98C6CF8}"/>
    <hyperlink ref="F679" r:id="rId1333" xr:uid="{C9222D6C-C7AD-4A7E-AC16-0EE2F300E2BD}"/>
    <hyperlink ref="S679" r:id="rId1334" xr:uid="{4CC4147A-CE08-4D3F-BC04-120280D1AF94}"/>
    <hyperlink ref="F680" r:id="rId1335" xr:uid="{FA811944-5F68-4EEB-A294-99F34746027F}"/>
    <hyperlink ref="G680" r:id="rId1336" xr:uid="{8F2A8A6C-B00B-4CE5-8E05-BEAEE9D36AA8}"/>
    <hyperlink ref="S680" r:id="rId1337" xr:uid="{81FBA9CF-A461-4D54-BEC9-36987178A85F}"/>
    <hyperlink ref="F681" r:id="rId1338" xr:uid="{3D9AECDF-2AF5-4D4D-9A1F-6FA17A1E8859}"/>
    <hyperlink ref="S681" r:id="rId1339" xr:uid="{BE653896-30FB-4E22-B402-A6A5B4589EDA}"/>
    <hyperlink ref="F682" r:id="rId1340" xr:uid="{51D9D1DD-132B-41A7-A404-6BB88343A223}"/>
    <hyperlink ref="F683" r:id="rId1341" xr:uid="{6E84669A-CC8A-47DD-847E-8957F8CDA0EE}"/>
    <hyperlink ref="G683" r:id="rId1342" xr:uid="{95A7E548-53CE-4CD0-8F07-2ACBE1D0E52A}"/>
    <hyperlink ref="S683" r:id="rId1343" xr:uid="{65395ED5-8F7F-4D2A-8591-293D8CE797D1}"/>
    <hyperlink ref="F684" r:id="rId1344" xr:uid="{CA8EF726-6A17-4C5C-A5D4-221174A1AA4F}"/>
    <hyperlink ref="G684" r:id="rId1345" xr:uid="{7A86935C-058A-44B5-A0EA-B2CA10B209A3}"/>
    <hyperlink ref="S684" r:id="rId1346" xr:uid="{CCF7F49E-D836-443B-9C0D-7FC4AA454E96}"/>
    <hyperlink ref="F685" r:id="rId1347" xr:uid="{093D9675-D22D-4827-82DC-8232DCA2C115}"/>
    <hyperlink ref="S685" r:id="rId1348" xr:uid="{BC20959A-BFDA-44B0-A2F3-88D17A3D1178}"/>
    <hyperlink ref="G686" r:id="rId1349" xr:uid="{70BFAD2A-4507-4569-8B03-A11D5F1D4263}"/>
    <hyperlink ref="S686" r:id="rId1350" xr:uid="{25AFEC25-1911-4B75-8AAE-F7EDEB36EC20}"/>
    <hyperlink ref="F687" r:id="rId1351" xr:uid="{F2252EBF-E194-43D8-A9C6-FEFD385A6629}"/>
    <hyperlink ref="S687" r:id="rId1352" xr:uid="{C9637E1C-0BFE-431A-994D-6C308CB7BA01}"/>
    <hyperlink ref="F688" r:id="rId1353" xr:uid="{BCF5CEFD-DE83-4EA9-B528-A28EFB78AE15}"/>
    <hyperlink ref="F689" r:id="rId1354" xr:uid="{0B9C9A19-9491-41A7-9F46-FC5F9F31FBC6}"/>
    <hyperlink ref="G690" r:id="rId1355" xr:uid="{37050BB0-1139-4BAC-90FE-91E3479DE657}"/>
    <hyperlink ref="S690" r:id="rId1356" xr:uid="{6E50C7FD-D0EA-45FC-9686-257BC27A0D7C}"/>
    <hyperlink ref="F691" r:id="rId1357" xr:uid="{97060069-CE80-4052-A6BE-BD49F12DC2EF}"/>
    <hyperlink ref="S691" r:id="rId1358" xr:uid="{A96C4B71-BBF3-4709-BDF1-590EED04D41F}"/>
    <hyperlink ref="F692" r:id="rId1359" xr:uid="{DECB3A6D-5F80-4799-9238-CE3A5DAF02A0}"/>
    <hyperlink ref="G692" r:id="rId1360" xr:uid="{190A1EAD-0B02-49AB-B053-77F427F9FC67}"/>
    <hyperlink ref="S692" r:id="rId1361" xr:uid="{F6F0AE27-0623-4A0B-82B1-E1A5326CB91A}"/>
    <hyperlink ref="F693" r:id="rId1362" xr:uid="{9E221525-AB93-4575-8E45-FA352802802E}"/>
    <hyperlink ref="S693" r:id="rId1363" xr:uid="{351ABCC5-A7AE-49A3-B9C4-5161768113E0}"/>
    <hyperlink ref="F694" r:id="rId1364" xr:uid="{ACD89AC9-8E39-492B-8851-4FC638DC5ED3}"/>
    <hyperlink ref="G694" r:id="rId1365" xr:uid="{82E19D6D-9E11-49BE-9CDA-A22DE97F367B}"/>
    <hyperlink ref="S694" r:id="rId1366" xr:uid="{0002D7A6-2166-4361-BF2F-EB8C0BBF8DE6}"/>
    <hyperlink ref="F695" r:id="rId1367" xr:uid="{BEB71C77-5E61-41DF-9BEC-2CA354B4F5A8}"/>
    <hyperlink ref="S695" r:id="rId1368" xr:uid="{8B074C7D-D981-41A0-8CB3-17208201B8C2}"/>
    <hyperlink ref="F696" r:id="rId1369" xr:uid="{3D95EF32-203F-4FF5-9E12-0EAF4854D22E}"/>
    <hyperlink ref="S696" r:id="rId1370" xr:uid="{9E0FD9B0-33CB-4307-B29F-1FE75DC69461}"/>
    <hyperlink ref="G697" r:id="rId1371" xr:uid="{1823BDE5-E0AD-4F4B-AD01-AEB78CC5512A}"/>
    <hyperlink ref="G698" r:id="rId1372" xr:uid="{1AE29834-54F5-4C02-85B7-7BB385B775B1}"/>
    <hyperlink ref="F699" r:id="rId1373" xr:uid="{778FB074-00DB-418C-B63D-1CEC96F8E7F3}"/>
    <hyperlink ref="G699" r:id="rId1374" xr:uid="{3299716A-22C0-41A2-B8E2-8ED06F2AD381}"/>
    <hyperlink ref="S699" r:id="rId1375" xr:uid="{36130397-B593-4089-A399-A1F654E14D62}"/>
    <hyperlink ref="C700" r:id="rId1376" xr:uid="{75601DAE-25DC-4B74-9EFD-9BBE239AC903}"/>
    <hyperlink ref="G700" r:id="rId1377" xr:uid="{81772D04-AD8D-46A4-AB74-BF67F6321D83}"/>
    <hyperlink ref="S700" r:id="rId1378" xr:uid="{6EC61E3D-3D89-4148-8FB7-9D89AF8A57C3}"/>
    <hyperlink ref="F701" r:id="rId1379" xr:uid="{B66255BB-A319-4D2C-8862-137709525738}"/>
    <hyperlink ref="S701" r:id="rId1380" xr:uid="{95277A88-27F2-4D32-9872-8457D8386C8B}"/>
    <hyperlink ref="S702" r:id="rId1381" xr:uid="{DEE76115-B155-4579-93EB-665ADF8B676A}"/>
    <hyperlink ref="F704" r:id="rId1382" xr:uid="{44285824-588C-468E-98E2-7BA1189BED21}"/>
    <hyperlink ref="G704" r:id="rId1383" xr:uid="{1BC486A7-2C73-4514-BDB7-75CFB058625B}"/>
    <hyperlink ref="S704" r:id="rId1384" xr:uid="{0BAB3751-CA88-4C0E-BB7C-F15D5414E749}"/>
    <hyperlink ref="F705" r:id="rId1385" xr:uid="{09B0D9BB-6656-45B3-BB9A-EE8969508F59}"/>
    <hyperlink ref="G705" r:id="rId1386" xr:uid="{75F2C72F-1F72-4241-AFF0-2FEA8BF02A4A}"/>
    <hyperlink ref="S705" r:id="rId1387" xr:uid="{7CBF3D48-E751-4216-8915-4601BFFF1CEC}"/>
    <hyperlink ref="G707" r:id="rId1388" xr:uid="{1A01430E-302D-4F84-B98D-3493CC4E9D1D}"/>
    <hyperlink ref="S707" r:id="rId1389" xr:uid="{191C77DF-9D1B-4B25-A45D-FF495349FCAF}"/>
    <hyperlink ref="C708" r:id="rId1390" xr:uid="{478CE7EF-11FE-4DAF-9F25-87415AB1F5AB}"/>
    <hyperlink ref="G708" r:id="rId1391" xr:uid="{E2E3ADD8-6ACE-45A0-BE58-650271FFDF36}"/>
    <hyperlink ref="S708" r:id="rId1392" xr:uid="{22F43C76-F847-4468-8C50-3E6B59510791}"/>
    <hyperlink ref="F709" r:id="rId1393" xr:uid="{6E0FD0A5-D505-4547-972D-C8A60C0C8D31}"/>
    <hyperlink ref="G709" r:id="rId1394" xr:uid="{950C989C-81A9-4B31-A7EB-2BA7B72823E4}"/>
    <hyperlink ref="S709" r:id="rId1395" xr:uid="{11486610-E522-4638-B834-5644557B0915}"/>
    <hyperlink ref="F710" r:id="rId1396" xr:uid="{B999F2B9-5E4E-48B2-A608-E2B497179384}"/>
    <hyperlink ref="S710" r:id="rId1397" xr:uid="{F011792A-09F4-46EB-955A-EE02A2CF750C}"/>
    <hyperlink ref="F711" r:id="rId1398" xr:uid="{684E0451-CA1F-42C0-B618-4B7BF8FDA45C}"/>
    <hyperlink ref="G711" r:id="rId1399" xr:uid="{8F7D7163-1A1E-4B51-84C3-85AA7C19162C}"/>
    <hyperlink ref="S711" r:id="rId1400" xr:uid="{BD1CA232-420E-48CD-864C-AAEF186BA78C}"/>
    <hyperlink ref="F712" r:id="rId1401" xr:uid="{91A35763-6938-44F5-94D5-A3D5974CA24A}"/>
    <hyperlink ref="S712" r:id="rId1402" xr:uid="{87159002-1121-49FD-B38A-A65F92B271D6}"/>
    <hyperlink ref="F713" r:id="rId1403" xr:uid="{E7E6E8DD-A926-4C36-9384-F2D1E5076826}"/>
    <hyperlink ref="S713" r:id="rId1404" xr:uid="{157389F4-F159-44EB-B749-52848B4107F2}"/>
    <hyperlink ref="F714" r:id="rId1405" xr:uid="{122B7FAA-331A-48C5-B673-95A60424B910}"/>
    <hyperlink ref="G714" r:id="rId1406" xr:uid="{8E2336BE-33CF-46C5-A9E0-F9228EA07F5A}"/>
    <hyperlink ref="S714" r:id="rId1407" xr:uid="{D94D5C79-48AF-417D-B6C5-F76C1B9D033D}"/>
    <hyperlink ref="F715" r:id="rId1408" xr:uid="{7D15BF95-9319-489C-A3D7-54111A104E9C}"/>
    <hyperlink ref="G715" r:id="rId1409" xr:uid="{80C3D493-0700-46FE-9766-58848525AF6A}"/>
    <hyperlink ref="S715" r:id="rId1410" xr:uid="{512D7D6F-48DB-4F7C-8A7B-47F6B730B48B}"/>
    <hyperlink ref="G716" r:id="rId1411" xr:uid="{333EE50E-EE19-4FDC-BF72-D141B26F9DA1}"/>
    <hyperlink ref="S716" r:id="rId1412" xr:uid="{09D19693-4D0D-417E-9B24-726778123491}"/>
    <hyperlink ref="F717" r:id="rId1413" xr:uid="{A7AE0515-965F-480E-9144-E0DA15C7AA75}"/>
    <hyperlink ref="G717" r:id="rId1414" xr:uid="{36EE4C61-9736-42F3-8198-6C83F82BFA38}"/>
    <hyperlink ref="S717" r:id="rId1415" xr:uid="{5778D7AC-A14E-41A3-96AC-67A4640379BE}"/>
    <hyperlink ref="G718" r:id="rId1416" xr:uid="{E66A63C7-E6B9-4F68-977F-C797092F8DA9}"/>
    <hyperlink ref="S718" r:id="rId1417" xr:uid="{B8CD0387-6E79-45F0-88DC-89A7281B4D8A}"/>
    <hyperlink ref="G719" r:id="rId1418" xr:uid="{30BF28DD-EDF0-46D0-BF91-9EDE2E2AEC29}"/>
    <hyperlink ref="S719" r:id="rId1419" xr:uid="{C0464CF5-986C-4551-BC2F-28BE11A8DCA2}"/>
    <hyperlink ref="F720" r:id="rId1420" xr:uid="{C576A716-149F-4566-BBAA-1A890C2BBD1C}"/>
    <hyperlink ref="S720" r:id="rId1421" xr:uid="{93B01553-53AA-4AF9-ADD8-EA94538DC78F}"/>
    <hyperlink ref="F721" r:id="rId1422" xr:uid="{3E43C873-4F4D-4A0B-BD88-CCDF354023F8}"/>
    <hyperlink ref="G721" r:id="rId1423" xr:uid="{1F94F036-3CE9-4D4E-AAC6-B9673BA1DA07}"/>
    <hyperlink ref="S721" r:id="rId1424" xr:uid="{4EAD8530-BDAC-4329-81E9-9ECF0AD6630D}"/>
    <hyperlink ref="F722" r:id="rId1425" xr:uid="{E3B6E391-BCAC-4FE8-8354-E81F38DC693F}"/>
    <hyperlink ref="S722" r:id="rId1426" xr:uid="{4F139BFA-F13C-4726-8FA4-5E554A0197F8}"/>
    <hyperlink ref="F723" r:id="rId1427" xr:uid="{B578C012-90F7-4644-B6FB-4B03FFDB7521}"/>
    <hyperlink ref="F724" r:id="rId1428" xr:uid="{BABD26ED-DCB2-44B5-8582-9FCB0D44E3D0}"/>
    <hyperlink ref="G725" r:id="rId1429" xr:uid="{B204F55B-2D52-4DDE-A700-A10FFB841808}"/>
    <hyperlink ref="S725" r:id="rId1430" xr:uid="{88703994-907C-4D91-B53C-E2F65FFE58C2}"/>
    <hyperlink ref="F726" r:id="rId1431" xr:uid="{243AACB6-53BB-4FD2-9133-234B050A8519}"/>
    <hyperlink ref="S726" r:id="rId1432" xr:uid="{2C890087-CFC0-47C0-AB79-CD650937646E}"/>
    <hyperlink ref="F727" r:id="rId1433" xr:uid="{7047A891-A6CA-4783-8D45-ECDCEFB18BFA}"/>
    <hyperlink ref="S727" r:id="rId1434" xr:uid="{B3CED8FA-5800-4FD9-B54F-6EF6CF1C1C09}"/>
    <hyperlink ref="G728" r:id="rId1435" xr:uid="{2C845082-5CBE-4112-BBFC-7F2CEE1597DA}"/>
    <hyperlink ref="F729" r:id="rId1436" xr:uid="{61189ECE-3F1C-4EA2-90D4-1F1079D1C583}"/>
    <hyperlink ref="G729" r:id="rId1437" xr:uid="{F8544CBD-3CC8-4A4A-A7C2-EDAEE1E8420D}"/>
    <hyperlink ref="S729" r:id="rId1438" xr:uid="{A3F7B44B-5690-4F75-B195-569CE28F628F}"/>
    <hyperlink ref="S730" r:id="rId1439" xr:uid="{791D6435-BCA4-4CC7-B55F-4109548A4F17}"/>
    <hyperlink ref="F731" r:id="rId1440" xr:uid="{270757C0-649A-440A-9CA5-195D67B9AAEA}"/>
    <hyperlink ref="S731" r:id="rId1441" xr:uid="{9863DCF2-37D1-467A-8040-FF45E1A2FF89}"/>
    <hyperlink ref="F732" r:id="rId1442" xr:uid="{451903D6-FF78-4B77-B0A5-0DCE389A6C97}"/>
    <hyperlink ref="G732" r:id="rId1443" xr:uid="{DE50F731-7C91-4EED-BCA2-CE2A2797C9F0}"/>
    <hyperlink ref="S732" r:id="rId1444" xr:uid="{60117B42-430D-4395-9B5E-FEFAB6F7D51B}"/>
    <hyperlink ref="F733" r:id="rId1445" xr:uid="{B14128D5-CB4F-40BB-B349-90DDF87CE8AE}"/>
    <hyperlink ref="S733" r:id="rId1446" xr:uid="{2C523101-E2F2-44DA-B5D4-C3F8EBF47B97}"/>
    <hyperlink ref="F734" r:id="rId1447" xr:uid="{F21EA1A0-D4E4-49B7-989B-4CEDBB864A5B}"/>
    <hyperlink ref="S734" r:id="rId1448" xr:uid="{7AA4F0CF-3EFD-4DBA-9582-FC4942879A43}"/>
    <hyperlink ref="F735" r:id="rId1449" xr:uid="{5908D565-6FD9-4A79-B41B-5F3438EC4045}"/>
    <hyperlink ref="G735" r:id="rId1450" xr:uid="{323049E5-53B4-405E-87BA-9DC94EE5A157}"/>
    <hyperlink ref="S735" r:id="rId1451" xr:uid="{23A45B22-804E-4A7A-8A0A-954B434A576C}"/>
    <hyperlink ref="F736" r:id="rId1452" xr:uid="{04FD222C-F179-4DB4-B604-7729F6C287D9}"/>
    <hyperlink ref="S736" r:id="rId1453" xr:uid="{A3278885-9664-43CF-A084-6F5081A5D9A3}"/>
    <hyperlink ref="F737" r:id="rId1454" xr:uid="{7A17306A-5531-4411-9345-C46512380695}"/>
    <hyperlink ref="S737" r:id="rId1455" xr:uid="{0FBC67C9-8216-43A7-BC7E-2B4612CA6246}"/>
    <hyperlink ref="S738" r:id="rId1456" xr:uid="{2040D964-787A-4A3A-BC16-18DF2D74CA34}"/>
    <hyperlink ref="S739" r:id="rId1457" xr:uid="{2F4AD552-F0D6-47DB-B5A3-383053536344}"/>
    <hyperlink ref="F740" r:id="rId1458" xr:uid="{8B5DBDD2-7CA4-48C5-AAF5-9E194AEC093B}"/>
    <hyperlink ref="S740" r:id="rId1459" xr:uid="{3636738C-5A56-4A8B-9DB0-C6D20DF89B91}"/>
    <hyperlink ref="F741" r:id="rId1460" xr:uid="{C7468463-3507-43BE-8BE0-9E1C54782381}"/>
    <hyperlink ref="S741" r:id="rId1461" xr:uid="{6DADAD9C-DA9A-4084-97A2-60957B86DAAD}"/>
    <hyperlink ref="F742" r:id="rId1462" xr:uid="{3BDDA2CA-3FD5-49E7-8348-249A33EE1986}"/>
    <hyperlink ref="S742" r:id="rId1463" xr:uid="{E52F0281-B71F-4EB7-B4AA-A148C8266901}"/>
    <hyperlink ref="F743" r:id="rId1464" xr:uid="{80008C8C-1077-46EC-AB7D-1C9351FE27F3}"/>
    <hyperlink ref="S743" r:id="rId1465" xr:uid="{6C3F32AD-BA72-44FA-9267-66F3A81B3E27}"/>
    <hyperlink ref="F744" r:id="rId1466" xr:uid="{715919C2-26E3-47AE-BCFA-2E7B507E34F6}"/>
    <hyperlink ref="G744" r:id="rId1467" xr:uid="{2ACF983E-DE4F-480D-9DC6-FA19494B3E99}"/>
    <hyperlink ref="S744" r:id="rId1468" xr:uid="{111BEC49-BB5D-49C8-B5E5-F18D52CC3D7F}"/>
    <hyperlink ref="F745" r:id="rId1469" xr:uid="{4B9ECAD4-C3F3-4A9C-9E0C-B406EBE7CE4C}"/>
    <hyperlink ref="S745" r:id="rId1470" xr:uid="{AE091EB0-B2DC-4694-A65C-8760833F2DE6}"/>
    <hyperlink ref="F746" r:id="rId1471" xr:uid="{C73F83E1-62C9-4E83-A606-111184D3F268}"/>
    <hyperlink ref="G746" r:id="rId1472" xr:uid="{191B63EE-21CB-407D-A6E7-B83FFF730EB5}"/>
    <hyperlink ref="S746" r:id="rId1473" xr:uid="{59273C34-6066-44C7-98F6-B85F4D72A100}"/>
    <hyperlink ref="F747" r:id="rId1474" xr:uid="{69CA7326-C92F-48B9-B127-6EA1DDFAE8BF}"/>
    <hyperlink ref="S747" r:id="rId1475" xr:uid="{67B57634-8AC8-490C-9DBB-56D8A1EBC088}"/>
    <hyperlink ref="F748" r:id="rId1476" xr:uid="{0C4E61AD-ADC3-480B-BC33-CE5E7E7508AD}"/>
    <hyperlink ref="S748" r:id="rId1477" xr:uid="{A53D2A58-B40C-4642-90B3-1BD7C1898E84}"/>
    <hyperlink ref="F749" r:id="rId1478" xr:uid="{47CB586B-8B74-40B9-A508-3FB3ABD91B7D}"/>
    <hyperlink ref="S749" r:id="rId1479" xr:uid="{63FB04DB-D70A-48AD-935B-C2A6AAA2B114}"/>
    <hyperlink ref="F750" r:id="rId1480" xr:uid="{20C5AADA-F00A-4542-B6BF-4A0DEA48F5D2}"/>
    <hyperlink ref="S750" r:id="rId1481" xr:uid="{918F9A05-AF4F-418F-8802-1B5655C50B99}"/>
    <hyperlink ref="F751" r:id="rId1482" xr:uid="{4F8B88E5-3DE5-42B5-84B4-D149F7D26149}"/>
    <hyperlink ref="S751" r:id="rId1483" xr:uid="{998F1353-BA5C-49C2-A61C-26D8333A8A44}"/>
    <hyperlink ref="F752" r:id="rId1484" xr:uid="{DD77B4F4-F367-4E72-B25B-492188A616C5}"/>
    <hyperlink ref="S752" r:id="rId1485" xr:uid="{A5C78C76-5702-4724-A356-692B0995DC1C}"/>
    <hyperlink ref="C753" r:id="rId1486" xr:uid="{93B41299-92FA-4654-9749-A563683C061D}"/>
    <hyperlink ref="F753" r:id="rId1487" xr:uid="{4D8BA6E5-16B3-42E3-8557-B1D7BEEC9F13}"/>
    <hyperlink ref="S753" r:id="rId1488" xr:uid="{CB64D6AE-A013-45E6-B93B-5180A5C48CA1}"/>
    <hyperlink ref="F754" r:id="rId1489" xr:uid="{34F1C4C6-4BC1-4727-9CF9-90473ABF444E}"/>
    <hyperlink ref="G754" r:id="rId1490" xr:uid="{3E12188E-A6A8-45C9-924F-B1FF5F2380C4}"/>
    <hyperlink ref="S754" r:id="rId1491" xr:uid="{9A18B8F7-A95E-4571-8474-20EF26FCE9B5}"/>
    <hyperlink ref="F755" r:id="rId1492" xr:uid="{EB8DC0F6-25BD-4E86-A506-4D6D4F489BA3}"/>
    <hyperlink ref="S755" r:id="rId1493" xr:uid="{66D79BBA-4EBD-4F7A-9F7E-F93988F6531F}"/>
    <hyperlink ref="G756" r:id="rId1494" xr:uid="{822E537E-DF0C-4215-8BEE-66BAAF20E9E3}"/>
    <hyperlink ref="S756" r:id="rId1495" xr:uid="{767B853F-328B-43DD-8A93-E080E398CD9D}"/>
    <hyperlink ref="S757" r:id="rId1496" xr:uid="{03C6D19E-D5BE-4C6D-874A-2BA76A48C675}"/>
    <hyperlink ref="G758" r:id="rId1497" xr:uid="{1C7897F1-BAFF-4AD8-ADA0-139733ED9C05}"/>
    <hyperlink ref="F759" r:id="rId1498" xr:uid="{3716D301-A5F1-4469-ACF6-29C90B8371DB}"/>
    <hyperlink ref="F761" r:id="rId1499" xr:uid="{63D3663A-FA1C-4CFE-91B9-53B750903A7C}"/>
    <hyperlink ref="F762" r:id="rId1500" xr:uid="{F1B663D1-E1C8-45E0-AF48-29B894D939F8}"/>
    <hyperlink ref="S762" r:id="rId1501" xr:uid="{B2A90599-382D-440F-BCC3-7B818BC17FC1}"/>
    <hyperlink ref="F763" r:id="rId1502" xr:uid="{6686AE27-D037-4C44-A064-9CCC86A71129}"/>
    <hyperlink ref="S763" r:id="rId1503" xr:uid="{1ABCD199-3DB8-45DA-9A3D-8C7073AC619A}"/>
    <hyperlink ref="F764" r:id="rId1504" xr:uid="{203F645E-FB10-4FE8-83C2-8867B8F5D667}"/>
    <hyperlink ref="G764" r:id="rId1505" xr:uid="{710BF2DD-CABB-448D-B56A-196571FE59CA}"/>
    <hyperlink ref="S764" r:id="rId1506" xr:uid="{919B73A7-7334-49F8-9A0E-5E30AE041C9F}"/>
    <hyperlink ref="G765" r:id="rId1507" xr:uid="{AAD6E989-277F-4650-823D-2BCADBF0E6EC}"/>
    <hyperlink ref="F766" r:id="rId1508" xr:uid="{204A43C4-DCB2-4750-9C27-66452038B739}"/>
    <hyperlink ref="G766" r:id="rId1509" xr:uid="{E55F245C-004D-4844-999F-DE03976F883D}"/>
    <hyperlink ref="S766" r:id="rId1510" xr:uid="{2A63C9F9-A3A2-41FA-B814-88850196C515}"/>
    <hyperlink ref="F767" r:id="rId1511" xr:uid="{EA25DD7F-B7C3-4632-84AF-2A5959F47693}"/>
    <hyperlink ref="G767" r:id="rId1512" xr:uid="{3641980A-5D24-4A4C-92B9-DD0639F9322E}"/>
    <hyperlink ref="S767" r:id="rId1513" xr:uid="{3F49C457-E4BC-482F-8FE4-2CB3A4A5FF94}"/>
    <hyperlink ref="F768" r:id="rId1514" xr:uid="{8369ACB0-188D-4593-90D8-F947C39982A8}"/>
    <hyperlink ref="G768" r:id="rId1515" xr:uid="{C0DA37DF-0BAD-4B6C-A456-6950D6399045}"/>
    <hyperlink ref="S768" r:id="rId1516" xr:uid="{4A4D4D8B-CA7A-49F6-857E-7C67DC2BBF46}"/>
    <hyperlink ref="G769" r:id="rId1517" xr:uid="{F8BC6770-DED1-422F-B35F-F8DE4188D3B5}"/>
    <hyperlink ref="F770" r:id="rId1518" xr:uid="{7F3C22FC-FB60-4D80-B9BD-239B1B73C286}"/>
    <hyperlink ref="G770" r:id="rId1519" xr:uid="{098C782C-653E-4FDF-AE85-969F44A70B25}"/>
    <hyperlink ref="S770" r:id="rId1520" xr:uid="{CE14CA00-531D-4FD1-BCEE-473C67DA6043}"/>
    <hyperlink ref="G771" r:id="rId1521" xr:uid="{613456C7-C7B5-4C2C-B539-7FE6713470FB}"/>
    <hyperlink ref="S771" r:id="rId1522" xr:uid="{BFE4AFB7-8D6E-4FB8-9345-1BBB8BA1B105}"/>
    <hyperlink ref="F772" r:id="rId1523" xr:uid="{BC045BAF-D03F-4997-BCB1-0F31142A5DF1}"/>
    <hyperlink ref="G772" r:id="rId1524" xr:uid="{8256CC06-FB15-423A-9043-BEE55DEDF91F}"/>
    <hyperlink ref="F773" r:id="rId1525" xr:uid="{8A8D3B44-AEA3-48E4-A4D9-19585157E78F}"/>
    <hyperlink ref="G773" r:id="rId1526" xr:uid="{BBCA7E2E-3040-4F9F-A04C-6956F1C919CF}"/>
    <hyperlink ref="S773" r:id="rId1527" xr:uid="{431D05BD-3BC9-4DA6-9119-85F2C25F91E6}"/>
    <hyperlink ref="F774" r:id="rId1528" xr:uid="{C3620DBF-4F96-422F-89E9-5F8E010B4F1D}"/>
    <hyperlink ref="G774" r:id="rId1529" xr:uid="{886081F4-671E-47C6-9B5A-576901E58144}"/>
    <hyperlink ref="S774" r:id="rId1530" xr:uid="{C0011D11-9F8B-4A7D-B205-1C689F7521AD}"/>
    <hyperlink ref="F775" r:id="rId1531" xr:uid="{24996A98-CC93-4C97-A8D5-1308A2C166A4}"/>
    <hyperlink ref="S775" r:id="rId1532" xr:uid="{66603E49-3D20-4B2B-817F-6368DF6CDA03}"/>
    <hyperlink ref="F776" r:id="rId1533" xr:uid="{08D72DCC-8727-4277-8A6B-D2038E09FFC2}"/>
    <hyperlink ref="S776" r:id="rId1534" xr:uid="{2ADEDB65-21BD-489D-AD4B-3224510D1A61}"/>
    <hyperlink ref="F777" r:id="rId1535" xr:uid="{123CA8A0-67BD-40EE-8FDE-4306A37D5A93}"/>
    <hyperlink ref="G777" r:id="rId1536" xr:uid="{6788AA32-9330-4906-9DF1-8DB45E605F8F}"/>
    <hyperlink ref="S777" r:id="rId1537" xr:uid="{7660A3F6-7659-4138-9992-D07D4BCE1A7C}"/>
    <hyperlink ref="S779" r:id="rId1538" xr:uid="{BBA9BE65-9E53-499A-ADA9-D27A876132B2}"/>
    <hyperlink ref="S780" r:id="rId1539" xr:uid="{26796391-16BC-4B18-AB34-0C0D8B7FD4F8}"/>
    <hyperlink ref="F781" r:id="rId1540" xr:uid="{345092EA-2702-46F6-8119-6CAA961303C5}"/>
    <hyperlink ref="G781" r:id="rId1541" xr:uid="{00A3D39A-C905-41DC-BB16-6987F58160ED}"/>
    <hyperlink ref="F782" r:id="rId1542" xr:uid="{F5E95439-274C-4990-A48E-41D9A7284A36}"/>
    <hyperlink ref="G782" r:id="rId1543" xr:uid="{2BAD6C49-563F-4FD2-861C-B67A38169620}"/>
    <hyperlink ref="S782" r:id="rId1544" xr:uid="{2C8EFB1E-9B1D-4A00-B1B9-BF9EFEE4D8FB}"/>
    <hyperlink ref="F783" r:id="rId1545" xr:uid="{70B30D75-7FF2-434C-9CCE-5350B90B2AE4}"/>
    <hyperlink ref="S783" r:id="rId1546" xr:uid="{24F5C7A1-B4E6-4C63-8E9D-A05A3FA472E7}"/>
    <hyperlink ref="F785" r:id="rId1547" xr:uid="{7794671D-0891-4AF5-9734-8A3DC8BF7969}"/>
    <hyperlink ref="G785" r:id="rId1548" xr:uid="{4D864C18-342C-4A0B-AA19-1462B8AA24F5}"/>
    <hyperlink ref="S785" r:id="rId1549" xr:uid="{F1FD705B-50F0-473E-8600-CD20393E4B01}"/>
    <hyperlink ref="F786" r:id="rId1550" xr:uid="{8FB295BF-968C-4DDB-8414-F0FF09BC2999}"/>
    <hyperlink ref="G786" r:id="rId1551" xr:uid="{1F8B1378-30C3-4D4E-AFAD-733231488E5A}"/>
    <hyperlink ref="S786" r:id="rId1552" xr:uid="{37553004-AB75-42F1-ABF3-ADE5BC6196B9}"/>
    <hyperlink ref="F787" r:id="rId1553" xr:uid="{F83CF48B-BF2C-46C0-A46F-A72146D2BC50}"/>
    <hyperlink ref="G787" r:id="rId1554" xr:uid="{CE061F94-39E5-44B2-A2AE-244C02AC4D7E}"/>
    <hyperlink ref="S787" r:id="rId1555" xr:uid="{D9B5705A-72F3-4466-8EC5-60F57DB98502}"/>
    <hyperlink ref="F788" r:id="rId1556" xr:uid="{C5A95D8B-F75F-4CCC-8C0C-7EEA13F4071F}"/>
    <hyperlink ref="S788" r:id="rId1557" xr:uid="{2FBA82AA-886B-4F5C-9667-E6D715932B39}"/>
    <hyperlink ref="F789" r:id="rId1558" xr:uid="{1CD2F407-03D3-4C34-A5C1-AA669DA6CF28}"/>
    <hyperlink ref="S789" r:id="rId1559" xr:uid="{5CDFE47D-3947-4048-B32A-0B37679C7906}"/>
    <hyperlink ref="F790" r:id="rId1560" location="ftag=CAD590a51e" xr:uid="{DA6D687F-9CDD-49DF-B323-AAB0274EF695}"/>
    <hyperlink ref="G790" r:id="rId1561" xr:uid="{DE83288C-61EF-4F5A-866D-C47133BD360E}"/>
    <hyperlink ref="F791" r:id="rId1562" xr:uid="{815F2306-B8F2-4E78-8FF9-89796BA88CCD}"/>
    <hyperlink ref="S791" r:id="rId1563" xr:uid="{DBBAC2A6-AB11-401A-9E0F-CC14AC435A63}"/>
    <hyperlink ref="S792" r:id="rId1564" xr:uid="{EA4D57C7-A397-4A93-AB50-28C7F94B361C}"/>
    <hyperlink ref="F793" r:id="rId1565" xr:uid="{FFE55746-8366-410E-B4DB-11134D44141B}"/>
    <hyperlink ref="S793" r:id="rId1566" xr:uid="{F6F1A8B9-DA00-4DA7-A8BC-076A644F64A5}"/>
    <hyperlink ref="F794" r:id="rId1567" xr:uid="{12F6D8A9-7344-4820-9957-6323C50508C1}"/>
    <hyperlink ref="S794" r:id="rId1568" xr:uid="{07FE90F1-AF6A-4AAE-BF06-5E2808F78151}"/>
    <hyperlink ref="F795" r:id="rId1569" xr:uid="{57C2FC5C-5014-41F2-9A3C-0B0682D0A38D}"/>
    <hyperlink ref="S795" r:id="rId1570" xr:uid="{B02A7976-2091-4F80-8E65-960D10569EDE}"/>
    <hyperlink ref="G796" r:id="rId1571" xr:uid="{FD782D71-B236-424A-AA6C-E49CF4DC0144}"/>
    <hyperlink ref="G797" r:id="rId1572" xr:uid="{D39AD6A4-1064-463A-A561-87DF8CFE352B}"/>
    <hyperlink ref="S797" r:id="rId1573" xr:uid="{3015D15D-EE13-49F4-BF28-779F5442B145}"/>
    <hyperlink ref="F798" r:id="rId1574" xr:uid="{699E6429-56B4-4540-9821-1B79B583970E}"/>
    <hyperlink ref="S798" r:id="rId1575" xr:uid="{669BBE4F-4237-4C93-BCBC-F0F5A5FB65E4}"/>
    <hyperlink ref="F799" r:id="rId1576" xr:uid="{B05125B6-1140-4325-B61D-4A46FE875F15}"/>
    <hyperlink ref="F800" r:id="rId1577" xr:uid="{F54CFF1D-B1A1-468F-809B-B35A34554046}"/>
    <hyperlink ref="G801" r:id="rId1578" xr:uid="{A5D4A3FD-B1CF-4BC5-AEC4-5375EDD99AC3}"/>
    <hyperlink ref="G803" r:id="rId1579" xr:uid="{C17542AB-3F30-4903-B9A1-B8855F8DEF2B}"/>
    <hyperlink ref="S803" r:id="rId1580" xr:uid="{B59507FA-BABA-4940-BF1F-B054E5A0A999}"/>
    <hyperlink ref="S804" r:id="rId1581" xr:uid="{E0A5688B-DF6A-4421-9D55-50378C38FA8C}"/>
    <hyperlink ref="F805" r:id="rId1582" xr:uid="{C57B7A6B-F834-4A52-9288-527AFF3AB577}"/>
    <hyperlink ref="G805" r:id="rId1583" xr:uid="{488DE81B-D8C6-4809-803B-2999F7902ACD}"/>
    <hyperlink ref="S805" r:id="rId1584" xr:uid="{B9E6BA86-33E9-4238-AEB3-1FDCFC543950}"/>
    <hyperlink ref="G806" r:id="rId1585" xr:uid="{B86FD065-A68D-43FC-AB75-F3525616BD5D}"/>
    <hyperlink ref="S806" r:id="rId1586" xr:uid="{4C17B8D6-226A-457B-9E14-873CBD8880C4}"/>
    <hyperlink ref="F807" r:id="rId1587" xr:uid="{A44BDBFE-DC08-4047-A477-10AD10999564}"/>
    <hyperlink ref="F808" r:id="rId1588" xr:uid="{FC2A2D26-E2A2-4768-9BAF-6C46D176A890}"/>
    <hyperlink ref="G808" r:id="rId1589" xr:uid="{2C26704C-67B8-4748-8E08-EDC16AED8651}"/>
    <hyperlink ref="F809" r:id="rId1590" xr:uid="{6C171F1A-36FF-41A8-A97B-FF9C431A3BD2}"/>
    <hyperlink ref="G809" r:id="rId1591" xr:uid="{645F564E-0F5C-41AA-9E47-7233A84A40EA}"/>
    <hyperlink ref="S809" r:id="rId1592" xr:uid="{6B3EA28C-9F5E-4F23-A615-C84922CCB934}"/>
    <hyperlink ref="F810" r:id="rId1593" xr:uid="{26310DF8-0B8E-4241-B3F8-489B52072659}"/>
    <hyperlink ref="F811" r:id="rId1594" xr:uid="{4AA198DF-FECC-44CD-BE3F-5FE50F4F0490}"/>
    <hyperlink ref="G811" r:id="rId1595" xr:uid="{D34D60AA-B128-49FE-8D74-E76A7E49B2A1}"/>
    <hyperlink ref="S811" r:id="rId1596" xr:uid="{18E61ECA-F03C-494B-A01C-1A2284218D6B}"/>
    <hyperlink ref="F812" r:id="rId1597" xr:uid="{7EEFBD9C-9F82-45B0-8252-AFE3437F4212}"/>
    <hyperlink ref="S812" r:id="rId1598" xr:uid="{2E879826-0CAB-4E45-AB16-604B105572A8}"/>
    <hyperlink ref="F813" r:id="rId1599" xr:uid="{06AFC332-18E2-4F95-BE0F-902C224FBBD9}"/>
    <hyperlink ref="S813" r:id="rId1600" xr:uid="{4F065748-D226-4EE1-84EF-637B046614F7}"/>
    <hyperlink ref="F814" r:id="rId1601" xr:uid="{9EA46C81-72CA-4DC0-860B-31C2FE2B08DE}"/>
    <hyperlink ref="S814" r:id="rId1602" xr:uid="{6BE5A96D-7206-4EBA-A405-5A6F6BC7888C}"/>
    <hyperlink ref="C815" r:id="rId1603" xr:uid="{FA7C3026-161A-409E-8B50-5967F529EA81}"/>
    <hyperlink ref="G815" r:id="rId1604" xr:uid="{47AF7CAC-4CD4-4C44-BE44-F244B0DDD2AC}"/>
    <hyperlink ref="S815" r:id="rId1605" xr:uid="{252FBC98-06A3-4769-9CC8-811DB8BF1587}"/>
    <hyperlink ref="F816" r:id="rId1606" xr:uid="{DF23ED34-6B73-4FA5-80DE-F3F184F791F5}"/>
    <hyperlink ref="G816" r:id="rId1607" xr:uid="{813BBFF6-B2CA-475C-AA90-2297D9065FDD}"/>
    <hyperlink ref="S816" r:id="rId1608" xr:uid="{1CD6BA72-0C9F-4063-B04A-A6BC502AA568}"/>
    <hyperlink ref="F817" r:id="rId1609" xr:uid="{544FB8C3-14A5-48A7-9C16-FDD9409B2034}"/>
    <hyperlink ref="F818" r:id="rId1610" xr:uid="{34A7503B-4347-4F66-83CB-7910495E42A3}"/>
    <hyperlink ref="S818" r:id="rId1611" xr:uid="{9EF7328D-5AB8-44ED-B3F6-CCEB9326E163}"/>
    <hyperlink ref="F819" r:id="rId1612" xr:uid="{D24AAD3E-C4AA-46D3-9C9A-3067BA76012C}"/>
    <hyperlink ref="G819" r:id="rId1613" xr:uid="{922C9CEB-26CC-42B8-AB5C-2D0C6F0C6989}"/>
    <hyperlink ref="F820" r:id="rId1614" xr:uid="{A4854D9F-BB4B-48DA-BED2-4DCD51B4E69E}"/>
    <hyperlink ref="S820" r:id="rId1615" xr:uid="{80E13148-2BB5-4924-965A-360C2A20E912}"/>
    <hyperlink ref="F821" r:id="rId1616" xr:uid="{BFE088F4-50B5-48F6-BD9A-8779732F8BCD}"/>
    <hyperlink ref="G821" r:id="rId1617" xr:uid="{02D85D3D-5318-4E43-B47F-EA1292FEF351}"/>
    <hyperlink ref="S821" r:id="rId1618" xr:uid="{2215FC30-FF17-496F-A4C8-0FB84233F78B}"/>
    <hyperlink ref="F822" r:id="rId1619" xr:uid="{A555B5C0-B417-4C3F-B765-95E0E0F100E2}"/>
    <hyperlink ref="S822" r:id="rId1620" xr:uid="{41DAC528-8F01-44AF-86B7-C81593EB63B4}"/>
    <hyperlink ref="G823" r:id="rId1621" xr:uid="{FD4538F4-2BE4-4B58-B4E3-5A1182ECD861}"/>
    <hyperlink ref="S823" r:id="rId1622" xr:uid="{BD37A101-6443-4279-B3D3-E85E00EC2E80}"/>
    <hyperlink ref="F824" r:id="rId1623" xr:uid="{D4C83BA8-D688-4950-B83D-71F8789572EF}"/>
    <hyperlink ref="S824" r:id="rId1624" xr:uid="{8263510F-4BD4-4C3F-B827-3F236264AAF3}"/>
    <hyperlink ref="F825" r:id="rId1625" xr:uid="{77F7366F-AA6F-4280-A956-7E5F793C1B12}"/>
    <hyperlink ref="G825" r:id="rId1626" xr:uid="{FE7E1767-81E9-4DA5-B583-563DBB291D31}"/>
    <hyperlink ref="S825" r:id="rId1627" xr:uid="{A0174826-4E2E-486F-9B81-0B3197DDA2C0}"/>
    <hyperlink ref="F826" r:id="rId1628" xr:uid="{71F402EB-4F63-457C-9D59-F3FA1B8E364D}"/>
    <hyperlink ref="S826" r:id="rId1629" xr:uid="{00B0353A-C86E-4CA2-9495-759749C57A57}"/>
    <hyperlink ref="S827" r:id="rId1630" xr:uid="{1D235D5F-8B14-4048-BAD8-D7BCFE7D8485}"/>
    <hyperlink ref="G828" r:id="rId1631" xr:uid="{B9E2B3D8-55C0-4980-88CF-AA8BDA91BD30}"/>
    <hyperlink ref="G829" r:id="rId1632" xr:uid="{74CF313F-7FEB-450C-860E-1AAC744F53EB}"/>
    <hyperlink ref="S829" r:id="rId1633" xr:uid="{ED275A60-A1F6-4329-8FBD-B4ED28DCDBFE}"/>
    <hyperlink ref="F830" r:id="rId1634" xr:uid="{E5A46B80-05B6-49A2-BDD1-34BAC834F364}"/>
    <hyperlink ref="G830" r:id="rId1635" xr:uid="{186E5C87-4836-4AB3-8AC4-294A4B4AFDBA}"/>
    <hyperlink ref="S830" r:id="rId1636" xr:uid="{36B8F139-E2F7-409A-A5B2-89E21AEDF4A3}"/>
    <hyperlink ref="F831" r:id="rId1637" xr:uid="{D3B465E1-911B-47B1-B8A4-70C2A6FAB04E}"/>
    <hyperlink ref="G831" r:id="rId1638" xr:uid="{6C1083DC-E142-4C0A-A81E-ADB2BC389AEF}"/>
    <hyperlink ref="S831" r:id="rId1639" xr:uid="{87AC732B-ADD0-4DCC-A344-200907832B26}"/>
    <hyperlink ref="F832" r:id="rId1640" xr:uid="{3B62A3F4-0A7F-40C7-9128-29089B2F6252}"/>
    <hyperlink ref="G832" r:id="rId1641" xr:uid="{8833EBBC-8F03-4E14-B4E4-8B28459281E2}"/>
    <hyperlink ref="S832" r:id="rId1642" xr:uid="{2453FEA0-58A1-4012-AA82-FFFD45D094F2}"/>
    <hyperlink ref="F833" r:id="rId1643" xr:uid="{50EFC54E-F0E4-484E-80AD-5F63D8A57992}"/>
    <hyperlink ref="S833" r:id="rId1644" xr:uid="{1F1E8DA8-2019-474B-827E-4F28FA3D38FA}"/>
    <hyperlink ref="F834" r:id="rId1645" xr:uid="{F26A717E-571C-440A-A50D-B924CE3B513C}"/>
    <hyperlink ref="G834" r:id="rId1646" xr:uid="{678C234B-2961-4AF5-B8DE-11FCBF948868}"/>
    <hyperlink ref="S834" r:id="rId1647" xr:uid="{3F7E028F-D62C-4BB8-BC1E-CF2583620297}"/>
    <hyperlink ref="G835" r:id="rId1648" xr:uid="{23A45EA9-C52B-4C0A-AF40-FDB9AE578E5B}"/>
    <hyperlink ref="S835" r:id="rId1649" xr:uid="{78D53741-F350-4454-9F99-6C8A9AA7E81D}"/>
    <hyperlink ref="F836" r:id="rId1650" xr:uid="{4E53B202-0EE7-4488-A525-06484722A81B}"/>
    <hyperlink ref="G836" r:id="rId1651" xr:uid="{CEDFCE8F-D765-4B8F-8D38-BB05264916D3}"/>
    <hyperlink ref="F837" r:id="rId1652" xr:uid="{5EF917A8-02B3-435A-B2FE-F74250C413BE}"/>
    <hyperlink ref="S837" r:id="rId1653" xr:uid="{435BC8F9-0EB5-48BD-9E4A-A8E9590D0DA9}"/>
    <hyperlink ref="G838" r:id="rId1654" xr:uid="{F94830E5-2D0E-49E0-8091-A9B6554913B0}"/>
    <hyperlink ref="S838" r:id="rId1655" xr:uid="{3D9C5192-E17F-405F-93EB-F65F0F0F145C}"/>
    <hyperlink ref="F839" r:id="rId1656" xr:uid="{67415EF6-0E64-49BD-93F3-D76E57753547}"/>
    <hyperlink ref="G839" r:id="rId1657" xr:uid="{2F586EC2-A789-4813-8A96-285AD581290E}"/>
    <hyperlink ref="F840" r:id="rId1658" xr:uid="{04245C97-DC86-49E7-9616-59DA91776282}"/>
    <hyperlink ref="S840" r:id="rId1659" xr:uid="{6CB75480-653F-40A8-AB7A-A2444B24E726}"/>
    <hyperlink ref="F841" r:id="rId1660" xr:uid="{09CA522B-4D14-44BE-B5D6-0EC2E6A933A0}"/>
    <hyperlink ref="S841" r:id="rId1661" xr:uid="{8DC8DDFF-675F-435A-9E2B-3BBEEEA430CF}"/>
    <hyperlink ref="G842" r:id="rId1662" xr:uid="{ABF52D56-644D-4F0F-8CE7-CE525FF6D620}"/>
    <hyperlink ref="F843" r:id="rId1663" xr:uid="{B8073EB5-0F25-4D28-9787-B5E8F2FAA64F}"/>
    <hyperlink ref="S843" r:id="rId1664" xr:uid="{545837C8-E89B-4FC3-9486-EBA8C0F06044}"/>
    <hyperlink ref="F844" r:id="rId1665" xr:uid="{9F4FE82E-D9C1-4312-A713-62C984B63B20}"/>
    <hyperlink ref="S844" r:id="rId1666" xr:uid="{99C054E6-B87E-4973-ACA4-216D7F0BBC53}"/>
    <hyperlink ref="F845" r:id="rId1667" xr:uid="{818898B5-9A43-448E-AADF-4EDCED053B50}"/>
    <hyperlink ref="S845" r:id="rId1668" xr:uid="{37985F70-63D5-4840-96FC-127B455174D4}"/>
    <hyperlink ref="F846" r:id="rId1669" xr:uid="{6017F32F-E1D7-4334-A5E1-A4A90E65635F}"/>
    <hyperlink ref="S846" r:id="rId1670" xr:uid="{80DCE0A0-2910-4A41-BA55-293E3C4CA6DE}"/>
    <hyperlink ref="F847" r:id="rId1671" xr:uid="{0BA496FE-A543-450D-B874-A329428EB52B}"/>
    <hyperlink ref="S847" r:id="rId1672" xr:uid="{91916E85-6726-43C5-A889-83858A522B33}"/>
    <hyperlink ref="F848" r:id="rId1673" xr:uid="{CAC70A08-F519-4158-8405-FF98641EA958}"/>
    <hyperlink ref="G848" r:id="rId1674" xr:uid="{AB556576-9C40-4E79-90A7-7B595530CEFA}"/>
    <hyperlink ref="S848" r:id="rId1675" xr:uid="{7744B441-73DF-426E-8AB7-7727D5A83B1C}"/>
    <hyperlink ref="F849" r:id="rId1676" xr:uid="{638ED5C5-0616-44A9-97DB-ABFA1BCEB17D}"/>
    <hyperlink ref="G849" r:id="rId1677" xr:uid="{3E7B4D28-AAA0-4DC3-93BC-07A33508D3AC}"/>
    <hyperlink ref="S849" r:id="rId1678" xr:uid="{70E05879-B52B-46C8-ACE8-F0821659E287}"/>
    <hyperlink ref="G850" r:id="rId1679" xr:uid="{1DD06ACC-70A0-4438-8F81-4D047E4811B2}"/>
    <hyperlink ref="G851" r:id="rId1680" xr:uid="{E8DE2AA5-D4C1-49F6-9FF8-FCA0878CF4BD}"/>
    <hyperlink ref="S851" r:id="rId1681" xr:uid="{16CC6672-C745-49C3-ABC5-CC5AB1AE5A6D}"/>
    <hyperlink ref="F852" r:id="rId1682" xr:uid="{B2C81CBF-B027-49C8-8A84-287D1DF4F923}"/>
    <hyperlink ref="S852" r:id="rId1683" xr:uid="{B2E14641-F049-48F3-9ADB-381D06DA3CE1}"/>
    <hyperlink ref="F853" r:id="rId1684" xr:uid="{779A0F32-9822-4562-8343-0F00EE663A4B}"/>
    <hyperlink ref="S853" r:id="rId1685" xr:uid="{79765580-72F0-4702-B973-52C1AC80AF74}"/>
    <hyperlink ref="F854" r:id="rId1686" xr:uid="{1C18CCBF-E63C-432B-8159-70C601980F07}"/>
    <hyperlink ref="S854" r:id="rId1687" xr:uid="{3A64DBEC-F552-4B2B-9D0D-FA78DD3BF976}"/>
    <hyperlink ref="F855" r:id="rId1688" xr:uid="{3C5A1816-0EC8-4CEE-BBAC-D8D287510A92}"/>
    <hyperlink ref="G855" r:id="rId1689" xr:uid="{D6E90510-B044-4467-9B29-DF66B7EBA76B}"/>
    <hyperlink ref="S855" r:id="rId1690" xr:uid="{3A9173AA-A2C7-4BD4-8A17-93EB4227E673}"/>
    <hyperlink ref="S856" r:id="rId1691" xr:uid="{E4C79945-F2CC-441D-B310-846E9C8BA771}"/>
    <hyperlink ref="F857" r:id="rId1692" xr:uid="{2321198E-9085-4D39-AAE4-E2986F7D87C2}"/>
    <hyperlink ref="G857" r:id="rId1693" xr:uid="{CF0F20F4-9F0E-4F4F-9980-E33182C61F45}"/>
    <hyperlink ref="S857" r:id="rId1694" xr:uid="{E13ECCFD-5074-4C60-888A-0A72D42BC234}"/>
    <hyperlink ref="G858" r:id="rId1695" xr:uid="{DA22BCCC-E501-4B63-8D4D-A7CE5E1C46C5}"/>
    <hyperlink ref="S858" r:id="rId1696" xr:uid="{163E8749-8D30-4D3B-8384-DAC7EF750306}"/>
    <hyperlink ref="F859" r:id="rId1697" xr:uid="{51AD658B-65C2-4693-BBC2-9FD32F1B2C39}"/>
    <hyperlink ref="G859" r:id="rId1698" xr:uid="{79A6767E-ED22-4AF9-96FC-090B6EE6DEB3}"/>
    <hyperlink ref="S859" r:id="rId1699" xr:uid="{D18305C4-7D3B-4D72-BE86-32E4417DF88B}"/>
    <hyperlink ref="F860" r:id="rId1700" xr:uid="{92AA68C0-9717-439F-98E6-1BFF8A0587F6}"/>
    <hyperlink ref="G860" r:id="rId1701" xr:uid="{95ECA6F1-EB3D-4BD0-B9AD-F69D91F581B4}"/>
    <hyperlink ref="S860" r:id="rId1702" xr:uid="{A0B09227-D3D1-4B0D-84F4-25B108A46974}"/>
    <hyperlink ref="F861" r:id="rId1703" xr:uid="{D02DC133-13BE-457C-96BB-FF8418C0C29D}"/>
    <hyperlink ref="G861" r:id="rId1704" xr:uid="{B3DD6CF3-6329-482A-AB49-8B9455EF86B8}"/>
    <hyperlink ref="S861" r:id="rId1705" xr:uid="{9459E053-F21E-4891-AF7F-803A9346BD9E}"/>
    <hyperlink ref="F862" r:id="rId1706" xr:uid="{71D17216-96E5-4C05-8F24-3996FF179BD8}"/>
    <hyperlink ref="S862" r:id="rId1707" xr:uid="{97E2E49E-E33E-4786-8774-EF09F5B239B7}"/>
    <hyperlink ref="F863" r:id="rId1708" xr:uid="{C4CE8BA8-6CE6-4D2C-8A1E-F07CA64A28DE}"/>
    <hyperlink ref="G863" r:id="rId1709" xr:uid="{233ECEFB-AAF8-450D-BA32-A855A6A9841C}"/>
    <hyperlink ref="S863" r:id="rId1710" xr:uid="{B89C800B-2BA8-4DFC-8923-D3A3EE354C40}"/>
    <hyperlink ref="F864" r:id="rId1711" xr:uid="{AEBA66EA-1FDF-4BC6-B156-0514826C4B37}"/>
    <hyperlink ref="G864" r:id="rId1712" xr:uid="{30094AEC-896B-421F-A680-D10AD2171DC2}"/>
    <hyperlink ref="S864" r:id="rId1713" xr:uid="{5B3B6DAC-8478-43D7-B2EC-A2704866F277}"/>
    <hyperlink ref="F865" r:id="rId1714" xr:uid="{C9608251-F86B-436F-A00E-D93192EBE66F}"/>
    <hyperlink ref="G865" r:id="rId1715" xr:uid="{162DD53E-0E75-458D-BBD7-B5734CD011B0}"/>
    <hyperlink ref="S865" r:id="rId1716" xr:uid="{7AD95B8B-C72A-4D02-A316-A4A0092948B4}"/>
    <hyperlink ref="F866" r:id="rId1717" xr:uid="{B87F7A8B-5C7F-43D7-B7BA-8F65B11515CA}"/>
    <hyperlink ref="S866" r:id="rId1718" xr:uid="{A3DDA4D5-0E9B-4BFB-A16B-80AAA128271F}"/>
    <hyperlink ref="F867" r:id="rId1719" xr:uid="{8C4E7670-01FD-4AC6-B20C-67ED50CCDC8A}"/>
    <hyperlink ref="G867" r:id="rId1720" xr:uid="{23B39B5E-CA95-43B6-9256-62F14547F396}"/>
    <hyperlink ref="S867" r:id="rId1721" xr:uid="{A044CD57-1623-4865-AD26-F43C069F9D4D}"/>
    <hyperlink ref="F868" r:id="rId1722" xr:uid="{AFC9A294-B2ED-4FB3-B030-75F1E3B59B9E}"/>
    <hyperlink ref="G868" r:id="rId1723" xr:uid="{F68C3BEC-E97C-4C6B-9F13-85FA3959AB7C}"/>
    <hyperlink ref="S868" r:id="rId1724" xr:uid="{BD6785C6-6EA6-46AB-A36F-167424A881C3}"/>
    <hyperlink ref="C869" r:id="rId1725" xr:uid="{B21371E1-E91A-4049-9D78-2D2ECDAF1C24}"/>
    <hyperlink ref="F869" r:id="rId1726" xr:uid="{4FA922B7-1D2C-4FA4-B788-B4C7935B369F}"/>
    <hyperlink ref="S869" r:id="rId1727" xr:uid="{C8849AAC-35D7-4396-A4D8-0264470E4F22}"/>
    <hyperlink ref="F870" r:id="rId1728" xr:uid="{B2F9BD83-DAA8-433F-8B5E-6CEC869639F8}"/>
    <hyperlink ref="G870" r:id="rId1729" xr:uid="{A31AB4DF-61C0-410C-B96D-3443FCEC34F9}"/>
    <hyperlink ref="S870" r:id="rId1730" xr:uid="{82026180-105A-4012-A3EE-EDB4482882C1}"/>
    <hyperlink ref="F871" r:id="rId1731" xr:uid="{6D88F45A-2E19-4DF1-AA02-080FC8A9DAB6}"/>
    <hyperlink ref="G871" r:id="rId1732" xr:uid="{31F9F8F1-8D9F-43D9-A2D5-C6C3D3D6A1C7}"/>
    <hyperlink ref="S871" r:id="rId1733" xr:uid="{4BF16359-A37B-4425-9936-5C1493447D9A}"/>
    <hyperlink ref="F873" r:id="rId1734" xr:uid="{BB6434C6-288E-4E83-9724-AAA4F7C21515}"/>
    <hyperlink ref="S873" r:id="rId1735" xr:uid="{51E50979-417B-465F-8BC8-0E035987709F}"/>
    <hyperlink ref="F874" r:id="rId1736" xr:uid="{A8B3CC70-1F5D-406F-8D52-0DA93D4C46CC}"/>
    <hyperlink ref="G874" r:id="rId1737" xr:uid="{7D722035-CA99-48A2-8537-3146821FAE9D}"/>
    <hyperlink ref="S874" r:id="rId1738" xr:uid="{54DF6C4A-4F83-4E58-BA4B-0F8962DAE509}"/>
    <hyperlink ref="F875" r:id="rId1739" xr:uid="{823FAF92-6309-435D-B870-5B8F1A723990}"/>
    <hyperlink ref="S875" r:id="rId1740" xr:uid="{6C9C4B86-C7E2-4044-8587-74A6C042AD87}"/>
    <hyperlink ref="F876" r:id="rId1741" xr:uid="{5B460EF4-A796-4457-8356-443630D70BB3}"/>
    <hyperlink ref="F877" r:id="rId1742" xr:uid="{E167CEC6-9B17-4222-A7E7-9A554E67237F}"/>
    <hyperlink ref="G877" r:id="rId1743" xr:uid="{311C7E10-13CE-40CB-BE92-1D3E7EB4F95B}"/>
    <hyperlink ref="S877" r:id="rId1744" xr:uid="{2C746AE8-BC37-4457-8009-10E7035442F5}"/>
    <hyperlink ref="F879" r:id="rId1745" xr:uid="{07BE0C52-2494-4811-84A4-B00EA80C2CAD}"/>
    <hyperlink ref="G879" r:id="rId1746" xr:uid="{4934A505-B901-4BE6-8F45-637C83FB3294}"/>
    <hyperlink ref="S879" r:id="rId1747" xr:uid="{E4B99F59-D390-45E5-8DEA-FEEBC0F5805B}"/>
    <hyperlink ref="F880" r:id="rId1748" xr:uid="{1D170FD4-3246-4E6A-AB9A-19C4084B221D}"/>
    <hyperlink ref="G880" r:id="rId1749" xr:uid="{C84D298B-85FE-4D5F-8E8B-B8A5A14DD2CF}"/>
    <hyperlink ref="S880" r:id="rId1750" xr:uid="{82ABB468-CB0B-4100-83C2-3127287D2763}"/>
    <hyperlink ref="G881" r:id="rId1751" xr:uid="{2F012517-1C41-48B4-A95A-1AF7C5E0B3E7}"/>
    <hyperlink ref="S881" r:id="rId1752" xr:uid="{1FC9B109-407D-4409-8E8C-EFD4978CD4AA}"/>
    <hyperlink ref="F883" r:id="rId1753" xr:uid="{A1551CB8-8F9D-4DF5-8FE3-18D36080303C}"/>
    <hyperlink ref="F884" r:id="rId1754" xr:uid="{600B591F-3F21-4CA7-B96B-9B2E07E387B3}"/>
    <hyperlink ref="S884" r:id="rId1755" xr:uid="{CA02E844-2B7A-4474-9C88-B1394ED24280}"/>
    <hyperlink ref="G886" r:id="rId1756" xr:uid="{DA975725-B0DD-4890-B364-D35E03B70666}"/>
    <hyperlink ref="F888" r:id="rId1757" xr:uid="{E87E42B9-6469-48ED-B26B-93B5F6DC76C1}"/>
    <hyperlink ref="S888" r:id="rId1758" xr:uid="{45E7DD91-CF8F-496F-B0DE-31ED179DB72C}"/>
    <hyperlink ref="F890" r:id="rId1759" xr:uid="{8A5C5E7B-3A4F-4D36-9D80-BF368156E4E5}"/>
    <hyperlink ref="F891" r:id="rId1760" xr:uid="{E2124CCA-F4AA-4A0A-BE6D-D08BE495AC8D}"/>
    <hyperlink ref="S891" r:id="rId1761" xr:uid="{D56EA164-D710-41DF-AB01-E3625A82A51E}"/>
    <hyperlink ref="F892" r:id="rId1762" xr:uid="{3E5ACC2F-4DCC-417F-8C05-BA4949C77138}"/>
    <hyperlink ref="S892" r:id="rId1763" xr:uid="{75B3E0B5-1B99-4013-993F-BB2CD7B0DFD2}"/>
    <hyperlink ref="F893" r:id="rId1764" xr:uid="{F50FACB2-3B2A-43BA-9EAC-B81A8118048C}"/>
    <hyperlink ref="S893" r:id="rId1765" xr:uid="{4938A193-39B2-4F29-AA0B-74B07217AA55}"/>
    <hyperlink ref="F894" r:id="rId1766" xr:uid="{9540C4D7-0186-424C-A6D1-E59F6C48209B}"/>
    <hyperlink ref="G894" r:id="rId1767" xr:uid="{813670F5-9711-44FB-A703-05AEFFC5EC6C}"/>
    <hyperlink ref="S894" r:id="rId1768" xr:uid="{BE9A634D-8607-423B-8699-556906A64DE3}"/>
    <hyperlink ref="F895" r:id="rId1769" xr:uid="{61F667DB-EAE7-494E-9175-7CB777D55D1B}"/>
    <hyperlink ref="F896" r:id="rId1770" xr:uid="{F452C420-52F0-4BC2-BA56-89B7F3CA852F}"/>
    <hyperlink ref="S896" r:id="rId1771" xr:uid="{8BAE5523-7330-4187-92C2-5165B96E8151}"/>
    <hyperlink ref="F897" r:id="rId1772" xr:uid="{0F0A15AC-321B-47D5-A415-986D8B991D89}"/>
    <hyperlink ref="G897" r:id="rId1773" xr:uid="{535AFE88-0604-43E9-A78D-E29A03DABB23}"/>
    <hyperlink ref="S897" r:id="rId1774" xr:uid="{76669A86-69D9-4D85-952A-E1F5A6090F0D}"/>
    <hyperlink ref="F898" r:id="rId1775" xr:uid="{AF482B3A-2A74-40CA-AFE5-C604154663DB}"/>
    <hyperlink ref="F899" r:id="rId1776" xr:uid="{FEA3BB21-E7CA-4176-A0A3-6CA462865855}"/>
    <hyperlink ref="S900" r:id="rId1777" xr:uid="{E05B0906-55E4-4BA3-B45F-FEC0C8FBD6F7}"/>
    <hyperlink ref="F901" r:id="rId1778" xr:uid="{7BC3CEA1-9D24-4711-80F9-E1B1E781CD74}"/>
    <hyperlink ref="S901" r:id="rId1779" xr:uid="{87D37B03-4493-4C81-869F-3B54E095E8CE}"/>
    <hyperlink ref="F902" r:id="rId1780" xr:uid="{0776D595-BFE8-4E4C-9AC1-2EE41E614E6F}"/>
    <hyperlink ref="S902" r:id="rId1781" xr:uid="{5C1C955E-BD93-487A-9CEA-15CB3E11D268}"/>
    <hyperlink ref="F903" r:id="rId1782" xr:uid="{2333B187-2051-4C40-8B27-6E94AD243C91}"/>
    <hyperlink ref="G903" r:id="rId1783" xr:uid="{0039BE30-280B-4E76-81E4-ED936AEA7E2A}"/>
    <hyperlink ref="S903" r:id="rId1784" xr:uid="{B95D7FAC-9510-496F-BCF7-C8572FDF80A7}"/>
    <hyperlink ref="F905" r:id="rId1785" xr:uid="{6FB2828A-B35F-4AAB-A7B1-19A2B572DF53}"/>
    <hyperlink ref="S905" r:id="rId1786" xr:uid="{B8051A86-229F-4192-8CBB-20A53C120F94}"/>
    <hyperlink ref="F906" r:id="rId1787" xr:uid="{3E6DA8D4-6E81-4C78-8F99-D54AA7912273}"/>
    <hyperlink ref="G906" r:id="rId1788" xr:uid="{D23A38C7-12C0-4E35-B5F1-26CF526C13CB}"/>
    <hyperlink ref="S906" r:id="rId1789" xr:uid="{72D6CA23-C627-4D3F-9258-8367F7FE8978}"/>
    <hyperlink ref="F907" r:id="rId1790" xr:uid="{C34ED9AF-E7C4-43B9-9185-AFD960C70632}"/>
    <hyperlink ref="S907" r:id="rId1791" xr:uid="{7B10F8C5-97AF-4BDB-A778-99CDCB21B346}"/>
    <hyperlink ref="F908" r:id="rId1792" xr:uid="{9995427B-484E-4135-B8DB-2E796CEC24CA}"/>
    <hyperlink ref="S908" r:id="rId1793" xr:uid="{F046B35D-5AF1-4B7E-A490-827E24E5B435}"/>
    <hyperlink ref="F909" r:id="rId1794" xr:uid="{CC92DF20-20CE-4736-A20D-C7C777F8EE7E}"/>
    <hyperlink ref="S909" r:id="rId1795" xr:uid="{08C7D3E8-2559-42B4-86CA-83B2850FC50C}"/>
    <hyperlink ref="F910" r:id="rId1796" xr:uid="{D725F8F3-F8B1-472B-9247-9A93B2E11FEE}"/>
    <hyperlink ref="S910" r:id="rId1797" xr:uid="{6DE3F993-07F9-4A91-A0C2-33A9C63293F2}"/>
    <hyperlink ref="S911" r:id="rId1798" xr:uid="{807B52C7-F427-4B5B-A5E4-A83C13B9C9C3}"/>
    <hyperlink ref="G912" r:id="rId1799" xr:uid="{9CA4CE49-192B-44BD-9C97-1969193A9E1E}"/>
    <hyperlink ref="S912" r:id="rId1800" xr:uid="{7ACBF90F-511E-43CB-B1EB-FE06D82D2923}"/>
    <hyperlink ref="G913" r:id="rId1801" xr:uid="{52AC3CED-8A62-41AE-B384-5235DA063C08}"/>
    <hyperlink ref="S913" r:id="rId1802" xr:uid="{47465AB3-3D24-41ED-883E-7625C11EF79A}"/>
    <hyperlink ref="F914" r:id="rId1803" xr:uid="{1ED70CC6-4AB3-4EBB-B520-888B4299AC1C}"/>
    <hyperlink ref="S914" r:id="rId1804" xr:uid="{58AAB417-E5BF-4A15-8420-7503C0D45ECB}"/>
    <hyperlink ref="F915" r:id="rId1805" xr:uid="{53B33376-B007-4074-9687-19820B7E9147}"/>
    <hyperlink ref="S915" r:id="rId1806" xr:uid="{5185A0A3-7FEB-44F7-AE12-6066FAEA9D16}"/>
    <hyperlink ref="F917" r:id="rId1807" xr:uid="{4B9963C1-40BA-4705-AC95-BAF79B7DFB7D}"/>
    <hyperlink ref="G917" r:id="rId1808" xr:uid="{A6983048-73F6-4412-836B-81BA9D19AA15}"/>
    <hyperlink ref="S917" r:id="rId1809" xr:uid="{4509E502-1601-433F-9980-1BC769CE818F}"/>
    <hyperlink ref="G918" r:id="rId1810" xr:uid="{2A0DCA1C-7526-4F8C-8F42-384776CC282B}"/>
    <hyperlink ref="F919" r:id="rId1811" xr:uid="{39E8C3FD-B5C7-4407-9BEB-280421D6FC37}"/>
    <hyperlink ref="S919" r:id="rId1812" xr:uid="{AD706996-6594-4ECD-830D-F415577952FA}"/>
    <hyperlink ref="F921" r:id="rId1813" xr:uid="{0C6ACDCE-0468-47CE-B937-D85F2BD963FD}"/>
    <hyperlink ref="G921" r:id="rId1814" xr:uid="{6EDBA61C-5B6B-412C-8C4E-B1C6C2521AC6}"/>
    <hyperlink ref="S921" r:id="rId1815" xr:uid="{83F81000-52C1-4119-B151-9B0DE0228CA9}"/>
    <hyperlink ref="F924" r:id="rId1816" xr:uid="{8E5C82E2-8D8F-4B40-9B07-725143281C93}"/>
    <hyperlink ref="S924" r:id="rId1817" xr:uid="{DBA8F182-7025-4272-8A6C-E07E27C6C720}"/>
    <hyperlink ref="C925" r:id="rId1818" xr:uid="{28085BB7-AE58-4CC3-9312-491AB1EFD283}"/>
    <hyperlink ref="F925" r:id="rId1819" xr:uid="{E870F89D-8F09-483F-AD5A-30AF6E70D6ED}"/>
    <hyperlink ref="S925" r:id="rId1820" xr:uid="{EB90F65D-F7BC-4EEE-8EBD-2A2ECE9EAD29}"/>
    <hyperlink ref="F926" r:id="rId1821" xr:uid="{F9616AAB-81CB-4D27-AA6A-A623BB32D943}"/>
    <hyperlink ref="G926" r:id="rId1822" xr:uid="{3236015D-8EDF-45AD-8B79-764935102CEC}"/>
    <hyperlink ref="S926" r:id="rId1823" xr:uid="{02FC37F9-1C70-46B4-8FE0-C1BDB059BC31}"/>
    <hyperlink ref="S927" r:id="rId1824" xr:uid="{BA8F03A6-EDD1-44C7-9F18-9C35E4943A3E}"/>
    <hyperlink ref="F928" r:id="rId1825" xr:uid="{1027044D-977A-42B4-A1AC-B4FC6B2C7EDF}"/>
    <hyperlink ref="S928" r:id="rId1826" xr:uid="{882FAC9A-5924-4031-A264-DECE9883ED4C}"/>
    <hyperlink ref="F929" r:id="rId1827" xr:uid="{413DE529-62EA-4092-A1A0-71A30524A093}"/>
    <hyperlink ref="G929" r:id="rId1828" xr:uid="{CA69F495-45E1-4888-8D57-8B6DAD825172}"/>
    <hyperlink ref="F930" r:id="rId1829" xr:uid="{B8E789A8-9CAF-42C8-94EB-AC5FE295A729}"/>
    <hyperlink ref="S930" r:id="rId1830" xr:uid="{89E2EA91-3AB5-4A62-9557-23E5C3312388}"/>
    <hyperlink ref="G931" r:id="rId1831" xr:uid="{2A26DDEC-74CA-4C01-9A83-AF7FE62B2DCA}"/>
    <hyperlink ref="S931" r:id="rId1832" xr:uid="{CFA72FD3-6DF3-4AF9-8368-27BAF1296A8D}"/>
    <hyperlink ref="G932" r:id="rId1833" xr:uid="{7C725135-0CFC-4613-AC90-20D0A471F57B}"/>
    <hyperlink ref="S932" r:id="rId1834" xr:uid="{E1609D3C-6050-4D10-A89B-F7123FC859D8}"/>
    <hyperlink ref="F933" r:id="rId1835" xr:uid="{CB706E47-00F6-4380-999D-A0DEB64CF20B}"/>
    <hyperlink ref="G933" r:id="rId1836" xr:uid="{A1952A60-B3AF-44C8-96A4-896EBD49C151}"/>
    <hyperlink ref="S933" r:id="rId1837" xr:uid="{AB36D789-DD7B-47B0-93BA-5AE54E27DCFB}"/>
    <hyperlink ref="S934" r:id="rId1838" xr:uid="{FE4E10A5-175C-483F-9EEC-C34445293EC6}"/>
    <hyperlink ref="S935" r:id="rId1839" xr:uid="{CD779D14-78F7-44F9-B34D-9F205E5E88D2}"/>
    <hyperlink ref="F937" r:id="rId1840" xr:uid="{A9A09EA5-D482-4948-AACC-130E88052824}"/>
    <hyperlink ref="S937" r:id="rId1841" xr:uid="{371FD9AC-572A-4DFE-BA20-9E7D677C031F}"/>
    <hyperlink ref="F938" r:id="rId1842" xr:uid="{FAA9B7AA-685C-4476-A2FC-D15C5B343923}"/>
    <hyperlink ref="S938" r:id="rId1843" xr:uid="{95CAA8E3-5C0E-459B-A464-19CD74675C26}"/>
    <hyperlink ref="S939" r:id="rId1844" xr:uid="{15B0395C-4707-4751-A3A1-CB3D5065BA93}"/>
    <hyperlink ref="S940" r:id="rId1845" xr:uid="{38DB7C6A-DCF5-4230-91C5-7CAA5996267A}"/>
    <hyperlink ref="F941" r:id="rId1846" xr:uid="{967E8E0E-3664-4004-B22B-9A99315E548D}"/>
    <hyperlink ref="S941" r:id="rId1847" xr:uid="{9B8277DA-1CB2-4559-9CB8-9C964C0E4392}"/>
    <hyperlink ref="F942" r:id="rId1848" xr:uid="{A22C89EF-557E-42EE-80EF-F0D4B2A53275}"/>
    <hyperlink ref="G942" r:id="rId1849" xr:uid="{A0C98FF6-BCBD-4E2D-96F8-F6FA6BE4889B}"/>
    <hyperlink ref="S942" r:id="rId1850" xr:uid="{8237D50D-325E-4F83-8528-9C70327BFB63}"/>
    <hyperlink ref="G943" r:id="rId1851" xr:uid="{81C1C99E-7867-4DF3-A42A-9FC3CF82F985}"/>
    <hyperlink ref="S943" r:id="rId1852" xr:uid="{B5005320-90F5-4CFA-AE19-E219CC2E6A76}"/>
    <hyperlink ref="S944" r:id="rId1853" xr:uid="{B8BC9D96-B094-4A12-8AFC-1BB14EFA3C78}"/>
    <hyperlink ref="F945" r:id="rId1854" xr:uid="{2610F506-08FE-4E60-8A31-F08B0073A3A8}"/>
    <hyperlink ref="G946" r:id="rId1855" xr:uid="{E79B74A2-5FFF-4D65-8741-3E2628CF793E}"/>
    <hyperlink ref="S946" r:id="rId1856" xr:uid="{8653091C-909C-467E-B3B7-E3F5FBA7E613}"/>
    <hyperlink ref="F947" r:id="rId1857" xr:uid="{FB911387-CEFC-4534-B041-72F63273C27C}"/>
    <hyperlink ref="G947" r:id="rId1858" xr:uid="{820D2DA7-0DD2-4B6F-8845-C9A8A2C3A630}"/>
    <hyperlink ref="F948" r:id="rId1859" xr:uid="{630F7746-7BBD-4150-9153-31A6806E364F}"/>
    <hyperlink ref="G948" r:id="rId1860" xr:uid="{9B626E2A-0E8A-4375-B05A-405A5E8E4AF3}"/>
    <hyperlink ref="S948" r:id="rId1861" xr:uid="{284937E0-FBEF-4360-BE55-8DC895B49239}"/>
    <hyperlink ref="F949" r:id="rId1862" xr:uid="{D92EE81C-3297-4F49-AE0E-7272A97AC25B}"/>
    <hyperlink ref="F950" r:id="rId1863" xr:uid="{48670D68-84A5-4F3E-A2C3-3BFB6910B836}"/>
    <hyperlink ref="S950" r:id="rId1864" xr:uid="{AB01669A-F000-41B8-9212-820DE18680AA}"/>
    <hyperlink ref="F951" r:id="rId1865" xr:uid="{52205DA2-67C4-4F8A-B8D2-6A38446B3944}"/>
    <hyperlink ref="G951" r:id="rId1866" xr:uid="{2C7768F8-6040-479A-9DF2-F12437ED9EDD}"/>
    <hyperlink ref="S951" r:id="rId1867" xr:uid="{9917C3CA-419E-48A2-AF6A-276D4E92B2C7}"/>
    <hyperlink ref="F952" r:id="rId1868" xr:uid="{F7A645EE-1326-4BE8-8B65-60B58617D4E9}"/>
    <hyperlink ref="G952" r:id="rId1869" xr:uid="{B080FF3C-551B-4367-ADB4-8B1C5844E47E}"/>
    <hyperlink ref="S952" r:id="rId1870" xr:uid="{EA7FCFDD-B75B-481B-A0FF-32237DD3FC0A}"/>
    <hyperlink ref="F953" r:id="rId1871" xr:uid="{D4500CD9-4AFE-4CA7-BFFC-B465856E9011}"/>
    <hyperlink ref="S953" r:id="rId1872" xr:uid="{69DF782B-ED2A-457B-93D2-769EF0A906F1}"/>
    <hyperlink ref="F954" r:id="rId1873" xr:uid="{E8985CC7-1FC4-4243-B3A0-A302BBB5A077}"/>
    <hyperlink ref="G954" r:id="rId1874" xr:uid="{6187EB03-11CF-4258-948E-C54E12F7F09E}"/>
    <hyperlink ref="S954" r:id="rId1875" xr:uid="{EC159D82-DD6E-426F-8FDC-6ED07A1ED51B}"/>
    <hyperlink ref="G955" r:id="rId1876" xr:uid="{08077D74-07A5-4AAD-BEFB-EA932C21B018}"/>
    <hyperlink ref="S955" r:id="rId1877" xr:uid="{5C543564-ED09-411A-B241-B3A3D3A0E8A8}"/>
    <hyperlink ref="F956" r:id="rId1878" xr:uid="{9D7D626D-0475-4154-90D1-FBC6187F380C}"/>
    <hyperlink ref="G956" r:id="rId1879" xr:uid="{F6F86837-CB76-4CB1-B286-201B82194F15}"/>
    <hyperlink ref="F957" r:id="rId1880" xr:uid="{F2476EC1-4D6D-4DCA-B550-7DDD865ABDB2}"/>
    <hyperlink ref="G958" r:id="rId1881" xr:uid="{9E7EF03B-93D3-4EE5-AEE6-FDC2C3AD9D09}"/>
    <hyperlink ref="S958" r:id="rId1882" xr:uid="{763FEB8C-4E16-4275-B462-E63FEC435BEF}"/>
    <hyperlink ref="F959" r:id="rId1883" xr:uid="{E9FF8B3B-A6B7-4F51-9B4E-4B1413575AF4}"/>
    <hyperlink ref="S959" r:id="rId1884" xr:uid="{6713B871-450D-4574-A763-EE0660F99D73}"/>
    <hyperlink ref="F960" r:id="rId1885" xr:uid="{B51EC545-DE9C-439C-9836-42CC6EC8314C}"/>
    <hyperlink ref="G960" r:id="rId1886" xr:uid="{8E163C6D-AD54-4712-9B8F-51BB3A1D1380}"/>
    <hyperlink ref="F961" r:id="rId1887" xr:uid="{0C7982D1-AD73-422B-86E1-150165A88AA1}"/>
    <hyperlink ref="S961" r:id="rId1888" xr:uid="{A69CEBFA-B4D8-43BC-B222-AB39416D832D}"/>
    <hyperlink ref="S962" r:id="rId1889" xr:uid="{9D057A0F-1BA3-44C0-997B-75514BF07A5C}"/>
    <hyperlink ref="F963" r:id="rId1890" xr:uid="{59BBAA0B-0C02-4E76-B55C-F7170D3E806D}"/>
    <hyperlink ref="G963" r:id="rId1891" xr:uid="{BC7B867F-855C-45D8-BEAA-079A18DF35A5}"/>
    <hyperlink ref="S963" r:id="rId1892" xr:uid="{B06CA0D7-1E07-416E-9AFB-366ED3F6492C}"/>
    <hyperlink ref="G964" r:id="rId1893" xr:uid="{7325E83E-09CD-4BD1-B23B-DA912DAD09FA}"/>
    <hyperlink ref="S964" r:id="rId1894" xr:uid="{D55CB7D8-683F-4FB2-A341-F6CCD19C3EBF}"/>
    <hyperlink ref="F965" r:id="rId1895" xr:uid="{30F94739-F480-4CF5-A32E-A7164F72456F}"/>
    <hyperlink ref="S965" r:id="rId1896" xr:uid="{FD5DDD9C-92D3-4448-99C7-FF292A22230D}"/>
    <hyperlink ref="F966" r:id="rId1897" xr:uid="{D2D24298-56AB-4905-AA2A-B5FCD500903B}"/>
    <hyperlink ref="S966" r:id="rId1898" xr:uid="{725DF0BC-BCF4-43DB-8FC3-08E95F33F91C}"/>
    <hyperlink ref="F967" r:id="rId1899" xr:uid="{04ECAA99-0D85-462F-AEF0-B3727B6A383C}"/>
    <hyperlink ref="G967" r:id="rId1900" xr:uid="{1B77587D-FD4B-415F-A2C7-71B286D4FC4A}"/>
    <hyperlink ref="S967" r:id="rId1901" xr:uid="{70598132-88B2-4180-A631-36AB93472416}"/>
    <hyperlink ref="F968" r:id="rId1902" xr:uid="{0330EC03-21B7-47C7-BA2C-CB19B325B45C}"/>
    <hyperlink ref="G968" r:id="rId1903" xr:uid="{2A81C717-1606-4847-B331-51741AC485D5}"/>
    <hyperlink ref="S968" r:id="rId1904" xr:uid="{7C396E91-1E00-4C68-A773-79ED8CC8FF32}"/>
    <hyperlink ref="F969" r:id="rId1905" xr:uid="{BA5F9AD7-B25B-44C4-81D2-B1A3A089DDEB}"/>
    <hyperlink ref="G969" r:id="rId1906" xr:uid="{809D200B-5375-4662-BF22-DA06AF3F2365}"/>
    <hyperlink ref="G970" r:id="rId1907" xr:uid="{2377E82E-84BF-4CC4-B1A9-1C471947A21C}"/>
    <hyperlink ref="S970" r:id="rId1908" xr:uid="{767A05F8-D9EE-48CE-A092-04AA1A145039}"/>
    <hyperlink ref="F971" r:id="rId1909" xr:uid="{26945C8F-6600-4732-A775-97D8592B0577}"/>
    <hyperlink ref="F972" r:id="rId1910" xr:uid="{4EC502F3-7D97-4B0D-836A-9D978D2F11D3}"/>
    <hyperlink ref="S972" r:id="rId1911" xr:uid="{D3A90D3D-BFB7-4B4E-AD4A-005DCF072D2C}"/>
    <hyperlink ref="F973" r:id="rId1912" xr:uid="{9B55F1EF-8FC4-4B8B-B697-D5D853BF2ABF}"/>
    <hyperlink ref="F974" r:id="rId1913" xr:uid="{F8B40656-150B-4FEC-9A52-AD5918631E00}"/>
    <hyperlink ref="G974" r:id="rId1914" xr:uid="{648C6D7B-9788-4086-8B03-E549CC169286}"/>
    <hyperlink ref="S974" r:id="rId1915" xr:uid="{631034AB-2902-4A6A-9CD6-B9BCD5940D96}"/>
    <hyperlink ref="F975" r:id="rId1916" xr:uid="{0C095F5B-65C3-423E-8EEB-134C8C462AE2}"/>
    <hyperlink ref="G975" r:id="rId1917" xr:uid="{F8C61144-7C3E-4801-BFF2-4BC32453F74F}"/>
    <hyperlink ref="S975" r:id="rId1918" xr:uid="{D5A8BE1F-3AAB-4F47-9673-905B79E77F5E}"/>
    <hyperlink ref="F977" r:id="rId1919" xr:uid="{03C35EDE-795A-4D25-8515-FECE4F0A4DB1}"/>
    <hyperlink ref="S977" r:id="rId1920" xr:uid="{55ACA637-EC92-4FDD-81EC-CBA681F9CD08}"/>
    <hyperlink ref="F978" r:id="rId1921" xr:uid="{EA4E366B-62D7-4259-98E4-F28CEE0311BA}"/>
    <hyperlink ref="G978" r:id="rId1922" xr:uid="{43FAE50F-8C38-49D6-BF21-B08C7A9043EF}"/>
    <hyperlink ref="S978" r:id="rId1923" xr:uid="{17D95D59-C864-449B-9A8C-EC7FBA8D47EB}"/>
    <hyperlink ref="F979" r:id="rId1924" xr:uid="{BDE9D867-75F8-4C2B-8C5C-0D31E8D71D8E}"/>
    <hyperlink ref="G979" r:id="rId1925" xr:uid="{75405458-0818-49A1-BE32-122EC3A20E44}"/>
    <hyperlink ref="S979" r:id="rId1926" xr:uid="{038A0AA6-AA92-4579-9915-A6F0E15EB65B}"/>
    <hyperlink ref="F980" r:id="rId1927" xr:uid="{AA309932-B054-4354-A7F9-5D6EC1AF7AA2}"/>
    <hyperlink ref="G980" r:id="rId1928" xr:uid="{61F4346A-9731-42DF-B125-D07517531D18}"/>
    <hyperlink ref="S980" r:id="rId1929" xr:uid="{59B218AB-0F27-418E-A1A0-DA11647B9F9C}"/>
    <hyperlink ref="F981" r:id="rId1930" xr:uid="{C5A0A58B-1F83-4C6E-9B5D-AEF2DF7B1F14}"/>
    <hyperlink ref="G981" r:id="rId1931" xr:uid="{6809D5A3-1359-4C31-9338-902A23DE1F1B}"/>
    <hyperlink ref="F982" r:id="rId1932" xr:uid="{B0059BF4-213D-4116-BB6D-549C13C9C426}"/>
    <hyperlink ref="G982" r:id="rId1933" xr:uid="{2EA1D91E-D7CA-45B0-BD0A-BBA16D421FCB}"/>
    <hyperlink ref="S982" r:id="rId1934" xr:uid="{5F7AEE23-0501-4DF8-B735-210B97A76599}"/>
    <hyperlink ref="F983" r:id="rId1935" xr:uid="{E01619A7-A80D-4BEF-9489-2CB2ACD36237}"/>
    <hyperlink ref="S983" r:id="rId1936" xr:uid="{8E01E83C-12B1-4C92-A5F3-236887460F05}"/>
    <hyperlink ref="G984" r:id="rId1937" xr:uid="{5424A906-99BD-46F4-AB46-C3A17A8B6D75}"/>
    <hyperlink ref="S984" r:id="rId1938" xr:uid="{0A5891F6-A541-4FA6-BE52-708C7A25949A}"/>
    <hyperlink ref="F985" r:id="rId1939" xr:uid="{CDBA181C-58B8-4CCA-A297-75638B27AD48}"/>
    <hyperlink ref="S985" r:id="rId1940" xr:uid="{4D82E0CB-34E1-4B12-8A9D-61F5C699CF53}"/>
    <hyperlink ref="F986" r:id="rId1941" xr:uid="{31D737C1-F6EC-47D6-8A56-DB0B7F368601}"/>
    <hyperlink ref="G986" r:id="rId1942" xr:uid="{2B2AAC16-AFC3-4A0A-8094-154A77A341C5}"/>
    <hyperlink ref="S986" r:id="rId1943" xr:uid="{93271329-384A-4572-BBE5-15678DDB3DAF}"/>
    <hyperlink ref="F987" r:id="rId1944" xr:uid="{D7CC6F1B-B0B4-45A7-A29F-AE2D4E1BADAD}"/>
    <hyperlink ref="G987" r:id="rId1945" xr:uid="{0C217F65-03B9-496B-872D-D0099955A5D3}"/>
    <hyperlink ref="S987" r:id="rId1946" xr:uid="{1AD7E4B1-84CE-48FD-99B7-49DFB95E7188}"/>
    <hyperlink ref="F988" r:id="rId1947" xr:uid="{46C519B8-605D-428D-8457-B082A115CF15}"/>
    <hyperlink ref="S988" r:id="rId1948" xr:uid="{FCA0FFB4-5AF2-49AA-BB8E-029781C21E71}"/>
    <hyperlink ref="S989" r:id="rId1949" xr:uid="{1310CA8C-1308-45D6-86DD-20AD58A80B82}"/>
    <hyperlink ref="F991" r:id="rId1950" xr:uid="{0B9C0CE0-CA53-4B4E-9514-F0ED4E225C45}"/>
    <hyperlink ref="S991" r:id="rId1951" xr:uid="{16767568-D7B9-4EED-8F53-8F9B93C20882}"/>
    <hyperlink ref="C992" r:id="rId1952" xr:uid="{F46F3295-0E0F-40F0-9A15-933B5EFEDC91}"/>
    <hyperlink ref="F992" r:id="rId1953" xr:uid="{BFB86FAB-2740-4780-8F2B-32897210FE37}"/>
    <hyperlink ref="G992" r:id="rId1954" xr:uid="{8E550ED6-8F6E-4CBE-9BA9-A907B205F416}"/>
    <hyperlink ref="S992" r:id="rId1955" xr:uid="{52209FDB-6B6A-4F65-91DD-B23F60BAD3BF}"/>
    <hyperlink ref="F993" r:id="rId1956" xr:uid="{3C8DB96C-47C7-4260-957A-3B5DDB1495A2}"/>
    <hyperlink ref="S993" r:id="rId1957" xr:uid="{BC438CAF-4785-4A03-8CB3-43E7A6F511DF}"/>
    <hyperlink ref="F994" r:id="rId1958" xr:uid="{37D04EF4-6DA2-484B-BC63-83F6ACD05C40}"/>
    <hyperlink ref="G994" r:id="rId1959" xr:uid="{F91F2EA2-5131-48F5-914F-2C287D884392}"/>
    <hyperlink ref="S994" r:id="rId1960" xr:uid="{D96D743F-6870-41DF-8291-4A1D4170D81F}"/>
    <hyperlink ref="G995" r:id="rId1961" xr:uid="{3DFC8AD3-FB2D-45DB-BFC8-A4764CCDA8A6}"/>
    <hyperlink ref="G996" r:id="rId1962" xr:uid="{E9F2DA30-4864-4590-B6E1-50B141C4F1B2}"/>
    <hyperlink ref="S996" r:id="rId1963" xr:uid="{AC7E8FEB-732E-46F3-BC92-8AF6E58B9DA7}"/>
    <hyperlink ref="F997" r:id="rId1964" xr:uid="{A229CA44-0AEF-481E-984D-7FF134DE51B7}"/>
    <hyperlink ref="F998" r:id="rId1965" xr:uid="{99868043-DCCC-45AA-AA98-6828A3F3A494}"/>
    <hyperlink ref="G998" r:id="rId1966" xr:uid="{C98F6D0A-7FBC-48E4-B7D8-4A98A3686BE1}"/>
    <hyperlink ref="S998" r:id="rId1967" xr:uid="{FA683DEA-EC3E-41F9-A4F0-6DA24F6E1A83}"/>
    <hyperlink ref="G999" r:id="rId1968" xr:uid="{9A1C8212-EABF-434B-B117-0576C56D889D}"/>
    <hyperlink ref="S999" r:id="rId1969" xr:uid="{45C17CBA-A179-4195-B5C4-FF79E3B9859B}"/>
    <hyperlink ref="G1000" r:id="rId1970" xr:uid="{3EE86B46-5318-4E9F-B0B8-B546D57E4965}"/>
    <hyperlink ref="S1000" r:id="rId1971" xr:uid="{0CCE5A69-7CDB-48F8-A74E-3E4B0DF6FBE2}"/>
    <hyperlink ref="G1001" r:id="rId1972" xr:uid="{C2F756BE-2311-4C71-833D-5533DD09BA0F}"/>
    <hyperlink ref="S1001" r:id="rId1973" xr:uid="{7F839E8C-4955-4E88-9F95-62C62A4F7C8C}"/>
    <hyperlink ref="F1002" r:id="rId1974" xr:uid="{49307FB4-9E4E-4203-837A-19505331EA6C}"/>
    <hyperlink ref="G1002" r:id="rId1975" xr:uid="{92FF94D5-1B42-4995-9C15-F8030C0A5FDD}"/>
    <hyperlink ref="S1002" r:id="rId1976" xr:uid="{CED281B0-E433-4304-B13A-BB7B30BC8821}"/>
    <hyperlink ref="F1003" r:id="rId1977" xr:uid="{37873E3D-54AC-4BE7-B8D0-497833FF24FB}"/>
    <hyperlink ref="S1003" r:id="rId1978" xr:uid="{BAE20438-F788-4D01-A850-E5DF3F5F19AC}"/>
    <hyperlink ref="G1004" r:id="rId1979" xr:uid="{CC7438B2-7EE4-46CF-B65D-0379163B186D}"/>
    <hyperlink ref="S1004" r:id="rId1980" xr:uid="{414E05A8-DA6C-4414-A2E0-746058C961F3}"/>
    <hyperlink ref="F1005" r:id="rId1981" xr:uid="{438D5458-D1A2-4A35-B288-8CF8BAA99B75}"/>
    <hyperlink ref="G1005" r:id="rId1982" xr:uid="{9CC401EE-30CF-43D0-92BF-DB676B5B6D4A}"/>
    <hyperlink ref="S1005" r:id="rId1983" xr:uid="{8DC5BBCD-760D-4776-A5BD-F6B2F59C9AE5}"/>
    <hyperlink ref="G1006" r:id="rId1984" xr:uid="{35CCD6C9-A7A0-486B-8BCE-43506BA74BD3}"/>
    <hyperlink ref="S1006" r:id="rId1985" xr:uid="{ED40CD81-CAF2-4C27-9E47-C6EC70B2D513}"/>
    <hyperlink ref="F1007" r:id="rId1986" xr:uid="{E47B2673-0192-427C-832B-3D7048D51A30}"/>
    <hyperlink ref="S1007" r:id="rId1987" xr:uid="{E58E0C2B-3000-4A13-AF18-BFB6AF90D8FE}"/>
    <hyperlink ref="F1008" r:id="rId1988" xr:uid="{D6B4B985-AEC0-4A73-9896-D9598506E827}"/>
    <hyperlink ref="G1008" r:id="rId1989" xr:uid="{276AB9D5-73D0-44E3-80AD-D030C649C50D}"/>
    <hyperlink ref="S1008" r:id="rId1990" xr:uid="{385A301D-6881-4983-921F-B106EAF411DE}"/>
    <hyperlink ref="G1009" r:id="rId1991" xr:uid="{3D527A9C-22D8-46C0-9D27-CDA1DFF33E0E}"/>
    <hyperlink ref="F1011" r:id="rId1992" xr:uid="{40AB8511-3CCB-4C7C-9203-E3CCCCECFEE2}"/>
    <hyperlink ref="S1011" r:id="rId1993" xr:uid="{695B0C93-DE1F-4930-A092-64A3EC956FF1}"/>
    <hyperlink ref="F1012" r:id="rId1994" xr:uid="{E2C62F4A-6240-472D-BCED-DAC9D71E8039}"/>
    <hyperlink ref="S1012" r:id="rId1995" xr:uid="{32D35DD1-E1ED-48A4-9310-064383A235E0}"/>
    <hyperlink ref="G1013" r:id="rId1996" xr:uid="{CABD2C77-6B20-4A8A-ACE6-E28FADC448E8}"/>
    <hyperlink ref="F1014" r:id="rId1997" xr:uid="{2BEC2531-9C5F-4AE8-9781-36DE366D3EDD}"/>
    <hyperlink ref="G1014" r:id="rId1998" xr:uid="{4B9AA980-BD4A-412E-80E8-3A7275FD89EE}"/>
    <hyperlink ref="F1015" r:id="rId1999" xr:uid="{FCA487CB-708C-4C73-9A05-55647259A46F}"/>
    <hyperlink ref="G1015" r:id="rId2000" xr:uid="{1158532F-4E14-462E-A547-C27D065306B2}"/>
    <hyperlink ref="S1015" r:id="rId2001" xr:uid="{8BF07CE1-9C1E-4E3D-A4E4-1AC3EB66F375}"/>
    <hyperlink ref="F1016" r:id="rId2002" xr:uid="{B57B4BB4-E6FE-43D3-B98E-1CF0D7D607C3}"/>
    <hyperlink ref="F1017" r:id="rId2003" xr:uid="{B6B25F0B-609A-44C7-9D14-A7089D070A7F}"/>
    <hyperlink ref="G1017" r:id="rId2004" xr:uid="{83D5A56F-9BA8-4B6A-923E-5F1C0709DE29}"/>
    <hyperlink ref="S1017" r:id="rId2005" xr:uid="{A06670A1-1C8F-466F-AF65-7BDE3E751B7B}"/>
    <hyperlink ref="F1018" r:id="rId2006" xr:uid="{52407AE6-B644-4A9D-85F5-4D6111D56D6E}"/>
    <hyperlink ref="G1018" r:id="rId2007" xr:uid="{B3BACDC5-C4DD-4ECB-9A80-DCE2ADB05F17}"/>
    <hyperlink ref="S1018" r:id="rId2008" xr:uid="{37345BF6-9DFD-4D55-9EAC-D89E33D5C0A2}"/>
    <hyperlink ref="F1019" r:id="rId2009" xr:uid="{E91AEAA7-8C74-4B48-946C-789C507C63E8}"/>
    <hyperlink ref="S1019" r:id="rId2010" xr:uid="{278BD4DA-0A95-44E4-A1B1-A54CCA8CE429}"/>
    <hyperlink ref="F1020" r:id="rId2011" xr:uid="{D9D59DBD-3EB4-41E8-ABFC-8CFB7B886AB9}"/>
    <hyperlink ref="F1021" r:id="rId2012" xr:uid="{029A56CB-3BDE-4A7E-9599-DDD8AB79E092}"/>
    <hyperlink ref="S1021" r:id="rId2013" xr:uid="{550C7195-C9EA-4F2F-AF7D-8F175BDFA626}"/>
    <hyperlink ref="F1022" r:id="rId2014" xr:uid="{0FA395DD-CC50-4E15-BF07-DDA76A676F2A}"/>
    <hyperlink ref="G1022" r:id="rId2015" xr:uid="{EF2C8992-2A17-4CB4-88F5-BFEEEEA717F7}"/>
    <hyperlink ref="S1022" r:id="rId2016" xr:uid="{89A105D6-CC89-4F40-9247-48F0AAF74971}"/>
    <hyperlink ref="F1023" r:id="rId2017" xr:uid="{6D11E7FF-DB5E-422A-B51E-23074C932827}"/>
    <hyperlink ref="S1023" r:id="rId2018" xr:uid="{C4C4866B-32DF-4805-811D-4572AF7F2F77}"/>
    <hyperlink ref="F1024" r:id="rId2019" xr:uid="{AD87C952-6B27-430C-8E89-FB8F48149A8C}"/>
    <hyperlink ref="S1024" r:id="rId2020" xr:uid="{B2C03436-CD02-4B06-A1B5-09F8DDF6ECB7}"/>
    <hyperlink ref="F1025" r:id="rId2021" xr:uid="{8E9BD918-870D-4370-9EE1-16CD1CC484D9}"/>
    <hyperlink ref="F1026" r:id="rId2022" xr:uid="{BF039A75-6F5D-4858-BE60-5447031EC43B}"/>
    <hyperlink ref="S1026" r:id="rId2023" xr:uid="{CEF1751F-D206-420F-8FCF-B8231056CE61}"/>
    <hyperlink ref="F1027" r:id="rId2024" xr:uid="{2954EFDA-3E0B-4594-9348-66EF4BB38744}"/>
    <hyperlink ref="S1027" r:id="rId2025" xr:uid="{21ED1D1C-5E55-4019-938A-EF3898363CD2}"/>
    <hyperlink ref="F1028" r:id="rId2026" xr:uid="{393EC74F-932B-4B30-B060-2EBD698A80FB}"/>
    <hyperlink ref="G1028" r:id="rId2027" xr:uid="{2BE031E4-E741-499D-9FBD-53E287BC290A}"/>
    <hyperlink ref="S1028" r:id="rId2028" xr:uid="{AA7A3C10-2B3B-4174-ADEB-044847DE5B27}"/>
    <hyperlink ref="F1029" r:id="rId2029" xr:uid="{A8D63294-C99D-4E78-B176-67B4D17FB483}"/>
    <hyperlink ref="S1029" r:id="rId2030" xr:uid="{429ADA6A-5943-4CF3-B5AE-4D865A85AD30}"/>
    <hyperlink ref="F1030" r:id="rId2031" xr:uid="{E13B786C-BB05-4D90-813C-81C831C9E3DC}"/>
    <hyperlink ref="G1030" r:id="rId2032" xr:uid="{BF7D6383-69FF-4552-9310-056E91273FB5}"/>
    <hyperlink ref="S1030" r:id="rId2033" xr:uid="{E5555CAE-3BB5-4819-B40C-8D2D3D5C307F}"/>
    <hyperlink ref="G1031" r:id="rId2034" xr:uid="{F90DCD3C-2866-423C-9851-4147BB487F7B}"/>
    <hyperlink ref="S1031" r:id="rId2035" xr:uid="{C17214D1-0481-4C2B-8030-DF77C4B83647}"/>
    <hyperlink ref="F1032" r:id="rId2036" xr:uid="{72D90C29-622C-4D9F-BC9A-ADEBADA2F889}"/>
    <hyperlink ref="S1032" r:id="rId2037" xr:uid="{A1FEB66F-0525-4809-BE6F-0B82E67B05B5}"/>
    <hyperlink ref="F1033" r:id="rId2038" xr:uid="{451DEE62-1AB2-47B3-85BD-26472361B159}"/>
    <hyperlink ref="S1033" r:id="rId2039" xr:uid="{DB1A736C-A962-4AFC-AE21-8C4248D9AAC9}"/>
    <hyperlink ref="G1034" r:id="rId2040" xr:uid="{3F6F31E1-9FE5-41F1-A799-2C7D9F5F902A}"/>
    <hyperlink ref="F1036" r:id="rId2041" xr:uid="{43440C93-2DB3-4759-B63B-C491CB9FD9BD}"/>
    <hyperlink ref="S1037" r:id="rId2042" xr:uid="{CD3CA2ED-1570-4565-B2C9-0630476E308F}"/>
    <hyperlink ref="G1038" r:id="rId2043" xr:uid="{A021FF8C-9750-4D7E-B987-9D40B3F521CC}"/>
    <hyperlink ref="S1038" r:id="rId2044" xr:uid="{7FEC6586-3F39-468B-8F29-C263F9E1A3BD}"/>
    <hyperlink ref="F1039" r:id="rId2045" xr:uid="{E3B99033-989B-43DF-B5BC-85C53039F7A7}"/>
    <hyperlink ref="S1039" r:id="rId2046" xr:uid="{26D395BE-9DD0-43FB-B33F-623914E4C045}"/>
    <hyperlink ref="F1040" r:id="rId2047" xr:uid="{787D2114-9091-4A69-8070-B627D4553D05}"/>
    <hyperlink ref="G1040" r:id="rId2048" xr:uid="{B42B9586-D7FC-495E-B6A5-313E9626DF58}"/>
    <hyperlink ref="G1041" r:id="rId2049" xr:uid="{4AB6676A-2BCF-4CC0-A679-F5FDECB80111}"/>
    <hyperlink ref="S1041" r:id="rId2050" xr:uid="{88394C46-71AA-4E5B-AFF4-C35AC9F4A1C0}"/>
    <hyperlink ref="F1042" r:id="rId2051" xr:uid="{2BABA703-2CAC-4418-B91C-847EBDBDD57B}"/>
    <hyperlink ref="S1042" r:id="rId2052" xr:uid="{4D6853CE-E68B-4537-9745-574C85FFFFF0}"/>
    <hyperlink ref="F1043" r:id="rId2053" xr:uid="{E259633D-4E13-47C3-A04D-3F5ED7A98DDD}"/>
    <hyperlink ref="S1043" r:id="rId2054" xr:uid="{37EF07A1-5A8A-4459-9DBD-8616E0624E76}"/>
    <hyperlink ref="F1044" r:id="rId2055" xr:uid="{46AC5B5E-39CC-4991-98F9-386FCEB1194C}"/>
    <hyperlink ref="G1044" r:id="rId2056" xr:uid="{073D2639-4C3E-4E6E-A356-96064DBC6592}"/>
    <hyperlink ref="S1044" r:id="rId2057" xr:uid="{BC17A672-E1FF-4A79-BB84-A66E46F4EFA2}"/>
    <hyperlink ref="F1045" r:id="rId2058" xr:uid="{346FC366-C9B7-450F-B468-D001BD8F78E7}"/>
    <hyperlink ref="S1045" r:id="rId2059" xr:uid="{C8D0E2C1-D683-4F50-A994-2D8BCC409083}"/>
    <hyperlink ref="F1046" r:id="rId2060" xr:uid="{FA7A9EF8-AD8D-457A-8C87-D039B6E3EFE9}"/>
    <hyperlink ref="F1047" r:id="rId2061" xr:uid="{8E93AC57-BF1B-4783-A4BF-5F776440EEFD}"/>
    <hyperlink ref="G1047" r:id="rId2062" xr:uid="{F2C17C11-A62D-4B57-A7D9-8B13B39B010D}"/>
    <hyperlink ref="S1047" r:id="rId2063" xr:uid="{D04753F7-2514-46FB-B610-011C2470309E}"/>
    <hyperlink ref="G1048" r:id="rId2064" xr:uid="{A9F9412E-1830-4654-8C5A-3E1DBA89411C}"/>
    <hyperlink ref="S1048" r:id="rId2065" xr:uid="{6696C4C2-4038-41A0-A0A1-663FE9FDB233}"/>
    <hyperlink ref="F1049" r:id="rId2066" xr:uid="{090BC459-052E-406F-8D02-525987A1A6DB}"/>
    <hyperlink ref="S1049" r:id="rId2067" xr:uid="{EE0682FB-DC2E-4B8F-B3EE-232EBA18F23A}"/>
    <hyperlink ref="G1050" r:id="rId2068" xr:uid="{82BA0464-9B0A-4FA9-B9F6-B0D6AC940DD4}"/>
    <hyperlink ref="S1051" r:id="rId2069" xr:uid="{858F1156-B3E0-464F-8D1A-176681121B25}"/>
    <hyperlink ref="F1052" r:id="rId2070" xr:uid="{262326A7-E41D-47CC-A81B-DE5156D0150C}"/>
    <hyperlink ref="S1052" r:id="rId2071" xr:uid="{1A9C154C-0BDC-44FC-9849-505FCC067643}"/>
    <hyperlink ref="F1053" r:id="rId2072" xr:uid="{8B47BA64-0FF3-4AC2-855E-1E6BAF1D4A71}"/>
    <hyperlink ref="S1053" r:id="rId2073" xr:uid="{C7FB47D4-D435-4981-9364-697BF22304B7}"/>
    <hyperlink ref="F1054" r:id="rId2074" xr:uid="{36759F9C-6B08-4A99-9A7E-012ACEC0E126}"/>
    <hyperlink ref="S1054" r:id="rId2075" xr:uid="{D2E15E33-93A7-43FE-BA18-695D7B2C7363}"/>
    <hyperlink ref="F1055" r:id="rId2076" xr:uid="{C5B661D9-D50F-4757-9A15-FC602A769AFD}"/>
    <hyperlink ref="F1056" r:id="rId2077" xr:uid="{74C7C33C-98A1-46BD-A1F9-74AA4C125321}"/>
    <hyperlink ref="F1057" r:id="rId2078" xr:uid="{3B613F63-5638-460E-B8F1-DD264CF24192}"/>
    <hyperlink ref="F1058" r:id="rId2079" xr:uid="{8D819D7F-56B6-4275-ABCE-B0F626B85185}"/>
    <hyperlink ref="F1059" r:id="rId2080" xr:uid="{9427DBD8-E900-4969-8B7F-703DB4FF5ADC}"/>
    <hyperlink ref="F1060" r:id="rId2081" xr:uid="{4C5E7D52-320F-43B0-A042-B2A1805578EB}"/>
    <hyperlink ref="G1060" r:id="rId2082" xr:uid="{5099F469-CA88-46C3-99E9-B6A792B58AFE}"/>
    <hyperlink ref="F1061" r:id="rId2083" xr:uid="{A7D1B285-7C4C-46CC-920C-3FB9EDD28795}"/>
    <hyperlink ref="G1061" r:id="rId2084" xr:uid="{6904AA8D-394D-4ABF-A4CF-D6DE1E66BDEE}"/>
    <hyperlink ref="S1061" r:id="rId2085" xr:uid="{6C7FA983-9856-4620-B59B-F4FFFD1AC8D6}"/>
    <hyperlink ref="F1062" r:id="rId2086" location="ftag=CAD590a51e" xr:uid="{0BBF81D3-ACFB-42F2-9025-79C3E7E1B181}"/>
    <hyperlink ref="G1062" r:id="rId2087" xr:uid="{0868CC1B-352A-4FC2-8926-2E2CF05E67DE}"/>
    <hyperlink ref="S1062" r:id="rId2088" xr:uid="{AD1C2DDC-539C-4221-BC5C-735B84789407}"/>
    <hyperlink ref="F1063" r:id="rId2089" xr:uid="{F55BFEA6-259F-4AC4-B967-8E017E572749}"/>
    <hyperlink ref="F1064" r:id="rId2090" xr:uid="{EAEBF56F-ABD4-421B-8C50-73C12240BECF}"/>
    <hyperlink ref="S1066" r:id="rId2091" xr:uid="{E305AB38-4574-4F19-9C99-FA9ECE45FCEA}"/>
    <hyperlink ref="S1068" r:id="rId2092" xr:uid="{87552A8B-375B-4EFD-8E88-E1D2AD74F4E4}"/>
    <hyperlink ref="F1069" r:id="rId2093" xr:uid="{5BB80D86-93B4-453D-8D4C-621AA86E86E7}"/>
    <hyperlink ref="S1069" r:id="rId2094" xr:uid="{EF2B5F99-AE49-49DB-8AB8-C2B65CC28E95}"/>
    <hyperlink ref="F1070" r:id="rId2095" xr:uid="{1DB2D47F-DFE0-4D10-8BD1-F397214DC68F}"/>
    <hyperlink ref="S1070" r:id="rId2096" xr:uid="{6414AEA5-21E7-4182-A9D5-470DD9FFC750}"/>
    <hyperlink ref="F1071" r:id="rId2097" xr:uid="{C31062CF-15C3-4458-99EC-2DC7244F4203}"/>
    <hyperlink ref="S1071" r:id="rId2098" xr:uid="{8C561AB2-7969-4F78-9349-CC6AD0D2DF0B}"/>
    <hyperlink ref="G1072" r:id="rId2099" xr:uid="{EDE1A930-65F8-438A-8B9A-4C32D06D45ED}"/>
    <hyperlink ref="C1073" r:id="rId2100" xr:uid="{6B526771-4960-4E33-AFD0-B7465A71BA36}"/>
    <hyperlink ref="F1073" r:id="rId2101" xr:uid="{4726CA36-F4E3-4AE7-B42D-B106C566125F}"/>
    <hyperlink ref="S1073" r:id="rId2102" xr:uid="{1F39FDA6-D5EA-4841-AF37-E12639F7731C}"/>
    <hyperlink ref="G1074" r:id="rId2103" xr:uid="{BE2EC668-5DD9-40A7-8943-A3DC0F6433E2}"/>
    <hyperlink ref="S1074" r:id="rId2104" xr:uid="{3C73FF7D-7E3E-4602-8571-00EC44A7CCB6}"/>
    <hyperlink ref="F1075" r:id="rId2105" xr:uid="{BE7F7507-32B2-4553-89D4-93914A825532}"/>
    <hyperlink ref="F1076" r:id="rId2106" xr:uid="{8F2DF2AB-B3BB-4CD3-B208-89A147BC1BD0}"/>
    <hyperlink ref="G1078" r:id="rId2107" xr:uid="{01017F20-DCA1-4899-B34C-F2FDA477AC3D}"/>
    <hyperlink ref="S1078" r:id="rId2108" xr:uid="{398D6854-6CAC-49D9-AF9C-23A238CA8D49}"/>
    <hyperlink ref="F1079" r:id="rId2109" xr:uid="{5E7A6D8A-9474-4FBC-881B-BCAB1E67F136}"/>
    <hyperlink ref="G1079" r:id="rId2110" xr:uid="{52795497-9DEF-43A1-B829-28E4D0BA5096}"/>
    <hyperlink ref="S1079" r:id="rId2111" xr:uid="{596E8B0C-E3E2-4DFE-AD77-B6A998991628}"/>
    <hyperlink ref="F1080" r:id="rId2112" xr:uid="{4576E500-A66B-408C-AFA2-88C334391AFA}"/>
    <hyperlink ref="S1080" r:id="rId2113" xr:uid="{189684F0-B1DD-4CE3-A5C3-ED7D75C2F989}"/>
    <hyperlink ref="F1081" r:id="rId2114" xr:uid="{BC3FFD87-DB32-4000-8E82-ADB9E65F8529}"/>
    <hyperlink ref="S1081" r:id="rId2115" xr:uid="{11BEDDE3-83D0-4D5B-8C99-A2D8D7E26CB7}"/>
    <hyperlink ref="G1082" r:id="rId2116" xr:uid="{5F22E6F6-BE01-402B-B0D9-F6FDC1D8FA9F}"/>
    <hyperlink ref="S1082" r:id="rId2117" xr:uid="{2CB19BA2-AD8C-4B4F-A255-A2B7B0F4DD10}"/>
    <hyperlink ref="F1084" r:id="rId2118" xr:uid="{B9D403BB-4D38-4090-8CAB-B070167ED6BC}"/>
    <hyperlink ref="F1085" r:id="rId2119" xr:uid="{D243690D-9DF0-4824-827F-6CAD7A0AED27}"/>
    <hyperlink ref="S1085" r:id="rId2120" xr:uid="{99642C02-BE3E-4772-B6A6-133D8053762E}"/>
    <hyperlink ref="F1086" r:id="rId2121" xr:uid="{314580D6-4E89-4F76-B3FB-BA3017E81883}"/>
    <hyperlink ref="F1087" r:id="rId2122" xr:uid="{85FE5CD4-C494-4BF7-8318-E573E6186244}"/>
    <hyperlink ref="S1087" r:id="rId2123" xr:uid="{77FD3D56-1D60-410F-97F0-E77F519DAA47}"/>
    <hyperlink ref="F1088" r:id="rId2124" xr:uid="{6C9EB807-1AFD-4956-85B6-F6EEF108243F}"/>
    <hyperlink ref="F1089" r:id="rId2125" xr:uid="{34E606CB-EA4F-474B-8D78-1BA7725DCB09}"/>
    <hyperlink ref="S1089" r:id="rId2126" xr:uid="{EE8C818C-62F7-4CA0-99EF-014589C8D2D5}"/>
    <hyperlink ref="F1090" r:id="rId2127" xr:uid="{080FEDFC-8846-4FD9-A3F4-52AD5ACD9B19}"/>
    <hyperlink ref="G1091" r:id="rId2128" xr:uid="{B16D5DBE-F7C4-4A91-B515-5A0CB73ED4E1}"/>
    <hyperlink ref="S1091" r:id="rId2129" xr:uid="{35AE1B27-ABD5-4B16-A7BF-A987F03B4BD3}"/>
    <hyperlink ref="F1093" r:id="rId2130" xr:uid="{C1844269-319F-4741-88D6-07CF0DDE102F}"/>
    <hyperlink ref="F1094" r:id="rId2131" xr:uid="{DDB22693-C823-4156-804A-0C1F1D19881D}"/>
    <hyperlink ref="G1094" r:id="rId2132" xr:uid="{C4AB12AB-ED82-43F3-BAA9-CE13ACDC3D03}"/>
    <hyperlink ref="S1094" r:id="rId2133" xr:uid="{09C49F29-4A35-47EB-A7CF-B00B15BBC2F4}"/>
    <hyperlink ref="F1095" r:id="rId2134" xr:uid="{C43521CF-4DFA-4079-9C8B-AFB1B9DD41A6}"/>
    <hyperlink ref="S1095" r:id="rId2135" xr:uid="{CD7EDDCD-91FE-4639-9553-E8B38C7AE990}"/>
    <hyperlink ref="C1096" r:id="rId2136" xr:uid="{9B102B11-C0C6-47C1-8A0B-AB16735014CD}"/>
    <hyperlink ref="F1096" r:id="rId2137" xr:uid="{D6527288-E1A0-4537-9294-207D4376DF92}"/>
    <hyperlink ref="G1096" r:id="rId2138" xr:uid="{FC40EDC0-E231-4301-9333-372B5A9980E2}"/>
    <hyperlink ref="S1096" r:id="rId2139" xr:uid="{F95B1D63-E440-4F1E-A434-FE51E1C2FE1D}"/>
    <hyperlink ref="F1097" r:id="rId2140" xr:uid="{C8C959B7-5338-469D-B4C1-FED17E82F42D}"/>
    <hyperlink ref="F1098" r:id="rId2141" xr:uid="{67B66C4C-2379-491B-A1C4-0ECF298B4CED}"/>
    <hyperlink ref="G1098" r:id="rId2142" xr:uid="{F1C74FF0-A9E6-468E-856F-E65E42012723}"/>
    <hyperlink ref="S1098" r:id="rId2143" xr:uid="{DE710830-6696-4811-AB8A-40F75F6E11BA}"/>
    <hyperlink ref="G1099" r:id="rId2144" xr:uid="{9CBFA7DD-575E-43C5-98AE-361A4107E4BC}"/>
    <hyperlink ref="S1099" r:id="rId2145" xr:uid="{44676778-B3FF-486F-8631-FEFDBAED7663}"/>
    <hyperlink ref="F1100" r:id="rId2146" xr:uid="{D302AE74-FAD0-4218-BE13-44F8CBF0D8AB}"/>
    <hyperlink ref="S1100" r:id="rId2147" xr:uid="{4DFFE923-5D34-4CD3-94F7-340814FD3183}"/>
    <hyperlink ref="S1101" r:id="rId2148" xr:uid="{91A13618-F5F5-4032-B0EA-1721589A6CA5}"/>
    <hyperlink ref="F1102" r:id="rId2149" xr:uid="{BE4B365B-6538-4FEC-91D6-D6A8CE1773C1}"/>
    <hyperlink ref="G1102" r:id="rId2150" xr:uid="{44210562-BD7A-4E0C-89AD-8C82FB6DE9B7}"/>
    <hyperlink ref="S1102" r:id="rId2151" xr:uid="{CDC18CEF-BBF2-473F-BC3D-630E7CF4723E}"/>
    <hyperlink ref="F1103" r:id="rId2152" xr:uid="{AC8E7D67-E3AB-4029-BE94-4F1D349A9766}"/>
    <hyperlink ref="S1103" r:id="rId2153" xr:uid="{D95852ED-B8F6-4272-B99A-36356D8783D9}"/>
    <hyperlink ref="F1104" r:id="rId2154" xr:uid="{A231185B-F331-40CC-8F64-070CC3E4DD51}"/>
    <hyperlink ref="G1104" r:id="rId2155" xr:uid="{166C1350-0568-402D-952C-B942A8448BA7}"/>
    <hyperlink ref="S1104" r:id="rId2156" xr:uid="{E6A951AC-3D70-4480-B879-72E0B22808BB}"/>
    <hyperlink ref="F1105" r:id="rId2157" xr:uid="{4014EA24-030C-47D9-8BA1-8582E960C387}"/>
    <hyperlink ref="G1105" r:id="rId2158" xr:uid="{0AE392F0-525D-43DF-A5A2-21704F818624}"/>
    <hyperlink ref="G1106" r:id="rId2159" xr:uid="{D28C67A3-3BED-47BF-870D-A6C11CFD3164}"/>
    <hyperlink ref="S1106" r:id="rId2160" xr:uid="{5C7C637B-BF96-4B7C-9104-9D9E8BC55E41}"/>
    <hyperlink ref="F1107" r:id="rId2161" xr:uid="{A116E9E7-CDEB-4E6B-974E-1EC6FFFFC54C}"/>
    <hyperlink ref="G1107" r:id="rId2162" xr:uid="{3D15BE71-41D4-4FE9-B22B-16C60E350DBF}"/>
    <hyperlink ref="S1107" r:id="rId2163" xr:uid="{B3D93B9D-67D1-43BE-B975-CB027311F3F5}"/>
    <hyperlink ref="G1108" r:id="rId2164" xr:uid="{4B64D421-CD4A-4292-A8C3-CC2C8FC3A728}"/>
    <hyperlink ref="S1108" r:id="rId2165" xr:uid="{E1D09A55-C815-400D-96C4-20D630331184}"/>
    <hyperlink ref="S1109" r:id="rId2166" xr:uid="{6992CED3-7E2F-4E75-BAA4-C3166B554C7B}"/>
    <hyperlink ref="F1110" r:id="rId2167" xr:uid="{3C0974E5-A0EC-41D1-81CF-FFF646F36AF9}"/>
    <hyperlink ref="G1111" r:id="rId2168" xr:uid="{892C1051-1A35-4FF7-94AB-DB86EB98AD59}"/>
    <hyperlink ref="S1112" r:id="rId2169" xr:uid="{1A6C6763-091E-4A7D-A4DC-35C24A69DC68}"/>
    <hyperlink ref="F1113" r:id="rId2170" xr:uid="{DD4D8DF8-EBD3-4434-8929-63AF778AAFFA}"/>
    <hyperlink ref="G1114" r:id="rId2171" xr:uid="{666D6BE0-B72F-4C53-8036-596408F795E2}"/>
    <hyperlink ref="F1115" r:id="rId2172" xr:uid="{5FB2E655-1C55-48D0-884C-AC10F62A86F9}"/>
    <hyperlink ref="F1116" r:id="rId2173" xr:uid="{4CADAB00-35CA-4FFC-A7E5-89813BAC5649}"/>
    <hyperlink ref="G1116" r:id="rId2174" xr:uid="{8E62BA2D-23BD-4100-9CA7-050E29B1F13A}"/>
    <hyperlink ref="S1116" r:id="rId2175" xr:uid="{AC00D0BB-3DDF-45B1-A1E2-5DC9160A3ACA}"/>
    <hyperlink ref="F1117" r:id="rId2176" xr:uid="{D81456E5-00C0-4490-A027-6827AD5766DF}"/>
    <hyperlink ref="G1117" r:id="rId2177" xr:uid="{C9A53255-4FE5-46C9-8899-8E069BE10F61}"/>
    <hyperlink ref="S1117" r:id="rId2178" xr:uid="{BB64DA34-3AC2-4B8F-9539-06E3038817C5}"/>
    <hyperlink ref="G1118" r:id="rId2179" xr:uid="{2AFBF7C1-50E1-4956-A359-0F82F649FBBB}"/>
    <hyperlink ref="S1118" r:id="rId2180" xr:uid="{89850DBC-0EB6-4085-8248-903D70313B9E}"/>
    <hyperlink ref="F1119" r:id="rId2181" xr:uid="{9B0244B0-B8E2-43CD-B4C8-7411556DE352}"/>
    <hyperlink ref="S1119" r:id="rId2182" xr:uid="{613D2732-D7EB-4580-B8B7-17FD779CC040}"/>
    <hyperlink ref="F1120" r:id="rId2183" xr:uid="{05365A89-7D88-4A53-82BB-DF6C36AADA87}"/>
    <hyperlink ref="S1120" r:id="rId2184" xr:uid="{FA2466D0-195E-46D0-8386-B6E308E98D8B}"/>
    <hyperlink ref="F1122" r:id="rId2185" xr:uid="{678A3C20-44E1-4EB1-BB72-796170D05D80}"/>
    <hyperlink ref="S1122" r:id="rId2186" xr:uid="{424B6E99-C3C1-4CB1-82EA-91152318D5AE}"/>
    <hyperlink ref="F1123" r:id="rId2187" xr:uid="{DF1DD91C-9CE3-484F-B5D6-3A7BC1089F2F}"/>
    <hyperlink ref="F1124" r:id="rId2188" xr:uid="{B7D2AE90-6762-4DF0-BCD9-95F1E189074D}"/>
    <hyperlink ref="F1125" r:id="rId2189" xr:uid="{45798DEC-61CC-4462-A9FA-A0E1F0C813D2}"/>
    <hyperlink ref="G1125" r:id="rId2190" xr:uid="{B1C9FEAC-10FD-4370-A345-64519464B51D}"/>
    <hyperlink ref="S1125" r:id="rId2191" xr:uid="{5CFACC9E-3E4E-433D-B409-F2C8AF5B303D}"/>
    <hyperlink ref="F1126" r:id="rId2192" location=".YDSaptAVniM.twitter" xr:uid="{A8071CE0-341A-4A0C-BBD2-99C9830C1B68}"/>
    <hyperlink ref="S1126" r:id="rId2193" xr:uid="{55EC19C2-C491-48B0-A9D2-075ACA7C81E2}"/>
    <hyperlink ref="F1127" r:id="rId2194" xr:uid="{4F69BB56-1932-4D05-A722-41621BEBF253}"/>
    <hyperlink ref="F1128" r:id="rId2195" xr:uid="{E2D9A9B7-0B76-4CEF-A37C-E176B6B6500B}"/>
    <hyperlink ref="S1128" r:id="rId2196" xr:uid="{CEFF9DCC-AD99-4061-A911-977D70B82F06}"/>
    <hyperlink ref="F1129" r:id="rId2197" xr:uid="{3AA068F3-849C-47EA-926F-E477F7C04298}"/>
    <hyperlink ref="S1129" r:id="rId2198" xr:uid="{6619090D-A69F-48E7-B7B6-0C8BD6B930C0}"/>
    <hyperlink ref="G1130" r:id="rId2199" xr:uid="{4D3B05DA-4F6A-4130-86B7-5CA2FC85DE92}"/>
    <hyperlink ref="F1131" r:id="rId2200" xr:uid="{5E0FB5A1-75FF-4881-8C46-B717F0A04AF9}"/>
    <hyperlink ref="S1131" r:id="rId2201" xr:uid="{7DB3CCE1-F9A0-4028-9BE8-073515DBEDE5}"/>
    <hyperlink ref="F1132" r:id="rId2202" xr:uid="{73A8BF19-1419-4231-B514-17EB81E6F336}"/>
    <hyperlink ref="G1132" r:id="rId2203" xr:uid="{CD710820-F946-4F05-8EFD-672E6F4C181B}"/>
    <hyperlink ref="S1132" r:id="rId2204" xr:uid="{3A43AF68-8058-4E8B-8A82-FD80BD6785CA}"/>
    <hyperlink ref="G1133" r:id="rId2205" xr:uid="{71778EFD-146B-4B44-B05C-3D17A4106AA0}"/>
    <hyperlink ref="S1133" r:id="rId2206" xr:uid="{171A58F5-66B2-42F7-9358-230FBB8C77F7}"/>
    <hyperlink ref="G1134" r:id="rId2207" xr:uid="{888F9697-E107-412A-8F44-C3F3ED651A75}"/>
    <hyperlink ref="F1136" r:id="rId2208" xr:uid="{B86F32E8-6F67-45E8-8343-CF77653479DF}"/>
    <hyperlink ref="S1136" r:id="rId2209" xr:uid="{31F70C09-EB05-4E28-BDEE-6BE7EE812C6D}"/>
    <hyperlink ref="F1137" r:id="rId2210" xr:uid="{6A76EE0C-A931-4AB8-8CCD-D9294865DB05}"/>
    <hyperlink ref="G1137" r:id="rId2211" xr:uid="{4F059289-35E1-4E5F-8992-98515FE8199E}"/>
    <hyperlink ref="S1137" r:id="rId2212" xr:uid="{896FCB95-97C3-4E54-9C3D-6646A2CF9108}"/>
    <hyperlink ref="F1139" r:id="rId2213" xr:uid="{AB71ADCB-DC21-48A9-B90C-9295E725C2E0}"/>
    <hyperlink ref="S1139" r:id="rId2214" xr:uid="{BE017917-6528-4F77-AA09-2283480FC52C}"/>
    <hyperlink ref="F1140" r:id="rId2215" xr:uid="{CC6AA7A5-1AF3-4368-896C-3273F73C1E60}"/>
    <hyperlink ref="S1140" r:id="rId2216" xr:uid="{D411FE64-F13A-452A-93C3-0CD09C3E8AFB}"/>
    <hyperlink ref="F1141" r:id="rId2217" xr:uid="{C9D5C97F-679D-4236-85E4-EB7034892363}"/>
    <hyperlink ref="S1141" r:id="rId2218" xr:uid="{6AEDF2CA-7788-457F-8FF4-1B51275A6879}"/>
    <hyperlink ref="G1142" r:id="rId2219" xr:uid="{51A9C1CD-1CAC-4D9C-B1A3-D946ABCF212B}"/>
    <hyperlink ref="F1143" r:id="rId2220" xr:uid="{D3097691-78C9-4327-9C82-BF8CD1BD87F1}"/>
    <hyperlink ref="G1143" r:id="rId2221" xr:uid="{5A28D2DF-FAF4-4D86-9E87-7693DF6750A7}"/>
    <hyperlink ref="S1143" r:id="rId2222" xr:uid="{97462B05-0855-476C-9D5D-BB7FAA2421B5}"/>
    <hyperlink ref="F1144" r:id="rId2223" xr:uid="{B48CAABA-5F07-40A0-AE96-D8E064DFCD54}"/>
    <hyperlink ref="G1144" r:id="rId2224" xr:uid="{0A6A5A9C-A7D5-47F1-A5F9-3FFECAD184CC}"/>
    <hyperlink ref="S1144" r:id="rId2225" xr:uid="{069D46A9-C2C0-4FDF-B789-09D442A2181C}"/>
    <hyperlink ref="F1145" r:id="rId2226" xr:uid="{AACCB545-9F3F-4F8B-9A1A-5C1861CCDBE4}"/>
    <hyperlink ref="G1145" r:id="rId2227" xr:uid="{02AA1FE6-BE3C-4F25-A59E-BFBB704D2152}"/>
    <hyperlink ref="S1145" r:id="rId2228" xr:uid="{AEE4289C-3110-4D5F-A953-7C6992D73B2B}"/>
    <hyperlink ref="F1146" r:id="rId2229" xr:uid="{F22F57C4-2F59-4AE3-AFFA-8B92188BFB9C}"/>
    <hyperlink ref="G1146" r:id="rId2230" xr:uid="{349C2CD5-5E7B-4D90-88C4-72A8BB7625B0}"/>
    <hyperlink ref="S1146" r:id="rId2231" xr:uid="{4813B255-2047-42B2-9064-26DFCE37CD3C}"/>
    <hyperlink ref="F1147" r:id="rId2232" xr:uid="{CB03574E-F1E6-4BE1-8D47-4C27292FE192}"/>
    <hyperlink ref="G1147" r:id="rId2233" xr:uid="{D2A8793E-1F0D-436E-B30E-0834BF46CC2A}"/>
    <hyperlink ref="F1148" r:id="rId2234" xr:uid="{6C1AD27D-35D3-4F4C-BE4E-0AFF4965BCAE}"/>
    <hyperlink ref="G1148" r:id="rId2235" xr:uid="{20BC032C-5A64-45A2-AC26-BF13D73A8F27}"/>
    <hyperlink ref="G1149" r:id="rId2236" xr:uid="{24DDE2FD-A397-4753-90BA-892A762A8F2E}"/>
    <hyperlink ref="S1149" r:id="rId2237" xr:uid="{FF4620D9-4952-4818-A697-F046678BA1E0}"/>
    <hyperlink ref="F1150" r:id="rId2238" xr:uid="{AE91F6D5-875E-41C4-8EBD-7B3EBC7FB8EE}"/>
    <hyperlink ref="G1150" r:id="rId2239" xr:uid="{5231973E-E5CA-4A2F-B3C2-0C5D504BF4CE}"/>
    <hyperlink ref="G1151" r:id="rId2240" xr:uid="{C2606231-A757-47C6-81A6-9323ACB37B7B}"/>
    <hyperlink ref="S1151" r:id="rId2241" xr:uid="{F5C61F9A-768D-408D-8973-1502E42901D4}"/>
    <hyperlink ref="F1152" r:id="rId2242" xr:uid="{5A1B2565-F05B-4601-B3EE-795F463489EE}"/>
    <hyperlink ref="S1152" r:id="rId2243" xr:uid="{39FA2D90-8399-4235-AFAF-81CEDBDE68EE}"/>
    <hyperlink ref="F1153" r:id="rId2244" xr:uid="{330EAB52-EA96-4FE5-A010-0AFF0EEC6984}"/>
    <hyperlink ref="S1153" r:id="rId2245" xr:uid="{13051C80-6063-45FE-B583-FA1F1E7C5937}"/>
    <hyperlink ref="F1154" r:id="rId2246" xr:uid="{B81529EB-ECDC-42F9-8DC7-2858C5458D32}"/>
    <hyperlink ref="S1154" r:id="rId2247" xr:uid="{BD64025C-0443-4BD9-B2C6-D8CFBE78F2F0}"/>
    <hyperlink ref="F1155" r:id="rId2248" xr:uid="{25A5C3DA-184D-4E33-B27B-2958875907EA}"/>
    <hyperlink ref="S1155" r:id="rId2249" xr:uid="{C772DA36-3627-4072-AEB6-549F946208CD}"/>
    <hyperlink ref="F1156" r:id="rId2250" xr:uid="{3E8DCE61-3529-4797-B4FF-37B1CA4EC826}"/>
    <hyperlink ref="G1156" r:id="rId2251" xr:uid="{9384AFB0-C4FE-4F2B-A2FB-54771B3420D0}"/>
    <hyperlink ref="S1156" r:id="rId2252" xr:uid="{C0F948BB-CEA0-4086-A45E-AE7446AD0360}"/>
    <hyperlink ref="G1157" r:id="rId2253" xr:uid="{EC484DE5-F9FF-4AF6-AD79-17E93F362A3C}"/>
    <hyperlink ref="S1157" r:id="rId2254" xr:uid="{309E8F07-30DE-4F09-8364-4F991987D4A3}"/>
    <hyperlink ref="F1158" r:id="rId2255" xr:uid="{EB8B61F9-4B19-4CA1-9AB3-D20728FDF8C2}"/>
    <hyperlink ref="S1158" r:id="rId2256" xr:uid="{CEFB483C-05A5-4E7B-BBDF-82DD26B33E41}"/>
    <hyperlink ref="F1159" r:id="rId2257" xr:uid="{45D41D19-8303-4046-9A3A-D68A4CE21CE9}"/>
    <hyperlink ref="G1159" r:id="rId2258" xr:uid="{901C8959-8BF7-4200-99F9-E8263A841A9C}"/>
    <hyperlink ref="S1159" r:id="rId2259" xr:uid="{BAC2EFF2-3E84-4540-A477-BD025B641746}"/>
    <hyperlink ref="F1160" r:id="rId2260" xr:uid="{7AD9621C-E2DA-46B7-B202-DD70CD84D9CA}"/>
    <hyperlink ref="S1160" r:id="rId2261" xr:uid="{14549E28-49CE-4D3B-90E9-C455136B71E8}"/>
    <hyperlink ref="C1161" r:id="rId2262" xr:uid="{D5FA2728-25F7-4A09-875F-A3AE536D7CC8}"/>
    <hyperlink ref="F1161" r:id="rId2263" xr:uid="{CE7A7A4F-969B-41A2-8224-447E6D49E6B3}"/>
    <hyperlink ref="G1161" r:id="rId2264" xr:uid="{D741A6F9-FE46-4C72-A4FC-2537E660DFC2}"/>
    <hyperlink ref="S1161" r:id="rId2265" xr:uid="{9065DFA9-D968-41A7-928D-CD20DBB5D5F8}"/>
    <hyperlink ref="F1163" r:id="rId2266" xr:uid="{16ED8363-DD82-4B0F-8820-E261DFA9A719}"/>
    <hyperlink ref="G1163" r:id="rId2267" xr:uid="{B28E77CE-DEF9-47D7-BFC1-2978EF4BA7C6}"/>
    <hyperlink ref="S1163" r:id="rId2268" xr:uid="{24883ABC-D5D9-4B01-9BB9-CDD1F0669F93}"/>
    <hyperlink ref="F1164" r:id="rId2269" xr:uid="{66F6A074-2245-4178-A251-695DFE2387F7}"/>
    <hyperlink ref="G1164" r:id="rId2270" xr:uid="{26A74368-B831-4790-9AC1-1A7BAFE9AEC8}"/>
    <hyperlink ref="S1164" r:id="rId2271" xr:uid="{9300BE9A-CC17-499F-88B1-E8ECA0F3ED39}"/>
    <hyperlink ref="C1165" r:id="rId2272" xr:uid="{3D1045FD-5D00-4D32-B171-DFFB13DC03EC}"/>
    <hyperlink ref="G1165" r:id="rId2273" xr:uid="{2817DADB-065B-4495-8D7A-A69C7A0CD872}"/>
    <hyperlink ref="S1165" r:id="rId2274" xr:uid="{D1B8D454-B60C-401F-9DA7-CAEF3981CFEB}"/>
    <hyperlink ref="F1166" r:id="rId2275" xr:uid="{236A61C9-48AC-4F7E-A587-8C64D7FE8C1E}"/>
    <hyperlink ref="G1166" r:id="rId2276" xr:uid="{BCA5DD3D-3471-47C1-8798-A01DD4AFB854}"/>
    <hyperlink ref="S1166" r:id="rId2277" xr:uid="{49568EB5-C9B8-4AEC-B983-4092FA57C8C9}"/>
    <hyperlink ref="F1167" r:id="rId2278" xr:uid="{24986096-1858-4B6F-811B-B8336D872BA3}"/>
    <hyperlink ref="G1167" r:id="rId2279" xr:uid="{F452B9C7-7E5B-4B7A-96AA-4CB5C60DF481}"/>
    <hyperlink ref="S1167" r:id="rId2280" xr:uid="{B4C57CA5-B442-4A2F-8971-B1078E21122A}"/>
    <hyperlink ref="F1168" r:id="rId2281" xr:uid="{B9DB9810-36FA-4599-A615-778A36FC57CF}"/>
    <hyperlink ref="G1168" r:id="rId2282" xr:uid="{0402F69B-75EC-40EE-BC55-3331B074A39D}"/>
    <hyperlink ref="S1168" r:id="rId2283" xr:uid="{72CBE5FF-3445-4AF8-951D-EEFDF058F667}"/>
    <hyperlink ref="F1169" r:id="rId2284" xr:uid="{1A700BC7-6DAF-4A2D-BE84-25027BE7C8F5}"/>
    <hyperlink ref="G1169" r:id="rId2285" xr:uid="{B1799002-359E-49F3-A43E-06E0BCA305D0}"/>
    <hyperlink ref="S1169" r:id="rId2286" xr:uid="{316B315A-C0CC-499B-93CA-396AD2DB6D64}"/>
    <hyperlink ref="F1170" r:id="rId2287" xr:uid="{C215F24B-EFE4-49EB-814C-BD86293382C8}"/>
    <hyperlink ref="S1170" r:id="rId2288" xr:uid="{F4DBF2FB-B260-4F39-ACBF-8A7A25A33FBF}"/>
    <hyperlink ref="F1171" r:id="rId2289" xr:uid="{A7B419AD-B5FA-46CE-8130-E1A7A5CB02E6}"/>
    <hyperlink ref="G1171" r:id="rId2290" xr:uid="{A875D686-5139-42EF-AACB-37A5075A22D9}"/>
    <hyperlink ref="S1171" r:id="rId2291" xr:uid="{C294B869-198C-4412-8CE5-5FC32C50ACDF}"/>
    <hyperlink ref="F1173" r:id="rId2292" xr:uid="{656E5F43-72DF-4DD9-BADD-523D77768F5D}"/>
    <hyperlink ref="G1173" r:id="rId2293" xr:uid="{E4552A36-56FA-44AF-8ECA-1FAF68FF031D}"/>
    <hyperlink ref="S1173" r:id="rId2294" xr:uid="{C4C03EF6-2CCF-40C9-A97B-DB46818A429B}"/>
    <hyperlink ref="F1174" r:id="rId2295" xr:uid="{369540B4-569A-47F1-9619-79D5EE0395D3}"/>
    <hyperlink ref="G1175" r:id="rId2296" xr:uid="{29898958-09D6-40B8-BF3D-D50D2E5F53AC}"/>
    <hyperlink ref="F1176" r:id="rId2297" xr:uid="{ACDACB95-5012-4F35-8414-3BBB4B40F1B7}"/>
    <hyperlink ref="S1176" r:id="rId2298" xr:uid="{634291DE-253D-46C7-8711-A21028DB3FB2}"/>
    <hyperlink ref="F1177" r:id="rId2299" xr:uid="{E242B7F8-3446-4B48-A77E-FBBE6A1571DF}"/>
    <hyperlink ref="G1177" r:id="rId2300" xr:uid="{9F1CC216-A690-438D-806A-B4B3398DD13E}"/>
    <hyperlink ref="S1177" r:id="rId2301" xr:uid="{F79B155C-3392-40F7-9EDF-11F33331B620}"/>
    <hyperlink ref="F1178" r:id="rId2302" xr:uid="{71B23951-C6A0-4CAE-BAA1-1207AA8257DC}"/>
    <hyperlink ref="G1178" r:id="rId2303" xr:uid="{26501917-1BDB-4DFF-BABF-8C45F68A29DD}"/>
    <hyperlink ref="F1179" r:id="rId2304" xr:uid="{5F85BD5E-3B21-46D9-ADD4-6CD05CC3526F}"/>
    <hyperlink ref="G1179" r:id="rId2305" xr:uid="{8E07FF72-7E3A-4C09-AB22-B77F6D9755E6}"/>
    <hyperlink ref="F1181" r:id="rId2306" xr:uid="{9040E932-8128-4ACA-BFBE-19CC32C645AC}"/>
    <hyperlink ref="G1181" r:id="rId2307" xr:uid="{425B2C55-FD70-40FB-A72D-F1036C564BE6}"/>
    <hyperlink ref="G1182" r:id="rId2308" xr:uid="{B6DFFB11-CD72-44DC-A6B9-931C7A2D16E7}"/>
    <hyperlink ref="S1182" r:id="rId2309" xr:uid="{1F62D9CF-3751-476F-82DF-3212EA45952D}"/>
    <hyperlink ref="G1183" r:id="rId2310" xr:uid="{94481859-4285-40E9-AA9A-EFD40F264A9C}"/>
    <hyperlink ref="S1183" r:id="rId2311" xr:uid="{931F264D-04CE-4E9D-ABF8-7EC9BCD94F8B}"/>
    <hyperlink ref="F1184" r:id="rId2312" xr:uid="{89572BA2-1E55-479B-8673-B9ABFB0F934D}"/>
    <hyperlink ref="G1184" r:id="rId2313" xr:uid="{1E9BE094-A487-4AE1-92F7-E6A2EFB84B20}"/>
    <hyperlink ref="S1184" r:id="rId2314" xr:uid="{5C70FAF5-6C65-4E6D-BCC7-F5FBF19B2510}"/>
    <hyperlink ref="G1185" r:id="rId2315" xr:uid="{B45751D8-22AF-496F-911E-66E4DB7A2274}"/>
    <hyperlink ref="S1185" r:id="rId2316" xr:uid="{538E25A6-5EC1-4651-AAB4-A3ABE661DD3F}"/>
    <hyperlink ref="F1187" r:id="rId2317" xr:uid="{3D848618-32A0-4CC1-9B18-8480ABB4C3DC}"/>
    <hyperlink ref="S1187" r:id="rId2318" xr:uid="{9949FC07-373F-49A3-9259-5F0580FD7067}"/>
    <hyperlink ref="F1188" r:id="rId2319" xr:uid="{D1E54C50-582A-4F58-93E7-3017E2C8C62C}"/>
    <hyperlink ref="F1189" r:id="rId2320" xr:uid="{4BACD21C-7D38-41A1-ABEA-7E0D44486ECB}"/>
    <hyperlink ref="S1189" r:id="rId2321" xr:uid="{0C947A51-D943-42F4-B124-71726192EB8A}"/>
    <hyperlink ref="F1190" r:id="rId2322" xr:uid="{CD9CE3EF-705D-44A9-9C59-96871C197761}"/>
    <hyperlink ref="G1190" r:id="rId2323" xr:uid="{0AB2F251-E1F6-4166-A460-0CCECE07D382}"/>
    <hyperlink ref="S1190" r:id="rId2324" xr:uid="{0D2936A3-AA7F-4C52-B159-0B522053CC39}"/>
    <hyperlink ref="G1191" r:id="rId2325" xr:uid="{24C56E8C-6635-46DE-B974-D8A32E278588}"/>
    <hyperlink ref="F1192" r:id="rId2326" xr:uid="{63AB7701-7D2B-4F77-B825-09BF9A490A33}"/>
    <hyperlink ref="G1192" r:id="rId2327" xr:uid="{630D2A07-04B4-4A21-93D4-2EE213300EEC}"/>
    <hyperlink ref="F1193" r:id="rId2328" xr:uid="{347DF5FF-071A-4D1F-9710-455684F4E4D1}"/>
    <hyperlink ref="S1193" r:id="rId2329" xr:uid="{0788D809-1676-40D0-9337-2CEBCE141164}"/>
    <hyperlink ref="F1194" r:id="rId2330" xr:uid="{EFE85EA7-D5A2-4A69-94D6-A4E5E257ADE7}"/>
    <hyperlink ref="S1194" r:id="rId2331" xr:uid="{49B0A2AD-78B8-4168-AD05-5718FECAEAC7}"/>
    <hyperlink ref="F1195" r:id="rId2332" xr:uid="{8029D160-48C9-4B64-8765-B245AE81B020}"/>
    <hyperlink ref="G1195" r:id="rId2333" xr:uid="{AF3F734F-1BED-4978-A7BA-F45970EE6058}"/>
    <hyperlink ref="F1196" r:id="rId2334" xr:uid="{7A4E5FD0-1E47-484D-816A-54F1727CAE1A}"/>
    <hyperlink ref="S1196" r:id="rId2335" xr:uid="{A980700D-45E5-4E9C-9132-C041F875AD25}"/>
    <hyperlink ref="S1197" r:id="rId2336" xr:uid="{6265E378-F725-4FF7-BCFA-E3CF430AA000}"/>
    <hyperlink ref="F1198" r:id="rId2337" xr:uid="{03F033DF-84A8-44B5-A983-8D57B188F478}"/>
    <hyperlink ref="S1198" r:id="rId2338" xr:uid="{9F1B6286-9D04-4FDC-B6C1-3EE4BDA85242}"/>
    <hyperlink ref="F1199" r:id="rId2339" xr:uid="{043D52BF-C1E2-43C7-B370-CAABF1C2571D}"/>
    <hyperlink ref="S1199" r:id="rId2340" xr:uid="{3B79287A-D737-4EBB-8E2C-3C7477234275}"/>
    <hyperlink ref="F1200" r:id="rId2341" xr:uid="{454985B5-243D-4221-BF3B-B8886FFA947A}"/>
    <hyperlink ref="G1200" r:id="rId2342" xr:uid="{905CB0F0-B143-4F96-901C-A5272469B26A}"/>
    <hyperlink ref="F1201" r:id="rId2343" xr:uid="{E5114107-70C1-4E03-BC55-4113A39C3722}"/>
    <hyperlink ref="S1201" r:id="rId2344" xr:uid="{9A8B5E44-3B57-42A2-B8FB-0B3C6D88834E}"/>
    <hyperlink ref="G1202" r:id="rId2345" xr:uid="{E15B06DF-5106-42DE-99AD-1B039867FE9F}"/>
    <hyperlink ref="S1202" r:id="rId2346" xr:uid="{B97B39A1-3780-43F9-AFBC-3A718F510370}"/>
    <hyperlink ref="F1203" r:id="rId2347" xr:uid="{6402DC40-5CE6-4C5C-B007-F62EE1BD324C}"/>
    <hyperlink ref="S1203" r:id="rId2348" xr:uid="{58FB4AF2-9EB3-4C98-9C52-CDC90529377D}"/>
    <hyperlink ref="F1204" r:id="rId2349" xr:uid="{CA071C9C-3369-400F-A855-91DC67F5AF1C}"/>
    <hyperlink ref="G1204" r:id="rId2350" xr:uid="{B97852FF-1B1D-4749-8200-2662E9FE6C87}"/>
    <hyperlink ref="S1204" r:id="rId2351" xr:uid="{2D05D03D-AA5A-4B69-9FA3-96C5CBA16061}"/>
    <hyperlink ref="F1205" r:id="rId2352" xr:uid="{7DE82530-4610-415D-BCA8-03E0AD481C20}"/>
    <hyperlink ref="G1205" r:id="rId2353" xr:uid="{CE083D8B-5A14-46CE-8A99-B514E2693048}"/>
    <hyperlink ref="S1205" r:id="rId2354" xr:uid="{25619F52-19FB-440B-9BEB-5F544735E003}"/>
    <hyperlink ref="F1206" r:id="rId2355" xr:uid="{10B19607-3BF2-4FA2-9857-DC7DA4B9D41C}"/>
    <hyperlink ref="S1206" r:id="rId2356" xr:uid="{2BB11AF0-88E7-48FA-A30D-2A89A094B348}"/>
    <hyperlink ref="S1207" r:id="rId2357" xr:uid="{CB02218B-38F5-431C-ADE8-3870661173BF}"/>
    <hyperlink ref="F1208" r:id="rId2358" xr:uid="{E9370270-6D6E-4CD5-89F4-9D0BECBEE034}"/>
    <hyperlink ref="G1208" r:id="rId2359" xr:uid="{546B3AB3-EC05-4AA7-BFF4-5459258093BD}"/>
    <hyperlink ref="S1208" r:id="rId2360" xr:uid="{64EA7C07-DB78-46ED-A7F1-932E406BCA41}"/>
    <hyperlink ref="G1209" r:id="rId2361" xr:uid="{B9D77FFC-5889-42E7-A7B2-648D87AE130E}"/>
    <hyperlink ref="F1210" r:id="rId2362" xr:uid="{43F1D3B2-F242-4378-9456-642CE0DC2A73}"/>
    <hyperlink ref="G1210" r:id="rId2363" xr:uid="{50B1EC9B-18B8-411E-A009-7CAD74C86CB8}"/>
    <hyperlink ref="G1211" r:id="rId2364" xr:uid="{BA70F323-3361-4D32-852A-52F3E8CC2770}"/>
    <hyperlink ref="S1211" r:id="rId2365" xr:uid="{CF64DD33-35E0-4A1A-9182-47FBDA6600AD}"/>
    <hyperlink ref="F1212" r:id="rId2366" xr:uid="{9064B1B6-EC32-4246-A5B2-9B51B1853764}"/>
    <hyperlink ref="G1212" r:id="rId2367" xr:uid="{3DE11BE6-0B2D-4592-8F41-EF022B288047}"/>
    <hyperlink ref="S1212" r:id="rId2368" xr:uid="{0C0566EE-6B68-4970-A150-5DE6C6877A77}"/>
    <hyperlink ref="F1213" r:id="rId2369" xr:uid="{3A50548E-0E8A-4F74-85F6-421DF34EB54C}"/>
    <hyperlink ref="G1213" r:id="rId2370" xr:uid="{DCC853D0-482A-462C-B3D5-1F1D309F8538}"/>
    <hyperlink ref="S1213" r:id="rId2371" xr:uid="{378E83E5-FB19-4821-9DBF-10E68063457F}"/>
    <hyperlink ref="F1214" r:id="rId2372" xr:uid="{006951E9-8F13-4DEE-96A2-8205302C23C1}"/>
    <hyperlink ref="S1214" r:id="rId2373" xr:uid="{9C070F8D-4B8F-4724-856C-20C9F4746066}"/>
    <hyperlink ref="S1215" r:id="rId2374" xr:uid="{79AE9C5F-F4E3-4B62-B50A-748ECF206269}"/>
    <hyperlink ref="F1216" r:id="rId2375" xr:uid="{74566684-34FE-44E6-A162-E35A6325CF71}"/>
    <hyperlink ref="S1216" r:id="rId2376" xr:uid="{11EA888E-5A0E-44A2-8D1E-39DC97AA495C}"/>
    <hyperlink ref="F1217" r:id="rId2377" xr:uid="{8EC5EEDC-D459-4F70-8DCA-613D11D743EA}"/>
    <hyperlink ref="S1217" r:id="rId2378" xr:uid="{D9F4CF55-3CF6-408B-805D-2E9A4832D15E}"/>
    <hyperlink ref="F1218" r:id="rId2379" xr:uid="{67AA5557-B108-4161-B3EE-EA4BFF206ABD}"/>
    <hyperlink ref="S1218" r:id="rId2380" xr:uid="{9E5F59B0-FDC7-4313-B0C2-17DE750F6992}"/>
    <hyperlink ref="F1219" r:id="rId2381" xr:uid="{993B7D73-9D75-431A-8172-DC748DC59A46}"/>
    <hyperlink ref="F1220" r:id="rId2382" xr:uid="{F8E0572B-48E1-4CBF-8553-37D5692155B5}"/>
    <hyperlink ref="S1220" r:id="rId2383" xr:uid="{01AC4119-8178-4579-B39F-3F450A0201C3}"/>
    <hyperlink ref="F1221" r:id="rId2384" xr:uid="{16C95D32-DED8-4688-B745-F9330B5A20C8}"/>
    <hyperlink ref="G1221" r:id="rId2385" xr:uid="{39E1369F-5D87-4490-86C9-CD5F05C73AD8}"/>
    <hyperlink ref="S1221" r:id="rId2386" xr:uid="{E57E47F9-B71D-4393-AA81-3ACE9611D522}"/>
    <hyperlink ref="G1222" r:id="rId2387" xr:uid="{625CFF68-3680-491E-AC26-B6D01EBCBF7F}"/>
    <hyperlink ref="S1222" r:id="rId2388" xr:uid="{98A5F086-7AFE-47FD-9812-FDCD1288BA7A}"/>
    <hyperlink ref="F1223" r:id="rId2389" xr:uid="{463E1139-1ED7-47CA-A837-515A4C251218}"/>
    <hyperlink ref="S1223" r:id="rId2390" xr:uid="{D7B1997B-8B7A-456A-A6E2-971F0E45F665}"/>
    <hyperlink ref="F1224" r:id="rId2391" xr:uid="{12E63187-8702-40EC-8074-D90E7C41BD46}"/>
    <hyperlink ref="F1225" r:id="rId2392" xr:uid="{74F78A0E-C0AA-4B06-B029-534DFB50C43A}"/>
    <hyperlink ref="G1225" r:id="rId2393" xr:uid="{293281D3-15FF-428D-9AE5-2B11AA0013BC}"/>
    <hyperlink ref="S1225" r:id="rId2394" xr:uid="{0B6E0E23-4F5E-40C4-A4DE-2A68D5DC9E79}"/>
    <hyperlink ref="S1226" r:id="rId2395" xr:uid="{AE02BA89-C6C6-4C30-A6EF-FAB4835625FA}"/>
    <hyperlink ref="F1227" r:id="rId2396" xr:uid="{770899A3-46E6-4D00-95B2-EE588946515E}"/>
    <hyperlink ref="G1227" r:id="rId2397" xr:uid="{655FFA0B-CA0F-43C3-963B-4C94A2E692E9}"/>
    <hyperlink ref="S1227" r:id="rId2398" xr:uid="{58B9FD5E-5956-4E98-886C-7A45D2A34AFC}"/>
    <hyperlink ref="F1228" r:id="rId2399" xr:uid="{72764303-39B6-407F-866D-8A6D8C7E5D56}"/>
    <hyperlink ref="S1228" r:id="rId2400" xr:uid="{042F2A1B-CF55-4AAD-B3AD-5D7C7272A582}"/>
    <hyperlink ref="F1229" r:id="rId2401" xr:uid="{7946C19D-2EC4-4626-AA17-25636DD8B5AF}"/>
    <hyperlink ref="S1229" r:id="rId2402" xr:uid="{72657EEA-FC4F-4053-A8BA-98F79CA011C9}"/>
    <hyperlink ref="F1231" r:id="rId2403" xr:uid="{F2EF6693-C8CE-405A-8377-372DE3663BFD}"/>
    <hyperlink ref="G1231" r:id="rId2404" xr:uid="{C445B15A-057D-4E94-AFDA-D9CB561C693A}"/>
    <hyperlink ref="S1231" r:id="rId2405" xr:uid="{792E7FFB-EB46-4FF1-B9C6-1BA97382CD67}"/>
    <hyperlink ref="F1232" r:id="rId2406" xr:uid="{85F24F8D-1148-47FF-9B30-06A60755FA33}"/>
    <hyperlink ref="S1232" r:id="rId2407" xr:uid="{860E9A00-EF53-425A-A92D-06C8F65388E8}"/>
    <hyperlink ref="F1233" r:id="rId2408" xr:uid="{6EF70C0D-869C-4771-BE94-1569337F09C6}"/>
    <hyperlink ref="G1233" r:id="rId2409" xr:uid="{CA3BFAA7-4A7B-4388-8254-88CE146AC36C}"/>
    <hyperlink ref="F1234" r:id="rId2410" xr:uid="{6E65F356-ADD8-4A5E-9C38-77D21F733414}"/>
    <hyperlink ref="G1234" r:id="rId2411" xr:uid="{36202C8D-644D-413C-BF6F-70E7EDFF2D78}"/>
    <hyperlink ref="G1235" r:id="rId2412" xr:uid="{E2AFF4E4-7076-401D-81A0-11DEC4B998F7}"/>
    <hyperlink ref="S1235" r:id="rId2413" xr:uid="{C36C74E8-F939-4C70-BAFA-B6BC18C6FCAF}"/>
    <hyperlink ref="G1236" r:id="rId2414" xr:uid="{46EC4B60-88E1-42A8-BCBD-BEC1FF72F216}"/>
    <hyperlink ref="S1236" r:id="rId2415" xr:uid="{90F820EE-7D1C-428B-8680-865E19B25C11}"/>
    <hyperlink ref="F1237" r:id="rId2416" xr:uid="{FE44A3E1-7781-4F74-B479-53A323A3DB41}"/>
    <hyperlink ref="S1237" r:id="rId2417" xr:uid="{D996DB04-2988-4BC3-92ED-93269AA468F0}"/>
    <hyperlink ref="F1238" r:id="rId2418" xr:uid="{F82F0320-EB64-407E-AC9A-17BFE5730C54}"/>
    <hyperlink ref="S1238" r:id="rId2419" xr:uid="{C04A2796-73CC-4E63-B1C8-595C36447102}"/>
    <hyperlink ref="F1239" r:id="rId2420" xr:uid="{A66855DF-BD7B-4BE8-9A61-E257586A7DBC}"/>
    <hyperlink ref="S1239" r:id="rId2421" xr:uid="{913A4549-0BDE-4DB1-9B9F-E5B6AF46C812}"/>
    <hyperlink ref="F1240" r:id="rId2422" xr:uid="{41942F7D-3533-439A-8984-49E561298CE9}"/>
    <hyperlink ref="G1240" r:id="rId2423" xr:uid="{DC84ABBD-D633-456C-8EB3-CEFD7839E743}"/>
    <hyperlink ref="S1240" r:id="rId2424" xr:uid="{925315F0-A958-49E0-A5F0-571D7B05EF54}"/>
    <hyperlink ref="F1241" r:id="rId2425" xr:uid="{EB448581-A915-4A9A-B1F7-2C8074D5AA87}"/>
    <hyperlink ref="G1241" r:id="rId2426" xr:uid="{F8A0C4D1-C369-479A-841E-0AFD3587051F}"/>
    <hyperlink ref="S1241" r:id="rId2427" xr:uid="{8F4CBABE-5A69-4151-8702-33A178ABB264}"/>
    <hyperlink ref="F1242" r:id="rId2428" xr:uid="{E35A6690-09D0-494A-A207-6135363B6A23}"/>
    <hyperlink ref="G1242" r:id="rId2429" xr:uid="{820BAAF4-67AB-4733-B48D-5C6D11B2FE80}"/>
    <hyperlink ref="G1243" r:id="rId2430" xr:uid="{4CD0E74B-AC43-4B85-8ED6-25825C90BE8E}"/>
    <hyperlink ref="S1243" r:id="rId2431" xr:uid="{E97E0E6B-7B13-4EB0-84E9-F2691F4680B8}"/>
    <hyperlink ref="F1244" r:id="rId2432" xr:uid="{EAB4B87E-21CC-4BFA-A825-D379BCFC0CF9}"/>
    <hyperlink ref="F1245" r:id="rId2433" xr:uid="{27F575A6-C073-42D0-960E-FDAF93796BEA}"/>
    <hyperlink ref="F1246" r:id="rId2434" xr:uid="{9693AC8B-90A1-4561-8749-91F51658FECB}"/>
    <hyperlink ref="G1246" r:id="rId2435" xr:uid="{D01A6CB5-DBD7-460C-9AF6-3ADF6FEB550A}"/>
    <hyperlink ref="S1246" r:id="rId2436" xr:uid="{3C60865D-F34E-4319-979F-646F81F8936B}"/>
    <hyperlink ref="F1247" r:id="rId2437" xr:uid="{DBC54347-538E-4E2E-89F0-BCC25DE1F3BB}"/>
    <hyperlink ref="S1247" r:id="rId2438" xr:uid="{C5C8FA8C-8381-4F5E-85BB-CB4B9F3C116D}"/>
    <hyperlink ref="F1248" r:id="rId2439" xr:uid="{A920C1AE-D119-473D-9003-D957F06B2EB9}"/>
    <hyperlink ref="S1248" r:id="rId2440" xr:uid="{A6924422-B883-4249-983F-FA03AEE2C708}"/>
    <hyperlink ref="F1249" r:id="rId2441" xr:uid="{5627170B-9C70-4F6C-A8B7-E7C50C9290F0}"/>
    <hyperlink ref="S1249" r:id="rId2442" xr:uid="{0488EE32-B0FC-4AD3-9024-07B2149AB42F}"/>
    <hyperlink ref="F1250" r:id="rId2443" xr:uid="{68592081-11A3-4301-8FDB-BD5EFB898A6B}"/>
    <hyperlink ref="G1250" r:id="rId2444" xr:uid="{C6C760DF-378D-470C-8ACA-78EC29DDE4EC}"/>
    <hyperlink ref="F1251" r:id="rId2445" xr:uid="{493B3968-69A9-4BFA-9B09-35DE46E8EC82}"/>
    <hyperlink ref="G1251" r:id="rId2446" xr:uid="{553C6409-80CD-42B5-94E6-75B8604BF46B}"/>
    <hyperlink ref="S1251" r:id="rId2447" xr:uid="{E18FCC86-0745-46D7-96FF-2FF200A43073}"/>
    <hyperlink ref="G1252" r:id="rId2448" xr:uid="{2BDDD13A-A435-40B8-AF31-077BC0B1C2D7}"/>
    <hyperlink ref="S1252" r:id="rId2449" xr:uid="{B58C2AFB-DC26-475D-AECC-E7728363A630}"/>
    <hyperlink ref="F1253" r:id="rId2450" xr:uid="{64899B12-1B3A-4A17-AD2D-58821B77E75D}"/>
    <hyperlink ref="S1253" r:id="rId2451" xr:uid="{01C74D91-94CE-4525-B625-03E30487B7E2}"/>
    <hyperlink ref="F1254" r:id="rId2452" xr:uid="{CED4BB6D-B9B7-4F11-9DF4-85A80979FB5A}"/>
    <hyperlink ref="S1254" r:id="rId2453" xr:uid="{AB576A45-9B99-4907-B54A-7D25381AF9CF}"/>
    <hyperlink ref="F1255" r:id="rId2454" xr:uid="{9532503E-5B2D-4CF6-ABC3-7C20F2CF0C5B}"/>
    <hyperlink ref="S1255" r:id="rId2455" xr:uid="{729AC954-CD5D-4676-A00A-AC92430F9392}"/>
    <hyperlink ref="F1256" r:id="rId2456" xr:uid="{EFA74D98-5BB1-48B5-9C01-13FCEC341B24}"/>
    <hyperlink ref="S1256" r:id="rId2457" xr:uid="{1A0AE64C-3A6F-4D09-98ED-62B1EC94FC96}"/>
    <hyperlink ref="F1257" r:id="rId2458" xr:uid="{968980A0-8705-4616-8D0D-007D65D074C7}"/>
    <hyperlink ref="S1257" r:id="rId2459" xr:uid="{568383B1-5089-472C-8B3D-9FBAD50BB8E6}"/>
    <hyperlink ref="F1258" r:id="rId2460" xr:uid="{9312527A-D4F5-488C-86C6-8BF181E1B1B7}"/>
    <hyperlink ref="S1258" r:id="rId2461" xr:uid="{0A808CB7-5CC4-4A59-8103-33AD072F4EDB}"/>
    <hyperlink ref="F1259" r:id="rId2462" xr:uid="{3F022233-FB30-45A4-B664-427AB694AB5B}"/>
    <hyperlink ref="G1259" r:id="rId2463" xr:uid="{F4E86EE6-8EE0-467F-AEB2-5DF3B356C0BB}"/>
    <hyperlink ref="S1259" r:id="rId2464" xr:uid="{9C5D7ACD-6272-4F70-AC0B-01CB797FD0F8}"/>
    <hyperlink ref="F1260" r:id="rId2465" xr:uid="{20566713-0A85-4202-86A6-0FF950DEDC97}"/>
    <hyperlink ref="F1261" r:id="rId2466" xr:uid="{6075B479-676A-41F6-BAF9-C2743B9071CF}"/>
    <hyperlink ref="S1261" r:id="rId2467" xr:uid="{5DD34EE2-4E40-4CA7-9938-491C35795D5B}"/>
    <hyperlink ref="F1262" r:id="rId2468" xr:uid="{4EB4601C-D084-4AF9-9950-7C7302E5C1E7}"/>
    <hyperlink ref="G1262" r:id="rId2469" xr:uid="{0E131FF8-5E44-4C47-A941-271C9F6BF9F8}"/>
    <hyperlink ref="S1262" r:id="rId2470" xr:uid="{C7DAF875-84CC-4516-8A33-6F5ECF5F4B91}"/>
    <hyperlink ref="F1263" r:id="rId2471" xr:uid="{7BB2ACF7-BBE6-41CE-8AF1-93C8CA410258}"/>
    <hyperlink ref="F1264" r:id="rId2472" xr:uid="{154DCDAD-38CE-4154-90D7-77EDD6C1ECFB}"/>
    <hyperlink ref="S1265" r:id="rId2473" xr:uid="{F7F5E76E-6688-4CF7-A160-3D70C66A63EF}"/>
    <hyperlink ref="G1266" r:id="rId2474" xr:uid="{DBCC3336-F2A4-4211-91E8-588E4655C479}"/>
    <hyperlink ref="F1267" r:id="rId2475" xr:uid="{744F5B10-FEC4-445B-860D-4BE78AA6C108}"/>
    <hyperlink ref="F1269" r:id="rId2476" xr:uid="{4A32F1B9-2371-4A9F-9C35-B569D0F21173}"/>
    <hyperlink ref="F1270" r:id="rId2477" xr:uid="{72A972A3-44EB-47BC-85DB-B5590DEBAAAD}"/>
    <hyperlink ref="S1270" r:id="rId2478" xr:uid="{BBBB8958-8464-4DBE-A212-5AD484D36AB9}"/>
    <hyperlink ref="F1271" r:id="rId2479" xr:uid="{38177392-BDC6-4EDC-B44C-D017B882F1A7}"/>
    <hyperlink ref="G1271" r:id="rId2480" xr:uid="{747357F7-2E5C-440A-81F6-76C07D4BEF80}"/>
    <hyperlink ref="S1271" r:id="rId2481" xr:uid="{5761FCBD-B214-4D8B-8690-3E2F2AEF44DA}"/>
    <hyperlink ref="F1272" r:id="rId2482" xr:uid="{80E3D897-1FD0-4ADB-93AB-A9BD9B19DB42}"/>
    <hyperlink ref="G1272" r:id="rId2483" xr:uid="{3FAD8158-32DA-440D-BC28-50DB4087DABC}"/>
    <hyperlink ref="S1272" r:id="rId2484" xr:uid="{35A5F494-8E81-4EC4-BE6A-1B9CC952BFDE}"/>
    <hyperlink ref="F1273" r:id="rId2485" xr:uid="{11C18B95-BD0A-4374-9684-855B8CD88F65}"/>
    <hyperlink ref="S1274" r:id="rId2486" xr:uid="{BDCCCE63-E38F-4AC8-A090-F31216331B65}"/>
    <hyperlink ref="S1275" r:id="rId2487" xr:uid="{ED42009A-8E72-4629-B9D9-7D14E6F17C65}"/>
    <hyperlink ref="F1276" r:id="rId2488" xr:uid="{042FD110-4A19-4AF5-88A6-69FDAB9E87B3}"/>
    <hyperlink ref="F1277" r:id="rId2489" xr:uid="{E7D20EE9-9E2A-472C-9521-6E121FAFB472}"/>
    <hyperlink ref="S1277" r:id="rId2490" xr:uid="{FE6F5E61-FD88-42AE-83F1-8091F832CAED}"/>
    <hyperlink ref="G1278" r:id="rId2491" xr:uid="{9469AECA-045D-49AB-B89A-47EC2C43B63F}"/>
    <hyperlink ref="S1278" r:id="rId2492" xr:uid="{6BF3C364-A125-4962-94DA-E26B7537EB2E}"/>
    <hyperlink ref="F1279" r:id="rId2493" xr:uid="{FBB3FD09-18C8-40C9-8068-0E4583131B28}"/>
    <hyperlink ref="G1279" r:id="rId2494" xr:uid="{21E058E6-814C-44CE-984E-230C9F08BB03}"/>
    <hyperlink ref="S1279" r:id="rId2495" xr:uid="{E53095EF-D4AE-42AC-81DD-93974A7CED0A}"/>
    <hyperlink ref="F1280" r:id="rId2496" xr:uid="{8F40582F-29FF-4060-8DC6-29146F5D704D}"/>
    <hyperlink ref="G1281" r:id="rId2497" xr:uid="{39C0290A-D428-4B8B-905A-07BE6ABDBF7C}"/>
    <hyperlink ref="F1282" r:id="rId2498" xr:uid="{EC818441-BC41-4D3C-8A0D-E3F910D8B566}"/>
    <hyperlink ref="G1283" r:id="rId2499" xr:uid="{1FC21936-41A6-4BD1-9543-89978B42943A}"/>
    <hyperlink ref="F1284" r:id="rId2500" xr:uid="{E5D34D00-D3F4-4887-A2CE-610C9C05AC53}"/>
    <hyperlink ref="S1284" r:id="rId2501" xr:uid="{AC47FF65-7C97-4933-BA79-0C7F964A7AD1}"/>
    <hyperlink ref="F1285" r:id="rId2502" xr:uid="{9F76F8EB-CE19-4C7B-BB6B-8E887D7FF09A}"/>
    <hyperlink ref="S1285" r:id="rId2503" xr:uid="{05AA1916-655F-4C57-B39E-D06A264F442D}"/>
    <hyperlink ref="F1286" r:id="rId2504" xr:uid="{AEE3A64D-AED2-4A13-B3BB-58E86105D439}"/>
    <hyperlink ref="S1286" r:id="rId2505" xr:uid="{62AFF6B2-6D57-48A8-B083-6E99DEFE461E}"/>
    <hyperlink ref="F1287" r:id="rId2506" xr:uid="{A8F52AC3-F6B0-4644-93E8-345E8BD66C46}"/>
    <hyperlink ref="F1288" r:id="rId2507" xr:uid="{72CE3B5A-4351-4120-A3F8-2D66E28C0FC8}"/>
    <hyperlink ref="F1289" r:id="rId2508" xr:uid="{0607D4E4-7E29-4D08-98CB-353B7C9D0154}"/>
    <hyperlink ref="G1289" r:id="rId2509" xr:uid="{4020A245-61C2-4278-90BB-BAB9C57F7BEB}"/>
    <hyperlink ref="S1289" r:id="rId2510" xr:uid="{CDB692EC-2F4D-4351-931E-6717A7C0177F}"/>
    <hyperlink ref="F1290" r:id="rId2511" xr:uid="{DD12FE92-883F-4172-B763-E37C390AFB41}"/>
    <hyperlink ref="S1290" r:id="rId2512" xr:uid="{9650CB14-D6B4-4C1F-8C72-0A0C215D057E}"/>
    <hyperlink ref="F1291" r:id="rId2513" xr:uid="{38CAD2BE-A786-443B-8D53-6EABE9B0F798}"/>
    <hyperlink ref="S1291" r:id="rId2514" xr:uid="{1C23B1A9-3CF6-4752-BBC4-0D128FA44D2B}"/>
    <hyperlink ref="F1292" r:id="rId2515" xr:uid="{97761C27-BD3E-4BDC-B327-8266C9D8EE90}"/>
    <hyperlink ref="G1292" r:id="rId2516" xr:uid="{6B2029F5-4851-4971-8FCB-BBC7D999F374}"/>
    <hyperlink ref="S1292" r:id="rId2517" xr:uid="{9C15C304-2F43-4B2F-9C43-AC0E4307DB70}"/>
    <hyperlink ref="S1293" r:id="rId2518" xr:uid="{47B563C4-BA0F-4151-A645-BDB18892544D}"/>
    <hyperlink ref="G1294" r:id="rId2519" xr:uid="{644EC9AB-A83B-472B-B8DD-3C3EF15DA351}"/>
    <hyperlink ref="S1294" r:id="rId2520" xr:uid="{815F7C8D-AC87-43C7-B569-F5E16C4E8758}"/>
    <hyperlink ref="F1295" r:id="rId2521" xr:uid="{F0200EA3-5049-4095-8FE5-520D65689068}"/>
    <hyperlink ref="G1295" r:id="rId2522" xr:uid="{A09475E7-E095-41B2-907F-F293E2F0820E}"/>
    <hyperlink ref="F1296" r:id="rId2523" xr:uid="{E7789396-49BB-4619-B7E4-2275B6E7ED94}"/>
    <hyperlink ref="S1296" r:id="rId2524" xr:uid="{26ABACAA-E50F-4D76-B27F-D8430DAF5CB5}"/>
    <hyperlink ref="C1297" r:id="rId2525" xr:uid="{3EA3E0D3-35DA-444E-898E-480CD97DA140}"/>
    <hyperlink ref="F1297" r:id="rId2526" xr:uid="{D444593A-4455-402F-8D4E-A4A9C2A60D07}"/>
    <hyperlink ref="S1297" r:id="rId2527" xr:uid="{2B9BAA70-BC2D-45AB-99A5-CFAB5E39BE77}"/>
    <hyperlink ref="F1298" r:id="rId2528" xr:uid="{9DA1D4EF-B465-4284-953C-F095EF7F7F8C}"/>
    <hyperlink ref="F1299" r:id="rId2529" xr:uid="{415154F5-5354-4A58-BBDC-C94B960E5608}"/>
    <hyperlink ref="G1299" r:id="rId2530" xr:uid="{4AB776FF-30B2-4CCE-8F46-6E4AE8C0AD3D}"/>
    <hyperlink ref="S1299" r:id="rId2531" xr:uid="{8E30EE2E-63F9-424D-B215-BC977C2F2CA6}"/>
    <hyperlink ref="F1300" r:id="rId2532" xr:uid="{52B1A996-7049-4EEE-8E70-6E847C6DC745}"/>
    <hyperlink ref="S1300" r:id="rId2533" xr:uid="{F73D08A8-CA84-403B-93E3-BB439B049EC1}"/>
    <hyperlink ref="G1301" r:id="rId2534" xr:uid="{79E80E53-BA93-4C79-AA3B-00880770F3AA}"/>
    <hyperlink ref="F1302" r:id="rId2535" xr:uid="{F7851B57-EF5F-419D-91A6-819D30CEC816}"/>
    <hyperlink ref="G1302" r:id="rId2536" xr:uid="{B1F882D7-F885-4A29-96C3-419C1DA06659}"/>
    <hyperlink ref="S1302" r:id="rId2537" xr:uid="{8352334F-B409-4782-BD91-920E6BE09305}"/>
    <hyperlink ref="F1303" r:id="rId2538" xr:uid="{F87CB3CC-7C9C-41BA-ADD2-C94BF77E7DCD}"/>
    <hyperlink ref="S1303" r:id="rId2539" xr:uid="{9CB09326-7586-4748-B608-2D55B47FEC27}"/>
    <hyperlink ref="F1304" r:id="rId2540" xr:uid="{543F56AF-EA0A-4DA2-AE99-C769BE237F33}"/>
    <hyperlink ref="F1305" r:id="rId2541" xr:uid="{D102168A-2C1F-4E70-966C-264525F53D44}"/>
    <hyperlink ref="S1305" r:id="rId2542" xr:uid="{3C3FF109-4DBC-4563-A64A-244B3366254C}"/>
    <hyperlink ref="F1306" r:id="rId2543" xr:uid="{F01B169E-F8C3-499D-8BFB-06107C4259C3}"/>
    <hyperlink ref="S1306" r:id="rId2544" xr:uid="{C8B3CCE6-91C1-4E1E-98E5-6A60DDF247B9}"/>
    <hyperlink ref="F1307" r:id="rId2545" xr:uid="{257C860A-478F-4BEE-89D3-57CB3FC72A54}"/>
    <hyperlink ref="G1307" r:id="rId2546" xr:uid="{B5D496BD-5B3B-4ECF-BF1C-1EE04A22E562}"/>
    <hyperlink ref="S1307" r:id="rId2547" xr:uid="{C61A2FEA-E7F7-43C8-A9FB-025AFE1AC3FC}"/>
    <hyperlink ref="F1309" r:id="rId2548" xr:uid="{0552FEC9-6260-4D3D-B155-23916EC03303}"/>
    <hyperlink ref="S1309" r:id="rId2549" xr:uid="{8B27B3F0-1579-424F-8D86-991C8A6E11D2}"/>
    <hyperlink ref="F1310" r:id="rId2550" xr:uid="{FCE2C31E-BF9F-4BAF-9A19-0AFAA7A501BF}"/>
    <hyperlink ref="G1310" r:id="rId2551" xr:uid="{B153120D-76FD-49F3-BC9D-9AEC71B57803}"/>
    <hyperlink ref="S1310" r:id="rId2552" xr:uid="{D5A8A077-61F2-4125-9B53-5F1A5D927D5F}"/>
    <hyperlink ref="F1311" r:id="rId2553" xr:uid="{544E4D8B-40B5-4BE5-9714-1308C848072B}"/>
    <hyperlink ref="S1312" r:id="rId2554" xr:uid="{7FEADEEF-00D4-48CF-B07B-C52A0FF716B1}"/>
    <hyperlink ref="F1313" r:id="rId2555" xr:uid="{9FD3B147-AD04-4D73-9741-DF607233BFF5}"/>
    <hyperlink ref="S1313" r:id="rId2556" xr:uid="{E97A55F9-E08B-4EB8-B99B-10EDB29B7C72}"/>
    <hyperlink ref="F1314" r:id="rId2557" xr:uid="{E1968500-310F-47EF-B10B-3B6ADE5F84E2}"/>
    <hyperlink ref="S1314" r:id="rId2558" xr:uid="{C1BFA94C-3F5D-4986-BF0A-7683E57DC241}"/>
    <hyperlink ref="F1315" r:id="rId2559" xr:uid="{8DCF282C-5B08-4292-8132-33DDD1E32CBE}"/>
    <hyperlink ref="F1316" r:id="rId2560" xr:uid="{A78F0F21-C165-444D-B30D-E3E9C1790123}"/>
    <hyperlink ref="S1316" r:id="rId2561" xr:uid="{1473683B-9509-4A92-9F81-40C1DA7E6DFA}"/>
    <hyperlink ref="F1317" r:id="rId2562" xr:uid="{79CDAE53-D2B2-44AA-A074-A312FEEDFB78}"/>
    <hyperlink ref="S1317" r:id="rId2563" xr:uid="{35225435-5AFE-4FA9-AC2B-05E53C86FAF0}"/>
    <hyperlink ref="F1318" r:id="rId2564" xr:uid="{6BA8B574-DFA0-4610-A815-BFE8DE9A6CD8}"/>
    <hyperlink ref="S1318" r:id="rId2565" xr:uid="{7DE7ADFB-FA28-4F6D-BE17-87C6603A5490}"/>
    <hyperlink ref="F1319" r:id="rId2566" xr:uid="{87062107-4A99-4750-8BC1-8FD5E381A819}"/>
    <hyperlink ref="F1320" r:id="rId2567" xr:uid="{97665F4C-DE5E-45B2-ADF6-D8939D6478FF}"/>
    <hyperlink ref="S1320" r:id="rId2568" xr:uid="{7B0121A8-721B-4A18-8235-9D96187C9762}"/>
    <hyperlink ref="F1321" r:id="rId2569" xr:uid="{A62508CB-A66A-4004-89E3-79738085471F}"/>
    <hyperlink ref="S1321" r:id="rId2570" xr:uid="{DE98D587-6221-4685-BD80-E3724875524E}"/>
    <hyperlink ref="F1322" r:id="rId2571" xr:uid="{382B701A-85C4-4F02-8DA3-A851201464F5}"/>
    <hyperlink ref="G1322" r:id="rId2572" xr:uid="{F1F465BB-8BF6-4CAE-BA80-94D20C68ACE6}"/>
    <hyperlink ref="S1322" r:id="rId2573" xr:uid="{62B45618-1153-402E-92BB-AD18530B380D}"/>
    <hyperlink ref="F1323" r:id="rId2574" xr:uid="{61D74E57-C2BE-49F6-953F-159AA08E0303}"/>
    <hyperlink ref="G1323" r:id="rId2575" xr:uid="{268020A0-9225-4CF0-B714-1ECE127984BE}"/>
    <hyperlink ref="S1323" r:id="rId2576" xr:uid="{CF7D2F91-2EE4-4B72-8E83-839C05A35FE7}"/>
    <hyperlink ref="F1324" r:id="rId2577" xr:uid="{BABB24F8-FC22-46EE-8D75-A31BDE0A5348}"/>
    <hyperlink ref="S1324" r:id="rId2578" xr:uid="{CD4D0A9C-6FAB-4816-8B29-197D66D1006E}"/>
    <hyperlink ref="F1325" r:id="rId2579" xr:uid="{90F02CE6-8868-4A50-AD66-BAFD5253F038}"/>
    <hyperlink ref="G1326" r:id="rId2580" xr:uid="{949EE2DD-235D-4C09-865E-1EA460BB2328}"/>
    <hyperlink ref="S1326" r:id="rId2581" xr:uid="{A83986C0-E914-4231-9239-0F2C7D0CF48B}"/>
    <hyperlink ref="F1327" r:id="rId2582" xr:uid="{F4BBD39D-94B6-497E-801A-B5971461AF77}"/>
    <hyperlink ref="S1327" r:id="rId2583" xr:uid="{EBEE8BBE-C1C9-4F37-90BA-C679E02CECB2}"/>
    <hyperlink ref="F1328" r:id="rId2584" xr:uid="{F381854A-2B37-4435-8CF0-156D3DA16D29}"/>
    <hyperlink ref="S1329" r:id="rId2585" xr:uid="{07124B49-9190-411B-B888-6CF79A6D7E6F}"/>
    <hyperlink ref="F1330" r:id="rId2586" xr:uid="{8DFD669B-C481-4758-BA16-12D46DB55E2A}"/>
    <hyperlink ref="F1331" r:id="rId2587" xr:uid="{1C225E33-7CBB-4370-A5B7-30DEA8D3BB8D}"/>
    <hyperlink ref="G1331" r:id="rId2588" xr:uid="{D9913A21-D771-4C66-878B-398682748546}"/>
    <hyperlink ref="S1331" r:id="rId2589" xr:uid="{B70D873B-AAB6-4C6F-BA29-7195A4231547}"/>
    <hyperlink ref="F1332" r:id="rId2590" xr:uid="{2C609A6A-077C-4BD1-A70E-4FCE9BB6AD4F}"/>
    <hyperlink ref="F1333" r:id="rId2591" xr:uid="{79E7849F-CD73-484B-8A06-F1E66FBD558D}"/>
    <hyperlink ref="S1333" r:id="rId2592" xr:uid="{9AE943B5-51A2-42D1-8215-CCC0167605FA}"/>
    <hyperlink ref="F1334" r:id="rId2593" xr:uid="{0881015A-EB60-4AE7-98D3-27CA04F02436}"/>
    <hyperlink ref="F1335" r:id="rId2594" xr:uid="{E56AC251-DB84-4C22-BEDB-5EB0A7AFCCE5}"/>
    <hyperlink ref="S1335" r:id="rId2595" xr:uid="{85B9A8F4-F5E9-4410-AEC6-9DCA55FEFBB2}"/>
    <hyperlink ref="S1336" r:id="rId2596" xr:uid="{68DB9A69-BA6B-4C02-90FF-4FF41476B2E0}"/>
    <hyperlink ref="F1337" r:id="rId2597" xr:uid="{F37A2B0A-9559-4E91-9523-8206135E8EB1}"/>
    <hyperlink ref="S1337" r:id="rId2598" xr:uid="{8817F072-337C-4656-A0C2-0B2544C720E4}"/>
    <hyperlink ref="F1338" r:id="rId2599" xr:uid="{68F4179B-38E6-4559-806C-9B7CF04F9F25}"/>
    <hyperlink ref="F1339" r:id="rId2600" xr:uid="{4C6141F9-4C1A-408B-85C0-C1C209D30A90}"/>
    <hyperlink ref="S1339" r:id="rId2601" xr:uid="{876B11F5-2F50-4AC3-89A5-FD8F5A3FC0C4}"/>
    <hyperlink ref="F1340" r:id="rId2602" location="ftag=CAD590a51e" xr:uid="{080FC935-569F-4491-84E3-F7EACB07A2B8}"/>
    <hyperlink ref="G1340" r:id="rId2603" xr:uid="{EBD83E91-3B9C-4D01-AEC7-B2A86929DA76}"/>
    <hyperlink ref="S1341" r:id="rId2604" xr:uid="{100BD89C-C72E-423B-B31E-3031B41B97E2}"/>
    <hyperlink ref="F1342" r:id="rId2605" xr:uid="{1A830D13-84A4-4AE9-BB8B-E53E1F6AEF90}"/>
    <hyperlink ref="G1342" r:id="rId2606" xr:uid="{AA0A0DCD-E56A-492E-A178-0FDB2254505D}"/>
    <hyperlink ref="S1342" r:id="rId2607" xr:uid="{22376288-AF39-4C07-9819-250F92F1F41D}"/>
    <hyperlink ref="F1343" r:id="rId2608" xr:uid="{46120D91-5955-4201-9C57-DD8CEA7A985D}"/>
    <hyperlink ref="G1343" r:id="rId2609" xr:uid="{76E9B53D-97A5-4B60-9A56-0EEB7C22AC12}"/>
    <hyperlink ref="S1343" r:id="rId2610" xr:uid="{A00D39A4-514F-4A3F-820F-F12947F83FDA}"/>
    <hyperlink ref="F1344" r:id="rId2611" xr:uid="{BB79B784-7934-4AD4-94AD-9673A370B21D}"/>
    <hyperlink ref="S1344" r:id="rId2612" xr:uid="{CE3347B9-BB86-44A5-9D5D-E7BF9A65DAC7}"/>
    <hyperlink ref="G1345" r:id="rId2613" xr:uid="{5FAD0627-DEAE-47B2-A492-967902F88126}"/>
    <hyperlink ref="S1345" r:id="rId2614" xr:uid="{6BB7FACA-0D9B-4EB4-BD48-D5F9A35AA93F}"/>
    <hyperlink ref="G1346" r:id="rId2615" xr:uid="{41F59818-510B-445D-9246-166287FB4D5F}"/>
    <hyperlink ref="S1346" r:id="rId2616" xr:uid="{DE7F0264-FEF4-43B6-99DF-59CC4075BD20}"/>
    <hyperlink ref="F1347" r:id="rId2617" xr:uid="{63F7D1F0-7469-4A76-8C7B-51F15B36498C}"/>
    <hyperlink ref="S1347" r:id="rId2618" xr:uid="{67E86230-DC3E-4CF9-A839-F7CF9315E530}"/>
    <hyperlink ref="F1348" r:id="rId2619" xr:uid="{E66934B3-ABB9-428F-99C7-C9BE8622E573}"/>
    <hyperlink ref="S1348" r:id="rId2620" xr:uid="{B6A0CE15-6C6F-41F3-9332-038AC2E90C35}"/>
    <hyperlink ref="F1349" r:id="rId2621" xr:uid="{DFFC7648-5671-4ED8-80C5-BF78587C7D14}"/>
    <hyperlink ref="G1349" r:id="rId2622" xr:uid="{D0CC6EB5-EFED-47EC-888A-F603F7C0B860}"/>
    <hyperlink ref="F1350" r:id="rId2623" xr:uid="{76DC3A7B-365E-4C10-8814-6758932CE5C4}"/>
    <hyperlink ref="S1350" r:id="rId2624" xr:uid="{C6674C84-94A9-4005-BAED-9DBBA1A8C8EF}"/>
    <hyperlink ref="G1351" r:id="rId2625" xr:uid="{AF939D66-EEEE-4509-831E-8F785FC53CEA}"/>
    <hyperlink ref="F1352" r:id="rId2626" xr:uid="{F7F67F2E-02E1-4FB2-A60B-9341F2995C06}"/>
    <hyperlink ref="S1352" r:id="rId2627" xr:uid="{388B18DC-BEE0-4BFA-949F-3264D1A1CB5A}"/>
    <hyperlink ref="F1353" r:id="rId2628" xr:uid="{E355B904-655C-43E9-8BD3-655B1D231A01}"/>
    <hyperlink ref="S1353" r:id="rId2629" xr:uid="{88E0A490-7763-44F7-9381-969E80176BC4}"/>
    <hyperlink ref="F1354" r:id="rId2630" xr:uid="{C17FD3F1-48E4-42E9-847C-00565414AF61}"/>
    <hyperlink ref="G1354" r:id="rId2631" xr:uid="{4E97A176-7EBD-4198-B3A9-E721335F011E}"/>
    <hyperlink ref="S1354" r:id="rId2632" xr:uid="{18F6C391-4595-4623-A23B-40D71AB69E4F}"/>
    <hyperlink ref="F1355" r:id="rId2633" xr:uid="{60C1E691-FE0D-4B5D-9DD2-9F4AECD101EB}"/>
    <hyperlink ref="S1355" r:id="rId2634" xr:uid="{74E27A4E-020C-4BB3-8CD7-BEA02AF36E49}"/>
    <hyperlink ref="F1356" r:id="rId2635" xr:uid="{39EF0D6E-DB28-41EF-B77E-8B672E8E8B7A}"/>
    <hyperlink ref="G1356" r:id="rId2636" xr:uid="{D639E202-DE97-4B91-8D1A-6273147E78CF}"/>
    <hyperlink ref="F1357" r:id="rId2637" xr:uid="{CBBB86EB-EB02-44AF-86C9-7C03DF45B74D}"/>
    <hyperlink ref="S1357" r:id="rId2638" xr:uid="{406D6A1A-8D6E-4387-A9E9-4390EF2832ED}"/>
    <hyperlink ref="F1358" r:id="rId2639" xr:uid="{C55461CC-E8C4-4905-91F5-BDC4C324053D}"/>
    <hyperlink ref="F1359" r:id="rId2640" xr:uid="{247A2AE7-95AC-42AE-A787-9A58EAFE2E2D}"/>
    <hyperlink ref="S1359" r:id="rId2641" xr:uid="{9B85839D-0D29-4DFD-A3F1-81C8043D3349}"/>
    <hyperlink ref="F1360" r:id="rId2642" xr:uid="{29C95D3B-437A-40D7-9235-F60A251380FF}"/>
    <hyperlink ref="G1360" r:id="rId2643" xr:uid="{464126B2-0620-4F9E-9E2E-7478DF17E7A8}"/>
    <hyperlink ref="S1360" r:id="rId2644" xr:uid="{C70B9D6F-3663-4B7D-B734-CD7D108566AC}"/>
    <hyperlink ref="S1361" r:id="rId2645" xr:uid="{A0F84B34-D637-4651-AEB2-FBD6EF0601D7}"/>
    <hyperlink ref="F1362" r:id="rId2646" xr:uid="{F18EDD14-4428-4E37-98E5-C673F04C44A1}"/>
    <hyperlink ref="S1362" r:id="rId2647" xr:uid="{38C4DF3D-0055-43F9-8888-B18708131B09}"/>
    <hyperlink ref="F1363" r:id="rId2648" xr:uid="{97DCED79-6E33-4F94-8960-CC234107FA48}"/>
    <hyperlink ref="S1363" r:id="rId2649" xr:uid="{5935E0AB-6DF2-4EF3-A528-A95286E3AB45}"/>
    <hyperlink ref="F1364" r:id="rId2650" xr:uid="{66704D33-F85A-4409-9675-AD405512806E}"/>
    <hyperlink ref="S1364" r:id="rId2651" xr:uid="{62442BB4-98C3-45EE-91CD-656EFC5E09EB}"/>
    <hyperlink ref="F1365" r:id="rId2652" xr:uid="{2DCB3FAD-D5FF-4A42-B7C2-73A54176E1BC}"/>
    <hyperlink ref="G1365" r:id="rId2653" xr:uid="{364E9C6C-F360-45C1-98FC-B5E704C35C3F}"/>
    <hyperlink ref="F1366" r:id="rId2654" xr:uid="{47CE4673-BBC8-47F5-9CBC-E7B20016460A}"/>
    <hyperlink ref="S1366" r:id="rId2655" xr:uid="{2E14E127-4DE2-4687-933A-AA5B1F4FED89}"/>
    <hyperlink ref="F1367" r:id="rId2656" xr:uid="{75192586-A973-4A3A-AC37-DAE6DE865099}"/>
    <hyperlink ref="G1367" r:id="rId2657" xr:uid="{CB9F2403-0777-4063-90C4-D78455935AAE}"/>
    <hyperlink ref="S1367" r:id="rId2658" xr:uid="{AA541CD5-63EF-4BC6-A721-9D351F9A0DCF}"/>
    <hyperlink ref="G1368" r:id="rId2659" xr:uid="{078F0E9B-DE08-4C60-BF93-8645571CF1CC}"/>
    <hyperlink ref="F1369" r:id="rId2660" xr:uid="{46878844-7C8A-4386-A40A-6A14300B0807}"/>
    <hyperlink ref="S1369" r:id="rId2661" xr:uid="{A35A8BE3-06AA-4D9B-9D92-5C58F3E0CB78}"/>
    <hyperlink ref="F1370" r:id="rId2662" xr:uid="{1D452DF5-D778-4374-BBF6-5DCC5925079E}"/>
    <hyperlink ref="G1370" r:id="rId2663" xr:uid="{44554D79-4BCD-45EF-9F65-7ACC6FF6A829}"/>
    <hyperlink ref="S1370" r:id="rId2664" xr:uid="{7F04D11C-739C-41CD-8BCE-3876F20440DE}"/>
    <hyperlink ref="F1371" r:id="rId2665" xr:uid="{C097C22A-A95E-4CC3-BDEB-2B035C246CE6}"/>
    <hyperlink ref="S1371" r:id="rId2666" xr:uid="{6502073B-7C4C-46C6-9DC2-18D8CDC93754}"/>
    <hyperlink ref="F1372" r:id="rId2667" xr:uid="{94187345-1D45-47CE-8ECD-AA5CC25D68AF}"/>
    <hyperlink ref="G1372" r:id="rId2668" xr:uid="{A15452A7-BE8B-4C8F-8B4F-C46FDBF206D5}"/>
    <hyperlink ref="S1372" r:id="rId2669" xr:uid="{27516C35-FD8D-4D53-B50A-95B6ED18E22D}"/>
    <hyperlink ref="F1373" r:id="rId2670" xr:uid="{F5D0378B-D8D9-4B61-A775-3B8864479B4B}"/>
    <hyperlink ref="F1374" r:id="rId2671" xr:uid="{AF75A703-8FD1-42D4-9039-6021E669B6EE}"/>
    <hyperlink ref="G1374" r:id="rId2672" xr:uid="{51E16C66-09CE-4A25-A4DC-1A7EC310B771}"/>
    <hyperlink ref="F1375" r:id="rId2673" xr:uid="{2DD9F310-BF93-455D-BD53-54EB905D648B}"/>
    <hyperlink ref="F1376" r:id="rId2674" xr:uid="{59469D5E-5F59-4926-AEC2-3AF7B4331782}"/>
    <hyperlink ref="F1377" r:id="rId2675" xr:uid="{D6EB4C0C-C4FE-4470-8D28-6A72849A6D31}"/>
    <hyperlink ref="S1377" r:id="rId2676" xr:uid="{8CC7647E-1D6F-4676-83F9-4B9A78180743}"/>
    <hyperlink ref="F1378" r:id="rId2677" xr:uid="{0F24D526-B4B3-4037-A1E3-14709C4DDEC0}"/>
    <hyperlink ref="F1379" r:id="rId2678" xr:uid="{6E6E8345-28A4-440D-B589-9ECBF089E42D}"/>
    <hyperlink ref="S1379" r:id="rId2679" xr:uid="{32BAF923-02D8-416B-937F-5EFFAA602D97}"/>
    <hyperlink ref="F1380" r:id="rId2680" xr:uid="{95C9DD1E-ACCE-49D5-A96C-DEEE30C1A302}"/>
    <hyperlink ref="F1381" r:id="rId2681" xr:uid="{7DCC0873-E4D2-4A18-9AF6-E3FD9D16A9D7}"/>
    <hyperlink ref="S1381" r:id="rId2682" xr:uid="{3875206A-0094-46AE-9445-DB0149F12EFD}"/>
    <hyperlink ref="F1382" r:id="rId2683" xr:uid="{6AE708C1-2E25-4CE6-B616-B076ED954757}"/>
    <hyperlink ref="G1382" r:id="rId2684" xr:uid="{2A40F393-7803-4DBA-9063-E1E674A64300}"/>
    <hyperlink ref="S1382" r:id="rId2685" xr:uid="{12F1EFA0-D725-4972-9101-C09169436B20}"/>
    <hyperlink ref="F1383" r:id="rId2686" xr:uid="{A3AD02E7-4F07-4B44-B776-39709EA29C66}"/>
    <hyperlink ref="G1383" r:id="rId2687" xr:uid="{0F563407-1DA8-4CAB-8202-A479ADFEFAED}"/>
    <hyperlink ref="R1383" r:id="rId2688" xr:uid="{BC810436-EA22-4E37-8C73-839FAA588894}"/>
    <hyperlink ref="S1383" r:id="rId2689" xr:uid="{C2D45CB3-403E-4AC5-9281-66690414886E}"/>
    <hyperlink ref="F1384" r:id="rId2690" xr:uid="{5E14739B-BC3E-4CCA-8EED-F4D3FA199EA1}"/>
    <hyperlink ref="G1384" r:id="rId2691" xr:uid="{37BD7F8A-FE11-4F20-A74C-6A3B37528F33}"/>
    <hyperlink ref="S1384" r:id="rId2692" xr:uid="{F775F586-EA73-41E7-9601-EC2915DBCE0D}"/>
    <hyperlink ref="F1385" r:id="rId2693" xr:uid="{822C3BBF-9FEB-4641-A359-303629FCECC5}"/>
    <hyperlink ref="G1385" r:id="rId2694" xr:uid="{236B0CCF-4208-4107-80B4-4963EDE514F5}"/>
    <hyperlink ref="S1385" r:id="rId2695" xr:uid="{F6FDBEDC-2FB6-40B0-B1EF-EE3CF474CAF6}"/>
    <hyperlink ref="F1387" r:id="rId2696" xr:uid="{A469921D-F6E8-4217-A0DD-773EBB89EE50}"/>
    <hyperlink ref="S1387" r:id="rId2697" xr:uid="{16214DAA-9C79-4491-AE2B-06E5101AAF17}"/>
    <hyperlink ref="G1388" r:id="rId2698" xr:uid="{4C99B086-B823-435A-BFEE-25B9357EB43E}"/>
    <hyperlink ref="S1388" r:id="rId2699" xr:uid="{3596ED9A-8A5B-4836-A8C9-EFB0C8401625}"/>
    <hyperlink ref="F1389" r:id="rId2700" xr:uid="{42E0E16D-5D48-4F1D-8424-D3788A407DA7}"/>
    <hyperlink ref="S1389" r:id="rId2701" xr:uid="{811F9357-E068-4EDD-B83F-91ABDD9677EA}"/>
    <hyperlink ref="F1390" r:id="rId2702" xr:uid="{82ED8374-291C-4E6F-8A39-840FB9831615}"/>
    <hyperlink ref="S1390" r:id="rId2703" xr:uid="{3A60E483-87C7-4D96-A3DF-521D1449EE3A}"/>
    <hyperlink ref="F1391" r:id="rId2704" xr:uid="{C8F47B57-528F-4590-9D70-3ED19F7643A0}"/>
    <hyperlink ref="F1392" r:id="rId2705" xr:uid="{48390D9A-74D5-48C6-AF8C-AAFF0D0B13FD}"/>
    <hyperlink ref="S1392" r:id="rId2706" xr:uid="{F7D18D03-83BB-47EB-96C3-75C9D60AF129}"/>
    <hyperlink ref="F1393" r:id="rId2707" xr:uid="{100B76DA-EFA3-42D3-84D3-B29C408EE7B4}"/>
    <hyperlink ref="S1393" r:id="rId2708" xr:uid="{AA3563B0-1073-47BB-9F35-7A8367353246}"/>
    <hyperlink ref="F1394" r:id="rId2709" xr:uid="{7CAC26AA-CE17-410A-9EC4-3B17C26287A2}"/>
    <hyperlink ref="S1394" r:id="rId2710" xr:uid="{B5C8FF8A-D71C-4ED0-8886-56E8DE8C78AE}"/>
    <hyperlink ref="F1395" r:id="rId2711" xr:uid="{AE6CD356-F936-4CA0-984A-079523D1F382}"/>
    <hyperlink ref="G1395" r:id="rId2712" xr:uid="{AE0C57D2-C2EF-4DC7-84CB-CD4B7E3852DB}"/>
    <hyperlink ref="F1396" r:id="rId2713" xr:uid="{2109FDE4-0002-4B9B-816E-B1FF53400F3A}"/>
    <hyperlink ref="G1396" r:id="rId2714" xr:uid="{08CD1347-714B-4C2D-917C-F2554143C955}"/>
    <hyperlink ref="S1396" r:id="rId2715" xr:uid="{0E8BDED8-4508-45F5-88FB-7CE65FF3EDEA}"/>
    <hyperlink ref="F1397" r:id="rId2716" xr:uid="{8388037F-01B1-4616-B71B-C2C93D3B1BD7}"/>
    <hyperlink ref="S1397" r:id="rId2717" xr:uid="{A9278114-D9E9-460A-B892-3A9A53FF7640}"/>
    <hyperlink ref="S1398" r:id="rId2718" xr:uid="{4E0F2A2A-C7CA-4550-999C-97ECFFF1C54D}"/>
    <hyperlink ref="F1399" r:id="rId2719" xr:uid="{7B5C9D33-60E1-4E90-8062-E755D72DF68F}"/>
    <hyperlink ref="F1400" r:id="rId2720" xr:uid="{AE4BC561-AE52-4F91-A311-DA7904E2CD4E}"/>
    <hyperlink ref="G1400" r:id="rId2721" xr:uid="{45A01EC9-BA3C-4D78-92A9-4824A4B65E6B}"/>
    <hyperlink ref="G1401" r:id="rId2722" xr:uid="{89281319-65DE-4484-B5BC-DE4CEBC09C86}"/>
    <hyperlink ref="G1402" r:id="rId2723" xr:uid="{9BC1F0CF-2834-4CC1-A316-634F3CFDFE2B}"/>
    <hyperlink ref="S1402" r:id="rId2724" xr:uid="{A582A301-94F8-49AD-A869-91274C89F37A}"/>
    <hyperlink ref="F1403" r:id="rId2725" xr:uid="{EA44C3A3-C547-4D0F-A710-F60BE96F6C25}"/>
    <hyperlink ref="G1403" r:id="rId2726" xr:uid="{D17F3AFE-EC89-43B9-8689-E9D88234AA99}"/>
    <hyperlink ref="S1403" r:id="rId2727" xr:uid="{459E752D-8D31-4257-9F7D-32D94929B5E0}"/>
    <hyperlink ref="F1404" r:id="rId2728" xr:uid="{6C8B7F32-5031-4C69-BBC4-B335714DF6E0}"/>
    <hyperlink ref="G1404" r:id="rId2729" xr:uid="{777284C9-4A9B-401D-88FA-CF57EFC40B75}"/>
    <hyperlink ref="F1405" r:id="rId2730" xr:uid="{E39D3D3E-D43C-416F-AAA4-7B83DD90C965}"/>
    <hyperlink ref="S1405" r:id="rId2731" xr:uid="{37DA01CB-9A77-4F94-B3DB-A9F932A44345}"/>
    <hyperlink ref="F1406" r:id="rId2732" xr:uid="{EFDE0488-9B1B-4E80-AC30-33D6AFD0998F}"/>
    <hyperlink ref="S1406" r:id="rId2733" xr:uid="{B2E6FA0D-EA13-479A-81A6-4B8531362A4E}"/>
    <hyperlink ref="F1407" r:id="rId2734" xr:uid="{9E24808A-AA74-40FF-B7A9-D0B2453D1989}"/>
    <hyperlink ref="S1407" r:id="rId2735" xr:uid="{C626CC56-CA2A-4A0E-9B7F-B62EA7E014EF}"/>
    <hyperlink ref="F1408" r:id="rId2736" xr:uid="{76C935A1-B013-4215-B561-6C49E37B0713}"/>
    <hyperlink ref="G1408" r:id="rId2737" xr:uid="{627FD760-7186-4C13-8D82-BE41B6921C5C}"/>
    <hyperlink ref="S1408" r:id="rId2738" xr:uid="{6C0320CF-563B-4DE3-8F86-E9EC7673150B}"/>
    <hyperlink ref="F1409" r:id="rId2739" xr:uid="{A6BDB5D5-24C3-467F-A6C1-8510D0315DDC}"/>
    <hyperlink ref="G1409" r:id="rId2740" xr:uid="{468D4C9D-CD5B-4D02-A8EB-560C045A3DE3}"/>
    <hyperlink ref="S1409" r:id="rId2741" xr:uid="{715AB106-661D-4209-9C8C-5A99BD43E6A5}"/>
    <hyperlink ref="F1410" r:id="rId2742" xr:uid="{EC101DBE-FB41-4461-AA0C-5EAFE2BEF970}"/>
    <hyperlink ref="G1410" r:id="rId2743" xr:uid="{786A9AE9-AAF3-401C-9B34-91CFFA894DCC}"/>
    <hyperlink ref="S1410" r:id="rId2744" xr:uid="{30C31E7A-00A2-487E-8A7E-15806F79C6E5}"/>
    <hyperlink ref="F1411" r:id="rId2745" xr:uid="{8278A48F-B194-4089-9CBF-C93E6DF67100}"/>
    <hyperlink ref="S1411" r:id="rId2746" xr:uid="{01A4D469-C67C-4BCF-9C4C-F1FA8738A63B}"/>
    <hyperlink ref="F1412" r:id="rId2747" xr:uid="{F386FFE6-F8ED-4B29-AE00-6D88AC01A5D4}"/>
    <hyperlink ref="G1412" r:id="rId2748" xr:uid="{D38AC4E0-37CC-4154-9857-9200F0CB1798}"/>
    <hyperlink ref="S1413" r:id="rId2749" xr:uid="{59D84A24-1E3C-4E3C-BD24-27D6F8266666}"/>
    <hyperlink ref="F1414" r:id="rId2750" xr:uid="{4610E4A1-DBB6-4579-BBDF-C2008386950D}"/>
    <hyperlink ref="S1414" r:id="rId2751" xr:uid="{6EB80EFA-FACF-48CF-9A74-7E7DE7FA57A5}"/>
    <hyperlink ref="F1415" r:id="rId2752" xr:uid="{D0D5653C-9758-43C3-BAC2-B601179B971B}"/>
    <hyperlink ref="F1416" r:id="rId2753" xr:uid="{A56EF9A4-9348-479B-AA13-E47A2232DA37}"/>
    <hyperlink ref="G1416" r:id="rId2754" xr:uid="{108DB5D7-1A92-438E-ACC2-1221CEFC16EE}"/>
    <hyperlink ref="F1417" r:id="rId2755" xr:uid="{82A68735-A032-4ACE-97E2-E02FB00D4201}"/>
    <hyperlink ref="G1417" r:id="rId2756" xr:uid="{369F6584-4FE1-4D2E-965E-6313AF7BB605}"/>
    <hyperlink ref="S1417" r:id="rId2757" xr:uid="{B522A982-27B0-46B0-BCCD-71483B898B30}"/>
    <hyperlink ref="F1418" r:id="rId2758" xr:uid="{F1FEAADB-E760-4C78-A0EB-10180D3775F6}"/>
    <hyperlink ref="G1418" r:id="rId2759" xr:uid="{BB5869FD-F2B3-4E27-B219-FA1BF4529066}"/>
    <hyperlink ref="S1418" r:id="rId2760" xr:uid="{98743549-94EC-453A-AE71-F68AAB393365}"/>
    <hyperlink ref="F1419" r:id="rId2761" xr:uid="{5769D66D-0973-46D7-BD8D-27308DE2EC69}"/>
    <hyperlink ref="F1420" r:id="rId2762" xr:uid="{AD8049C6-5BE0-4185-9DA7-19971A154112}"/>
    <hyperlink ref="G1420" r:id="rId2763" xr:uid="{C6843CFB-96B5-45A1-91F1-D53265E79A62}"/>
    <hyperlink ref="F1421" r:id="rId2764" xr:uid="{446CA21E-3EC7-4056-A124-4AF7EF95BA0A}"/>
    <hyperlink ref="G1421" r:id="rId2765" xr:uid="{976068B7-B168-4617-9B06-F30ED5D032C2}"/>
    <hyperlink ref="F1422" r:id="rId2766" xr:uid="{F0260E93-3009-4391-BCF6-99552EE45C53}"/>
    <hyperlink ref="S1422" r:id="rId2767" xr:uid="{A6BD0513-68AA-4755-B007-52584579A9EA}"/>
    <hyperlink ref="F1423" r:id="rId2768" xr:uid="{E9724894-116A-4F8D-AAF0-64AFA72B71BF}"/>
    <hyperlink ref="G1423" r:id="rId2769" xr:uid="{8E394CE0-C862-43EB-8938-49CBF9944AEC}"/>
    <hyperlink ref="F1424" r:id="rId2770" xr:uid="{2C3D8F17-8DAF-4D72-9C90-E93C7399D068}"/>
    <hyperlink ref="G1424" r:id="rId2771" xr:uid="{9EE04878-A993-4034-8F33-C42E1A30149C}"/>
    <hyperlink ref="G1425" r:id="rId2772" xr:uid="{754DEAF5-7E2A-464E-9FC1-0098D99EEB75}"/>
    <hyperlink ref="F1426" r:id="rId2773" xr:uid="{21048A1A-2EFB-4555-BC9D-7CDA80C9CE60}"/>
    <hyperlink ref="G1426" r:id="rId2774" xr:uid="{33E60E1A-84CC-4B4F-AD51-E6D1E77EFB8E}"/>
    <hyperlink ref="S1426" r:id="rId2775" xr:uid="{0535F5C9-8886-4F8F-BE21-A04B4E617B9D}"/>
    <hyperlink ref="F1427" r:id="rId2776" xr:uid="{A69496CF-B2D9-4D1D-897F-A3229AAB7453}"/>
    <hyperlink ref="G1427" r:id="rId2777" xr:uid="{53690326-6F35-43C9-A1E4-341AADDA5450}"/>
    <hyperlink ref="S1427" r:id="rId2778" xr:uid="{2F40EF80-BBD1-465B-85C2-24FD7ABC9D64}"/>
    <hyperlink ref="F1428" r:id="rId2779" xr:uid="{08DC022B-70C2-4232-B6C7-9D6016E73121}"/>
    <hyperlink ref="G1428" r:id="rId2780" xr:uid="{253AD553-AA3D-41FE-93EB-AF90FB9CC8D0}"/>
    <hyperlink ref="F1429" r:id="rId2781" xr:uid="{FEB72F5C-0A29-4D74-9D24-2826CC50FCF0}"/>
    <hyperlink ref="F1430" r:id="rId2782" xr:uid="{79D5BD86-FAE8-4E70-99A9-1CC0FB460798}"/>
    <hyperlink ref="G1430" r:id="rId2783" xr:uid="{3362B854-F095-4813-A8DB-B914C675CC20}"/>
    <hyperlink ref="S1430" r:id="rId2784" xr:uid="{F79FE8FD-1C17-4F0D-91E6-B8D220BFE476}"/>
    <hyperlink ref="F1431" r:id="rId2785" xr:uid="{4B05CF3D-983C-4004-A9E1-E49418796537}"/>
    <hyperlink ref="F1432" r:id="rId2786" xr:uid="{7A351A8C-7AE6-4996-8B67-7A4DD59494C7}"/>
    <hyperlink ref="S1432" r:id="rId2787" xr:uid="{607F46E6-1FF8-4626-A196-8C9FB8C3D417}"/>
    <hyperlink ref="F1433" r:id="rId2788" xr:uid="{05081E63-7CB6-4853-9F08-B1314AB240CC}"/>
    <hyperlink ref="G1433" r:id="rId2789" xr:uid="{4FF84981-EE83-4F76-998D-DCABC8EC132B}"/>
    <hyperlink ref="S1433" r:id="rId2790" xr:uid="{7851C083-065A-4E8A-9B59-444998DFE796}"/>
    <hyperlink ref="F1434" r:id="rId2791" xr:uid="{78BC6A19-EFE7-4503-B8A4-AFFAE07E595B}"/>
    <hyperlink ref="G1434" r:id="rId2792" xr:uid="{BB009610-3371-48D5-BD07-612ECE712902}"/>
    <hyperlink ref="F1435" r:id="rId2793" xr:uid="{2C5727CE-2612-45D8-95D0-4426969501D5}"/>
    <hyperlink ref="G1435" r:id="rId2794" xr:uid="{7CCD0C90-5473-431E-BAAD-F3A23920C803}"/>
    <hyperlink ref="S1435" r:id="rId2795" xr:uid="{CD7EE440-9017-406E-9358-F8AEDF4243A8}"/>
    <hyperlink ref="F1436" r:id="rId2796" xr:uid="{44A8ED21-D626-4DEF-A7BE-C2CBD750FF80}"/>
    <hyperlink ref="G1436" r:id="rId2797" xr:uid="{CB2E6A1C-AA8B-4F3E-B912-227500A12BA7}"/>
    <hyperlink ref="F1437" r:id="rId2798" xr:uid="{ED8C9234-5CC1-4F20-BE9B-E3A269B073D2}"/>
    <hyperlink ref="G1437" r:id="rId2799" xr:uid="{9EB30BB3-7923-4005-A9B8-9D16086B3B0E}"/>
    <hyperlink ref="S1437" r:id="rId2800" xr:uid="{C10E8B17-52E4-47A8-9F3F-E3983A2AA4A5}"/>
    <hyperlink ref="F1438" r:id="rId2801" xr:uid="{74D6EA47-0AF0-4092-B4DA-82DB8D48CCCB}"/>
    <hyperlink ref="S1438" r:id="rId2802" xr:uid="{5F4B21DA-D5A8-4B3F-8A46-BC64D60250FD}"/>
    <hyperlink ref="F1439" r:id="rId2803" xr:uid="{2DEF74E7-6D6D-4ACB-9524-0E9EFD5B06A8}"/>
    <hyperlink ref="S1439" r:id="rId2804" xr:uid="{41B62BDF-761D-4ED6-9BCA-3C2FEEF3E301}"/>
    <hyperlink ref="F1440" r:id="rId2805" xr:uid="{0E48AD91-29EE-4CE7-BCFC-178F535D3382}"/>
    <hyperlink ref="S1440" r:id="rId2806" xr:uid="{7F42CD4F-A540-457A-BADA-8F19EE759796}"/>
    <hyperlink ref="F1441" r:id="rId2807" xr:uid="{32697876-21DF-466C-A1C7-68AF967E87CE}"/>
    <hyperlink ref="G1441" r:id="rId2808" xr:uid="{873187C8-A6EF-44A4-BB26-8751F28D081D}"/>
    <hyperlink ref="S1441" r:id="rId2809" xr:uid="{58381E42-7782-4DA8-A645-43DCDAC6A23A}"/>
    <hyperlink ref="F1442" r:id="rId2810" xr:uid="{EC6DD77D-B73E-4956-9AF5-24C69E86ADDE}"/>
    <hyperlink ref="S1442" r:id="rId2811" xr:uid="{3A9F8BB6-4087-43C1-B6EE-C4222E2B7592}"/>
    <hyperlink ref="F1443" r:id="rId2812" xr:uid="{CE4E73EA-BBAE-4F19-83E4-D1D141EADFDF}"/>
    <hyperlink ref="S1443" r:id="rId2813" xr:uid="{05215C98-C80A-463B-BC8E-82694A9751AB}"/>
    <hyperlink ref="F1444" r:id="rId2814" xr:uid="{F10F922B-EB7E-4B1E-AF33-403488956B0A}"/>
    <hyperlink ref="G1444" r:id="rId2815" xr:uid="{9F29DD68-FEB4-4ABF-87A8-2B13046FB99D}"/>
    <hyperlink ref="S1444" r:id="rId2816" xr:uid="{4FA49CFE-B376-4925-B5C5-B6020415EF4B}"/>
    <hyperlink ref="F1445" r:id="rId2817" xr:uid="{6B1AE5FC-C1DF-4F88-8286-74208031D2DA}"/>
    <hyperlink ref="G1445" r:id="rId2818" xr:uid="{F9F3F33A-9786-48C6-8597-014E839305AE}"/>
    <hyperlink ref="S1445" r:id="rId2819" xr:uid="{5718A756-906D-4466-8CE5-A97948C69907}"/>
    <hyperlink ref="C1446" r:id="rId2820" xr:uid="{0B0DD5A7-1D7E-4311-A1AF-5F6AD75311F1}"/>
    <hyperlink ref="G1446" r:id="rId2821" xr:uid="{DC8F71DD-DACE-467D-86F3-7AB754E5FFAF}"/>
    <hyperlink ref="S1446" r:id="rId2822" xr:uid="{942E2DDA-3FD6-4BD2-B90F-526DB5D2F600}"/>
    <hyperlink ref="F1447" r:id="rId2823" xr:uid="{8B33B36E-18F1-418F-A6B9-02C42FA7E95D}"/>
    <hyperlink ref="S1447" r:id="rId2824" xr:uid="{4AD35E86-EAFC-463C-BE70-79D96B2917DA}"/>
    <hyperlink ref="F1448" r:id="rId2825" xr:uid="{1D7FCD39-95CB-4C45-8045-C73CA8D7E4BD}"/>
    <hyperlink ref="S1448" r:id="rId2826" xr:uid="{6FDD265F-24E2-4FEA-9345-2298EB99BD13}"/>
    <hyperlink ref="G1449" r:id="rId2827" xr:uid="{6C99AEAE-5922-4D48-B87E-DCD4DCAF279F}"/>
    <hyperlink ref="F1450" r:id="rId2828" xr:uid="{A1CF421B-6402-4C1F-BF61-42BACD84DA61}"/>
    <hyperlink ref="G1450" r:id="rId2829" xr:uid="{D5600E0D-CD89-480A-9AA5-55592EA328C3}"/>
    <hyperlink ref="F1451" r:id="rId2830" xr:uid="{E9045757-C8C5-4502-87DE-3C9E94730F72}"/>
    <hyperlink ref="G1451" r:id="rId2831" xr:uid="{C65CCAB7-6D69-46C4-817F-855A0933E524}"/>
    <hyperlink ref="S1451" r:id="rId2832" xr:uid="{9CC9634E-C38E-4A4E-9265-0018DA58ED35}"/>
    <hyperlink ref="F1452" r:id="rId2833" xr:uid="{C95F9A88-7438-46C2-8E65-141046D82D3D}"/>
    <hyperlink ref="G1452" r:id="rId2834" xr:uid="{F6E1C5BF-D32B-45AE-9B7A-44C757A76CD8}"/>
    <hyperlink ref="F1453" r:id="rId2835" xr:uid="{52AC5674-4A1F-44FB-8004-960C3FEFDE8C}"/>
    <hyperlink ref="G1453" r:id="rId2836" xr:uid="{9932BC06-F377-41CD-94A5-6DEAF7AF7A19}"/>
    <hyperlink ref="F1454" r:id="rId2837" xr:uid="{F540B810-AAB3-43ED-B49F-687BE2B25CCE}"/>
    <hyperlink ref="G1454" r:id="rId2838" xr:uid="{3613224D-B3EB-448A-AF8B-BB6AB11235C1}"/>
    <hyperlink ref="S1454" r:id="rId2839" xr:uid="{D0FA298D-672C-431A-890C-34C7A78214DB}"/>
    <hyperlink ref="G1455" r:id="rId2840" xr:uid="{A8B2CC02-2E66-4067-8774-1B94A06B46C8}"/>
    <hyperlink ref="S1455" r:id="rId2841" xr:uid="{CF8AF870-3F02-427F-A1FD-BD018F962B1B}"/>
    <hyperlink ref="F1456" r:id="rId2842" xr:uid="{93C08DE1-A569-47B1-B06C-C0E9619D4DD9}"/>
    <hyperlink ref="G1456" r:id="rId2843" xr:uid="{A9CEEA44-5E20-4062-9540-C17FDB34D23F}"/>
    <hyperlink ref="F1457" r:id="rId2844" location=".YDTCWG2zW4k.twitter" xr:uid="{B198AEB3-E2DA-4FE1-8FBE-9E08FE86EE3B}"/>
    <hyperlink ref="S1457" r:id="rId2845" xr:uid="{1BB0AAF7-0DBF-4E1D-AAF3-3AB9D4F9D8F1}"/>
    <hyperlink ref="F1458" r:id="rId2846" xr:uid="{82AFA3C3-7743-44CE-83AE-FA978D22CA5B}"/>
    <hyperlink ref="G1458" r:id="rId2847" xr:uid="{020EB8F4-0E8F-4395-88FF-9734F93FD495}"/>
    <hyperlink ref="F1459" r:id="rId2848" xr:uid="{20A0D84F-9B90-487A-B97B-B583B97A143C}"/>
    <hyperlink ref="G1459" r:id="rId2849" xr:uid="{4A5942A1-4155-40F1-A9A0-7CF2FAE2274C}"/>
    <hyperlink ref="S1459" r:id="rId2850" xr:uid="{5142A65B-2536-4ABD-AE2D-10EF5810DAC0}"/>
    <hyperlink ref="F1460" r:id="rId2851" xr:uid="{55CC7109-3715-4E48-B61C-552A598F09DA}"/>
    <hyperlink ref="G1460" r:id="rId2852" xr:uid="{9FFE7B09-7F0C-4599-BD5E-1C7022A50490}"/>
    <hyperlink ref="S1460" r:id="rId2853" xr:uid="{F003BBF6-03F6-4EA6-8C69-61D77835B4FC}"/>
    <hyperlink ref="F1461" r:id="rId2854" xr:uid="{132DEC07-54C2-4234-B571-BFBC07546C1A}"/>
    <hyperlink ref="G1461" r:id="rId2855" xr:uid="{E8344E88-05B3-4B3B-A318-7C2E77DC2526}"/>
    <hyperlink ref="F1462" r:id="rId2856" xr:uid="{6EA7AE2D-68EA-44E2-B457-278FD795674D}"/>
    <hyperlink ref="G1462" r:id="rId2857" xr:uid="{E300EF89-5349-4D67-95C2-04FB185215C3}"/>
    <hyperlink ref="F1463" r:id="rId2858" xr:uid="{19B8A05C-73A8-43BD-8BD6-0C1F2244650B}"/>
    <hyperlink ref="S1463" r:id="rId2859" xr:uid="{9C768A80-D9AC-4704-BE44-AE59F8D9095D}"/>
    <hyperlink ref="S1464" r:id="rId2860" xr:uid="{A6817624-8256-4845-9872-06E0D13249FB}"/>
    <hyperlink ref="F1465" r:id="rId2861" xr:uid="{50C59AAB-638C-4ADD-A73F-B3EBD63588F1}"/>
    <hyperlink ref="S1465" r:id="rId2862" xr:uid="{40DD489D-BAA3-42D1-A3B4-0F163BDA41C1}"/>
    <hyperlink ref="F1466" r:id="rId2863" xr:uid="{7BBDEF75-EED5-487C-88B1-6132290A3368}"/>
    <hyperlink ref="S1466" r:id="rId2864" xr:uid="{2AC2DC00-3B6B-4B74-A5B6-5F61467B9A86}"/>
    <hyperlink ref="F1467" r:id="rId2865" xr:uid="{9D353EB8-0802-49AC-9C31-D98A2CE83362}"/>
    <hyperlink ref="S1467" r:id="rId2866" xr:uid="{A9862021-4B3C-4278-BEDA-4149A497D934}"/>
    <hyperlink ref="F1468" r:id="rId2867" xr:uid="{64FB6A69-2CC9-461F-A419-0B7C505728A1}"/>
    <hyperlink ref="S1468" r:id="rId2868" xr:uid="{4A4BCFEB-0AB5-4A0D-B0C0-17F172B48BE7}"/>
    <hyperlink ref="F1469" r:id="rId2869" xr:uid="{245886A3-7191-4ED2-8ADF-1951CF3D50B0}"/>
    <hyperlink ref="S1469" r:id="rId2870" xr:uid="{77FB88FB-A38B-42A5-BBF0-D6DD4817EE29}"/>
    <hyperlink ref="F1470" r:id="rId2871" xr:uid="{7EEB8DC9-5086-48D3-90B3-0C1D6564248F}"/>
    <hyperlink ref="S1470" r:id="rId2872" xr:uid="{91296203-3375-4D23-8688-8E2AC79E1085}"/>
    <hyperlink ref="F1471" r:id="rId2873" xr:uid="{DD20CBE5-22EF-4261-912D-F32BFCAC699A}"/>
    <hyperlink ref="G1471" r:id="rId2874" xr:uid="{05533E4F-058E-4084-A613-556A963C6158}"/>
    <hyperlink ref="F1472" r:id="rId2875" xr:uid="{CF93AEF1-82F2-44B6-871D-FD41F9964AC1}"/>
    <hyperlink ref="S1472" r:id="rId2876" xr:uid="{F5E1A4AA-B39E-4E0E-ACB7-80C842C49015}"/>
    <hyperlink ref="F1473" r:id="rId2877" xr:uid="{13F0C2E7-719A-46DF-8489-8636653E640E}"/>
    <hyperlink ref="S1473" r:id="rId2878" xr:uid="{3F379B45-E237-4438-B37E-3E8F0F066065}"/>
    <hyperlink ref="F1474" r:id="rId2879" xr:uid="{A7838765-5EDE-47A9-A0C9-E0FC731AB38C}"/>
    <hyperlink ref="S1474" r:id="rId2880" xr:uid="{4DA395CF-0065-4589-8162-4EFBB6BE28B5}"/>
    <hyperlink ref="S1475" r:id="rId2881" xr:uid="{EE8588AF-4513-4A1A-9882-5525B9D8715C}"/>
    <hyperlink ref="S1476" r:id="rId2882" xr:uid="{E5AD07CD-0A9E-4EDB-AC5C-4C46C6CB2FC2}"/>
    <hyperlink ref="F1477" r:id="rId2883" xr:uid="{455294D0-C237-4728-A54F-B092759E5161}"/>
    <hyperlink ref="S1477" r:id="rId2884" xr:uid="{82B9B012-F7C4-4137-BBFA-7A3B295157A3}"/>
    <hyperlink ref="F1478" r:id="rId2885" xr:uid="{47D7273F-65EA-4CB6-948C-45FFFD5220B6}"/>
    <hyperlink ref="S1478" r:id="rId2886" xr:uid="{615935AD-8370-43EB-8BB0-63529A6BC044}"/>
    <hyperlink ref="F1479" r:id="rId2887" xr:uid="{33D43D37-A80E-447C-88B6-446A3909D254}"/>
    <hyperlink ref="G1479" r:id="rId2888" xr:uid="{D4A10BCB-5F6B-4AEB-9FDF-1A710584E0BA}"/>
    <hyperlink ref="S1479" r:id="rId2889" xr:uid="{94299E1E-ACE8-4EDD-AE84-CB9A60E0F323}"/>
    <hyperlink ref="G1480" r:id="rId2890" xr:uid="{904034D2-2463-4CE9-A50E-D65430B466CE}"/>
    <hyperlink ref="S1480" r:id="rId2891" xr:uid="{AFAA868B-E128-4829-A72C-033209B66F55}"/>
    <hyperlink ref="F1481" r:id="rId2892" xr:uid="{3D99D960-A062-433B-B215-B2A562CC2858}"/>
    <hyperlink ref="G1481" r:id="rId2893" xr:uid="{F6945800-5AF6-4927-9902-B26873BF94FA}"/>
    <hyperlink ref="S1481" r:id="rId2894" xr:uid="{DADEE63A-3D83-467E-BAAC-374365331F1C}"/>
    <hyperlink ref="F1482" r:id="rId2895" xr:uid="{7A3BB082-A410-47D4-B525-09A702C95EEC}"/>
    <hyperlink ref="F1483" r:id="rId2896" xr:uid="{1DA5103E-AAE5-4BE8-AB8B-DE1CBAEE0AA8}"/>
    <hyperlink ref="G1483" r:id="rId2897" xr:uid="{9CEE851F-57D0-4A4C-97FA-F5F0D3493691}"/>
    <hyperlink ref="F1484" r:id="rId2898" xr:uid="{44A4DFE5-4625-48B0-A253-E9EE362F4943}"/>
    <hyperlink ref="G1484" r:id="rId2899" xr:uid="{937E7738-C33E-43F9-8EE3-6E08A9273234}"/>
    <hyperlink ref="S1484" r:id="rId2900" xr:uid="{B3816A5F-332E-4CD2-8A34-98F5A4DBEA0B}"/>
    <hyperlink ref="F1485" r:id="rId2901" xr:uid="{90CBD4AF-F867-41A6-B53A-6E00E1F6DD65}"/>
    <hyperlink ref="F1486" r:id="rId2902" xr:uid="{DA3A7953-11E3-49E4-8004-7896DF9AFDB5}"/>
    <hyperlink ref="G1486" r:id="rId2903" xr:uid="{EFFCB1B9-4249-4A67-B590-DB0C23B33A56}"/>
    <hyperlink ref="F1487" r:id="rId2904" xr:uid="{5393EEB7-1036-4A7B-BE63-48765496E347}"/>
    <hyperlink ref="G1487" r:id="rId2905" xr:uid="{31461746-D434-441E-BA73-DEBA27D88B8D}"/>
    <hyperlink ref="F1488" r:id="rId2906" xr:uid="{702B934D-587D-408C-BC55-FD77F665B443}"/>
    <hyperlink ref="F1489" r:id="rId2907" xr:uid="{E0293134-EA0D-47BD-B0A0-5DF950129BD7}"/>
    <hyperlink ref="F1490" r:id="rId2908" xr:uid="{817A3570-C11D-405D-9FE3-06F929B07149}"/>
    <hyperlink ref="G1490" r:id="rId2909" xr:uid="{E152D007-F1A7-4ACC-838F-D9DF436189C8}"/>
    <hyperlink ref="S1490" r:id="rId2910" xr:uid="{6598E683-A4A6-44C9-8467-7E2218F837DD}"/>
    <hyperlink ref="F1494" r:id="rId2911" xr:uid="{7BD2860E-ED58-429B-B30B-338AF5FE7993}"/>
    <hyperlink ref="F1495" r:id="rId2912" xr:uid="{668C0CD0-23FA-433A-A59B-24E632F4CEA2}"/>
    <hyperlink ref="F1496" r:id="rId2913" xr:uid="{43700A96-0B02-4513-9154-8C728BD32275}"/>
    <hyperlink ref="G1496" r:id="rId2914" xr:uid="{635EA07D-9499-4F8E-92D5-48DE185E94B8}"/>
    <hyperlink ref="S1496" r:id="rId2915" xr:uid="{869BC5E5-2764-4A53-83DD-FF9D42FF66DD}"/>
    <hyperlink ref="F1497" r:id="rId2916" xr:uid="{287B6683-01E2-451A-BCFD-06CF909B1C04}"/>
    <hyperlink ref="G1497" r:id="rId2917" xr:uid="{1B65C4CF-EA13-4E08-AEC9-D0152638F86E}"/>
    <hyperlink ref="S1497" r:id="rId2918" xr:uid="{7B7B786F-BAC8-4605-BD2B-AEC10B17DF35}"/>
    <hyperlink ref="F1498" r:id="rId2919" xr:uid="{1444873A-92D2-4CDD-B2FF-BD0E8AEC258B}"/>
    <hyperlink ref="F1499" r:id="rId2920" xr:uid="{F2E3C05E-C4BA-4745-840F-CA8E60FB6A27}"/>
    <hyperlink ref="C1501" r:id="rId2921" xr:uid="{426BA1AB-754B-4C2A-9C74-EBFFC220C14D}"/>
    <hyperlink ref="F1501" r:id="rId2922" xr:uid="{A642D008-745D-459D-A8D4-D83258E4EDA2}"/>
    <hyperlink ref="S1501" r:id="rId2923" xr:uid="{4E9C283E-D806-4ACC-A514-FF67D4F87424}"/>
    <hyperlink ref="G1503" r:id="rId2924" xr:uid="{AFC8BDBE-508B-4428-A733-E0F29FEF4200}"/>
    <hyperlink ref="F1504" r:id="rId2925" xr:uid="{AA453CF6-F638-42CA-BB0C-67B124A8EB08}"/>
    <hyperlink ref="G1504" r:id="rId2926" xr:uid="{943E56D2-9BEA-471A-8EEF-9DC92D0B3FB8}"/>
    <hyperlink ref="F1505" r:id="rId2927" xr:uid="{59413C28-F5A4-4AE9-B2F8-9EBF31A498B0}"/>
    <hyperlink ref="G1505" r:id="rId2928" xr:uid="{A3CA2107-361A-45E7-AF47-E87722F55542}"/>
    <hyperlink ref="F1506" r:id="rId2929" xr:uid="{7AFAEE54-BC45-4C55-AA4C-374FDB11170D}"/>
    <hyperlink ref="S1506" r:id="rId2930" xr:uid="{1146B925-5B0B-4DB6-B64F-329EC053E56E}"/>
    <hyperlink ref="F1507" r:id="rId2931" xr:uid="{C23D6B39-1BCF-42FD-A311-CAC97E129326}"/>
    <hyperlink ref="G1507" r:id="rId2932" xr:uid="{3DDBDD39-3E93-4500-91AD-39EA96E3B7BC}"/>
    <hyperlink ref="S1507" r:id="rId2933" xr:uid="{80BD2A5B-2EC9-4CC1-B45B-55D33A77C3CC}"/>
    <hyperlink ref="F1508" r:id="rId2934" xr:uid="{D73B1BF9-034D-490C-85E2-181E67A49BA4}"/>
    <hyperlink ref="G1508" r:id="rId2935" xr:uid="{CB29A144-FC29-4174-8AED-65D37117E21E}"/>
    <hyperlink ref="S1508" r:id="rId2936" xr:uid="{088FEEE0-31BE-4839-9C28-463D6551255E}"/>
    <hyperlink ref="F1509" r:id="rId2937" location="hadoop-training" xr:uid="{FBE487CB-DF2C-476D-A10E-474CD3E672F0}"/>
    <hyperlink ref="G1509" r:id="rId2938" xr:uid="{231C2782-1E77-4654-B8B6-49249A6819CA}"/>
    <hyperlink ref="S1509" r:id="rId2939" xr:uid="{A6803868-10EE-44EB-8ABE-E015BF19C913}"/>
    <hyperlink ref="F1510" r:id="rId2940" xr:uid="{1350C382-F237-4EA5-B5B1-4329E660EDD2}"/>
    <hyperlink ref="S1510" r:id="rId2941" xr:uid="{3EE57CD8-5EB3-4B59-B66B-B83999683405}"/>
    <hyperlink ref="F1511" r:id="rId2942" xr:uid="{22A6DF3D-31AA-4894-8F2F-08FC6C8D98EB}"/>
    <hyperlink ref="S1511" r:id="rId2943" xr:uid="{3F136739-1A01-4BFE-BA86-ED16BC7E9209}"/>
    <hyperlink ref="F1512" r:id="rId2944" xr:uid="{3D0B21E6-D435-4AC0-B182-FDA3E83A52E5}"/>
    <hyperlink ref="S1512" r:id="rId2945" xr:uid="{29568316-298F-4CE7-82EA-172DB32D8261}"/>
    <hyperlink ref="F1513" r:id="rId2946" xr:uid="{C8F5DCEA-928B-4F4D-AA9F-33B49C7AD853}"/>
    <hyperlink ref="S1513" r:id="rId2947" xr:uid="{209A0634-9665-424D-973A-7165CDB3D21F}"/>
    <hyperlink ref="F1514" r:id="rId2948" xr:uid="{D9B04EF8-2FC2-4468-BF06-45DDB780A88E}"/>
    <hyperlink ref="S1514" r:id="rId2949" xr:uid="{80B4E598-ED3D-46C2-BC41-309851FF1E25}"/>
    <hyperlink ref="F1515" r:id="rId2950" xr:uid="{131E73BF-0980-4D2E-806C-A5AB0BCEA2F9}"/>
    <hyperlink ref="S1515" r:id="rId2951" xr:uid="{D3767015-7B81-407F-868D-059789C99E1C}"/>
    <hyperlink ref="F1516" r:id="rId2952" xr:uid="{86BB65BB-1713-43C6-9154-4D489BDF5C70}"/>
    <hyperlink ref="S1516" r:id="rId2953" xr:uid="{C3C1ECF1-C04B-4EC2-9B54-759E366C5921}"/>
    <hyperlink ref="F1517" r:id="rId2954" xr:uid="{D31CA816-E0B4-4808-B550-6A02E4222A77}"/>
    <hyperlink ref="G1517" r:id="rId2955" xr:uid="{9773DB91-221C-4CEC-BE0C-5F856757A5AF}"/>
    <hyperlink ref="F1518" r:id="rId2956" xr:uid="{2E7FEFB1-40D0-4F47-9989-6756F6FFE37A}"/>
    <hyperlink ref="F1519" r:id="rId2957" xr:uid="{202FE230-DCFD-4487-8FAF-918B035FE6B8}"/>
    <hyperlink ref="F1520" r:id="rId2958" xr:uid="{69BFF5E6-CEC9-4842-A0AF-3EA6D4B48409}"/>
    <hyperlink ref="S1520" r:id="rId2959" xr:uid="{C2BF83C1-CCF1-453C-B132-BF1E660178BC}"/>
    <hyperlink ref="F1521" r:id="rId2960" xr:uid="{0F5202F8-BFBC-4FF8-BE65-8067B7C90C8A}"/>
    <hyperlink ref="G1521" r:id="rId2961" xr:uid="{A4D52EE7-33C9-4957-886B-12A6F8BFC990}"/>
    <hyperlink ref="S1521" r:id="rId2962" xr:uid="{C29153F1-CDD6-45A4-88B9-58743CD61BE9}"/>
    <hyperlink ref="F1522" r:id="rId2963" xr:uid="{19F62D0E-CFFC-4AD1-BBF2-07691BBEA4B5}"/>
    <hyperlink ref="G1522" r:id="rId2964" xr:uid="{E9EAE0FB-2525-4CFD-9E0F-769F0FEE78C5}"/>
    <hyperlink ref="F1523" r:id="rId2965" xr:uid="{6974D1CC-EDD0-4699-B045-86A4651087AB}"/>
    <hyperlink ref="G1523" r:id="rId2966" xr:uid="{29FAEB07-F092-4515-9CE2-510C2CEA795C}"/>
    <hyperlink ref="S1523" r:id="rId2967" xr:uid="{FED3F871-09CF-4633-A3BE-246114C1CD8B}"/>
    <hyperlink ref="F1524" r:id="rId2968" xr:uid="{D1D7CE3D-7DDA-451A-A5A4-2C03988D1E05}"/>
    <hyperlink ref="G1524" r:id="rId2969" xr:uid="{8DEAE57C-64FB-42DE-9672-C98DD5918005}"/>
    <hyperlink ref="S1524" r:id="rId2970" xr:uid="{46C42911-538D-4FA4-8361-32A533404862}"/>
    <hyperlink ref="C1527" r:id="rId2971" xr:uid="{2B0A1E6F-2AB9-433E-8B24-33839854D68F}"/>
    <hyperlink ref="F1527" r:id="rId2972" xr:uid="{34C2C9AA-D124-4939-81D6-DA88ABDDAD93}"/>
    <hyperlink ref="S1527" r:id="rId2973" xr:uid="{1709202C-9F08-44CB-8C2D-F538FB90643F}"/>
    <hyperlink ref="F1528" r:id="rId2974" xr:uid="{3FA8E749-E821-4219-AD7C-8538A1B4D7BB}"/>
    <hyperlink ref="R1528" r:id="rId2975" xr:uid="{818CADE9-3AFD-4DCD-9F1B-C2088FD288A9}"/>
    <hyperlink ref="S1528" r:id="rId2976" xr:uid="{D913A2CB-F1CB-489F-8BBF-30147465E6F9}"/>
    <hyperlink ref="G1529" r:id="rId2977" xr:uid="{5FE47458-A411-495A-B972-04EB97A876F2}"/>
    <hyperlink ref="S1529" r:id="rId2978" xr:uid="{527F3DFA-9B96-4E47-8255-A36FE2B627EA}"/>
    <hyperlink ref="F1530" r:id="rId2979" xr:uid="{F3B7C766-CDA0-4E0B-9AC9-122E6F89B88E}"/>
    <hyperlink ref="G1530" r:id="rId2980" xr:uid="{552E8EF5-F11B-42E1-A547-223E26A4DD62}"/>
    <hyperlink ref="S1530" r:id="rId2981" xr:uid="{4E7B4066-DFD0-4803-8531-A781F0B5F477}"/>
    <hyperlink ref="G1531" r:id="rId2982" xr:uid="{42EEEAA2-2D54-42D0-8326-34C18DC85A8A}"/>
    <hyperlink ref="S1531" r:id="rId2983" xr:uid="{5E76D54F-8055-4936-ABCA-40C5EA970122}"/>
    <hyperlink ref="F1532" r:id="rId2984" xr:uid="{4747BAF1-C570-44C8-8B60-D85592C00436}"/>
    <hyperlink ref="F1533" r:id="rId2985" xr:uid="{895DAE1F-0ED3-4103-A1D9-947F0237A8CD}"/>
    <hyperlink ref="F1534" r:id="rId2986" xr:uid="{7A8002DB-A532-4FD0-B4A2-1D4698FA43BB}"/>
    <hyperlink ref="F1535" r:id="rId2987" xr:uid="{6F8ADCD2-1A0C-405D-87DE-7FF9D0E6E407}"/>
    <hyperlink ref="F1536" r:id="rId2988" xr:uid="{C68A6297-9D29-44FA-9904-1B90D751377C}"/>
    <hyperlink ref="F1537" r:id="rId2989" xr:uid="{A7020D3A-7AF0-40FB-8287-81CF883FCAF3}"/>
    <hyperlink ref="F1538" r:id="rId2990" xr:uid="{68626BB9-01AE-4AD9-BACD-978310A1E517}"/>
    <hyperlink ref="G1538" r:id="rId2991" xr:uid="{826F47C1-1DE3-4E55-9095-D5A93A204CA7}"/>
    <hyperlink ref="S1538" r:id="rId2992" xr:uid="{89D8B45D-9DAD-4427-B597-307BA8F6954F}"/>
    <hyperlink ref="G1539" r:id="rId2993" xr:uid="{7BE98217-C404-47CD-AF9E-235C6E0909D8}"/>
    <hyperlink ref="S1539" r:id="rId2994" xr:uid="{D5788BA5-FB26-4D70-80FC-1F754D41405E}"/>
    <hyperlink ref="F1540" r:id="rId2995" xr:uid="{444CC1D2-CE85-4B39-A878-525479441102}"/>
    <hyperlink ref="G1540" r:id="rId2996" xr:uid="{AF69938B-3F4A-472E-8ADA-C7E9FFAAF3A3}"/>
    <hyperlink ref="S1540" r:id="rId2997" xr:uid="{9FEAD1F5-5028-4548-BDA6-AE2FF8E746CF}"/>
    <hyperlink ref="F1541" r:id="rId2998" xr:uid="{F5A8E638-B6DC-416B-A883-3D29845E7FCF}"/>
    <hyperlink ref="S1541" r:id="rId2999" xr:uid="{6A6C55FB-AF10-467A-97EA-408BB37D823C}"/>
    <hyperlink ref="G1542" r:id="rId3000" xr:uid="{C7A87731-86A0-49DF-B718-20C86FE47909}"/>
    <hyperlink ref="S1542" r:id="rId3001" xr:uid="{E3F25484-F13E-4C67-9CE5-175AF7495A3A}"/>
    <hyperlink ref="S1543" r:id="rId3002" xr:uid="{36BC65AB-16E3-43DE-BF7F-15D9D080DD7A}"/>
    <hyperlink ref="F1548" r:id="rId3003" xr:uid="{AB2E13C1-7351-407E-B136-A04FAA901EC8}"/>
    <hyperlink ref="F1549" r:id="rId3004" xr:uid="{1C39FDFF-7AC5-484E-861C-5BA13D7829CE}"/>
    <hyperlink ref="F1550" r:id="rId3005" xr:uid="{3BB2CDF2-288B-4DB1-B073-2E6A0E52D64C}"/>
    <hyperlink ref="F1551" r:id="rId3006" xr:uid="{F11F0F38-3BA0-4D10-BE7A-CD288F8BC248}"/>
    <hyperlink ref="F1552" r:id="rId3007" xr:uid="{47BC0E06-1D00-4AE5-87D3-F44657A5D37D}"/>
    <hyperlink ref="F1553" r:id="rId3008" xr:uid="{90E1FA5A-42A4-4246-8D26-FF98E46FEE0E}"/>
    <hyperlink ref="F1554" r:id="rId3009" xr:uid="{1BEDB121-08FD-41B8-BDB4-2E634AE9D374}"/>
    <hyperlink ref="F1555" r:id="rId3010" xr:uid="{CD3677EF-A4BA-4995-A405-20727978AE94}"/>
    <hyperlink ref="F1556" r:id="rId3011" xr:uid="{F49CC484-E25C-4EA4-AE93-BD0EDE7587B8}"/>
    <hyperlink ref="S1556" r:id="rId3012" xr:uid="{2FC61DCB-9F51-49A6-8E63-491B526ACACD}"/>
    <hyperlink ref="F1557" r:id="rId3013" xr:uid="{65997E0B-350F-4CCD-B5DA-A769C6AECDD3}"/>
    <hyperlink ref="G1557" r:id="rId3014" xr:uid="{D02F2909-435F-4461-932F-684D7020D843}"/>
    <hyperlink ref="S1557" r:id="rId3015" xr:uid="{BDC70E6C-1B89-42A6-81F8-660737584746}"/>
    <hyperlink ref="F1558" r:id="rId3016" xr:uid="{77EC4DC5-4D05-4268-8B58-79ECACC05B1D}"/>
    <hyperlink ref="S1559" r:id="rId3017" xr:uid="{8D5A3BF6-FDA9-4850-8638-CB7DFC8D47FB}"/>
    <hyperlink ref="F1560" r:id="rId3018" xr:uid="{F08125A7-3E63-47AA-B330-2A6A5EF0CA57}"/>
    <hyperlink ref="S1560" r:id="rId3019" xr:uid="{56CE0266-AD1C-4B1E-97B4-07939250BD48}"/>
    <hyperlink ref="F1561" r:id="rId3020" xr:uid="{D530151F-4A39-41DB-AC85-9CBE469B06A9}"/>
    <hyperlink ref="G1561" r:id="rId3021" xr:uid="{698515B0-03D3-42AA-9A7C-809971B7C1DB}"/>
    <hyperlink ref="S1561" r:id="rId3022" xr:uid="{3A8014F3-6F63-421A-9A23-918A095FF5D6}"/>
    <hyperlink ref="F1562" r:id="rId3023" xr:uid="{D60F2250-08C7-4971-8743-5390977FF248}"/>
    <hyperlink ref="G1562" r:id="rId3024" xr:uid="{44D5F82F-8A36-48AF-AB41-C9BA2F604553}"/>
    <hyperlink ref="S1562" r:id="rId3025" xr:uid="{4397EEF2-4766-4A74-B108-6380A8080C9E}"/>
    <hyperlink ref="F1563" r:id="rId3026" xr:uid="{2C3231CE-FFC5-4692-820C-6461F244E649}"/>
    <hyperlink ref="F1564" r:id="rId3027" xr:uid="{4EAB681D-1C99-48FC-9C28-0F3C0F971B34}"/>
    <hyperlink ref="G1564" r:id="rId3028" xr:uid="{304A8227-2D1B-4221-80BA-CAC539AFB7E0}"/>
    <hyperlink ref="S1564" r:id="rId3029" xr:uid="{B0980F39-023E-4BC7-BBC6-67FED1A0FE97}"/>
    <hyperlink ref="F1571" r:id="rId3030" xr:uid="{40043C45-EC48-463A-8EF5-1F8818D3BBFF}"/>
    <hyperlink ref="G1571" r:id="rId3031" xr:uid="{4CD8EB18-FE38-489C-B5AA-1969AA69CF32}"/>
    <hyperlink ref="S1571" r:id="rId3032" xr:uid="{F7285739-BDB7-4252-9639-33B5788BE78A}"/>
    <hyperlink ref="S1572" r:id="rId3033" xr:uid="{4AB6E069-5545-473D-BFE6-6ECD842BB44F}"/>
    <hyperlink ref="F1573" r:id="rId3034" xr:uid="{4E286864-DB2B-4308-AF3F-4D577E90C514}"/>
    <hyperlink ref="S1573" r:id="rId3035" xr:uid="{EB742CB5-1113-4DF5-8F21-D75F9AF47833}"/>
    <hyperlink ref="G1574" r:id="rId3036" xr:uid="{35004A41-15FA-46E8-B466-908A89324739}"/>
    <hyperlink ref="S1574" r:id="rId3037" xr:uid="{71BC942D-B7CF-491C-9051-CEBEB91DA1B3}"/>
    <hyperlink ref="F1575" r:id="rId3038" xr:uid="{33901AFF-5A43-472F-AEAD-5AEDC21DEB47}"/>
    <hyperlink ref="G1575" r:id="rId3039" xr:uid="{542A166A-6AE4-426B-BDCF-2D1EF77A0529}"/>
    <hyperlink ref="F1576" r:id="rId3040" xr:uid="{E882F6EB-C11F-4290-A0E0-5ED125D47371}"/>
    <hyperlink ref="G1576" r:id="rId3041" xr:uid="{9E22240D-648F-4610-8EF9-5EC93ADD9174}"/>
    <hyperlink ref="S1576" r:id="rId3042" xr:uid="{4543BCD7-ED15-43E7-AF7B-EE36F1B01F31}"/>
    <hyperlink ref="G1577" r:id="rId3043" xr:uid="{79D459CF-4BD9-4595-BE29-FB2B3523D1A6}"/>
    <hyperlink ref="S1577" r:id="rId3044" xr:uid="{09E46611-20D2-4C2A-96BA-E81A174EB9E8}"/>
    <hyperlink ref="F1578" r:id="rId3045" xr:uid="{1DB1AC74-EB4E-47CD-8FA4-1C2822BABC47}"/>
    <hyperlink ref="S1578" r:id="rId3046" xr:uid="{EC5A221A-FBF9-4727-9382-364DA66E98EB}"/>
    <hyperlink ref="F1579" r:id="rId3047" xr:uid="{C47F9862-C8E9-475E-A6BE-88A755CF2952}"/>
    <hyperlink ref="S1579" r:id="rId3048" xr:uid="{DDC0F2FD-9CD3-4299-9A11-7D54E139559A}"/>
    <hyperlink ref="F1580" r:id="rId3049" xr:uid="{F3A7B23C-1BED-455E-9ACA-46B3F6D6ECA0}"/>
    <hyperlink ref="S1580" r:id="rId3050" xr:uid="{FEA275F8-75B6-4B0F-8BF3-FCA562589B91}"/>
    <hyperlink ref="F1581" r:id="rId3051" xr:uid="{FC4D2784-D99D-4348-8631-1409B0CA10B1}"/>
    <hyperlink ref="S1581" r:id="rId3052" xr:uid="{34BD4E69-2A3F-4BB7-9274-67C794A67A69}"/>
    <hyperlink ref="F1582" r:id="rId3053" xr:uid="{E12B9448-6761-44D1-802B-1AB8B5851372}"/>
    <hyperlink ref="S1582" r:id="rId3054" xr:uid="{6C32A637-7D3A-4321-A70F-293229E1CBA1}"/>
    <hyperlink ref="F1583" r:id="rId3055" xr:uid="{7922FDB0-33BD-4E18-AAEF-F6B7460A25D9}"/>
    <hyperlink ref="G1583" r:id="rId3056" xr:uid="{6609D2DC-79CC-49B1-8D67-ABD485B0BDB9}"/>
    <hyperlink ref="S1583" r:id="rId3057" xr:uid="{5F2A6E1D-DF81-4A11-8408-AA61376B6F89}"/>
    <hyperlink ref="G1584" r:id="rId3058" xr:uid="{209CCA93-784F-49F1-B362-DBBB8F6C74BB}"/>
    <hyperlink ref="S1584" r:id="rId3059" xr:uid="{CD99DBA9-5499-4E83-994E-0E3003002763}"/>
    <hyperlink ref="F1585" r:id="rId3060" xr:uid="{435FFEC7-114D-4888-B961-5AFADCB30C9F}"/>
    <hyperlink ref="S1585" r:id="rId3061" xr:uid="{8E885CDE-806B-4BE4-9DED-B7891B12D57A}"/>
    <hyperlink ref="S1586" r:id="rId3062" xr:uid="{0F44E6E2-17C9-4115-A76C-9690A19A8FFD}"/>
    <hyperlink ref="F1587" r:id="rId3063" xr:uid="{157C581A-463C-4B41-A999-2A795C65FA02}"/>
    <hyperlink ref="S1589" r:id="rId3064" xr:uid="{EA28E708-7B29-43B2-B1D5-48B453161E3A}"/>
    <hyperlink ref="G1590" r:id="rId3065" xr:uid="{49F0AE69-BBC7-4F11-95E1-4A7193935B30}"/>
    <hyperlink ref="S1590" r:id="rId3066" xr:uid="{06B3F0E0-A047-4D1A-80C1-B8A7AC8F6601}"/>
    <hyperlink ref="F1591" r:id="rId3067" xr:uid="{792223BE-C44B-4320-AE5B-70A67CF7CDB0}"/>
    <hyperlink ref="G1591" r:id="rId3068" xr:uid="{C9765F18-4FAC-4BED-9398-D88D1599BBE5}"/>
    <hyperlink ref="S1591" r:id="rId3069" xr:uid="{026F1873-92FE-4F2A-BD1C-40C8E97F98C6}"/>
    <hyperlink ref="F1592" r:id="rId3070" xr:uid="{0B040C45-9AB5-4B37-A5F3-3B1868739B52}"/>
    <hyperlink ref="S1592" r:id="rId3071" xr:uid="{067EB2DE-FDEB-4CE6-A6A0-30753E19BBB1}"/>
    <hyperlink ref="G1593" r:id="rId3072" xr:uid="{25F4D81E-0CD8-4D1F-BD4A-969B94F79923}"/>
    <hyperlink ref="S1593" r:id="rId3073" xr:uid="{D4FED1B2-1C01-48F8-93FB-033824F2DBF7}"/>
    <hyperlink ref="F1600" r:id="rId3074" xr:uid="{A15072D8-DDD1-4DDE-A90E-1A9053F4208E}"/>
    <hyperlink ref="S1600" r:id="rId3075" xr:uid="{80568A67-BFBD-4A03-9BDA-60C3719A9CFB}"/>
    <hyperlink ref="S1601" r:id="rId3076" xr:uid="{933CB6F9-635A-4C5E-A6C9-76AF42FF2F50}"/>
    <hyperlink ref="F1602" r:id="rId3077" xr:uid="{F3AB7A72-4000-4721-8FCA-C47838D90590}"/>
    <hyperlink ref="F1603" r:id="rId3078" xr:uid="{1789B721-6642-4DA6-8DF8-099486C65473}"/>
    <hyperlink ref="S1603" r:id="rId3079" xr:uid="{CFFCF11C-6F45-47F5-ABC4-CC1E723746AB}"/>
    <hyperlink ref="G1604" r:id="rId3080" xr:uid="{819AA174-B3B7-4533-889A-F0B1F3AF081F}"/>
    <hyperlink ref="S1604" r:id="rId3081" xr:uid="{48A2011C-55A7-416E-9D80-373FBEA8C0ED}"/>
    <hyperlink ref="F1605" r:id="rId3082" xr:uid="{E0EFD6AD-2E07-40C0-994B-A3A01C4B7690}"/>
    <hyperlink ref="G1605" r:id="rId3083" xr:uid="{4783E8C5-CB9E-4BDC-BFD4-1A2CCDCE7DC7}"/>
    <hyperlink ref="S1605" r:id="rId3084" xr:uid="{DC9FF4FF-535D-4C52-B8DF-B126D58E6604}"/>
    <hyperlink ref="F1606" r:id="rId3085" xr:uid="{F1FB15AD-7E23-4D09-962C-44B7ABE37122}"/>
    <hyperlink ref="G1606" r:id="rId3086" xr:uid="{AC0A19A5-D471-4F21-9C65-B6C90C3F2CC6}"/>
    <hyperlink ref="S1606" r:id="rId3087" xr:uid="{4DFA3A8D-DE42-493A-96F4-6D058BB7DF09}"/>
    <hyperlink ref="F1607" r:id="rId3088" xr:uid="{4AFEFE09-E053-4BF3-A574-A4439B6C86BF}"/>
    <hyperlink ref="S1607" r:id="rId3089" xr:uid="{D8966399-480C-4C39-B18A-807D82863D7F}"/>
    <hyperlink ref="F1608" r:id="rId3090" xr:uid="{12FAED8A-5780-4130-8E36-F4BA7C5B5371}"/>
    <hyperlink ref="F1609" r:id="rId3091" xr:uid="{8698BA1F-A973-4679-927A-C2D92B0D5D67}"/>
    <hyperlink ref="F1610" r:id="rId3092" xr:uid="{E5352B46-CEF1-44DE-8848-2D306A3AAAA1}"/>
    <hyperlink ref="F1611" r:id="rId3093" xr:uid="{D22D40B3-EC7D-4D21-9A6B-DE775BC93642}"/>
    <hyperlink ref="F1612" r:id="rId3094" xr:uid="{D197DA6B-B8D8-4424-A03E-AC5A3F9B6C7D}"/>
    <hyperlink ref="F1613" r:id="rId3095" xr:uid="{683246C6-09BE-4E98-A03D-4EE2B16DFAA0}"/>
    <hyperlink ref="F1614" r:id="rId3096" xr:uid="{DF33D334-81A3-4500-8CDB-3D913BECFC01}"/>
    <hyperlink ref="F1615" r:id="rId3097" xr:uid="{BB720E20-D2FC-4557-B904-D9E430F53C89}"/>
    <hyperlink ref="G1617" r:id="rId3098" xr:uid="{18C0B173-37D5-484B-B958-2C7CF1288946}"/>
    <hyperlink ref="S1617" r:id="rId3099" xr:uid="{3121FC66-F1EE-4758-8C67-2D5515AD64E6}"/>
    <hyperlink ref="F1618" r:id="rId3100" xr:uid="{A936E16F-AC96-48FA-8BB1-09CC45FBB8CA}"/>
    <hyperlink ref="G1618" r:id="rId3101" xr:uid="{D05484F2-7941-43A6-824C-41B2B2690E6C}"/>
    <hyperlink ref="S1618" r:id="rId3102" xr:uid="{F63ADDFA-C9E3-4F09-83A7-502A10282B17}"/>
    <hyperlink ref="S1619" r:id="rId3103" xr:uid="{B390F417-43EC-482C-BB71-E0F8C730DEE2}"/>
    <hyperlink ref="F1620" r:id="rId3104" xr:uid="{C350EF81-82D6-46A3-A9A3-2EE6EEE6BCEC}"/>
    <hyperlink ref="G1620" r:id="rId3105" xr:uid="{0CCCF29A-2456-4D17-A578-10FCFF857AF0}"/>
    <hyperlink ref="F1621" r:id="rId3106" xr:uid="{40F37B5C-08F6-4E12-95D0-37CDC4FD2069}"/>
    <hyperlink ref="S1621" r:id="rId3107" xr:uid="{198C14F1-6183-406A-A90C-B933FE9A0E13}"/>
    <hyperlink ref="F1622" r:id="rId3108" xr:uid="{6CD8449A-BE70-492B-80BA-568237D50709}"/>
    <hyperlink ref="S1622" r:id="rId3109" xr:uid="{F60D9050-7144-42C3-B51C-74701B643199}"/>
    <hyperlink ref="F1623" r:id="rId3110" xr:uid="{7557E0DB-AFB5-477C-92C8-15BC01E52EA4}"/>
    <hyperlink ref="G1623" r:id="rId3111" xr:uid="{A15AEAE6-A134-426C-A8C1-5F3E2BDBFB52}"/>
    <hyperlink ref="S1623" r:id="rId3112" xr:uid="{5F96E960-0C18-4EBB-8956-0141A290624B}"/>
    <hyperlink ref="F1624" r:id="rId3113" xr:uid="{EE7870E8-4913-49F1-AF39-A9982E934029}"/>
    <hyperlink ref="F1625" r:id="rId3114" xr:uid="{9FDBA5C3-E59C-44C8-AFBD-024A5923B3B3}"/>
    <hyperlink ref="G1625" r:id="rId3115" xr:uid="{4CF35A47-BC5B-41FB-AEC7-3FB8D22DB102}"/>
    <hyperlink ref="S1625" r:id="rId3116" xr:uid="{2B86A651-79C9-4DF5-BCFF-EDB03FC790FF}"/>
    <hyperlink ref="S1627" r:id="rId3117" xr:uid="{B49B1457-DE0B-43BA-AE4B-EC3F3DBA41FB}"/>
    <hyperlink ref="F1628" r:id="rId3118" xr:uid="{BB28D5A4-8AE3-4CB6-BAFE-EF89E1659095}"/>
    <hyperlink ref="S1628" r:id="rId3119" xr:uid="{CAC4B4B1-ED2B-46E9-BCED-DAD12BD76FD4}"/>
    <hyperlink ref="G1629" r:id="rId3120" xr:uid="{9B80F2E5-6C5F-47A7-9D8B-8C56ABB37C36}"/>
    <hyperlink ref="S1629" r:id="rId3121" xr:uid="{75BA9C15-4A50-4DA3-8096-E7650BAD2905}"/>
    <hyperlink ref="F1630" r:id="rId3122" xr:uid="{C6D390D5-22ED-4D4D-9896-33A0EDD9F9E3}"/>
    <hyperlink ref="S1630" r:id="rId3123" xr:uid="{817149F4-7559-4D98-814E-115797C4D12B}"/>
    <hyperlink ref="F1631" r:id="rId3124" xr:uid="{BEDA1480-EFB6-4D56-BEEF-5D01C63135C4}"/>
    <hyperlink ref="S1631" r:id="rId3125" xr:uid="{842F4A1D-BAD0-4124-B332-B1ABEA458A7B}"/>
    <hyperlink ref="F1632" r:id="rId3126" xr:uid="{9CC030F2-ECF8-448F-BD21-4C609FBC3629}"/>
    <hyperlink ref="S1632" r:id="rId3127" xr:uid="{0DEC8F82-9950-42A3-91C6-9A27506FE6C5}"/>
    <hyperlink ref="F1633" r:id="rId3128" xr:uid="{0220ADE2-B123-4098-BDE1-F406FB7AC523}"/>
    <hyperlink ref="G1633" r:id="rId3129" xr:uid="{0153E9AA-33A3-4D4A-AEC1-3AAFAEA5F7D7}"/>
    <hyperlink ref="S1633" r:id="rId3130" xr:uid="{0D0EC3FB-1FD2-4856-9CA2-37D3584FC6C3}"/>
    <hyperlink ref="F1634" r:id="rId3131" xr:uid="{42C56D63-8F30-44EB-B102-580DBA04DD45}"/>
    <hyperlink ref="G1634" r:id="rId3132" xr:uid="{0659C404-6774-469C-A84A-37D1D98D6F6F}"/>
    <hyperlink ref="S1634" r:id="rId3133" xr:uid="{168D5684-6D73-4899-9B1A-732D7FF15941}"/>
    <hyperlink ref="G1635" r:id="rId3134" xr:uid="{6FBEA468-69A5-4F58-AF0E-5DA60B37E7B0}"/>
    <hyperlink ref="G1636" r:id="rId3135" xr:uid="{C7725B32-187E-4919-9478-9EF9D5185882}"/>
    <hyperlink ref="F1637" r:id="rId3136" xr:uid="{31D46AB4-E705-4D53-88FA-E58440E09EE5}"/>
    <hyperlink ref="F1638" r:id="rId3137" xr:uid="{59B343E0-C5A7-474F-8C83-7E171E564199}"/>
    <hyperlink ref="S1638" r:id="rId3138" xr:uid="{F5D41E4D-1CF3-4333-B8E6-0A026043AF47}"/>
    <hyperlink ref="G1639" r:id="rId3139" xr:uid="{64EE354F-51F3-472B-995D-4AB9D5783A0C}"/>
    <hyperlink ref="S1639" r:id="rId3140" xr:uid="{D5D38423-D2AB-4A75-B269-F15961A38237}"/>
    <hyperlink ref="F1640" r:id="rId3141" xr:uid="{515EE43B-C503-43D4-A04B-4C4694946B73}"/>
    <hyperlink ref="F1641" r:id="rId3142" xr:uid="{F3440976-7544-4A47-991A-9CC0280D9702}"/>
    <hyperlink ref="G1641" r:id="rId3143" xr:uid="{BC2BD693-8036-456C-AA67-8F4930639529}"/>
    <hyperlink ref="S1641" r:id="rId3144" xr:uid="{411751B7-398B-4C83-A79E-EA9EA10B0379}"/>
    <hyperlink ref="F1642" r:id="rId3145" xr:uid="{1890090E-30A5-4D07-8B3D-F70E32F38ED8}"/>
    <hyperlink ref="S1642" r:id="rId3146" xr:uid="{CBC40ECA-791B-411B-9938-7A272FCB4B8E}"/>
    <hyperlink ref="G1643" r:id="rId3147" xr:uid="{4A5590E1-990F-4BE2-B67B-487DE86D9227}"/>
    <hyperlink ref="S1643" r:id="rId3148" xr:uid="{FF27BCC6-5DF5-43E1-B17E-53408016B055}"/>
    <hyperlink ref="S1644" r:id="rId3149" xr:uid="{0D152BD2-615B-4F14-9118-AC0E6A66A807}"/>
    <hyperlink ref="F1645" r:id="rId3150" xr:uid="{0F1EE008-0AA3-4315-AD1F-09DBD0EECEAC}"/>
    <hyperlink ref="S1645" r:id="rId3151" xr:uid="{640C51E6-CA0B-4314-92E1-E55FFD3350BB}"/>
    <hyperlink ref="S1646" r:id="rId3152" xr:uid="{2ABC0CA1-136A-4184-AE73-9C2C07B79AD0}"/>
    <hyperlink ref="F1647" r:id="rId3153" xr:uid="{AEBD766B-FC82-4CE8-92DF-AB071116266A}"/>
    <hyperlink ref="G1647" r:id="rId3154" xr:uid="{16220940-0C8B-414C-BF5D-8B21D34CE7D4}"/>
    <hyperlink ref="F1648" r:id="rId3155" xr:uid="{3DF82F95-9163-42CC-8CAD-BFC2C27FA113}"/>
    <hyperlink ref="G1648" r:id="rId3156" xr:uid="{8214F7F9-7C2C-45E7-AD1F-66E8EF471B66}"/>
    <hyperlink ref="F1649" r:id="rId3157" xr:uid="{6C5C8AB5-8EF3-411E-9AC8-BA5DBC6D6A65}"/>
    <hyperlink ref="S1649" r:id="rId3158" xr:uid="{854C1A9C-1BA6-4DB8-8183-866FA75B63B9}"/>
    <hyperlink ref="F1650" r:id="rId3159" xr:uid="{072BA78B-5B53-4744-836F-7A7D4D5FCBEF}"/>
    <hyperlink ref="S1650" r:id="rId3160" xr:uid="{B7E6D8B8-4EB7-44DD-A33E-1BCB87D7A44E}"/>
    <hyperlink ref="F1651" r:id="rId3161" location=".YDSqjNwGomA.twitter" xr:uid="{161A557A-DCE8-4BE2-B4C0-46D7EF979A27}"/>
    <hyperlink ref="S1651" r:id="rId3162" xr:uid="{73AB451D-2DAA-4352-BA21-362437C52E35}"/>
    <hyperlink ref="F1652" r:id="rId3163" xr:uid="{16550FDB-6E15-40C4-86D4-95DA5818CB39}"/>
    <hyperlink ref="F1653" r:id="rId3164" xr:uid="{EE1A1D9B-6AEB-48F0-808B-326750251F63}"/>
    <hyperlink ref="S1653" r:id="rId3165" xr:uid="{359ADA92-D8BE-4BEE-A761-E55706E18825}"/>
    <hyperlink ref="F1654" r:id="rId3166" xr:uid="{16BB3290-12D8-4DC7-B136-860FB06B01CD}"/>
    <hyperlink ref="S1654" r:id="rId3167" xr:uid="{9B80F686-1C32-4279-AD4A-E89334517625}"/>
    <hyperlink ref="S1655" r:id="rId3168" xr:uid="{3BB911D4-50BF-41AF-98C9-344444D9D213}"/>
    <hyperlink ref="F1656" r:id="rId3169" xr:uid="{5335251E-F812-44C8-A453-CAD8DDC52003}"/>
    <hyperlink ref="S1656" r:id="rId3170" xr:uid="{229C5603-6A3C-43D1-A8A9-F53032F382A7}"/>
    <hyperlink ref="S1657" r:id="rId3171" xr:uid="{560A2C4A-38F0-4A1E-8C8C-D540D58EDF87}"/>
    <hyperlink ref="F1658" r:id="rId3172" xr:uid="{7996A1AE-512A-4A7B-9728-4226FC3B7F3A}"/>
    <hyperlink ref="S1658" r:id="rId3173" xr:uid="{FDBE0F02-651B-4EF9-9347-0E0FEC20FEC0}"/>
    <hyperlink ref="F1659" r:id="rId3174" xr:uid="{B0D4303B-6BA9-4527-85A5-E549FF9F062C}"/>
    <hyperlink ref="G1659" r:id="rId3175" xr:uid="{ECD7C4C2-144F-480F-9A2D-C09F13B698B2}"/>
    <hyperlink ref="F1660" r:id="rId3176" xr:uid="{F579EA59-5D95-4E16-A914-D92CC6791D48}"/>
    <hyperlink ref="G1660" r:id="rId3177" xr:uid="{19B98C60-489E-4810-8FB9-7B65D7F95101}"/>
    <hyperlink ref="S1660" r:id="rId3178" xr:uid="{7150A050-F742-4D0D-A976-DE149DD8DDA4}"/>
    <hyperlink ref="G1661" r:id="rId3179" xr:uid="{393908E1-D9C2-498E-A249-F6AFB71977CD}"/>
    <hyperlink ref="S1661" r:id="rId3180" xr:uid="{2BF91E5B-68C1-41FD-A79D-00422B8F9CDC}"/>
    <hyperlink ref="G1662" r:id="rId3181" xr:uid="{A970B1FB-54D7-4D93-A776-F90D45A76E75}"/>
    <hyperlink ref="F1663" r:id="rId3182" xr:uid="{1EAAF3A5-1701-4484-B1AC-0DC75FA024AB}"/>
    <hyperlink ref="F1664" r:id="rId3183" xr:uid="{7F826C5B-7561-4065-9D74-FC502ED42C72}"/>
    <hyperlink ref="S1664" r:id="rId3184" xr:uid="{F511F45B-49D5-44B9-BB36-1E8D711D850B}"/>
    <hyperlink ref="F1665" r:id="rId3185" xr:uid="{DFD4040B-DEF8-4EF0-AB9B-1740F54DB028}"/>
    <hyperlink ref="S1665" r:id="rId3186" xr:uid="{BA70D721-794B-45D9-99E9-9B0CD135A54C}"/>
    <hyperlink ref="G1666" r:id="rId3187" xr:uid="{4AF7ADE3-7953-4816-8500-A93F476C2C54}"/>
    <hyperlink ref="S1666" r:id="rId3188" xr:uid="{4CF33E27-4587-468F-BE7D-EBAA94C1ED05}"/>
    <hyperlink ref="G1667" r:id="rId3189" xr:uid="{9FF31BCB-0F33-4739-92C7-E0E30C0D4EFD}"/>
    <hyperlink ref="S1667" r:id="rId3190" xr:uid="{A49C0F7B-22EC-4EBE-8CFC-12FC79B04DCF}"/>
    <hyperlink ref="F1668" r:id="rId3191" xr:uid="{6EC7B3C9-2289-42F7-ACF0-D675030E0DEE}"/>
    <hyperlink ref="S1668" r:id="rId3192" xr:uid="{79C3FD8F-26EF-44BC-A8A7-F0C18A828F86}"/>
    <hyperlink ref="F1669" r:id="rId3193" xr:uid="{AB75A39D-9E24-4711-B395-AF12145923CC}"/>
    <hyperlink ref="G1669" r:id="rId3194" xr:uid="{4ED4C073-EAC1-4A13-8F0C-B61558640866}"/>
    <hyperlink ref="F1670" r:id="rId3195" xr:uid="{92CA4552-E892-45D6-9178-F201C5BCBD3D}"/>
    <hyperlink ref="F1671" r:id="rId3196" xr:uid="{681E6391-4F7C-4065-971B-49E06487B824}"/>
    <hyperlink ref="F1672" r:id="rId3197" xr:uid="{E1B0E3C8-D0EA-4492-80F3-7633FA692E28}"/>
    <hyperlink ref="G1672" r:id="rId3198" xr:uid="{C1EE7095-818F-4164-A602-E900EEE6B9E3}"/>
    <hyperlink ref="S1672" r:id="rId3199" xr:uid="{FB6E9216-AC6F-47DF-8DC6-674EB1CD2C50}"/>
    <hyperlink ref="F1673" r:id="rId3200" xr:uid="{183DED41-ACFC-4351-BB9B-8CFBDF1E63FC}"/>
    <hyperlink ref="S1673" r:id="rId3201" xr:uid="{C771EAB3-ED87-40CF-8864-119425B5FDF1}"/>
    <hyperlink ref="S1674" r:id="rId3202" xr:uid="{32370F71-8596-48C9-9B98-F84DA2970934}"/>
    <hyperlink ref="S1675" r:id="rId3203" xr:uid="{1A32B4B0-1F36-4543-9742-6896092EB182}"/>
    <hyperlink ref="G1676" r:id="rId3204" xr:uid="{00E3C8DC-3E9D-4A7A-A955-44E1735D6AEE}"/>
    <hyperlink ref="S1676" r:id="rId3205" xr:uid="{8850813F-F3E3-42ED-BAFE-E07152935947}"/>
    <hyperlink ref="F1677" r:id="rId3206" xr:uid="{0606873E-4D53-4E13-9F26-B760AC7E5516}"/>
    <hyperlink ref="G1677" r:id="rId3207" xr:uid="{7AC4E5BF-FF92-45B3-9F1A-623F13FF7B82}"/>
    <hyperlink ref="S1677" r:id="rId3208" xr:uid="{9030BCB6-CC5D-424D-A9FC-D11E8936F76B}"/>
    <hyperlink ref="F1678" r:id="rId3209" xr:uid="{FC3FA311-1F0A-4F8C-B65B-A9A56BE7D470}"/>
    <hyperlink ref="S1678" r:id="rId3210" xr:uid="{376CE867-B751-4295-B2A1-2BBFAF22B595}"/>
    <hyperlink ref="G1679" r:id="rId3211" xr:uid="{76C91863-B25B-42CB-8A89-1F57651FDCAB}"/>
    <hyperlink ref="S1679" r:id="rId3212" xr:uid="{83FB8277-48B0-4024-AEFB-B785535FCBF4}"/>
    <hyperlink ref="F1680" r:id="rId3213" xr:uid="{0E9FA68D-1165-4032-A12C-6A336367917A}"/>
    <hyperlink ref="S1680" r:id="rId3214" xr:uid="{12FAEDC2-F80D-4B99-B3D4-C2DDAE906165}"/>
    <hyperlink ref="F1681" r:id="rId3215" xr:uid="{F21E5CF0-E9EA-4567-B6F0-E5FB8DDE3F10}"/>
    <hyperlink ref="G1682" r:id="rId3216" xr:uid="{F61A0030-FDB7-4F79-933E-8F7CDF55946E}"/>
    <hyperlink ref="G1683" r:id="rId3217" xr:uid="{838148E6-9172-4938-8444-159D6AC6C7DE}"/>
    <hyperlink ref="F1684" r:id="rId3218" xr:uid="{FB39C876-037A-4897-820E-EB2859B19CF7}"/>
    <hyperlink ref="G1684" r:id="rId3219" xr:uid="{C45443B2-6D4A-4DD1-B5EC-C0BC1848C46C}"/>
    <hyperlink ref="S1684" r:id="rId3220" xr:uid="{F82DA09C-E8E7-455A-BDC8-5D52968D05F9}"/>
    <hyperlink ref="F1685" r:id="rId3221" xr:uid="{A9F59EFD-A835-4053-97DD-E82E439227D6}"/>
    <hyperlink ref="G1686" r:id="rId3222" xr:uid="{A88625DB-20BC-4C23-A9A0-9821D60E3739}"/>
    <hyperlink ref="G1687" r:id="rId3223" xr:uid="{C692287E-48F9-484C-8526-87D9B64608EB}"/>
    <hyperlink ref="S1687" r:id="rId3224" xr:uid="{312AC5C7-F8C1-4AC9-9681-DD6574BF9F80}"/>
    <hyperlink ref="S1688" r:id="rId3225" xr:uid="{BF359FCA-008A-4DBC-A391-59C787341BF6}"/>
    <hyperlink ref="G1689" r:id="rId3226" xr:uid="{5AC3AB3A-0F1D-4054-AFB8-F00233E01441}"/>
    <hyperlink ref="G1690" r:id="rId3227" xr:uid="{3463B177-161C-4087-B060-B2A0076BAE70}"/>
    <hyperlink ref="S1690" r:id="rId3228" xr:uid="{B596C386-CEA5-45D6-A8AC-36B6F69F17FF}"/>
    <hyperlink ref="F1691" r:id="rId3229" xr:uid="{E9490F4D-EE91-45DC-A1E8-13C78E37B7F5}"/>
    <hyperlink ref="G1691" r:id="rId3230" xr:uid="{41BEA1E7-9777-4004-829F-A8CF57247FB6}"/>
    <hyperlink ref="S1691" r:id="rId3231" xr:uid="{1BDE0065-9010-43E1-8C42-13617777E26D}"/>
    <hyperlink ref="G1692" r:id="rId3232" xr:uid="{74F0675F-BF1B-40E2-B95C-19E07F78754C}"/>
    <hyperlink ref="S1692" r:id="rId3233" xr:uid="{D372A728-07C3-46AC-8E5E-1298FC91BB37}"/>
    <hyperlink ref="G1694" r:id="rId3234" xr:uid="{12EE0969-6ACF-42B1-94F7-E5181CCF21A9}"/>
    <hyperlink ref="S1694" r:id="rId3235" xr:uid="{A44155FA-DE7D-4443-BA31-F6DF87DA6299}"/>
    <hyperlink ref="F1695" r:id="rId3236" xr:uid="{4AFBCA1D-3A31-49B6-A092-E8D3531528C4}"/>
    <hyperlink ref="G1696" r:id="rId3237" xr:uid="{63694737-2C98-4939-A513-CF329785B850}"/>
    <hyperlink ref="S1696" r:id="rId3238" xr:uid="{37292417-A0C2-428C-9A17-BCD5DE8B1A4D}"/>
    <hyperlink ref="G1698" r:id="rId3239" xr:uid="{CE1A4401-0287-4BDC-9E9A-5AEE262BA305}"/>
    <hyperlink ref="S1698" r:id="rId3240" xr:uid="{5B5B0F26-DDCB-403A-8EBD-98F36CC6AE8A}"/>
    <hyperlink ref="G1699" r:id="rId3241" xr:uid="{2C8B445F-E98A-4A24-AC14-7493BB8ABC3D}"/>
    <hyperlink ref="S1699" r:id="rId3242" xr:uid="{DEDC1EDE-FBB7-4E1B-BD08-1FD51E2E31CC}"/>
    <hyperlink ref="F1700" r:id="rId3243" xr:uid="{5BF0F26C-F21B-4573-8D24-8630CF5D39AF}"/>
    <hyperlink ref="G1700" r:id="rId3244" xr:uid="{A4B25D90-FBED-4A96-B493-E62AAC136D30}"/>
    <hyperlink ref="S1700" r:id="rId3245" xr:uid="{2255711F-6D30-4813-B6B7-7EB3849DF65F}"/>
    <hyperlink ref="G1701" r:id="rId3246" xr:uid="{45614F7E-EDB4-4502-AFD4-49CE382512FF}"/>
    <hyperlink ref="S1701" r:id="rId3247" xr:uid="{AE7A9C04-2E28-4826-89E1-30CAA668926C}"/>
    <hyperlink ref="G1702" r:id="rId3248" xr:uid="{B6F314C9-6946-4C18-8D1C-1EBA6F9873ED}"/>
    <hyperlink ref="S1702" r:id="rId3249" xr:uid="{705D0DBF-A9AE-422A-802E-15D6A8EF6845}"/>
    <hyperlink ref="F1703" r:id="rId3250" xr:uid="{A5FF0536-A088-4488-80CF-B5A78CAEBED0}"/>
    <hyperlink ref="G1703" r:id="rId3251" xr:uid="{73A1F84A-A3DA-4104-BA36-928F55DABE1E}"/>
    <hyperlink ref="S1703" r:id="rId3252" xr:uid="{1B9E2541-CDF6-4F92-AA0E-70F0A0F9B110}"/>
    <hyperlink ref="F1704" r:id="rId3253" xr:uid="{4DA26968-F103-47A0-9A81-0F39CB8A764E}"/>
    <hyperlink ref="G1704" r:id="rId3254" xr:uid="{FB3205FE-D770-4965-AFCF-9C3645D1E6CE}"/>
    <hyperlink ref="S1704" r:id="rId3255" xr:uid="{C79E0D65-9ECF-41F8-8F68-17FDC6A0797E}"/>
    <hyperlink ref="G1705" r:id="rId3256" xr:uid="{0F644687-1C76-4CD9-9063-258E13A2B00A}"/>
    <hyperlink ref="S1705" r:id="rId3257" xr:uid="{E8F0A9AC-D759-4143-A520-D7FAFC9EC7CC}"/>
    <hyperlink ref="F1706" r:id="rId3258" xr:uid="{2FA5700C-6D6E-4246-B3D1-8905FC2C5383}"/>
    <hyperlink ref="G1706" r:id="rId3259" xr:uid="{459FCA99-AA23-4BDA-B126-3752D127F43D}"/>
    <hyperlink ref="S1706" r:id="rId3260" xr:uid="{8655C5A4-77D9-438A-A3A4-CECCC006A6DD}"/>
    <hyperlink ref="F1707" r:id="rId3261" xr:uid="{D77B7DBC-9227-499D-858F-DFD2C274D1FB}"/>
    <hyperlink ref="G1707" r:id="rId3262" xr:uid="{AC238433-59C0-47FC-B18E-4CEDBE642F6C}"/>
    <hyperlink ref="S1707" r:id="rId3263" xr:uid="{55A1D819-D244-4C65-B876-0BCC5304FF02}"/>
    <hyperlink ref="F1708" r:id="rId3264" xr:uid="{BAE4C41F-EC49-428F-A26E-1BB5CDD26462}"/>
    <hyperlink ref="G1708" r:id="rId3265" xr:uid="{28E24A83-CB35-4F33-BB81-74670CAC76A4}"/>
    <hyperlink ref="S1708" r:id="rId3266" xr:uid="{22D5BBB7-93E1-49E9-A48B-4567442C2FE3}"/>
    <hyperlink ref="S1709" r:id="rId3267" xr:uid="{BB03A9CC-5CDA-4322-BB2F-333CF3C7A496}"/>
    <hyperlink ref="F1710" r:id="rId3268" xr:uid="{6EA977A9-1A2D-4B83-A1A9-EE32342D88BA}"/>
    <hyperlink ref="G1710" r:id="rId3269" xr:uid="{1C394F68-8E53-4C64-8C5D-C0B0982FABE1}"/>
    <hyperlink ref="F1711" r:id="rId3270" xr:uid="{60A76A5C-21A7-41E5-9681-F90E6022CCBA}"/>
    <hyperlink ref="S1711" r:id="rId3271" xr:uid="{FC03477C-39BE-4BAC-8AD8-315F12941B5E}"/>
    <hyperlink ref="G1712" r:id="rId3272" xr:uid="{4C9DCF1A-3D73-4162-8F38-4C571E3A3FD1}"/>
    <hyperlink ref="S1712" r:id="rId3273" xr:uid="{92FC83B7-5EAB-40BC-BC64-311E40046E32}"/>
    <hyperlink ref="S1713" r:id="rId3274" xr:uid="{629D9C97-AA2A-4D28-BECA-329C61CB9EAE}"/>
    <hyperlink ref="S1714" r:id="rId3275" xr:uid="{8B1471B0-2484-48C5-A2E0-063B5FC20D77}"/>
    <hyperlink ref="C1715" r:id="rId3276" xr:uid="{FC56F39C-1AE3-4FC8-966E-45ED851A6EF9}"/>
    <hyperlink ref="F1715" r:id="rId3277" xr:uid="{99412D5A-D0E0-408A-8BDF-37EFE707E0AD}"/>
    <hyperlink ref="S1715" r:id="rId3278" xr:uid="{F9A4E60E-CEC6-42EC-9963-711D696FFACD}"/>
    <hyperlink ref="G1716" r:id="rId3279" xr:uid="{049D1CF4-6736-4E07-B671-982B77AFD3E8}"/>
    <hyperlink ref="S1716" r:id="rId3280" xr:uid="{55BCA28B-7EE6-40B3-85A6-4288512DA8BA}"/>
    <hyperlink ref="F1717" r:id="rId3281" xr:uid="{608D75F1-16B4-40C0-80DA-2C7256018DD2}"/>
    <hyperlink ref="G1717" r:id="rId3282" xr:uid="{68E7F2D7-186F-4E45-A368-B37AB3A9C343}"/>
    <hyperlink ref="S1717" r:id="rId3283" xr:uid="{C91FFA86-D61E-4F66-B8B3-52C534E448FD}"/>
    <hyperlink ref="F1718" r:id="rId3284" xr:uid="{43001B61-6F12-4F1D-A684-8DDBEFC05DD9}"/>
    <hyperlink ref="S1718" r:id="rId3285" xr:uid="{3CAA67E3-AF83-4B69-BE2A-83AA28528192}"/>
    <hyperlink ref="F1719" r:id="rId3286" xr:uid="{7A4EDA40-81F8-4360-B2E1-FA2BCFC2E32B}"/>
    <hyperlink ref="G1719" r:id="rId3287" xr:uid="{5B59B577-5ADD-478C-8E55-2383618669F6}"/>
    <hyperlink ref="S1719" r:id="rId3288" xr:uid="{7C9CBA2F-0D70-4B83-B16E-6D36B7D05E96}"/>
    <hyperlink ref="F1720" r:id="rId3289" xr:uid="{CE7FC07C-2A31-458C-9458-55500BF7A411}"/>
    <hyperlink ref="G1720" r:id="rId3290" xr:uid="{5A697E5B-54D2-4984-A724-B5DA887FC637}"/>
    <hyperlink ref="F1721" r:id="rId3291" xr:uid="{1550AE90-3A53-489E-8B72-EBA2B1494DD9}"/>
    <hyperlink ref="G1721" r:id="rId3292" xr:uid="{F7385CB2-ECD7-4F50-8727-2DFFDE7AF6E3}"/>
    <hyperlink ref="S1721" r:id="rId3293" xr:uid="{D98E1C81-F3B8-4B91-AF07-BA9EE02DBD79}"/>
    <hyperlink ref="F1722" r:id="rId3294" xr:uid="{7CDAB358-A525-441C-8B15-88126894D30A}"/>
    <hyperlink ref="G1722" r:id="rId3295" xr:uid="{6EA7FC5E-25C6-44F8-B174-0EDA51C50E6A}"/>
    <hyperlink ref="S1722" r:id="rId3296" xr:uid="{D0466CC1-25AD-4F44-87DD-9E99C0C7297B}"/>
    <hyperlink ref="F1723" r:id="rId3297" xr:uid="{21021DE0-33CD-4DD8-BEA2-C8EA35D69EC9}"/>
    <hyperlink ref="S1723" r:id="rId3298" xr:uid="{69535D71-8A61-4CD6-8411-3A3DD436D077}"/>
    <hyperlink ref="G1724" r:id="rId3299" xr:uid="{4BD27811-CD8C-49DA-816F-AB66062D9EB2}"/>
    <hyperlink ref="S1724" r:id="rId3300" xr:uid="{6D4C70F0-396B-454B-BB9D-D7049DC883A0}"/>
    <hyperlink ref="S1725" r:id="rId3301" xr:uid="{967F0BE9-6ED4-439D-8013-953A36481D32}"/>
    <hyperlink ref="G1726" r:id="rId3302" xr:uid="{9A623E25-CF85-4D81-8AEE-06C1659F1CD7}"/>
    <hyperlink ref="S1726" r:id="rId3303" xr:uid="{A099C379-383D-4B82-84C5-04D354249529}"/>
    <hyperlink ref="F1727" r:id="rId3304" xr:uid="{A0EDF573-FEC9-4C93-BF8A-52A4902C893B}"/>
    <hyperlink ref="G1727" r:id="rId3305" xr:uid="{475D9C80-31BC-4982-A8FB-211BF21AB573}"/>
    <hyperlink ref="S1728" r:id="rId3306" xr:uid="{7D99C102-C42B-4A33-8A9E-E7A9C2FAFC13}"/>
    <hyperlink ref="F1729" r:id="rId3307" xr:uid="{111AEA05-537D-4C68-8D9A-4B24C5835B9D}"/>
    <hyperlink ref="S1729" r:id="rId3308" xr:uid="{424DBC19-FCB1-4849-B81C-68736FAB6CC7}"/>
    <hyperlink ref="F1730" r:id="rId3309" xr:uid="{8B5EAC9D-6591-4ED1-9A83-650FA46DB2C1}"/>
    <hyperlink ref="S1730" r:id="rId3310" xr:uid="{C757FF9C-05F3-4FDB-8168-77D28C834CCD}"/>
    <hyperlink ref="F1731" r:id="rId3311" xr:uid="{90A473EA-2A01-45B4-B126-D6CB93E93AC4}"/>
    <hyperlink ref="S1731" r:id="rId3312" xr:uid="{CF9D7525-CD3E-43D3-9184-66278AC08F95}"/>
    <hyperlink ref="C1732" r:id="rId3313" xr:uid="{9B5953BD-FD4A-44AB-A350-106F32BEA4F6}"/>
    <hyperlink ref="F1732" r:id="rId3314" xr:uid="{7A727465-FA89-4727-934B-0ACBA0242BBA}"/>
    <hyperlink ref="S1732" r:id="rId3315" xr:uid="{DABA5B98-D7B2-4B3D-9BF8-29A08631F36C}"/>
    <hyperlink ref="F1733" r:id="rId3316" xr:uid="{09204F5D-A89C-4C6A-86A6-CCA0D4680FD4}"/>
    <hyperlink ref="S1733" r:id="rId3317" xr:uid="{C59B5ED1-C457-413C-8657-0BBC532DA654}"/>
    <hyperlink ref="F1734" r:id="rId3318" xr:uid="{F15724B5-08CC-42B1-AA67-84475AB9D17D}"/>
    <hyperlink ref="G1734" r:id="rId3319" xr:uid="{40028DF2-4BA2-48EE-A85A-04D5798A3E3B}"/>
    <hyperlink ref="S1734" r:id="rId3320" xr:uid="{56CFF053-3031-41BC-96D8-C10CDC9CE3FD}"/>
    <hyperlink ref="F1735" r:id="rId3321" xr:uid="{FFF41ED3-DB46-4CFF-912A-FC7296DF7A50}"/>
    <hyperlink ref="G1735" r:id="rId3322" xr:uid="{AD5F28C3-1325-442B-9047-9CC097F0751D}"/>
    <hyperlink ref="S1735" r:id="rId3323" xr:uid="{3EBA0513-0322-4264-A6EB-398E64F090C8}"/>
    <hyperlink ref="F1736" r:id="rId3324" xr:uid="{4910FE32-7547-4699-8522-F48AA899549E}"/>
    <hyperlink ref="G1736" r:id="rId3325" xr:uid="{24D8F214-DD36-4C5D-8203-F2C08BFE3DA0}"/>
    <hyperlink ref="S1736" r:id="rId3326" xr:uid="{A22D7EA7-73A9-466D-BDF3-58085CF484A4}"/>
    <hyperlink ref="F1737" r:id="rId3327" xr:uid="{3BE372EE-806B-483D-99C7-FF5514161962}"/>
    <hyperlink ref="S1737" r:id="rId3328" xr:uid="{50FBE4AC-D86D-4559-875E-25F0E6A00835}"/>
    <hyperlink ref="F1738" r:id="rId3329" xr:uid="{1DF07B7A-F037-4266-A57A-BBFB2B075FDE}"/>
    <hyperlink ref="S1738" r:id="rId3330" xr:uid="{7C2F9B1F-1582-4BC2-89F9-EDD14B3B6D08}"/>
    <hyperlink ref="F1740" r:id="rId3331" xr:uid="{D0A7BAC7-EA98-4F1F-8BF1-E83D8C536310}"/>
    <hyperlink ref="S1740" r:id="rId3332" xr:uid="{E8D5876B-8216-4715-A15C-3C7D0CB52E4F}"/>
    <hyperlink ref="F1741" r:id="rId3333" xr:uid="{58E93793-EEBA-4A39-B3EC-BA7336B5E421}"/>
    <hyperlink ref="S1741" r:id="rId3334" xr:uid="{9E1F8AAC-E4A0-4F3B-B6DB-21FADD371D59}"/>
    <hyperlink ref="C1742" r:id="rId3335" xr:uid="{BB6A314B-ABC2-4816-9E05-0CCFFE5327FB}"/>
    <hyperlink ref="F1742" r:id="rId3336" xr:uid="{E36EAD96-5EE9-4DB9-B607-1D109151F7B0}"/>
    <hyperlink ref="G1742" r:id="rId3337" xr:uid="{FCBAC9B3-B3DC-4B44-8ABE-0A79BACD93F2}"/>
    <hyperlink ref="S1742" r:id="rId3338" xr:uid="{3730048E-FB4F-4257-A6AD-3B860E6A4F52}"/>
    <hyperlink ref="F1743" r:id="rId3339" xr:uid="{46B21CF6-C186-4F88-B148-469BA3F00AC3}"/>
    <hyperlink ref="S1743" r:id="rId3340" xr:uid="{46AC7022-7500-4892-9127-1562D7E965AA}"/>
    <hyperlink ref="F1744" r:id="rId3341" xr:uid="{721B73A2-A30F-403A-8A06-8F4C649CFB98}"/>
    <hyperlink ref="G1744" r:id="rId3342" xr:uid="{C3C1AA03-34ED-4849-A62F-9F4CE86657CD}"/>
    <hyperlink ref="S1744" r:id="rId3343" xr:uid="{48AEB2EC-06F9-4A44-83D3-5E1A7CBB8A22}"/>
    <hyperlink ref="F1745" r:id="rId3344" xr:uid="{05B55BFC-83DA-4D33-B1D2-4C70C459BFB4}"/>
    <hyperlink ref="S1745" r:id="rId3345" xr:uid="{2D0246AD-B060-4E52-9565-1E32955C8DF2}"/>
    <hyperlink ref="F1746" r:id="rId3346" xr:uid="{0534B469-157E-4C81-A571-E4BECD9089AA}"/>
    <hyperlink ref="S1746" r:id="rId3347" xr:uid="{461BBB06-B68F-40B4-9159-7FDC63AF6DAB}"/>
    <hyperlink ref="F1747" r:id="rId3348" xr:uid="{EF7BFC6C-02AD-4404-AB75-5918F337D3ED}"/>
    <hyperlink ref="G1747" r:id="rId3349" xr:uid="{103954A7-5931-4501-869C-FB60F1C9A646}"/>
    <hyperlink ref="S1747" r:id="rId3350" xr:uid="{0AE1A029-11CC-4E28-A520-CE0471DA9976}"/>
    <hyperlink ref="F1748" r:id="rId3351" xr:uid="{68D65E6F-9B42-4E4D-ADA3-00A46015F9AC}"/>
    <hyperlink ref="G1748" r:id="rId3352" xr:uid="{00F2A964-1F42-41CA-862C-60372E816501}"/>
    <hyperlink ref="S1748" r:id="rId3353" xr:uid="{6847B363-F8AE-479B-8FA5-D64494A7F13E}"/>
    <hyperlink ref="G1749" r:id="rId3354" xr:uid="{C4ACAF65-7CDA-427A-8C7A-4A59DF69553D}"/>
    <hyperlink ref="S1749" r:id="rId3355" xr:uid="{96A42196-CDA1-488E-9B82-CB03B1260093}"/>
    <hyperlink ref="F1750" r:id="rId3356" xr:uid="{08C205C1-C46F-4D00-BA1B-84853DCD4695}"/>
    <hyperlink ref="G1750" r:id="rId3357" xr:uid="{D391A70C-D145-43FE-813C-4D3186B363A4}"/>
    <hyperlink ref="S1750" r:id="rId3358" xr:uid="{6ECD8C54-EED8-4764-83CB-4E1EA80FA395}"/>
    <hyperlink ref="F1751" r:id="rId3359" xr:uid="{B1D59C7D-1C64-470A-9410-061B729FC38F}"/>
    <hyperlink ref="G1751" r:id="rId3360" xr:uid="{E6DA66A0-E58E-43FE-B84A-F5BB526B8BEE}"/>
    <hyperlink ref="G1752" r:id="rId3361" xr:uid="{E1067BC7-4F6A-441D-9B88-91863EC3F7EF}"/>
    <hyperlink ref="F1753" r:id="rId3362" xr:uid="{2D4876B3-0797-4FF8-A440-D8F63F152AED}"/>
    <hyperlink ref="F1754" r:id="rId3363" xr:uid="{C99369AF-2948-46C8-BB3D-3753A91AC154}"/>
    <hyperlink ref="S1754" r:id="rId3364" xr:uid="{EF54218C-9F3F-44A3-82AB-24765E65C648}"/>
    <hyperlink ref="F1755" r:id="rId3365" xr:uid="{24D228EA-DB33-44BF-A99B-91A23496CFB3}"/>
    <hyperlink ref="G1755" r:id="rId3366" xr:uid="{884BADF9-9226-4933-9539-6399D9C93AC0}"/>
    <hyperlink ref="S1755" r:id="rId3367" xr:uid="{F5F45CDD-4400-4769-8DD9-B6B6D0F0361B}"/>
    <hyperlink ref="F1756" r:id="rId3368" xr:uid="{4833C0AA-DA3F-4C93-9D8C-187F031E2E1A}"/>
    <hyperlink ref="S1756" r:id="rId3369" xr:uid="{8E3DF60D-2CA9-4BB3-8988-EF9D43DA0BC0}"/>
    <hyperlink ref="F1757" r:id="rId3370" xr:uid="{018D3FFC-20FD-4680-96A6-FD48C0A54843}"/>
    <hyperlink ref="G1757" r:id="rId3371" xr:uid="{1E63C221-BD72-42D2-AEB8-B6B34BA4D30F}"/>
    <hyperlink ref="S1757" r:id="rId3372" xr:uid="{2751CF12-4877-49DB-B608-E29D8AB19D64}"/>
    <hyperlink ref="S1759" r:id="rId3373" xr:uid="{2053DA3D-9D3B-4D37-BDAF-4801B1BB264E}"/>
    <hyperlink ref="G1760" r:id="rId3374" xr:uid="{81D05A7B-E869-4018-B9F9-5B0AFCD0DBF9}"/>
    <hyperlink ref="S1760" r:id="rId3375" xr:uid="{8D8356E3-C318-45E7-B369-9C01459C5E05}"/>
    <hyperlink ref="G1761" r:id="rId3376" xr:uid="{F47053C7-E173-4D5A-9DB2-53AD7F93BE93}"/>
    <hyperlink ref="S1761" r:id="rId3377" xr:uid="{097D0A0A-61A3-43E5-814A-D76E0094A983}"/>
    <hyperlink ref="G1762" r:id="rId3378" xr:uid="{77840FEC-F3A1-417E-9DD8-4881E6F269BB}"/>
    <hyperlink ref="S1762" r:id="rId3379" xr:uid="{D7C51C9A-D1E5-4E63-8AC0-41B9381B5F8E}"/>
    <hyperlink ref="F1763" r:id="rId3380" xr:uid="{DAB742C0-BC1F-4312-88E9-B7394D7325B2}"/>
    <hyperlink ref="G1763" r:id="rId3381" xr:uid="{30F7C850-24B0-45D9-9C98-1D2DB96FF5E8}"/>
    <hyperlink ref="S1763" r:id="rId3382" xr:uid="{8F76B181-F214-42C4-BB18-BD446C0F5B73}"/>
    <hyperlink ref="F1764" r:id="rId3383" xr:uid="{606F0CE8-601D-4DA8-A0A1-01C035B15E13}"/>
    <hyperlink ref="S1764" r:id="rId3384" xr:uid="{152F883C-5E98-48D9-A4E8-B63848101C59}"/>
    <hyperlink ref="F1765" r:id="rId3385" xr:uid="{1D97C4EA-716E-4B11-A0F2-AF58664AB62F}"/>
    <hyperlink ref="S1765" r:id="rId3386" xr:uid="{EB51B23F-7A1D-4D9E-A4D1-2C18DBD614B1}"/>
    <hyperlink ref="F1766" r:id="rId3387" xr:uid="{329A8739-D23F-4E12-9A44-C7357C56111E}"/>
    <hyperlink ref="G1766" r:id="rId3388" xr:uid="{021BE1AA-C8A3-469E-8340-2C8D5099C881}"/>
    <hyperlink ref="S1766" r:id="rId3389" xr:uid="{5A1DC025-4D4D-4B5E-B790-A92196E6AEBC}"/>
    <hyperlink ref="F1767" r:id="rId3390" xr:uid="{42BAADA9-8DD7-49D3-8E29-E9CF85A03361}"/>
    <hyperlink ref="S1767" r:id="rId3391" xr:uid="{F4CCCB7F-3DD4-46C7-A6DF-CCF8C5D1588F}"/>
    <hyperlink ref="F1768" r:id="rId3392" xr:uid="{30BAFF0B-3DB3-413A-8BAE-D0989E0C2115}"/>
    <hyperlink ref="S1768" r:id="rId3393" xr:uid="{9513ACFA-1946-4C15-918F-F07CA02D1E3A}"/>
    <hyperlink ref="F1769" r:id="rId3394" xr:uid="{99F22FF8-68A7-48E7-82A2-1F0A1214FCAB}"/>
    <hyperlink ref="S1769" r:id="rId3395" xr:uid="{92173626-7269-4B02-A1BF-06373812B38F}"/>
    <hyperlink ref="F1770" r:id="rId3396" xr:uid="{C9B62742-345A-478B-99F5-2538566305A8}"/>
    <hyperlink ref="S1770" r:id="rId3397" xr:uid="{17BD2902-3C18-4115-A1B3-2FA40E8A05C7}"/>
    <hyperlink ref="F1771" r:id="rId3398" xr:uid="{596B6465-16D5-4031-9420-E77643DE377B}"/>
    <hyperlink ref="S1771" r:id="rId3399" xr:uid="{FE7ECA8C-E5B8-4E99-8A38-E2768DA22759}"/>
    <hyperlink ref="G1772" r:id="rId3400" xr:uid="{76F4B9EA-E53E-4DFC-AAB2-5FB976599BAA}"/>
    <hyperlink ref="S1772" r:id="rId3401" xr:uid="{E08BD95C-D845-4E83-B6FE-28B544303F85}"/>
    <hyperlink ref="F1773" r:id="rId3402" xr:uid="{F654F8F3-013B-4C13-90DE-052AEDB26D5E}"/>
    <hyperlink ref="G1773" r:id="rId3403" xr:uid="{6A3F2DF1-E930-4246-BF91-ABBAE72B2337}"/>
    <hyperlink ref="S1773" r:id="rId3404" xr:uid="{A6F0590D-B33A-41DD-8BDC-DF05C2711935}"/>
    <hyperlink ref="F1774" r:id="rId3405" xr:uid="{2AE30EA8-CCA7-415E-AA0A-E6D55CC75DFC}"/>
    <hyperlink ref="S1774" r:id="rId3406" xr:uid="{68BDBA96-B01F-416F-B50C-806AB4BF3494}"/>
    <hyperlink ref="G1775" r:id="rId3407" xr:uid="{5537B2D7-3B1A-4278-84FE-C69C79387BF0}"/>
    <hyperlink ref="S1775" r:id="rId3408" xr:uid="{B4A6625C-1E5F-48E7-88F2-3F0002C49917}"/>
    <hyperlink ref="G1776" r:id="rId3409" xr:uid="{77562CE4-A22D-4966-969B-27606F0A9A05}"/>
    <hyperlink ref="S1777" r:id="rId3410" xr:uid="{37EB6D84-D9C6-4B6A-9D17-8A710972DF0E}"/>
    <hyperlink ref="F1778" r:id="rId3411" xr:uid="{C0D5F900-6913-4854-83B5-44D8114C1323}"/>
    <hyperlink ref="S1778" r:id="rId3412" xr:uid="{5EE7A877-C96B-4704-BD4A-834DD61E407A}"/>
    <hyperlink ref="F1779" r:id="rId3413" xr:uid="{DB537368-92AE-4768-A33E-590DCD332789}"/>
    <hyperlink ref="G1779" r:id="rId3414" xr:uid="{D41B3306-7BE3-4B1A-8559-89D65CD8C618}"/>
    <hyperlink ref="S1779" r:id="rId3415" xr:uid="{AA7E5139-23BB-4AC3-90CD-B8C3A7BB894D}"/>
    <hyperlink ref="F1780" r:id="rId3416" xr:uid="{4F6EB96F-62A7-4D1C-994E-1FA5DD23A8C0}"/>
    <hyperlink ref="S1780" r:id="rId3417" xr:uid="{CCAF7F77-E288-4B96-8F25-A0E1D4FBE775}"/>
    <hyperlink ref="G1781" r:id="rId3418" xr:uid="{E3F517A0-05C3-4771-839A-314DC2F8C5E7}"/>
    <hyperlink ref="S1781" r:id="rId3419" xr:uid="{0F2C4274-5B23-4338-9613-112F48CA6801}"/>
    <hyperlink ref="F1782" r:id="rId3420" xr:uid="{F6CC25E3-7C1D-41C5-9602-33B2EB28FFC3}"/>
    <hyperlink ref="S1782" r:id="rId3421" xr:uid="{D78DB7AD-7F3D-437A-AF4C-56B8F318887F}"/>
    <hyperlink ref="F1783" r:id="rId3422" xr:uid="{D5C88E7F-68F9-4B0F-8C27-400967EA1CB9}"/>
    <hyperlink ref="S1783" r:id="rId3423" xr:uid="{92A3539B-BE75-4A44-8684-CE4759F228DA}"/>
    <hyperlink ref="G1784" r:id="rId3424" xr:uid="{72789761-C00B-4FDB-BE20-4C9AD84A5E49}"/>
    <hyperlink ref="S1784" r:id="rId3425" xr:uid="{79C16806-F3C4-4A10-AABF-96EB89A310AE}"/>
    <hyperlink ref="S1785" r:id="rId3426" xr:uid="{2002A204-0A04-4827-8AFA-0AE1E10087CB}"/>
    <hyperlink ref="C1787" r:id="rId3427" xr:uid="{3A879C01-5FD6-4D82-BAA5-9B65B7B30CF9}"/>
    <hyperlink ref="F1787" r:id="rId3428" xr:uid="{283A3DD5-DBBD-4F6F-B864-F9E21C4D8919}"/>
    <hyperlink ref="S1787" r:id="rId3429" xr:uid="{B0252DD4-2253-4A33-8BD9-C75EE37794A7}"/>
    <hyperlink ref="G1788" r:id="rId3430" xr:uid="{BF7B6FEA-A31C-4DA0-BBCC-B71A99B495AC}"/>
    <hyperlink ref="S1788" r:id="rId3431" xr:uid="{155961AB-0BF1-4CCF-BF98-C31813DC9BC2}"/>
    <hyperlink ref="S1789" r:id="rId3432" xr:uid="{9EA15EE0-D89F-4E3E-937B-9CFF95DFA93B}"/>
    <hyperlink ref="F1790" r:id="rId3433" xr:uid="{34430E3A-F080-4412-8913-4D03121320B5}"/>
    <hyperlink ref="S1790" r:id="rId3434" xr:uid="{354299E6-C697-4885-B908-3639EE9BA69A}"/>
    <hyperlink ref="F1791" r:id="rId3435" xr:uid="{4DBEDDD0-F710-4802-B5B0-AE9F3E7D41B5}"/>
    <hyperlink ref="G1791" r:id="rId3436" xr:uid="{FE8CD52E-AC92-4F2C-B8A1-8D0CC3271E78}"/>
    <hyperlink ref="S1791" r:id="rId3437" xr:uid="{06576811-EB5D-49C1-9F51-3E26E4FF10FB}"/>
    <hyperlink ref="G1792" r:id="rId3438" xr:uid="{85E63BF6-1F6D-48FA-B051-DCE581A9C132}"/>
    <hyperlink ref="S1792" r:id="rId3439" xr:uid="{A33894FD-4AAA-4959-A16E-98224BD103B0}"/>
    <hyperlink ref="F1793" r:id="rId3440" xr:uid="{1DCD1443-AA79-4C1B-9221-54501302D9EB}"/>
    <hyperlink ref="G1793" r:id="rId3441" xr:uid="{E97AD1B6-B59E-431E-900B-AF36AF0950CE}"/>
    <hyperlink ref="G1794" r:id="rId3442" xr:uid="{9818E0A5-7190-4776-B188-03BFCCA10BA8}"/>
    <hyperlink ref="S1794" r:id="rId3443" xr:uid="{F22D5CCE-7594-4707-8B78-E57302ABFA38}"/>
    <hyperlink ref="F1795" r:id="rId3444" xr:uid="{90B30974-CDA2-40C2-8E1A-06804F2F5B3B}"/>
    <hyperlink ref="G1795" r:id="rId3445" xr:uid="{B31185F1-BCE5-471E-BFE0-810637175DBA}"/>
    <hyperlink ref="S1795" r:id="rId3446" xr:uid="{169AEE3A-2021-4989-8EB1-B5CE6B6D868D}"/>
    <hyperlink ref="C1796" r:id="rId3447" xr:uid="{844EDCE0-7C3B-4A21-B57D-EBEA81956082}"/>
    <hyperlink ref="F1796" r:id="rId3448" xr:uid="{6A60E324-30A3-4A6A-AD74-969CE8EF4A2A}"/>
    <hyperlink ref="G1796" r:id="rId3449" xr:uid="{C8D5F2D2-A13B-4D7B-B9AA-17617F1B8279}"/>
    <hyperlink ref="S1796" r:id="rId3450" xr:uid="{D5FE4BAA-BCFD-4EA2-BF58-B120732B58E1}"/>
    <hyperlink ref="F1797" r:id="rId3451" xr:uid="{DF384435-F76F-48BC-9C6C-E4FC396B20E0}"/>
    <hyperlink ref="G1797" r:id="rId3452" xr:uid="{F977E88C-A2AF-4560-86F6-1EA48DDD59E9}"/>
    <hyperlink ref="S1797" r:id="rId3453" xr:uid="{5C677568-4DB1-4468-AE42-AAE3D57DFFD9}"/>
    <hyperlink ref="S1798" r:id="rId3454" xr:uid="{07D1F6A1-DBCF-4A3C-8231-F94CCB92A07A}"/>
    <hyperlink ref="F1799" r:id="rId3455" xr:uid="{197CAC75-D7EB-4909-90ED-B243A0126883}"/>
    <hyperlink ref="G1799" r:id="rId3456" xr:uid="{9768F617-3184-43FF-9B4C-6123A874271E}"/>
    <hyperlink ref="S1799" r:id="rId3457" xr:uid="{E8E90A30-0EB3-47B4-A144-B344459ECB46}"/>
    <hyperlink ref="F1800" r:id="rId3458" xr:uid="{DC4732C7-0042-4362-8255-FD84E1523283}"/>
    <hyperlink ref="S1800" r:id="rId3459" xr:uid="{C5DCC437-AE88-43F3-BD99-A8E30FA9A6AA}"/>
    <hyperlink ref="F1801" r:id="rId3460" xr:uid="{B23F4FAF-6C5D-408B-A831-88DEE037B556}"/>
    <hyperlink ref="F1802" r:id="rId3461" xr:uid="{2EC6892E-D442-46A1-91C6-689F1585DF25}"/>
    <hyperlink ref="G1802" r:id="rId3462" xr:uid="{B59E6F98-1C8E-4873-B3ED-FB43323CB01C}"/>
    <hyperlink ref="S1802" r:id="rId3463" xr:uid="{D00EBEF5-8D92-4404-9DC9-78645DC33C99}"/>
    <hyperlink ref="F1803" r:id="rId3464" xr:uid="{F3E189BC-2C18-4C5A-B455-62B1A7A9BBEB}"/>
    <hyperlink ref="S1803" r:id="rId3465" xr:uid="{87FD0B85-09E1-4630-BA60-0D3CBD892662}"/>
    <hyperlink ref="F1805" r:id="rId3466" xr:uid="{D3EBB94A-8019-4B0C-B358-B668F8E5B5D8}"/>
    <hyperlink ref="G1805" r:id="rId3467" xr:uid="{278F0E99-D4BA-4583-8766-E76BF29B2E69}"/>
    <hyperlink ref="S1805" r:id="rId3468" xr:uid="{D2911CD7-1AB4-48DC-ABA9-3584B3797E5E}"/>
    <hyperlink ref="F1806" r:id="rId3469" xr:uid="{E4424303-1A26-4DC1-8195-46E4A39166D5}"/>
    <hyperlink ref="G1806" r:id="rId3470" xr:uid="{2CA77B2C-BA10-4460-A258-016C7BD9FE79}"/>
    <hyperlink ref="S1806" r:id="rId3471" xr:uid="{8B286488-6229-4F00-85FD-FFB8E2DFC96D}"/>
    <hyperlink ref="G1807" r:id="rId3472" xr:uid="{11E6ADE0-3267-42A2-901D-61FAFC095B7F}"/>
    <hyperlink ref="F1808" r:id="rId3473" xr:uid="{96F7B08A-A285-4149-A46E-0647327A4EEF}"/>
    <hyperlink ref="G1809" r:id="rId3474" xr:uid="{409F7D34-A230-4892-A406-8B916BD459EB}"/>
    <hyperlink ref="S1809" r:id="rId3475" xr:uid="{7BA5B38E-10CC-4E97-8933-C95DF8A06A7E}"/>
    <hyperlink ref="G1810" r:id="rId3476" xr:uid="{C2B8B42C-9DBE-4AB6-B231-7219B408F9FC}"/>
    <hyperlink ref="S1810" r:id="rId3477" xr:uid="{0D6AFD20-5239-419B-9255-AD7489746201}"/>
    <hyperlink ref="F1811" r:id="rId3478" xr:uid="{B0398327-0A5D-4361-AD96-F6EA1F060ACA}"/>
    <hyperlink ref="S1811" r:id="rId3479" xr:uid="{00B97F8D-6368-4AFC-AED6-5AB4C5A474DE}"/>
    <hyperlink ref="F1812" r:id="rId3480" xr:uid="{1A52E855-9AD6-4BCB-8C17-D81B3D41233C}"/>
    <hyperlink ref="G1812" r:id="rId3481" xr:uid="{F3F99CFC-2F43-4320-B58C-88530BC42212}"/>
    <hyperlink ref="S1812" r:id="rId3482" xr:uid="{7428E77B-50B9-4DA6-8216-1CD39C05D6A1}"/>
    <hyperlink ref="F1813" r:id="rId3483" xr:uid="{0A8ACD16-2EE0-4DD2-BCBE-83CFB4C442EC}"/>
    <hyperlink ref="G1813" r:id="rId3484" xr:uid="{BB40236A-D9B5-47BE-8444-24FA9E9E814D}"/>
    <hyperlink ref="S1813" r:id="rId3485" xr:uid="{CDEF50AA-9C71-4530-A862-E2AA3D2BB273}"/>
    <hyperlink ref="F1814" r:id="rId3486" xr:uid="{826D9DF5-0E0F-4A93-8656-CDE370BDD092}"/>
    <hyperlink ref="S1814" r:id="rId3487" xr:uid="{36BD6052-8333-469C-B9F7-59A960A1BA76}"/>
    <hyperlink ref="F1815" r:id="rId3488" xr:uid="{EFA9AC88-5396-483E-9647-8F324E557C3E}"/>
    <hyperlink ref="S1815" r:id="rId3489" xr:uid="{5B3CE8BB-8A83-4E4A-9C76-944036AE5E30}"/>
    <hyperlink ref="F1816" r:id="rId3490" xr:uid="{B24A5D07-4E43-470F-9762-00D782D25201}"/>
    <hyperlink ref="F1817" r:id="rId3491" xr:uid="{9BD378B5-10FB-477A-BEBD-21E5FA24A3E5}"/>
    <hyperlink ref="S1817" r:id="rId3492" xr:uid="{712FE3F5-78C1-4E80-A707-06BF37825789}"/>
    <hyperlink ref="F1818" r:id="rId3493" xr:uid="{CB737CC5-F645-4896-84A0-6F9616843957}"/>
    <hyperlink ref="S1818" r:id="rId3494" xr:uid="{02F39DE3-B38A-41F0-92C9-D024E24436E3}"/>
    <hyperlink ref="F1819" r:id="rId3495" xr:uid="{928C2088-040B-4127-BAAE-6E7CD1361824}"/>
    <hyperlink ref="G1819" r:id="rId3496" xr:uid="{F63E373A-A4B3-41D0-9629-E5357279B610}"/>
    <hyperlink ref="S1819" r:id="rId3497" xr:uid="{067603FC-4C32-414B-BE27-E82144250A89}"/>
    <hyperlink ref="F1820" r:id="rId3498" xr:uid="{1F0F5928-04A2-4DFC-8E2C-3D8B0608D781}"/>
    <hyperlink ref="G1820" r:id="rId3499" xr:uid="{B510B0FE-E932-421C-B91B-5FA9DF7A7CF3}"/>
    <hyperlink ref="S1820" r:id="rId3500" xr:uid="{11EAA9F8-2AE7-49C2-A6BC-BE4CAC0F6527}"/>
    <hyperlink ref="F1821" r:id="rId3501" xr:uid="{B424735A-7F83-489E-962F-67ABD358716B}"/>
    <hyperlink ref="S1821" r:id="rId3502" xr:uid="{8CC28B01-DD37-4888-AD6B-61460AD6EAF0}"/>
    <hyperlink ref="F1822" r:id="rId3503" xr:uid="{47B41984-F418-4FE0-988D-5A56982C84AF}"/>
    <hyperlink ref="F1823" r:id="rId3504" xr:uid="{11394D22-86F0-4071-BB4B-84B19BB511DD}"/>
    <hyperlink ref="G1823" r:id="rId3505" xr:uid="{9C9B3F44-6C13-4C39-B790-B5808B8AE3FD}"/>
    <hyperlink ref="S1823" r:id="rId3506" xr:uid="{852D9047-F5F4-4AC4-ADD3-188675A54F43}"/>
    <hyperlink ref="S1825" r:id="rId3507" xr:uid="{42B1954F-290E-4401-983D-9E85BA41882C}"/>
    <hyperlink ref="G1826" r:id="rId3508" xr:uid="{94843C2F-98FC-40A5-96B1-1EC53278E691}"/>
    <hyperlink ref="S1826" r:id="rId3509" xr:uid="{D81C966B-3AA0-4BC7-9354-1A6B4F5E98A2}"/>
    <hyperlink ref="F1828" r:id="rId3510" xr:uid="{E915CA40-A662-4913-9E23-4E79CE9A0084}"/>
    <hyperlink ref="G1829" r:id="rId3511" xr:uid="{E113586A-83F3-4189-B2A8-6CAFFCFBE5BD}"/>
    <hyperlink ref="S1829" r:id="rId3512" xr:uid="{013D382D-153A-4FB0-BB1F-324BC026C89F}"/>
    <hyperlink ref="F1830" r:id="rId3513" xr:uid="{E3A0061F-4EE6-482E-AF34-BC071344C851}"/>
    <hyperlink ref="S1830" r:id="rId3514" xr:uid="{FD1BCBC4-7DA0-40B9-BCB9-0C0145F5F983}"/>
    <hyperlink ref="F1831" r:id="rId3515" xr:uid="{1B2D5150-D755-4B22-9DD6-4EE522B2EA81}"/>
    <hyperlink ref="S1831" r:id="rId3516" xr:uid="{3E8A893B-ABDD-4919-B5D5-123C8688B37E}"/>
    <hyperlink ref="F1832" r:id="rId3517" xr:uid="{0C21E3AA-5E21-47E5-B2B6-154239F0213F}"/>
    <hyperlink ref="S1832" r:id="rId3518" xr:uid="{B138939B-208A-465A-B40F-51D3D76D09A8}"/>
    <hyperlink ref="G1833" r:id="rId3519" xr:uid="{77C3BED6-B01E-41A3-9344-4AF0F6E71FA0}"/>
    <hyperlink ref="S1833" r:id="rId3520" xr:uid="{62779682-F168-4DE3-8578-E477D58EC8CC}"/>
    <hyperlink ref="G1834" r:id="rId3521" xr:uid="{4BCF2C0A-0137-4607-BD48-D8AB4218ECD7}"/>
    <hyperlink ref="S1834" r:id="rId3522" xr:uid="{CC003589-6C11-487D-BA53-E8E02AAC0486}"/>
    <hyperlink ref="F1835" r:id="rId3523" xr:uid="{8E85731F-C29D-48E1-9E32-1D80CCCD6116}"/>
    <hyperlink ref="G1835" r:id="rId3524" xr:uid="{4EE29A33-239C-4C0C-BFD3-7076182237A1}"/>
    <hyperlink ref="S1835" r:id="rId3525" xr:uid="{C0D3FC4F-C2EF-4217-B337-8253C3DD76D8}"/>
    <hyperlink ref="S1836" r:id="rId3526" xr:uid="{6966480F-9BAF-4C31-AA25-0A41830D4648}"/>
    <hyperlink ref="F1837" r:id="rId3527" xr:uid="{9E80B2EC-5C07-47B6-82F5-C1E002100410}"/>
    <hyperlink ref="S1837" r:id="rId3528" xr:uid="{2E129D74-04B3-4D5F-84A9-C75955D57A0C}"/>
    <hyperlink ref="S1838" r:id="rId3529" xr:uid="{06764BB6-65D1-43D4-B0DB-5939FECAA73B}"/>
    <hyperlink ref="F1839" r:id="rId3530" xr:uid="{9539AA5A-5781-49CE-BF38-CA32F1E76E2F}"/>
    <hyperlink ref="F1840" r:id="rId3531" xr:uid="{1F4BD7EB-1925-497E-B2B8-DBE3DBC5127D}"/>
    <hyperlink ref="S1840" r:id="rId3532" xr:uid="{CD178B8C-DE27-4BE7-A62E-6FA1CE23C649}"/>
    <hyperlink ref="F1841" r:id="rId3533" xr:uid="{443890EE-FB05-4312-B38F-FF600F62D1EC}"/>
    <hyperlink ref="G1841" r:id="rId3534" xr:uid="{89C6D9EB-B7BA-4A67-90F2-54D1E589F429}"/>
    <hyperlink ref="S1841" r:id="rId3535" xr:uid="{D3E73FDC-3A05-4C84-A16B-A55F8F195E75}"/>
    <hyperlink ref="S1842" r:id="rId3536" xr:uid="{73B1A369-61D9-42E2-8D7A-F166CD13918E}"/>
    <hyperlink ref="F1843" r:id="rId3537" xr:uid="{345332D1-9AEB-4B97-9C0C-AD3DC7FE8A64}"/>
    <hyperlink ref="G1844" r:id="rId3538" xr:uid="{99AFB0E7-7AC3-4254-8330-F8FC6A0C2ACB}"/>
    <hyperlink ref="F1845" r:id="rId3539" xr:uid="{0D0C619F-3B59-43BB-8645-B58F6E17A3FF}"/>
    <hyperlink ref="S1845" r:id="rId3540" xr:uid="{BA71DF70-45AE-409F-B5A7-73EC6ABE275D}"/>
    <hyperlink ref="G1846" r:id="rId3541" xr:uid="{AB38F09B-B1B2-41A6-8625-A36B202F35BC}"/>
    <hyperlink ref="G1847" r:id="rId3542" xr:uid="{199708EB-3DC0-49BA-ACBB-062B3C4525BB}"/>
    <hyperlink ref="S1847" r:id="rId3543" xr:uid="{2602575B-6DC1-4207-B247-0B0505579D5C}"/>
    <hyperlink ref="F1848" r:id="rId3544" xr:uid="{FAB0EFCD-892B-48D2-9681-E95982B1626F}"/>
    <hyperlink ref="G1848" r:id="rId3545" xr:uid="{50626E95-4DFD-4521-ACA7-3EEA1C2A0436}"/>
    <hyperlink ref="F1849" r:id="rId3546" xr:uid="{D45E2301-2507-4318-82C3-665F259B8BAF}"/>
    <hyperlink ref="G1849" r:id="rId3547" xr:uid="{71BAF2C6-2E64-4D8D-9202-302672A07895}"/>
    <hyperlink ref="S1849" r:id="rId3548" xr:uid="{41DF16F6-0057-4FB8-9269-CD86A3A6440D}"/>
    <hyperlink ref="F1850" r:id="rId3549" xr:uid="{8E261F60-D04F-40E4-8075-584535B3A143}"/>
    <hyperlink ref="G1850" r:id="rId3550" xr:uid="{2E70C110-783D-40D0-A2D1-10B4CAF4BA77}"/>
    <hyperlink ref="S1850" r:id="rId3551" xr:uid="{5B5AA184-75C6-4C22-A54A-659B83F15851}"/>
    <hyperlink ref="G1851" r:id="rId3552" xr:uid="{8D28EC29-86B9-4C5D-8755-8ACEECDF5E17}"/>
    <hyperlink ref="S1851" r:id="rId3553" xr:uid="{C625FAA3-A5AD-4DDF-BD4E-D93D162D68C1}"/>
    <hyperlink ref="F1852" r:id="rId3554" xr:uid="{98C90F1C-A7AC-4C02-B3E8-2C723FD00AA3}"/>
    <hyperlink ref="S1852" r:id="rId3555" xr:uid="{C2304E46-8D84-4466-9370-A253E25A71E8}"/>
    <hyperlink ref="G1853" r:id="rId3556" xr:uid="{AB60D8D8-09C5-4AF7-A8D9-90602632E43F}"/>
    <hyperlink ref="S1853" r:id="rId3557" xr:uid="{EF6194C7-B799-4F30-8037-D29A8F45A8ED}"/>
    <hyperlink ref="F1854" r:id="rId3558" xr:uid="{F80D4AB2-71AB-4239-AF73-7FE399638DD0}"/>
    <hyperlink ref="S1854" r:id="rId3559" xr:uid="{8E4D5BF8-D99B-4EDC-91C1-DC5111836ECF}"/>
    <hyperlink ref="F1855" r:id="rId3560" xr:uid="{4DD36206-6B9C-4B68-BF7D-628E0B2285AC}"/>
    <hyperlink ref="G1855" r:id="rId3561" xr:uid="{F8605451-BE5C-4795-8F99-2F8C5849E034}"/>
    <hyperlink ref="G1856" r:id="rId3562" xr:uid="{3B9AF7D9-4D50-43B6-93AE-981DBF84C25F}"/>
    <hyperlink ref="S1856" r:id="rId3563" xr:uid="{237133F6-71D5-480C-BB0B-C9FE4B7C4FD9}"/>
    <hyperlink ref="F1857" r:id="rId3564" xr:uid="{B7B946A7-8174-43F8-9223-CE0AE6B87E6D}"/>
    <hyperlink ref="S1857" r:id="rId3565" xr:uid="{D9F17FFE-B49B-4EEA-8BD9-BF9010407401}"/>
    <hyperlink ref="G1858" r:id="rId3566" xr:uid="{C5AC3E73-7B4C-49D6-862E-3C1C1FF4F420}"/>
    <hyperlink ref="S1858" r:id="rId3567" xr:uid="{DEDE60AF-EF9F-4763-BADF-C09CA2D4DE7E}"/>
    <hyperlink ref="G1859" r:id="rId3568" xr:uid="{1A6D4D1F-F388-40BA-A8B2-A4AFF72A3912}"/>
    <hyperlink ref="S1859" r:id="rId3569" xr:uid="{28E7CE8A-4A7F-4E73-964E-C460F502D2BC}"/>
    <hyperlink ref="F1860" r:id="rId3570" xr:uid="{8357E54D-9C53-4A48-A759-7FDC4108DB47}"/>
    <hyperlink ref="G1860" r:id="rId3571" xr:uid="{4B945D33-8359-4C7B-A21C-23C1A283139B}"/>
    <hyperlink ref="S1860" r:id="rId3572" xr:uid="{EEC84246-198F-4E45-BCBC-A9B24D8BBE64}"/>
    <hyperlink ref="F1862" r:id="rId3573" xr:uid="{99DC2B31-3412-420D-A35B-77B9FA24F21F}"/>
    <hyperlink ref="G1862" r:id="rId3574" xr:uid="{A2E29866-13B2-4CAA-A49E-1DE9BDE3E57F}"/>
    <hyperlink ref="S1862" r:id="rId3575" xr:uid="{EAE0B046-49E5-450A-9823-91D1D223E9DD}"/>
    <hyperlink ref="S1863" r:id="rId3576" xr:uid="{538D4A58-9FE4-458B-B04F-A92D75C6C11E}"/>
    <hyperlink ref="F1864" r:id="rId3577" xr:uid="{7657484F-85A2-4F2F-9F0F-199EF3728618}"/>
    <hyperlink ref="G1864" r:id="rId3578" xr:uid="{B4599BC6-6073-4EF4-A706-1985902218BE}"/>
    <hyperlink ref="S1864" r:id="rId3579" xr:uid="{F10A19F8-AACA-4993-84D1-9E226A624350}"/>
    <hyperlink ref="G1865" r:id="rId3580" xr:uid="{DDFA4BE5-1B1C-41B0-95B2-5371E220A8BB}"/>
    <hyperlink ref="S1865" r:id="rId3581" xr:uid="{6E67F9A1-4A36-4F3A-A1CE-6FAED13E8D87}"/>
    <hyperlink ref="F1866" r:id="rId3582" xr:uid="{BA94133D-0B5A-4047-B13F-835D89A36945}"/>
    <hyperlink ref="G1866" r:id="rId3583" xr:uid="{15718A1C-1F5D-4122-BD81-4E36DB0E0DB2}"/>
    <hyperlink ref="S1866" r:id="rId3584" xr:uid="{CE11AEB2-E0BC-40E6-BB10-283F8F2C5A71}"/>
    <hyperlink ref="C1867" r:id="rId3585" xr:uid="{DA73E2F8-661C-497A-B1EC-1FFD89584483}"/>
    <hyperlink ref="F1867" r:id="rId3586" xr:uid="{86091A58-AB03-4D05-9D6B-75D5EF73768E}"/>
    <hyperlink ref="G1867" r:id="rId3587" xr:uid="{099ADFD7-EA99-4251-BBD8-9D63CB9AE1A6}"/>
    <hyperlink ref="S1867" r:id="rId3588" xr:uid="{CB060718-49CE-4536-A8DC-096720890111}"/>
    <hyperlink ref="F1868" r:id="rId3589" xr:uid="{95853619-2EC9-4565-9E96-D2CDC132B3CE}"/>
    <hyperlink ref="G1868" r:id="rId3590" xr:uid="{D2ED896D-C3D4-438B-B5C4-79891E15DA2C}"/>
    <hyperlink ref="S1868" r:id="rId3591" xr:uid="{869029EF-2826-4938-A91A-0D0DE9057CAE}"/>
    <hyperlink ref="G1869" r:id="rId3592" xr:uid="{4B2E0169-DB69-460E-80AB-6A5D6C675EF6}"/>
    <hyperlink ref="S1869" r:id="rId3593" xr:uid="{FB285491-9192-41BF-A20D-171AAB41ADFA}"/>
    <hyperlink ref="G1870" r:id="rId3594" xr:uid="{F42BC419-C566-4341-A803-63B83ED2F646}"/>
    <hyperlink ref="S1870" r:id="rId3595" xr:uid="{B5E3A65B-4245-47BD-A360-85641E7071DA}"/>
    <hyperlink ref="S1871" r:id="rId3596" xr:uid="{051DCA9C-4CB8-4387-863A-DAB4D4C7AF23}"/>
    <hyperlink ref="S1872" r:id="rId3597" xr:uid="{8C473222-1A17-4283-BBE3-72848AF9F737}"/>
    <hyperlink ref="F1873" r:id="rId3598" xr:uid="{A59B3FEA-3390-4665-A9AD-66F4FAF2BBDD}"/>
    <hyperlink ref="G1873" r:id="rId3599" xr:uid="{0415DF98-8B1A-4649-A764-84C6314160FC}"/>
    <hyperlink ref="S1873" r:id="rId3600" xr:uid="{9FC008A8-A23D-4FB9-AF64-13EE53DE22E7}"/>
    <hyperlink ref="F1874" r:id="rId3601" xr:uid="{1A14B66D-0BF0-490D-8BD9-F22E55F4028F}"/>
    <hyperlink ref="S1874" r:id="rId3602" xr:uid="{186E2A2B-E966-4D24-BB99-CBDE6D136B5C}"/>
    <hyperlink ref="G1875" r:id="rId3603" xr:uid="{C72D9EA4-A489-41F3-B840-DD27915920C5}"/>
    <hyperlink ref="S1875" r:id="rId3604" xr:uid="{FCEC76D6-FAA8-4D5C-97EC-5797050C5BAE}"/>
    <hyperlink ref="F1876" r:id="rId3605" xr:uid="{912FC5B1-CDCD-468D-9265-A5D057DC57F8}"/>
    <hyperlink ref="S1876" r:id="rId3606" xr:uid="{DA2128A0-B66B-415B-B8C4-C9C40F21F502}"/>
    <hyperlink ref="F1877" r:id="rId3607" xr:uid="{E000E181-A3BA-4E27-841A-29BBD34B8BA1}"/>
    <hyperlink ref="S1877" r:id="rId3608" xr:uid="{D6EB431A-E418-436C-BB2C-18D4B1133E72}"/>
    <hyperlink ref="G1878" r:id="rId3609" xr:uid="{C4FEEDCD-85AC-4336-BED4-EC052D71AD0E}"/>
    <hyperlink ref="F1879" r:id="rId3610" xr:uid="{59AAFB05-7622-4D80-A909-270E8EB1190B}"/>
    <hyperlink ref="G1879" r:id="rId3611" xr:uid="{13DEC056-806E-4F8A-B444-F86ABD3398F9}"/>
    <hyperlink ref="S1879" r:id="rId3612" xr:uid="{0D5120CA-5C2A-47EA-84A9-3B94B1934868}"/>
    <hyperlink ref="F1880" r:id="rId3613" xr:uid="{45A659C5-682D-4254-BBB6-C38CDCA56D8F}"/>
    <hyperlink ref="F1881" r:id="rId3614" xr:uid="{5389BFC6-CA84-4D24-BF95-E90CF7B863E2}"/>
    <hyperlink ref="G1881" r:id="rId3615" xr:uid="{41921EA9-E3FB-4EF5-A8D7-C62703EC6D9C}"/>
    <hyperlink ref="F1882" r:id="rId3616" xr:uid="{B2C166BD-833E-43BB-8C5A-C73B15209DEF}"/>
    <hyperlink ref="G1882" r:id="rId3617" xr:uid="{9AB6068A-897B-497B-923D-ECA4C5295C44}"/>
    <hyperlink ref="S1882" r:id="rId3618" xr:uid="{75E57C4C-DEC2-4B94-85EA-5304B74AE3F7}"/>
    <hyperlink ref="F1883" r:id="rId3619" xr:uid="{41BC9B10-AB43-4905-9B5F-89B3EB0B2463}"/>
    <hyperlink ref="S1883" r:id="rId3620" xr:uid="{C5820AD7-FD52-4B35-8B38-84E21B340CE0}"/>
    <hyperlink ref="F1884" r:id="rId3621" xr:uid="{B4DBB2FE-FEAB-4CBD-993A-DB0D84641772}"/>
    <hyperlink ref="S1884" r:id="rId3622" xr:uid="{BA169ADD-44A3-4B21-8E7C-5961640BAC4E}"/>
    <hyperlink ref="S1885" r:id="rId3623" xr:uid="{E53D613D-C2AB-4101-90CF-10BDAC12EFDE}"/>
    <hyperlink ref="S1886" r:id="rId3624" xr:uid="{643B9A2D-F55C-48DC-8B4F-5FD77A11153D}"/>
    <hyperlink ref="F1887" r:id="rId3625" xr:uid="{0809E677-FBFA-429E-80E0-C2612287D636}"/>
    <hyperlink ref="S1887" r:id="rId3626" xr:uid="{4D9C01A8-74EC-4C38-AE61-2AA108D162D7}"/>
    <hyperlink ref="F1888" r:id="rId3627" xr:uid="{9FB2A5D5-22B1-4A0F-ABD3-1B7A0128D616}"/>
    <hyperlink ref="S1888" r:id="rId3628" xr:uid="{12877E62-74B6-484E-8827-E0853C57DF83}"/>
    <hyperlink ref="C1889" r:id="rId3629" xr:uid="{82C60E98-921B-4EAC-BD20-6A27CBB23914}"/>
    <hyperlink ref="F1889" r:id="rId3630" xr:uid="{71147376-32FC-43D3-A510-9DFD3D84F4BF}"/>
    <hyperlink ref="G1889" r:id="rId3631" xr:uid="{EF6FCA8A-C610-438F-8A24-436975C80DE5}"/>
    <hyperlink ref="S1889" r:id="rId3632" xr:uid="{DC7DC642-ACCE-41F3-B1A6-5F281EF1C89D}"/>
    <hyperlink ref="G1890" r:id="rId3633" xr:uid="{0E3DC552-1104-4406-BB8B-1B694918B060}"/>
    <hyperlink ref="F1891" r:id="rId3634" xr:uid="{2A410298-E956-4F7D-B059-D629703242F8}"/>
    <hyperlink ref="S1891" r:id="rId3635" xr:uid="{A16416ED-8F37-4B28-B984-50EA8890670D}"/>
    <hyperlink ref="F1892" r:id="rId3636" xr:uid="{4BDBE0FC-009E-4087-9AF6-86418F5EEE47}"/>
    <hyperlink ref="G1892" r:id="rId3637" xr:uid="{A9F18D2F-8E06-4793-974A-96C77FED80FD}"/>
    <hyperlink ref="S1892" r:id="rId3638" xr:uid="{85B083E3-81C7-4B2D-ACDD-A564A49D19DA}"/>
    <hyperlink ref="F1893" r:id="rId3639" xr:uid="{75DD1334-00B1-40A1-825D-B90DD4E4F3A5}"/>
    <hyperlink ref="F1894" r:id="rId3640" xr:uid="{67BC874F-0116-40B0-93B3-DEF0C1900910}"/>
    <hyperlink ref="F1895" r:id="rId3641" xr:uid="{7FE5AFEA-2905-4E4C-8339-1BDFBAE00248}"/>
    <hyperlink ref="F1896" r:id="rId3642" xr:uid="{762F37CE-C60B-4173-849B-4993E724914F}"/>
    <hyperlink ref="G1896" r:id="rId3643" xr:uid="{52EF0F58-3427-4CEB-8C39-B8150ACA8C46}"/>
    <hyperlink ref="S1896" r:id="rId3644" xr:uid="{4E9DD72E-D18B-4D3C-B798-441DEEFE4FEF}"/>
    <hyperlink ref="F1897" r:id="rId3645" xr:uid="{367F6DFC-ADDF-48C4-AC75-7CD1A2C523D2}"/>
    <hyperlink ref="F1898" r:id="rId3646" xr:uid="{374966A8-E5D1-4942-BADB-97A8B5C654D9}"/>
    <hyperlink ref="G1898" r:id="rId3647" xr:uid="{F00AD19B-B398-48A5-B6F3-CFD6064C8714}"/>
    <hyperlink ref="S1898" r:id="rId3648" xr:uid="{0E44A72B-07F2-4AA7-9F0B-C1F5993926E5}"/>
    <hyperlink ref="G1899" r:id="rId3649" xr:uid="{5AC18A25-5BE0-42C3-97A9-2CB5761D6DCC}"/>
    <hyperlink ref="S1899" r:id="rId3650" xr:uid="{CEDBAD46-91E8-4F5C-9CAE-891811DCA44A}"/>
    <hyperlink ref="G1900" r:id="rId3651" xr:uid="{8BB7AB0D-44BC-443B-A0AA-35214FE2EC09}"/>
    <hyperlink ref="S1900" r:id="rId3652" xr:uid="{07F9F5BD-C2A5-4C9F-9901-7FD54A03A683}"/>
    <hyperlink ref="G1901" r:id="rId3653" xr:uid="{AA6C716A-15FC-422E-9753-B2CD1C333E7B}"/>
    <hyperlink ref="S1901" r:id="rId3654" xr:uid="{1E2A0CCD-70AC-4434-A84A-630971F832F7}"/>
    <hyperlink ref="F1902" r:id="rId3655" xr:uid="{3082FBE1-4EC9-40EB-8C84-3718D424E1DC}"/>
    <hyperlink ref="S1902" r:id="rId3656" xr:uid="{CC4B9EEA-023C-48DB-9B79-60B5F7FA4F73}"/>
    <hyperlink ref="F1903" r:id="rId3657" xr:uid="{1C352AB5-D43C-4B28-8D12-D4574FD3BB8D}"/>
    <hyperlink ref="G1903" r:id="rId3658" xr:uid="{B532585C-73BA-4467-ABA6-6233C416AC62}"/>
    <hyperlink ref="F1904" r:id="rId3659" xr:uid="{2BD041E1-1389-4850-9D84-C88E026C204D}"/>
    <hyperlink ref="G1904" r:id="rId3660" xr:uid="{E393EDC1-60D8-40B1-AB4B-2A68CB26310F}"/>
    <hyperlink ref="G1905" r:id="rId3661" xr:uid="{22A341A5-42B3-4C4A-B392-E18CEF04FFCC}"/>
    <hyperlink ref="F1906" r:id="rId3662" xr:uid="{755C963E-0049-49E9-A9C4-0F68FCF494D3}"/>
    <hyperlink ref="G1907" r:id="rId3663" xr:uid="{FD09F8DA-AA78-4D96-90CC-F27F25B0EC2E}"/>
    <hyperlink ref="S1908" r:id="rId3664" xr:uid="{C130E641-A8B2-486F-89E9-8C0374BB15A9}"/>
    <hyperlink ref="F1909" r:id="rId3665" xr:uid="{D417A683-4A4D-4BD6-9AD1-4761C1E90E6C}"/>
    <hyperlink ref="G1909" r:id="rId3666" xr:uid="{6AB71D2C-9726-4035-AC77-D3CE34E04EF2}"/>
    <hyperlink ref="S1909" r:id="rId3667" xr:uid="{C0A8A0A3-CBFA-4CC2-988F-9059948FFFE4}"/>
    <hyperlink ref="F1910" r:id="rId3668" xr:uid="{EC0111AB-8A63-459C-B115-F364508ADBAC}"/>
    <hyperlink ref="S1910" r:id="rId3669" xr:uid="{3210E423-FA43-48CC-BB87-D95F00D80B57}"/>
    <hyperlink ref="F1911" r:id="rId3670" xr:uid="{8BE3D345-DE11-4CF9-A92D-701EC477994D}"/>
    <hyperlink ref="S1911" r:id="rId3671" xr:uid="{BB63C196-DDEB-460D-A036-4B8B2EA920F9}"/>
    <hyperlink ref="F1912" r:id="rId3672" xr:uid="{A70E1E53-9C58-49D3-B904-FFCDF4572E62}"/>
    <hyperlink ref="S1912" r:id="rId3673" xr:uid="{DBED78FA-9198-4171-A963-7624A8AFD1ED}"/>
    <hyperlink ref="F1913" r:id="rId3674" xr:uid="{12A6184F-B72B-4225-8801-45240F4B6EE0}"/>
    <hyperlink ref="S1913" r:id="rId3675" xr:uid="{9FDF8EED-AA71-4DE3-8282-BA8C3503A4B5}"/>
    <hyperlink ref="G1914" r:id="rId3676" xr:uid="{9AC1CD18-0BB6-499F-85B3-B70D7317A0A8}"/>
    <hyperlink ref="S1914" r:id="rId3677" xr:uid="{A348B8BD-BCA0-4CE5-A50C-2FD925514809}"/>
    <hyperlink ref="F1915" r:id="rId3678" xr:uid="{677D0EDD-0B6A-40E0-B37B-2BA6E491E99C}"/>
    <hyperlink ref="S1915" r:id="rId3679" xr:uid="{38F55A9B-86ED-4454-ADE6-027066AB9969}"/>
    <hyperlink ref="F1916" r:id="rId3680" xr:uid="{163A08FD-88B1-472F-9021-E0D23462FDC5}"/>
    <hyperlink ref="S1916" r:id="rId3681" xr:uid="{EF57A4AD-39E3-4C49-8D0D-729999E9F0E8}"/>
    <hyperlink ref="F1917" r:id="rId3682" xr:uid="{4E0D4BFA-7615-45DA-994A-ACAFEB34C882}"/>
    <hyperlink ref="S1917" r:id="rId3683" xr:uid="{305A3E41-0C7A-45B2-8E5E-642D5ACD09AB}"/>
    <hyperlink ref="F1918" r:id="rId3684" xr:uid="{A0FBF141-7369-42A3-837E-5B9D678DD3AE}"/>
    <hyperlink ref="G1918" r:id="rId3685" xr:uid="{60007521-1014-49A3-AACC-E913B36AE515}"/>
    <hyperlink ref="S1919" r:id="rId3686" xr:uid="{FC9707A2-1A90-400D-98A0-B0B1E7F8B70C}"/>
    <hyperlink ref="F1920" r:id="rId3687" xr:uid="{C0E58587-E3F1-4B6B-9483-58BEF80AF4B8}"/>
    <hyperlink ref="G1920" r:id="rId3688" xr:uid="{D3516E56-993F-4804-B237-51028108F3BD}"/>
    <hyperlink ref="S1920" r:id="rId3689" xr:uid="{C5257824-AC26-4FCA-98F5-03C947892B40}"/>
    <hyperlink ref="F1921" r:id="rId3690" xr:uid="{5F653450-DF33-4FD5-9D10-A626700985C5}"/>
    <hyperlink ref="S1921" r:id="rId3691" xr:uid="{E9E8C680-E357-4296-A463-A653BE22B8ED}"/>
    <hyperlink ref="F1922" r:id="rId3692" xr:uid="{EF85C0C6-E8FF-4C9C-84E5-1E546EF34B15}"/>
    <hyperlink ref="G1922" r:id="rId3693" xr:uid="{A1DB88F7-26DE-4493-82CA-582B4D48D406}"/>
    <hyperlink ref="F1923" r:id="rId3694" xr:uid="{04E92CF3-C7F8-4E24-9A9E-2FC818383854}"/>
    <hyperlink ref="G1923" r:id="rId3695" xr:uid="{217870CE-8F56-470F-908B-1C63C0A5DF48}"/>
    <hyperlink ref="S1923" r:id="rId3696" xr:uid="{24739951-595E-4FCA-978A-1591B9E2EBE3}"/>
    <hyperlink ref="G1924" r:id="rId3697" xr:uid="{FE0C55DF-5E0A-4E19-AA58-4A2C7746410D}"/>
    <hyperlink ref="G1925" r:id="rId3698" xr:uid="{62BE805D-B89F-417E-A4A7-281AD689CDA3}"/>
    <hyperlink ref="S1925" r:id="rId3699" xr:uid="{C4483167-2D7F-463E-AE62-8101BC04721E}"/>
    <hyperlink ref="F1926" r:id="rId3700" xr:uid="{55B86385-DA19-4F87-AEC7-2CF608E451B0}"/>
    <hyperlink ref="F1927" r:id="rId3701" xr:uid="{13D7B559-E99C-44C1-AA81-E175EF427A35}"/>
    <hyperlink ref="S1927" r:id="rId3702" xr:uid="{EBF12AA6-23CD-46E3-A094-19892D367082}"/>
    <hyperlink ref="G1928" r:id="rId3703" xr:uid="{162BD967-9A66-4C50-88C2-A730531A07D4}"/>
    <hyperlink ref="S1928" r:id="rId3704" xr:uid="{DAB4C2E0-FCA7-440D-91E2-E371F10BBCFF}"/>
    <hyperlink ref="S1929" r:id="rId3705" xr:uid="{6F73638E-272D-458D-AF35-1EC645614300}"/>
    <hyperlink ref="F1930" r:id="rId3706" xr:uid="{4104B640-A69B-4160-B91A-8B09170870A7}"/>
    <hyperlink ref="S1930" r:id="rId3707" xr:uid="{37B7E833-11DC-4CFD-A107-86E4E57FB1C1}"/>
    <hyperlink ref="G1931" r:id="rId3708" xr:uid="{1AC136FB-9F93-4589-A4FF-1091310EBECE}"/>
    <hyperlink ref="S1931" r:id="rId3709" xr:uid="{EF7081A8-2CA4-45BD-8A3D-75034BCE9783}"/>
    <hyperlink ref="F1932" r:id="rId3710" xr:uid="{6CD63F47-8498-4025-B9EE-E98624D27CCB}"/>
    <hyperlink ref="G1932" r:id="rId3711" xr:uid="{53153BB8-C522-4F34-8354-91EFFE066465}"/>
    <hyperlink ref="S1932" r:id="rId3712" xr:uid="{1C651502-99D3-4E30-9FE2-A8BCA616290C}"/>
    <hyperlink ref="F1933" r:id="rId3713" xr:uid="{042B1408-B81E-4E8D-9F36-4E8C06E69561}"/>
    <hyperlink ref="G1933" r:id="rId3714" xr:uid="{3B45EA19-B832-4B7D-91B1-BBF4B65CEF76}"/>
    <hyperlink ref="S1933" r:id="rId3715" xr:uid="{303840BA-98C7-445B-A726-94457096E459}"/>
    <hyperlink ref="F1934" r:id="rId3716" xr:uid="{383BF857-DCB7-4E38-8D25-88BBC203BFCB}"/>
    <hyperlink ref="G1934" r:id="rId3717" xr:uid="{A6C03ED0-4CB9-44DF-9B0B-072075F1AA95}"/>
    <hyperlink ref="S1934" r:id="rId3718" xr:uid="{31EA620E-2926-4905-A575-2238CFCCDBF0}"/>
    <hyperlink ref="F1935" r:id="rId3719" xr:uid="{6363FD72-5C3A-4325-B4D2-9221B2DA91BE}"/>
    <hyperlink ref="G1935" r:id="rId3720" xr:uid="{FE0B4DE2-D070-473A-8C8E-34C0DACF183A}"/>
    <hyperlink ref="S1935" r:id="rId3721" xr:uid="{148D7654-83D5-4263-862B-BA3A8B8E104F}"/>
    <hyperlink ref="S1936" r:id="rId3722" xr:uid="{7D7CC903-69C4-4E56-BE99-3AE5B344DCB6}"/>
    <hyperlink ref="F1937" r:id="rId3723" xr:uid="{9352904B-4FED-4D18-9DAF-0D248ACFFC91}"/>
    <hyperlink ref="S1937" r:id="rId3724" xr:uid="{7D7FB8E8-3C40-4A6C-836B-FD062AC2EF16}"/>
    <hyperlink ref="F1938" r:id="rId3725" xr:uid="{526B3C3B-C3D7-4F89-8A0A-ED4EDED74E90}"/>
    <hyperlink ref="G1938" r:id="rId3726" xr:uid="{662DCCC4-A602-4057-BA36-DEE14B4807D5}"/>
    <hyperlink ref="S1938" r:id="rId3727" xr:uid="{870FE849-8D4C-4496-A5FE-3D61549C5024}"/>
    <hyperlink ref="G1939" r:id="rId3728" xr:uid="{B2E198FE-AFE2-4653-AA5F-9C831E263F12}"/>
    <hyperlink ref="S1939" r:id="rId3729" xr:uid="{74F1CBB0-E3B3-477D-86F4-E044A5420E64}"/>
    <hyperlink ref="S1940" r:id="rId3730" xr:uid="{CA80DC5D-337C-43B7-9D40-1557B89DFCD9}"/>
    <hyperlink ref="F1942" r:id="rId3731" xr:uid="{E5FFD5D3-68DB-452C-8AE9-C1A987E4AA7A}"/>
    <hyperlink ref="G1942" r:id="rId3732" xr:uid="{9F536197-5BB1-4C28-B1CD-B4428472B626}"/>
    <hyperlink ref="F1943" r:id="rId3733" xr:uid="{ADA979FD-DFCD-413F-A368-75DED4AF5D7D}"/>
    <hyperlink ref="S1943" r:id="rId3734" xr:uid="{737AB63E-CBD9-4F88-B818-6B12E3F564AB}"/>
    <hyperlink ref="F1944" r:id="rId3735" xr:uid="{BE973615-68B3-4BB9-B4C1-CB1A39035925}"/>
    <hyperlink ref="S1944" r:id="rId3736" xr:uid="{B2531BB6-59B8-4468-A006-96A7D4BA81AA}"/>
    <hyperlink ref="F1946" r:id="rId3737" xr:uid="{6305CC80-2988-430C-8E88-6FB435762784}"/>
    <hyperlink ref="F1947" r:id="rId3738" xr:uid="{7C2DFE88-CD89-40FB-9E81-D5E2981DFAA4}"/>
    <hyperlink ref="G1947" r:id="rId3739" xr:uid="{8DA6B717-0BB0-4BF1-B0D7-1C1E6CEA0C98}"/>
    <hyperlink ref="S1947" r:id="rId3740" xr:uid="{409870DD-E597-4D89-855B-E441A734016D}"/>
    <hyperlink ref="F1948" r:id="rId3741" xr:uid="{5CE6034A-5221-438B-9401-6ADC5D220FAF}"/>
    <hyperlink ref="G1948" r:id="rId3742" xr:uid="{EB680052-72B2-4A9C-A421-019ECC2F8834}"/>
    <hyperlink ref="S1948" r:id="rId3743" xr:uid="{99EC9AAA-0118-4856-B939-83AEAFD69CD2}"/>
    <hyperlink ref="F1949" r:id="rId3744" xr:uid="{DAE8FC16-68E5-47CA-B5C0-D6AE4AF84405}"/>
    <hyperlink ref="G1949" r:id="rId3745" xr:uid="{76ECD989-51F5-491E-9C69-CF53306AA33B}"/>
    <hyperlink ref="S1949" r:id="rId3746" xr:uid="{A5D20054-3913-4F77-BB9D-7D2FE1BBDC25}"/>
    <hyperlink ref="F1950" r:id="rId3747" xr:uid="{480D82FD-FBBB-4094-BCC1-BA429A09F0EC}"/>
    <hyperlink ref="F1951" r:id="rId3748" xr:uid="{F845CF79-22B4-488C-AADE-8F79C5AD686B}"/>
    <hyperlink ref="S1951" r:id="rId3749" xr:uid="{AD03A706-C4D3-45DD-85E6-E5E4F8100FF9}"/>
    <hyperlink ref="F1952" r:id="rId3750" xr:uid="{1D827F0C-FF1D-4F10-899B-54590A905357}"/>
    <hyperlink ref="S1952" r:id="rId3751" xr:uid="{EBB1DD06-1934-42DE-9FF9-8B4C699E2813}"/>
    <hyperlink ref="F1953" r:id="rId3752" xr:uid="{404B0AA4-FC9D-4600-B96C-FAD513BF6654}"/>
    <hyperlink ref="G1953" r:id="rId3753" xr:uid="{560586C1-A23E-46B5-A778-45023FD294F6}"/>
    <hyperlink ref="F1954" r:id="rId3754" xr:uid="{666D3E29-ADCD-4032-81F7-843E451F485F}"/>
    <hyperlink ref="S1954" r:id="rId3755" xr:uid="{19FD98CA-728A-42D4-8CC7-9827BE02226F}"/>
    <hyperlink ref="F1955" r:id="rId3756" xr:uid="{386A7E17-D49A-4D77-A0E1-EAD2F1224E63}"/>
    <hyperlink ref="S1955" r:id="rId3757" xr:uid="{4799901B-56B6-4EFD-A42E-6C085C90B675}"/>
    <hyperlink ref="F1956" r:id="rId3758" xr:uid="{3DFB3739-A904-4887-8E8D-A4D380070078}"/>
    <hyperlink ref="G1956" r:id="rId3759" xr:uid="{3676DA3C-8DAD-43A6-9021-12988AA07222}"/>
    <hyperlink ref="F1957" r:id="rId3760" xr:uid="{9B7195B4-9A1A-40D3-93AD-E1C1930B1F84}"/>
    <hyperlink ref="S1957" r:id="rId3761" xr:uid="{1C8545B2-72C6-4ABD-B5BE-6ABBBB937F0C}"/>
    <hyperlink ref="F1958" r:id="rId3762" xr:uid="{67078309-11A9-4B6C-B022-9BB05CD1298C}"/>
    <hyperlink ref="S1958" r:id="rId3763" xr:uid="{9E65CFE5-B182-4C4A-81E5-21AB26D9073C}"/>
    <hyperlink ref="F1959" r:id="rId3764" xr:uid="{A2E6641C-D9AC-4DE3-B9A3-BBD26F0E8294}"/>
    <hyperlink ref="G1959" r:id="rId3765" xr:uid="{19298F97-A1BB-4B4E-8519-BCDC99CD202C}"/>
    <hyperlink ref="S1959" r:id="rId3766" xr:uid="{A9C67877-B72C-4955-938D-35744DE36BF4}"/>
    <hyperlink ref="S1960" r:id="rId3767" xr:uid="{A40A0F43-92AE-40FE-A86D-95D5185CF94B}"/>
    <hyperlink ref="F1961" r:id="rId3768" xr:uid="{56A66F32-CEE1-4EE4-B944-C12CBE74186C}"/>
    <hyperlink ref="G1961" r:id="rId3769" xr:uid="{1B7A6F61-1695-4494-AA94-D3A7D4335BC8}"/>
    <hyperlink ref="S1961" r:id="rId3770" xr:uid="{3BC2B1AE-C55C-4626-85D1-03F1D9D5543C}"/>
    <hyperlink ref="F1962" r:id="rId3771" xr:uid="{90FD4304-07F2-409C-A4A5-3B3560BFB5B6}"/>
    <hyperlink ref="G1962" r:id="rId3772" xr:uid="{10ABB385-883A-4CDF-A0A5-FC0E5E4D1473}"/>
    <hyperlink ref="S1962" r:id="rId3773" xr:uid="{02B546A7-F6C0-4BEF-A0E5-D3F367E7B2E5}"/>
    <hyperlink ref="F1963" r:id="rId3774" xr:uid="{C7228EA5-F889-4C39-A80C-29DB3B0EC561}"/>
    <hyperlink ref="G1963" r:id="rId3775" xr:uid="{7D82B5C2-1602-4871-A730-F4B496E76F16}"/>
    <hyperlink ref="S1963" r:id="rId3776" xr:uid="{EBD1326C-56B9-47DA-8731-67CCCA5A921C}"/>
    <hyperlink ref="F1964" r:id="rId3777" xr:uid="{5769AE57-0A26-402F-B93D-2B3C681BC7A8}"/>
    <hyperlink ref="G1964" r:id="rId3778" xr:uid="{89ADE78D-A284-4056-9FCE-D77BD3A61318}"/>
    <hyperlink ref="S1964" r:id="rId3779" xr:uid="{3CBD66D2-3AFA-497C-8BF2-2D6C7B37FC4A}"/>
    <hyperlink ref="F1965" r:id="rId3780" xr:uid="{83FB7CEC-394A-435B-B718-6A8458382CD4}"/>
    <hyperlink ref="G1965" r:id="rId3781" xr:uid="{36343D49-6BAE-4321-880C-F77299A5918F}"/>
    <hyperlink ref="S1965" r:id="rId3782" xr:uid="{6DDBF057-0BC6-4B79-8E77-FDE4B2D22B4A}"/>
    <hyperlink ref="F1966" r:id="rId3783" xr:uid="{58738209-FD3C-445B-8645-809B059605DF}"/>
    <hyperlink ref="G1966" r:id="rId3784" xr:uid="{9EBE0751-55D0-4F2F-B048-2763B414C965}"/>
    <hyperlink ref="S1966" r:id="rId3785" xr:uid="{C56A335E-2F0D-4A46-B30F-A167BD873E8D}"/>
    <hyperlink ref="F1967" r:id="rId3786" xr:uid="{20117658-2562-4AEC-A5FA-F15DD749AC14}"/>
    <hyperlink ref="S1967" r:id="rId3787" xr:uid="{BF4FBB6C-D514-406B-B0EA-6B7D1BBA1FA2}"/>
    <hyperlink ref="F1968" r:id="rId3788" xr:uid="{6D2A4E08-EA4E-4673-98B1-073AE7B114F1}"/>
    <hyperlink ref="S1968" r:id="rId3789" xr:uid="{FE57B368-F9B8-4DFC-B27F-6C7FAB378612}"/>
    <hyperlink ref="F1969" r:id="rId3790" xr:uid="{79C6C46C-6A26-45BC-A661-FCD480FD1292}"/>
    <hyperlink ref="G1969" r:id="rId3791" xr:uid="{DB9944CD-8230-46B8-8647-9820372ADB64}"/>
    <hyperlink ref="S1969" r:id="rId3792" xr:uid="{3E6803B4-9384-4DB6-81EA-95775FA8BC1B}"/>
    <hyperlink ref="F1970" r:id="rId3793" xr:uid="{62001815-F123-4F05-A1B3-ED380558AE09}"/>
    <hyperlink ref="S1970" r:id="rId3794" xr:uid="{0965373F-8117-4DBD-8827-7035CB44894D}"/>
    <hyperlink ref="G1971" r:id="rId3795" xr:uid="{6F52732B-05F4-48DF-9049-8B06FBF6DE7F}"/>
    <hyperlink ref="F1972" r:id="rId3796" xr:uid="{2B40CF2F-12C8-4265-AA71-31F81981A456}"/>
    <hyperlink ref="F1973" r:id="rId3797" xr:uid="{582C4FBD-1D05-4889-B267-DFEE68E1D06B}"/>
    <hyperlink ref="G1973" r:id="rId3798" xr:uid="{30DFCE11-4BD7-4237-8E31-74BE5551C27A}"/>
    <hyperlink ref="S1973" r:id="rId3799" xr:uid="{C002BA90-E466-4BE0-AE0A-C5B7415A088A}"/>
    <hyperlink ref="F1974" r:id="rId3800" xr:uid="{35E96ED9-4AB9-45E3-8DDB-CE8D6A1EEB43}"/>
    <hyperlink ref="G1974" r:id="rId3801" xr:uid="{74CE3030-11D0-4DDD-AE18-783AAF76D3E0}"/>
    <hyperlink ref="S1974" r:id="rId3802" xr:uid="{ABA36609-271F-492F-99B7-1E78D762D9B0}"/>
    <hyperlink ref="S1975" r:id="rId3803" xr:uid="{695262B5-74ED-464F-877D-39C37213C04B}"/>
    <hyperlink ref="F1976" r:id="rId3804" xr:uid="{D33A6EC1-1197-4761-ADAF-ED17B417D59C}"/>
    <hyperlink ref="S1976" r:id="rId3805" xr:uid="{5475B389-4311-486B-882A-CE9A5744C6C3}"/>
    <hyperlink ref="F1977" r:id="rId3806" xr:uid="{C54189A8-D31B-4150-BF8E-5B392156490F}"/>
    <hyperlink ref="S1977" r:id="rId3807" xr:uid="{B99C59E9-C5F5-4E46-94E6-C7A890857349}"/>
    <hyperlink ref="F1978" r:id="rId3808" xr:uid="{7F5A79FB-FC40-4EBB-B761-88497E72CD1C}"/>
    <hyperlink ref="S1978" r:id="rId3809" xr:uid="{0BF741C0-CD61-4AA3-860D-8A45E7ED3FB5}"/>
    <hyperlink ref="G1979" r:id="rId3810" xr:uid="{B37D8670-6E16-474A-80C9-BED3EA86D0CB}"/>
    <hyperlink ref="S1979" r:id="rId3811" xr:uid="{33F44FA9-3CC4-4A93-96AE-B7AC83CD3392}"/>
    <hyperlink ref="F1980" r:id="rId3812" xr:uid="{B76E45B6-997C-48D3-94D0-A21309A80D01}"/>
    <hyperlink ref="G1981" r:id="rId3813" xr:uid="{9AEB73E3-4FF0-4854-B628-8B7690FB88A3}"/>
    <hyperlink ref="S1981" r:id="rId3814" xr:uid="{173413BF-D1F4-4876-A981-3A9E673CE81B}"/>
    <hyperlink ref="S1982" r:id="rId3815" xr:uid="{9779E52A-93B5-497D-BB18-B859D440976F}"/>
    <hyperlink ref="F1983" r:id="rId3816" xr:uid="{D3B5CBE6-45D5-4F2E-A5E5-8DCA951C9EFC}"/>
    <hyperlink ref="F1984" r:id="rId3817" xr:uid="{D5190B68-EBAA-4D3B-B404-2E445A99CF68}"/>
    <hyperlink ref="S1984" r:id="rId3818" xr:uid="{BB302A38-5EEA-4748-B601-7FC471A36C31}"/>
    <hyperlink ref="F1985" r:id="rId3819" xr:uid="{07D49B95-1605-4F6F-A428-C595B7005B09}"/>
    <hyperlink ref="F1986" r:id="rId3820" xr:uid="{CA1FDDD8-31DF-45F0-BF0E-D69EBA701237}"/>
    <hyperlink ref="S1986" r:id="rId3821" xr:uid="{68E20FFE-937A-4BA1-9D02-3F367BFC7FEA}"/>
    <hyperlink ref="F1987" r:id="rId3822" xr:uid="{AA77AAB4-8269-4AD9-BF0D-48464DC49D2B}"/>
    <hyperlink ref="F1988" r:id="rId3823" xr:uid="{811E3395-DA1C-47F2-8A02-DE2338071C24}"/>
    <hyperlink ref="S1988" r:id="rId3824" xr:uid="{7F6D6C7B-CDDA-4738-8116-3F5E9D773D6D}"/>
    <hyperlink ref="G1989" r:id="rId3825" xr:uid="{D2DB46DF-5F11-4194-8E3B-52C7FA4C595A}"/>
    <hyperlink ref="S1989" r:id="rId3826" xr:uid="{849944D4-C24C-4F94-9A3C-682D8209E4EA}"/>
    <hyperlink ref="F1990" r:id="rId3827" xr:uid="{7C59C521-FEC7-4553-BE20-32E6EDD45FB8}"/>
    <hyperlink ref="G1990" r:id="rId3828" xr:uid="{BDE76FE6-0CFF-48B2-99D4-1550CE06A558}"/>
    <hyperlink ref="S1990" r:id="rId3829" xr:uid="{EFC62929-3565-4C70-8E4B-921A04522ED4}"/>
    <hyperlink ref="C1991" r:id="rId3830" xr:uid="{510A327C-1CEC-40BE-83C0-C0F2CE1E6B0C}"/>
    <hyperlink ref="F1991" r:id="rId3831" xr:uid="{5C5D0EFB-483E-4692-926F-197A0B4BB673}"/>
    <hyperlink ref="S1991" r:id="rId3832" xr:uid="{3D5E01A9-6B84-4F9A-B0A7-DA2F84B76584}"/>
    <hyperlink ref="F1992" r:id="rId3833" xr:uid="{A654DEC0-8AF3-44CF-ABC5-BAFB45C124D9}"/>
    <hyperlink ref="G1992" r:id="rId3834" xr:uid="{BC426E85-1A50-4C01-8B09-1C3791168852}"/>
    <hyperlink ref="S1992" r:id="rId3835" xr:uid="{E067F1B7-3A88-467A-96C2-B3AD6DA7855B}"/>
    <hyperlink ref="F1993" r:id="rId3836" xr:uid="{3B464488-9371-4692-89A6-1CC9AD7B1ACB}"/>
    <hyperlink ref="G1993" r:id="rId3837" xr:uid="{C17913F3-BC58-45B0-8A1D-00BAAD3E08E9}"/>
    <hyperlink ref="S1993" r:id="rId3838" xr:uid="{963F525D-269A-48EC-B7AE-C98BE7976481}"/>
    <hyperlink ref="F1994" r:id="rId3839" xr:uid="{88CE1249-74A5-4C6E-BFF8-81A66CAD15D9}"/>
    <hyperlink ref="S1994" r:id="rId3840" xr:uid="{CA753C81-50A1-4015-8524-D30871CC2EA0}"/>
    <hyperlink ref="F1995" r:id="rId3841" xr:uid="{188BD940-C31E-4220-BFB2-D82E15E16CD2}"/>
    <hyperlink ref="G1995" r:id="rId3842" xr:uid="{C39FDED6-93F0-4873-9C1E-874910E976F7}"/>
    <hyperlink ref="S1995" r:id="rId3843" xr:uid="{856789B6-3333-4132-92F2-CBB6CCAC3C47}"/>
    <hyperlink ref="G1996" r:id="rId3844" xr:uid="{134A1C83-6088-45BD-9F3E-B0683EE16599}"/>
    <hyperlink ref="S1996" r:id="rId3845" xr:uid="{3C036C2D-5712-46DE-A729-E686CB5E5DF1}"/>
    <hyperlink ref="S1997" r:id="rId3846" xr:uid="{A8780F69-6044-40B8-9BC0-141773E24CB6}"/>
    <hyperlink ref="F1998" r:id="rId3847" xr:uid="{3EB9106E-B1BB-4B60-A015-265CF47D971A}"/>
    <hyperlink ref="F1999" r:id="rId3848" xr:uid="{568D8419-AA7C-4F4A-A86D-9B249DC909F1}"/>
    <hyperlink ref="S1999" r:id="rId3849" xr:uid="{0845232D-7920-41E0-BA5D-2F57ED0030B5}"/>
    <hyperlink ref="F2000" r:id="rId3850" xr:uid="{114A920D-C1B7-47C0-A820-6B444FCC83E9}"/>
    <hyperlink ref="S2000" r:id="rId3851" xr:uid="{F53F492F-98D1-4639-9D38-BFDD3B62B87A}"/>
    <hyperlink ref="G2001" r:id="rId3852" xr:uid="{F7EAF665-5811-465B-81A9-04165B456BDB}"/>
    <hyperlink ref="S2002" r:id="rId3853" xr:uid="{865086BA-04C2-4AA3-BF9E-B38DCEF7AC25}"/>
    <hyperlink ref="F2003" r:id="rId3854" xr:uid="{AB93C38E-C100-4132-B29C-C10A6AA5CBB4}"/>
    <hyperlink ref="G2003" r:id="rId3855" xr:uid="{523C88EF-08AA-4CB5-96B5-59BAF0860A8E}"/>
    <hyperlink ref="S2003" r:id="rId3856" xr:uid="{157F6523-4DDC-4FEC-A1EA-7327DDBEF093}"/>
    <hyperlink ref="F2004" r:id="rId3857" xr:uid="{DFF8FC9E-A966-4491-9DB8-F5921FDB6C87}"/>
    <hyperlink ref="S2004" r:id="rId3858" xr:uid="{B3D972D9-1724-451F-861F-28B3C19DE6C9}"/>
    <hyperlink ref="F2005" r:id="rId3859" xr:uid="{23B58AF0-D9BD-4AE9-98F8-882327507A7B}"/>
    <hyperlink ref="G2005" r:id="rId3860" xr:uid="{0B5DE2E8-DCCC-4522-AF1E-EA6B829DBF7D}"/>
    <hyperlink ref="S2005" r:id="rId3861" xr:uid="{5552D0F4-B4B2-4247-9CA3-830D36A9D95F}"/>
    <hyperlink ref="F2006" r:id="rId3862" xr:uid="{10D86DCE-ED42-4875-ACCD-BAE2F266DB7B}"/>
    <hyperlink ref="S2006" r:id="rId3863" xr:uid="{43F4CE92-E493-4C1B-8D17-3551D9CA726D}"/>
    <hyperlink ref="F2007" r:id="rId3864" xr:uid="{5500A84F-9402-4A53-B13C-E581AB396901}"/>
    <hyperlink ref="G2008" r:id="rId3865" xr:uid="{52859CCA-0E14-46F7-A68C-5DC169609DB1}"/>
    <hyperlink ref="S2009" r:id="rId3866" xr:uid="{72FD11F3-7F1F-4F25-935F-3B66C1A0135B}"/>
    <hyperlink ref="G2010" r:id="rId3867" xr:uid="{D51F8BC8-AFF7-46B8-94CE-22B2B314FF62}"/>
    <hyperlink ref="S2010" r:id="rId3868" xr:uid="{1F368E74-EDFE-4B17-B3F9-842E9318578F}"/>
    <hyperlink ref="F2011" r:id="rId3869" xr:uid="{C99F807F-8E46-4196-B9E2-FD2D9AF0F16B}"/>
    <hyperlink ref="G2011" r:id="rId3870" xr:uid="{59A57C65-6870-4F1B-9819-1E942DDC1087}"/>
    <hyperlink ref="F2012" r:id="rId3871" xr:uid="{BB0C8B3E-8E4B-42AB-A76E-C1DA909894F1}"/>
    <hyperlink ref="S2012" r:id="rId3872" xr:uid="{879FE3DD-331F-482F-863B-21CF39888A0D}"/>
    <hyperlink ref="F2013" r:id="rId3873" xr:uid="{28CEC581-AB6C-4BA2-8FCC-2C0C107DCC97}"/>
    <hyperlink ref="S2013" r:id="rId3874" xr:uid="{DBAE4F64-C76A-4CA7-A2AB-2517991B6589}"/>
    <hyperlink ref="G2014" r:id="rId3875" xr:uid="{5EC43053-0652-4C25-8C76-150743C1E807}"/>
    <hyperlink ref="S2014" r:id="rId3876" xr:uid="{4FF3BCF8-2032-416F-A247-0CA693940DBB}"/>
    <hyperlink ref="F2015" r:id="rId3877" xr:uid="{AD82E8EE-BD95-42A5-B24E-0E476E7F9EB0}"/>
    <hyperlink ref="F2016" r:id="rId3878" xr:uid="{23A7F561-B31B-4850-BDF3-1B8B5C36D859}"/>
    <hyperlink ref="G2016" r:id="rId3879" xr:uid="{0EABB505-5270-46A1-BA17-F666BC46974E}"/>
    <hyperlink ref="S2016" r:id="rId3880" xr:uid="{ADC5C40A-EC7D-4110-A79A-3D7EE69DC533}"/>
    <hyperlink ref="F2017" r:id="rId3881" xr:uid="{2F58BF76-5659-4B8C-873F-C11E3D64E332}"/>
    <hyperlink ref="G2017" r:id="rId3882" xr:uid="{4617D96A-AB72-424F-A634-95135FDE4241}"/>
    <hyperlink ref="S2017" r:id="rId3883" xr:uid="{C8599D42-4057-4DEA-84C5-A872FBDFD416}"/>
    <hyperlink ref="F2018" r:id="rId3884" xr:uid="{09143EE9-E77C-4566-8636-83D61293BAEA}"/>
    <hyperlink ref="G2018" r:id="rId3885" xr:uid="{F6B53B64-F68E-4576-A132-D128C94B5686}"/>
    <hyperlink ref="S2018" r:id="rId3886" xr:uid="{769581BC-FD48-4E50-A940-FCCA3643CAD7}"/>
    <hyperlink ref="C2019" r:id="rId3887" xr:uid="{B6292700-AB3F-4B90-95BB-616753325F68}"/>
    <hyperlink ref="F2019" r:id="rId3888" xr:uid="{B295247C-DDA1-42F6-8033-B33FB0ECFA0A}"/>
    <hyperlink ref="G2019" r:id="rId3889" xr:uid="{2611B074-8591-4792-96A7-249DC23C0B59}"/>
    <hyperlink ref="S2019" r:id="rId3890" xr:uid="{A378843F-79FA-4DCD-BCCD-C95798B6FB97}"/>
    <hyperlink ref="F2020" r:id="rId3891" xr:uid="{E44AB912-3C5B-41D1-87A4-202E1BA8A53F}"/>
    <hyperlink ref="G2020" r:id="rId3892" xr:uid="{F7E4AE08-95FC-4D50-9A40-D4F3B16447B8}"/>
    <hyperlink ref="S2020" r:id="rId3893" xr:uid="{0101F47B-921D-4EDA-890E-0F4B0A9421E3}"/>
    <hyperlink ref="F2021" r:id="rId3894" xr:uid="{356DFF17-F926-4FFC-839B-81C567C9BD3D}"/>
    <hyperlink ref="S2021" r:id="rId3895" xr:uid="{DD5C1F03-B718-4319-87EA-840A340C313C}"/>
    <hyperlink ref="F2022" r:id="rId3896" xr:uid="{2F1DC535-3A96-4569-86DA-41F5B3983A86}"/>
    <hyperlink ref="S2022" r:id="rId3897" xr:uid="{55BE5516-5FC5-4484-80BB-8D6313609FAB}"/>
    <hyperlink ref="F2023" r:id="rId3898" xr:uid="{FF495261-F3E2-4647-A9D3-20068D2F4618}"/>
    <hyperlink ref="F2024" r:id="rId3899" xr:uid="{903D25B0-9212-4D89-9A45-4F38D8FE6718}"/>
    <hyperlink ref="S2024" r:id="rId3900" xr:uid="{279CDBE2-1D45-4EE0-B7B9-5740E877F32D}"/>
    <hyperlink ref="F2025" r:id="rId3901" xr:uid="{F08845FC-A320-42C9-9AF5-19379D9A2890}"/>
    <hyperlink ref="S2025" r:id="rId3902" xr:uid="{705C9756-14EB-4482-9172-F077F2BD6B9F}"/>
    <hyperlink ref="F2026" r:id="rId3903" xr:uid="{F0684628-01AD-48E8-A22D-3A589CF274A8}"/>
    <hyperlink ref="S2026" r:id="rId3904" xr:uid="{A4E83E40-B908-4E97-8F4B-09D826CD49CA}"/>
    <hyperlink ref="F2027" r:id="rId3905" xr:uid="{0AF81420-429F-47F8-84B2-C8DCA9EA4153}"/>
    <hyperlink ref="G2027" r:id="rId3906" xr:uid="{A9EA9E38-645B-4D43-A134-A2412C3D492C}"/>
    <hyperlink ref="S2027" r:id="rId3907" xr:uid="{6EC7F9D9-0722-4641-B96C-BAB1D3A6546B}"/>
    <hyperlink ref="S2028" r:id="rId3908" xr:uid="{2849E71D-431D-4E35-AEA8-92FC195FFB2B}"/>
    <hyperlink ref="S2029" r:id="rId3909" xr:uid="{EE857003-69CF-46AD-A42C-7E55726498AA}"/>
    <hyperlink ref="F2030" r:id="rId3910" xr:uid="{1FB7F374-AFE2-46E5-969A-13DAD1CBB8A9}"/>
    <hyperlink ref="S2030" r:id="rId3911" xr:uid="{2E116391-D271-49D5-9DC5-D488357CE4ED}"/>
    <hyperlink ref="F2031" r:id="rId3912" xr:uid="{E1EAC934-114E-4EED-8D1F-D890EE98F45D}"/>
    <hyperlink ref="F2032" r:id="rId3913" xr:uid="{B172277C-60EF-4DA4-B31E-7AD834FCDFAF}"/>
    <hyperlink ref="G2032" r:id="rId3914" xr:uid="{3D381D6A-F386-451F-87BF-539D21612C65}"/>
    <hyperlink ref="F2033" r:id="rId3915" xr:uid="{FA97675C-16FF-4ED5-911D-449248DABF37}"/>
    <hyperlink ref="S2033" r:id="rId3916" xr:uid="{43276B5D-1061-4038-BD15-5DBC8EAFD0AD}"/>
    <hyperlink ref="S2034" r:id="rId3917" xr:uid="{CFF55C5F-B37E-48D8-B9A3-B5C9F0999E07}"/>
    <hyperlink ref="G2035" r:id="rId3918" xr:uid="{B673597D-50EF-42A0-B6B9-E50EAB19DA9E}"/>
    <hyperlink ref="S2035" r:id="rId3919" xr:uid="{30A56329-B521-4294-AD07-8C62E85D3B39}"/>
    <hyperlink ref="F2037" r:id="rId3920" xr:uid="{0549DA9F-1D56-4990-B522-91E4835FBEC5}"/>
    <hyperlink ref="G2037" r:id="rId3921" xr:uid="{71B644AB-A490-46FF-B905-6E2CAFF252C9}"/>
    <hyperlink ref="G2038" r:id="rId3922" xr:uid="{84BFC978-7BB5-4271-89A0-A1B38952A842}"/>
    <hyperlink ref="S2038" r:id="rId3923" xr:uid="{27208D4E-7D4B-4805-BCEB-B88965E18F56}"/>
    <hyperlink ref="G2039" r:id="rId3924" xr:uid="{D559D9E7-B4B7-40CB-BC40-ED268CB3DA18}"/>
    <hyperlink ref="F2040" r:id="rId3925" xr:uid="{A23AEA4C-CB51-463A-9AA6-58A7AEE11D7B}"/>
    <hyperlink ref="S2040" r:id="rId3926" xr:uid="{971FC088-6093-431C-9F47-869A3825AB11}"/>
    <hyperlink ref="F2041" r:id="rId3927" xr:uid="{AD7D714D-DD4F-4CC0-8C11-3A97496E0D37}"/>
    <hyperlink ref="S2041" r:id="rId3928" xr:uid="{682BF56D-1238-493B-94AC-3DED33404EA6}"/>
    <hyperlink ref="S2042" r:id="rId3929" xr:uid="{ADB6E05E-917C-4417-9861-49729B508C81}"/>
    <hyperlink ref="F2043" r:id="rId3930" xr:uid="{9B9F70FA-84C4-45BE-BF3E-A9EE355D1152}"/>
    <hyperlink ref="S2043" r:id="rId3931" xr:uid="{7121E84F-FE03-41DA-AD4A-72DCF15AFD57}"/>
    <hyperlink ref="F2044" r:id="rId3932" xr:uid="{9DEBDD5B-9805-4D34-A383-9D41E2E95F35}"/>
    <hyperlink ref="S2044" r:id="rId3933" xr:uid="{F6B0EAB6-43DE-4071-95A7-992EA1E2E46D}"/>
    <hyperlink ref="F2045" r:id="rId3934" xr:uid="{7FF5CA5C-8191-4938-8ADF-83AECE024236}"/>
    <hyperlink ref="S2045" r:id="rId3935" xr:uid="{8CE0A6B6-672A-4795-A5B4-AC602CA918D2}"/>
    <hyperlink ref="F2046" r:id="rId3936" xr:uid="{7C4FCADE-10E9-4BEE-9B59-48A1B22FDB2A}"/>
    <hyperlink ref="S2046" r:id="rId3937" xr:uid="{26FD553D-8FD9-4353-8404-68978F53003B}"/>
    <hyperlink ref="F2047" r:id="rId3938" location=".YDRpAaFDrt4.twitter" xr:uid="{4CBDF982-E25E-427B-90B5-014B68EEEEE9}"/>
    <hyperlink ref="S2047" r:id="rId3939" xr:uid="{CC3051DD-8471-440A-AFD1-C488070C5FF6}"/>
    <hyperlink ref="G2048" r:id="rId3940" xr:uid="{1B326E0D-D72B-4B97-A82D-F645920F5538}"/>
    <hyperlink ref="S2048" r:id="rId3941" xr:uid="{E10B2626-F4FA-4DE9-9D4E-F5AC6EEC835C}"/>
    <hyperlink ref="F2049" r:id="rId3942" xr:uid="{6E93EDC7-BC5F-47B3-841F-5C7247ED74F3}"/>
    <hyperlink ref="S2049" r:id="rId3943" xr:uid="{316B77CB-F4F8-44A5-A320-AA3142214B01}"/>
    <hyperlink ref="G2050" r:id="rId3944" xr:uid="{2FEE2CE4-0005-4D03-B4F7-7F7ED9A17997}"/>
    <hyperlink ref="S2050" r:id="rId3945" xr:uid="{C8C88452-5F5B-489D-9A51-00971705B3DC}"/>
    <hyperlink ref="S2051" r:id="rId3946" xr:uid="{30D7D398-C6AD-450B-A0D6-28560230D99F}"/>
    <hyperlink ref="F2052" r:id="rId3947" xr:uid="{3C356CE5-CFE5-40D1-9DA2-5F0399C70386}"/>
    <hyperlink ref="S2052" r:id="rId3948" xr:uid="{5AA078E6-0B37-46EF-9C4C-7EF44E763ABD}"/>
    <hyperlink ref="G2053" r:id="rId3949" xr:uid="{7E1A5F95-6F22-498B-9032-C6B3AEC764DB}"/>
    <hyperlink ref="F2054" r:id="rId3950" xr:uid="{F4FA066F-0F30-49AF-B50F-19DC94AD7EEC}"/>
    <hyperlink ref="S2054" r:id="rId3951" xr:uid="{830BE286-EDA8-4969-B9F1-4DCFC1D9E028}"/>
    <hyperlink ref="F2055" r:id="rId3952" xr:uid="{BC045A99-99E8-4C1F-BD5D-9177F0930034}"/>
    <hyperlink ref="S2056" r:id="rId3953" xr:uid="{167993A0-A66B-409C-AF8A-B1454A2A589F}"/>
    <hyperlink ref="F2057" r:id="rId3954" xr:uid="{371219D3-EF83-42E9-AD22-759817D2FC66}"/>
    <hyperlink ref="S2057" r:id="rId3955" xr:uid="{65FA7EC9-780B-4ABF-9EF0-D194DCB5C460}"/>
    <hyperlink ref="F2058" r:id="rId3956" xr:uid="{FDB9ACFF-C89C-4168-B530-2C39B4826480}"/>
    <hyperlink ref="S2058" r:id="rId3957" xr:uid="{5B32FB8D-73BD-4995-824B-8BED9E576965}"/>
    <hyperlink ref="F2059" r:id="rId3958" xr:uid="{069BF602-78B1-4C11-9522-B16D8077D172}"/>
    <hyperlink ref="S2059" r:id="rId3959" xr:uid="{DD8B6DA4-D38B-4021-854C-4E819743A8A9}"/>
    <hyperlink ref="F2060" r:id="rId3960" xr:uid="{ABA7890B-C6B0-4B9F-80D9-B3B7DEFCEDEC}"/>
    <hyperlink ref="S2060" r:id="rId3961" xr:uid="{4F160B38-0436-4647-B6D2-A2C3BF1A2F6C}"/>
    <hyperlink ref="F2061" r:id="rId3962" xr:uid="{BDDC54AC-2159-4664-8893-1C44CF9EE32D}"/>
    <hyperlink ref="S2061" r:id="rId3963" xr:uid="{B516495B-A448-4F73-A265-683BA9413AED}"/>
    <hyperlink ref="F2062" r:id="rId3964" xr:uid="{5FE4FB6C-21DA-48C7-8E8A-02BCEEB0BDD3}"/>
    <hyperlink ref="F2063" r:id="rId3965" xr:uid="{D44D9509-A8CB-4F46-8810-06F477C6EE46}"/>
    <hyperlink ref="F2064" r:id="rId3966" xr:uid="{3DC75630-86E2-4EF1-81B8-642948001A00}"/>
    <hyperlink ref="G2064" r:id="rId3967" xr:uid="{0C62767E-56B1-46DE-9905-D16AA5C2800B}"/>
    <hyperlink ref="S2064" r:id="rId3968" xr:uid="{54E1E814-B43E-49FD-AF19-A6C099D63037}"/>
    <hyperlink ref="F2065" r:id="rId3969" xr:uid="{99119E81-8EED-432C-B257-AE995C64197F}"/>
    <hyperlink ref="S2065" r:id="rId3970" xr:uid="{85977F33-9938-40A7-9ECE-FED4C7659BF7}"/>
    <hyperlink ref="F2066" r:id="rId3971" xr:uid="{91DFE6AF-1DC0-4736-A170-0CEC6DECCC6C}"/>
    <hyperlink ref="G2066" r:id="rId3972" xr:uid="{3300DF16-6485-4EB9-80BE-33AA9B911B05}"/>
    <hyperlink ref="S2066" r:id="rId3973" xr:uid="{7B5B7D4E-A877-40E0-9608-2C07BF8227D3}"/>
    <hyperlink ref="G2067" r:id="rId3974" xr:uid="{FD1AA97E-9C0C-47DA-A048-317BAE604874}"/>
    <hyperlink ref="S2067" r:id="rId3975" xr:uid="{0551F50C-4E65-4E33-BA08-A7ACDC594B47}"/>
    <hyperlink ref="S2068" r:id="rId3976" xr:uid="{00A39493-7B19-49AB-9C58-3C83C9EA3184}"/>
    <hyperlink ref="S2069" r:id="rId3977" xr:uid="{4BB331A7-8701-476B-A6E0-85073A476329}"/>
    <hyperlink ref="F2070" r:id="rId3978" xr:uid="{34986B80-BF09-45DC-9A11-E0EA37244942}"/>
    <hyperlink ref="G2071" r:id="rId3979" xr:uid="{0A2D5D21-DAA1-462E-86C6-68F5F4603942}"/>
    <hyperlink ref="S2071" r:id="rId3980" xr:uid="{9F85519C-341D-4678-9E8B-D2F6EF9F6FE9}"/>
    <hyperlink ref="C2072" r:id="rId3981" xr:uid="{874D082C-7815-4A5A-BBB6-25F6F7FDB300}"/>
    <hyperlink ref="S2072" r:id="rId3982" xr:uid="{C1E59FF3-5CCA-4C2D-B5A9-975319F5915E}"/>
    <hyperlink ref="F2073" r:id="rId3983" xr:uid="{37880EEE-9C2B-4C38-9682-F324228EA41C}"/>
    <hyperlink ref="G2073" r:id="rId3984" xr:uid="{8BCAAA9C-30C4-44F9-8A3B-401E9D6657B2}"/>
    <hyperlink ref="S2073" r:id="rId3985" xr:uid="{A67EDB37-E723-456C-88E7-F97BB2257670}"/>
    <hyperlink ref="F2074" r:id="rId3986" xr:uid="{EFBF99AA-2954-491B-81EA-3BF36974C26F}"/>
    <hyperlink ref="G2074" r:id="rId3987" xr:uid="{FB884EE6-A2DB-4F07-B81C-8C0E76BC27D9}"/>
    <hyperlink ref="S2074" r:id="rId3988" xr:uid="{6CAE4C9A-1714-4289-B00C-9D7D176CE6E3}"/>
    <hyperlink ref="S2075" r:id="rId3989" xr:uid="{BC3756D1-8833-4965-96D8-9CE64482ACCA}"/>
    <hyperlink ref="F2076" r:id="rId3990" xr:uid="{3BD8A385-EBCE-472E-A95A-42C8E224D593}"/>
    <hyperlink ref="S2076" r:id="rId3991" xr:uid="{3FC0A612-1FE5-44C0-8B48-CF6CC240173C}"/>
    <hyperlink ref="F2077" r:id="rId3992" xr:uid="{2D75BF1A-EEB6-40A2-A3D6-451A124166D9}"/>
    <hyperlink ref="G2077" r:id="rId3993" xr:uid="{EC92BFE4-E848-4755-AE3A-9CE780E57186}"/>
    <hyperlink ref="S2077" r:id="rId3994" xr:uid="{66532832-C5A2-4D1E-AEDE-7AB030F703B1}"/>
    <hyperlink ref="F2078" r:id="rId3995" xr:uid="{FCF0BD9F-8D43-4024-834E-98B146995241}"/>
    <hyperlink ref="S2079" r:id="rId3996" xr:uid="{E20A70BA-5B5F-4FDC-8A38-B84DE1E9D039}"/>
    <hyperlink ref="F2080" r:id="rId3997" xr:uid="{894F80BA-F0B0-42E8-8F19-5E8A48445F3D}"/>
    <hyperlink ref="S2080" r:id="rId3998" xr:uid="{D20FB38A-1FA7-4B9C-A8D3-FBE6F97662BA}"/>
    <hyperlink ref="F2081" r:id="rId3999" xr:uid="{0E7A33CA-ED98-42E0-913A-BCEAB053B516}"/>
    <hyperlink ref="S2081" r:id="rId4000" xr:uid="{7E18EF01-C00E-47BF-943F-E3CC5E4287D7}"/>
    <hyperlink ref="F2082" r:id="rId4001" xr:uid="{A9C0C8F9-3F7B-4E3E-9F4E-05643F06514C}"/>
    <hyperlink ref="G2082" r:id="rId4002" xr:uid="{42855EDC-2A14-45CD-89A6-AAE838A02A57}"/>
    <hyperlink ref="S2082" r:id="rId4003" xr:uid="{A85D8FA0-C32E-4C28-A2E3-16D28F317A15}"/>
    <hyperlink ref="G2083" r:id="rId4004" xr:uid="{8A4CF75F-AB03-4AE7-9864-1F4859958DFB}"/>
    <hyperlink ref="G2084" r:id="rId4005" xr:uid="{E267A31F-C15F-4E3B-94D1-86D3B29EDA50}"/>
    <hyperlink ref="S2084" r:id="rId4006" xr:uid="{BED162C3-EE43-4A8F-83C1-599481BB1ADC}"/>
    <hyperlink ref="F2085" r:id="rId4007" xr:uid="{65A1325C-F156-4BDC-BC44-BF827B168230}"/>
    <hyperlink ref="F2086" r:id="rId4008" xr:uid="{1C9F7BFA-11C9-4210-9A9D-784A87DE1670}"/>
    <hyperlink ref="G2086" r:id="rId4009" xr:uid="{17EB83BF-637B-45BC-8220-368E07AF2742}"/>
    <hyperlink ref="S2086" r:id="rId4010" xr:uid="{5715EE60-1CC6-40C0-A285-D6766D0086A8}"/>
    <hyperlink ref="F2087" r:id="rId4011" xr:uid="{36FF48C0-6D05-43A9-8E18-478E11157EEF}"/>
    <hyperlink ref="G2087" r:id="rId4012" xr:uid="{C6078273-F510-4446-A9F2-38E9ACDBBF8E}"/>
    <hyperlink ref="S2087" r:id="rId4013" xr:uid="{9658AB92-C426-41E7-97BB-778F9E70DA98}"/>
    <hyperlink ref="F2088" r:id="rId4014" xr:uid="{FA16F6F0-8E4E-429F-8750-DACC708F5DBA}"/>
    <hyperlink ref="G2088" r:id="rId4015" xr:uid="{8B5951BD-760C-4AF8-B356-DF79024F9438}"/>
    <hyperlink ref="S2088" r:id="rId4016" xr:uid="{72421307-DA4F-4CA4-8C83-6734C1F361BE}"/>
    <hyperlink ref="F2089" r:id="rId4017" xr:uid="{0E011812-D9DB-4285-A95B-5042F2F2F74A}"/>
    <hyperlink ref="S2089" r:id="rId4018" xr:uid="{8F9F8041-8B52-4AAF-8E19-EB5092D725B8}"/>
    <hyperlink ref="F2090" r:id="rId4019" xr:uid="{712B1744-E85D-409E-A736-04D48D18A1D7}"/>
    <hyperlink ref="S2090" r:id="rId4020" xr:uid="{1982F514-28F5-4958-945E-E26E77FF6D80}"/>
    <hyperlink ref="F2091" r:id="rId4021" xr:uid="{A3579B66-6716-4328-9177-CD8061F0399F}"/>
    <hyperlink ref="S2092" r:id="rId4022" xr:uid="{ACB6B41A-B4C6-49D7-8880-BC8976D690FF}"/>
    <hyperlink ref="G2093" r:id="rId4023" xr:uid="{D97B6659-5E66-4F91-A419-35416C02E453}"/>
    <hyperlink ref="S2093" r:id="rId4024" xr:uid="{2F4202DC-24F5-4A6F-A9F6-861345583ED6}"/>
    <hyperlink ref="F2094" r:id="rId4025" xr:uid="{38070410-D66B-4B41-92EB-333B6479AB28}"/>
    <hyperlink ref="F2095" r:id="rId4026" xr:uid="{84900A37-B084-4693-ADD7-434BF297940B}"/>
    <hyperlink ref="G2095" r:id="rId4027" xr:uid="{823BF797-8BA4-4BE3-BCFD-996213205E18}"/>
    <hyperlink ref="S2095" r:id="rId4028" xr:uid="{72B44466-3686-451E-B0A4-47B4FAD8944F}"/>
    <hyperlink ref="F2096" r:id="rId4029" xr:uid="{92018E68-A45A-4D29-AF0E-D67939B6DBE8}"/>
    <hyperlink ref="S2096" r:id="rId4030" xr:uid="{192F3935-06A2-4E4E-83CC-DCE804DB0040}"/>
    <hyperlink ref="F2097" r:id="rId4031" xr:uid="{12400328-44CB-493F-9659-6976820B2970}"/>
    <hyperlink ref="F2098" r:id="rId4032" xr:uid="{62560928-9E03-4387-AD39-DD6C712605CC}"/>
    <hyperlink ref="G2098" r:id="rId4033" xr:uid="{45F5E45D-F67E-4CE0-822D-947EAC786EC1}"/>
    <hyperlink ref="F2099" r:id="rId4034" xr:uid="{7A1E93E7-1771-4BF7-87EA-3DB273B7637F}"/>
    <hyperlink ref="F2100" r:id="rId4035" xr:uid="{CF9D48C9-0942-40C5-A374-A1D27C840064}"/>
    <hyperlink ref="S2100" r:id="rId4036" xr:uid="{9F6CD227-5A8B-4606-A814-EB0BF2E758CE}"/>
    <hyperlink ref="F2101" r:id="rId4037" xr:uid="{16187F23-E86A-46CA-943C-5071AC833B7D}"/>
    <hyperlink ref="S2101" r:id="rId4038" xr:uid="{04500851-FDFE-4504-9B98-A42B66D78C50}"/>
    <hyperlink ref="S2102" r:id="rId4039" xr:uid="{DA108AFA-2D82-46D2-85AF-14E2BD71ECC7}"/>
    <hyperlink ref="F2103" r:id="rId4040" xr:uid="{757C2132-285B-4AF5-BD96-05C72E08A499}"/>
    <hyperlink ref="F2104" r:id="rId4041" xr:uid="{3E428643-E226-4E40-A11A-165BDB510BE5}"/>
    <hyperlink ref="F2105" r:id="rId4042" xr:uid="{D2E31A2D-F6B7-4078-8A60-F6E7C7F873B2}"/>
    <hyperlink ref="S2105" r:id="rId4043" xr:uid="{09E36B93-F906-4BBD-BC4A-7F295CDA9C22}"/>
    <hyperlink ref="S2106" r:id="rId4044" xr:uid="{58539B93-1468-44AA-B40E-7837F29CBAB7}"/>
    <hyperlink ref="F2107" r:id="rId4045" xr:uid="{C40095BB-31E0-4E76-A0DA-FEA4AA9CB2FB}"/>
    <hyperlink ref="G2107" r:id="rId4046" xr:uid="{60C1A2CE-703E-4418-BCBA-48E1785D7782}"/>
    <hyperlink ref="S2107" r:id="rId4047" xr:uid="{948ED1B2-32E5-43F7-9827-AF65ABE57955}"/>
    <hyperlink ref="F2108" r:id="rId4048" xr:uid="{8A70A49B-8D55-44F8-A7DC-E53453D49AC4}"/>
    <hyperlink ref="G2108" r:id="rId4049" xr:uid="{4C735016-946A-491F-A8F1-32CA7861CBAE}"/>
    <hyperlink ref="S2108" r:id="rId4050" xr:uid="{DB1ED8C3-D936-4C46-A0AA-BD2B2F2699F5}"/>
    <hyperlink ref="S2109" r:id="rId4051" xr:uid="{54B274C2-6257-4ED5-ADCE-0BA8A180FFDA}"/>
    <hyperlink ref="G2111" r:id="rId4052" xr:uid="{5B23DC51-2DBE-4EDF-98EF-C90A2377EF0B}"/>
    <hyperlink ref="S2111" r:id="rId4053" xr:uid="{61A1E096-9297-4C68-B38B-61B13AF82888}"/>
    <hyperlink ref="F2112" r:id="rId4054" xr:uid="{157EC43C-2BFA-4554-9F3A-3584949B0BAE}"/>
    <hyperlink ref="F2114" r:id="rId4055" xr:uid="{979734B0-8846-4F41-970C-50CFB3E81CEF}"/>
    <hyperlink ref="G2114" r:id="rId4056" xr:uid="{75975D0C-BB87-4233-9470-CFC5100A199D}"/>
    <hyperlink ref="G2115" r:id="rId4057" xr:uid="{0A211C17-D459-40B5-B9A6-5043401D2EA2}"/>
    <hyperlink ref="S2115" r:id="rId4058" xr:uid="{A38B1AC2-10D2-4C87-BFF3-047EA9916425}"/>
    <hyperlink ref="F2116" r:id="rId4059" location="ftag=CAD590a51e" xr:uid="{DFDD3562-A68E-4D02-9280-0BF330B8E6AF}"/>
    <hyperlink ref="G2116" r:id="rId4060" xr:uid="{126C1361-2CFD-4294-BB94-DD55FB3D96E3}"/>
    <hyperlink ref="F2117" r:id="rId4061" xr:uid="{F4D2F925-DE25-4CD2-8D93-879D352DC381}"/>
    <hyperlink ref="G2117" r:id="rId4062" xr:uid="{135216BA-2A6A-4F33-8255-528325869FBE}"/>
    <hyperlink ref="S2117" r:id="rId4063" xr:uid="{B7DC26F8-9886-4470-A485-B841A857D3F8}"/>
    <hyperlink ref="G2118" r:id="rId4064" xr:uid="{3975DC3F-49C3-4172-A012-4E6FDB2C19F2}"/>
    <hyperlink ref="S2118" r:id="rId4065" xr:uid="{ECA0B545-E189-42A8-8D3B-4D7E6B1F843A}"/>
    <hyperlink ref="F2119" r:id="rId4066" xr:uid="{47F27AD5-B8C7-4D02-9243-48448281E11C}"/>
    <hyperlink ref="G2119" r:id="rId4067" xr:uid="{229699CF-9DCA-477A-BCD1-6D15BB12F4DE}"/>
    <hyperlink ref="S2119" r:id="rId4068" xr:uid="{2D60FD22-3BEE-4251-8D3E-FECB85B31AD2}"/>
    <hyperlink ref="F2120" r:id="rId4069" xr:uid="{A5DDB1DC-B713-449A-8C42-F0459EFB1C38}"/>
    <hyperlink ref="G2120" r:id="rId4070" xr:uid="{4FA2E996-B8E6-442F-9457-68A9CF801275}"/>
    <hyperlink ref="F2121" r:id="rId4071" xr:uid="{BA6BBDB0-3D20-443E-8F84-4D1D7C5AFDBE}"/>
    <hyperlink ref="G2121" r:id="rId4072" xr:uid="{2C32F101-3A8C-427D-B6B5-8AB240A5E9FB}"/>
    <hyperlink ref="S2121" r:id="rId4073" xr:uid="{729F1BB0-09A5-4E9E-BA27-1A8A95EB721C}"/>
    <hyperlink ref="F2122" r:id="rId4074" xr:uid="{86EA46F8-BB92-4F0C-A2FB-237104130787}"/>
    <hyperlink ref="S2122" r:id="rId4075" xr:uid="{6CE25F15-FA16-41C3-B078-5A7CDB426C9D}"/>
    <hyperlink ref="F2123" r:id="rId4076" xr:uid="{C9BBEA95-4F18-41F0-B102-9AAFB6CF401F}"/>
    <hyperlink ref="F2124" r:id="rId4077" xr:uid="{133175C7-F7DA-4D86-8A29-98408A359605}"/>
    <hyperlink ref="G2124" r:id="rId4078" xr:uid="{0EC625D4-07D9-4A86-B8B6-580E4FDF25B0}"/>
    <hyperlink ref="S2124" r:id="rId4079" xr:uid="{7DF24970-F6C5-4F3C-9B5F-232B8AD11E40}"/>
    <hyperlink ref="F2125" r:id="rId4080" xr:uid="{198A1B27-BD7C-464C-99B6-CB4DC6320E7E}"/>
    <hyperlink ref="G2125" r:id="rId4081" xr:uid="{D96299D3-7168-4F42-95C0-C36BE635277B}"/>
    <hyperlink ref="S2125" r:id="rId4082" xr:uid="{D9CF6C37-D00C-42FF-ACE5-7350BEDB0A2E}"/>
    <hyperlink ref="G2126" r:id="rId4083" xr:uid="{31334206-D3B9-438D-B85A-88FAD4E66BE6}"/>
    <hyperlink ref="G2127" r:id="rId4084" xr:uid="{9EEA09B7-D95F-45A8-9FA1-43478A74D046}"/>
    <hyperlink ref="S2127" r:id="rId4085" xr:uid="{AEAC68A6-BECF-45B4-B430-051D592077FB}"/>
    <hyperlink ref="F2128" r:id="rId4086" xr:uid="{3DD553EC-74C9-491F-82E3-D79C84BC197B}"/>
    <hyperlink ref="G2129" r:id="rId4087" xr:uid="{502A76C8-C445-444F-9C22-4995B3D52E7D}"/>
    <hyperlink ref="S2129" r:id="rId4088" xr:uid="{021EB6A9-3701-4DFE-8DB9-6E52B23F48B7}"/>
    <hyperlink ref="S2130" r:id="rId4089" xr:uid="{89C0636E-F5F9-4D62-A69A-5D26E61DB04F}"/>
    <hyperlink ref="F2131" r:id="rId4090" xr:uid="{4A1FCE0E-DE1D-412E-80CE-B416A4C08BA5}"/>
    <hyperlink ref="G2131" r:id="rId4091" xr:uid="{28A83B2C-7AAA-416D-9645-1DABB5AAFCAB}"/>
    <hyperlink ref="S2131" r:id="rId4092" xr:uid="{7CC3AB82-CB72-44B2-A0F4-5B4EF508517E}"/>
    <hyperlink ref="S2132" r:id="rId4093" xr:uid="{F2607E62-E590-4CE4-AEA6-F392FB065D97}"/>
    <hyperlink ref="G2133" r:id="rId4094" xr:uid="{0A0AC3AA-A764-484F-8C78-C51BF515F56E}"/>
    <hyperlink ref="S2133" r:id="rId4095" xr:uid="{717CC9F9-4951-49CE-97BF-9B8C68AFA265}"/>
    <hyperlink ref="F2134" r:id="rId4096" location=".YDRaBc2gQf8.twitter" xr:uid="{220F9842-3794-490D-83B7-EB9958FCB5BD}"/>
    <hyperlink ref="S2134" r:id="rId4097" xr:uid="{2585E649-BEC0-435C-BA13-9A3198F5CBDA}"/>
    <hyperlink ref="F2135" r:id="rId4098" xr:uid="{9A180799-B077-4EB3-BB44-99A14A4A29D1}"/>
    <hyperlink ref="S2135" r:id="rId4099" xr:uid="{B341B82C-D0A6-4E2A-BF56-C54E131191C9}"/>
    <hyperlink ref="F2136" r:id="rId4100" xr:uid="{AA1ADBE0-EE8B-40B1-8718-422B0FA2C3D8}"/>
    <hyperlink ref="G2136" r:id="rId4101" xr:uid="{2AE9C8BA-8FC9-407F-825B-2F3720B46426}"/>
    <hyperlink ref="S2136" r:id="rId4102" xr:uid="{D96E6054-6455-466A-A150-C8BEAD0D43F0}"/>
    <hyperlink ref="G2138" r:id="rId4103" xr:uid="{A44C2B78-217C-4095-8F10-362503AD0DD8}"/>
    <hyperlink ref="F2139" r:id="rId4104" xr:uid="{A0635C78-6A66-430B-8AAC-214C67BEF2F1}"/>
    <hyperlink ref="S2139" r:id="rId4105" xr:uid="{63C9856E-655F-480E-82EB-5D6B29948227}"/>
    <hyperlink ref="G2140" r:id="rId4106" xr:uid="{BA3F7790-5250-43B9-97CD-87910F972189}"/>
    <hyperlink ref="S2140" r:id="rId4107" xr:uid="{E1B0DA23-39C1-40AE-9CE4-637FA89AC4A2}"/>
    <hyperlink ref="F2141" r:id="rId4108" xr:uid="{4B4FF043-B8DC-4630-9856-7DE5D082AE52}"/>
    <hyperlink ref="S2141" r:id="rId4109" xr:uid="{204DB4E9-B340-4C98-A1F6-D6BC11B45D52}"/>
    <hyperlink ref="F2142" r:id="rId4110" xr:uid="{2438110C-CC46-445A-A579-EA48AF1A9184}"/>
    <hyperlink ref="S2142" r:id="rId4111" xr:uid="{982DB86B-38C7-4828-8D2F-3D4C96D0D4C1}"/>
    <hyperlink ref="F2143" r:id="rId4112" xr:uid="{97CC4403-3CF5-44F3-910C-DCF079088211}"/>
    <hyperlink ref="S2143" r:id="rId4113" xr:uid="{A3FF586D-E6AA-4587-B0EF-C09EE17A7EEB}"/>
    <hyperlink ref="F2144" r:id="rId4114" xr:uid="{0A5B8B02-D9BF-498E-A37F-7E15F721883E}"/>
    <hyperlink ref="G2144" r:id="rId4115" xr:uid="{36A5ACDF-0D62-4D96-B33B-0A132395F523}"/>
    <hyperlink ref="S2144" r:id="rId4116" xr:uid="{961BC03C-4618-47AB-91C8-FD58F048419C}"/>
    <hyperlink ref="G2145" r:id="rId4117" xr:uid="{B898AA06-DDE2-4929-8AAF-73B6283B364D}"/>
    <hyperlink ref="S2145" r:id="rId4118" xr:uid="{0FFA6EF1-FED6-4B3C-A796-A8EDF8BCAAE6}"/>
    <hyperlink ref="F2146" r:id="rId4119" xr:uid="{61400FF8-B3BF-49FB-A4C2-CBDEFC7494BD}"/>
    <hyperlink ref="S2146" r:id="rId4120" xr:uid="{815065CC-21A0-41EF-B0BC-C145ECAABDB7}"/>
    <hyperlink ref="S2147" r:id="rId4121" xr:uid="{BD5694EE-90E5-436F-922C-4A929863C6C7}"/>
    <hyperlink ref="F2148" r:id="rId4122" xr:uid="{AB9FCBE1-05E1-4460-B421-DA3993EAC2BC}"/>
    <hyperlink ref="S2148" r:id="rId4123" xr:uid="{96DBFFCC-2739-4CD5-A1F2-BEA3AE4809AA}"/>
    <hyperlink ref="F2149" r:id="rId4124" xr:uid="{CD6F480F-C3D9-4547-AC87-F0A5F31E5B70}"/>
    <hyperlink ref="G2149" r:id="rId4125" xr:uid="{44BCB0F6-5C44-4A27-97C6-301C181975D7}"/>
    <hyperlink ref="S2149" r:id="rId4126" xr:uid="{5E26BB4F-2A9B-4FD2-B171-538C376174ED}"/>
    <hyperlink ref="F2150" r:id="rId4127" xr:uid="{8B31C3F2-0565-406B-A1D7-D3797601B48F}"/>
    <hyperlink ref="S2150" r:id="rId4128" xr:uid="{3946FACA-5DFE-4278-9660-7908060BE038}"/>
    <hyperlink ref="F2152" r:id="rId4129" xr:uid="{51F22E0E-ED60-4920-8D6B-4EA5F30755F6}"/>
    <hyperlink ref="G2152" r:id="rId4130" xr:uid="{A1085E81-B624-4A71-B1D6-E067FB9CD4A6}"/>
    <hyperlink ref="S2152" r:id="rId4131" xr:uid="{75B41DEF-E9CE-4573-A8AD-013AFFCA7169}"/>
    <hyperlink ref="F2153" r:id="rId4132" xr:uid="{CC6B44C9-B11E-4E3F-8F97-79A7B09BF66E}"/>
    <hyperlink ref="F2154" r:id="rId4133" xr:uid="{34BBFBE8-B75F-40F4-B8B0-26BF5FA2D224}"/>
    <hyperlink ref="S2154" r:id="rId4134" xr:uid="{F3A1748F-0EB2-4777-814E-DA1DEC2D9C6E}"/>
    <hyperlink ref="F2155" r:id="rId4135" xr:uid="{70214611-0C49-410A-86DE-958B5AE88166}"/>
    <hyperlink ref="S2155" r:id="rId4136" xr:uid="{3C881777-16D5-4295-845B-D0B4BDAE71D5}"/>
    <hyperlink ref="F2156" r:id="rId4137" xr:uid="{4DF53F8E-21DC-46BD-99CE-918FE45F2045}"/>
    <hyperlink ref="G2156" r:id="rId4138" xr:uid="{67CB6615-EE31-46A4-9C80-F70F05D5019D}"/>
    <hyperlink ref="S2156" r:id="rId4139" xr:uid="{99FE7FC2-0D71-4857-A0C8-9474B708C084}"/>
    <hyperlink ref="F2157" r:id="rId4140" xr:uid="{C29F8758-9AA1-4583-8D8A-33D3E5A5D217}"/>
    <hyperlink ref="S2157" r:id="rId4141" xr:uid="{F53F6A14-78D2-4017-A139-D98A4123D80A}"/>
    <hyperlink ref="C2158" r:id="rId4142" xr:uid="{67B4295B-44A1-4EB4-94C3-5EB62891D103}"/>
    <hyperlink ref="F2158" r:id="rId4143" xr:uid="{A1509F2D-A571-4E59-BF61-1538C2B5A766}"/>
    <hyperlink ref="G2158" r:id="rId4144" xr:uid="{E75EC5B3-0B39-4159-A936-45F3746736F9}"/>
    <hyperlink ref="S2158" r:id="rId4145" xr:uid="{8A621C52-A659-40A2-B1F0-41C03A5619F5}"/>
    <hyperlink ref="F2159" r:id="rId4146" xr:uid="{30D4FD2F-E176-4BD6-9CE8-F59D8CD36704}"/>
    <hyperlink ref="F2160" r:id="rId4147" xr:uid="{24E6F5AA-9014-474C-8EE8-5E01018EADCA}"/>
    <hyperlink ref="G2160" r:id="rId4148" xr:uid="{13D254C1-1E45-4EA7-8F9E-1AB1BC5CE474}"/>
    <hyperlink ref="S2160" r:id="rId4149" xr:uid="{1950291C-1330-4B4F-9842-8A4A962268F0}"/>
    <hyperlink ref="G2161" r:id="rId4150" xr:uid="{AA1F0C0B-1FFE-4A09-9098-E9659DD272C3}"/>
    <hyperlink ref="S2161" r:id="rId4151" xr:uid="{673C767C-1B7B-4B1F-B58A-64B1CD727932}"/>
    <hyperlink ref="F2162" r:id="rId4152" xr:uid="{4F7DDF90-79D1-424E-A285-1498F3FC2F24}"/>
    <hyperlink ref="G2162" r:id="rId4153" xr:uid="{54983EE0-A109-4046-99E1-86B289610619}"/>
    <hyperlink ref="S2162" r:id="rId4154" xr:uid="{537DEBB2-4686-4EAD-800C-340AA23F8346}"/>
    <hyperlink ref="F2163" r:id="rId4155" xr:uid="{DBF8F2A3-DE20-4E29-9597-5D398E8598A7}"/>
    <hyperlink ref="S2163" r:id="rId4156" xr:uid="{65E42C5B-3874-4B7E-B0A9-AE767F1B4AE0}"/>
    <hyperlink ref="F2164" r:id="rId4157" xr:uid="{9ADE7B39-AEA5-4B8C-B812-811F4909688E}"/>
    <hyperlink ref="G2164" r:id="rId4158" xr:uid="{910FFA42-2EF3-4F50-8791-BBBC60021E4F}"/>
    <hyperlink ref="S2164" r:id="rId4159" xr:uid="{139681A7-8B66-42D2-B765-1017F6380765}"/>
    <hyperlink ref="F2165" r:id="rId4160" xr:uid="{CFECE28A-EABB-4AC5-9EB4-5EF0DA2E5F22}"/>
    <hyperlink ref="G2165" r:id="rId4161" xr:uid="{8A3B5661-2C9F-4CA5-BA0C-42B1EF7E6DF6}"/>
    <hyperlink ref="F2166" r:id="rId4162" xr:uid="{46F1EB01-1B17-4BA0-80D8-E4994F410FE1}"/>
    <hyperlink ref="F2167" r:id="rId4163" xr:uid="{008E5572-6C7E-4873-83F8-45780342C00F}"/>
    <hyperlink ref="G2167" r:id="rId4164" xr:uid="{1F1DAB2C-1DB9-4DD1-A885-34696C72B7C0}"/>
    <hyperlink ref="F2168" r:id="rId4165" xr:uid="{82CC14DA-3FD7-409E-B14D-B88D8132303C}"/>
    <hyperlink ref="G2168" r:id="rId4166" xr:uid="{8DB937B5-4B5E-4011-8FFD-DF62919E9772}"/>
    <hyperlink ref="S2168" r:id="rId4167" xr:uid="{C7627EAD-9349-4E97-BB3A-F65EC1BC0B4C}"/>
    <hyperlink ref="S2169" r:id="rId4168" xr:uid="{6C4BA251-7512-43FB-81E8-F42709882959}"/>
    <hyperlink ref="S2170" r:id="rId4169" xr:uid="{982F5679-A1D5-45F7-96AE-BF3CE7413CA6}"/>
    <hyperlink ref="F2171" r:id="rId4170" xr:uid="{10A18CD4-98FB-4849-9D4E-0727C8A23267}"/>
    <hyperlink ref="G2171" r:id="rId4171" xr:uid="{A393314D-DFDB-498A-BDBD-7210F7DBEBF3}"/>
    <hyperlink ref="S2171" r:id="rId4172" xr:uid="{2948FB73-BA9F-4224-9B3B-0E6361EBF644}"/>
    <hyperlink ref="F2172" r:id="rId4173" xr:uid="{5624193A-6785-4AB0-B92C-AC137FE47FA6}"/>
    <hyperlink ref="S2172" r:id="rId4174" xr:uid="{84F5CE94-B118-4160-86E2-C74B3EC698E5}"/>
    <hyperlink ref="F2173" r:id="rId4175" xr:uid="{CFDAEC2B-B2BD-44A4-86AB-B4EA16A6E88F}"/>
    <hyperlink ref="S2173" r:id="rId4176" xr:uid="{88C8FF9D-041C-46D5-BB05-9D0D9DCE194C}"/>
    <hyperlink ref="G2174" r:id="rId4177" xr:uid="{DB073B4A-DB20-4D5D-B308-E7062AEFF6E5}"/>
    <hyperlink ref="S2174" r:id="rId4178" xr:uid="{23FDFDA7-DA45-479C-AF05-125A9C0FEEE1}"/>
    <hyperlink ref="F2175" r:id="rId4179" xr:uid="{3864D87E-7D20-4E73-8EF8-8506A379EDD8}"/>
    <hyperlink ref="F2176" r:id="rId4180" xr:uid="{B91DCDAA-FEE5-4E32-A2B2-950BBCE51E47}"/>
    <hyperlink ref="G2176" r:id="rId4181" xr:uid="{AD3B8778-EF04-47F9-9373-DB7DFABF6352}"/>
    <hyperlink ref="S2176" r:id="rId4182" xr:uid="{F6796B48-7266-47D2-87C8-1BE221C90133}"/>
    <hyperlink ref="F2177" r:id="rId4183" xr:uid="{15CF2483-0C3E-4CE5-BBFB-06B9869A19EE}"/>
    <hyperlink ref="S2177" r:id="rId4184" xr:uid="{63F09A46-ED9A-4281-A672-3B3451627815}"/>
    <hyperlink ref="G2178" r:id="rId4185" xr:uid="{F7215791-2EE0-4DEB-86AF-8FE07953B8AF}"/>
    <hyperlink ref="F2179" r:id="rId4186" xr:uid="{D4287CF4-C97B-4FA1-887D-99B23A3C7417}"/>
    <hyperlink ref="G2179" r:id="rId4187" xr:uid="{058F2AB8-D626-4B01-9417-78303314EF20}"/>
    <hyperlink ref="F2180" r:id="rId4188" xr:uid="{52F69964-E19A-4CDA-B1F1-7F16BBDE4C52}"/>
    <hyperlink ref="S2180" r:id="rId4189" xr:uid="{93DDE2DC-51E6-41E8-9119-1BE8672A49FB}"/>
    <hyperlink ref="F2181" r:id="rId4190" xr:uid="{8859D389-2009-44AD-B506-E2608F45B582}"/>
    <hyperlink ref="G2181" r:id="rId4191" xr:uid="{EC1F4F90-7AF3-4A3E-B0CC-FD9CDBC254A9}"/>
    <hyperlink ref="F2182" r:id="rId4192" xr:uid="{854702E6-BFB5-4237-B176-E11E01AA6EE3}"/>
    <hyperlink ref="G2182" r:id="rId4193" xr:uid="{F7845888-BD2B-4D2C-9767-A39FE4039D2C}"/>
    <hyperlink ref="F2183" r:id="rId4194" xr:uid="{8A44A354-C618-4737-A487-B45773037374}"/>
    <hyperlink ref="S2183" r:id="rId4195" xr:uid="{8F08DE06-C16C-4FB7-A0F2-883B6F5352ED}"/>
    <hyperlink ref="F2184" r:id="rId4196" xr:uid="{BFBA675E-B1E2-473B-9007-589622A540C5}"/>
    <hyperlink ref="S2184" r:id="rId4197" xr:uid="{8F94B865-789E-462F-8781-845BE9A4BB0E}"/>
    <hyperlink ref="F2185" r:id="rId4198" xr:uid="{8D23B125-1A87-4388-8AB1-4C622E8E75F6}"/>
    <hyperlink ref="G2185" r:id="rId4199" xr:uid="{C76BCA11-70C9-4378-96CB-2EF1BFEDB6E0}"/>
    <hyperlink ref="S2185" r:id="rId4200" xr:uid="{61C4D26F-1FB4-4812-AE76-C32B4F0E7EA7}"/>
    <hyperlink ref="F2186" r:id="rId4201" xr:uid="{F459B777-71E4-4913-8129-DCA0B4D9F324}"/>
    <hyperlink ref="S2186" r:id="rId4202" xr:uid="{9202E370-CBA3-41B0-980D-D5DE34294F92}"/>
    <hyperlink ref="F2187" r:id="rId4203" xr:uid="{27547D1D-4903-4631-9499-8E63D84E766A}"/>
    <hyperlink ref="G2187" r:id="rId4204" xr:uid="{3539D1AF-BFAE-46F7-A34B-5D7965DBE67C}"/>
    <hyperlink ref="F2188" r:id="rId4205" xr:uid="{784063C6-4FCC-41FB-BD0F-03E0B26EF574}"/>
    <hyperlink ref="G2188" r:id="rId4206" xr:uid="{3E0F3DA9-5E27-42D6-A275-1C23CC50570F}"/>
    <hyperlink ref="S2188" r:id="rId4207" xr:uid="{C3237663-E47A-4480-945D-2EC58299AD2A}"/>
    <hyperlink ref="F2189" r:id="rId4208" xr:uid="{24D02242-6ACE-4B8B-BFDF-F6496312A45E}"/>
    <hyperlink ref="G2189" r:id="rId4209" xr:uid="{7A2C2C46-7C21-4F8B-B31B-179A130F8BBF}"/>
    <hyperlink ref="S2189" r:id="rId4210" xr:uid="{BD3580C1-23FC-44F6-85E8-4CA321506C49}"/>
    <hyperlink ref="F2190" r:id="rId4211" xr:uid="{2BF0F57B-8DEF-459F-9CC5-1EA452055E07}"/>
    <hyperlink ref="S2190" r:id="rId4212" xr:uid="{05CD41D9-4F2E-458D-9FB2-045AFAA30C79}"/>
    <hyperlink ref="F2191" r:id="rId4213" xr:uid="{F0B26EC5-1524-420C-A5A5-3B99EE24A965}"/>
    <hyperlink ref="G2191" r:id="rId4214" xr:uid="{D59988A3-A093-42F2-8766-5151840FEB38}"/>
    <hyperlink ref="S2191" r:id="rId4215" xr:uid="{D64ABDE0-C65B-4146-980E-95C621FFA832}"/>
    <hyperlink ref="G2192" r:id="rId4216" xr:uid="{BF06E19C-2DC7-4A15-B488-CFFFB235A77B}"/>
    <hyperlink ref="F2193" r:id="rId4217" xr:uid="{81F70591-8B92-4EFB-B6BB-1E9F579ED2AE}"/>
    <hyperlink ref="G2193" r:id="rId4218" xr:uid="{15C230B0-0EF0-45D3-BF30-10A0790F1962}"/>
    <hyperlink ref="S2193" r:id="rId4219" xr:uid="{F86F4D39-64FB-48E5-977C-7F06E4310BE1}"/>
    <hyperlink ref="C2194" r:id="rId4220" xr:uid="{0D098233-CAAE-4A26-B1F3-CB7D8F8CB485}"/>
    <hyperlink ref="F2194" r:id="rId4221" xr:uid="{D7A54BF4-DA3C-4E10-A605-DDD900BC2E2B}"/>
    <hyperlink ref="S2194" r:id="rId4222" xr:uid="{4174303E-D124-4D33-8CBE-7503F9DA6F53}"/>
    <hyperlink ref="F2195" r:id="rId4223" xr:uid="{FB1396BF-021F-47DA-BD0B-079DFBAAC524}"/>
    <hyperlink ref="G2195" r:id="rId4224" xr:uid="{90F6E465-5A6E-4A3A-80A6-91FDBE78A65A}"/>
    <hyperlink ref="S2195" r:id="rId4225" xr:uid="{0815018B-3F95-4EB6-BEA8-09CFE9DFD409}"/>
    <hyperlink ref="F2196" r:id="rId4226" xr:uid="{DCAA6506-09D3-45E3-A8F3-5623015BE53B}"/>
    <hyperlink ref="G2196" r:id="rId4227" xr:uid="{3250E1B9-57B6-4422-916E-CF2876AE32D3}"/>
    <hyperlink ref="S2196" r:id="rId4228" xr:uid="{CC38AEA7-54B9-4706-A153-FDDAF8C4A397}"/>
    <hyperlink ref="G2197" r:id="rId4229" xr:uid="{72F62F4B-5DCA-4593-B5BC-A4FFAD97FEE2}"/>
    <hyperlink ref="S2197" r:id="rId4230" xr:uid="{CF8C277B-D253-4C4F-A239-D04D4172767D}"/>
    <hyperlink ref="F2198" r:id="rId4231" xr:uid="{7EF17FCE-110E-4E78-AFD3-84B91F87F9F3}"/>
    <hyperlink ref="S2198" r:id="rId4232" xr:uid="{95107536-BCC9-49AB-A12B-1FA01282F7FC}"/>
    <hyperlink ref="F2199" r:id="rId4233" xr:uid="{48E67E70-D579-489B-AA6B-90B52EA9418D}"/>
    <hyperlink ref="S2199" r:id="rId4234" xr:uid="{298562B8-E9B8-45F3-B075-5B77BFFA205F}"/>
    <hyperlink ref="S2200" r:id="rId4235" xr:uid="{624B5416-64BD-4D73-B975-A19E7159B26B}"/>
    <hyperlink ref="F2201" r:id="rId4236" xr:uid="{BE994C19-E35D-4DC8-BB83-DF71204E5361}"/>
    <hyperlink ref="S2201" r:id="rId4237" xr:uid="{AF9C8C0C-9BDA-4D54-ADB1-737B094BF24B}"/>
    <hyperlink ref="F2202" r:id="rId4238" xr:uid="{79AED715-771A-42A3-B36A-AD2B373EF636}"/>
    <hyperlink ref="S2202" r:id="rId4239" xr:uid="{FEFF7565-9395-452D-B972-0F477E5FCC85}"/>
    <hyperlink ref="G2203" r:id="rId4240" xr:uid="{354B5AF2-B7B8-4E6B-A0DE-CCD1927DCF9E}"/>
    <hyperlink ref="S2203" r:id="rId4241" xr:uid="{6005CC2A-7ADB-4661-B81A-B4E32E986194}"/>
    <hyperlink ref="S2204" r:id="rId4242" xr:uid="{25530A10-9327-43D6-BDAB-732FA219D2D4}"/>
    <hyperlink ref="F2205" r:id="rId4243" xr:uid="{78C0EC7E-53BF-4E92-A982-30E67D256F1D}"/>
    <hyperlink ref="G2205" r:id="rId4244" xr:uid="{54A14029-2952-47FB-AB64-39E8E73AF8AE}"/>
    <hyperlink ref="F2206" r:id="rId4245" xr:uid="{D1274F7B-3B3E-4417-A447-48D4FBC9C8D2}"/>
    <hyperlink ref="G2206" r:id="rId4246" xr:uid="{8F79DAE7-380E-4265-9304-BBC9354230FE}"/>
    <hyperlink ref="F2207" r:id="rId4247" xr:uid="{7F892A61-B7B1-4BBF-AF39-4A0A3F8C285E}"/>
    <hyperlink ref="G2207" r:id="rId4248" xr:uid="{383BA80A-80C8-4AFC-80A2-3838289406B3}"/>
    <hyperlink ref="F2208" r:id="rId4249" xr:uid="{47032006-C957-4438-9B11-D29B7B15ACF4}"/>
    <hyperlink ref="G2208" r:id="rId4250" xr:uid="{C0AB9AD8-3A51-4D6E-A305-EABB45D95A1D}"/>
    <hyperlink ref="F2209" r:id="rId4251" xr:uid="{AFECE78B-117E-4451-BDB5-C2555B99441A}"/>
    <hyperlink ref="G2209" r:id="rId4252" xr:uid="{857E70F5-5A60-4A7C-BD80-D4011AD3DA51}"/>
    <hyperlink ref="F2210" r:id="rId4253" xr:uid="{BE4C1834-B3E5-4524-BA83-CC6518E1497D}"/>
    <hyperlink ref="G2210" r:id="rId4254" xr:uid="{D260D262-F805-4FC6-9755-65746AE3B21D}"/>
    <hyperlink ref="S2210" r:id="rId4255" xr:uid="{2CE28B17-A82D-45DF-91AB-880290F338F2}"/>
    <hyperlink ref="F2211" r:id="rId4256" xr:uid="{F6C46A35-27DE-4DB9-A2C9-466B415D498F}"/>
    <hyperlink ref="G2211" r:id="rId4257" xr:uid="{73DF519F-D8CD-4527-BABA-91223071870A}"/>
    <hyperlink ref="G2212" r:id="rId4258" xr:uid="{502D88F1-B4A7-4726-91C9-D27A0FF7BB24}"/>
    <hyperlink ref="S2212" r:id="rId4259" xr:uid="{EA6EEBE9-657C-42B5-9643-BE369F98E50A}"/>
    <hyperlink ref="F2213" r:id="rId4260" xr:uid="{88E06816-BDF8-4485-B872-FA1B5076A837}"/>
    <hyperlink ref="G2213" r:id="rId4261" xr:uid="{A2999AB6-357B-4693-B7FA-70BEE22D6A18}"/>
    <hyperlink ref="F2214" r:id="rId4262" xr:uid="{32F2C1B7-A93E-4044-9B41-00FF8C60F35E}"/>
    <hyperlink ref="G2214" r:id="rId4263" xr:uid="{D6F9056F-AC3F-417D-A159-DA93310F55B1}"/>
    <hyperlink ref="S2214" r:id="rId4264" xr:uid="{3E197A81-ACE1-4351-A22B-76B34395815A}"/>
    <hyperlink ref="F2215" r:id="rId4265" xr:uid="{3329F3B8-C599-49FC-B3B9-37B3A8B61EEF}"/>
    <hyperlink ref="S2215" r:id="rId4266" xr:uid="{D25BCD6C-C71A-4FC1-B204-DBE9646F3BA8}"/>
    <hyperlink ref="F2216" r:id="rId4267" xr:uid="{758EC694-2DCA-4824-97D9-A306705BEBD5}"/>
    <hyperlink ref="F2217" r:id="rId4268" xr:uid="{6F639622-1124-4E8C-81D4-8CF06C5DC158}"/>
    <hyperlink ref="G2217" r:id="rId4269" xr:uid="{B1DA5511-CA8E-4A0B-A7BB-09E32E4A317F}"/>
    <hyperlink ref="F2218" r:id="rId4270" xr:uid="{04D01984-8994-4227-835F-67B41EE37D6B}"/>
    <hyperlink ref="S2218" r:id="rId4271" xr:uid="{0451CD92-9FD6-45DA-B8A2-7815E5E9D1C1}"/>
    <hyperlink ref="F2219" r:id="rId4272" xr:uid="{81372270-02DA-4094-B7AC-2C9CE2FC7873}"/>
    <hyperlink ref="G2219" r:id="rId4273" xr:uid="{88D5DA4C-B7C0-47DD-9B21-0EA04624F730}"/>
    <hyperlink ref="F2220" r:id="rId4274" xr:uid="{0DBF971B-A699-45CE-BE05-662B3EC7A6CC}"/>
    <hyperlink ref="G2220" r:id="rId4275" xr:uid="{9784AFFF-F9A3-45A8-88A5-46F3D1ED3E93}"/>
    <hyperlink ref="S2220" r:id="rId4276" xr:uid="{A5F4E1DB-FA0E-43BB-BD0A-32221E6DC102}"/>
  </hyperlinks>
  <pageMargins left="0.7" right="0.7" top="0.75" bottom="0.75" header="0.3" footer="0.3"/>
  <tableParts count="1">
    <tablePart r:id="rId427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6341A-5AB6-4883-BCAA-F49BBC0071B1}">
  <sheetPr codeName="Hoja4">
    <outlinePr summaryBelow="0" summaryRight="0"/>
  </sheetPr>
  <dimension ref="A1:Z3215"/>
  <sheetViews>
    <sheetView workbookViewId="0">
      <pane ySplit="1" topLeftCell="A3064" activePane="bottomLeft" state="frozen"/>
      <selection pane="bottomLeft" activeCell="D3182" sqref="D3182"/>
    </sheetView>
  </sheetViews>
  <sheetFormatPr baseColWidth="10" defaultColWidth="14.44140625" defaultRowHeight="15.75" customHeight="1"/>
  <cols>
    <col min="1" max="2" width="15.88671875" customWidth="1"/>
    <col min="3" max="3" width="21.5546875" customWidth="1"/>
    <col min="4" max="4" width="43" customWidth="1"/>
    <col min="5" max="5" width="18.6640625" customWidth="1"/>
    <col min="6" max="6" width="21.5546875" customWidth="1"/>
  </cols>
  <sheetData>
    <row r="1" spans="1:26" ht="24" customHeight="1">
      <c r="A1" s="4" t="s">
        <v>1</v>
      </c>
      <c r="B1" s="5" t="s">
        <v>2</v>
      </c>
      <c r="C1" s="5" t="s">
        <v>3</v>
      </c>
      <c r="D1" s="5" t="s">
        <v>4</v>
      </c>
      <c r="E1" s="5" t="s">
        <v>5</v>
      </c>
      <c r="F1" s="5" t="s">
        <v>6</v>
      </c>
      <c r="G1" s="5" t="s">
        <v>7</v>
      </c>
      <c r="H1" s="5" t="s">
        <v>8</v>
      </c>
      <c r="I1" s="5" t="s">
        <v>9</v>
      </c>
      <c r="J1" s="5" t="s">
        <v>10</v>
      </c>
      <c r="K1" s="5" t="s">
        <v>11</v>
      </c>
      <c r="L1" s="4" t="s">
        <v>12</v>
      </c>
      <c r="M1" s="4" t="s">
        <v>13</v>
      </c>
      <c r="N1" s="4" t="s">
        <v>14</v>
      </c>
      <c r="O1" s="4" t="s">
        <v>15</v>
      </c>
      <c r="P1" s="4" t="s">
        <v>16</v>
      </c>
      <c r="Q1" s="5" t="s">
        <v>8</v>
      </c>
      <c r="R1" s="5" t="s">
        <v>17</v>
      </c>
      <c r="S1" s="5" t="s">
        <v>18</v>
      </c>
      <c r="T1" s="5" t="s">
        <v>19</v>
      </c>
      <c r="U1" s="4" t="s">
        <v>20</v>
      </c>
      <c r="V1" s="5"/>
      <c r="W1" s="5"/>
      <c r="X1" s="5"/>
      <c r="Y1" s="5"/>
      <c r="Z1" s="5"/>
    </row>
    <row r="2" spans="1:26" ht="13.2">
      <c r="A2" s="13">
        <v>44250.804409722223</v>
      </c>
      <c r="B2" s="6" t="str">
        <f>HYPERLINK("https://twitter.com/serengil","@serengil")</f>
        <v>@serengil</v>
      </c>
      <c r="C2" s="14" t="s">
        <v>21</v>
      </c>
      <c r="D2" s="14" t="s">
        <v>22</v>
      </c>
      <c r="E2" s="6" t="str">
        <f>HYPERLINK("https://twitter.com/serengil/status/1364278439847591946","1364278439847591946")</f>
        <v>1364278439847591946</v>
      </c>
      <c r="F2" s="7" t="s">
        <v>23</v>
      </c>
      <c r="G2" s="8"/>
      <c r="H2" s="8"/>
      <c r="I2" s="14">
        <v>0</v>
      </c>
      <c r="J2" s="14">
        <v>0</v>
      </c>
      <c r="K2" s="6" t="str">
        <f t="shared" ref="K2:K3" si="0">HYPERLINK("https://mobile.twitter.com","Twitter Web App")</f>
        <v>Twitter Web App</v>
      </c>
      <c r="L2" s="15">
        <v>807</v>
      </c>
      <c r="M2" s="15">
        <v>664</v>
      </c>
      <c r="N2" s="15">
        <v>20</v>
      </c>
      <c r="O2" s="9"/>
      <c r="P2" s="10">
        <v>40028.975081018521</v>
      </c>
      <c r="Q2" s="14" t="s">
        <v>24</v>
      </c>
      <c r="R2" s="14" t="s">
        <v>25</v>
      </c>
      <c r="S2" s="7" t="s">
        <v>26</v>
      </c>
      <c r="T2" s="8"/>
      <c r="U2" s="11" t="str">
        <f>HYPERLINK("https://pbs.twimg.com/profile_images/1325435670794530816/6Agr7yzN.jpg","View")</f>
        <v>View</v>
      </c>
      <c r="V2" s="8"/>
      <c r="W2" s="8"/>
      <c r="X2" s="8"/>
      <c r="Y2" s="8"/>
      <c r="Z2" s="8"/>
    </row>
    <row r="3" spans="1:26" ht="13.2">
      <c r="A3" s="13">
        <v>44250.804166666669</v>
      </c>
      <c r="B3" s="6" t="str">
        <f>HYPERLINK("https://twitter.com/BotPoetsSociety","@BotPoetsSociety")</f>
        <v>@BotPoetsSociety</v>
      </c>
      <c r="C3" s="14" t="s">
        <v>27</v>
      </c>
      <c r="D3" s="14" t="s">
        <v>28</v>
      </c>
      <c r="E3" s="6" t="str">
        <f>HYPERLINK("https://twitter.com/BotPoetsSociety/status/1364278349451776006","1364278349451776006")</f>
        <v>1364278349451776006</v>
      </c>
      <c r="F3" s="8"/>
      <c r="G3" s="7" t="s">
        <v>29</v>
      </c>
      <c r="H3" s="8"/>
      <c r="I3" s="14">
        <v>2</v>
      </c>
      <c r="J3" s="14">
        <v>0</v>
      </c>
      <c r="K3" s="6" t="str">
        <f t="shared" si="0"/>
        <v>Twitter Web App</v>
      </c>
      <c r="L3" s="15">
        <v>28</v>
      </c>
      <c r="M3" s="15">
        <v>49</v>
      </c>
      <c r="N3" s="15">
        <v>1</v>
      </c>
      <c r="O3" s="9"/>
      <c r="P3" s="10">
        <v>44130.486342592594</v>
      </c>
      <c r="Q3" s="8"/>
      <c r="R3" s="14" t="s">
        <v>30</v>
      </c>
      <c r="S3" s="7" t="s">
        <v>31</v>
      </c>
      <c r="T3" s="8"/>
      <c r="U3" s="11" t="str">
        <f>HYPERLINK("https://pbs.twimg.com/profile_images/1320676707683258368/Ne9-DmuD.jpg","View")</f>
        <v>View</v>
      </c>
      <c r="V3" s="8"/>
      <c r="W3" s="8"/>
      <c r="X3" s="8"/>
      <c r="Y3" s="8"/>
      <c r="Z3" s="8"/>
    </row>
    <row r="4" spans="1:26" ht="13.2">
      <c r="A4" s="13">
        <v>44250.80369212963</v>
      </c>
      <c r="B4" s="6" t="str">
        <f>HYPERLINK("https://twitter.com/Analytics_699","@Analytics_699")</f>
        <v>@Analytics_699</v>
      </c>
      <c r="C4" s="14" t="s">
        <v>32</v>
      </c>
      <c r="D4" s="14" t="s">
        <v>33</v>
      </c>
      <c r="E4" s="6" t="str">
        <f>HYPERLINK("https://twitter.com/Analytics_699/status/1364278177271410688","1364278177271410688")</f>
        <v>1364278177271410688</v>
      </c>
      <c r="F4" s="7" t="s">
        <v>34</v>
      </c>
      <c r="G4" s="7" t="s">
        <v>35</v>
      </c>
      <c r="H4" s="8"/>
      <c r="I4" s="14">
        <v>2</v>
      </c>
      <c r="J4" s="14">
        <v>1</v>
      </c>
      <c r="K4" s="6" t="str">
        <f>HYPERLINK("http://twitter.com/download/android","Twitter for Android")</f>
        <v>Twitter for Android</v>
      </c>
      <c r="L4" s="15">
        <v>6859</v>
      </c>
      <c r="M4" s="15">
        <v>5645</v>
      </c>
      <c r="N4" s="15">
        <v>48</v>
      </c>
      <c r="O4" s="9"/>
      <c r="P4" s="10">
        <v>43674.644641203704</v>
      </c>
      <c r="Q4" s="8"/>
      <c r="R4" s="14" t="s">
        <v>36</v>
      </c>
      <c r="S4" s="7" t="s">
        <v>37</v>
      </c>
      <c r="T4" s="8"/>
      <c r="U4" s="11" t="str">
        <f>HYPERLINK("https://pbs.twimg.com/profile_images/1270928144229437440/Ie08vEBd.jpg","View")</f>
        <v>View</v>
      </c>
      <c r="V4" s="8"/>
      <c r="W4" s="8"/>
      <c r="X4" s="8"/>
      <c r="Y4" s="8"/>
      <c r="Z4" s="8"/>
    </row>
    <row r="5" spans="1:26" ht="13.2">
      <c r="A5" s="13">
        <v>44250.80368055556</v>
      </c>
      <c r="B5" s="6" t="str">
        <f>HYPERLINK("https://twitter.com/hempel_joel","@hempel_joel")</f>
        <v>@hempel_joel</v>
      </c>
      <c r="C5" s="14" t="s">
        <v>38</v>
      </c>
      <c r="D5" s="14" t="s">
        <v>39</v>
      </c>
      <c r="E5" s="6" t="str">
        <f>HYPERLINK("https://twitter.com/hempel_joel/status/1364278173060464642","1364278173060464642")</f>
        <v>1364278173060464642</v>
      </c>
      <c r="F5" s="14" t="s">
        <v>40</v>
      </c>
      <c r="G5" s="8"/>
      <c r="H5" s="8"/>
      <c r="I5" s="14">
        <v>1</v>
      </c>
      <c r="J5" s="14">
        <v>0</v>
      </c>
      <c r="K5" s="6" t="str">
        <f>HYPERLINK("http://twinybots.com","TwinyBots")</f>
        <v>TwinyBots</v>
      </c>
      <c r="L5" s="15">
        <v>243</v>
      </c>
      <c r="M5" s="15">
        <v>1102</v>
      </c>
      <c r="N5" s="15">
        <v>7</v>
      </c>
      <c r="O5" s="9"/>
      <c r="P5" s="10">
        <v>43608.726215277777</v>
      </c>
      <c r="Q5" s="14" t="s">
        <v>41</v>
      </c>
      <c r="R5" s="14" t="s">
        <v>42</v>
      </c>
      <c r="S5" s="7" t="s">
        <v>43</v>
      </c>
      <c r="T5" s="8"/>
      <c r="U5" s="11" t="str">
        <f>HYPERLINK("https://pbs.twimg.com/profile_images/1266921234455027713/UHe-aVhX.jpg","View")</f>
        <v>View</v>
      </c>
      <c r="V5" s="8"/>
      <c r="W5" s="8"/>
      <c r="X5" s="8"/>
      <c r="Y5" s="8"/>
      <c r="Z5" s="8"/>
    </row>
    <row r="6" spans="1:26" ht="13.2">
      <c r="A6" s="13">
        <v>44250.803368055553</v>
      </c>
      <c r="B6" s="6" t="str">
        <f>HYPERLINK("https://twitter.com/sakai_makoto","@sakai_makoto")</f>
        <v>@sakai_makoto</v>
      </c>
      <c r="C6" s="14" t="s">
        <v>44</v>
      </c>
      <c r="D6" s="14" t="s">
        <v>45</v>
      </c>
      <c r="E6" s="6" t="str">
        <f>HYPERLINK("https://twitter.com/sakai_makoto/status/1364278059763965952","1364278059763965952")</f>
        <v>1364278059763965952</v>
      </c>
      <c r="F6" s="7" t="s">
        <v>46</v>
      </c>
      <c r="G6" s="8"/>
      <c r="H6" s="8"/>
      <c r="I6" s="14">
        <v>1</v>
      </c>
      <c r="J6" s="14">
        <v>0</v>
      </c>
      <c r="K6" s="6" t="str">
        <f t="shared" ref="K6:K7" si="1">HYPERLINK("https://mobile.twitter.com","Twitter Web App")</f>
        <v>Twitter Web App</v>
      </c>
      <c r="L6" s="15">
        <v>269</v>
      </c>
      <c r="M6" s="15">
        <v>278</v>
      </c>
      <c r="N6" s="15">
        <v>12</v>
      </c>
      <c r="O6" s="9"/>
      <c r="P6" s="10">
        <v>43186.702164351853</v>
      </c>
      <c r="Q6" s="14" t="s">
        <v>47</v>
      </c>
      <c r="R6" s="14" t="s">
        <v>48</v>
      </c>
      <c r="S6" s="8"/>
      <c r="T6" s="8"/>
      <c r="U6" s="11" t="str">
        <f>HYPERLINK("https://pbs.twimg.com/profile_images/1353048877113421825/aq2em4Q7.jpg","View")</f>
        <v>View</v>
      </c>
      <c r="V6" s="8"/>
      <c r="W6" s="8"/>
      <c r="X6" s="8"/>
      <c r="Y6" s="8"/>
      <c r="Z6" s="8"/>
    </row>
    <row r="7" spans="1:26" ht="13.2">
      <c r="A7" s="13">
        <v>44250.80268518519</v>
      </c>
      <c r="B7" s="6" t="str">
        <f>HYPERLINK("https://twitter.com/re_mahmoudi","@re_mahmoudi")</f>
        <v>@re_mahmoudi</v>
      </c>
      <c r="C7" s="14" t="s">
        <v>49</v>
      </c>
      <c r="D7" s="14" t="s">
        <v>50</v>
      </c>
      <c r="E7" s="6" t="str">
        <f>HYPERLINK("https://twitter.com/re_mahmoudi/status/1364277815634501638","1364277815634501638")</f>
        <v>1364277815634501638</v>
      </c>
      <c r="F7" s="7" t="s">
        <v>51</v>
      </c>
      <c r="G7" s="8"/>
      <c r="H7" s="8"/>
      <c r="I7" s="14">
        <v>1</v>
      </c>
      <c r="J7" s="14">
        <v>0</v>
      </c>
      <c r="K7" s="6" t="str">
        <f t="shared" si="1"/>
        <v>Twitter Web App</v>
      </c>
      <c r="L7" s="15">
        <v>228</v>
      </c>
      <c r="M7" s="15">
        <v>1176</v>
      </c>
      <c r="N7" s="15">
        <v>7</v>
      </c>
      <c r="O7" s="9"/>
      <c r="P7" s="10">
        <v>43243.971828703703</v>
      </c>
      <c r="Q7" s="8"/>
      <c r="R7" s="14" t="s">
        <v>52</v>
      </c>
      <c r="S7" s="8"/>
      <c r="T7" s="8"/>
      <c r="U7" s="11" t="str">
        <f>HYPERLINK("https://pbs.twimg.com/profile_images/1004433019707379712/U3dGDlAD.jpg","View")</f>
        <v>View</v>
      </c>
      <c r="V7" s="8"/>
      <c r="W7" s="8"/>
      <c r="X7" s="8"/>
      <c r="Y7" s="8"/>
      <c r="Z7" s="8"/>
    </row>
    <row r="8" spans="1:26" ht="13.2">
      <c r="A8" s="13">
        <v>44250.802453703705</v>
      </c>
      <c r="B8" s="6" t="str">
        <f>HYPERLINK("https://twitter.com/asifrazzaq1988","@asifrazzaq1988")</f>
        <v>@asifrazzaq1988</v>
      </c>
      <c r="C8" s="14" t="s">
        <v>53</v>
      </c>
      <c r="D8" s="14" t="s">
        <v>54</v>
      </c>
      <c r="E8" s="6" t="str">
        <f>HYPERLINK("https://twitter.com/asifrazzaq1988/status/1364277729831514113","1364277729831514113")</f>
        <v>1364277729831514113</v>
      </c>
      <c r="F8" s="7" t="s">
        <v>55</v>
      </c>
      <c r="G8" s="8"/>
      <c r="H8" s="8"/>
      <c r="I8" s="14">
        <v>1</v>
      </c>
      <c r="J8" s="14">
        <v>0</v>
      </c>
      <c r="K8" s="6" t="str">
        <f>HYPERLINK("https://dlvrit.com/","dlvr.it")</f>
        <v>dlvr.it</v>
      </c>
      <c r="L8" s="15">
        <v>5022</v>
      </c>
      <c r="M8" s="15">
        <v>3191</v>
      </c>
      <c r="N8" s="15">
        <v>77</v>
      </c>
      <c r="O8" s="9"/>
      <c r="P8" s="10">
        <v>42237.408136574071</v>
      </c>
      <c r="Q8" s="14" t="s">
        <v>56</v>
      </c>
      <c r="R8" s="14" t="s">
        <v>57</v>
      </c>
      <c r="S8" s="7" t="s">
        <v>58</v>
      </c>
      <c r="T8" s="8"/>
      <c r="U8" s="11" t="str">
        <f>HYPERLINK("https://pbs.twimg.com/profile_images/1329326638589382657/lE7wr_tF.jpg","View")</f>
        <v>View</v>
      </c>
      <c r="V8" s="8"/>
      <c r="W8" s="8"/>
      <c r="X8" s="8"/>
      <c r="Y8" s="8"/>
      <c r="Z8" s="8"/>
    </row>
    <row r="9" spans="1:26" ht="13.2">
      <c r="A9" s="13">
        <v>44250.802337962959</v>
      </c>
      <c r="B9" s="6" t="str">
        <f>HYPERLINK("https://twitter.com/MicroFocusCP","@MicroFocusCP")</f>
        <v>@MicroFocusCP</v>
      </c>
      <c r="C9" s="14" t="s">
        <v>59</v>
      </c>
      <c r="D9" s="14" t="s">
        <v>60</v>
      </c>
      <c r="E9" s="6" t="str">
        <f>HYPERLINK("https://twitter.com/MicroFocusCP/status/1364277688857419778","1364277688857419778")</f>
        <v>1364277688857419778</v>
      </c>
      <c r="F9" s="7" t="s">
        <v>61</v>
      </c>
      <c r="G9" s="7" t="s">
        <v>62</v>
      </c>
      <c r="H9" s="8"/>
      <c r="I9" s="14">
        <v>1</v>
      </c>
      <c r="J9" s="14">
        <v>0</v>
      </c>
      <c r="K9" s="6" t="str">
        <f>HYPERLINK("http://www.everyonesocial.com","EveryoneSocial")</f>
        <v>EveryoneSocial</v>
      </c>
      <c r="L9" s="15">
        <v>108</v>
      </c>
      <c r="M9" s="15">
        <v>200</v>
      </c>
      <c r="N9" s="15">
        <v>3</v>
      </c>
      <c r="O9" s="9"/>
      <c r="P9" s="10">
        <v>43985.633252314816</v>
      </c>
      <c r="Q9" s="8"/>
      <c r="R9" s="14" t="s">
        <v>63</v>
      </c>
      <c r="S9" s="7" t="s">
        <v>64</v>
      </c>
      <c r="T9" s="8"/>
      <c r="U9" s="11" t="str">
        <f>HYPERLINK("https://pbs.twimg.com/profile_images/1270413016429989888/FlfFPk7P.jpg","View")</f>
        <v>View</v>
      </c>
      <c r="V9" s="8"/>
      <c r="W9" s="8"/>
      <c r="X9" s="8"/>
      <c r="Y9" s="8"/>
      <c r="Z9" s="8"/>
    </row>
    <row r="10" spans="1:26" ht="13.2">
      <c r="A10" s="13">
        <v>44250.802280092597</v>
      </c>
      <c r="B10" s="6" t="str">
        <f>HYPERLINK("https://twitter.com/ipfconline1","@ipfconline1")</f>
        <v>@ipfconline1</v>
      </c>
      <c r="C10" s="14" t="s">
        <v>65</v>
      </c>
      <c r="D10" s="14" t="s">
        <v>66</v>
      </c>
      <c r="E10" s="6" t="str">
        <f>HYPERLINK("https://twitter.com/ipfconline1/status/1364277666019434497","1364277666019434497")</f>
        <v>1364277666019434497</v>
      </c>
      <c r="F10" s="7" t="s">
        <v>67</v>
      </c>
      <c r="G10" s="7" t="s">
        <v>68</v>
      </c>
      <c r="H10" s="8"/>
      <c r="I10" s="14">
        <v>2</v>
      </c>
      <c r="J10" s="14">
        <v>1</v>
      </c>
      <c r="K10" s="6" t="str">
        <f>HYPERLINK("https://twittimer.com","Twittimer")</f>
        <v>Twittimer</v>
      </c>
      <c r="L10" s="15">
        <v>112675</v>
      </c>
      <c r="M10" s="15">
        <v>107162</v>
      </c>
      <c r="N10" s="15">
        <v>7806</v>
      </c>
      <c r="O10" s="9"/>
      <c r="P10" s="10">
        <v>42433.031967592593</v>
      </c>
      <c r="Q10" s="14" t="s">
        <v>69</v>
      </c>
      <c r="R10" s="14" t="s">
        <v>70</v>
      </c>
      <c r="S10" s="7" t="s">
        <v>71</v>
      </c>
      <c r="T10" s="8"/>
      <c r="U10" s="11" t="str">
        <f>HYPERLINK("https://pbs.twimg.com/profile_images/729065804004769793/St2_Pum9.jpg","View")</f>
        <v>View</v>
      </c>
      <c r="V10" s="8"/>
      <c r="W10" s="8"/>
      <c r="X10" s="8"/>
      <c r="Y10" s="8"/>
      <c r="Z10" s="8"/>
    </row>
    <row r="11" spans="1:26" ht="13.2">
      <c r="A11" s="13">
        <v>44250.802222222221</v>
      </c>
      <c r="B11" s="6" t="str">
        <f>HYPERLINK("https://twitter.com/andresvilarino","@andresvilarino")</f>
        <v>@andresvilarino</v>
      </c>
      <c r="C11" s="14" t="s">
        <v>72</v>
      </c>
      <c r="D11" s="14" t="s">
        <v>73</v>
      </c>
      <c r="E11" s="6" t="str">
        <f>HYPERLINK("https://twitter.com/andresvilarino/status/1364277647858143233","1364277647858143233")</f>
        <v>1364277647858143233</v>
      </c>
      <c r="F11" s="7" t="s">
        <v>74</v>
      </c>
      <c r="G11" s="8"/>
      <c r="H11" s="8"/>
      <c r="I11" s="14">
        <v>1</v>
      </c>
      <c r="J11" s="14">
        <v>0</v>
      </c>
      <c r="K11" s="6" t="str">
        <f>HYPERLINK("https://www.hootsuite.com","Hootsuite Inc.")</f>
        <v>Hootsuite Inc.</v>
      </c>
      <c r="L11" s="15">
        <v>5136</v>
      </c>
      <c r="M11" s="15">
        <v>5043</v>
      </c>
      <c r="N11" s="15">
        <v>79</v>
      </c>
      <c r="O11" s="9"/>
      <c r="P11" s="10">
        <v>40346.43136574074</v>
      </c>
      <c r="Q11" s="14" t="s">
        <v>75</v>
      </c>
      <c r="R11" s="14" t="s">
        <v>76</v>
      </c>
      <c r="S11" s="7" t="s">
        <v>77</v>
      </c>
      <c r="T11" s="8"/>
      <c r="U11" s="11" t="str">
        <f>HYPERLINK("https://pbs.twimg.com/profile_images/1015329397929177088/9OR3sIzf.jpg","View")</f>
        <v>View</v>
      </c>
      <c r="V11" s="8"/>
      <c r="W11" s="8"/>
      <c r="X11" s="8"/>
      <c r="Y11" s="8"/>
      <c r="Z11" s="8"/>
    </row>
    <row r="12" spans="1:26" ht="13.2">
      <c r="A12" s="13">
        <v>44250.802199074074</v>
      </c>
      <c r="B12" s="6" t="str">
        <f>HYPERLINK("https://twitter.com/bigdataconf","@bigdataconf")</f>
        <v>@bigdataconf</v>
      </c>
      <c r="C12" s="14" t="s">
        <v>78</v>
      </c>
      <c r="D12" s="14" t="s">
        <v>79</v>
      </c>
      <c r="E12" s="6" t="str">
        <f>HYPERLINK("https://twitter.com/bigdataconf/status/1364277636361560066","1364277636361560066")</f>
        <v>1364277636361560066</v>
      </c>
      <c r="F12" s="7" t="s">
        <v>80</v>
      </c>
      <c r="G12" s="8"/>
      <c r="H12" s="8"/>
      <c r="I12" s="14">
        <v>4</v>
      </c>
      <c r="J12" s="14">
        <v>0</v>
      </c>
      <c r="K12" s="6" t="str">
        <f>HYPERLINK("https://buffer.com","Buffer")</f>
        <v>Buffer</v>
      </c>
      <c r="L12" s="15">
        <v>6752</v>
      </c>
      <c r="M12" s="15">
        <v>4333</v>
      </c>
      <c r="N12" s="15">
        <v>1236</v>
      </c>
      <c r="O12" s="9"/>
      <c r="P12" s="10">
        <v>41238.332962962959</v>
      </c>
      <c r="Q12" s="14" t="s">
        <v>81</v>
      </c>
      <c r="R12" s="14" t="s">
        <v>82</v>
      </c>
      <c r="S12" s="7" t="s">
        <v>83</v>
      </c>
      <c r="T12" s="8"/>
      <c r="U12" s="11" t="str">
        <f>HYPERLINK("https://pbs.twimg.com/profile_images/1347252050757709824/mnYHBPAA.jpg","View")</f>
        <v>View</v>
      </c>
      <c r="V12" s="8"/>
      <c r="W12" s="8"/>
      <c r="X12" s="8"/>
      <c r="Y12" s="8"/>
      <c r="Z12" s="8"/>
    </row>
    <row r="13" spans="1:26" ht="13.2">
      <c r="A13" s="13">
        <v>44250.802187499998</v>
      </c>
      <c r="B13" s="6" t="str">
        <f>HYPERLINK("https://twitter.com/AsgardData","@AsgardData")</f>
        <v>@AsgardData</v>
      </c>
      <c r="C13" s="14" t="s">
        <v>84</v>
      </c>
      <c r="D13" s="14" t="s">
        <v>85</v>
      </c>
      <c r="E13" s="6" t="str">
        <f>HYPERLINK("https://twitter.com/AsgardData/status/1364277631328407553","1364277631328407553")</f>
        <v>1364277631328407553</v>
      </c>
      <c r="F13" s="7" t="s">
        <v>86</v>
      </c>
      <c r="G13" s="7" t="s">
        <v>87</v>
      </c>
      <c r="H13" s="8"/>
      <c r="I13" s="14">
        <v>2</v>
      </c>
      <c r="J13" s="14">
        <v>0</v>
      </c>
      <c r="K13" s="6" t="str">
        <f>HYPERLINK("https://www.hootsuite.com","Hootsuite Inc.")</f>
        <v>Hootsuite Inc.</v>
      </c>
      <c r="L13" s="15">
        <v>737</v>
      </c>
      <c r="M13" s="15">
        <v>838</v>
      </c>
      <c r="N13" s="15">
        <v>0</v>
      </c>
      <c r="O13" s="9"/>
      <c r="P13" s="10">
        <v>43721.023217592592</v>
      </c>
      <c r="Q13" s="8"/>
      <c r="R13" s="8"/>
      <c r="S13" s="7" t="s">
        <v>88</v>
      </c>
      <c r="T13" s="8"/>
      <c r="U13" s="11" t="str">
        <f>HYPERLINK("https://pbs.twimg.com/profile_images/1195077221334913024/eVR8toUK.jpg","View")</f>
        <v>View</v>
      </c>
      <c r="V13" s="8"/>
      <c r="W13" s="8"/>
      <c r="X13" s="8"/>
      <c r="Y13" s="8"/>
      <c r="Z13" s="8"/>
    </row>
    <row r="14" spans="1:26" ht="13.2">
      <c r="A14" s="13">
        <v>44250.802175925928</v>
      </c>
      <c r="B14" s="6" t="str">
        <f>HYPERLINK("https://twitter.com/IvanFemia","@IvanFemia")</f>
        <v>@IvanFemia</v>
      </c>
      <c r="C14" s="14" t="s">
        <v>89</v>
      </c>
      <c r="D14" s="14" t="s">
        <v>90</v>
      </c>
      <c r="E14" s="6" t="str">
        <f>HYPERLINK("https://twitter.com/IvanFemia/status/1364277627905843200","1364277627905843200")</f>
        <v>1364277627905843200</v>
      </c>
      <c r="F14" s="7" t="s">
        <v>91</v>
      </c>
      <c r="G14" s="8"/>
      <c r="H14" s="8"/>
      <c r="I14" s="14">
        <v>1</v>
      </c>
      <c r="J14" s="14">
        <v>1</v>
      </c>
      <c r="K14" s="6" t="str">
        <f>HYPERLINK("http://smarp.com","Smarp.")</f>
        <v>Smarp.</v>
      </c>
      <c r="L14" s="15">
        <v>1947</v>
      </c>
      <c r="M14" s="15">
        <v>480</v>
      </c>
      <c r="N14" s="15">
        <v>85</v>
      </c>
      <c r="O14" s="9"/>
      <c r="P14" s="10">
        <v>39856.655439814815</v>
      </c>
      <c r="Q14" s="14" t="s">
        <v>92</v>
      </c>
      <c r="R14" s="14" t="s">
        <v>93</v>
      </c>
      <c r="S14" s="7" t="s">
        <v>94</v>
      </c>
      <c r="T14" s="8"/>
      <c r="U14" s="11" t="str">
        <f>HYPERLINK("https://pbs.twimg.com/profile_images/1194407420056895489/W01f6cEI.jpg","View")</f>
        <v>View</v>
      </c>
      <c r="V14" s="8"/>
      <c r="W14" s="8"/>
      <c r="X14" s="8"/>
      <c r="Y14" s="8"/>
      <c r="Z14" s="8"/>
    </row>
    <row r="15" spans="1:26" ht="13.2">
      <c r="A15" s="13">
        <v>44250.802152777775</v>
      </c>
      <c r="B15" s="6" t="str">
        <f>HYPERLINK("https://twitter.com/nigewillson","@nigewillson")</f>
        <v>@nigewillson</v>
      </c>
      <c r="C15" s="14" t="s">
        <v>95</v>
      </c>
      <c r="D15" s="14" t="s">
        <v>96</v>
      </c>
      <c r="E15" s="6" t="str">
        <f>HYPERLINK("https://twitter.com/nigewillson/status/1364277620280594441","1364277620280594441")</f>
        <v>1364277620280594441</v>
      </c>
      <c r="F15" s="7" t="s">
        <v>97</v>
      </c>
      <c r="G15" s="7" t="s">
        <v>98</v>
      </c>
      <c r="H15" s="8"/>
      <c r="I15" s="14">
        <v>1</v>
      </c>
      <c r="J15" s="14">
        <v>1</v>
      </c>
      <c r="K15" s="6" t="str">
        <f>HYPERLINK("https://buffer.com","Buffer")</f>
        <v>Buffer</v>
      </c>
      <c r="L15" s="15">
        <v>57515</v>
      </c>
      <c r="M15" s="15">
        <v>49523</v>
      </c>
      <c r="N15" s="15">
        <v>1688</v>
      </c>
      <c r="O15" s="9"/>
      <c r="P15" s="10">
        <v>40530.666805555556</v>
      </c>
      <c r="Q15" s="14" t="s">
        <v>99</v>
      </c>
      <c r="R15" s="14" t="s">
        <v>100</v>
      </c>
      <c r="S15" s="7" t="s">
        <v>101</v>
      </c>
      <c r="T15" s="8"/>
      <c r="U15" s="11" t="str">
        <f>HYPERLINK("https://pbs.twimg.com/profile_images/1085251590997622784/x9mWVQ1d.jpg","View")</f>
        <v>View</v>
      </c>
      <c r="V15" s="8"/>
      <c r="W15" s="8"/>
      <c r="X15" s="8"/>
      <c r="Y15" s="8"/>
      <c r="Z15" s="8"/>
    </row>
    <row r="16" spans="1:26" ht="13.2">
      <c r="A16" s="13">
        <v>44250.802118055552</v>
      </c>
      <c r="B16" s="6" t="str">
        <f>HYPERLINK("https://twitter.com/LaForge_AI","@LaForge_AI")</f>
        <v>@LaForge_AI</v>
      </c>
      <c r="C16" s="14" t="s">
        <v>102</v>
      </c>
      <c r="D16" s="14" t="s">
        <v>103</v>
      </c>
      <c r="E16" s="6" t="str">
        <f>HYPERLINK("https://twitter.com/LaForge_AI/status/1364277607513137157","1364277607513137157")</f>
        <v>1364277607513137157</v>
      </c>
      <c r="F16" s="7" t="s">
        <v>104</v>
      </c>
      <c r="G16" s="7" t="s">
        <v>105</v>
      </c>
      <c r="H16" s="8"/>
      <c r="I16" s="14">
        <v>3</v>
      </c>
      <c r="J16" s="14">
        <v>0</v>
      </c>
      <c r="K16" s="6" t="str">
        <f>HYPERLINK("https://www.la-forge.ai","Rss2Twitter for La Forge")</f>
        <v>Rss2Twitter for La Forge</v>
      </c>
      <c r="L16" s="15">
        <v>9854</v>
      </c>
      <c r="M16" s="15">
        <v>10507</v>
      </c>
      <c r="N16" s="15">
        <v>126</v>
      </c>
      <c r="O16" s="9"/>
      <c r="P16" s="10">
        <v>43660.755891203706</v>
      </c>
      <c r="Q16" s="14" t="s">
        <v>106</v>
      </c>
      <c r="R16" s="14" t="s">
        <v>107</v>
      </c>
      <c r="S16" s="7" t="s">
        <v>108</v>
      </c>
      <c r="T16" s="8"/>
      <c r="U16" s="11" t="str">
        <f>HYPERLINK("https://pbs.twimg.com/profile_images/1261961910020423681/fC-WUmbt.jpg","View")</f>
        <v>View</v>
      </c>
      <c r="V16" s="8"/>
      <c r="W16" s="8"/>
      <c r="X16" s="8"/>
      <c r="Y16" s="8"/>
      <c r="Z16" s="8"/>
    </row>
    <row r="17" spans="1:26" ht="13.2">
      <c r="A17" s="13">
        <v>44250.801898148144</v>
      </c>
      <c r="B17" s="6" t="str">
        <f>HYPERLINK("https://twitter.com/kikeledesmanet","@kikeledesmanet")</f>
        <v>@kikeledesmanet</v>
      </c>
      <c r="C17" s="14" t="s">
        <v>109</v>
      </c>
      <c r="D17" s="14" t="s">
        <v>110</v>
      </c>
      <c r="E17" s="6" t="str">
        <f>HYPERLINK("https://twitter.com/kikeledesmanet/status/1364277527905067008","1364277527905067008")</f>
        <v>1364277527905067008</v>
      </c>
      <c r="F17" s="14" t="s">
        <v>111</v>
      </c>
      <c r="G17" s="8"/>
      <c r="H17" s="8"/>
      <c r="I17" s="14">
        <v>1</v>
      </c>
      <c r="J17" s="14">
        <v>0</v>
      </c>
      <c r="K17" s="6" t="str">
        <f>HYPERLINK("http://twitter.com/download/android","Twitter for Android")</f>
        <v>Twitter for Android</v>
      </c>
      <c r="L17" s="15">
        <v>120</v>
      </c>
      <c r="M17" s="15">
        <v>63</v>
      </c>
      <c r="N17" s="15">
        <v>31</v>
      </c>
      <c r="O17" s="9"/>
      <c r="P17" s="10">
        <v>42401.823333333334</v>
      </c>
      <c r="Q17" s="14" t="s">
        <v>112</v>
      </c>
      <c r="R17" s="14" t="s">
        <v>113</v>
      </c>
      <c r="S17" s="8"/>
      <c r="T17" s="8"/>
      <c r="U17" s="11" t="str">
        <f>HYPERLINK("https://pbs.twimg.com/profile_images/980192835751198721/Fgie_VVB.jpg","View")</f>
        <v>View</v>
      </c>
      <c r="V17" s="8"/>
      <c r="W17" s="8"/>
      <c r="X17" s="8"/>
      <c r="Y17" s="8"/>
      <c r="Z17" s="8"/>
    </row>
    <row r="18" spans="1:26" ht="13.2">
      <c r="A18" s="13">
        <v>44250.801851851851</v>
      </c>
      <c r="B18" s="6" t="str">
        <f>HYPERLINK("https://twitter.com/WhiteheartVic","@WhiteheartVic")</f>
        <v>@WhiteheartVic</v>
      </c>
      <c r="C18" s="14" t="s">
        <v>114</v>
      </c>
      <c r="D18" s="14" t="s">
        <v>115</v>
      </c>
      <c r="E18" s="6" t="str">
        <f>HYPERLINK("https://twitter.com/WhiteheartVic/status/1364277511488753667","1364277511488753667")</f>
        <v>1364277511488753667</v>
      </c>
      <c r="F18" s="14" t="s">
        <v>116</v>
      </c>
      <c r="G18" s="7" t="s">
        <v>117</v>
      </c>
      <c r="H18" s="8"/>
      <c r="I18" s="14">
        <v>1</v>
      </c>
      <c r="J18" s="14">
        <v>0</v>
      </c>
      <c r="K18" s="6" t="str">
        <f t="shared" ref="K18:K21" si="2">HYPERLINK("https://mobile.twitter.com","Twitter Web App")</f>
        <v>Twitter Web App</v>
      </c>
      <c r="L18" s="15">
        <v>3146</v>
      </c>
      <c r="M18" s="15">
        <v>4964</v>
      </c>
      <c r="N18" s="15">
        <v>35</v>
      </c>
      <c r="O18" s="9"/>
      <c r="P18" s="10">
        <v>43986.105486111112</v>
      </c>
      <c r="Q18" s="14" t="s">
        <v>118</v>
      </c>
      <c r="R18" s="14" t="s">
        <v>119</v>
      </c>
      <c r="S18" s="8"/>
      <c r="T18" s="8"/>
      <c r="U18" s="11" t="str">
        <f>HYPERLINK("https://pbs.twimg.com/profile_images/1268347384511201283/CHCU-bga.jpg","View")</f>
        <v>View</v>
      </c>
      <c r="V18" s="8"/>
      <c r="W18" s="8"/>
      <c r="X18" s="8"/>
      <c r="Y18" s="8"/>
      <c r="Z18" s="8"/>
    </row>
    <row r="19" spans="1:26" ht="13.2">
      <c r="A19" s="13">
        <v>44250.801817129628</v>
      </c>
      <c r="B19" s="6" t="str">
        <f>HYPERLINK("https://twitter.com/sakai_makoto","@sakai_makoto")</f>
        <v>@sakai_makoto</v>
      </c>
      <c r="C19" s="14" t="s">
        <v>44</v>
      </c>
      <c r="D19" s="14" t="s">
        <v>120</v>
      </c>
      <c r="E19" s="6" t="str">
        <f>HYPERLINK("https://twitter.com/sakai_makoto/status/1364277497140027392","1364277497140027392")</f>
        <v>1364277497140027392</v>
      </c>
      <c r="F19" s="7" t="s">
        <v>121</v>
      </c>
      <c r="G19" s="8"/>
      <c r="H19" s="8"/>
      <c r="I19" s="14">
        <v>3</v>
      </c>
      <c r="J19" s="14">
        <v>0</v>
      </c>
      <c r="K19" s="6" t="str">
        <f t="shared" si="2"/>
        <v>Twitter Web App</v>
      </c>
      <c r="L19" s="15">
        <v>269</v>
      </c>
      <c r="M19" s="15">
        <v>278</v>
      </c>
      <c r="N19" s="15">
        <v>12</v>
      </c>
      <c r="O19" s="9"/>
      <c r="P19" s="10">
        <v>43186.702164351853</v>
      </c>
      <c r="Q19" s="14" t="s">
        <v>47</v>
      </c>
      <c r="R19" s="14" t="s">
        <v>48</v>
      </c>
      <c r="S19" s="8"/>
      <c r="T19" s="8"/>
      <c r="U19" s="11" t="str">
        <f>HYPERLINK("https://pbs.twimg.com/profile_images/1353048877113421825/aq2em4Q7.jpg","View")</f>
        <v>View</v>
      </c>
      <c r="V19" s="8"/>
      <c r="W19" s="8"/>
      <c r="X19" s="8"/>
      <c r="Y19" s="8"/>
      <c r="Z19" s="8"/>
    </row>
    <row r="20" spans="1:26" ht="13.2">
      <c r="A20" s="13">
        <v>44250.801215277781</v>
      </c>
      <c r="B20" s="6" t="str">
        <f>HYPERLINK("https://twitter.com/JovianML","@JovianML")</f>
        <v>@JovianML</v>
      </c>
      <c r="C20" s="14" t="s">
        <v>122</v>
      </c>
      <c r="D20" s="14" t="s">
        <v>123</v>
      </c>
      <c r="E20" s="6" t="str">
        <f>HYPERLINK("https://twitter.com/JovianML/status/1364277282534289409","1364277282534289409")</f>
        <v>1364277282534289409</v>
      </c>
      <c r="F20" s="7" t="s">
        <v>124</v>
      </c>
      <c r="G20" s="8"/>
      <c r="H20" s="8"/>
      <c r="I20" s="14">
        <v>3</v>
      </c>
      <c r="J20" s="14">
        <v>1</v>
      </c>
      <c r="K20" s="6" t="str">
        <f t="shared" si="2"/>
        <v>Twitter Web App</v>
      </c>
      <c r="L20" s="15">
        <v>2221</v>
      </c>
      <c r="M20" s="15">
        <v>34</v>
      </c>
      <c r="N20" s="15">
        <v>18</v>
      </c>
      <c r="O20" s="9"/>
      <c r="P20" s="10">
        <v>43461.70480324074</v>
      </c>
      <c r="Q20" s="8"/>
      <c r="R20" s="14" t="s">
        <v>125</v>
      </c>
      <c r="S20" s="7" t="s">
        <v>126</v>
      </c>
      <c r="T20" s="8"/>
      <c r="U20" s="11" t="str">
        <f>HYPERLINK("https://pbs.twimg.com/profile_images/1356138813622415360/sGWTRE_G.jpg","View")</f>
        <v>View</v>
      </c>
      <c r="V20" s="8"/>
      <c r="W20" s="8"/>
      <c r="X20" s="8"/>
      <c r="Y20" s="8"/>
      <c r="Z20" s="8"/>
    </row>
    <row r="21" spans="1:26" ht="13.2">
      <c r="A21" s="13">
        <v>44250.800856481481</v>
      </c>
      <c r="B21" s="6" t="str">
        <f>HYPERLINK("https://twitter.com/KirkDBorne","@KirkDBorne")</f>
        <v>@KirkDBorne</v>
      </c>
      <c r="C21" s="14" t="s">
        <v>127</v>
      </c>
      <c r="D21" s="14" t="s">
        <v>128</v>
      </c>
      <c r="E21" s="6" t="str">
        <f>HYPERLINK("https://twitter.com/KirkDBorne/status/1364277152456278019","1364277152456278019")</f>
        <v>1364277152456278019</v>
      </c>
      <c r="F21" s="7" t="s">
        <v>129</v>
      </c>
      <c r="G21" s="8"/>
      <c r="H21" s="8"/>
      <c r="I21" s="14">
        <v>2</v>
      </c>
      <c r="J21" s="14">
        <v>2</v>
      </c>
      <c r="K21" s="6" t="str">
        <f t="shared" si="2"/>
        <v>Twitter Web App</v>
      </c>
      <c r="L21" s="15">
        <v>273892</v>
      </c>
      <c r="M21" s="15">
        <v>8969</v>
      </c>
      <c r="N21" s="15">
        <v>8299</v>
      </c>
      <c r="O21" s="15" t="s">
        <v>130</v>
      </c>
      <c r="P21" s="10">
        <v>40991.732835648145</v>
      </c>
      <c r="Q21" s="14" t="s">
        <v>131</v>
      </c>
      <c r="R21" s="14" t="s">
        <v>132</v>
      </c>
      <c r="S21" s="7" t="s">
        <v>133</v>
      </c>
      <c r="T21" s="8"/>
      <c r="U21" s="11" t="str">
        <f>HYPERLINK("https://pbs.twimg.com/profile_images/1112733580948635648/s-8d1avb.jpg","View")</f>
        <v>View</v>
      </c>
      <c r="V21" s="8"/>
      <c r="W21" s="8"/>
      <c r="X21" s="8"/>
      <c r="Y21" s="8"/>
      <c r="Z21" s="8"/>
    </row>
    <row r="22" spans="1:26" ht="13.2">
      <c r="A22" s="13">
        <v>44250.800717592589</v>
      </c>
      <c r="B22" s="6" t="str">
        <f>HYPERLINK("https://twitter.com/USGRADEnet","@USGRADEnet")</f>
        <v>@USGRADEnet</v>
      </c>
      <c r="C22" s="14" t="s">
        <v>134</v>
      </c>
      <c r="D22" s="14" t="s">
        <v>135</v>
      </c>
      <c r="E22" s="6" t="str">
        <f>HYPERLINK("https://twitter.com/USGRADEnet/status/1364277100648271877","1364277100648271877")</f>
        <v>1364277100648271877</v>
      </c>
      <c r="F22" s="7" t="s">
        <v>136</v>
      </c>
      <c r="G22" s="7" t="s">
        <v>137</v>
      </c>
      <c r="H22" s="8"/>
      <c r="I22" s="14">
        <v>2</v>
      </c>
      <c r="J22" s="14">
        <v>0</v>
      </c>
      <c r="K22" s="6" t="str">
        <f>HYPERLINK("https://buffer.com","Buffer")</f>
        <v>Buffer</v>
      </c>
      <c r="L22" s="15">
        <v>1466</v>
      </c>
      <c r="M22" s="15">
        <v>499</v>
      </c>
      <c r="N22" s="15">
        <v>9</v>
      </c>
      <c r="O22" s="9"/>
      <c r="P22" s="10">
        <v>41884.569895833338</v>
      </c>
      <c r="Q22" s="14" t="s">
        <v>138</v>
      </c>
      <c r="R22" s="14" t="s">
        <v>139</v>
      </c>
      <c r="S22" s="7" t="s">
        <v>140</v>
      </c>
      <c r="T22" s="8"/>
      <c r="U22" s="11" t="str">
        <f>HYPERLINK("https://pbs.twimg.com/profile_images/1126839002974310401/35RivTI6.png","View")</f>
        <v>View</v>
      </c>
      <c r="V22" s="8"/>
      <c r="W22" s="8"/>
      <c r="X22" s="8"/>
      <c r="Y22" s="8"/>
      <c r="Z22" s="8"/>
    </row>
    <row r="23" spans="1:26" ht="13.2">
      <c r="A23" s="13">
        <v>44250.800335648149</v>
      </c>
      <c r="B23" s="6" t="str">
        <f>HYPERLINK("https://twitter.com/DLDConference","@DLDConference")</f>
        <v>@DLDConference</v>
      </c>
      <c r="C23" s="14" t="s">
        <v>141</v>
      </c>
      <c r="D23" s="14" t="s">
        <v>142</v>
      </c>
      <c r="E23" s="6" t="str">
        <f>HYPERLINK("https://twitter.com/DLDConference/status/1364276964257841153","1364276964257841153")</f>
        <v>1364276964257841153</v>
      </c>
      <c r="F23" s="7" t="s">
        <v>143</v>
      </c>
      <c r="G23" s="7" t="s">
        <v>144</v>
      </c>
      <c r="H23" s="8"/>
      <c r="I23" s="14">
        <v>1</v>
      </c>
      <c r="J23" s="14">
        <v>0</v>
      </c>
      <c r="K23" s="6" t="str">
        <f>HYPERLINK("http://twitter.com/#!/download/ipad","Twitter for iPad")</f>
        <v>Twitter for iPad</v>
      </c>
      <c r="L23" s="15">
        <v>22674</v>
      </c>
      <c r="M23" s="15">
        <v>1830</v>
      </c>
      <c r="N23" s="15">
        <v>850</v>
      </c>
      <c r="O23" s="15" t="s">
        <v>130</v>
      </c>
      <c r="P23" s="10">
        <v>39790.889502314814</v>
      </c>
      <c r="Q23" s="14" t="s">
        <v>145</v>
      </c>
      <c r="R23" s="14" t="s">
        <v>146</v>
      </c>
      <c r="S23" s="7" t="s">
        <v>147</v>
      </c>
      <c r="T23" s="8"/>
      <c r="U23" s="11" t="str">
        <f>HYPERLINK("https://pbs.twimg.com/profile_images/66773901/dld.png","View")</f>
        <v>View</v>
      </c>
      <c r="V23" s="8"/>
      <c r="W23" s="8"/>
      <c r="X23" s="8"/>
      <c r="Y23" s="8"/>
      <c r="Z23" s="8"/>
    </row>
    <row r="24" spans="1:26" ht="13.2">
      <c r="A24" s="13">
        <v>44250.800219907411</v>
      </c>
      <c r="B24" s="6" t="str">
        <f>HYPERLINK("https://twitter.com/sakai_makoto","@sakai_makoto")</f>
        <v>@sakai_makoto</v>
      </c>
      <c r="C24" s="14" t="s">
        <v>44</v>
      </c>
      <c r="D24" s="14" t="s">
        <v>148</v>
      </c>
      <c r="E24" s="6" t="str">
        <f>HYPERLINK("https://twitter.com/sakai_makoto/status/1364276919726964741","1364276919726964741")</f>
        <v>1364276919726964741</v>
      </c>
      <c r="F24" s="7" t="s">
        <v>149</v>
      </c>
      <c r="G24" s="8"/>
      <c r="H24" s="8"/>
      <c r="I24" s="14">
        <v>1</v>
      </c>
      <c r="J24" s="14">
        <v>0</v>
      </c>
      <c r="K24" s="6" t="str">
        <f>HYPERLINK("https://mobile.twitter.com","Twitter Web App")</f>
        <v>Twitter Web App</v>
      </c>
      <c r="L24" s="15">
        <v>269</v>
      </c>
      <c r="M24" s="15">
        <v>278</v>
      </c>
      <c r="N24" s="15">
        <v>12</v>
      </c>
      <c r="O24" s="9"/>
      <c r="P24" s="10">
        <v>43186.702164351853</v>
      </c>
      <c r="Q24" s="14" t="s">
        <v>47</v>
      </c>
      <c r="R24" s="14" t="s">
        <v>48</v>
      </c>
      <c r="S24" s="8"/>
      <c r="T24" s="8"/>
      <c r="U24" s="11" t="str">
        <f>HYPERLINK("https://pbs.twimg.com/profile_images/1353048877113421825/aq2em4Q7.jpg","View")</f>
        <v>View</v>
      </c>
      <c r="V24" s="8"/>
      <c r="W24" s="8"/>
      <c r="X24" s="8"/>
      <c r="Y24" s="8"/>
      <c r="Z24" s="8"/>
    </row>
    <row r="25" spans="1:26" ht="13.2">
      <c r="A25" s="13">
        <v>44250.800173611111</v>
      </c>
      <c r="B25" s="6" t="str">
        <f>HYPERLINK("https://twitter.com/PMProuk","@PMProuk")</f>
        <v>@PMProuk</v>
      </c>
      <c r="C25" s="14" t="s">
        <v>150</v>
      </c>
      <c r="D25" s="14" t="s">
        <v>151</v>
      </c>
      <c r="E25" s="6" t="str">
        <f>HYPERLINK("https://twitter.com/PMProuk/status/1364276902052118528","1364276902052118528")</f>
        <v>1364276902052118528</v>
      </c>
      <c r="F25" s="7" t="s">
        <v>152</v>
      </c>
      <c r="G25" s="8"/>
      <c r="H25" s="8"/>
      <c r="I25" s="14">
        <v>0</v>
      </c>
      <c r="J25" s="14">
        <v>0</v>
      </c>
      <c r="K25" s="6" t="str">
        <f>HYPERLINK("http://twinybots.com","TwinyBots")</f>
        <v>TwinyBots</v>
      </c>
      <c r="L25" s="15">
        <v>1439</v>
      </c>
      <c r="M25" s="15">
        <v>3697</v>
      </c>
      <c r="N25" s="15">
        <v>73</v>
      </c>
      <c r="O25" s="9"/>
      <c r="P25" s="10">
        <v>40577.810150462959</v>
      </c>
      <c r="Q25" s="14" t="s">
        <v>153</v>
      </c>
      <c r="R25" s="14" t="s">
        <v>154</v>
      </c>
      <c r="S25" s="8"/>
      <c r="T25" s="8"/>
      <c r="U25" s="11" t="str">
        <f>HYPERLINK("https://pbs.twimg.com/profile_images/1257339284027314177/AhbOFVVY.jpg","View")</f>
        <v>View</v>
      </c>
      <c r="V25" s="8"/>
      <c r="W25" s="8"/>
      <c r="X25" s="8"/>
      <c r="Y25" s="8"/>
      <c r="Z25" s="8"/>
    </row>
    <row r="26" spans="1:26" ht="13.2">
      <c r="A26" s="13">
        <v>44250.799456018518</v>
      </c>
      <c r="B26" s="6" t="str">
        <f>HYPERLINK("https://twitter.com/readroutine","@readroutine")</f>
        <v>@readroutine</v>
      </c>
      <c r="C26" s="14" t="s">
        <v>155</v>
      </c>
      <c r="D26" s="14" t="s">
        <v>156</v>
      </c>
      <c r="E26" s="6" t="str">
        <f>HYPERLINK("https://twitter.com/readroutine/status/1364276644253491203","1364276644253491203")</f>
        <v>1364276644253491203</v>
      </c>
      <c r="F26" s="7" t="s">
        <v>157</v>
      </c>
      <c r="G26" s="8"/>
      <c r="H26" s="8"/>
      <c r="I26" s="14">
        <v>0</v>
      </c>
      <c r="J26" s="14">
        <v>3</v>
      </c>
      <c r="K26" s="6" t="str">
        <f>HYPERLINK("http://twitter.com/download/android","Twitter for Android")</f>
        <v>Twitter for Android</v>
      </c>
      <c r="L26" s="15">
        <v>2</v>
      </c>
      <c r="M26" s="15">
        <v>18</v>
      </c>
      <c r="N26" s="15">
        <v>0</v>
      </c>
      <c r="O26" s="9"/>
      <c r="P26" s="10">
        <v>44077.77175925926</v>
      </c>
      <c r="Q26" s="8"/>
      <c r="R26" s="14" t="s">
        <v>158</v>
      </c>
      <c r="S26" s="7" t="s">
        <v>159</v>
      </c>
      <c r="T26" s="8"/>
      <c r="U26" s="11" t="str">
        <f>HYPERLINK("https://pbs.twimg.com/profile_images/1355316492322172928/ckJwDEXt.jpg","View")</f>
        <v>View</v>
      </c>
      <c r="V26" s="8"/>
      <c r="W26" s="8"/>
      <c r="X26" s="8"/>
      <c r="Y26" s="8"/>
      <c r="Z26" s="8"/>
    </row>
    <row r="27" spans="1:26" ht="13.2">
      <c r="A27" s="13">
        <v>44250.799351851849</v>
      </c>
      <c r="B27" s="6" t="str">
        <f>HYPERLINK("https://twitter.com/philfv","@philfv")</f>
        <v>@philfv</v>
      </c>
      <c r="C27" s="14" t="s">
        <v>160</v>
      </c>
      <c r="D27" s="14" t="s">
        <v>161</v>
      </c>
      <c r="E27" s="6" t="str">
        <f>HYPERLINK("https://twitter.com/philfv/status/1364276604449423361","1364276604449423361")</f>
        <v>1364276604449423361</v>
      </c>
      <c r="F27" s="7" t="s">
        <v>162</v>
      </c>
      <c r="G27" s="8"/>
      <c r="H27" s="8"/>
      <c r="I27" s="14">
        <v>0</v>
      </c>
      <c r="J27" s="14">
        <v>1</v>
      </c>
      <c r="K27" s="6" t="str">
        <f>HYPERLINK("https://mobile.twitter.com","Twitter Web App")</f>
        <v>Twitter Web App</v>
      </c>
      <c r="L27" s="15">
        <v>779</v>
      </c>
      <c r="M27" s="15">
        <v>1881</v>
      </c>
      <c r="N27" s="15">
        <v>42</v>
      </c>
      <c r="O27" s="9"/>
      <c r="P27" s="10">
        <v>40133.009467592594</v>
      </c>
      <c r="Q27" s="14" t="s">
        <v>163</v>
      </c>
      <c r="R27" s="14" t="s">
        <v>164</v>
      </c>
      <c r="S27" s="7" t="s">
        <v>165</v>
      </c>
      <c r="T27" s="8"/>
      <c r="U27" s="11" t="str">
        <f>HYPERLINK("https://pbs.twimg.com/profile_images/629830403541598208/rypntSbc.jpg","View")</f>
        <v>View</v>
      </c>
      <c r="V27" s="8"/>
      <c r="W27" s="8"/>
      <c r="X27" s="8"/>
      <c r="Y27" s="8"/>
      <c r="Z27" s="8"/>
    </row>
    <row r="28" spans="1:26" ht="13.2">
      <c r="A28" s="13">
        <v>44250.798750000002</v>
      </c>
      <c r="B28" s="6" t="str">
        <f>HYPERLINK("https://twitter.com/vonau_business","@vonau_business")</f>
        <v>@vonau_business</v>
      </c>
      <c r="C28" s="14" t="s">
        <v>166</v>
      </c>
      <c r="D28" s="14" t="s">
        <v>167</v>
      </c>
      <c r="E28" s="6" t="str">
        <f>HYPERLINK("https://twitter.com/vonau_business/status/1364276389000732679","1364276389000732679")</f>
        <v>1364276389000732679</v>
      </c>
      <c r="F28" s="7" t="s">
        <v>168</v>
      </c>
      <c r="G28" s="8"/>
      <c r="H28" s="8"/>
      <c r="I28" s="14">
        <v>0</v>
      </c>
      <c r="J28" s="14">
        <v>0</v>
      </c>
      <c r="K28" s="6" t="str">
        <f>HYPERLINK("https://www.hootsuite.com","Hootsuite Inc.")</f>
        <v>Hootsuite Inc.</v>
      </c>
      <c r="L28" s="15">
        <v>46</v>
      </c>
      <c r="M28" s="15">
        <v>173</v>
      </c>
      <c r="N28" s="15">
        <v>2</v>
      </c>
      <c r="O28" s="9"/>
      <c r="P28" s="10">
        <v>43383.385081018518</v>
      </c>
      <c r="Q28" s="14" t="s">
        <v>169</v>
      </c>
      <c r="R28" s="8"/>
      <c r="S28" s="7" t="s">
        <v>170</v>
      </c>
      <c r="T28" s="8"/>
      <c r="U28" s="11" t="str">
        <f>HYPERLINK("https://pbs.twimg.com/profile_images/1220393798213292033/br69OCDR.jpg","View")</f>
        <v>View</v>
      </c>
      <c r="V28" s="8"/>
      <c r="W28" s="8"/>
      <c r="X28" s="8"/>
      <c r="Y28" s="8"/>
      <c r="Z28" s="8"/>
    </row>
    <row r="29" spans="1:26" ht="13.2">
      <c r="A29" s="13">
        <v>44250.798668981486</v>
      </c>
      <c r="B29" s="6" t="str">
        <f>HYPERLINK("https://twitter.com/nigewillson","@nigewillson")</f>
        <v>@nigewillson</v>
      </c>
      <c r="C29" s="14" t="s">
        <v>95</v>
      </c>
      <c r="D29" s="14" t="s">
        <v>171</v>
      </c>
      <c r="E29" s="6" t="str">
        <f>HYPERLINK("https://twitter.com/nigewillson/status/1364276358298361867","1364276358298361867")</f>
        <v>1364276358298361867</v>
      </c>
      <c r="F29" s="7" t="s">
        <v>172</v>
      </c>
      <c r="G29" s="7" t="s">
        <v>173</v>
      </c>
      <c r="H29" s="8"/>
      <c r="I29" s="14">
        <v>3</v>
      </c>
      <c r="J29" s="14">
        <v>0</v>
      </c>
      <c r="K29" s="6" t="str">
        <f>HYPERLINK("https://buffer.com","Buffer")</f>
        <v>Buffer</v>
      </c>
      <c r="L29" s="15">
        <v>57515</v>
      </c>
      <c r="M29" s="15">
        <v>49523</v>
      </c>
      <c r="N29" s="15">
        <v>1688</v>
      </c>
      <c r="O29" s="9"/>
      <c r="P29" s="10">
        <v>40530.666805555556</v>
      </c>
      <c r="Q29" s="14" t="s">
        <v>99</v>
      </c>
      <c r="R29" s="14" t="s">
        <v>100</v>
      </c>
      <c r="S29" s="7" t="s">
        <v>101</v>
      </c>
      <c r="T29" s="8"/>
      <c r="U29" s="11" t="str">
        <f>HYPERLINK("https://pbs.twimg.com/profile_images/1085251590997622784/x9mWVQ1d.jpg","View")</f>
        <v>View</v>
      </c>
      <c r="V29" s="8"/>
      <c r="W29" s="8"/>
      <c r="X29" s="8"/>
      <c r="Y29" s="8"/>
      <c r="Z29" s="8"/>
    </row>
    <row r="30" spans="1:26" ht="13.2">
      <c r="A30" s="13">
        <v>44250.798483796301</v>
      </c>
      <c r="B30" s="6" t="str">
        <f>HYPERLINK("https://twitter.com/sakai_makoto","@sakai_makoto")</f>
        <v>@sakai_makoto</v>
      </c>
      <c r="C30" s="14" t="s">
        <v>44</v>
      </c>
      <c r="D30" s="14" t="s">
        <v>174</v>
      </c>
      <c r="E30" s="6" t="str">
        <f>HYPERLINK("https://twitter.com/sakai_makoto/status/1364276292225482755","1364276292225482755")</f>
        <v>1364276292225482755</v>
      </c>
      <c r="F30" s="7" t="s">
        <v>175</v>
      </c>
      <c r="G30" s="8"/>
      <c r="H30" s="8"/>
      <c r="I30" s="14">
        <v>2</v>
      </c>
      <c r="J30" s="14">
        <v>0</v>
      </c>
      <c r="K30" s="6" t="str">
        <f t="shared" ref="K30:K31" si="3">HYPERLINK("https://mobile.twitter.com","Twitter Web App")</f>
        <v>Twitter Web App</v>
      </c>
      <c r="L30" s="15">
        <v>269</v>
      </c>
      <c r="M30" s="15">
        <v>278</v>
      </c>
      <c r="N30" s="15">
        <v>12</v>
      </c>
      <c r="O30" s="9"/>
      <c r="P30" s="10">
        <v>43186.702164351853</v>
      </c>
      <c r="Q30" s="14" t="s">
        <v>47</v>
      </c>
      <c r="R30" s="14" t="s">
        <v>48</v>
      </c>
      <c r="S30" s="8"/>
      <c r="T30" s="8"/>
      <c r="U30" s="11" t="str">
        <f>HYPERLINK("https://pbs.twimg.com/profile_images/1353048877113421825/aq2em4Q7.jpg","View")</f>
        <v>View</v>
      </c>
      <c r="V30" s="8"/>
      <c r="W30" s="8"/>
      <c r="X30" s="8"/>
      <c r="Y30" s="8"/>
      <c r="Z30" s="8"/>
    </row>
    <row r="31" spans="1:26" ht="13.2">
      <c r="A31" s="13">
        <v>44250.798437500001</v>
      </c>
      <c r="B31" s="6" t="str">
        <f>HYPERLINK("https://twitter.com/vubblePOP","@vubblePOP")</f>
        <v>@vubblePOP</v>
      </c>
      <c r="C31" s="14" t="s">
        <v>176</v>
      </c>
      <c r="D31" s="14" t="s">
        <v>177</v>
      </c>
      <c r="E31" s="6" t="str">
        <f>HYPERLINK("https://twitter.com/vubblePOP/status/1364276273963491328","1364276273963491328")</f>
        <v>1364276273963491328</v>
      </c>
      <c r="F31" s="7" t="s">
        <v>178</v>
      </c>
      <c r="G31" s="8"/>
      <c r="H31" s="8"/>
      <c r="I31" s="14">
        <v>0</v>
      </c>
      <c r="J31" s="14">
        <v>0</v>
      </c>
      <c r="K31" s="6" t="str">
        <f t="shared" si="3"/>
        <v>Twitter Web App</v>
      </c>
      <c r="L31" s="15">
        <v>3160</v>
      </c>
      <c r="M31" s="15">
        <v>2078</v>
      </c>
      <c r="N31" s="15">
        <v>763</v>
      </c>
      <c r="O31" s="9"/>
      <c r="P31" s="10">
        <v>41861.985347222224</v>
      </c>
      <c r="Q31" s="14" t="s">
        <v>179</v>
      </c>
      <c r="R31" s="14" t="s">
        <v>180</v>
      </c>
      <c r="S31" s="7" t="s">
        <v>181</v>
      </c>
      <c r="T31" s="8"/>
      <c r="U31" s="11" t="str">
        <f>HYPERLINK("https://pbs.twimg.com/profile_images/1351612972829970437/jAnSaK-S.jpg","View")</f>
        <v>View</v>
      </c>
      <c r="V31" s="8"/>
      <c r="W31" s="8"/>
      <c r="X31" s="8"/>
      <c r="Y31" s="8"/>
      <c r="Z31" s="8"/>
    </row>
    <row r="32" spans="1:26" ht="13.2">
      <c r="A32" s="13">
        <v>44250.798055555555</v>
      </c>
      <c r="B32" s="6" t="str">
        <f>HYPERLINK("https://twitter.com/MeArshadaman","@MeArshadaman")</f>
        <v>@MeArshadaman</v>
      </c>
      <c r="C32" s="14" t="s">
        <v>182</v>
      </c>
      <c r="D32" s="14" t="s">
        <v>183</v>
      </c>
      <c r="E32" s="6" t="str">
        <f>HYPERLINK("https://twitter.com/MeArshadaman/status/1364276135823990786","1364276135823990786")</f>
        <v>1364276135823990786</v>
      </c>
      <c r="F32" s="7" t="s">
        <v>184</v>
      </c>
      <c r="G32" s="8"/>
      <c r="H32" s="8"/>
      <c r="I32" s="14">
        <v>4</v>
      </c>
      <c r="J32" s="14">
        <v>0</v>
      </c>
      <c r="K32" s="6" t="str">
        <f>HYPERLINK("http://twitter.com/download/android","Twitter for Android")</f>
        <v>Twitter for Android</v>
      </c>
      <c r="L32" s="15">
        <v>198</v>
      </c>
      <c r="M32" s="15">
        <v>460</v>
      </c>
      <c r="N32" s="15">
        <v>0</v>
      </c>
      <c r="O32" s="9"/>
      <c r="P32" s="10">
        <v>42673.786203703705</v>
      </c>
      <c r="Q32" s="14" t="s">
        <v>185</v>
      </c>
      <c r="R32" s="14" t="s">
        <v>186</v>
      </c>
      <c r="S32" s="7" t="s">
        <v>184</v>
      </c>
      <c r="T32" s="8"/>
      <c r="U32" s="11" t="str">
        <f>HYPERLINK("https://pbs.twimg.com/profile_images/1346873108095848450/SqSnp9Bq.jpg","View")</f>
        <v>View</v>
      </c>
      <c r="V32" s="8"/>
      <c r="W32" s="8"/>
      <c r="X32" s="8"/>
      <c r="Y32" s="8"/>
      <c r="Z32" s="8"/>
    </row>
    <row r="33" spans="1:26" ht="13.2">
      <c r="A33" s="13">
        <v>44250.797650462962</v>
      </c>
      <c r="B33" s="6" t="str">
        <f>HYPERLINK("https://twitter.com/psb_dc","@psb_dc")</f>
        <v>@psb_dc</v>
      </c>
      <c r="C33" s="14" t="s">
        <v>187</v>
      </c>
      <c r="D33" s="14" t="s">
        <v>188</v>
      </c>
      <c r="E33" s="6" t="str">
        <f>HYPERLINK("https://twitter.com/psb_dc/status/1364275990688587779","1364275990688587779")</f>
        <v>1364275990688587779</v>
      </c>
      <c r="F33" s="7" t="s">
        <v>189</v>
      </c>
      <c r="G33" s="14" t="s">
        <v>190</v>
      </c>
      <c r="H33" s="8"/>
      <c r="I33" s="14">
        <v>0</v>
      </c>
      <c r="J33" s="14">
        <v>7</v>
      </c>
      <c r="K33" s="6" t="str">
        <f t="shared" ref="K33:K34" si="4">HYPERLINK("https://mobile.twitter.com","Twitter Web App")</f>
        <v>Twitter Web App</v>
      </c>
      <c r="L33" s="15">
        <v>49876</v>
      </c>
      <c r="M33" s="15">
        <v>6865</v>
      </c>
      <c r="N33" s="15">
        <v>2117</v>
      </c>
      <c r="O33" s="9"/>
      <c r="P33" s="10">
        <v>41966.559004629627</v>
      </c>
      <c r="Q33" s="14" t="s">
        <v>191</v>
      </c>
      <c r="R33" s="14" t="s">
        <v>192</v>
      </c>
      <c r="S33" s="7" t="s">
        <v>193</v>
      </c>
      <c r="T33" s="8"/>
      <c r="U33" s="11" t="str">
        <f>HYPERLINK("https://pbs.twimg.com/profile_images/1208067259287179264/AzFGeUdo.jpg","View")</f>
        <v>View</v>
      </c>
      <c r="V33" s="8"/>
      <c r="W33" s="8"/>
      <c r="X33" s="8"/>
      <c r="Y33" s="8"/>
      <c r="Z33" s="8"/>
    </row>
    <row r="34" spans="1:26" ht="13.2">
      <c r="A34" s="13">
        <v>44250.797361111108</v>
      </c>
      <c r="B34" s="6" t="str">
        <f>HYPERLINK("https://twitter.com/SmarteConseil","@SmarteConseil")</f>
        <v>@SmarteConseil</v>
      </c>
      <c r="C34" s="14" t="s">
        <v>194</v>
      </c>
      <c r="D34" s="14" t="s">
        <v>195</v>
      </c>
      <c r="E34" s="6" t="str">
        <f>HYPERLINK("https://twitter.com/SmarteConseil/status/1364275882936926208","1364275882936926208")</f>
        <v>1364275882936926208</v>
      </c>
      <c r="F34" s="8"/>
      <c r="G34" s="7" t="s">
        <v>196</v>
      </c>
      <c r="H34" s="8"/>
      <c r="I34" s="14">
        <v>0</v>
      </c>
      <c r="J34" s="14">
        <v>0</v>
      </c>
      <c r="K34" s="6" t="str">
        <f t="shared" si="4"/>
        <v>Twitter Web App</v>
      </c>
      <c r="L34" s="15">
        <v>1</v>
      </c>
      <c r="M34" s="15">
        <v>9</v>
      </c>
      <c r="N34" s="15">
        <v>0</v>
      </c>
      <c r="O34" s="9"/>
      <c r="P34" s="10">
        <v>44231.570081018523</v>
      </c>
      <c r="Q34" s="14" t="s">
        <v>197</v>
      </c>
      <c r="R34" s="14" t="s">
        <v>198</v>
      </c>
      <c r="S34" s="7" t="s">
        <v>199</v>
      </c>
      <c r="T34" s="8"/>
      <c r="U34" s="11" t="str">
        <f>HYPERLINK("https://pbs.twimg.com/profile_images/1357333911219523586/qdOD4Upc.jpg","View")</f>
        <v>View</v>
      </c>
      <c r="V34" s="8"/>
      <c r="W34" s="8"/>
      <c r="X34" s="8"/>
      <c r="Y34" s="8"/>
      <c r="Z34" s="8"/>
    </row>
    <row r="35" spans="1:26" ht="13.2">
      <c r="A35" s="13">
        <v>44250.797326388885</v>
      </c>
      <c r="B35" s="6" t="str">
        <f>HYPERLINK("https://twitter.com/sajidmirza","@sajidmirza")</f>
        <v>@sajidmirza</v>
      </c>
      <c r="C35" s="14" t="s">
        <v>200</v>
      </c>
      <c r="D35" s="14" t="s">
        <v>201</v>
      </c>
      <c r="E35" s="6" t="str">
        <f>HYPERLINK("https://twitter.com/sajidmirza/status/1364275872199499777","1364275872199499777")</f>
        <v>1364275872199499777</v>
      </c>
      <c r="F35" s="14" t="s">
        <v>202</v>
      </c>
      <c r="G35" s="8"/>
      <c r="H35" s="8"/>
      <c r="I35" s="14">
        <v>0</v>
      </c>
      <c r="J35" s="14">
        <v>0</v>
      </c>
      <c r="K35" s="6" t="str">
        <f>HYPERLINK("http://twinybots.com","TwinyBots")</f>
        <v>TwinyBots</v>
      </c>
      <c r="L35" s="15">
        <v>2160</v>
      </c>
      <c r="M35" s="15">
        <v>1495</v>
      </c>
      <c r="N35" s="15">
        <v>43</v>
      </c>
      <c r="O35" s="9"/>
      <c r="P35" s="10">
        <v>39986.264884259261</v>
      </c>
      <c r="Q35" s="14" t="s">
        <v>203</v>
      </c>
      <c r="R35" s="14" t="s">
        <v>204</v>
      </c>
      <c r="S35" s="7" t="s">
        <v>205</v>
      </c>
      <c r="T35" s="8"/>
      <c r="U35" s="11" t="str">
        <f>HYPERLINK("https://pbs.twimg.com/profile_images/900709336309276672/M5XpdeQJ.jpg","View")</f>
        <v>View</v>
      </c>
      <c r="V35" s="8"/>
      <c r="W35" s="8"/>
      <c r="X35" s="8"/>
      <c r="Y35" s="8"/>
      <c r="Z35" s="8"/>
    </row>
    <row r="36" spans="1:26" ht="13.2">
      <c r="A36" s="13">
        <v>44250.797013888892</v>
      </c>
      <c r="B36" s="6" t="str">
        <f>HYPERLINK("https://twitter.com/JikmyanM","@JikmyanM")</f>
        <v>@JikmyanM</v>
      </c>
      <c r="C36" s="14" t="s">
        <v>206</v>
      </c>
      <c r="D36" s="14" t="s">
        <v>207</v>
      </c>
      <c r="E36" s="6" t="str">
        <f>HYPERLINK("https://twitter.com/JikmyanM/status/1364275759603453955","1364275759603453955")</f>
        <v>1364275759603453955</v>
      </c>
      <c r="F36" s="7" t="s">
        <v>208</v>
      </c>
      <c r="G36" s="8"/>
      <c r="H36" s="8"/>
      <c r="I36" s="14">
        <v>0</v>
      </c>
      <c r="J36" s="14">
        <v>0</v>
      </c>
      <c r="K36" s="6" t="str">
        <f>HYPERLINK("https://mobile.twitter.com","Twitter Web App")</f>
        <v>Twitter Web App</v>
      </c>
      <c r="L36" s="15">
        <v>857</v>
      </c>
      <c r="M36" s="15">
        <v>1106</v>
      </c>
      <c r="N36" s="15">
        <v>0</v>
      </c>
      <c r="O36" s="9"/>
      <c r="P36" s="10">
        <v>41627.537557870368</v>
      </c>
      <c r="Q36" s="14" t="s">
        <v>209</v>
      </c>
      <c r="R36" s="14" t="s">
        <v>210</v>
      </c>
      <c r="S36" s="7" t="s">
        <v>211</v>
      </c>
      <c r="T36" s="8"/>
      <c r="U36" s="11" t="str">
        <f>HYPERLINK("https://pbs.twimg.com/profile_images/1334713415735136257/Pyrm11kq.jpg","View")</f>
        <v>View</v>
      </c>
      <c r="V36" s="8"/>
      <c r="W36" s="8"/>
      <c r="X36" s="8"/>
      <c r="Y36" s="8"/>
      <c r="Z36" s="8"/>
    </row>
    <row r="37" spans="1:26" ht="13.2">
      <c r="A37" s="13">
        <v>44250.796666666662</v>
      </c>
      <c r="B37" s="6" t="str">
        <f>HYPERLINK("https://twitter.com/DecisionsSmart","@DecisionsSmart")</f>
        <v>@DecisionsSmart</v>
      </c>
      <c r="C37" s="14" t="s">
        <v>212</v>
      </c>
      <c r="D37" s="14" t="s">
        <v>213</v>
      </c>
      <c r="E37" s="6" t="str">
        <f>HYPERLINK("https://twitter.com/DecisionsSmart/status/1364275633405181960","1364275633405181960")</f>
        <v>1364275633405181960</v>
      </c>
      <c r="F37" s="14" t="s">
        <v>214</v>
      </c>
      <c r="G37" s="8"/>
      <c r="H37" s="8"/>
      <c r="I37" s="14">
        <v>1</v>
      </c>
      <c r="J37" s="14">
        <v>0</v>
      </c>
      <c r="K37" s="6" t="str">
        <f>HYPERLINK("http://twinybots.com","TwinyBots")</f>
        <v>TwinyBots</v>
      </c>
      <c r="L37" s="15">
        <v>6690</v>
      </c>
      <c r="M37" s="15">
        <v>5126</v>
      </c>
      <c r="N37" s="15">
        <v>88</v>
      </c>
      <c r="O37" s="9"/>
      <c r="P37" s="10">
        <v>43282.143495370372</v>
      </c>
      <c r="Q37" s="14" t="s">
        <v>215</v>
      </c>
      <c r="R37" s="14" t="s">
        <v>216</v>
      </c>
      <c r="S37" s="8"/>
      <c r="T37" s="8"/>
      <c r="U37" s="11" t="str">
        <f>HYPERLINK("https://pbs.twimg.com/profile_images/1273753380373004289/crFq1msz.jpg","View")</f>
        <v>View</v>
      </c>
      <c r="V37" s="8"/>
      <c r="W37" s="8"/>
      <c r="X37" s="8"/>
      <c r="Y37" s="8"/>
      <c r="Z37" s="8"/>
    </row>
    <row r="38" spans="1:26" ht="13.2">
      <c r="A38" s="13">
        <v>44250.79623842593</v>
      </c>
      <c r="B38" s="6" t="str">
        <f>HYPERLINK("https://twitter.com/odsc","@odsc")</f>
        <v>@odsc</v>
      </c>
      <c r="C38" s="14" t="s">
        <v>217</v>
      </c>
      <c r="D38" s="14" t="s">
        <v>218</v>
      </c>
      <c r="E38" s="6" t="str">
        <f>HYPERLINK("https://twitter.com/odsc/status/1364275477129670656","1364275477129670656")</f>
        <v>1364275477129670656</v>
      </c>
      <c r="F38" s="7" t="s">
        <v>219</v>
      </c>
      <c r="G38" s="7" t="s">
        <v>220</v>
      </c>
      <c r="H38" s="8"/>
      <c r="I38" s="14">
        <v>2</v>
      </c>
      <c r="J38" s="14">
        <v>1</v>
      </c>
      <c r="K38" s="6" t="str">
        <f>HYPERLINK("http://www.hubspot.com/","HubSpot")</f>
        <v>HubSpot</v>
      </c>
      <c r="L38" s="15">
        <v>78817</v>
      </c>
      <c r="M38" s="15">
        <v>27883</v>
      </c>
      <c r="N38" s="15">
        <v>2461</v>
      </c>
      <c r="O38" s="9"/>
      <c r="P38" s="10">
        <v>42039.982766203699</v>
      </c>
      <c r="Q38" s="14" t="s">
        <v>221</v>
      </c>
      <c r="R38" s="14" t="s">
        <v>222</v>
      </c>
      <c r="S38" s="7" t="s">
        <v>223</v>
      </c>
      <c r="T38" s="8"/>
      <c r="U38" s="11" t="str">
        <f>HYPERLINK("https://pbs.twimg.com/profile_images/1115210960271228929/lHua2G3l.png","View")</f>
        <v>View</v>
      </c>
      <c r="V38" s="8"/>
      <c r="W38" s="8"/>
      <c r="X38" s="8"/>
      <c r="Y38" s="8"/>
      <c r="Z38" s="8"/>
    </row>
    <row r="39" spans="1:26" ht="13.2">
      <c r="A39" s="13">
        <v>44250.796203703707</v>
      </c>
      <c r="B39" s="6" t="str">
        <f>HYPERLINK("https://twitter.com/lopezunwired","@lopezunwired")</f>
        <v>@lopezunwired</v>
      </c>
      <c r="C39" s="14" t="s">
        <v>224</v>
      </c>
      <c r="D39" s="14" t="s">
        <v>225</v>
      </c>
      <c r="E39" s="6" t="str">
        <f>HYPERLINK("https://twitter.com/lopezunwired/status/1364275465809108992","1364275465809108992")</f>
        <v>1364275465809108992</v>
      </c>
      <c r="F39" s="7" t="s">
        <v>226</v>
      </c>
      <c r="G39" s="7" t="s">
        <v>227</v>
      </c>
      <c r="H39" s="8"/>
      <c r="I39" s="14">
        <v>3</v>
      </c>
      <c r="J39" s="14">
        <v>0</v>
      </c>
      <c r="K39" s="6" t="str">
        <f>HYPERLINK("https://dlvrit.com/","dlvr.it")</f>
        <v>dlvr.it</v>
      </c>
      <c r="L39" s="15">
        <v>1803</v>
      </c>
      <c r="M39" s="15">
        <v>800</v>
      </c>
      <c r="N39" s="15">
        <v>586</v>
      </c>
      <c r="O39" s="9"/>
      <c r="P39" s="10">
        <v>39831.947152777779</v>
      </c>
      <c r="Q39" s="14" t="s">
        <v>228</v>
      </c>
      <c r="R39" s="14" t="s">
        <v>229</v>
      </c>
      <c r="S39" s="7" t="s">
        <v>230</v>
      </c>
      <c r="T39" s="8"/>
      <c r="U39" s="11" t="str">
        <f>HYPERLINK("https://pbs.twimg.com/profile_images/3326137784/c6c1c2570fc7b9711dd8de812b996a66.jpeg","View")</f>
        <v>View</v>
      </c>
      <c r="V39" s="8"/>
      <c r="W39" s="8"/>
      <c r="X39" s="8"/>
      <c r="Y39" s="8"/>
      <c r="Z39" s="8"/>
    </row>
    <row r="40" spans="1:26" ht="13.2">
      <c r="A40" s="13">
        <v>44250.796122685184</v>
      </c>
      <c r="B40" s="6" t="str">
        <f>HYPERLINK("https://twitter.com/aiplustraining","@aiplustraining")</f>
        <v>@aiplustraining</v>
      </c>
      <c r="C40" s="14" t="s">
        <v>231</v>
      </c>
      <c r="D40" s="14" t="s">
        <v>232</v>
      </c>
      <c r="E40" s="6" t="str">
        <f>HYPERLINK("https://twitter.com/aiplustraining/status/1364275435513724929","1364275435513724929")</f>
        <v>1364275435513724929</v>
      </c>
      <c r="F40" s="7" t="s">
        <v>233</v>
      </c>
      <c r="G40" s="7" t="s">
        <v>234</v>
      </c>
      <c r="H40" s="8"/>
      <c r="I40" s="14">
        <v>1</v>
      </c>
      <c r="J40" s="14">
        <v>0</v>
      </c>
      <c r="K40" s="6" t="str">
        <f>HYPERLINK("http://www.hubspot.com/","HubSpot")</f>
        <v>HubSpot</v>
      </c>
      <c r="L40" s="15">
        <v>5</v>
      </c>
      <c r="M40" s="15">
        <v>2</v>
      </c>
      <c r="N40" s="15">
        <v>0</v>
      </c>
      <c r="O40" s="9"/>
      <c r="P40" s="10">
        <v>44237.778668981482</v>
      </c>
      <c r="Q40" s="14" t="s">
        <v>221</v>
      </c>
      <c r="R40" s="14" t="s">
        <v>235</v>
      </c>
      <c r="S40" s="7" t="s">
        <v>236</v>
      </c>
      <c r="T40" s="8"/>
      <c r="U40" s="11" t="str">
        <f>HYPERLINK("https://pbs.twimg.com/profile_images/1359558269157707783/sqig3Ehi.png","View")</f>
        <v>View</v>
      </c>
      <c r="V40" s="8"/>
      <c r="W40" s="8"/>
      <c r="X40" s="8"/>
      <c r="Y40" s="8"/>
      <c r="Z40" s="8"/>
    </row>
    <row r="41" spans="1:26" ht="13.2">
      <c r="A41" s="13">
        <v>44250.795833333337</v>
      </c>
      <c r="B41" s="6" t="str">
        <f>HYPERLINK("https://twitter.com/jancavelle","@jancavelle")</f>
        <v>@jancavelle</v>
      </c>
      <c r="C41" s="14" t="s">
        <v>237</v>
      </c>
      <c r="D41" s="14" t="s">
        <v>238</v>
      </c>
      <c r="E41" s="6" t="str">
        <f>HYPERLINK("https://twitter.com/jancavelle/status/1364275329624277123","1364275329624277123")</f>
        <v>1364275329624277123</v>
      </c>
      <c r="F41" s="14" t="s">
        <v>239</v>
      </c>
      <c r="G41" s="7" t="s">
        <v>240</v>
      </c>
      <c r="H41" s="8"/>
      <c r="I41" s="14">
        <v>0</v>
      </c>
      <c r="J41" s="14">
        <v>0</v>
      </c>
      <c r="K41" s="6" t="str">
        <f>HYPERLINK("https://about.twitter.com/products/tweetdeck","TweetDeck")</f>
        <v>TweetDeck</v>
      </c>
      <c r="L41" s="15">
        <v>12361</v>
      </c>
      <c r="M41" s="15">
        <v>11723</v>
      </c>
      <c r="N41" s="15">
        <v>118</v>
      </c>
      <c r="O41" s="9"/>
      <c r="P41" s="10">
        <v>39835.781446759262</v>
      </c>
      <c r="Q41" s="14" t="s">
        <v>241</v>
      </c>
      <c r="R41" s="14" t="s">
        <v>242</v>
      </c>
      <c r="S41" s="7" t="s">
        <v>243</v>
      </c>
      <c r="T41" s="8"/>
      <c r="U41" s="11" t="str">
        <f>HYPERLINK("https://pbs.twimg.com/profile_images/971411591659966465/liJWsXpe.jpg","View")</f>
        <v>View</v>
      </c>
      <c r="V41" s="8"/>
      <c r="W41" s="8"/>
      <c r="X41" s="8"/>
      <c r="Y41" s="8"/>
      <c r="Z41" s="8"/>
    </row>
    <row r="42" spans="1:26" ht="13.2">
      <c r="A42" s="13">
        <v>44250.795567129629</v>
      </c>
      <c r="B42" s="6" t="str">
        <f>HYPERLINK("https://twitter.com/BlackfreeNiken","@BlackfreeNiken")</f>
        <v>@BlackfreeNiken</v>
      </c>
      <c r="C42" s="14" t="s">
        <v>244</v>
      </c>
      <c r="D42" s="14" t="s">
        <v>245</v>
      </c>
      <c r="E42" s="6" t="str">
        <f>HYPERLINK("https://twitter.com/BlackfreeNiken/status/1364275236108034050","1364275236108034050")</f>
        <v>1364275236108034050</v>
      </c>
      <c r="F42" s="7" t="s">
        <v>246</v>
      </c>
      <c r="G42" s="7" t="s">
        <v>247</v>
      </c>
      <c r="H42" s="8"/>
      <c r="I42" s="14">
        <v>18</v>
      </c>
      <c r="J42" s="14">
        <v>2</v>
      </c>
      <c r="K42" s="6" t="str">
        <f>HYPERLINK("https://mobile.twitter.com","Twitter Web App")</f>
        <v>Twitter Web App</v>
      </c>
      <c r="L42" s="15">
        <v>266</v>
      </c>
      <c r="M42" s="15">
        <v>167</v>
      </c>
      <c r="N42" s="15">
        <v>11</v>
      </c>
      <c r="O42" s="9"/>
      <c r="P42" s="10">
        <v>43630.661504629628</v>
      </c>
      <c r="Q42" s="8"/>
      <c r="R42" s="14" t="s">
        <v>248</v>
      </c>
      <c r="S42" s="7" t="s">
        <v>249</v>
      </c>
      <c r="T42" s="8"/>
      <c r="U42" s="11" t="str">
        <f>HYPERLINK("https://pbs.twimg.com/profile_images/1198566533317844997/LJzP5iY7.jpg","View")</f>
        <v>View</v>
      </c>
      <c r="V42" s="8"/>
      <c r="W42" s="8"/>
      <c r="X42" s="8"/>
      <c r="Y42" s="8"/>
      <c r="Z42" s="8"/>
    </row>
    <row r="43" spans="1:26" ht="13.2">
      <c r="A43" s="13">
        <v>44250.79552083333</v>
      </c>
      <c r="B43" s="6" t="str">
        <f>HYPERLINK("https://twitter.com/flowrax_x","@flowrax_x")</f>
        <v>@flowrax_x</v>
      </c>
      <c r="C43" s="14" t="s">
        <v>250</v>
      </c>
      <c r="D43" s="14" t="s">
        <v>251</v>
      </c>
      <c r="E43" s="6" t="str">
        <f>HYPERLINK("https://twitter.com/flowrax_x/status/1364275216407552001","1364275216407552001")</f>
        <v>1364275216407552001</v>
      </c>
      <c r="F43" s="8"/>
      <c r="G43" s="7" t="s">
        <v>252</v>
      </c>
      <c r="H43" s="8"/>
      <c r="I43" s="14">
        <v>6</v>
      </c>
      <c r="J43" s="14">
        <v>1</v>
      </c>
      <c r="K43" s="6" t="str">
        <f>HYPERLINK("https://www.later.com","LaterMedia")</f>
        <v>LaterMedia</v>
      </c>
      <c r="L43" s="15">
        <v>18</v>
      </c>
      <c r="M43" s="15">
        <v>78</v>
      </c>
      <c r="N43" s="15">
        <v>0</v>
      </c>
      <c r="O43" s="9"/>
      <c r="P43" s="10">
        <v>44238.855486111112</v>
      </c>
      <c r="Q43" s="8"/>
      <c r="R43" s="14" t="s">
        <v>253</v>
      </c>
      <c r="S43" s="7" t="s">
        <v>254</v>
      </c>
      <c r="T43" s="8"/>
      <c r="U43" s="11" t="str">
        <f>HYPERLINK("https://pbs.twimg.com/profile_images/1359948560158978050/uGqG2sUw.jpg","View")</f>
        <v>View</v>
      </c>
      <c r="V43" s="8"/>
      <c r="W43" s="8"/>
      <c r="X43" s="8"/>
      <c r="Y43" s="8"/>
      <c r="Z43" s="8"/>
    </row>
    <row r="44" spans="1:26" ht="13.2">
      <c r="A44" s="13">
        <v>44250.795208333337</v>
      </c>
      <c r="B44" s="6" t="str">
        <f>HYPERLINK("https://twitter.com/nigewillson","@nigewillson")</f>
        <v>@nigewillson</v>
      </c>
      <c r="C44" s="14" t="s">
        <v>95</v>
      </c>
      <c r="D44" s="14" t="s">
        <v>255</v>
      </c>
      <c r="E44" s="6" t="str">
        <f>HYPERLINK("https://twitter.com/nigewillson/status/1364275102993571841","1364275102993571841")</f>
        <v>1364275102993571841</v>
      </c>
      <c r="F44" s="7" t="s">
        <v>256</v>
      </c>
      <c r="G44" s="7" t="s">
        <v>117</v>
      </c>
      <c r="H44" s="8"/>
      <c r="I44" s="14">
        <v>6</v>
      </c>
      <c r="J44" s="14">
        <v>4</v>
      </c>
      <c r="K44" s="6" t="str">
        <f>HYPERLINK("https://buffer.com","Buffer")</f>
        <v>Buffer</v>
      </c>
      <c r="L44" s="15">
        <v>57515</v>
      </c>
      <c r="M44" s="15">
        <v>49523</v>
      </c>
      <c r="N44" s="15">
        <v>1688</v>
      </c>
      <c r="O44" s="9"/>
      <c r="P44" s="10">
        <v>40530.666805555556</v>
      </c>
      <c r="Q44" s="14" t="s">
        <v>99</v>
      </c>
      <c r="R44" s="14" t="s">
        <v>100</v>
      </c>
      <c r="S44" s="7" t="s">
        <v>101</v>
      </c>
      <c r="T44" s="8"/>
      <c r="U44" s="11" t="str">
        <f>HYPERLINK("https://pbs.twimg.com/profile_images/1085251590997622784/x9mWVQ1d.jpg","View")</f>
        <v>View</v>
      </c>
      <c r="V44" s="8"/>
      <c r="W44" s="8"/>
      <c r="X44" s="8"/>
      <c r="Y44" s="8"/>
      <c r="Z44" s="8"/>
    </row>
    <row r="45" spans="1:26" ht="13.2">
      <c r="A45" s="13">
        <v>44250.79478009259</v>
      </c>
      <c r="B45" s="6" t="str">
        <f>HYPERLINK("https://twitter.com/rzeta0","@rzeta0")</f>
        <v>@rzeta0</v>
      </c>
      <c r="C45" s="14" t="s">
        <v>257</v>
      </c>
      <c r="D45" s="14" t="s">
        <v>258</v>
      </c>
      <c r="E45" s="6" t="str">
        <f>HYPERLINK("https://twitter.com/rzeta0/status/1364274949620391937","1364274949620391937")</f>
        <v>1364274949620391937</v>
      </c>
      <c r="F45" s="7" t="s">
        <v>259</v>
      </c>
      <c r="G45" s="8"/>
      <c r="H45" s="8"/>
      <c r="I45" s="14">
        <v>1</v>
      </c>
      <c r="J45" s="14">
        <v>0</v>
      </c>
      <c r="K45" s="6" t="str">
        <f>HYPERLINK("https://mobile.twitter.com","Twitter Web App")</f>
        <v>Twitter Web App</v>
      </c>
      <c r="L45" s="15">
        <v>1365</v>
      </c>
      <c r="M45" s="15">
        <v>520</v>
      </c>
      <c r="N45" s="15">
        <v>43</v>
      </c>
      <c r="O45" s="9"/>
      <c r="P45" s="10">
        <v>43284.916759259257</v>
      </c>
      <c r="Q45" s="14" t="s">
        <v>260</v>
      </c>
      <c r="R45" s="14" t="s">
        <v>261</v>
      </c>
      <c r="S45" s="7" t="s">
        <v>262</v>
      </c>
      <c r="T45" s="8"/>
      <c r="U45" s="11" t="str">
        <f>HYPERLINK("https://pbs.twimg.com/profile_images/1320540412856205315/NJFykmko.jpg","View")</f>
        <v>View</v>
      </c>
      <c r="V45" s="8"/>
      <c r="W45" s="8"/>
      <c r="X45" s="8"/>
      <c r="Y45" s="8"/>
      <c r="Z45" s="8"/>
    </row>
    <row r="46" spans="1:26" ht="13.2">
      <c r="A46" s="13">
        <v>44250.794444444444</v>
      </c>
      <c r="B46" s="6" t="str">
        <f>HYPERLINK("https://twitter.com/stratorob","@stratorob")</f>
        <v>@stratorob</v>
      </c>
      <c r="C46" s="14" t="s">
        <v>263</v>
      </c>
      <c r="D46" s="14" t="s">
        <v>264</v>
      </c>
      <c r="E46" s="6" t="str">
        <f>HYPERLINK("https://twitter.com/stratorob/status/1364274828824481792","1364274828824481792")</f>
        <v>1364274828824481792</v>
      </c>
      <c r="F46" s="7" t="s">
        <v>265</v>
      </c>
      <c r="G46" s="8"/>
      <c r="H46" s="8"/>
      <c r="I46" s="14">
        <v>1</v>
      </c>
      <c r="J46" s="14">
        <v>0</v>
      </c>
      <c r="K46" s="6" t="str">
        <f>HYPERLINK("https://paper.li","Paper.li")</f>
        <v>Paper.li</v>
      </c>
      <c r="L46" s="15">
        <v>32477</v>
      </c>
      <c r="M46" s="15">
        <v>12996</v>
      </c>
      <c r="N46" s="15">
        <v>657</v>
      </c>
      <c r="O46" s="9"/>
      <c r="P46" s="10">
        <v>40570.461076388892</v>
      </c>
      <c r="Q46" s="14" t="s">
        <v>266</v>
      </c>
      <c r="R46" s="14" t="s">
        <v>267</v>
      </c>
      <c r="S46" s="7" t="s">
        <v>268</v>
      </c>
      <c r="T46" s="8"/>
      <c r="U46" s="11" t="str">
        <f>HYPERLINK("https://pbs.twimg.com/profile_images/1081644975333478401/_Csd-JKp.jpg","View")</f>
        <v>View</v>
      </c>
      <c r="V46" s="8"/>
      <c r="W46" s="8"/>
      <c r="X46" s="8"/>
      <c r="Y46" s="8"/>
      <c r="Z46" s="8"/>
    </row>
    <row r="47" spans="1:26" ht="13.2">
      <c r="A47" s="13">
        <v>44250.794247685189</v>
      </c>
      <c r="B47" s="6" t="str">
        <f>HYPERLINK("https://twitter.com/MedicaliPhone","@MedicaliPhone")</f>
        <v>@MedicaliPhone</v>
      </c>
      <c r="C47" s="14" t="s">
        <v>269</v>
      </c>
      <c r="D47" s="14" t="s">
        <v>213</v>
      </c>
      <c r="E47" s="6" t="str">
        <f>HYPERLINK("https://twitter.com/MedicaliPhone/status/1364274756082663425","1364274756082663425")</f>
        <v>1364274756082663425</v>
      </c>
      <c r="F47" s="14" t="s">
        <v>214</v>
      </c>
      <c r="G47" s="8"/>
      <c r="H47" s="8"/>
      <c r="I47" s="14">
        <v>1</v>
      </c>
      <c r="J47" s="14">
        <v>0</v>
      </c>
      <c r="K47" s="6" t="str">
        <f>HYPERLINK("http://twinybots.com","TwinyBots")</f>
        <v>TwinyBots</v>
      </c>
      <c r="L47" s="15">
        <v>18689</v>
      </c>
      <c r="M47" s="15">
        <v>19077</v>
      </c>
      <c r="N47" s="15">
        <v>450</v>
      </c>
      <c r="O47" s="9"/>
      <c r="P47" s="10">
        <v>39978.071932870371</v>
      </c>
      <c r="Q47" s="14" t="s">
        <v>270</v>
      </c>
      <c r="R47" s="14" t="s">
        <v>271</v>
      </c>
      <c r="S47" s="7" t="s">
        <v>272</v>
      </c>
      <c r="T47" s="8"/>
      <c r="U47" s="11" t="str">
        <f>HYPERLINK("https://pbs.twimg.com/profile_images/671869096389021696/Z1Kr3P0K.png","View")</f>
        <v>View</v>
      </c>
      <c r="V47" s="8"/>
      <c r="W47" s="8"/>
      <c r="X47" s="8"/>
      <c r="Y47" s="8"/>
      <c r="Z47" s="8"/>
    </row>
    <row r="48" spans="1:26" ht="13.2">
      <c r="A48" s="13">
        <v>44250.793923611112</v>
      </c>
      <c r="B48" s="6" t="str">
        <f>HYPERLINK("https://twitter.com/ttaulli","@ttaulli")</f>
        <v>@ttaulli</v>
      </c>
      <c r="C48" s="14" t="s">
        <v>273</v>
      </c>
      <c r="D48" s="14" t="s">
        <v>274</v>
      </c>
      <c r="E48" s="6" t="str">
        <f>HYPERLINK("https://twitter.com/ttaulli/status/1364274639891886080","1364274639891886080")</f>
        <v>1364274639891886080</v>
      </c>
      <c r="F48" s="7" t="s">
        <v>275</v>
      </c>
      <c r="G48" s="8"/>
      <c r="H48" s="8"/>
      <c r="I48" s="14">
        <v>1</v>
      </c>
      <c r="J48" s="14">
        <v>0</v>
      </c>
      <c r="K48" s="6" t="str">
        <f>HYPERLINK("https://mobile.twitter.com","Twitter Web App")</f>
        <v>Twitter Web App</v>
      </c>
      <c r="L48" s="15">
        <v>4905</v>
      </c>
      <c r="M48" s="15">
        <v>1681</v>
      </c>
      <c r="N48" s="15">
        <v>161</v>
      </c>
      <c r="O48" s="9"/>
      <c r="P48" s="10">
        <v>39877.143969907411</v>
      </c>
      <c r="Q48" s="14" t="s">
        <v>276</v>
      </c>
      <c r="R48" s="14" t="s">
        <v>277</v>
      </c>
      <c r="S48" s="7" t="s">
        <v>278</v>
      </c>
      <c r="T48" s="8"/>
      <c r="U48" s="11" t="str">
        <f>HYPERLINK("https://pbs.twimg.com/profile_images/493075191132454913/ihuKGBBI.png","View")</f>
        <v>View</v>
      </c>
      <c r="V48" s="8"/>
      <c r="W48" s="8"/>
      <c r="X48" s="8"/>
      <c r="Y48" s="8"/>
      <c r="Z48" s="8"/>
    </row>
    <row r="49" spans="1:26" ht="13.2">
      <c r="A49" s="13">
        <v>44250.793599537035</v>
      </c>
      <c r="B49" s="6" t="str">
        <f>HYPERLINK("https://twitter.com/machinelearnflx","@machinelearnflx")</f>
        <v>@machinelearnflx</v>
      </c>
      <c r="C49" s="14" t="s">
        <v>279</v>
      </c>
      <c r="D49" s="14" t="s">
        <v>280</v>
      </c>
      <c r="E49" s="6" t="str">
        <f>HYPERLINK("https://twitter.com/machinelearnflx/status/1364274521583341570","1364274521583341570")</f>
        <v>1364274521583341570</v>
      </c>
      <c r="F49" s="7" t="s">
        <v>281</v>
      </c>
      <c r="G49" s="8"/>
      <c r="H49" s="8"/>
      <c r="I49" s="14">
        <v>1</v>
      </c>
      <c r="J49" s="14">
        <v>2</v>
      </c>
      <c r="K49" s="6" t="str">
        <f>HYPERLINK("https://twitter.com/pythonbot_","Postmatico")</f>
        <v>Postmatico</v>
      </c>
      <c r="L49" s="15">
        <v>90451</v>
      </c>
      <c r="M49" s="15">
        <v>35464</v>
      </c>
      <c r="N49" s="15">
        <v>2227</v>
      </c>
      <c r="O49" s="9"/>
      <c r="P49" s="10">
        <v>42386.538865740746</v>
      </c>
      <c r="Q49" s="8"/>
      <c r="R49" s="14" t="s">
        <v>282</v>
      </c>
      <c r="S49" s="7" t="s">
        <v>283</v>
      </c>
      <c r="T49" s="8"/>
      <c r="U49" s="11" t="str">
        <f>HYPERLINK("https://pbs.twimg.com/profile_images/688735459892195329/v8sHaWSG.jpg","View")</f>
        <v>View</v>
      </c>
      <c r="V49" s="8"/>
      <c r="W49" s="8"/>
      <c r="X49" s="8"/>
      <c r="Y49" s="8"/>
      <c r="Z49" s="8"/>
    </row>
    <row r="50" spans="1:26" ht="13.2">
      <c r="A50" s="13">
        <v>44250.793587962966</v>
      </c>
      <c r="B50" s="6" t="str">
        <f>HYPERLINK("https://twitter.com/future_of_AI","@future_of_AI")</f>
        <v>@future_of_AI</v>
      </c>
      <c r="C50" s="14" t="s">
        <v>284</v>
      </c>
      <c r="D50" s="14" t="s">
        <v>285</v>
      </c>
      <c r="E50" s="6" t="str">
        <f>HYPERLINK("https://twitter.com/future_of_AI/status/1364274515195346946","1364274515195346946")</f>
        <v>1364274515195346946</v>
      </c>
      <c r="F50" s="7" t="s">
        <v>286</v>
      </c>
      <c r="G50" s="8"/>
      <c r="H50" s="8"/>
      <c r="I50" s="14">
        <v>1</v>
      </c>
      <c r="J50" s="14">
        <v>0</v>
      </c>
      <c r="K50" s="6" t="str">
        <f>HYPERLINK("https://buffer.com","Buffer")</f>
        <v>Buffer</v>
      </c>
      <c r="L50" s="15">
        <v>2893</v>
      </c>
      <c r="M50" s="15">
        <v>1348</v>
      </c>
      <c r="N50" s="15">
        <v>130</v>
      </c>
      <c r="O50" s="9"/>
      <c r="P50" s="10">
        <v>42816.80840277778</v>
      </c>
      <c r="Q50" s="8"/>
      <c r="R50" s="14" t="s">
        <v>287</v>
      </c>
      <c r="S50" s="7" t="s">
        <v>288</v>
      </c>
      <c r="T50" s="8"/>
      <c r="U50" s="11" t="str">
        <f>HYPERLINK("https://pbs.twimg.com/profile_images/1047866034970140673/ZBhSks16.jpg","View")</f>
        <v>View</v>
      </c>
      <c r="V50" s="8"/>
      <c r="W50" s="8"/>
      <c r="X50" s="8"/>
      <c r="Y50" s="8"/>
      <c r="Z50" s="8"/>
    </row>
    <row r="51" spans="1:26" ht="13.2">
      <c r="A51" s="13">
        <v>44250.79351851852</v>
      </c>
      <c r="B51" s="6" t="str">
        <f>HYPERLINK("https://twitter.com/swisstfrazer","@swisstfrazer")</f>
        <v>@swisstfrazer</v>
      </c>
      <c r="C51" s="14" t="s">
        <v>289</v>
      </c>
      <c r="D51" s="14" t="s">
        <v>290</v>
      </c>
      <c r="E51" s="6" t="str">
        <f>HYPERLINK("https://twitter.com/swisstfrazer/status/1364274492315344897","1364274492315344897")</f>
        <v>1364274492315344897</v>
      </c>
      <c r="F51" s="7" t="s">
        <v>291</v>
      </c>
      <c r="G51" s="8"/>
      <c r="H51" s="8"/>
      <c r="I51" s="14">
        <v>0</v>
      </c>
      <c r="J51" s="14">
        <v>0</v>
      </c>
      <c r="K51" s="6" t="str">
        <f t="shared" ref="K51:K52" si="5">HYPERLINK("https://mobile.twitter.com","Twitter Web App")</f>
        <v>Twitter Web App</v>
      </c>
      <c r="L51" s="15">
        <v>531</v>
      </c>
      <c r="M51" s="15">
        <v>479</v>
      </c>
      <c r="N51" s="15">
        <v>50</v>
      </c>
      <c r="O51" s="9"/>
      <c r="P51" s="10">
        <v>42212.728090277778</v>
      </c>
      <c r="Q51" s="14" t="s">
        <v>292</v>
      </c>
      <c r="R51" s="14" t="s">
        <v>293</v>
      </c>
      <c r="S51" s="7" t="s">
        <v>294</v>
      </c>
      <c r="T51" s="8"/>
      <c r="U51" s="11" t="str">
        <f>HYPERLINK("https://pbs.twimg.com/profile_images/1164006962826104832/z4ZiBUHI.jpg","View")</f>
        <v>View</v>
      </c>
      <c r="V51" s="8"/>
      <c r="W51" s="8"/>
      <c r="X51" s="8"/>
      <c r="Y51" s="8"/>
      <c r="Z51" s="8"/>
    </row>
    <row r="52" spans="1:26" ht="13.2">
      <c r="A52" s="13">
        <v>44250.793182870373</v>
      </c>
      <c r="B52" s="6" t="str">
        <f>HYPERLINK("https://twitter.com/gnv_dam","@gnv_dam")</f>
        <v>@gnv_dam</v>
      </c>
      <c r="C52" s="14" t="s">
        <v>295</v>
      </c>
      <c r="D52" s="14" t="s">
        <v>296</v>
      </c>
      <c r="E52" s="6" t="str">
        <f>HYPERLINK("https://twitter.com/gnv_dam/status/1364274369170669573","1364274369170669573")</f>
        <v>1364274369170669573</v>
      </c>
      <c r="F52" s="7" t="s">
        <v>297</v>
      </c>
      <c r="G52" s="8"/>
      <c r="H52" s="8"/>
      <c r="I52" s="14">
        <v>1</v>
      </c>
      <c r="J52" s="14">
        <v>0</v>
      </c>
      <c r="K52" s="6" t="str">
        <f t="shared" si="5"/>
        <v>Twitter Web App</v>
      </c>
      <c r="L52" s="15">
        <v>4207</v>
      </c>
      <c r="M52" s="15">
        <v>3961</v>
      </c>
      <c r="N52" s="15">
        <v>34</v>
      </c>
      <c r="O52" s="9"/>
      <c r="P52" s="10">
        <v>43269.585266203707</v>
      </c>
      <c r="Q52" s="14" t="s">
        <v>298</v>
      </c>
      <c r="R52" s="14" t="s">
        <v>299</v>
      </c>
      <c r="S52" s="8"/>
      <c r="T52" s="8"/>
      <c r="U52" s="11" t="str">
        <f>HYPERLINK("https://pbs.twimg.com/profile_images/1343628816674123777/ZdRT0ceF.jpg","View")</f>
        <v>View</v>
      </c>
      <c r="V52" s="8"/>
      <c r="W52" s="8"/>
      <c r="X52" s="8"/>
      <c r="Y52" s="8"/>
      <c r="Z52" s="8"/>
    </row>
    <row r="53" spans="1:26" ht="13.2">
      <c r="A53" s="13">
        <v>44250.792939814812</v>
      </c>
      <c r="B53" s="6" t="str">
        <f>HYPERLINK("https://twitter.com/netdove","@netdove")</f>
        <v>@netdove</v>
      </c>
      <c r="C53" s="14" t="s">
        <v>300</v>
      </c>
      <c r="D53" s="14" t="s">
        <v>301</v>
      </c>
      <c r="E53" s="6" t="str">
        <f>HYPERLINK("https://twitter.com/netdove/status/1364274281048379394","1364274281048379394")</f>
        <v>1364274281048379394</v>
      </c>
      <c r="F53" s="7" t="s">
        <v>302</v>
      </c>
      <c r="G53" s="8"/>
      <c r="H53" s="8"/>
      <c r="I53" s="14">
        <v>0</v>
      </c>
      <c r="J53" s="14">
        <v>0</v>
      </c>
      <c r="K53" s="6" t="str">
        <f>HYPERLINK("https://paper.li","Paper.li")</f>
        <v>Paper.li</v>
      </c>
      <c r="L53" s="15">
        <v>125</v>
      </c>
      <c r="M53" s="15">
        <v>614</v>
      </c>
      <c r="N53" s="15">
        <v>22</v>
      </c>
      <c r="O53" s="9"/>
      <c r="P53" s="10">
        <v>39926.094872685186</v>
      </c>
      <c r="Q53" s="14" t="s">
        <v>303</v>
      </c>
      <c r="R53" s="14" t="s">
        <v>304</v>
      </c>
      <c r="S53" s="8"/>
      <c r="T53" s="8"/>
      <c r="U53" s="11" t="str">
        <f>HYPERLINK("https://pbs.twimg.com/profile_images/485282154935382016/64tdQSO0.png","View")</f>
        <v>View</v>
      </c>
      <c r="V53" s="8"/>
      <c r="W53" s="8"/>
      <c r="X53" s="8"/>
      <c r="Y53" s="8"/>
      <c r="Z53" s="8"/>
    </row>
    <row r="54" spans="1:26" ht="13.2">
      <c r="A54" s="13">
        <v>44250.792465277773</v>
      </c>
      <c r="B54" s="6" t="str">
        <f>HYPERLINK("https://twitter.com/globaliqx","@globaliqx")</f>
        <v>@globaliqx</v>
      </c>
      <c r="C54" s="14" t="s">
        <v>305</v>
      </c>
      <c r="D54" s="14" t="s">
        <v>306</v>
      </c>
      <c r="E54" s="6" t="str">
        <f>HYPERLINK("https://twitter.com/globaliqx/status/1364274109081878533","1364274109081878533")</f>
        <v>1364274109081878533</v>
      </c>
      <c r="F54" s="7" t="s">
        <v>307</v>
      </c>
      <c r="G54" s="7" t="s">
        <v>308</v>
      </c>
      <c r="H54" s="8"/>
      <c r="I54" s="14">
        <v>3</v>
      </c>
      <c r="J54" s="14">
        <v>2</v>
      </c>
      <c r="K54" s="6" t="str">
        <f t="shared" ref="K54:K55" si="6">HYPERLINK("https://buffer.com","Buffer")</f>
        <v>Buffer</v>
      </c>
      <c r="L54" s="15">
        <v>10339</v>
      </c>
      <c r="M54" s="15">
        <v>7808</v>
      </c>
      <c r="N54" s="15">
        <v>868</v>
      </c>
      <c r="O54" s="9"/>
      <c r="P54" s="10">
        <v>41565.721296296295</v>
      </c>
      <c r="Q54" s="14" t="s">
        <v>309</v>
      </c>
      <c r="R54" s="14" t="s">
        <v>310</v>
      </c>
      <c r="S54" s="7" t="s">
        <v>311</v>
      </c>
      <c r="T54" s="8"/>
      <c r="U54" s="11" t="str">
        <f>HYPERLINK("https://pbs.twimg.com/profile_images/695005663492247556/v0EQSRal.jpg","View")</f>
        <v>View</v>
      </c>
      <c r="V54" s="8"/>
      <c r="W54" s="8"/>
      <c r="X54" s="8"/>
      <c r="Y54" s="8"/>
      <c r="Z54" s="8"/>
    </row>
    <row r="55" spans="1:26" ht="13.2">
      <c r="A55" s="13">
        <v>44250.792372685188</v>
      </c>
      <c r="B55" s="6" t="str">
        <f>HYPERLINK("https://twitter.com/Deep_In_Depth","@Deep_In_Depth")</f>
        <v>@Deep_In_Depth</v>
      </c>
      <c r="C55" s="14" t="s">
        <v>312</v>
      </c>
      <c r="D55" s="14" t="s">
        <v>313</v>
      </c>
      <c r="E55" s="6" t="str">
        <f>HYPERLINK("https://twitter.com/Deep_In_Depth/status/1364274076752240640","1364274076752240640")</f>
        <v>1364274076752240640</v>
      </c>
      <c r="F55" s="7" t="s">
        <v>314</v>
      </c>
      <c r="G55" s="8"/>
      <c r="H55" s="8"/>
      <c r="I55" s="14">
        <v>1</v>
      </c>
      <c r="J55" s="14">
        <v>0</v>
      </c>
      <c r="K55" s="6" t="str">
        <f t="shared" si="6"/>
        <v>Buffer</v>
      </c>
      <c r="L55" s="15">
        <v>10954</v>
      </c>
      <c r="M55" s="15">
        <v>9176</v>
      </c>
      <c r="N55" s="15">
        <v>159</v>
      </c>
      <c r="O55" s="9"/>
      <c r="P55" s="10">
        <v>42864.439525462964</v>
      </c>
      <c r="Q55" s="14" t="s">
        <v>315</v>
      </c>
      <c r="R55" s="14" t="s">
        <v>316</v>
      </c>
      <c r="S55" s="7" t="s">
        <v>317</v>
      </c>
      <c r="T55" s="8"/>
      <c r="U55" s="11" t="str">
        <f>HYPERLINK("https://pbs.twimg.com/profile_images/861866967493431296/PIjaSD4g.jpg","View")</f>
        <v>View</v>
      </c>
      <c r="V55" s="8"/>
      <c r="W55" s="8"/>
      <c r="X55" s="8"/>
      <c r="Y55" s="8"/>
      <c r="Z55" s="8"/>
    </row>
    <row r="56" spans="1:26" ht="13.2">
      <c r="A56" s="13">
        <v>44250.792256944449</v>
      </c>
      <c r="B56" s="6" t="str">
        <f>HYPERLINK("https://twitter.com/ParolaAnalytics","@ParolaAnalytics")</f>
        <v>@ParolaAnalytics</v>
      </c>
      <c r="C56" s="14" t="s">
        <v>318</v>
      </c>
      <c r="D56" s="14" t="s">
        <v>319</v>
      </c>
      <c r="E56" s="6" t="str">
        <f>HYPERLINK("https://twitter.com/ParolaAnalytics/status/1364274033542328323","1364274033542328323")</f>
        <v>1364274033542328323</v>
      </c>
      <c r="F56" s="7" t="s">
        <v>320</v>
      </c>
      <c r="G56" s="7" t="s">
        <v>321</v>
      </c>
      <c r="H56" s="8"/>
      <c r="I56" s="14">
        <v>0</v>
      </c>
      <c r="J56" s="14">
        <v>0</v>
      </c>
      <c r="K56" s="6" t="str">
        <f t="shared" ref="K56:K57" si="7">HYPERLINK("https://www.hootsuite.com","Hootsuite Inc.")</f>
        <v>Hootsuite Inc.</v>
      </c>
      <c r="L56" s="15">
        <v>886</v>
      </c>
      <c r="M56" s="15">
        <v>984</v>
      </c>
      <c r="N56" s="15">
        <v>20</v>
      </c>
      <c r="O56" s="9"/>
      <c r="P56" s="10">
        <v>42620.378506944442</v>
      </c>
      <c r="Q56" s="14" t="s">
        <v>322</v>
      </c>
      <c r="R56" s="14" t="s">
        <v>323</v>
      </c>
      <c r="S56" s="7" t="s">
        <v>324</v>
      </c>
      <c r="T56" s="8"/>
      <c r="U56" s="11" t="str">
        <f>HYPERLINK("https://pbs.twimg.com/profile_images/773418864138936321/WqlxAkrf.jpg","View")</f>
        <v>View</v>
      </c>
      <c r="V56" s="8"/>
      <c r="W56" s="8"/>
      <c r="X56" s="8"/>
      <c r="Y56" s="8"/>
      <c r="Z56" s="8"/>
    </row>
    <row r="57" spans="1:26" ht="13.2">
      <c r="A57" s="13">
        <v>44250.792187500003</v>
      </c>
      <c r="B57" s="6" t="str">
        <f>HYPERLINK("https://twitter.com/ESGI","@ESGI")</f>
        <v>@ESGI</v>
      </c>
      <c r="C57" s="14" t="s">
        <v>325</v>
      </c>
      <c r="D57" s="14" t="s">
        <v>326</v>
      </c>
      <c r="E57" s="6" t="str">
        <f>HYPERLINK("https://twitter.com/ESGI/status/1364274009723068425","1364274009723068425")</f>
        <v>1364274009723068425</v>
      </c>
      <c r="F57" s="7" t="s">
        <v>327</v>
      </c>
      <c r="G57" s="8"/>
      <c r="H57" s="8"/>
      <c r="I57" s="14">
        <v>0</v>
      </c>
      <c r="J57" s="14">
        <v>0</v>
      </c>
      <c r="K57" s="6" t="str">
        <f t="shared" si="7"/>
        <v>Hootsuite Inc.</v>
      </c>
      <c r="L57" s="15">
        <v>1247</v>
      </c>
      <c r="M57" s="15">
        <v>150</v>
      </c>
      <c r="N57" s="15">
        <v>53</v>
      </c>
      <c r="O57" s="9"/>
      <c r="P57" s="10">
        <v>41181.623344907406</v>
      </c>
      <c r="Q57" s="14" t="s">
        <v>328</v>
      </c>
      <c r="R57" s="14" t="s">
        <v>329</v>
      </c>
      <c r="S57" s="7" t="s">
        <v>330</v>
      </c>
      <c r="T57" s="8"/>
      <c r="U57" s="11" t="str">
        <f>HYPERLINK("https://pbs.twimg.com/profile_images/1196790082725961728/Qe73dpjr.jpg","View")</f>
        <v>View</v>
      </c>
      <c r="V57" s="8"/>
      <c r="W57" s="8"/>
      <c r="X57" s="8"/>
      <c r="Y57" s="8"/>
      <c r="Z57" s="8"/>
    </row>
    <row r="58" spans="1:26" ht="13.2">
      <c r="A58" s="13">
        <v>44250.792175925926</v>
      </c>
      <c r="B58" s="6" t="str">
        <f>HYPERLINK("https://twitter.com/ViRiX_Dreamcore","@ViRiX_Dreamcore")</f>
        <v>@ViRiX_Dreamcore</v>
      </c>
      <c r="C58" s="14" t="s">
        <v>331</v>
      </c>
      <c r="D58" s="14" t="s">
        <v>332</v>
      </c>
      <c r="E58" s="6" t="str">
        <f>HYPERLINK("https://twitter.com/ViRiX_Dreamcore/status/1364274004824117258","1364274004824117258")</f>
        <v>1364274004824117258</v>
      </c>
      <c r="F58" s="14" t="s">
        <v>333</v>
      </c>
      <c r="G58" s="7" t="s">
        <v>334</v>
      </c>
      <c r="H58" s="8"/>
      <c r="I58" s="14">
        <v>0</v>
      </c>
      <c r="J58" s="14">
        <v>2</v>
      </c>
      <c r="K58" s="6" t="str">
        <f>HYPERLINK("http://twitter.com/download/iphone","Twitter for iPhone")</f>
        <v>Twitter for iPhone</v>
      </c>
      <c r="L58" s="15">
        <v>527</v>
      </c>
      <c r="M58" s="15">
        <v>316</v>
      </c>
      <c r="N58" s="15">
        <v>32</v>
      </c>
      <c r="O58" s="9"/>
      <c r="P58" s="10">
        <v>40042.692662037036</v>
      </c>
      <c r="Q58" s="14" t="s">
        <v>335</v>
      </c>
      <c r="R58" s="14" t="s">
        <v>336</v>
      </c>
      <c r="S58" s="7" t="s">
        <v>337</v>
      </c>
      <c r="T58" s="8"/>
      <c r="U58" s="11" t="str">
        <f>HYPERLINK("https://pbs.twimg.com/profile_images/1052265271921074176/ud8rS2dv.jpg","View")</f>
        <v>View</v>
      </c>
      <c r="V58" s="8"/>
      <c r="W58" s="8"/>
      <c r="X58" s="8"/>
      <c r="Y58" s="8"/>
      <c r="Z58" s="8"/>
    </row>
    <row r="59" spans="1:26" ht="13.2">
      <c r="A59" s="13">
        <v>44250.792141203703</v>
      </c>
      <c r="B59" s="6" t="str">
        <f>HYPERLINK("https://twitter.com/Surya_Systems","@Surya_Systems")</f>
        <v>@Surya_Systems</v>
      </c>
      <c r="C59" s="14" t="s">
        <v>338</v>
      </c>
      <c r="D59" s="14" t="s">
        <v>339</v>
      </c>
      <c r="E59" s="6" t="str">
        <f>HYPERLINK("https://twitter.com/Surya_Systems/status/1364273991129706498","1364273991129706498")</f>
        <v>1364273991129706498</v>
      </c>
      <c r="F59" s="7" t="s">
        <v>340</v>
      </c>
      <c r="G59" s="8"/>
      <c r="H59" s="8"/>
      <c r="I59" s="14">
        <v>3</v>
      </c>
      <c r="J59" s="14">
        <v>1</v>
      </c>
      <c r="K59" s="6" t="str">
        <f>HYPERLINK("https://app.socialpilot.co/","SocialPilot.co")</f>
        <v>SocialPilot.co</v>
      </c>
      <c r="L59" s="15">
        <v>0</v>
      </c>
      <c r="M59" s="15">
        <v>1</v>
      </c>
      <c r="N59" s="15">
        <v>0</v>
      </c>
      <c r="O59" s="9"/>
      <c r="P59" s="10">
        <v>44209.655046296291</v>
      </c>
      <c r="Q59" s="8"/>
      <c r="R59" s="8"/>
      <c r="S59" s="8"/>
      <c r="T59" s="8"/>
      <c r="U59" s="11" t="str">
        <f>HYPERLINK("https://pbs.twimg.com/profile_images/1349367345278574595/WkAynfh-.jpg","View")</f>
        <v>View</v>
      </c>
      <c r="V59" s="8"/>
      <c r="W59" s="8"/>
      <c r="X59" s="8"/>
      <c r="Y59" s="8"/>
      <c r="Z59" s="8"/>
    </row>
    <row r="60" spans="1:26" ht="13.2">
      <c r="A60" s="13">
        <v>44250.792129629626</v>
      </c>
      <c r="B60" s="6" t="str">
        <f>HYPERLINK("https://twitter.com/RichardEudes","@RichardEudes")</f>
        <v>@RichardEudes</v>
      </c>
      <c r="C60" s="14" t="s">
        <v>341</v>
      </c>
      <c r="D60" s="14" t="s">
        <v>342</v>
      </c>
      <c r="E60" s="6" t="str">
        <f>HYPERLINK("https://twitter.com/RichardEudes/status/1364273989879795716","1364273989879795716")</f>
        <v>1364273989879795716</v>
      </c>
      <c r="F60" s="7" t="s">
        <v>343</v>
      </c>
      <c r="G60" s="8"/>
      <c r="H60" s="8"/>
      <c r="I60" s="14">
        <v>4</v>
      </c>
      <c r="J60" s="14">
        <v>0</v>
      </c>
      <c r="K60" s="6" t="str">
        <f>HYPERLINK("https://buffer.com","Buffer")</f>
        <v>Buffer</v>
      </c>
      <c r="L60" s="15">
        <v>16960</v>
      </c>
      <c r="M60" s="15">
        <v>1979</v>
      </c>
      <c r="N60" s="15">
        <v>668</v>
      </c>
      <c r="O60" s="9"/>
      <c r="P60" s="10">
        <v>39985.961481481485</v>
      </c>
      <c r="Q60" s="14" t="s">
        <v>106</v>
      </c>
      <c r="R60" s="14" t="s">
        <v>344</v>
      </c>
      <c r="S60" s="7" t="s">
        <v>345</v>
      </c>
      <c r="T60" s="8"/>
      <c r="U60" s="11" t="str">
        <f>HYPERLINK("https://pbs.twimg.com/profile_images/1332753391886491648/I9fBm3kf.jpg","View")</f>
        <v>View</v>
      </c>
      <c r="V60" s="8"/>
      <c r="W60" s="8"/>
      <c r="X60" s="8"/>
      <c r="Y60" s="8"/>
      <c r="Z60" s="8"/>
    </row>
    <row r="61" spans="1:26" ht="13.2">
      <c r="A61" s="13">
        <v>44250.792071759264</v>
      </c>
      <c r="B61" s="6" t="str">
        <f>HYPERLINK("https://twitter.com/DiscovrAnalytic","@DiscovrAnalytic")</f>
        <v>@DiscovrAnalytic</v>
      </c>
      <c r="C61" s="14" t="s">
        <v>346</v>
      </c>
      <c r="D61" s="14" t="s">
        <v>347</v>
      </c>
      <c r="E61" s="6" t="str">
        <f>HYPERLINK("https://twitter.com/DiscovrAnalytic/status/1364273968065245186","1364273968065245186")</f>
        <v>1364273968065245186</v>
      </c>
      <c r="F61" s="7" t="s">
        <v>348</v>
      </c>
      <c r="G61" s="7" t="s">
        <v>349</v>
      </c>
      <c r="H61" s="8"/>
      <c r="I61" s="14">
        <v>1</v>
      </c>
      <c r="J61" s="14">
        <v>1</v>
      </c>
      <c r="K61" s="6" t="str">
        <f>HYPERLINK("http://twitter.com/download/iphone","Twitter for iPhone")</f>
        <v>Twitter for iPhone</v>
      </c>
      <c r="L61" s="15">
        <v>22</v>
      </c>
      <c r="M61" s="15">
        <v>73</v>
      </c>
      <c r="N61" s="15">
        <v>1</v>
      </c>
      <c r="O61" s="9"/>
      <c r="P61" s="10">
        <v>42944.513599537036</v>
      </c>
      <c r="Q61" s="14" t="s">
        <v>350</v>
      </c>
      <c r="R61" s="14" t="s">
        <v>351</v>
      </c>
      <c r="S61" s="7" t="s">
        <v>352</v>
      </c>
      <c r="T61" s="8"/>
      <c r="U61" s="11" t="str">
        <f>HYPERLINK("https://pbs.twimg.com/profile_images/1242773390026575873/-hnG03OF.jpg","View")</f>
        <v>View</v>
      </c>
      <c r="V61" s="8"/>
      <c r="W61" s="8"/>
      <c r="X61" s="8"/>
      <c r="Y61" s="8"/>
      <c r="Z61" s="8"/>
    </row>
    <row r="62" spans="1:26" ht="13.2">
      <c r="A62" s="13">
        <v>44250.792002314818</v>
      </c>
      <c r="B62" s="6" t="str">
        <f>HYPERLINK("https://twitter.com/ReciprocityRoi","@ReciprocityRoi")</f>
        <v>@ReciprocityRoi</v>
      </c>
      <c r="C62" s="14" t="s">
        <v>353</v>
      </c>
      <c r="D62" s="14" t="s">
        <v>354</v>
      </c>
      <c r="E62" s="6" t="str">
        <f>HYPERLINK("https://twitter.com/ReciprocityRoi/status/1364273941066432514","1364273941066432514")</f>
        <v>1364273941066432514</v>
      </c>
      <c r="F62" s="8"/>
      <c r="G62" s="7" t="s">
        <v>355</v>
      </c>
      <c r="H62" s="8"/>
      <c r="I62" s="14">
        <v>0</v>
      </c>
      <c r="J62" s="14">
        <v>0</v>
      </c>
      <c r="K62" s="6" t="str">
        <f>HYPERLINK("https://www.hootsuite.com","Hootsuite Inc.")</f>
        <v>Hootsuite Inc.</v>
      </c>
      <c r="L62" s="15">
        <v>36</v>
      </c>
      <c r="M62" s="15">
        <v>76</v>
      </c>
      <c r="N62" s="15">
        <v>2</v>
      </c>
      <c r="O62" s="9"/>
      <c r="P62" s="10">
        <v>42670.02611111111</v>
      </c>
      <c r="Q62" s="14" t="s">
        <v>356</v>
      </c>
      <c r="R62" s="14" t="s">
        <v>357</v>
      </c>
      <c r="S62" s="7" t="s">
        <v>358</v>
      </c>
      <c r="T62" s="8"/>
      <c r="U62" s="11" t="str">
        <f>HYPERLINK("https://pbs.twimg.com/profile_images/1312785967737167872/_4-pZVXQ.jpg","View")</f>
        <v>View</v>
      </c>
      <c r="V62" s="8"/>
      <c r="W62" s="8"/>
      <c r="X62" s="8"/>
      <c r="Y62" s="8"/>
      <c r="Z62" s="8"/>
    </row>
    <row r="63" spans="1:26" ht="13.2">
      <c r="A63" s="13">
        <v>44250.791967592595</v>
      </c>
      <c r="B63" s="6" t="str">
        <f>HYPERLINK("https://twitter.com/nigewillson","@nigewillson")</f>
        <v>@nigewillson</v>
      </c>
      <c r="C63" s="14" t="s">
        <v>95</v>
      </c>
      <c r="D63" s="14" t="s">
        <v>359</v>
      </c>
      <c r="E63" s="6" t="str">
        <f>HYPERLINK("https://twitter.com/nigewillson/status/1364273928982691844","1364273928982691844")</f>
        <v>1364273928982691844</v>
      </c>
      <c r="F63" s="7" t="s">
        <v>360</v>
      </c>
      <c r="G63" s="7" t="s">
        <v>361</v>
      </c>
      <c r="H63" s="8"/>
      <c r="I63" s="14">
        <v>1</v>
      </c>
      <c r="J63" s="14">
        <v>1</v>
      </c>
      <c r="K63" s="6" t="str">
        <f>HYPERLINK("https://buffer.com","Buffer")</f>
        <v>Buffer</v>
      </c>
      <c r="L63" s="15">
        <v>57515</v>
      </c>
      <c r="M63" s="15">
        <v>49523</v>
      </c>
      <c r="N63" s="15">
        <v>1688</v>
      </c>
      <c r="O63" s="9"/>
      <c r="P63" s="10">
        <v>40530.666805555556</v>
      </c>
      <c r="Q63" s="14" t="s">
        <v>99</v>
      </c>
      <c r="R63" s="14" t="s">
        <v>100</v>
      </c>
      <c r="S63" s="7" t="s">
        <v>101</v>
      </c>
      <c r="T63" s="8"/>
      <c r="U63" s="11" t="str">
        <f>HYPERLINK("https://pbs.twimg.com/profile_images/1085251590997622784/x9mWVQ1d.jpg","View")</f>
        <v>View</v>
      </c>
      <c r="V63" s="8"/>
      <c r="W63" s="8"/>
      <c r="X63" s="8"/>
      <c r="Y63" s="8"/>
      <c r="Z63" s="8"/>
    </row>
    <row r="64" spans="1:26" ht="13.2">
      <c r="A64" s="13">
        <v>44250.791805555556</v>
      </c>
      <c r="B64" s="6" t="str">
        <f>HYPERLINK("https://twitter.com/themlguru","@themlguru")</f>
        <v>@themlguru</v>
      </c>
      <c r="C64" s="14" t="s">
        <v>362</v>
      </c>
      <c r="D64" s="14" t="s">
        <v>363</v>
      </c>
      <c r="E64" s="6" t="str">
        <f>HYPERLINK("https://twitter.com/themlguru/status/1364273872120524804","1364273872120524804")</f>
        <v>1364273872120524804</v>
      </c>
      <c r="F64" s="8"/>
      <c r="G64" s="8"/>
      <c r="H64" s="8"/>
      <c r="I64" s="14">
        <v>1</v>
      </c>
      <c r="J64" s="14">
        <v>0</v>
      </c>
      <c r="K64" s="6" t="str">
        <f>HYPERLINK("https://twittimer.com","Twittimer")</f>
        <v>Twittimer</v>
      </c>
      <c r="L64" s="15">
        <v>10</v>
      </c>
      <c r="M64" s="15">
        <v>33</v>
      </c>
      <c r="N64" s="15">
        <v>0</v>
      </c>
      <c r="O64" s="9"/>
      <c r="P64" s="10">
        <v>44242.188148148147</v>
      </c>
      <c r="Q64" s="14" t="s">
        <v>364</v>
      </c>
      <c r="R64" s="8"/>
      <c r="S64" s="8"/>
      <c r="T64" s="8"/>
      <c r="U64" s="11" t="str">
        <f>HYPERLINK("https://pbs.twimg.com/profile_images/1361967087623700484/-6UQQ_sZ.jpg","View")</f>
        <v>View</v>
      </c>
      <c r="V64" s="8"/>
      <c r="W64" s="8"/>
      <c r="X64" s="8"/>
      <c r="Y64" s="8"/>
      <c r="Z64" s="8"/>
    </row>
    <row r="65" spans="1:26" ht="13.2">
      <c r="A65" s="13">
        <v>44250.79178240741</v>
      </c>
      <c r="B65" s="6" t="str">
        <f>HYPERLINK("https://twitter.com/coursesvir","@coursesvir")</f>
        <v>@coursesvir</v>
      </c>
      <c r="C65" s="14" t="s">
        <v>365</v>
      </c>
      <c r="D65" s="14" t="s">
        <v>366</v>
      </c>
      <c r="E65" s="6" t="str">
        <f>HYPERLINK("https://twitter.com/coursesvir/status/1364273860812677122","1364273860812677122")</f>
        <v>1364273860812677122</v>
      </c>
      <c r="F65" s="7" t="s">
        <v>367</v>
      </c>
      <c r="G65" s="7" t="s">
        <v>368</v>
      </c>
      <c r="H65" s="8"/>
      <c r="I65" s="14">
        <v>8</v>
      </c>
      <c r="J65" s="14">
        <v>1</v>
      </c>
      <c r="K65" s="6" t="str">
        <f>HYPERLINK("https://buffer.com","Buffer")</f>
        <v>Buffer</v>
      </c>
      <c r="L65" s="15">
        <v>348</v>
      </c>
      <c r="M65" s="15">
        <v>57</v>
      </c>
      <c r="N65" s="15">
        <v>3</v>
      </c>
      <c r="O65" s="9"/>
      <c r="P65" s="10">
        <v>43408.174849537041</v>
      </c>
      <c r="Q65" s="8"/>
      <c r="R65" s="14" t="s">
        <v>369</v>
      </c>
      <c r="S65" s="7" t="s">
        <v>370</v>
      </c>
      <c r="T65" s="8"/>
      <c r="U65" s="11" t="str">
        <f>HYPERLINK("https://pbs.twimg.com/profile_images/1327806002717192192/wWEiVHhn.jpg","View")</f>
        <v>View</v>
      </c>
      <c r="V65" s="8"/>
      <c r="W65" s="8"/>
      <c r="X65" s="8"/>
      <c r="Y65" s="8"/>
      <c r="Z65" s="8"/>
    </row>
    <row r="66" spans="1:26" ht="13.2">
      <c r="A66" s="13">
        <v>44250.791747685187</v>
      </c>
      <c r="B66" s="6" t="str">
        <f>HYPERLINK("https://twitter.com/paanalytics1","@paanalytics1")</f>
        <v>@paanalytics1</v>
      </c>
      <c r="C66" s="14" t="s">
        <v>371</v>
      </c>
      <c r="D66" s="14" t="s">
        <v>372</v>
      </c>
      <c r="E66" s="6" t="str">
        <f>HYPERLINK("https://twitter.com/paanalytics1/status/1364273851748745222","1364273851748745222")</f>
        <v>1364273851748745222</v>
      </c>
      <c r="F66" s="7" t="s">
        <v>373</v>
      </c>
      <c r="G66" s="8"/>
      <c r="H66" s="8"/>
      <c r="I66" s="14">
        <v>2</v>
      </c>
      <c r="J66" s="14">
        <v>0</v>
      </c>
      <c r="K66" s="8"/>
      <c r="L66" s="15">
        <v>73</v>
      </c>
      <c r="M66" s="15">
        <v>554</v>
      </c>
      <c r="N66" s="15">
        <v>0</v>
      </c>
      <c r="O66" s="9"/>
      <c r="P66" s="10">
        <v>44191.766574074078</v>
      </c>
      <c r="Q66" s="8"/>
      <c r="R66" s="14" t="s">
        <v>374</v>
      </c>
      <c r="S66" s="8"/>
      <c r="T66" s="8"/>
      <c r="U66" s="11" t="str">
        <f>HYPERLINK("https://pbs.twimg.com/profile_images/1342883897722474499/nN75CEGr.jpg","View")</f>
        <v>View</v>
      </c>
      <c r="V66" s="8"/>
      <c r="W66" s="8"/>
      <c r="X66" s="8"/>
      <c r="Y66" s="8"/>
      <c r="Z66" s="8"/>
    </row>
    <row r="67" spans="1:26" ht="13.2">
      <c r="A67" s="13">
        <v>44250.791701388887</v>
      </c>
      <c r="B67" s="6" t="str">
        <f>HYPERLINK("https://twitter.com/aimlevents","@aimlevents")</f>
        <v>@aimlevents</v>
      </c>
      <c r="C67" s="14" t="s">
        <v>375</v>
      </c>
      <c r="D67" s="14" t="s">
        <v>376</v>
      </c>
      <c r="E67" s="6" t="str">
        <f>HYPERLINK("https://twitter.com/aimlevents/status/1364273834963132420","1364273834963132420")</f>
        <v>1364273834963132420</v>
      </c>
      <c r="F67" s="7" t="s">
        <v>377</v>
      </c>
      <c r="G67" s="8"/>
      <c r="H67" s="8" t="str">
        <f>HYPERLINK("https://ctrlq.org/maps/address/#42.3600825,-71.0588801","Map")</f>
        <v>Map</v>
      </c>
      <c r="I67" s="14">
        <v>1</v>
      </c>
      <c r="J67" s="14">
        <v>0</v>
      </c>
      <c r="K67" s="6" t="str">
        <f>HYPERLINK("https://aiml.events","AI &amp; ML Events")</f>
        <v>AI &amp; ML Events</v>
      </c>
      <c r="L67" s="15">
        <v>3123</v>
      </c>
      <c r="M67" s="15">
        <v>2770</v>
      </c>
      <c r="N67" s="15">
        <v>20</v>
      </c>
      <c r="O67" s="9"/>
      <c r="P67" s="10">
        <v>43789.819826388892</v>
      </c>
      <c r="Q67" s="8"/>
      <c r="R67" s="14" t="s">
        <v>378</v>
      </c>
      <c r="S67" s="7" t="s">
        <v>379</v>
      </c>
      <c r="T67" s="8"/>
      <c r="U67" s="11" t="str">
        <f>HYPERLINK("https://pbs.twimg.com/profile_images/1197224948819021825/Cyqtf2wR.jpg","View")</f>
        <v>View</v>
      </c>
      <c r="V67" s="8"/>
      <c r="W67" s="8"/>
      <c r="X67" s="8"/>
      <c r="Y67" s="8"/>
      <c r="Z67" s="8"/>
    </row>
    <row r="68" spans="1:26" ht="13.2">
      <c r="A68" s="13">
        <v>44250.791701388887</v>
      </c>
      <c r="B68" s="6" t="str">
        <f>HYPERLINK("https://twitter.com/pvergadia","@pvergadia")</f>
        <v>@pvergadia</v>
      </c>
      <c r="C68" s="14" t="s">
        <v>380</v>
      </c>
      <c r="D68" s="14" t="s">
        <v>381</v>
      </c>
      <c r="E68" s="6" t="str">
        <f>HYPERLINK("https://twitter.com/pvergadia/status/1364273833973215236","1364273833973215236")</f>
        <v>1364273833973215236</v>
      </c>
      <c r="F68" s="8"/>
      <c r="G68" s="8"/>
      <c r="H68" s="8"/>
      <c r="I68" s="14">
        <v>0</v>
      </c>
      <c r="J68" s="14">
        <v>4</v>
      </c>
      <c r="K68" s="6" t="str">
        <f>HYPERLINK("https://zlappo.com","Zlappo.com")</f>
        <v>Zlappo.com</v>
      </c>
      <c r="L68" s="15">
        <v>7301</v>
      </c>
      <c r="M68" s="15">
        <v>820</v>
      </c>
      <c r="N68" s="15">
        <v>93</v>
      </c>
      <c r="O68" s="9"/>
      <c r="P68" s="10">
        <v>40379.798113425924</v>
      </c>
      <c r="Q68" s="8"/>
      <c r="R68" s="14" t="s">
        <v>382</v>
      </c>
      <c r="S68" s="7" t="s">
        <v>383</v>
      </c>
      <c r="T68" s="8"/>
      <c r="U68" s="11" t="str">
        <f>HYPERLINK("https://pbs.twimg.com/profile_images/1274894611744296962/_O2DIsTp.jpg","View")</f>
        <v>View</v>
      </c>
      <c r="V68" s="8"/>
      <c r="W68" s="8"/>
      <c r="X68" s="8"/>
      <c r="Y68" s="8"/>
      <c r="Z68" s="8"/>
    </row>
    <row r="69" spans="1:26" ht="13.2">
      <c r="A69" s="13">
        <v>44250.791678240741</v>
      </c>
      <c r="B69" s="6" t="str">
        <f>HYPERLINK("https://twitter.com/mekatronik_p","@mekatronik_p")</f>
        <v>@mekatronik_p</v>
      </c>
      <c r="C69" s="14" t="s">
        <v>384</v>
      </c>
      <c r="D69" s="14" t="s">
        <v>385</v>
      </c>
      <c r="E69" s="6" t="str">
        <f>HYPERLINK("https://twitter.com/mekatronik_p/status/1364273825224003598","1364273825224003598")</f>
        <v>1364273825224003598</v>
      </c>
      <c r="F69" s="8"/>
      <c r="G69" s="7" t="s">
        <v>386</v>
      </c>
      <c r="H69" s="8"/>
      <c r="I69" s="14">
        <v>1</v>
      </c>
      <c r="J69" s="14">
        <v>0</v>
      </c>
      <c r="K69" s="6" t="str">
        <f>HYPERLINK("https://mobile.twitter.com","Twitter Web App")</f>
        <v>Twitter Web App</v>
      </c>
      <c r="L69" s="15">
        <v>67</v>
      </c>
      <c r="M69" s="15">
        <v>1</v>
      </c>
      <c r="N69" s="15">
        <v>0</v>
      </c>
      <c r="O69" s="9"/>
      <c r="P69" s="10">
        <v>44109.854756944449</v>
      </c>
      <c r="Q69" s="8"/>
      <c r="R69" s="14" t="s">
        <v>387</v>
      </c>
      <c r="S69" s="8"/>
      <c r="T69" s="8"/>
      <c r="U69" s="11" t="str">
        <f>HYPERLINK("https://pbs.twimg.com/profile_images/1313188373624958976/SPe0w7x4.jpg","View")</f>
        <v>View</v>
      </c>
      <c r="V69" s="8"/>
      <c r="W69" s="8"/>
      <c r="X69" s="8"/>
      <c r="Y69" s="8"/>
      <c r="Z69" s="8"/>
    </row>
    <row r="70" spans="1:26" ht="13.2">
      <c r="A70" s="13">
        <v>44250.791666666672</v>
      </c>
      <c r="B70" s="6" t="str">
        <f>HYPERLINK("https://twitter.com/scanta_io","@scanta_io")</f>
        <v>@scanta_io</v>
      </c>
      <c r="C70" s="14" t="s">
        <v>388</v>
      </c>
      <c r="D70" s="14" t="s">
        <v>389</v>
      </c>
      <c r="E70" s="6" t="str">
        <f>HYPERLINK("https://twitter.com/scanta_io/status/1364273822329888769","1364273822329888769")</f>
        <v>1364273822329888769</v>
      </c>
      <c r="F70" s="8"/>
      <c r="G70" s="8"/>
      <c r="H70" s="8"/>
      <c r="I70" s="14">
        <v>3</v>
      </c>
      <c r="J70" s="14">
        <v>0</v>
      </c>
      <c r="K70" s="6" t="str">
        <f>HYPERLINK("https://about.twitter.com/products/tweetdeck","TweetDeck")</f>
        <v>TweetDeck</v>
      </c>
      <c r="L70" s="15">
        <v>307</v>
      </c>
      <c r="M70" s="15">
        <v>474</v>
      </c>
      <c r="N70" s="15">
        <v>6</v>
      </c>
      <c r="O70" s="9"/>
      <c r="P70" s="10">
        <v>42927.621400462958</v>
      </c>
      <c r="Q70" s="14" t="s">
        <v>390</v>
      </c>
      <c r="R70" s="14" t="s">
        <v>391</v>
      </c>
      <c r="S70" s="7" t="s">
        <v>392</v>
      </c>
      <c r="T70" s="8"/>
      <c r="U70" s="11" t="str">
        <f>HYPERLINK("https://pbs.twimg.com/profile_images/884759857240227841/TPVpzh1Z.jpg","View")</f>
        <v>View</v>
      </c>
      <c r="V70" s="8"/>
      <c r="W70" s="8"/>
      <c r="X70" s="8"/>
      <c r="Y70" s="8"/>
      <c r="Z70" s="8"/>
    </row>
    <row r="71" spans="1:26" ht="13.2">
      <c r="A71" s="13">
        <v>44250.791377314818</v>
      </c>
      <c r="B71" s="6" t="str">
        <f>HYPERLINK("https://twitter.com/RELXHQ","@RELXHQ")</f>
        <v>@RELXHQ</v>
      </c>
      <c r="C71" s="14" t="s">
        <v>393</v>
      </c>
      <c r="D71" s="14" t="s">
        <v>394</v>
      </c>
      <c r="E71" s="6" t="str">
        <f>HYPERLINK("https://twitter.com/RELXHQ/status/1364273714074820610","1364273714074820610")</f>
        <v>1364273714074820610</v>
      </c>
      <c r="F71" s="7" t="s">
        <v>395</v>
      </c>
      <c r="G71" s="7" t="s">
        <v>396</v>
      </c>
      <c r="H71" s="8"/>
      <c r="I71" s="14">
        <v>2</v>
      </c>
      <c r="J71" s="14">
        <v>0</v>
      </c>
      <c r="K71" s="6" t="str">
        <f>HYPERLINK("https://fanbooster.com","Fanbooster by Traject")</f>
        <v>Fanbooster by Traject</v>
      </c>
      <c r="L71" s="15">
        <v>8905</v>
      </c>
      <c r="M71" s="15">
        <v>1344</v>
      </c>
      <c r="N71" s="15">
        <v>190</v>
      </c>
      <c r="O71" s="9"/>
      <c r="P71" s="10">
        <v>40233.643379629633</v>
      </c>
      <c r="Q71" s="14" t="s">
        <v>397</v>
      </c>
      <c r="R71" s="14" t="s">
        <v>398</v>
      </c>
      <c r="S71" s="7" t="s">
        <v>399</v>
      </c>
      <c r="T71" s="8"/>
      <c r="U71" s="11" t="str">
        <f>HYPERLINK("https://pbs.twimg.com/profile_images/1136974755893063681/JWeLW9LU.png","View")</f>
        <v>View</v>
      </c>
      <c r="V71" s="8"/>
      <c r="W71" s="8"/>
      <c r="X71" s="8"/>
      <c r="Y71" s="8"/>
      <c r="Z71" s="8"/>
    </row>
    <row r="72" spans="1:26" ht="13.2">
      <c r="A72" s="13">
        <v>44250.791030092594</v>
      </c>
      <c r="B72" s="6" t="str">
        <f>HYPERLINK("https://twitter.com/NeurAutomata","@NeurAutomata")</f>
        <v>@NeurAutomata</v>
      </c>
      <c r="C72" s="14" t="s">
        <v>400</v>
      </c>
      <c r="D72" s="14" t="s">
        <v>401</v>
      </c>
      <c r="E72" s="6" t="str">
        <f>HYPERLINK("https://twitter.com/NeurAutomata/status/1364273590514962432","1364273590514962432")</f>
        <v>1364273590514962432</v>
      </c>
      <c r="F72" s="7" t="s">
        <v>402</v>
      </c>
      <c r="G72" s="8"/>
      <c r="H72" s="8"/>
      <c r="I72" s="14">
        <v>0</v>
      </c>
      <c r="J72" s="14">
        <v>0</v>
      </c>
      <c r="K72" s="6" t="str">
        <f>HYPERLINK("https://ifttt.com","IFTTT")</f>
        <v>IFTTT</v>
      </c>
      <c r="L72" s="15">
        <v>83</v>
      </c>
      <c r="M72" s="15">
        <v>14</v>
      </c>
      <c r="N72" s="15">
        <v>3</v>
      </c>
      <c r="O72" s="9"/>
      <c r="P72" s="10">
        <v>42862.083414351851</v>
      </c>
      <c r="Q72" s="14" t="s">
        <v>403</v>
      </c>
      <c r="R72" s="14" t="s">
        <v>404</v>
      </c>
      <c r="S72" s="8"/>
      <c r="T72" s="8"/>
      <c r="U72" s="11" t="str">
        <f>HYPERLINK("https://pbs.twimg.com/profile_images/861050448672718848/oHUlrvEK.jpg","View")</f>
        <v>View</v>
      </c>
      <c r="V72" s="8"/>
      <c r="W72" s="8"/>
      <c r="X72" s="8"/>
      <c r="Y72" s="8"/>
      <c r="Z72" s="8"/>
    </row>
    <row r="73" spans="1:26" ht="13.2">
      <c r="A73" s="13">
        <v>44250.790949074071</v>
      </c>
      <c r="B73" s="6" t="str">
        <f>HYPERLINK("https://twitter.com/it_numeric","@it_numeric")</f>
        <v>@it_numeric</v>
      </c>
      <c r="C73" s="14" t="s">
        <v>405</v>
      </c>
      <c r="D73" s="14" t="s">
        <v>406</v>
      </c>
      <c r="E73" s="6" t="str">
        <f>HYPERLINK("https://twitter.com/it_numeric/status/1364273559275716610","1364273559275716610")</f>
        <v>1364273559275716610</v>
      </c>
      <c r="F73" s="7" t="s">
        <v>407</v>
      </c>
      <c r="G73" s="8"/>
      <c r="H73" s="8"/>
      <c r="I73" s="14">
        <v>1</v>
      </c>
      <c r="J73" s="14">
        <v>1</v>
      </c>
      <c r="K73" s="6" t="str">
        <f t="shared" ref="K73:K75" si="8">HYPERLINK("https://mobile.twitter.com","Twitter Web App")</f>
        <v>Twitter Web App</v>
      </c>
      <c r="L73" s="15">
        <v>539</v>
      </c>
      <c r="M73" s="15">
        <v>882</v>
      </c>
      <c r="N73" s="15">
        <v>9</v>
      </c>
      <c r="O73" s="9"/>
      <c r="P73" s="10">
        <v>42515.564513888894</v>
      </c>
      <c r="Q73" s="14" t="s">
        <v>408</v>
      </c>
      <c r="R73" s="14" t="s">
        <v>409</v>
      </c>
      <c r="S73" s="7" t="s">
        <v>410</v>
      </c>
      <c r="T73" s="8"/>
      <c r="U73" s="11" t="str">
        <f>HYPERLINK("https://pbs.twimg.com/profile_images/735442514665181185/3cfSKZAn.jpg","View")</f>
        <v>View</v>
      </c>
      <c r="V73" s="8"/>
      <c r="W73" s="8"/>
      <c r="X73" s="8"/>
      <c r="Y73" s="8"/>
      <c r="Z73" s="8"/>
    </row>
    <row r="74" spans="1:26" ht="13.2">
      <c r="A74" s="13">
        <v>44250.790277777778</v>
      </c>
      <c r="B74" s="6" t="str">
        <f>HYPERLINK("https://twitter.com/nerdsshop","@nerdsshop")</f>
        <v>@nerdsshop</v>
      </c>
      <c r="C74" s="14" t="s">
        <v>411</v>
      </c>
      <c r="D74" s="14" t="s">
        <v>412</v>
      </c>
      <c r="E74" s="6" t="str">
        <f>HYPERLINK("https://twitter.com/nerdsshop/status/1364273316190511105","1364273316190511105")</f>
        <v>1364273316190511105</v>
      </c>
      <c r="F74" s="7" t="s">
        <v>413</v>
      </c>
      <c r="G74" s="8"/>
      <c r="H74" s="8"/>
      <c r="I74" s="14">
        <v>0</v>
      </c>
      <c r="J74" s="14">
        <v>0</v>
      </c>
      <c r="K74" s="6" t="str">
        <f t="shared" si="8"/>
        <v>Twitter Web App</v>
      </c>
      <c r="L74" s="15">
        <v>690</v>
      </c>
      <c r="M74" s="15">
        <v>226</v>
      </c>
      <c r="N74" s="15">
        <v>39</v>
      </c>
      <c r="O74" s="9"/>
      <c r="P74" s="10">
        <v>42456.948194444441</v>
      </c>
      <c r="Q74" s="14" t="s">
        <v>414</v>
      </c>
      <c r="R74" s="14" t="s">
        <v>415</v>
      </c>
      <c r="S74" s="7" t="s">
        <v>416</v>
      </c>
      <c r="T74" s="8"/>
      <c r="U74" s="11" t="str">
        <f>HYPERLINK("https://pbs.twimg.com/profile_images/1081283496402923520/fHMHVSlz.jpg","View")</f>
        <v>View</v>
      </c>
      <c r="V74" s="8"/>
      <c r="W74" s="8"/>
      <c r="X74" s="8"/>
      <c r="Y74" s="8"/>
      <c r="Z74" s="8"/>
    </row>
    <row r="75" spans="1:26" ht="13.2">
      <c r="A75" s="13">
        <v>44250.789988425924</v>
      </c>
      <c r="B75" s="6" t="str">
        <f>HYPERLINK("https://twitter.com/rawat2deepanshu","@rawat2deepanshu")</f>
        <v>@rawat2deepanshu</v>
      </c>
      <c r="C75" s="14" t="s">
        <v>417</v>
      </c>
      <c r="D75" s="14" t="s">
        <v>418</v>
      </c>
      <c r="E75" s="6" t="str">
        <f>HYPERLINK("https://twitter.com/rawat2deepanshu/status/1364273213010636804","1364273213010636804")</f>
        <v>1364273213010636804</v>
      </c>
      <c r="F75" s="8"/>
      <c r="G75" s="8"/>
      <c r="H75" s="8"/>
      <c r="I75" s="14">
        <v>13</v>
      </c>
      <c r="J75" s="14">
        <v>3</v>
      </c>
      <c r="K75" s="6" t="str">
        <f t="shared" si="8"/>
        <v>Twitter Web App</v>
      </c>
      <c r="L75" s="15">
        <v>23</v>
      </c>
      <c r="M75" s="15">
        <v>374</v>
      </c>
      <c r="N75" s="15">
        <v>1</v>
      </c>
      <c r="O75" s="9"/>
      <c r="P75" s="10">
        <v>42828.395543981482</v>
      </c>
      <c r="Q75" s="14" t="s">
        <v>419</v>
      </c>
      <c r="R75" s="14" t="s">
        <v>420</v>
      </c>
      <c r="S75" s="8"/>
      <c r="T75" s="8"/>
      <c r="U75" s="11" t="str">
        <f>HYPERLINK("https://pbs.twimg.com/profile_images/1003846860895760385/KUu5JJ89.jpg","View")</f>
        <v>View</v>
      </c>
      <c r="V75" s="8"/>
      <c r="W75" s="8"/>
      <c r="X75" s="8"/>
      <c r="Y75" s="8"/>
      <c r="Z75" s="8"/>
    </row>
    <row r="76" spans="1:26" ht="13.2">
      <c r="A76" s="13">
        <v>44250.789861111116</v>
      </c>
      <c r="B76" s="6" t="str">
        <f>HYPERLINK("https://twitter.com/physorg_health","@physorg_health")</f>
        <v>@physorg_health</v>
      </c>
      <c r="C76" s="14" t="s">
        <v>421</v>
      </c>
      <c r="D76" s="14" t="s">
        <v>422</v>
      </c>
      <c r="E76" s="6" t="str">
        <f>HYPERLINK("https://twitter.com/physorg_health/status/1364273165610987522","1364273165610987522")</f>
        <v>1364273165610987522</v>
      </c>
      <c r="F76" s="7" t="s">
        <v>423</v>
      </c>
      <c r="G76" s="8"/>
      <c r="H76" s="8"/>
      <c r="I76" s="14">
        <v>0</v>
      </c>
      <c r="J76" s="14">
        <v>0</v>
      </c>
      <c r="K76" s="6" t="str">
        <f>HYPERLINK("https://sciencex.com/","Science X Status Updates")</f>
        <v>Science X Status Updates</v>
      </c>
      <c r="L76" s="15">
        <v>7135</v>
      </c>
      <c r="M76" s="15">
        <v>1</v>
      </c>
      <c r="N76" s="15">
        <v>639</v>
      </c>
      <c r="O76" s="9"/>
      <c r="P76" s="10">
        <v>39854.597870370373</v>
      </c>
      <c r="Q76" s="8"/>
      <c r="R76" s="14" t="s">
        <v>424</v>
      </c>
      <c r="S76" s="7" t="s">
        <v>425</v>
      </c>
      <c r="T76" s="8"/>
      <c r="U76" s="11" t="str">
        <f>HYPERLINK("https://pbs.twimg.com/profile_images/2644869948/d4360b6aca11e833f9bd112301eb1147.jpeg","View")</f>
        <v>View</v>
      </c>
      <c r="V76" s="8"/>
      <c r="W76" s="8"/>
      <c r="X76" s="8"/>
      <c r="Y76" s="8"/>
      <c r="Z76" s="8"/>
    </row>
    <row r="77" spans="1:26" ht="13.2">
      <c r="A77" s="13">
        <v>44250.788553240738</v>
      </c>
      <c r="B77" s="6" t="str">
        <f>HYPERLINK("https://twitter.com/mconnormurphy","@mconnormurphy")</f>
        <v>@mconnormurphy</v>
      </c>
      <c r="C77" s="14" t="s">
        <v>426</v>
      </c>
      <c r="D77" s="14" t="s">
        <v>427</v>
      </c>
      <c r="E77" s="6" t="str">
        <f>HYPERLINK("https://twitter.com/mconnormurphy/status/1364272690618658816","1364272690618658816")</f>
        <v>1364272690618658816</v>
      </c>
      <c r="F77" s="14" t="s">
        <v>428</v>
      </c>
      <c r="G77" s="7" t="s">
        <v>429</v>
      </c>
      <c r="H77" s="8"/>
      <c r="I77" s="14">
        <v>0</v>
      </c>
      <c r="J77" s="14">
        <v>0</v>
      </c>
      <c r="K77" s="6" t="str">
        <f>HYPERLINK("http://twitter.com/download/iphone","Twitter for iPhone")</f>
        <v>Twitter for iPhone</v>
      </c>
      <c r="L77" s="15">
        <v>659</v>
      </c>
      <c r="M77" s="15">
        <v>900</v>
      </c>
      <c r="N77" s="15">
        <v>47</v>
      </c>
      <c r="O77" s="9"/>
      <c r="P77" s="10">
        <v>39981.773275462961</v>
      </c>
      <c r="Q77" s="14" t="s">
        <v>430</v>
      </c>
      <c r="R77" s="14" t="s">
        <v>431</v>
      </c>
      <c r="S77" s="8"/>
      <c r="T77" s="8"/>
      <c r="U77" s="11" t="str">
        <f>HYPERLINK("https://pbs.twimg.com/profile_images/646777696916127744/DAu8-eLd.jpg","View")</f>
        <v>View</v>
      </c>
      <c r="V77" s="8"/>
      <c r="W77" s="8"/>
      <c r="X77" s="8"/>
      <c r="Y77" s="8"/>
      <c r="Z77" s="8"/>
    </row>
    <row r="78" spans="1:26" ht="13.2">
      <c r="A78" s="13">
        <v>44250.788240740745</v>
      </c>
      <c r="B78" s="6" t="str">
        <f>HYPERLINK("https://twitter.com/nigewillson","@nigewillson")</f>
        <v>@nigewillson</v>
      </c>
      <c r="C78" s="14" t="s">
        <v>95</v>
      </c>
      <c r="D78" s="14" t="s">
        <v>432</v>
      </c>
      <c r="E78" s="6" t="str">
        <f>HYPERLINK("https://twitter.com/nigewillson/status/1364272577674362883","1364272577674362883")</f>
        <v>1364272577674362883</v>
      </c>
      <c r="F78" s="7" t="s">
        <v>433</v>
      </c>
      <c r="G78" s="7" t="s">
        <v>434</v>
      </c>
      <c r="H78" s="8"/>
      <c r="I78" s="14">
        <v>1</v>
      </c>
      <c r="J78" s="14">
        <v>1</v>
      </c>
      <c r="K78" s="6" t="str">
        <f>HYPERLINK("https://buffer.com","Buffer")</f>
        <v>Buffer</v>
      </c>
      <c r="L78" s="15">
        <v>57515</v>
      </c>
      <c r="M78" s="15">
        <v>49523</v>
      </c>
      <c r="N78" s="15">
        <v>1688</v>
      </c>
      <c r="O78" s="9"/>
      <c r="P78" s="10">
        <v>40530.666805555556</v>
      </c>
      <c r="Q78" s="14" t="s">
        <v>99</v>
      </c>
      <c r="R78" s="14" t="s">
        <v>100</v>
      </c>
      <c r="S78" s="7" t="s">
        <v>101</v>
      </c>
      <c r="T78" s="8"/>
      <c r="U78" s="11" t="str">
        <f>HYPERLINK("https://pbs.twimg.com/profile_images/1085251590997622784/x9mWVQ1d.jpg","View")</f>
        <v>View</v>
      </c>
      <c r="V78" s="8"/>
      <c r="W78" s="8"/>
      <c r="X78" s="8"/>
      <c r="Y78" s="8"/>
      <c r="Z78" s="8"/>
    </row>
    <row r="79" spans="1:26" ht="13.2">
      <c r="A79" s="13">
        <v>44250.788194444445</v>
      </c>
      <c r="B79" s="6" t="str">
        <f>HYPERLINK("https://twitter.com/jgodard2","@jgodard2")</f>
        <v>@jgodard2</v>
      </c>
      <c r="C79" s="14" t="s">
        <v>435</v>
      </c>
      <c r="D79" s="14" t="s">
        <v>436</v>
      </c>
      <c r="E79" s="6" t="str">
        <f>HYPERLINK("https://twitter.com/jgodard2/status/1364272561295478786","1364272561295478786")</f>
        <v>1364272561295478786</v>
      </c>
      <c r="F79" s="8"/>
      <c r="G79" s="7" t="s">
        <v>437</v>
      </c>
      <c r="H79" s="8"/>
      <c r="I79" s="14">
        <v>1</v>
      </c>
      <c r="J79" s="14">
        <v>0</v>
      </c>
      <c r="K79" s="6" t="str">
        <f t="shared" ref="K79:K80" si="9">HYPERLINK("https://mobile.twitter.com","Twitter Web App")</f>
        <v>Twitter Web App</v>
      </c>
      <c r="L79" s="15">
        <v>6648</v>
      </c>
      <c r="M79" s="15">
        <v>7235</v>
      </c>
      <c r="N79" s="15">
        <v>183</v>
      </c>
      <c r="O79" s="9"/>
      <c r="P79" s="10">
        <v>40003.379525462966</v>
      </c>
      <c r="Q79" s="14" t="s">
        <v>438</v>
      </c>
      <c r="R79" s="14" t="s">
        <v>439</v>
      </c>
      <c r="S79" s="7" t="s">
        <v>440</v>
      </c>
      <c r="T79" s="8"/>
      <c r="U79" s="11" t="str">
        <f>HYPERLINK("https://pbs.twimg.com/profile_images/779905991819169792/AZJAxT3c.jpg","View")</f>
        <v>View</v>
      </c>
      <c r="V79" s="8"/>
      <c r="W79" s="8"/>
      <c r="X79" s="8"/>
      <c r="Y79" s="8"/>
      <c r="Z79" s="8"/>
    </row>
    <row r="80" spans="1:26" ht="13.2">
      <c r="A80" s="13">
        <v>44250.788078703699</v>
      </c>
      <c r="B80" s="6" t="str">
        <f>HYPERLINK("https://twitter.com/Predera2","@Predera2")</f>
        <v>@Predera2</v>
      </c>
      <c r="C80" s="14" t="s">
        <v>441</v>
      </c>
      <c r="D80" s="14" t="s">
        <v>442</v>
      </c>
      <c r="E80" s="6" t="str">
        <f>HYPERLINK("https://twitter.com/Predera2/status/1364272519159574529","1364272519159574529")</f>
        <v>1364272519159574529</v>
      </c>
      <c r="F80" s="7" t="s">
        <v>443</v>
      </c>
      <c r="G80" s="8"/>
      <c r="H80" s="8"/>
      <c r="I80" s="14">
        <v>0</v>
      </c>
      <c r="J80" s="14">
        <v>0</v>
      </c>
      <c r="K80" s="6" t="str">
        <f t="shared" si="9"/>
        <v>Twitter Web App</v>
      </c>
      <c r="L80" s="15">
        <v>1</v>
      </c>
      <c r="M80" s="15">
        <v>0</v>
      </c>
      <c r="N80" s="15">
        <v>0</v>
      </c>
      <c r="O80" s="9"/>
      <c r="P80" s="10">
        <v>44249.904062500005</v>
      </c>
      <c r="Q80" s="8"/>
      <c r="R80" s="14" t="s">
        <v>444</v>
      </c>
      <c r="S80" s="8"/>
      <c r="T80" s="8"/>
      <c r="U80" s="11" t="str">
        <f>HYPERLINK("https://pbs.twimg.com/profile_images/1363952290105749507/voRGLSpH.jpg","View")</f>
        <v>View</v>
      </c>
      <c r="V80" s="8"/>
      <c r="W80" s="8"/>
      <c r="X80" s="8"/>
      <c r="Y80" s="8"/>
      <c r="Z80" s="8"/>
    </row>
    <row r="81" spans="1:26" ht="13.2">
      <c r="A81" s="13">
        <v>44250.787615740745</v>
      </c>
      <c r="B81" s="6" t="str">
        <f>HYPERLINK("https://twitter.com/cobadisec","@cobadisec")</f>
        <v>@cobadisec</v>
      </c>
      <c r="C81" s="14" t="s">
        <v>445</v>
      </c>
      <c r="D81" s="14" t="s">
        <v>446</v>
      </c>
      <c r="E81" s="6" t="str">
        <f>HYPERLINK("https://twitter.com/cobadisec/status/1364272353811849220","1364272353811849220")</f>
        <v>1364272353811849220</v>
      </c>
      <c r="F81" s="8"/>
      <c r="G81" s="7" t="s">
        <v>447</v>
      </c>
      <c r="H81" s="8"/>
      <c r="I81" s="14">
        <v>12</v>
      </c>
      <c r="J81" s="14">
        <v>5</v>
      </c>
      <c r="K81" s="6" t="str">
        <f>HYPERLINK("http://twitter.com/download/android","Twitter for Android")</f>
        <v>Twitter for Android</v>
      </c>
      <c r="L81" s="15">
        <v>352</v>
      </c>
      <c r="M81" s="15">
        <v>320</v>
      </c>
      <c r="N81" s="15">
        <v>0</v>
      </c>
      <c r="O81" s="9"/>
      <c r="P81" s="10">
        <v>43735.575104166666</v>
      </c>
      <c r="Q81" s="8"/>
      <c r="R81" s="14" t="s">
        <v>448</v>
      </c>
      <c r="S81" s="7" t="s">
        <v>449</v>
      </c>
      <c r="T81" s="8"/>
      <c r="U81" s="11" t="str">
        <f>HYPERLINK("https://pbs.twimg.com/profile_images/1356348038864887815/BjxhEWos.jpg","View")</f>
        <v>View</v>
      </c>
      <c r="V81" s="8"/>
      <c r="W81" s="8"/>
      <c r="X81" s="8"/>
      <c r="Y81" s="8"/>
      <c r="Z81" s="8"/>
    </row>
    <row r="82" spans="1:26" ht="13.2">
      <c r="A82" s="13">
        <v>44250.787604166668</v>
      </c>
      <c r="B82" s="6" t="str">
        <f>HYPERLINK("https://twitter.com/raspundere","@raspundere")</f>
        <v>@raspundere</v>
      </c>
      <c r="C82" s="14" t="s">
        <v>450</v>
      </c>
      <c r="D82" s="14" t="s">
        <v>451</v>
      </c>
      <c r="E82" s="6" t="str">
        <f>HYPERLINK("https://twitter.com/raspundere/status/1364272348858318856","1364272348858318856")</f>
        <v>1364272348858318856</v>
      </c>
      <c r="F82" s="7" t="s">
        <v>452</v>
      </c>
      <c r="G82" s="7" t="s">
        <v>453</v>
      </c>
      <c r="H82" s="8"/>
      <c r="I82" s="14">
        <v>5</v>
      </c>
      <c r="J82" s="14">
        <v>1</v>
      </c>
      <c r="K82" s="6" t="str">
        <f>HYPERLINK("https://www.integromat.com","Integromat")</f>
        <v>Integromat</v>
      </c>
      <c r="L82" s="15">
        <v>16</v>
      </c>
      <c r="M82" s="15">
        <v>62</v>
      </c>
      <c r="N82" s="15">
        <v>0</v>
      </c>
      <c r="O82" s="9"/>
      <c r="P82" s="10">
        <v>43922.560173611113</v>
      </c>
      <c r="Q82" s="14" t="s">
        <v>454</v>
      </c>
      <c r="R82" s="14" t="s">
        <v>455</v>
      </c>
      <c r="S82" s="8"/>
      <c r="T82" s="8"/>
      <c r="U82" s="11" t="str">
        <f>HYPERLINK("https://pbs.twimg.com/profile_images/1245311893742510083/G5gW3FNu.png","View")</f>
        <v>View</v>
      </c>
      <c r="V82" s="8"/>
      <c r="W82" s="8"/>
      <c r="X82" s="8"/>
      <c r="Y82" s="8"/>
      <c r="Z82" s="8"/>
    </row>
    <row r="83" spans="1:26" ht="13.2">
      <c r="A83" s="13">
        <v>44250.786817129629</v>
      </c>
      <c r="B83" s="6" t="str">
        <f>HYPERLINK("https://twitter.com/krmarko","@krmarko")</f>
        <v>@krmarko</v>
      </c>
      <c r="C83" s="14" t="s">
        <v>456</v>
      </c>
      <c r="D83" s="14" t="s">
        <v>457</v>
      </c>
      <c r="E83" s="6" t="str">
        <f>HYPERLINK("https://twitter.com/krmarko/status/1364272064111267840","1364272064111267840")</f>
        <v>1364272064111267840</v>
      </c>
      <c r="F83" s="14" t="s">
        <v>458</v>
      </c>
      <c r="G83" s="8"/>
      <c r="H83" s="8"/>
      <c r="I83" s="14">
        <v>0</v>
      </c>
      <c r="J83" s="14">
        <v>0</v>
      </c>
      <c r="K83" s="6" t="str">
        <f t="shared" ref="K83:K84" si="10">HYPERLINK("http://twitter.com/#!/download/ipad","Twitter for iPad")</f>
        <v>Twitter for iPad</v>
      </c>
      <c r="L83" s="15">
        <v>3404</v>
      </c>
      <c r="M83" s="15">
        <v>403</v>
      </c>
      <c r="N83" s="15">
        <v>359</v>
      </c>
      <c r="O83" s="9"/>
      <c r="P83" s="10">
        <v>39938.020057870366</v>
      </c>
      <c r="Q83" s="14" t="s">
        <v>459</v>
      </c>
      <c r="R83" s="14" t="s">
        <v>460</v>
      </c>
      <c r="S83" s="7" t="s">
        <v>461</v>
      </c>
      <c r="T83" s="8"/>
      <c r="U83" s="11" t="str">
        <f>HYPERLINK("https://pbs.twimg.com/profile_images/1354192997236133888/6vTpFBnq.jpg","View")</f>
        <v>View</v>
      </c>
      <c r="V83" s="8"/>
      <c r="W83" s="8"/>
      <c r="X83" s="8"/>
      <c r="Y83" s="8"/>
      <c r="Z83" s="8"/>
    </row>
    <row r="84" spans="1:26" ht="13.2">
      <c r="A84" s="13">
        <v>44250.786493055552</v>
      </c>
      <c r="B84" s="6" t="str">
        <f>HYPERLINK("https://twitter.com/DLDConference","@DLDConference")</f>
        <v>@DLDConference</v>
      </c>
      <c r="C84" s="14" t="s">
        <v>141</v>
      </c>
      <c r="D84" s="14" t="s">
        <v>462</v>
      </c>
      <c r="E84" s="6" t="str">
        <f>HYPERLINK("https://twitter.com/DLDConference/status/1364271945320136706","1364271945320136706")</f>
        <v>1364271945320136706</v>
      </c>
      <c r="F84" s="8"/>
      <c r="G84" s="7" t="s">
        <v>463</v>
      </c>
      <c r="H84" s="8"/>
      <c r="I84" s="14">
        <v>0</v>
      </c>
      <c r="J84" s="14">
        <v>0</v>
      </c>
      <c r="K84" s="6" t="str">
        <f t="shared" si="10"/>
        <v>Twitter for iPad</v>
      </c>
      <c r="L84" s="15">
        <v>22674</v>
      </c>
      <c r="M84" s="15">
        <v>1830</v>
      </c>
      <c r="N84" s="15">
        <v>850</v>
      </c>
      <c r="O84" s="15" t="s">
        <v>130</v>
      </c>
      <c r="P84" s="10">
        <v>39790.889502314814</v>
      </c>
      <c r="Q84" s="14" t="s">
        <v>145</v>
      </c>
      <c r="R84" s="14" t="s">
        <v>146</v>
      </c>
      <c r="S84" s="7" t="s">
        <v>147</v>
      </c>
      <c r="T84" s="8"/>
      <c r="U84" s="11" t="str">
        <f>HYPERLINK("https://pbs.twimg.com/profile_images/66773901/dld.png","View")</f>
        <v>View</v>
      </c>
      <c r="V84" s="8"/>
      <c r="W84" s="8"/>
      <c r="X84" s="8"/>
      <c r="Y84" s="8"/>
      <c r="Z84" s="8"/>
    </row>
    <row r="85" spans="1:26" ht="13.2">
      <c r="A85" s="13">
        <v>44250.785532407404</v>
      </c>
      <c r="B85" s="6" t="str">
        <f>HYPERLINK("https://twitter.com/jblefevre60","@jblefevre60")</f>
        <v>@jblefevre60</v>
      </c>
      <c r="C85" s="14" t="s">
        <v>464</v>
      </c>
      <c r="D85" s="14" t="s">
        <v>465</v>
      </c>
      <c r="E85" s="6" t="str">
        <f>HYPERLINK("https://twitter.com/jblefevre60/status/1364271596437970951","1364271596437970951")</f>
        <v>1364271596437970951</v>
      </c>
      <c r="F85" s="8"/>
      <c r="G85" s="7" t="s">
        <v>466</v>
      </c>
      <c r="H85" s="8"/>
      <c r="I85" s="14">
        <v>17</v>
      </c>
      <c r="J85" s="14">
        <v>10</v>
      </c>
      <c r="K85" s="6" t="str">
        <f>HYPERLINK("http://twitter.com/download/android","Twitter for Android")</f>
        <v>Twitter for Android</v>
      </c>
      <c r="L85" s="15">
        <v>80848</v>
      </c>
      <c r="M85" s="15">
        <v>5582</v>
      </c>
      <c r="N85" s="15">
        <v>5070</v>
      </c>
      <c r="O85" s="9"/>
      <c r="P85" s="10">
        <v>42342.801134259258</v>
      </c>
      <c r="Q85" s="14" t="s">
        <v>106</v>
      </c>
      <c r="R85" s="14" t="s">
        <v>467</v>
      </c>
      <c r="S85" s="7" t="s">
        <v>468</v>
      </c>
      <c r="T85" s="8"/>
      <c r="U85" s="11" t="str">
        <f>HYPERLINK("https://pbs.twimg.com/profile_images/915247803248599040/GsF3avSn.jpg","View")</f>
        <v>View</v>
      </c>
      <c r="V85" s="8"/>
      <c r="W85" s="8"/>
      <c r="X85" s="8"/>
      <c r="Y85" s="8"/>
      <c r="Z85" s="8"/>
    </row>
    <row r="86" spans="1:26" ht="13.2">
      <c r="A86" s="13">
        <v>44250.78524305555</v>
      </c>
      <c r="B86" s="6" t="str">
        <f>HYPERLINK("https://twitter.com/TheRealDAGsHub","@TheRealDAGsHub")</f>
        <v>@TheRealDAGsHub</v>
      </c>
      <c r="C86" s="14" t="s">
        <v>469</v>
      </c>
      <c r="D86" s="14" t="s">
        <v>470</v>
      </c>
      <c r="E86" s="6" t="str">
        <f>HYPERLINK("https://twitter.com/TheRealDAGsHub/status/1364271494185050113","1364271494185050113")</f>
        <v>1364271494185050113</v>
      </c>
      <c r="F86" s="7" t="s">
        <v>471</v>
      </c>
      <c r="G86" s="7" t="s">
        <v>472</v>
      </c>
      <c r="H86" s="8"/>
      <c r="I86" s="14">
        <v>0</v>
      </c>
      <c r="J86" s="14">
        <v>1</v>
      </c>
      <c r="K86" s="6" t="str">
        <f>HYPERLINK("https://mobile.twitter.com","Twitter Web App")</f>
        <v>Twitter Web App</v>
      </c>
      <c r="L86" s="15">
        <v>161</v>
      </c>
      <c r="M86" s="15">
        <v>154</v>
      </c>
      <c r="N86" s="15">
        <v>7</v>
      </c>
      <c r="O86" s="9"/>
      <c r="P86" s="10">
        <v>43486.933738425927</v>
      </c>
      <c r="Q86" s="8"/>
      <c r="R86" s="14" t="s">
        <v>473</v>
      </c>
      <c r="S86" s="7" t="s">
        <v>474</v>
      </c>
      <c r="T86" s="8"/>
      <c r="U86" s="11" t="str">
        <f>HYPERLINK("https://pbs.twimg.com/profile_images/1337825990115028993/-tJqXMG0.jpg","View")</f>
        <v>View</v>
      </c>
      <c r="V86" s="8"/>
      <c r="W86" s="8"/>
      <c r="X86" s="8"/>
      <c r="Y86" s="8"/>
      <c r="Z86" s="8"/>
    </row>
    <row r="87" spans="1:26" ht="13.2">
      <c r="A87" s="13">
        <v>44250.784861111111</v>
      </c>
      <c r="B87" s="6" t="str">
        <f>HYPERLINK("https://twitter.com/stanford__ai","@stanford__ai")</f>
        <v>@stanford__ai</v>
      </c>
      <c r="C87" s="14" t="s">
        <v>475</v>
      </c>
      <c r="D87" s="14" t="s">
        <v>476</v>
      </c>
      <c r="E87" s="6" t="str">
        <f>HYPERLINK("https://twitter.com/stanford__ai/status/1364271355886247938","1364271355886247938")</f>
        <v>1364271355886247938</v>
      </c>
      <c r="F87" s="7" t="s">
        <v>477</v>
      </c>
      <c r="G87" s="8"/>
      <c r="H87" s="8"/>
      <c r="I87" s="14">
        <v>0</v>
      </c>
      <c r="J87" s="14">
        <v>0</v>
      </c>
      <c r="K87" s="6" t="str">
        <f>HYPERLINK("https://ifttt.com","IFTTT")</f>
        <v>IFTTT</v>
      </c>
      <c r="L87" s="15">
        <v>928</v>
      </c>
      <c r="M87" s="15">
        <v>1487</v>
      </c>
      <c r="N87" s="15">
        <v>20</v>
      </c>
      <c r="O87" s="9"/>
      <c r="P87" s="10">
        <v>43558.915891203702</v>
      </c>
      <c r="Q87" s="14" t="s">
        <v>478</v>
      </c>
      <c r="R87" s="14" t="s">
        <v>479</v>
      </c>
      <c r="S87" s="7" t="s">
        <v>480</v>
      </c>
      <c r="T87" s="8"/>
      <c r="U87" s="11" t="str">
        <f>HYPERLINK("https://pbs.twimg.com/profile_images/1113531441625935878/OR4W_sLY.jpg","View")</f>
        <v>View</v>
      </c>
      <c r="V87" s="8"/>
      <c r="W87" s="8"/>
      <c r="X87" s="8"/>
      <c r="Y87" s="8"/>
      <c r="Z87" s="8"/>
    </row>
    <row r="88" spans="1:26" ht="13.2">
      <c r="A88" s="13">
        <v>44250.784826388888</v>
      </c>
      <c r="B88" s="6" t="str">
        <f>HYPERLINK("https://twitter.com/sajidmirza","@sajidmirza")</f>
        <v>@sajidmirza</v>
      </c>
      <c r="C88" s="14" t="s">
        <v>200</v>
      </c>
      <c r="D88" s="14" t="s">
        <v>39</v>
      </c>
      <c r="E88" s="6" t="str">
        <f>HYPERLINK("https://twitter.com/sajidmirza/status/1364271339872399364","1364271339872399364")</f>
        <v>1364271339872399364</v>
      </c>
      <c r="F88" s="14" t="s">
        <v>40</v>
      </c>
      <c r="G88" s="8"/>
      <c r="H88" s="8"/>
      <c r="I88" s="14">
        <v>0</v>
      </c>
      <c r="J88" s="14">
        <v>0</v>
      </c>
      <c r="K88" s="6" t="str">
        <f>HYPERLINK("http://twinybots.com","TwinyBots")</f>
        <v>TwinyBots</v>
      </c>
      <c r="L88" s="15">
        <v>2160</v>
      </c>
      <c r="M88" s="15">
        <v>1495</v>
      </c>
      <c r="N88" s="15">
        <v>43</v>
      </c>
      <c r="O88" s="9"/>
      <c r="P88" s="10">
        <v>39986.264884259261</v>
      </c>
      <c r="Q88" s="14" t="s">
        <v>203</v>
      </c>
      <c r="R88" s="14" t="s">
        <v>204</v>
      </c>
      <c r="S88" s="7" t="s">
        <v>205</v>
      </c>
      <c r="T88" s="8"/>
      <c r="U88" s="11" t="str">
        <f>HYPERLINK("https://pbs.twimg.com/profile_images/900709336309276672/M5XpdeQJ.jpg","View")</f>
        <v>View</v>
      </c>
      <c r="V88" s="8"/>
      <c r="W88" s="8"/>
      <c r="X88" s="8"/>
      <c r="Y88" s="8"/>
      <c r="Z88" s="8"/>
    </row>
    <row r="89" spans="1:26" ht="13.2">
      <c r="A89" s="13">
        <v>44250.784791666665</v>
      </c>
      <c r="B89" s="6" t="str">
        <f>HYPERLINK("https://twitter.com/nigewillson","@nigewillson")</f>
        <v>@nigewillson</v>
      </c>
      <c r="C89" s="14" t="s">
        <v>95</v>
      </c>
      <c r="D89" s="14" t="s">
        <v>481</v>
      </c>
      <c r="E89" s="6" t="str">
        <f>HYPERLINK("https://twitter.com/nigewillson/status/1364271327432101890","1364271327432101890")</f>
        <v>1364271327432101890</v>
      </c>
      <c r="F89" s="7" t="s">
        <v>482</v>
      </c>
      <c r="G89" s="7" t="s">
        <v>483</v>
      </c>
      <c r="H89" s="8"/>
      <c r="I89" s="14">
        <v>3</v>
      </c>
      <c r="J89" s="14">
        <v>4</v>
      </c>
      <c r="K89" s="6" t="str">
        <f>HYPERLINK("https://buffer.com","Buffer")</f>
        <v>Buffer</v>
      </c>
      <c r="L89" s="15">
        <v>57515</v>
      </c>
      <c r="M89" s="15">
        <v>49523</v>
      </c>
      <c r="N89" s="15">
        <v>1688</v>
      </c>
      <c r="O89" s="9"/>
      <c r="P89" s="10">
        <v>40530.666805555556</v>
      </c>
      <c r="Q89" s="14" t="s">
        <v>99</v>
      </c>
      <c r="R89" s="14" t="s">
        <v>100</v>
      </c>
      <c r="S89" s="7" t="s">
        <v>101</v>
      </c>
      <c r="T89" s="8"/>
      <c r="U89" s="11" t="str">
        <f>HYPERLINK("https://pbs.twimg.com/profile_images/1085251590997622784/x9mWVQ1d.jpg","View")</f>
        <v>View</v>
      </c>
      <c r="V89" s="8"/>
      <c r="W89" s="8"/>
      <c r="X89" s="8"/>
      <c r="Y89" s="8"/>
      <c r="Z89" s="8"/>
    </row>
    <row r="90" spans="1:26" ht="13.2">
      <c r="A90" s="13">
        <v>44250.784791666665</v>
      </c>
      <c r="B90" s="6" t="str">
        <f>HYPERLINK("https://twitter.com/MetalAMMag","@MetalAMMag")</f>
        <v>@MetalAMMag</v>
      </c>
      <c r="C90" s="14" t="s">
        <v>484</v>
      </c>
      <c r="D90" s="14" t="s">
        <v>485</v>
      </c>
      <c r="E90" s="6" t="str">
        <f>HYPERLINK("https://twitter.com/MetalAMMag/status/1364271327427891207","1364271327427891207")</f>
        <v>1364271327427891207</v>
      </c>
      <c r="F90" s="7" t="s">
        <v>486</v>
      </c>
      <c r="G90" s="8"/>
      <c r="H90" s="8"/>
      <c r="I90" s="14">
        <v>1</v>
      </c>
      <c r="J90" s="14">
        <v>1</v>
      </c>
      <c r="K90" s="6" t="str">
        <f>HYPERLINK("https://www.hootsuite.com","Hootsuite Inc.")</f>
        <v>Hootsuite Inc.</v>
      </c>
      <c r="L90" s="15">
        <v>1949</v>
      </c>
      <c r="M90" s="15">
        <v>758</v>
      </c>
      <c r="N90" s="15">
        <v>33</v>
      </c>
      <c r="O90" s="9"/>
      <c r="P90" s="10">
        <v>42814.47729166667</v>
      </c>
      <c r="Q90" s="8"/>
      <c r="R90" s="14" t="s">
        <v>487</v>
      </c>
      <c r="S90" s="7" t="s">
        <v>488</v>
      </c>
      <c r="T90" s="8"/>
      <c r="U90" s="11" t="str">
        <f>HYPERLINK("https://pbs.twimg.com/profile_images/907972861360570368/6torArCi.jpg","View")</f>
        <v>View</v>
      </c>
      <c r="V90" s="8"/>
      <c r="W90" s="8"/>
      <c r="X90" s="8"/>
      <c r="Y90" s="8"/>
      <c r="Z90" s="8"/>
    </row>
    <row r="91" spans="1:26" ht="13.2">
      <c r="A91" s="13">
        <v>44250.784745370373</v>
      </c>
      <c r="B91" s="6" t="str">
        <f>HYPERLINK("https://twitter.com/MagnimindA","@MagnimindA")</f>
        <v>@MagnimindA</v>
      </c>
      <c r="C91" s="14" t="s">
        <v>489</v>
      </c>
      <c r="D91" s="14" t="s">
        <v>490</v>
      </c>
      <c r="E91" s="6" t="str">
        <f>HYPERLINK("https://twitter.com/MagnimindA/status/1364271313456533505","1364271313456533505")</f>
        <v>1364271313456533505</v>
      </c>
      <c r="F91" s="7" t="s">
        <v>491</v>
      </c>
      <c r="G91" s="7" t="s">
        <v>492</v>
      </c>
      <c r="H91" s="8"/>
      <c r="I91" s="14">
        <v>0</v>
      </c>
      <c r="J91" s="14">
        <v>0</v>
      </c>
      <c r="K91" s="6" t="str">
        <f>HYPERLINK("https://buffer.com","Buffer")</f>
        <v>Buffer</v>
      </c>
      <c r="L91" s="15">
        <v>1715</v>
      </c>
      <c r="M91" s="15">
        <v>3337</v>
      </c>
      <c r="N91" s="15">
        <v>14</v>
      </c>
      <c r="O91" s="9"/>
      <c r="P91" s="10">
        <v>43379.057673611111</v>
      </c>
      <c r="Q91" s="14" t="s">
        <v>81</v>
      </c>
      <c r="R91" s="14" t="s">
        <v>493</v>
      </c>
      <c r="S91" s="7" t="s">
        <v>494</v>
      </c>
      <c r="T91" s="8"/>
      <c r="U91" s="11" t="str">
        <f>HYPERLINK("https://pbs.twimg.com/profile_images/1050446122626375681/rKN2ZFJc.jpg","View")</f>
        <v>View</v>
      </c>
      <c r="V91" s="8"/>
      <c r="W91" s="8"/>
      <c r="X91" s="8"/>
      <c r="Y91" s="8"/>
      <c r="Z91" s="8"/>
    </row>
    <row r="92" spans="1:26" ht="13.2">
      <c r="A92" s="13">
        <v>44250.784583333334</v>
      </c>
      <c r="B92" s="6" t="str">
        <f>HYPERLINK("https://twitter.com/gauravjain49","@gauravjain49")</f>
        <v>@gauravjain49</v>
      </c>
      <c r="C92" s="14" t="s">
        <v>495</v>
      </c>
      <c r="D92" s="14" t="s">
        <v>496</v>
      </c>
      <c r="E92" s="6" t="str">
        <f>HYPERLINK("https://twitter.com/gauravjain49/status/1364271254245576708","1364271254245576708")</f>
        <v>1364271254245576708</v>
      </c>
      <c r="F92" s="7" t="s">
        <v>497</v>
      </c>
      <c r="G92" s="8"/>
      <c r="H92" s="8"/>
      <c r="I92" s="14">
        <v>5</v>
      </c>
      <c r="J92" s="14">
        <v>4</v>
      </c>
      <c r="K92" s="6" t="str">
        <f t="shared" ref="K92:K94" si="11">HYPERLINK("https://mobile.twitter.com","Twitter Web App")</f>
        <v>Twitter Web App</v>
      </c>
      <c r="L92" s="15">
        <v>463</v>
      </c>
      <c r="M92" s="15">
        <v>510</v>
      </c>
      <c r="N92" s="15">
        <v>140</v>
      </c>
      <c r="O92" s="9"/>
      <c r="P92" s="10">
        <v>40696.139108796298</v>
      </c>
      <c r="Q92" s="14" t="s">
        <v>145</v>
      </c>
      <c r="R92" s="14" t="s">
        <v>498</v>
      </c>
      <c r="S92" s="7" t="s">
        <v>499</v>
      </c>
      <c r="T92" s="8"/>
      <c r="U92" s="11" t="str">
        <f>HYPERLINK("https://pbs.twimg.com/profile_images/378800000228610142/d5ded083836c479aa4b0337bfd58bbd4.png","View")</f>
        <v>View</v>
      </c>
      <c r="V92" s="8"/>
      <c r="W92" s="8"/>
      <c r="X92" s="8"/>
      <c r="Y92" s="8"/>
      <c r="Z92" s="8"/>
    </row>
    <row r="93" spans="1:26" ht="13.2">
      <c r="A93" s="13">
        <v>44250.783645833333</v>
      </c>
      <c r="B93" s="6" t="str">
        <f>HYPERLINK("https://twitter.com/santoshshevade","@santoshshevade")</f>
        <v>@santoshshevade</v>
      </c>
      <c r="C93" s="14" t="s">
        <v>500</v>
      </c>
      <c r="D93" s="14" t="s">
        <v>501</v>
      </c>
      <c r="E93" s="6" t="str">
        <f>HYPERLINK("https://twitter.com/santoshshevade/status/1364270912653074432","1364270912653074432")</f>
        <v>1364270912653074432</v>
      </c>
      <c r="F93" s="7" t="s">
        <v>502</v>
      </c>
      <c r="G93" s="8"/>
      <c r="H93" s="8"/>
      <c r="I93" s="14">
        <v>2</v>
      </c>
      <c r="J93" s="14">
        <v>0</v>
      </c>
      <c r="K93" s="6" t="str">
        <f t="shared" si="11"/>
        <v>Twitter Web App</v>
      </c>
      <c r="L93" s="15">
        <v>96</v>
      </c>
      <c r="M93" s="15">
        <v>144</v>
      </c>
      <c r="N93" s="15">
        <v>4</v>
      </c>
      <c r="O93" s="9"/>
      <c r="P93" s="10">
        <v>40412.694178240738</v>
      </c>
      <c r="Q93" s="14" t="s">
        <v>364</v>
      </c>
      <c r="R93" s="14" t="s">
        <v>503</v>
      </c>
      <c r="S93" s="7" t="s">
        <v>504</v>
      </c>
      <c r="T93" s="8"/>
      <c r="U93" s="11" t="str">
        <f>HYPERLINK("https://pbs.twimg.com/profile_images/1012203266686509059/pwuBt8ks.jpg","View")</f>
        <v>View</v>
      </c>
      <c r="V93" s="8"/>
      <c r="W93" s="8"/>
      <c r="X93" s="8"/>
      <c r="Y93" s="8"/>
      <c r="Z93" s="8"/>
    </row>
    <row r="94" spans="1:26" ht="13.2">
      <c r="A94" s="13">
        <v>44250.783194444448</v>
      </c>
      <c r="B94" s="6" t="str">
        <f>HYPERLINK("https://twitter.com/DataSeerDigital","@DataSeerDigital")</f>
        <v>@DataSeerDigital</v>
      </c>
      <c r="C94" s="14" t="s">
        <v>505</v>
      </c>
      <c r="D94" s="14" t="s">
        <v>506</v>
      </c>
      <c r="E94" s="6" t="str">
        <f>HYPERLINK("https://twitter.com/DataSeerDigital/status/1364270750308331520","1364270750308331520")</f>
        <v>1364270750308331520</v>
      </c>
      <c r="F94" s="7" t="s">
        <v>507</v>
      </c>
      <c r="G94" s="7" t="s">
        <v>508</v>
      </c>
      <c r="H94" s="8"/>
      <c r="I94" s="14">
        <v>1</v>
      </c>
      <c r="J94" s="14">
        <v>0</v>
      </c>
      <c r="K94" s="6" t="str">
        <f t="shared" si="11"/>
        <v>Twitter Web App</v>
      </c>
      <c r="L94" s="15">
        <v>2</v>
      </c>
      <c r="M94" s="15">
        <v>9</v>
      </c>
      <c r="N94" s="15">
        <v>0</v>
      </c>
      <c r="O94" s="9"/>
      <c r="P94" s="10">
        <v>44167.053449074076</v>
      </c>
      <c r="Q94" s="14" t="s">
        <v>509</v>
      </c>
      <c r="R94" s="14" t="s">
        <v>510</v>
      </c>
      <c r="S94" s="7" t="s">
        <v>511</v>
      </c>
      <c r="T94" s="8"/>
      <c r="U94" s="11" t="str">
        <f>HYPERLINK("https://pbs.twimg.com/profile_images/1334261165661302784/xiu8x1ql.png","View")</f>
        <v>View</v>
      </c>
      <c r="V94" s="8"/>
      <c r="W94" s="8"/>
      <c r="X94" s="8"/>
      <c r="Y94" s="8"/>
      <c r="Z94" s="8"/>
    </row>
    <row r="95" spans="1:26" ht="13.2">
      <c r="A95" s="13">
        <v>44250.782893518517</v>
      </c>
      <c r="B95" s="6" t="str">
        <f>HYPERLINK("https://twitter.com/randi_epi","@randi_epi")</f>
        <v>@randi_epi</v>
      </c>
      <c r="C95" s="14" t="s">
        <v>512</v>
      </c>
      <c r="D95" s="14" t="s">
        <v>513</v>
      </c>
      <c r="E95" s="6" t="str">
        <f>HYPERLINK("https://twitter.com/randi_epi/status/1364270640535068672","1364270640535068672")</f>
        <v>1364270640535068672</v>
      </c>
      <c r="F95" s="8"/>
      <c r="G95" s="8"/>
      <c r="H95" s="8"/>
      <c r="I95" s="14">
        <v>2</v>
      </c>
      <c r="J95" s="14">
        <v>2</v>
      </c>
      <c r="K95" s="6" t="str">
        <f>HYPERLINK("http://twitter.com/download/iphone","Twitter for iPhone")</f>
        <v>Twitter for iPhone</v>
      </c>
      <c r="L95" s="15">
        <v>1090</v>
      </c>
      <c r="M95" s="15">
        <v>1154</v>
      </c>
      <c r="N95" s="15">
        <v>57</v>
      </c>
      <c r="O95" s="9"/>
      <c r="P95" s="10">
        <v>41288.011678240742</v>
      </c>
      <c r="Q95" s="14" t="s">
        <v>514</v>
      </c>
      <c r="R95" s="14" t="s">
        <v>515</v>
      </c>
      <c r="S95" s="7" t="s">
        <v>516</v>
      </c>
      <c r="T95" s="8"/>
      <c r="U95" s="11" t="str">
        <f>HYPERLINK("https://pbs.twimg.com/profile_images/1328074504166400000/QtcpcpEH.jpg","View")</f>
        <v>View</v>
      </c>
      <c r="V95" s="8"/>
      <c r="W95" s="8"/>
      <c r="X95" s="8"/>
      <c r="Y95" s="8"/>
      <c r="Z95" s="8"/>
    </row>
    <row r="96" spans="1:26" ht="13.2">
      <c r="A96" s="13">
        <v>44250.782662037032</v>
      </c>
      <c r="B96" s="6" t="str">
        <f>HYPERLINK("https://twitter.com/danieluriol","@danieluriol")</f>
        <v>@danieluriol</v>
      </c>
      <c r="C96" s="14" t="s">
        <v>517</v>
      </c>
      <c r="D96" s="14" t="s">
        <v>518</v>
      </c>
      <c r="E96" s="6" t="str">
        <f>HYPERLINK("https://twitter.com/danieluriol/status/1364270558075043844","1364270558075043844")</f>
        <v>1364270558075043844</v>
      </c>
      <c r="F96" s="7" t="s">
        <v>519</v>
      </c>
      <c r="G96" s="7" t="s">
        <v>520</v>
      </c>
      <c r="H96" s="8"/>
      <c r="I96" s="14">
        <v>1</v>
      </c>
      <c r="J96" s="14">
        <v>1</v>
      </c>
      <c r="K96" s="6" t="str">
        <f>HYPERLINK("https://buffer.com","Buffer")</f>
        <v>Buffer</v>
      </c>
      <c r="L96" s="15">
        <v>3441</v>
      </c>
      <c r="M96" s="15">
        <v>455</v>
      </c>
      <c r="N96" s="15">
        <v>8</v>
      </c>
      <c r="O96" s="9"/>
      <c r="P96" s="10">
        <v>39707.014618055553</v>
      </c>
      <c r="Q96" s="8"/>
      <c r="R96" s="14" t="s">
        <v>521</v>
      </c>
      <c r="S96" s="7" t="s">
        <v>522</v>
      </c>
      <c r="T96" s="8"/>
      <c r="U96" s="11" t="str">
        <f>HYPERLINK("https://pbs.twimg.com/profile_images/1284935813604814848/mVDJVdEi.jpg","View")</f>
        <v>View</v>
      </c>
      <c r="V96" s="8"/>
      <c r="W96" s="8"/>
      <c r="X96" s="8"/>
      <c r="Y96" s="8"/>
      <c r="Z96" s="8"/>
    </row>
    <row r="97" spans="1:26" ht="13.2">
      <c r="A97" s="13">
        <v>44250.781967592593</v>
      </c>
      <c r="B97" s="6" t="str">
        <f>HYPERLINK("https://twitter.com/liwaiwaicom","@liwaiwaicom")</f>
        <v>@liwaiwaicom</v>
      </c>
      <c r="C97" s="14" t="s">
        <v>523</v>
      </c>
      <c r="D97" s="14" t="s">
        <v>524</v>
      </c>
      <c r="E97" s="6" t="str">
        <f>HYPERLINK("https://twitter.com/liwaiwaicom/status/1364270306265731073","1364270306265731073")</f>
        <v>1364270306265731073</v>
      </c>
      <c r="F97" s="7" t="s">
        <v>525</v>
      </c>
      <c r="G97" s="8"/>
      <c r="H97" s="8"/>
      <c r="I97" s="14">
        <v>2</v>
      </c>
      <c r="J97" s="14">
        <v>1</v>
      </c>
      <c r="K97" s="6" t="str">
        <f>HYPERLINK("https://mobile.twitter.com","Twitter Web App")</f>
        <v>Twitter Web App</v>
      </c>
      <c r="L97" s="15">
        <v>205</v>
      </c>
      <c r="M97" s="15">
        <v>185</v>
      </c>
      <c r="N97" s="15">
        <v>9</v>
      </c>
      <c r="O97" s="9"/>
      <c r="P97" s="10">
        <v>43586.715312500004</v>
      </c>
      <c r="Q97" s="8"/>
      <c r="R97" s="14" t="s">
        <v>526</v>
      </c>
      <c r="S97" s="7" t="s">
        <v>527</v>
      </c>
      <c r="T97" s="8"/>
      <c r="U97" s="11" t="str">
        <f>HYPERLINK("https://pbs.twimg.com/profile_images/1123618661485252608/jUDPhHbR.png","View")</f>
        <v>View</v>
      </c>
      <c r="V97" s="8"/>
      <c r="W97" s="8"/>
      <c r="X97" s="8"/>
      <c r="Y97" s="8"/>
      <c r="Z97" s="8"/>
    </row>
    <row r="98" spans="1:26" ht="13.2">
      <c r="A98" s="13">
        <v>44250.781724537039</v>
      </c>
      <c r="B98" s="6" t="str">
        <f>HYPERLINK("https://twitter.com/ai_summary","@ai_summary")</f>
        <v>@ai_summary</v>
      </c>
      <c r="C98" s="14" t="s">
        <v>528</v>
      </c>
      <c r="D98" s="14" t="s">
        <v>529</v>
      </c>
      <c r="E98" s="6" t="str">
        <f>HYPERLINK("https://twitter.com/ai_summary/status/1364270219494125569","1364270219494125569")</f>
        <v>1364270219494125569</v>
      </c>
      <c r="F98" s="7" t="s">
        <v>530</v>
      </c>
      <c r="G98" s="8"/>
      <c r="H98" s="8"/>
      <c r="I98" s="14">
        <v>2</v>
      </c>
      <c r="J98" s="14">
        <v>0</v>
      </c>
      <c r="K98" s="8"/>
      <c r="L98" s="15">
        <v>47</v>
      </c>
      <c r="M98" s="15">
        <v>7</v>
      </c>
      <c r="N98" s="15">
        <v>2</v>
      </c>
      <c r="O98" s="9"/>
      <c r="P98" s="10">
        <v>44039.504699074074</v>
      </c>
      <c r="Q98" s="8"/>
      <c r="R98" s="14" t="s">
        <v>531</v>
      </c>
      <c r="S98" s="8"/>
      <c r="T98" s="8"/>
      <c r="U98" s="11" t="str">
        <f>HYPERLINK("https://pbs.twimg.com/profile_images/1315240281206382592/-i10o6Yg.jpg","View")</f>
        <v>View</v>
      </c>
      <c r="V98" s="8"/>
      <c r="W98" s="8"/>
      <c r="X98" s="8"/>
      <c r="Y98" s="8"/>
      <c r="Z98" s="8"/>
    </row>
    <row r="99" spans="1:26" ht="13.2">
      <c r="A99" s="13">
        <v>44250.781400462962</v>
      </c>
      <c r="B99" s="6" t="str">
        <f>HYPERLINK("https://twitter.com/lyakovet","@lyakovet")</f>
        <v>@lyakovet</v>
      </c>
      <c r="C99" s="14" t="s">
        <v>532</v>
      </c>
      <c r="D99" s="14" t="s">
        <v>533</v>
      </c>
      <c r="E99" s="6" t="str">
        <f>HYPERLINK("https://twitter.com/lyakovet/status/1364270101973901316","1364270101973901316")</f>
        <v>1364270101973901316</v>
      </c>
      <c r="F99" s="14" t="s">
        <v>534</v>
      </c>
      <c r="G99" s="7" t="s">
        <v>535</v>
      </c>
      <c r="H99" s="8"/>
      <c r="I99" s="14">
        <v>1</v>
      </c>
      <c r="J99" s="14">
        <v>2</v>
      </c>
      <c r="K99" s="6" t="str">
        <f>HYPERLINK("https://mobile.twitter.com","Twitter Web App")</f>
        <v>Twitter Web App</v>
      </c>
      <c r="L99" s="15">
        <v>1108</v>
      </c>
      <c r="M99" s="15">
        <v>924</v>
      </c>
      <c r="N99" s="15">
        <v>29</v>
      </c>
      <c r="O99" s="9"/>
      <c r="P99" s="10">
        <v>41024.699884259258</v>
      </c>
      <c r="Q99" s="14" t="s">
        <v>536</v>
      </c>
      <c r="R99" s="14" t="s">
        <v>537</v>
      </c>
      <c r="S99" s="7" t="s">
        <v>538</v>
      </c>
      <c r="T99" s="8"/>
      <c r="U99" s="11" t="str">
        <f>HYPERLINK("https://pbs.twimg.com/profile_images/890328543187447808/_Qj8ZD8d.jpg","View")</f>
        <v>View</v>
      </c>
      <c r="V99" s="8"/>
      <c r="W99" s="8"/>
      <c r="X99" s="8"/>
      <c r="Y99" s="8"/>
      <c r="Z99" s="8"/>
    </row>
    <row r="100" spans="1:26" ht="13.2">
      <c r="A100" s="13">
        <v>44250.781400462962</v>
      </c>
      <c r="B100" s="6" t="str">
        <f>HYPERLINK("https://twitter.com/andresvilarino","@andresvilarino")</f>
        <v>@andresvilarino</v>
      </c>
      <c r="C100" s="14" t="s">
        <v>72</v>
      </c>
      <c r="D100" s="14" t="s">
        <v>539</v>
      </c>
      <c r="E100" s="6" t="str">
        <f>HYPERLINK("https://twitter.com/andresvilarino/status/1364270099331432450","1364270099331432450")</f>
        <v>1364270099331432450</v>
      </c>
      <c r="F100" s="7" t="s">
        <v>540</v>
      </c>
      <c r="G100" s="7" t="s">
        <v>541</v>
      </c>
      <c r="H100" s="8"/>
      <c r="I100" s="14">
        <v>3</v>
      </c>
      <c r="J100" s="14">
        <v>2</v>
      </c>
      <c r="K100" s="6" t="str">
        <f>HYPERLINK("https://www.hootsuite.com","Hootsuite Inc.")</f>
        <v>Hootsuite Inc.</v>
      </c>
      <c r="L100" s="15">
        <v>5136</v>
      </c>
      <c r="M100" s="15">
        <v>5043</v>
      </c>
      <c r="N100" s="15">
        <v>79</v>
      </c>
      <c r="O100" s="9"/>
      <c r="P100" s="10">
        <v>40346.43136574074</v>
      </c>
      <c r="Q100" s="14" t="s">
        <v>75</v>
      </c>
      <c r="R100" s="14" t="s">
        <v>76</v>
      </c>
      <c r="S100" s="7" t="s">
        <v>77</v>
      </c>
      <c r="T100" s="8"/>
      <c r="U100" s="11" t="str">
        <f>HYPERLINK("https://pbs.twimg.com/profile_images/1015329397929177088/9OR3sIzf.jpg","View")</f>
        <v>View</v>
      </c>
      <c r="V100" s="8"/>
      <c r="W100" s="8"/>
      <c r="X100" s="8"/>
      <c r="Y100" s="8"/>
      <c r="Z100" s="8"/>
    </row>
    <row r="101" spans="1:26" ht="13.2">
      <c r="A101" s="13">
        <v>44250.781331018516</v>
      </c>
      <c r="B101" s="6" t="str">
        <f>HYPERLINK("https://twitter.com/LaForge_AI","@LaForge_AI")</f>
        <v>@LaForge_AI</v>
      </c>
      <c r="C101" s="14" t="s">
        <v>102</v>
      </c>
      <c r="D101" s="14" t="s">
        <v>542</v>
      </c>
      <c r="E101" s="6" t="str">
        <f>HYPERLINK("https://twitter.com/LaForge_AI/status/1364270077227499524","1364270077227499524")</f>
        <v>1364270077227499524</v>
      </c>
      <c r="F101" s="7" t="s">
        <v>543</v>
      </c>
      <c r="G101" s="7" t="s">
        <v>544</v>
      </c>
      <c r="H101" s="8"/>
      <c r="I101" s="14">
        <v>2</v>
      </c>
      <c r="J101" s="14">
        <v>3</v>
      </c>
      <c r="K101" s="6" t="str">
        <f>HYPERLINK("https://www.la-forge.ai","Rss2Twitter for La Forge")</f>
        <v>Rss2Twitter for La Forge</v>
      </c>
      <c r="L101" s="15">
        <v>9854</v>
      </c>
      <c r="M101" s="15">
        <v>10507</v>
      </c>
      <c r="N101" s="15">
        <v>126</v>
      </c>
      <c r="O101" s="9"/>
      <c r="P101" s="10">
        <v>43660.755891203706</v>
      </c>
      <c r="Q101" s="14" t="s">
        <v>106</v>
      </c>
      <c r="R101" s="14" t="s">
        <v>107</v>
      </c>
      <c r="S101" s="7" t="s">
        <v>108</v>
      </c>
      <c r="T101" s="8"/>
      <c r="U101" s="11" t="str">
        <f>HYPERLINK("https://pbs.twimg.com/profile_images/1261961910020423681/fC-WUmbt.jpg","View")</f>
        <v>View</v>
      </c>
      <c r="V101" s="8"/>
      <c r="W101" s="8"/>
      <c r="X101" s="8"/>
      <c r="Y101" s="8"/>
      <c r="Z101" s="8"/>
    </row>
    <row r="102" spans="1:26" ht="13.2">
      <c r="A102" s="13">
        <v>44250.781331018516</v>
      </c>
      <c r="B102" s="6" t="str">
        <f>HYPERLINK("https://twitter.com/Artificial_Twin","@Artificial_Twin")</f>
        <v>@Artificial_Twin</v>
      </c>
      <c r="C102" s="14" t="s">
        <v>545</v>
      </c>
      <c r="D102" s="14" t="s">
        <v>546</v>
      </c>
      <c r="E102" s="6" t="str">
        <f>HYPERLINK("https://twitter.com/Artificial_Twin/status/1364270074425655299","1364270074425655299")</f>
        <v>1364270074425655299</v>
      </c>
      <c r="F102" s="7" t="s">
        <v>547</v>
      </c>
      <c r="G102" s="7" t="s">
        <v>548</v>
      </c>
      <c r="H102" s="8"/>
      <c r="I102" s="14">
        <v>0</v>
      </c>
      <c r="J102" s="14">
        <v>1</v>
      </c>
      <c r="K102" s="6" t="str">
        <f t="shared" ref="K102:K103" si="12">HYPERLINK("https://buffer.com","Buffer")</f>
        <v>Buffer</v>
      </c>
      <c r="L102" s="15">
        <v>200</v>
      </c>
      <c r="M102" s="15">
        <v>3</v>
      </c>
      <c r="N102" s="15">
        <v>4</v>
      </c>
      <c r="O102" s="9"/>
      <c r="P102" s="10">
        <v>43717.989490740743</v>
      </c>
      <c r="Q102" s="14" t="s">
        <v>549</v>
      </c>
      <c r="R102" s="14" t="s">
        <v>550</v>
      </c>
      <c r="S102" s="7" t="s">
        <v>551</v>
      </c>
      <c r="T102" s="8"/>
      <c r="U102" s="11" t="str">
        <f>HYPERLINK("https://pbs.twimg.com/profile_images/1171178802019483653/YP9R7IMl.jpg","View")</f>
        <v>View</v>
      </c>
      <c r="V102" s="8"/>
      <c r="W102" s="8"/>
      <c r="X102" s="8"/>
      <c r="Y102" s="8"/>
      <c r="Z102" s="8"/>
    </row>
    <row r="103" spans="1:26" ht="13.2">
      <c r="A103" s="13">
        <v>44250.781319444446</v>
      </c>
      <c r="B103" s="6" t="str">
        <f>HYPERLINK("https://twitter.com/nigewillson","@nigewillson")</f>
        <v>@nigewillson</v>
      </c>
      <c r="C103" s="14" t="s">
        <v>95</v>
      </c>
      <c r="D103" s="14" t="s">
        <v>552</v>
      </c>
      <c r="E103" s="6" t="str">
        <f>HYPERLINK("https://twitter.com/nigewillson/status/1364270069124063242","1364270069124063242")</f>
        <v>1364270069124063242</v>
      </c>
      <c r="F103" s="7" t="s">
        <v>553</v>
      </c>
      <c r="G103" s="7" t="s">
        <v>554</v>
      </c>
      <c r="H103" s="8"/>
      <c r="I103" s="14">
        <v>7</v>
      </c>
      <c r="J103" s="14">
        <v>3</v>
      </c>
      <c r="K103" s="6" t="str">
        <f t="shared" si="12"/>
        <v>Buffer</v>
      </c>
      <c r="L103" s="15">
        <v>57515</v>
      </c>
      <c r="M103" s="15">
        <v>49523</v>
      </c>
      <c r="N103" s="15">
        <v>1688</v>
      </c>
      <c r="O103" s="9"/>
      <c r="P103" s="10">
        <v>40530.666805555556</v>
      </c>
      <c r="Q103" s="14" t="s">
        <v>99</v>
      </c>
      <c r="R103" s="14" t="s">
        <v>100</v>
      </c>
      <c r="S103" s="7" t="s">
        <v>101</v>
      </c>
      <c r="T103" s="8"/>
      <c r="U103" s="11" t="str">
        <f>HYPERLINK("https://pbs.twimg.com/profile_images/1085251590997622784/x9mWVQ1d.jpg","View")</f>
        <v>View</v>
      </c>
      <c r="V103" s="8"/>
      <c r="W103" s="8"/>
      <c r="X103" s="8"/>
      <c r="Y103" s="8"/>
      <c r="Z103" s="8"/>
    </row>
    <row r="104" spans="1:26" ht="13.2">
      <c r="A104" s="13">
        <v>44250.78126157407</v>
      </c>
      <c r="B104" s="6" t="str">
        <f>HYPERLINK("https://twitter.com/Data_TurkishSAI","@Data_TurkishSAI")</f>
        <v>@Data_TurkishSAI</v>
      </c>
      <c r="C104" s="14" t="s">
        <v>555</v>
      </c>
      <c r="D104" s="14" t="s">
        <v>556</v>
      </c>
      <c r="E104" s="6" t="str">
        <f>HYPERLINK("https://twitter.com/Data_TurkishSAI/status/1364270050887290880","1364270050887290880")</f>
        <v>1364270050887290880</v>
      </c>
      <c r="F104" s="7" t="s">
        <v>557</v>
      </c>
      <c r="G104" s="8"/>
      <c r="H104" s="8"/>
      <c r="I104" s="14">
        <v>1</v>
      </c>
      <c r="J104" s="14">
        <v>0</v>
      </c>
      <c r="K104" s="6" t="str">
        <f>HYPERLINK("http://twitter.com/download/iphone","Twitter for iPhone")</f>
        <v>Twitter for iPhone</v>
      </c>
      <c r="L104" s="15">
        <v>184</v>
      </c>
      <c r="M104" s="15">
        <v>129</v>
      </c>
      <c r="N104" s="15">
        <v>0</v>
      </c>
      <c r="O104" s="9"/>
      <c r="P104" s="10">
        <v>43699.926111111112</v>
      </c>
      <c r="Q104" s="8"/>
      <c r="R104" s="14" t="s">
        <v>558</v>
      </c>
      <c r="S104" s="7" t="s">
        <v>559</v>
      </c>
      <c r="T104" s="8"/>
      <c r="U104" s="11" t="str">
        <f>HYPERLINK("https://pbs.twimg.com/profile_images/1164637140388667401/KVgIQ_U3.png","View")</f>
        <v>View</v>
      </c>
      <c r="V104" s="8"/>
      <c r="W104" s="8"/>
      <c r="X104" s="8"/>
      <c r="Y104" s="8"/>
      <c r="Z104" s="8"/>
    </row>
    <row r="105" spans="1:26" ht="13.2">
      <c r="A105" s="13">
        <v>44250.78125</v>
      </c>
      <c r="B105" s="6" t="str">
        <f>HYPERLINK("https://twitter.com/TimIntel","@TimIntel")</f>
        <v>@TimIntel</v>
      </c>
      <c r="C105" s="14" t="s">
        <v>560</v>
      </c>
      <c r="D105" s="14" t="s">
        <v>561</v>
      </c>
      <c r="E105" s="6" t="str">
        <f>HYPERLINK("https://twitter.com/TimIntel/status/1364270045371760641","1364270045371760641")</f>
        <v>1364270045371760641</v>
      </c>
      <c r="F105" s="7" t="s">
        <v>562</v>
      </c>
      <c r="G105" s="8"/>
      <c r="H105" s="8"/>
      <c r="I105" s="14">
        <v>0</v>
      </c>
      <c r="J105" s="14">
        <v>0</v>
      </c>
      <c r="K105" s="6" t="str">
        <f>HYPERLINK("https://about.twitter.com/products/tweetdeck","TweetDeck")</f>
        <v>TweetDeck</v>
      </c>
      <c r="L105" s="15">
        <v>13434</v>
      </c>
      <c r="M105" s="15">
        <v>11587</v>
      </c>
      <c r="N105" s="15">
        <v>708</v>
      </c>
      <c r="O105" s="9"/>
      <c r="P105" s="10">
        <v>40960.777638888889</v>
      </c>
      <c r="Q105" s="14" t="s">
        <v>563</v>
      </c>
      <c r="R105" s="14" t="s">
        <v>564</v>
      </c>
      <c r="S105" s="8"/>
      <c r="T105" s="8"/>
      <c r="U105" s="11" t="str">
        <f>HYPERLINK("https://pbs.twimg.com/profile_images/562397314090680321/iyDeHS1l.jpeg","View")</f>
        <v>View</v>
      </c>
      <c r="V105" s="8"/>
      <c r="W105" s="8"/>
      <c r="X105" s="8"/>
      <c r="Y105" s="8"/>
      <c r="Z105" s="8"/>
    </row>
    <row r="106" spans="1:26" ht="13.2">
      <c r="A106" s="13">
        <v>44250.781030092592</v>
      </c>
      <c r="B106" s="6" t="str">
        <f>HYPERLINK("https://twitter.com/AnnaKondratiuk_","@AnnaKondratiuk_")</f>
        <v>@AnnaKondratiuk_</v>
      </c>
      <c r="C106" s="14" t="s">
        <v>565</v>
      </c>
      <c r="D106" s="14" t="s">
        <v>566</v>
      </c>
      <c r="E106" s="6" t="str">
        <f>HYPERLINK("https://twitter.com/AnnaKondratiuk_/status/1364269966338490370","1364269966338490370")</f>
        <v>1364269966338490370</v>
      </c>
      <c r="F106" s="8"/>
      <c r="G106" s="7" t="s">
        <v>567</v>
      </c>
      <c r="H106" s="8"/>
      <c r="I106" s="14">
        <v>11</v>
      </c>
      <c r="J106" s="14">
        <v>4</v>
      </c>
      <c r="K106" s="6" t="str">
        <f t="shared" ref="K106:K107" si="13">HYPERLINK("https://mobile.twitter.com","Twitter Web App")</f>
        <v>Twitter Web App</v>
      </c>
      <c r="L106" s="15">
        <v>62</v>
      </c>
      <c r="M106" s="15">
        <v>77</v>
      </c>
      <c r="N106" s="15">
        <v>2</v>
      </c>
      <c r="O106" s="9"/>
      <c r="P106" s="10">
        <v>42009.428495370375</v>
      </c>
      <c r="Q106" s="8"/>
      <c r="R106" s="14" t="s">
        <v>568</v>
      </c>
      <c r="S106" s="8"/>
      <c r="T106" s="8"/>
      <c r="U106" s="11" t="str">
        <f>HYPERLINK("https://pbs.twimg.com/profile_images/1023271264968994823/LtUO5r4y.jpg","View")</f>
        <v>View</v>
      </c>
      <c r="V106" s="8"/>
      <c r="W106" s="8"/>
      <c r="X106" s="8"/>
      <c r="Y106" s="8"/>
      <c r="Z106" s="8"/>
    </row>
    <row r="107" spans="1:26" ht="13.2">
      <c r="A107" s="13">
        <v>44250.780925925923</v>
      </c>
      <c r="B107" s="6" t="str">
        <f>HYPERLINK("https://twitter.com/liwaiwaicom","@liwaiwaicom")</f>
        <v>@liwaiwaicom</v>
      </c>
      <c r="C107" s="14" t="s">
        <v>523</v>
      </c>
      <c r="D107" s="14" t="s">
        <v>569</v>
      </c>
      <c r="E107" s="6" t="str">
        <f>HYPERLINK("https://twitter.com/liwaiwaicom/status/1364269928019161090","1364269928019161090")</f>
        <v>1364269928019161090</v>
      </c>
      <c r="F107" s="7" t="s">
        <v>570</v>
      </c>
      <c r="G107" s="8"/>
      <c r="H107" s="8"/>
      <c r="I107" s="14">
        <v>0</v>
      </c>
      <c r="J107" s="14">
        <v>0</v>
      </c>
      <c r="K107" s="6" t="str">
        <f t="shared" si="13"/>
        <v>Twitter Web App</v>
      </c>
      <c r="L107" s="15">
        <v>205</v>
      </c>
      <c r="M107" s="15">
        <v>185</v>
      </c>
      <c r="N107" s="15">
        <v>9</v>
      </c>
      <c r="O107" s="9"/>
      <c r="P107" s="10">
        <v>43586.715312500004</v>
      </c>
      <c r="Q107" s="8"/>
      <c r="R107" s="14" t="s">
        <v>526</v>
      </c>
      <c r="S107" s="7" t="s">
        <v>527</v>
      </c>
      <c r="T107" s="8"/>
      <c r="U107" s="11" t="str">
        <f>HYPERLINK("https://pbs.twimg.com/profile_images/1123618661485252608/jUDPhHbR.png","View")</f>
        <v>View</v>
      </c>
      <c r="V107" s="8"/>
      <c r="W107" s="8"/>
      <c r="X107" s="8"/>
      <c r="Y107" s="8"/>
      <c r="Z107" s="8"/>
    </row>
    <row r="108" spans="1:26" ht="13.2">
      <c r="A108" s="13">
        <v>44250.780601851853</v>
      </c>
      <c r="B108" s="6" t="str">
        <f>HYPERLINK("https://twitter.com/Dailycodinghab1","@Dailycodinghab1")</f>
        <v>@Dailycodinghab1</v>
      </c>
      <c r="C108" s="14" t="s">
        <v>571</v>
      </c>
      <c r="D108" s="14" t="s">
        <v>572</v>
      </c>
      <c r="E108" s="6" t="str">
        <f>HYPERLINK("https://twitter.com/Dailycodinghab1/status/1364269812516552707","1364269812516552707")</f>
        <v>1364269812516552707</v>
      </c>
      <c r="F108" s="8"/>
      <c r="G108" s="7" t="s">
        <v>573</v>
      </c>
      <c r="H108" s="8"/>
      <c r="I108" s="14">
        <v>4</v>
      </c>
      <c r="J108" s="14">
        <v>0</v>
      </c>
      <c r="K108" s="6" t="str">
        <f>HYPERLINK("http://twitter.com/download/android","Twitter for Android")</f>
        <v>Twitter for Android</v>
      </c>
      <c r="L108" s="15">
        <v>177</v>
      </c>
      <c r="M108" s="15">
        <v>753</v>
      </c>
      <c r="N108" s="15">
        <v>4</v>
      </c>
      <c r="O108" s="9"/>
      <c r="P108" s="10">
        <v>44205.800682870366</v>
      </c>
      <c r="Q108" s="14" t="s">
        <v>574</v>
      </c>
      <c r="R108" s="14" t="s">
        <v>575</v>
      </c>
      <c r="S108" s="7" t="s">
        <v>576</v>
      </c>
      <c r="T108" s="8"/>
      <c r="U108" s="11" t="str">
        <f>HYPERLINK("https://pbs.twimg.com/profile_images/1347969853227995136/5CIurECo.jpg","View")</f>
        <v>View</v>
      </c>
      <c r="V108" s="8"/>
      <c r="W108" s="8"/>
      <c r="X108" s="8"/>
      <c r="Y108" s="8"/>
      <c r="Z108" s="8"/>
    </row>
    <row r="109" spans="1:26" ht="13.2">
      <c r="A109" s="13">
        <v>44250.780324074076</v>
      </c>
      <c r="B109" s="6" t="str">
        <f>HYPERLINK("https://twitter.com/mlmemoirs","@mlmemoirs")</f>
        <v>@mlmemoirs</v>
      </c>
      <c r="C109" s="14" t="s">
        <v>577</v>
      </c>
      <c r="D109" s="14" t="s">
        <v>476</v>
      </c>
      <c r="E109" s="6" t="str">
        <f>HYPERLINK("https://twitter.com/mlmemoirs/status/1364269709374484481","1364269709374484481")</f>
        <v>1364269709374484481</v>
      </c>
      <c r="F109" s="7" t="s">
        <v>578</v>
      </c>
      <c r="G109" s="8"/>
      <c r="H109" s="8"/>
      <c r="I109" s="14">
        <v>0</v>
      </c>
      <c r="J109" s="14">
        <v>0</v>
      </c>
      <c r="K109" s="6" t="str">
        <f>HYPERLINK("https://ifttt.com","IFTTT")</f>
        <v>IFTTT</v>
      </c>
      <c r="L109" s="15">
        <v>1674</v>
      </c>
      <c r="M109" s="15">
        <v>2216</v>
      </c>
      <c r="N109" s="15">
        <v>30</v>
      </c>
      <c r="O109" s="9"/>
      <c r="P109" s="10">
        <v>43238.970069444447</v>
      </c>
      <c r="Q109" s="14" t="s">
        <v>478</v>
      </c>
      <c r="R109" s="14" t="s">
        <v>579</v>
      </c>
      <c r="S109" s="8"/>
      <c r="T109" s="8"/>
      <c r="U109" s="11" t="str">
        <f>HYPERLINK("https://pbs.twimg.com/profile_images/1050964116729413637/Q5tLLPAf.jpg","View")</f>
        <v>View</v>
      </c>
      <c r="V109" s="8"/>
      <c r="W109" s="8"/>
      <c r="X109" s="8"/>
      <c r="Y109" s="8"/>
      <c r="Z109" s="8"/>
    </row>
    <row r="110" spans="1:26" ht="13.2">
      <c r="A110" s="13">
        <v>44250.779444444444</v>
      </c>
      <c r="B110" s="6" t="str">
        <f>HYPERLINK("https://twitter.com/DataStorage2","@DataStorage2")</f>
        <v>@DataStorage2</v>
      </c>
      <c r="C110" s="14" t="s">
        <v>580</v>
      </c>
      <c r="D110" s="14" t="s">
        <v>581</v>
      </c>
      <c r="E110" s="6" t="str">
        <f>HYPERLINK("https://twitter.com/DataStorage2/status/1364269389688819713","1364269389688819713")</f>
        <v>1364269389688819713</v>
      </c>
      <c r="F110" s="14" t="s">
        <v>582</v>
      </c>
      <c r="G110" s="8"/>
      <c r="H110" s="8"/>
      <c r="I110" s="14">
        <v>1</v>
      </c>
      <c r="J110" s="14">
        <v>1</v>
      </c>
      <c r="K110" s="6" t="str">
        <f>HYPERLINK("http://twinybots.com","TwinyBots")</f>
        <v>TwinyBots</v>
      </c>
      <c r="L110" s="15">
        <v>263</v>
      </c>
      <c r="M110" s="15">
        <v>1002</v>
      </c>
      <c r="N110" s="15">
        <v>2</v>
      </c>
      <c r="O110" s="9"/>
      <c r="P110" s="10">
        <v>43613.520729166667</v>
      </c>
      <c r="Q110" s="14" t="s">
        <v>583</v>
      </c>
      <c r="R110" s="14" t="s">
        <v>584</v>
      </c>
      <c r="S110" s="7" t="s">
        <v>585</v>
      </c>
      <c r="T110" s="8"/>
      <c r="U110" s="11" t="str">
        <f>HYPERLINK("https://pbs.twimg.com/profile_images/1133319745263079424/Aji5EnJ6.jpg","View")</f>
        <v>View</v>
      </c>
      <c r="V110" s="8"/>
      <c r="W110" s="8"/>
      <c r="X110" s="8"/>
      <c r="Y110" s="8"/>
      <c r="Z110" s="8"/>
    </row>
    <row r="111" spans="1:26" ht="13.2">
      <c r="A111" s="13">
        <v>44250.778715277775</v>
      </c>
      <c r="B111" s="6" t="str">
        <f>HYPERLINK("https://twitter.com/RoyalVoxPost","@RoyalVoxPost")</f>
        <v>@RoyalVoxPost</v>
      </c>
      <c r="C111" s="14" t="s">
        <v>586</v>
      </c>
      <c r="D111" s="14" t="s">
        <v>587</v>
      </c>
      <c r="E111" s="6" t="str">
        <f>HYPERLINK("https://twitter.com/RoyalVoxPost/status/1364269126966005764","1364269126966005764")</f>
        <v>1364269126966005764</v>
      </c>
      <c r="F111" s="7" t="s">
        <v>588</v>
      </c>
      <c r="G111" s="7" t="s">
        <v>589</v>
      </c>
      <c r="H111" s="8"/>
      <c r="I111" s="14">
        <v>1</v>
      </c>
      <c r="J111" s="14">
        <v>0</v>
      </c>
      <c r="K111" s="6" t="str">
        <f>HYPERLINK("https://mobile.twitter.com","Twitter Web App")</f>
        <v>Twitter Web App</v>
      </c>
      <c r="L111" s="15">
        <v>1938</v>
      </c>
      <c r="M111" s="15">
        <v>1582</v>
      </c>
      <c r="N111" s="15">
        <v>630</v>
      </c>
      <c r="O111" s="9"/>
      <c r="P111" s="10">
        <v>42428.268518518518</v>
      </c>
      <c r="Q111" s="14" t="s">
        <v>590</v>
      </c>
      <c r="R111" s="14" t="s">
        <v>591</v>
      </c>
      <c r="S111" s="7" t="s">
        <v>592</v>
      </c>
      <c r="T111" s="8"/>
      <c r="U111" s="11" t="str">
        <f>HYPERLINK("https://pbs.twimg.com/profile_images/1271220489114062851/_36YVf5k.png","View")</f>
        <v>View</v>
      </c>
      <c r="V111" s="8"/>
      <c r="W111" s="8"/>
      <c r="X111" s="8"/>
      <c r="Y111" s="8"/>
      <c r="Z111" s="8"/>
    </row>
    <row r="112" spans="1:26" ht="13.2">
      <c r="A112" s="13">
        <v>44250.77789351852</v>
      </c>
      <c r="B112" s="6" t="str">
        <f>HYPERLINK("https://twitter.com/nigewillson","@nigewillson")</f>
        <v>@nigewillson</v>
      </c>
      <c r="C112" s="14" t="s">
        <v>95</v>
      </c>
      <c r="D112" s="14" t="s">
        <v>593</v>
      </c>
      <c r="E112" s="6" t="str">
        <f>HYPERLINK("https://twitter.com/nigewillson/status/1364268829199790081","1364268829199790081")</f>
        <v>1364268829199790081</v>
      </c>
      <c r="F112" s="7" t="s">
        <v>594</v>
      </c>
      <c r="G112" s="7" t="s">
        <v>595</v>
      </c>
      <c r="H112" s="8"/>
      <c r="I112" s="14">
        <v>3</v>
      </c>
      <c r="J112" s="14">
        <v>3</v>
      </c>
      <c r="K112" s="6" t="str">
        <f>HYPERLINK("https://buffer.com","Buffer")</f>
        <v>Buffer</v>
      </c>
      <c r="L112" s="15">
        <v>57515</v>
      </c>
      <c r="M112" s="15">
        <v>49523</v>
      </c>
      <c r="N112" s="15">
        <v>1688</v>
      </c>
      <c r="O112" s="9"/>
      <c r="P112" s="10">
        <v>40530.666805555556</v>
      </c>
      <c r="Q112" s="14" t="s">
        <v>99</v>
      </c>
      <c r="R112" s="14" t="s">
        <v>100</v>
      </c>
      <c r="S112" s="7" t="s">
        <v>101</v>
      </c>
      <c r="T112" s="8"/>
      <c r="U112" s="11" t="str">
        <f>HYPERLINK("https://pbs.twimg.com/profile_images/1085251590997622784/x9mWVQ1d.jpg","View")</f>
        <v>View</v>
      </c>
      <c r="V112" s="8"/>
      <c r="W112" s="8"/>
      <c r="X112" s="8"/>
      <c r="Y112" s="8"/>
      <c r="Z112" s="8"/>
    </row>
    <row r="113" spans="1:26" ht="13.2">
      <c r="A113" s="13">
        <v>44250.777824074074</v>
      </c>
      <c r="B113" s="6" t="str">
        <f>HYPERLINK("https://twitter.com/BristowColin","@BristowColin")</f>
        <v>@BristowColin</v>
      </c>
      <c r="C113" s="14" t="s">
        <v>596</v>
      </c>
      <c r="D113" s="14" t="s">
        <v>597</v>
      </c>
      <c r="E113" s="6" t="str">
        <f>HYPERLINK("https://twitter.com/BristowColin/status/1364268804801392641","1364268804801392641")</f>
        <v>1364268804801392641</v>
      </c>
      <c r="F113" s="7" t="s">
        <v>598</v>
      </c>
      <c r="G113" s="8"/>
      <c r="H113" s="8"/>
      <c r="I113" s="14">
        <v>11</v>
      </c>
      <c r="J113" s="14">
        <v>3</v>
      </c>
      <c r="K113" s="6" t="str">
        <f>HYPERLINK("http://dynamicsignal.com/","Dynamic Signal")</f>
        <v>Dynamic Signal</v>
      </c>
      <c r="L113" s="15">
        <v>12149</v>
      </c>
      <c r="M113" s="15">
        <v>9707</v>
      </c>
      <c r="N113" s="15">
        <v>155</v>
      </c>
      <c r="O113" s="9"/>
      <c r="P113" s="10">
        <v>40900.478090277778</v>
      </c>
      <c r="Q113" s="14" t="s">
        <v>599</v>
      </c>
      <c r="R113" s="14" t="s">
        <v>600</v>
      </c>
      <c r="S113" s="7" t="s">
        <v>601</v>
      </c>
      <c r="T113" s="8"/>
      <c r="U113" s="11" t="str">
        <f>HYPERLINK("https://pbs.twimg.com/profile_images/692994884270198784/jQX64C1s.jpg","View")</f>
        <v>View</v>
      </c>
      <c r="V113" s="8"/>
      <c r="W113" s="8"/>
      <c r="X113" s="8"/>
      <c r="Y113" s="8"/>
      <c r="Z113" s="8"/>
    </row>
    <row r="114" spans="1:26" ht="13.2">
      <c r="A114" s="13">
        <v>44250.777604166666</v>
      </c>
      <c r="B114" s="6" t="str">
        <f>HYPERLINK("https://twitter.com/jayxanaya","@jayxanaya")</f>
        <v>@jayxanaya</v>
      </c>
      <c r="C114" s="14" t="s">
        <v>602</v>
      </c>
      <c r="D114" s="14" t="s">
        <v>603</v>
      </c>
      <c r="E114" s="6" t="str">
        <f>HYPERLINK("https://twitter.com/jayxanaya/status/1364268726728687620","1364268726728687620")</f>
        <v>1364268726728687620</v>
      </c>
      <c r="F114" s="8"/>
      <c r="G114" s="7" t="s">
        <v>604</v>
      </c>
      <c r="H114" s="8"/>
      <c r="I114" s="14">
        <v>2</v>
      </c>
      <c r="J114" s="14">
        <v>1</v>
      </c>
      <c r="K114" s="6" t="str">
        <f t="shared" ref="K114:K115" si="14">HYPERLINK("https://mobile.twitter.com","Twitter Web App")</f>
        <v>Twitter Web App</v>
      </c>
      <c r="L114" s="15">
        <v>969</v>
      </c>
      <c r="M114" s="15">
        <v>764</v>
      </c>
      <c r="N114" s="15">
        <v>23</v>
      </c>
      <c r="O114" s="9"/>
      <c r="P114" s="10">
        <v>40045.279861111107</v>
      </c>
      <c r="Q114" s="14" t="s">
        <v>191</v>
      </c>
      <c r="R114" s="14" t="s">
        <v>605</v>
      </c>
      <c r="S114" s="7" t="s">
        <v>606</v>
      </c>
      <c r="T114" s="8"/>
      <c r="U114" s="11" t="str">
        <f>HYPERLINK("https://pbs.twimg.com/profile_images/1363494419375263751/wQ5vhzkR.jpg","View")</f>
        <v>View</v>
      </c>
      <c r="V114" s="8"/>
      <c r="W114" s="8"/>
      <c r="X114" s="8"/>
      <c r="Y114" s="8"/>
      <c r="Z114" s="8"/>
    </row>
    <row r="115" spans="1:26" ht="13.2">
      <c r="A115" s="13">
        <v>44250.777141203704</v>
      </c>
      <c r="B115" s="6" t="str">
        <f>HYPERLINK("https://twitter.com/DeepLearn007","@DeepLearn007")</f>
        <v>@DeepLearn007</v>
      </c>
      <c r="C115" s="14" t="s">
        <v>607</v>
      </c>
      <c r="D115" s="14" t="s">
        <v>608</v>
      </c>
      <c r="E115" s="6" t="str">
        <f>HYPERLINK("https://twitter.com/DeepLearn007/status/1364268558923014148","1364268558923014148")</f>
        <v>1364268558923014148</v>
      </c>
      <c r="F115" s="7" t="s">
        <v>543</v>
      </c>
      <c r="G115" s="7" t="s">
        <v>535</v>
      </c>
      <c r="H115" s="8"/>
      <c r="I115" s="14">
        <v>29</v>
      </c>
      <c r="J115" s="14">
        <v>25</v>
      </c>
      <c r="K115" s="6" t="str">
        <f t="shared" si="14"/>
        <v>Twitter Web App</v>
      </c>
      <c r="L115" s="15">
        <v>125437</v>
      </c>
      <c r="M115" s="15">
        <v>118372</v>
      </c>
      <c r="N115" s="15">
        <v>3893</v>
      </c>
      <c r="O115" s="9"/>
      <c r="P115" s="10">
        <v>41175.508946759262</v>
      </c>
      <c r="Q115" s="8"/>
      <c r="R115" s="14" t="s">
        <v>609</v>
      </c>
      <c r="S115" s="7" t="s">
        <v>610</v>
      </c>
      <c r="T115" s="8"/>
      <c r="U115" s="11" t="str">
        <f>HYPERLINK("https://pbs.twimg.com/profile_images/748695622140719104/6j_LVovF.jpg","View")</f>
        <v>View</v>
      </c>
      <c r="V115" s="8"/>
      <c r="W115" s="8"/>
      <c r="X115" s="8"/>
      <c r="Y115" s="8"/>
      <c r="Z115" s="8"/>
    </row>
    <row r="116" spans="1:26" ht="13.2">
      <c r="A116" s="13">
        <v>44250.776585648149</v>
      </c>
      <c r="B116" s="6" t="str">
        <f>HYPERLINK("https://twitter.com/nghtxlite","@nghtxlite")</f>
        <v>@nghtxlite</v>
      </c>
      <c r="C116" s="14" t="s">
        <v>611</v>
      </c>
      <c r="D116" s="14" t="s">
        <v>612</v>
      </c>
      <c r="E116" s="6" t="str">
        <f>HYPERLINK("https://twitter.com/nghtxlite/status/1364268356048723970","1364268356048723970")</f>
        <v>1364268356048723970</v>
      </c>
      <c r="F116" s="8"/>
      <c r="G116" s="8"/>
      <c r="H116" s="8"/>
      <c r="I116" s="14">
        <v>0</v>
      </c>
      <c r="J116" s="14">
        <v>0</v>
      </c>
      <c r="K116" s="6" t="str">
        <f>HYPERLINK("http://twitter.com/download/android","Twitter for Android")</f>
        <v>Twitter for Android</v>
      </c>
      <c r="L116" s="15">
        <v>4</v>
      </c>
      <c r="M116" s="15">
        <v>75</v>
      </c>
      <c r="N116" s="15">
        <v>0</v>
      </c>
      <c r="O116" s="9"/>
      <c r="P116" s="10">
        <v>44248.065868055557</v>
      </c>
      <c r="Q116" s="8"/>
      <c r="R116" s="14" t="s">
        <v>613</v>
      </c>
      <c r="S116" s="8"/>
      <c r="T116" s="8"/>
      <c r="U116" s="11" t="str">
        <f>HYPERLINK("https://pbs.twimg.com/profile_images/1363286313433260034/RjHWSZ4i.jpg","View")</f>
        <v>View</v>
      </c>
      <c r="V116" s="8"/>
      <c r="W116" s="8"/>
      <c r="X116" s="8"/>
      <c r="Y116" s="8"/>
      <c r="Z116" s="8"/>
    </row>
    <row r="117" spans="1:26" ht="13.2">
      <c r="A117" s="13">
        <v>44250.775509259256</v>
      </c>
      <c r="B117" s="6" t="str">
        <f>HYPERLINK("https://twitter.com/h2oai","@h2oai")</f>
        <v>@h2oai</v>
      </c>
      <c r="C117" s="7" t="s">
        <v>614</v>
      </c>
      <c r="D117" s="14" t="s">
        <v>615</v>
      </c>
      <c r="E117" s="6" t="str">
        <f>HYPERLINK("https://twitter.com/h2oai/status/1364267967563841541","1364267967563841541")</f>
        <v>1364267967563841541</v>
      </c>
      <c r="F117" s="7" t="s">
        <v>616</v>
      </c>
      <c r="G117" s="8"/>
      <c r="H117" s="8"/>
      <c r="I117" s="14">
        <v>0</v>
      </c>
      <c r="J117" s="14">
        <v>2</v>
      </c>
      <c r="K117" s="6" t="str">
        <f>HYPERLINK("https://mobile.twitter.com","Twitter Web App")</f>
        <v>Twitter Web App</v>
      </c>
      <c r="L117" s="15">
        <v>21298</v>
      </c>
      <c r="M117" s="15">
        <v>3771</v>
      </c>
      <c r="N117" s="15">
        <v>965</v>
      </c>
      <c r="O117" s="9"/>
      <c r="P117" s="10">
        <v>40942.384039351848</v>
      </c>
      <c r="Q117" s="14" t="s">
        <v>617</v>
      </c>
      <c r="R117" s="14" t="s">
        <v>618</v>
      </c>
      <c r="S117" s="7" t="s">
        <v>619</v>
      </c>
      <c r="T117" s="8"/>
      <c r="U117" s="11" t="str">
        <f>HYPERLINK("https://pbs.twimg.com/profile_images/1024818828809629699/m8X9zY2c.jpg","View")</f>
        <v>View</v>
      </c>
      <c r="V117" s="8"/>
      <c r="W117" s="8"/>
      <c r="X117" s="8"/>
      <c r="Y117" s="8"/>
      <c r="Z117" s="8"/>
    </row>
    <row r="118" spans="1:26" ht="13.2">
      <c r="A118" s="13">
        <v>44250.77516203704</v>
      </c>
      <c r="B118" s="6" t="str">
        <f>HYPERLINK("https://twitter.com/okeee0315","@okeee0315")</f>
        <v>@okeee0315</v>
      </c>
      <c r="C118" s="14" t="s">
        <v>620</v>
      </c>
      <c r="D118" s="14" t="s">
        <v>621</v>
      </c>
      <c r="E118" s="6" t="str">
        <f>HYPERLINK("https://twitter.com/okeee0315/status/1364267839604072449","1364267839604072449")</f>
        <v>1364267839604072449</v>
      </c>
      <c r="F118" s="7" t="s">
        <v>622</v>
      </c>
      <c r="G118" s="8"/>
      <c r="H118" s="8"/>
      <c r="I118" s="14">
        <v>1</v>
      </c>
      <c r="J118" s="14">
        <v>1</v>
      </c>
      <c r="K118" s="6" t="str">
        <f>HYPERLINK("https://ifttt.com","IFTTT")</f>
        <v>IFTTT</v>
      </c>
      <c r="L118" s="15">
        <v>828</v>
      </c>
      <c r="M118" s="15">
        <v>299</v>
      </c>
      <c r="N118" s="15">
        <v>72</v>
      </c>
      <c r="O118" s="9"/>
      <c r="P118" s="10">
        <v>40437.043703703705</v>
      </c>
      <c r="Q118" s="14" t="s">
        <v>623</v>
      </c>
      <c r="R118" s="14" t="s">
        <v>624</v>
      </c>
      <c r="S118" s="8"/>
      <c r="T118" s="8"/>
      <c r="U118" s="11" t="str">
        <f>HYPERLINK("https://pbs.twimg.com/profile_images/638327937788329984/2IXCQIE9.jpg","View")</f>
        <v>View</v>
      </c>
      <c r="V118" s="8"/>
      <c r="W118" s="8"/>
      <c r="X118" s="8"/>
      <c r="Y118" s="8"/>
      <c r="Z118" s="8"/>
    </row>
    <row r="119" spans="1:26" ht="13.2">
      <c r="A119" s="13">
        <v>44250.775092592594</v>
      </c>
      <c r="B119" s="6" t="str">
        <f>HYPERLINK("https://twitter.com/BlackfreeNiken","@BlackfreeNiken")</f>
        <v>@BlackfreeNiken</v>
      </c>
      <c r="C119" s="14" t="s">
        <v>244</v>
      </c>
      <c r="D119" s="14" t="s">
        <v>625</v>
      </c>
      <c r="E119" s="6" t="str">
        <f>HYPERLINK("https://twitter.com/BlackfreeNiken/status/1364267814475816962","1364267814475816962")</f>
        <v>1364267814475816962</v>
      </c>
      <c r="F119" s="7" t="s">
        <v>626</v>
      </c>
      <c r="G119" s="7" t="s">
        <v>627</v>
      </c>
      <c r="H119" s="8"/>
      <c r="I119" s="14">
        <v>10</v>
      </c>
      <c r="J119" s="14">
        <v>1</v>
      </c>
      <c r="K119" s="6" t="str">
        <f>HYPERLINK("https://mobile.twitter.com","Twitter Web App")</f>
        <v>Twitter Web App</v>
      </c>
      <c r="L119" s="15">
        <v>266</v>
      </c>
      <c r="M119" s="15">
        <v>167</v>
      </c>
      <c r="N119" s="15">
        <v>11</v>
      </c>
      <c r="O119" s="9"/>
      <c r="P119" s="10">
        <v>43630.661504629628</v>
      </c>
      <c r="Q119" s="8"/>
      <c r="R119" s="14" t="s">
        <v>248</v>
      </c>
      <c r="S119" s="7" t="s">
        <v>249</v>
      </c>
      <c r="T119" s="8"/>
      <c r="U119" s="11" t="str">
        <f>HYPERLINK("https://pbs.twimg.com/profile_images/1198566533317844997/LJzP5iY7.jpg","View")</f>
        <v>View</v>
      </c>
      <c r="V119" s="8"/>
      <c r="W119" s="8"/>
      <c r="X119" s="8"/>
      <c r="Y119" s="8"/>
      <c r="Z119" s="8"/>
    </row>
    <row r="120" spans="1:26" ht="13.2">
      <c r="A120" s="13">
        <v>44250.774988425925</v>
      </c>
      <c r="B120" s="6" t="str">
        <f>HYPERLINK("https://twitter.com/reveleer","@reveleer")</f>
        <v>@reveleer</v>
      </c>
      <c r="C120" s="14" t="s">
        <v>628</v>
      </c>
      <c r="D120" s="14" t="s">
        <v>629</v>
      </c>
      <c r="E120" s="6" t="str">
        <f>HYPERLINK("https://twitter.com/reveleer/status/1364267778518233090","1364267778518233090")</f>
        <v>1364267778518233090</v>
      </c>
      <c r="F120" s="7" t="s">
        <v>630</v>
      </c>
      <c r="G120" s="7" t="s">
        <v>631</v>
      </c>
      <c r="H120" s="8"/>
      <c r="I120" s="14">
        <v>1</v>
      </c>
      <c r="J120" s="14">
        <v>1</v>
      </c>
      <c r="K120" s="6" t="str">
        <f>HYPERLINK("http://www.hubspot.com/","HubSpot")</f>
        <v>HubSpot</v>
      </c>
      <c r="L120" s="15">
        <v>1780</v>
      </c>
      <c r="M120" s="15">
        <v>2017</v>
      </c>
      <c r="N120" s="15">
        <v>139</v>
      </c>
      <c r="O120" s="9"/>
      <c r="P120" s="10">
        <v>41689.835555555554</v>
      </c>
      <c r="Q120" s="14" t="s">
        <v>632</v>
      </c>
      <c r="R120" s="14" t="s">
        <v>633</v>
      </c>
      <c r="S120" s="7" t="s">
        <v>634</v>
      </c>
      <c r="T120" s="8"/>
      <c r="U120" s="11" t="str">
        <f>HYPERLINK("https://pbs.twimg.com/profile_images/1157033532625182720/xHWIbeXR.jpg","View")</f>
        <v>View</v>
      </c>
      <c r="V120" s="8"/>
      <c r="W120" s="8"/>
      <c r="X120" s="8"/>
      <c r="Y120" s="8"/>
      <c r="Z120" s="8"/>
    </row>
    <row r="121" spans="1:26" ht="13.2">
      <c r="A121" s="13">
        <v>44250.774907407409</v>
      </c>
      <c r="B121" s="6" t="str">
        <f>HYPERLINK("https://twitter.com/KirkDBorne","@KirkDBorne")</f>
        <v>@KirkDBorne</v>
      </c>
      <c r="C121" s="14" t="s">
        <v>127</v>
      </c>
      <c r="D121" s="14" t="s">
        <v>635</v>
      </c>
      <c r="E121" s="6" t="str">
        <f>HYPERLINK("https://twitter.com/KirkDBorne/status/1364267745441898497","1364267745441898497")</f>
        <v>1364267745441898497</v>
      </c>
      <c r="F121" s="14" t="s">
        <v>636</v>
      </c>
      <c r="G121" s="7" t="s">
        <v>637</v>
      </c>
      <c r="H121" s="8"/>
      <c r="I121" s="14">
        <v>3</v>
      </c>
      <c r="J121" s="14">
        <v>3</v>
      </c>
      <c r="K121" s="6" t="str">
        <f>HYPERLINK("https://mobile.twitter.com","Twitter Web App")</f>
        <v>Twitter Web App</v>
      </c>
      <c r="L121" s="15">
        <v>273892</v>
      </c>
      <c r="M121" s="15">
        <v>8969</v>
      </c>
      <c r="N121" s="15">
        <v>8299</v>
      </c>
      <c r="O121" s="15" t="s">
        <v>130</v>
      </c>
      <c r="P121" s="10">
        <v>40991.732835648145</v>
      </c>
      <c r="Q121" s="14" t="s">
        <v>131</v>
      </c>
      <c r="R121" s="14" t="s">
        <v>132</v>
      </c>
      <c r="S121" s="7" t="s">
        <v>133</v>
      </c>
      <c r="T121" s="8"/>
      <c r="U121" s="11" t="str">
        <f>HYPERLINK("https://pbs.twimg.com/profile_images/1112733580948635648/s-8d1avb.jpg","View")</f>
        <v>View</v>
      </c>
      <c r="V121" s="8"/>
      <c r="W121" s="8"/>
      <c r="X121" s="8"/>
      <c r="Y121" s="8"/>
      <c r="Z121" s="8"/>
    </row>
    <row r="122" spans="1:26" ht="13.2">
      <c r="A122" s="13">
        <v>44250.774548611109</v>
      </c>
      <c r="B122" s="6" t="str">
        <f>HYPERLINK("https://twitter.com/MichaelMallari","@MichaelMallari")</f>
        <v>@MichaelMallari</v>
      </c>
      <c r="C122" s="14" t="s">
        <v>638</v>
      </c>
      <c r="D122" s="14" t="s">
        <v>639</v>
      </c>
      <c r="E122" s="6" t="str">
        <f>HYPERLINK("https://twitter.com/MichaelMallari/status/1364267618635550724","1364267618635550724")</f>
        <v>1364267618635550724</v>
      </c>
      <c r="F122" s="14" t="s">
        <v>640</v>
      </c>
      <c r="G122" s="7" t="s">
        <v>641</v>
      </c>
      <c r="H122" s="8"/>
      <c r="I122" s="14">
        <v>0</v>
      </c>
      <c r="J122" s="14">
        <v>0</v>
      </c>
      <c r="K122" s="6" t="str">
        <f>HYPERLINK("https://ifttt.com","IFTTT")</f>
        <v>IFTTT</v>
      </c>
      <c r="L122" s="15">
        <v>323</v>
      </c>
      <c r="M122" s="15">
        <v>877</v>
      </c>
      <c r="N122" s="15">
        <v>31</v>
      </c>
      <c r="O122" s="9"/>
      <c r="P122" s="10">
        <v>39985.855231481481</v>
      </c>
      <c r="Q122" s="14" t="s">
        <v>642</v>
      </c>
      <c r="R122" s="14" t="s">
        <v>643</v>
      </c>
      <c r="S122" s="7" t="s">
        <v>644</v>
      </c>
      <c r="T122" s="8"/>
      <c r="U122" s="11" t="str">
        <f>HYPERLINK("https://pbs.twimg.com/profile_images/1238625460239532032/OJW4jiyV.jpg","View")</f>
        <v>View</v>
      </c>
      <c r="V122" s="8"/>
      <c r="W122" s="8"/>
      <c r="X122" s="8"/>
      <c r="Y122" s="8"/>
      <c r="Z122" s="8"/>
    </row>
    <row r="123" spans="1:26" ht="13.2">
      <c r="A123" s="13">
        <v>44250.774328703701</v>
      </c>
      <c r="B123" s="6" t="str">
        <f>HYPERLINK("https://twitter.com/bigdataconf","@bigdataconf")</f>
        <v>@bigdataconf</v>
      </c>
      <c r="C123" s="14" t="s">
        <v>78</v>
      </c>
      <c r="D123" s="14" t="s">
        <v>645</v>
      </c>
      <c r="E123" s="6" t="str">
        <f>HYPERLINK("https://twitter.com/bigdataconf/status/1364267539459694602","1364267539459694602")</f>
        <v>1364267539459694602</v>
      </c>
      <c r="F123" s="7" t="s">
        <v>646</v>
      </c>
      <c r="G123" s="8"/>
      <c r="H123" s="8"/>
      <c r="I123" s="14">
        <v>3</v>
      </c>
      <c r="J123" s="14">
        <v>1</v>
      </c>
      <c r="K123" s="6" t="str">
        <f>HYPERLINK("https://buffer.com","Buffer")</f>
        <v>Buffer</v>
      </c>
      <c r="L123" s="15">
        <v>6752</v>
      </c>
      <c r="M123" s="15">
        <v>4333</v>
      </c>
      <c r="N123" s="15">
        <v>1236</v>
      </c>
      <c r="O123" s="9"/>
      <c r="P123" s="10">
        <v>41238.332962962959</v>
      </c>
      <c r="Q123" s="14" t="s">
        <v>81</v>
      </c>
      <c r="R123" s="14" t="s">
        <v>82</v>
      </c>
      <c r="S123" s="7" t="s">
        <v>83</v>
      </c>
      <c r="T123" s="8"/>
      <c r="U123" s="11" t="str">
        <f>HYPERLINK("https://pbs.twimg.com/profile_images/1347252050757709824/mnYHBPAA.jpg","View")</f>
        <v>View</v>
      </c>
      <c r="V123" s="8"/>
      <c r="W123" s="8"/>
      <c r="X123" s="8"/>
      <c r="Y123" s="8"/>
      <c r="Z123" s="8"/>
    </row>
    <row r="124" spans="1:26" ht="13.2">
      <c r="A124" s="13">
        <v>44250.774328703701</v>
      </c>
      <c r="B124" s="6" t="str">
        <f>HYPERLINK("https://twitter.com/techtrendworld","@techtrendworld")</f>
        <v>@techtrendworld</v>
      </c>
      <c r="C124" s="14" t="s">
        <v>647</v>
      </c>
      <c r="D124" s="14" t="s">
        <v>648</v>
      </c>
      <c r="E124" s="6" t="str">
        <f>HYPERLINK("https://twitter.com/techtrendworld/status/1364267538146811908","1364267538146811908")</f>
        <v>1364267538146811908</v>
      </c>
      <c r="F124" s="7" t="s">
        <v>649</v>
      </c>
      <c r="G124" s="8"/>
      <c r="H124" s="8"/>
      <c r="I124" s="14">
        <v>1</v>
      </c>
      <c r="J124" s="14">
        <v>0</v>
      </c>
      <c r="K124" s="6" t="str">
        <f>HYPERLINK("https://www.hootsuite.com","Hootsuite Inc.")</f>
        <v>Hootsuite Inc.</v>
      </c>
      <c r="L124" s="15">
        <v>68</v>
      </c>
      <c r="M124" s="15">
        <v>226</v>
      </c>
      <c r="N124" s="15">
        <v>0</v>
      </c>
      <c r="O124" s="9"/>
      <c r="P124" s="10">
        <v>44089.734456018516</v>
      </c>
      <c r="Q124" s="14" t="s">
        <v>650</v>
      </c>
      <c r="R124" s="14" t="s">
        <v>651</v>
      </c>
      <c r="S124" s="7" t="s">
        <v>652</v>
      </c>
      <c r="T124" s="8"/>
      <c r="U124" s="11" t="str">
        <f>HYPERLINK("https://pbs.twimg.com/profile_images/1305893898217123840/zny1CZdf.jpg","View")</f>
        <v>View</v>
      </c>
      <c r="V124" s="8"/>
      <c r="W124" s="8"/>
      <c r="X124" s="8"/>
      <c r="Y124" s="8"/>
      <c r="Z124" s="8"/>
    </row>
    <row r="125" spans="1:26" ht="13.2">
      <c r="A125" s="13">
        <v>44250.774328703701</v>
      </c>
      <c r="B125" s="6" t="str">
        <f>HYPERLINK("https://twitter.com/nigewillson","@nigewillson")</f>
        <v>@nigewillson</v>
      </c>
      <c r="C125" s="14" t="s">
        <v>95</v>
      </c>
      <c r="D125" s="14" t="s">
        <v>653</v>
      </c>
      <c r="E125" s="6" t="str">
        <f>HYPERLINK("https://twitter.com/nigewillson/status/1364267537668702208","1364267537668702208")</f>
        <v>1364267537668702208</v>
      </c>
      <c r="F125" s="7" t="s">
        <v>654</v>
      </c>
      <c r="G125" s="7" t="s">
        <v>655</v>
      </c>
      <c r="H125" s="8"/>
      <c r="I125" s="14">
        <v>2</v>
      </c>
      <c r="J125" s="14">
        <v>1</v>
      </c>
      <c r="K125" s="6" t="str">
        <f>HYPERLINK("https://buffer.com","Buffer")</f>
        <v>Buffer</v>
      </c>
      <c r="L125" s="15">
        <v>57515</v>
      </c>
      <c r="M125" s="15">
        <v>49523</v>
      </c>
      <c r="N125" s="15">
        <v>1688</v>
      </c>
      <c r="O125" s="9"/>
      <c r="P125" s="10">
        <v>40530.666805555556</v>
      </c>
      <c r="Q125" s="14" t="s">
        <v>99</v>
      </c>
      <c r="R125" s="14" t="s">
        <v>100</v>
      </c>
      <c r="S125" s="7" t="s">
        <v>101</v>
      </c>
      <c r="T125" s="8"/>
      <c r="U125" s="11" t="str">
        <f>HYPERLINK("https://pbs.twimg.com/profile_images/1085251590997622784/x9mWVQ1d.jpg","View")</f>
        <v>View</v>
      </c>
      <c r="V125" s="8"/>
      <c r="W125" s="8"/>
      <c r="X125" s="8"/>
      <c r="Y125" s="8"/>
      <c r="Z125" s="8"/>
    </row>
    <row r="126" spans="1:26" ht="13.2">
      <c r="A126" s="13">
        <v>44250.774305555555</v>
      </c>
      <c r="B126" s="6" t="str">
        <f>HYPERLINK("https://twitter.com/SSI_Innovations","@SSI_Innovations")</f>
        <v>@SSI_Innovations</v>
      </c>
      <c r="C126" s="14" t="s">
        <v>656</v>
      </c>
      <c r="D126" s="14" t="s">
        <v>657</v>
      </c>
      <c r="E126" s="6" t="str">
        <f>HYPERLINK("https://twitter.com/SSI_Innovations/status/1364267528449650688","1364267528449650688")</f>
        <v>1364267528449650688</v>
      </c>
      <c r="F126" s="7" t="s">
        <v>658</v>
      </c>
      <c r="G126" s="7" t="s">
        <v>659</v>
      </c>
      <c r="H126" s="8"/>
      <c r="I126" s="14">
        <v>4</v>
      </c>
      <c r="J126" s="14">
        <v>3</v>
      </c>
      <c r="K126" s="6" t="str">
        <f>HYPERLINK("https://about.twitter.com/products/tweetdeck","TweetDeck")</f>
        <v>TweetDeck</v>
      </c>
      <c r="L126" s="15">
        <v>4449</v>
      </c>
      <c r="M126" s="15">
        <v>5002</v>
      </c>
      <c r="N126" s="15">
        <v>270</v>
      </c>
      <c r="O126" s="9"/>
      <c r="P126" s="10">
        <v>42264.36791666667</v>
      </c>
      <c r="Q126" s="14" t="s">
        <v>660</v>
      </c>
      <c r="R126" s="14" t="s">
        <v>661</v>
      </c>
      <c r="S126" s="7" t="s">
        <v>662</v>
      </c>
      <c r="T126" s="8"/>
      <c r="U126" s="11" t="str">
        <f>HYPERLINK("https://pbs.twimg.com/profile_images/649205321848631296/u39Qrzjg.jpg","View")</f>
        <v>View</v>
      </c>
      <c r="V126" s="8"/>
      <c r="W126" s="8"/>
      <c r="X126" s="8"/>
      <c r="Y126" s="8"/>
      <c r="Z126" s="8"/>
    </row>
    <row r="127" spans="1:26" ht="13.2">
      <c r="A127" s="13">
        <v>44250.773692129631</v>
      </c>
      <c r="B127" s="6" t="str">
        <f>HYPERLINK("https://twitter.com/DrSCoffin","@DrSCoffin")</f>
        <v>@DrSCoffin</v>
      </c>
      <c r="C127" s="14" t="s">
        <v>663</v>
      </c>
      <c r="D127" s="14" t="s">
        <v>664</v>
      </c>
      <c r="E127" s="6" t="str">
        <f>HYPERLINK("https://twitter.com/DrSCoffin/status/1364267306914775042","1364267306914775042")</f>
        <v>1364267306914775042</v>
      </c>
      <c r="F127" s="7" t="s">
        <v>665</v>
      </c>
      <c r="G127" s="8"/>
      <c r="H127" s="8"/>
      <c r="I127" s="14">
        <v>3</v>
      </c>
      <c r="J127" s="14">
        <v>4</v>
      </c>
      <c r="K127" s="6" t="str">
        <f>HYPERLINK("https://mobile.twitter.com","Twitter Web App")</f>
        <v>Twitter Web App</v>
      </c>
      <c r="L127" s="15">
        <v>1193</v>
      </c>
      <c r="M127" s="15">
        <v>812</v>
      </c>
      <c r="N127" s="15">
        <v>15</v>
      </c>
      <c r="O127" s="9"/>
      <c r="P127" s="10">
        <v>43402.501168981486</v>
      </c>
      <c r="Q127" s="14" t="s">
        <v>666</v>
      </c>
      <c r="R127" s="14" t="s">
        <v>667</v>
      </c>
      <c r="S127" s="7" t="s">
        <v>668</v>
      </c>
      <c r="T127" s="8"/>
      <c r="U127" s="11" t="str">
        <f>HYPERLINK("https://pbs.twimg.com/profile_images/1319119421965701122/zPS-RKmV.jpg","View")</f>
        <v>View</v>
      </c>
      <c r="V127" s="8"/>
      <c r="W127" s="8"/>
      <c r="X127" s="8"/>
      <c r="Y127" s="8"/>
      <c r="Z127" s="8"/>
    </row>
    <row r="128" spans="1:26" ht="13.2">
      <c r="A128" s="13">
        <v>44250.773622685185</v>
      </c>
      <c r="B128" s="6" t="str">
        <f>HYPERLINK("https://twitter.com/future_of_AI","@future_of_AI")</f>
        <v>@future_of_AI</v>
      </c>
      <c r="C128" s="14" t="s">
        <v>284</v>
      </c>
      <c r="D128" s="14" t="s">
        <v>669</v>
      </c>
      <c r="E128" s="6" t="str">
        <f>HYPERLINK("https://twitter.com/future_of_AI/status/1364267281048604677","1364267281048604677")</f>
        <v>1364267281048604677</v>
      </c>
      <c r="F128" s="7" t="s">
        <v>670</v>
      </c>
      <c r="G128" s="8"/>
      <c r="H128" s="8"/>
      <c r="I128" s="14">
        <v>1</v>
      </c>
      <c r="J128" s="14">
        <v>1</v>
      </c>
      <c r="K128" s="6" t="str">
        <f>HYPERLINK("https://buffer.com","Buffer")</f>
        <v>Buffer</v>
      </c>
      <c r="L128" s="15">
        <v>2893</v>
      </c>
      <c r="M128" s="15">
        <v>1348</v>
      </c>
      <c r="N128" s="15">
        <v>130</v>
      </c>
      <c r="O128" s="9"/>
      <c r="P128" s="10">
        <v>42816.80840277778</v>
      </c>
      <c r="Q128" s="8"/>
      <c r="R128" s="14" t="s">
        <v>287</v>
      </c>
      <c r="S128" s="7" t="s">
        <v>288</v>
      </c>
      <c r="T128" s="8"/>
      <c r="U128" s="11" t="str">
        <f>HYPERLINK("https://pbs.twimg.com/profile_images/1047866034970140673/ZBhSks16.jpg","View")</f>
        <v>View</v>
      </c>
      <c r="V128" s="8"/>
      <c r="W128" s="8"/>
      <c r="X128" s="8"/>
      <c r="Y128" s="8"/>
      <c r="Z128" s="8"/>
    </row>
    <row r="129" spans="1:26" ht="13.2">
      <c r="A129" s="13">
        <v>44250.773611111115</v>
      </c>
      <c r="B129" s="6" t="str">
        <f>HYPERLINK("https://twitter.com/LaughlinPaul","@LaughlinPaul")</f>
        <v>@LaughlinPaul</v>
      </c>
      <c r="C129" s="14" t="s">
        <v>671</v>
      </c>
      <c r="D129" s="14" t="s">
        <v>672</v>
      </c>
      <c r="E129" s="6" t="str">
        <f>HYPERLINK("https://twitter.com/LaughlinPaul/status/1364267277261152256","1364267277261152256")</f>
        <v>1364267277261152256</v>
      </c>
      <c r="F129" s="7" t="s">
        <v>673</v>
      </c>
      <c r="G129" s="8"/>
      <c r="H129" s="8"/>
      <c r="I129" s="14">
        <v>1</v>
      </c>
      <c r="J129" s="14">
        <v>0</v>
      </c>
      <c r="K129" s="6" t="str">
        <f>HYPERLINK("https://socialbee.io/","SocialBee.io v2")</f>
        <v>SocialBee.io v2</v>
      </c>
      <c r="L129" s="15">
        <v>1511</v>
      </c>
      <c r="M129" s="15">
        <v>976</v>
      </c>
      <c r="N129" s="15">
        <v>0</v>
      </c>
      <c r="O129" s="9"/>
      <c r="P129" s="10">
        <v>41029.808622685188</v>
      </c>
      <c r="Q129" s="14" t="s">
        <v>674</v>
      </c>
      <c r="R129" s="14" t="s">
        <v>675</v>
      </c>
      <c r="S129" s="7" t="s">
        <v>676</v>
      </c>
      <c r="T129" s="8"/>
      <c r="U129" s="11" t="str">
        <f>HYPERLINK("https://pbs.twimg.com/profile_images/1362006321550270466/EPMxohH3.jpg","View")</f>
        <v>View</v>
      </c>
      <c r="V129" s="8"/>
      <c r="W129" s="8"/>
      <c r="X129" s="8"/>
      <c r="Y129" s="8"/>
      <c r="Z129" s="8"/>
    </row>
    <row r="130" spans="1:26" ht="13.2">
      <c r="A130" s="13">
        <v>44250.773217592592</v>
      </c>
      <c r="B130" s="6" t="str">
        <f>HYPERLINK("https://twitter.com/GannyMcGANFace","@GannyMcGANFace")</f>
        <v>@GannyMcGANFace</v>
      </c>
      <c r="C130" s="14" t="s">
        <v>677</v>
      </c>
      <c r="D130" s="14" t="s">
        <v>678</v>
      </c>
      <c r="E130" s="6" t="str">
        <f>HYPERLINK("https://twitter.com/GannyMcGANFace/status/1364267135514660865","1364267135514660865")</f>
        <v>1364267135514660865</v>
      </c>
      <c r="F130" s="8"/>
      <c r="G130" s="7" t="s">
        <v>679</v>
      </c>
      <c r="H130" s="8"/>
      <c r="I130" s="14">
        <v>0</v>
      </c>
      <c r="J130" s="14">
        <v>0</v>
      </c>
      <c r="K130" s="6" t="str">
        <f>HYPERLINK("https://cheapbotsdonequick.com","Cheap Bots, Done Quick!")</f>
        <v>Cheap Bots, Done Quick!</v>
      </c>
      <c r="L130" s="15">
        <v>109</v>
      </c>
      <c r="M130" s="15">
        <v>241</v>
      </c>
      <c r="N130" s="15">
        <v>1</v>
      </c>
      <c r="O130" s="9"/>
      <c r="P130" s="10">
        <v>42779.006909722222</v>
      </c>
      <c r="Q130" s="8"/>
      <c r="R130" s="14" t="s">
        <v>680</v>
      </c>
      <c r="S130" s="8"/>
      <c r="T130" s="8"/>
      <c r="U130" s="11" t="str">
        <f>HYPERLINK("https://pbs.twimg.com/profile_images/1323328546505428994/-DcHTlvo.png","View")</f>
        <v>View</v>
      </c>
      <c r="V130" s="8"/>
      <c r="W130" s="8"/>
      <c r="X130" s="8"/>
      <c r="Y130" s="8"/>
      <c r="Z130" s="8"/>
    </row>
    <row r="131" spans="1:26" ht="13.2">
      <c r="A131" s="13">
        <v>44250.772974537038</v>
      </c>
      <c r="B131" s="6" t="str">
        <f>HYPERLINK("https://twitter.com/lopezunwired","@lopezunwired")</f>
        <v>@lopezunwired</v>
      </c>
      <c r="C131" s="14" t="s">
        <v>224</v>
      </c>
      <c r="D131" s="14" t="s">
        <v>681</v>
      </c>
      <c r="E131" s="6" t="str">
        <f>HYPERLINK("https://twitter.com/lopezunwired/status/1364267045810921472","1364267045810921472")</f>
        <v>1364267045810921472</v>
      </c>
      <c r="F131" s="7" t="s">
        <v>682</v>
      </c>
      <c r="G131" s="7" t="s">
        <v>683</v>
      </c>
      <c r="H131" s="8"/>
      <c r="I131" s="14">
        <v>1</v>
      </c>
      <c r="J131" s="14">
        <v>0</v>
      </c>
      <c r="K131" s="6" t="str">
        <f>HYPERLINK("https://dlvrit.com/","dlvr.it")</f>
        <v>dlvr.it</v>
      </c>
      <c r="L131" s="15">
        <v>1803</v>
      </c>
      <c r="M131" s="15">
        <v>800</v>
      </c>
      <c r="N131" s="15">
        <v>586</v>
      </c>
      <c r="O131" s="9"/>
      <c r="P131" s="10">
        <v>39831.947152777779</v>
      </c>
      <c r="Q131" s="14" t="s">
        <v>228</v>
      </c>
      <c r="R131" s="14" t="s">
        <v>229</v>
      </c>
      <c r="S131" s="7" t="s">
        <v>230</v>
      </c>
      <c r="T131" s="8"/>
      <c r="U131" s="11" t="str">
        <f>HYPERLINK("https://pbs.twimg.com/profile_images/3326137784/c6c1c2570fc7b9711dd8de812b996a66.jpeg","View")</f>
        <v>View</v>
      </c>
      <c r="V131" s="8"/>
      <c r="W131" s="8"/>
      <c r="X131" s="8"/>
      <c r="Y131" s="8"/>
      <c r="Z131" s="8"/>
    </row>
    <row r="132" spans="1:26" ht="13.2">
      <c r="A132" s="13">
        <v>44250.772627314815</v>
      </c>
      <c r="B132" s="6" t="str">
        <f>HYPERLINK("https://twitter.com/howtolearnmach1","@howtolearnmach1")</f>
        <v>@howtolearnmach1</v>
      </c>
      <c r="C132" s="14" t="s">
        <v>684</v>
      </c>
      <c r="D132" s="14" t="s">
        <v>685</v>
      </c>
      <c r="E132" s="6" t="str">
        <f>HYPERLINK("https://twitter.com/howtolearnmach1/status/1364266919621230596","1364266919621230596")</f>
        <v>1364266919621230596</v>
      </c>
      <c r="F132" s="7" t="s">
        <v>686</v>
      </c>
      <c r="G132" s="8"/>
      <c r="H132" s="8"/>
      <c r="I132" s="14">
        <v>2</v>
      </c>
      <c r="J132" s="14">
        <v>3</v>
      </c>
      <c r="K132" s="6" t="str">
        <f>HYPERLINK("https://mobile.twitter.com","Twitter Web App")</f>
        <v>Twitter Web App</v>
      </c>
      <c r="L132" s="15">
        <v>217</v>
      </c>
      <c r="M132" s="15">
        <v>634</v>
      </c>
      <c r="N132" s="15">
        <v>1</v>
      </c>
      <c r="O132" s="9"/>
      <c r="P132" s="10">
        <v>43976.619733796295</v>
      </c>
      <c r="Q132" s="8"/>
      <c r="R132" s="14" t="s">
        <v>687</v>
      </c>
      <c r="S132" s="7" t="s">
        <v>688</v>
      </c>
      <c r="T132" s="8"/>
      <c r="U132" s="11" t="str">
        <f>HYPERLINK("https://pbs.twimg.com/profile_images/1264902877509750784/oW0bCHcS.jpg","View")</f>
        <v>View</v>
      </c>
      <c r="V132" s="8"/>
      <c r="W132" s="8"/>
      <c r="X132" s="8"/>
      <c r="Y132" s="8"/>
      <c r="Z132" s="8"/>
    </row>
    <row r="133" spans="1:26" ht="13.2">
      <c r="A133" s="13">
        <v>44250.772268518514</v>
      </c>
      <c r="B133" s="6" t="str">
        <f>HYPERLINK("https://twitter.com/ipfconline1","@ipfconline1")</f>
        <v>@ipfconline1</v>
      </c>
      <c r="C133" s="14" t="s">
        <v>65</v>
      </c>
      <c r="D133" s="14" t="s">
        <v>689</v>
      </c>
      <c r="E133" s="6" t="str">
        <f>HYPERLINK("https://twitter.com/ipfconline1/status/1364266789748760578","1364266789748760578")</f>
        <v>1364266789748760578</v>
      </c>
      <c r="F133" s="7" t="s">
        <v>690</v>
      </c>
      <c r="G133" s="7" t="s">
        <v>691</v>
      </c>
      <c r="H133" s="8"/>
      <c r="I133" s="14">
        <v>15</v>
      </c>
      <c r="J133" s="14">
        <v>13</v>
      </c>
      <c r="K133" s="6" t="str">
        <f>HYPERLINK("https://twittimer.com","Twittimer")</f>
        <v>Twittimer</v>
      </c>
      <c r="L133" s="15">
        <v>112675</v>
      </c>
      <c r="M133" s="15">
        <v>107162</v>
      </c>
      <c r="N133" s="15">
        <v>7806</v>
      </c>
      <c r="O133" s="9"/>
      <c r="P133" s="10">
        <v>42433.031967592593</v>
      </c>
      <c r="Q133" s="14" t="s">
        <v>69</v>
      </c>
      <c r="R133" s="14" t="s">
        <v>70</v>
      </c>
      <c r="S133" s="7" t="s">
        <v>71</v>
      </c>
      <c r="T133" s="8"/>
      <c r="U133" s="11" t="str">
        <f>HYPERLINK("https://pbs.twimg.com/profile_images/729065804004769793/St2_Pum9.jpg","View")</f>
        <v>View</v>
      </c>
      <c r="V133" s="8"/>
      <c r="W133" s="8"/>
      <c r="X133" s="8"/>
      <c r="Y133" s="8"/>
      <c r="Z133" s="8"/>
    </row>
    <row r="134" spans="1:26" ht="13.2">
      <c r="A134" s="13">
        <v>44250.772268518514</v>
      </c>
      <c r="B134" s="6" t="str">
        <f>HYPERLINK("https://twitter.com/Jack_Xin_Ge","@Jack_Xin_Ge")</f>
        <v>@Jack_Xin_Ge</v>
      </c>
      <c r="C134" s="14" t="s">
        <v>692</v>
      </c>
      <c r="D134" s="14" t="s">
        <v>693</v>
      </c>
      <c r="E134" s="6" t="str">
        <f>HYPERLINK("https://twitter.com/Jack_Xin_Ge/status/1364266789211930631","1364266789211930631")</f>
        <v>1364266789211930631</v>
      </c>
      <c r="F134" s="7" t="s">
        <v>694</v>
      </c>
      <c r="G134" s="7" t="s">
        <v>695</v>
      </c>
      <c r="H134" s="8"/>
      <c r="I134" s="14">
        <v>0</v>
      </c>
      <c r="J134" s="14">
        <v>0</v>
      </c>
      <c r="K134" s="6" t="str">
        <f>HYPERLINK("https://mobile.twitter.com","Twitter Web App")</f>
        <v>Twitter Web App</v>
      </c>
      <c r="L134" s="15">
        <v>26</v>
      </c>
      <c r="M134" s="15">
        <v>250</v>
      </c>
      <c r="N134" s="15">
        <v>0</v>
      </c>
      <c r="O134" s="9"/>
      <c r="P134" s="10">
        <v>42542.04886574074</v>
      </c>
      <c r="Q134" s="14" t="s">
        <v>696</v>
      </c>
      <c r="R134" s="14" t="s">
        <v>697</v>
      </c>
      <c r="S134" s="8"/>
      <c r="T134" s="8"/>
      <c r="U134" s="11" t="str">
        <f>HYPERLINK("https://pbs.twimg.com/profile_images/1186154716155142145/7jvF0_35.png","View")</f>
        <v>View</v>
      </c>
      <c r="V134" s="8"/>
      <c r="W134" s="8"/>
      <c r="X134" s="8"/>
      <c r="Y134" s="8"/>
      <c r="Z134" s="8"/>
    </row>
    <row r="135" spans="1:26" ht="13.2">
      <c r="A135" s="13">
        <v>44250.771747685183</v>
      </c>
      <c r="B135" s="6" t="str">
        <f>HYPERLINK("https://twitter.com/Akshita_archer","@Akshita_archer")</f>
        <v>@Akshita_archer</v>
      </c>
      <c r="C135" s="14" t="s">
        <v>698</v>
      </c>
      <c r="D135" s="14" t="s">
        <v>699</v>
      </c>
      <c r="E135" s="6" t="str">
        <f>HYPERLINK("https://twitter.com/Akshita_archer/status/1364266600396853250","1364266600396853250")</f>
        <v>1364266600396853250</v>
      </c>
      <c r="F135" s="7" t="s">
        <v>700</v>
      </c>
      <c r="G135" s="7" t="s">
        <v>701</v>
      </c>
      <c r="H135" s="8"/>
      <c r="I135" s="14">
        <v>18</v>
      </c>
      <c r="J135" s="14">
        <v>4</v>
      </c>
      <c r="K135" s="6" t="str">
        <f>HYPERLINK("http://twitter.com/download/android","Twitter for Android")</f>
        <v>Twitter for Android</v>
      </c>
      <c r="L135" s="15">
        <v>235</v>
      </c>
      <c r="M135" s="15">
        <v>8</v>
      </c>
      <c r="N135" s="15">
        <v>3</v>
      </c>
      <c r="O135" s="9"/>
      <c r="P135" s="10">
        <v>43746.745127314818</v>
      </c>
      <c r="Q135" s="8"/>
      <c r="R135" s="14" t="s">
        <v>702</v>
      </c>
      <c r="S135" s="7" t="s">
        <v>700</v>
      </c>
      <c r="T135" s="8"/>
      <c r="U135" s="11" t="str">
        <f>HYPERLINK("https://pbs.twimg.com/profile_images/1293573075598848000/46NjJT52.jpg","View")</f>
        <v>View</v>
      </c>
      <c r="V135" s="8"/>
      <c r="W135" s="8"/>
      <c r="X135" s="8"/>
      <c r="Y135" s="8"/>
      <c r="Z135" s="8"/>
    </row>
    <row r="136" spans="1:26" ht="13.2">
      <c r="A136" s="13">
        <v>44250.771203703705</v>
      </c>
      <c r="B136" s="6" t="str">
        <f>HYPERLINK("https://twitter.com/asifrazzaq1988","@asifrazzaq1988")</f>
        <v>@asifrazzaq1988</v>
      </c>
      <c r="C136" s="14" t="s">
        <v>53</v>
      </c>
      <c r="D136" s="14" t="s">
        <v>703</v>
      </c>
      <c r="E136" s="6" t="str">
        <f>HYPERLINK("https://twitter.com/asifrazzaq1988/status/1364266404094992385","1364266404094992385")</f>
        <v>1364266404094992385</v>
      </c>
      <c r="F136" s="7" t="s">
        <v>704</v>
      </c>
      <c r="G136" s="8"/>
      <c r="H136" s="8"/>
      <c r="I136" s="14">
        <v>2</v>
      </c>
      <c r="J136" s="14">
        <v>0</v>
      </c>
      <c r="K136" s="6" t="str">
        <f>HYPERLINK("https://dlvrit.com/","dlvr.it")</f>
        <v>dlvr.it</v>
      </c>
      <c r="L136" s="15">
        <v>5022</v>
      </c>
      <c r="M136" s="15">
        <v>3191</v>
      </c>
      <c r="N136" s="15">
        <v>77</v>
      </c>
      <c r="O136" s="9"/>
      <c r="P136" s="10">
        <v>42237.408136574071</v>
      </c>
      <c r="Q136" s="14" t="s">
        <v>56</v>
      </c>
      <c r="R136" s="14" t="s">
        <v>57</v>
      </c>
      <c r="S136" s="7" t="s">
        <v>58</v>
      </c>
      <c r="T136" s="8"/>
      <c r="U136" s="11" t="str">
        <f>HYPERLINK("https://pbs.twimg.com/profile_images/1329326638589382657/lE7wr_tF.jpg","View")</f>
        <v>View</v>
      </c>
      <c r="V136" s="8"/>
      <c r="W136" s="8"/>
      <c r="X136" s="8"/>
      <c r="Y136" s="8"/>
      <c r="Z136" s="8"/>
    </row>
    <row r="137" spans="1:26" ht="13.2">
      <c r="A137" s="13">
        <v>44250.771168981482</v>
      </c>
      <c r="B137" s="6" t="str">
        <f>HYPERLINK("https://twitter.com/Temnography","@Temnography")</f>
        <v>@Temnography</v>
      </c>
      <c r="C137" s="14" t="s">
        <v>705</v>
      </c>
      <c r="D137" s="14" t="s">
        <v>706</v>
      </c>
      <c r="E137" s="6" t="str">
        <f>HYPERLINK("https://twitter.com/Temnography/status/1364266392862789640","1364266392862789640")</f>
        <v>1364266392862789640</v>
      </c>
      <c r="F137" s="8"/>
      <c r="G137" s="7" t="s">
        <v>707</v>
      </c>
      <c r="H137" s="8"/>
      <c r="I137" s="14">
        <v>1</v>
      </c>
      <c r="J137" s="14">
        <v>3</v>
      </c>
      <c r="K137" s="6" t="str">
        <f>HYPERLINK("https://buffer.com","Buffer")</f>
        <v>Buffer</v>
      </c>
      <c r="L137" s="15">
        <v>76</v>
      </c>
      <c r="M137" s="15">
        <v>7</v>
      </c>
      <c r="N137" s="15">
        <v>2</v>
      </c>
      <c r="O137" s="9"/>
      <c r="P137" s="10">
        <v>43818.596643518518</v>
      </c>
      <c r="Q137" s="8"/>
      <c r="R137" s="14" t="s">
        <v>708</v>
      </c>
      <c r="S137" s="8"/>
      <c r="T137" s="8"/>
      <c r="U137" s="11" t="str">
        <f>HYPERLINK("https://pbs.twimg.com/profile_images/1207652265567412225/KnkFQ7vh.jpg","View")</f>
        <v>View</v>
      </c>
      <c r="V137" s="8"/>
      <c r="W137" s="8"/>
      <c r="X137" s="8"/>
      <c r="Y137" s="8"/>
      <c r="Z137" s="8"/>
    </row>
    <row r="138" spans="1:26" ht="13.2">
      <c r="A138" s="13">
        <v>44250.771018518513</v>
      </c>
      <c r="B138" s="6" t="str">
        <f>HYPERLINK("https://twitter.com/CrossmindsAI","@CrossmindsAI")</f>
        <v>@CrossmindsAI</v>
      </c>
      <c r="C138" s="7" t="s">
        <v>709</v>
      </c>
      <c r="D138" s="14" t="s">
        <v>710</v>
      </c>
      <c r="E138" s="6" t="str">
        <f>HYPERLINK("https://twitter.com/CrossmindsAI/status/1364266338483601415","1364266338483601415")</f>
        <v>1364266338483601415</v>
      </c>
      <c r="F138" s="7" t="s">
        <v>711</v>
      </c>
      <c r="G138" s="8"/>
      <c r="H138" s="8"/>
      <c r="I138" s="14">
        <v>1</v>
      </c>
      <c r="J138" s="14">
        <v>0</v>
      </c>
      <c r="K138" s="6" t="str">
        <f>HYPERLINK("https://www.hootsuite.com","Hootsuite Inc.")</f>
        <v>Hootsuite Inc.</v>
      </c>
      <c r="L138" s="15">
        <v>211</v>
      </c>
      <c r="M138" s="15">
        <v>283</v>
      </c>
      <c r="N138" s="15">
        <v>1</v>
      </c>
      <c r="O138" s="9"/>
      <c r="P138" s="10">
        <v>43970.37981481482</v>
      </c>
      <c r="Q138" s="14" t="s">
        <v>712</v>
      </c>
      <c r="R138" s="14" t="s">
        <v>713</v>
      </c>
      <c r="S138" s="7" t="s">
        <v>714</v>
      </c>
      <c r="T138" s="8"/>
      <c r="U138" s="11" t="str">
        <f>HYPERLINK("https://pbs.twimg.com/profile_images/1321863960157515777/B2LPg0xn.png","View")</f>
        <v>View</v>
      </c>
      <c r="V138" s="8"/>
      <c r="W138" s="8"/>
      <c r="X138" s="8"/>
      <c r="Y138" s="8"/>
      <c r="Z138" s="8"/>
    </row>
    <row r="139" spans="1:26" ht="13.2">
      <c r="A139" s="13">
        <v>44250.770960648151</v>
      </c>
      <c r="B139" s="6" t="str">
        <f>HYPERLINK("https://twitter.com/Akshita_archer","@Akshita_archer")</f>
        <v>@Akshita_archer</v>
      </c>
      <c r="C139" s="14" t="s">
        <v>698</v>
      </c>
      <c r="D139" s="14" t="s">
        <v>715</v>
      </c>
      <c r="E139" s="6" t="str">
        <f>HYPERLINK("https://twitter.com/Akshita_archer/status/1364266317767872516","1364266317767872516")</f>
        <v>1364266317767872516</v>
      </c>
      <c r="F139" s="7" t="s">
        <v>700</v>
      </c>
      <c r="G139" s="14" t="s">
        <v>716</v>
      </c>
      <c r="H139" s="8"/>
      <c r="I139" s="14">
        <v>22</v>
      </c>
      <c r="J139" s="14">
        <v>5</v>
      </c>
      <c r="K139" s="6" t="str">
        <f>HYPERLINK("http://twitter.com/download/android","Twitter for Android")</f>
        <v>Twitter for Android</v>
      </c>
      <c r="L139" s="15">
        <v>235</v>
      </c>
      <c r="M139" s="15">
        <v>8</v>
      </c>
      <c r="N139" s="15">
        <v>3</v>
      </c>
      <c r="O139" s="9"/>
      <c r="P139" s="10">
        <v>43746.745127314818</v>
      </c>
      <c r="Q139" s="8"/>
      <c r="R139" s="14" t="s">
        <v>702</v>
      </c>
      <c r="S139" s="7" t="s">
        <v>700</v>
      </c>
      <c r="T139" s="8"/>
      <c r="U139" s="11" t="str">
        <f>HYPERLINK("https://pbs.twimg.com/profile_images/1293573075598848000/46NjJT52.jpg","View")</f>
        <v>View</v>
      </c>
      <c r="V139" s="8"/>
      <c r="W139" s="8"/>
      <c r="X139" s="8"/>
      <c r="Y139" s="8"/>
      <c r="Z139" s="8"/>
    </row>
    <row r="140" spans="1:26" ht="13.2">
      <c r="A140" s="13">
        <v>44250.770914351851</v>
      </c>
      <c r="B140" s="6" t="str">
        <f>HYPERLINK("https://twitter.com/nigewillson","@nigewillson")</f>
        <v>@nigewillson</v>
      </c>
      <c r="C140" s="14" t="s">
        <v>95</v>
      </c>
      <c r="D140" s="14" t="s">
        <v>717</v>
      </c>
      <c r="E140" s="6" t="str">
        <f>HYPERLINK("https://twitter.com/nigewillson/status/1364266301171126277","1364266301171126277")</f>
        <v>1364266301171126277</v>
      </c>
      <c r="F140" s="7" t="s">
        <v>718</v>
      </c>
      <c r="G140" s="7" t="s">
        <v>719</v>
      </c>
      <c r="H140" s="8"/>
      <c r="I140" s="14">
        <v>1</v>
      </c>
      <c r="J140" s="14">
        <v>0</v>
      </c>
      <c r="K140" s="6" t="str">
        <f>HYPERLINK("https://buffer.com","Buffer")</f>
        <v>Buffer</v>
      </c>
      <c r="L140" s="15">
        <v>57515</v>
      </c>
      <c r="M140" s="15">
        <v>49523</v>
      </c>
      <c r="N140" s="15">
        <v>1688</v>
      </c>
      <c r="O140" s="9"/>
      <c r="P140" s="10">
        <v>40530.666805555556</v>
      </c>
      <c r="Q140" s="14" t="s">
        <v>99</v>
      </c>
      <c r="R140" s="14" t="s">
        <v>100</v>
      </c>
      <c r="S140" s="7" t="s">
        <v>101</v>
      </c>
      <c r="T140" s="8"/>
      <c r="U140" s="11" t="str">
        <f>HYPERLINK("https://pbs.twimg.com/profile_images/1085251590997622784/x9mWVQ1d.jpg","View")</f>
        <v>View</v>
      </c>
      <c r="V140" s="8"/>
      <c r="W140" s="8"/>
      <c r="X140" s="8"/>
      <c r="Y140" s="8"/>
      <c r="Z140" s="8"/>
    </row>
    <row r="141" spans="1:26" ht="13.2">
      <c r="A141" s="13">
        <v>44250.770856481482</v>
      </c>
      <c r="B141" s="6" t="str">
        <f>HYPERLINK("https://twitter.com/LaForge_AI","@LaForge_AI")</f>
        <v>@LaForge_AI</v>
      </c>
      <c r="C141" s="14" t="s">
        <v>102</v>
      </c>
      <c r="D141" s="14" t="s">
        <v>720</v>
      </c>
      <c r="E141" s="6" t="str">
        <f>HYPERLINK("https://twitter.com/LaForge_AI/status/1364266279004168194","1364266279004168194")</f>
        <v>1364266279004168194</v>
      </c>
      <c r="F141" s="7" t="s">
        <v>721</v>
      </c>
      <c r="G141" s="7" t="s">
        <v>722</v>
      </c>
      <c r="H141" s="8"/>
      <c r="I141" s="14">
        <v>4</v>
      </c>
      <c r="J141" s="14">
        <v>3</v>
      </c>
      <c r="K141" s="6" t="str">
        <f>HYPERLINK("https://www.la-forge.ai","Rss2Twitter for La Forge")</f>
        <v>Rss2Twitter for La Forge</v>
      </c>
      <c r="L141" s="15">
        <v>9854</v>
      </c>
      <c r="M141" s="15">
        <v>10507</v>
      </c>
      <c r="N141" s="15">
        <v>126</v>
      </c>
      <c r="O141" s="9"/>
      <c r="P141" s="10">
        <v>43660.755891203706</v>
      </c>
      <c r="Q141" s="14" t="s">
        <v>106</v>
      </c>
      <c r="R141" s="14" t="s">
        <v>107</v>
      </c>
      <c r="S141" s="7" t="s">
        <v>108</v>
      </c>
      <c r="T141" s="8"/>
      <c r="U141" s="11" t="str">
        <f>HYPERLINK("https://pbs.twimg.com/profile_images/1261961910020423681/fC-WUmbt.jpg","View")</f>
        <v>View</v>
      </c>
      <c r="V141" s="8"/>
      <c r="W141" s="8"/>
      <c r="X141" s="8"/>
      <c r="Y141" s="8"/>
      <c r="Z141" s="8"/>
    </row>
    <row r="142" spans="1:26" ht="13.2">
      <c r="A142" s="13">
        <v>44250.770844907413</v>
      </c>
      <c r="B142" s="6" t="str">
        <f>HYPERLINK("https://twitter.com/SynergyIT","@SynergyIT")</f>
        <v>@SynergyIT</v>
      </c>
      <c r="C142" s="14" t="s">
        <v>723</v>
      </c>
      <c r="D142" s="14" t="s">
        <v>724</v>
      </c>
      <c r="E142" s="6" t="str">
        <f>HYPERLINK("https://twitter.com/SynergyIT/status/1364266277250887683","1364266277250887683")</f>
        <v>1364266277250887683</v>
      </c>
      <c r="F142" s="7" t="s">
        <v>725</v>
      </c>
      <c r="G142" s="8"/>
      <c r="H142" s="8"/>
      <c r="I142" s="14">
        <v>2</v>
      </c>
      <c r="J142" s="14">
        <v>0</v>
      </c>
      <c r="K142" s="6" t="str">
        <f>HYPERLINK("https://dlvrit.com/","dlvr.it")</f>
        <v>dlvr.it</v>
      </c>
      <c r="L142" s="15">
        <v>590</v>
      </c>
      <c r="M142" s="15">
        <v>656</v>
      </c>
      <c r="N142" s="15">
        <v>26</v>
      </c>
      <c r="O142" s="9"/>
      <c r="P142" s="10">
        <v>39979.613275462965</v>
      </c>
      <c r="Q142" s="14" t="s">
        <v>726</v>
      </c>
      <c r="R142" s="14" t="s">
        <v>727</v>
      </c>
      <c r="S142" s="7" t="s">
        <v>728</v>
      </c>
      <c r="T142" s="8"/>
      <c r="U142" s="11" t="str">
        <f>HYPERLINK("https://pbs.twimg.com/profile_images/750736917126320128/gE0PG7rC.jpg","View")</f>
        <v>View</v>
      </c>
      <c r="V142" s="8"/>
      <c r="W142" s="8"/>
      <c r="X142" s="8"/>
      <c r="Y142" s="8"/>
      <c r="Z142" s="8"/>
    </row>
    <row r="143" spans="1:26" ht="13.2">
      <c r="A143" s="13">
        <v>44250.770694444444</v>
      </c>
      <c r="B143" s="6" t="str">
        <f>HYPERLINK("https://twitter.com/dataworkout","@dataworkout")</f>
        <v>@dataworkout</v>
      </c>
      <c r="C143" s="14" t="s">
        <v>729</v>
      </c>
      <c r="D143" s="14" t="s">
        <v>730</v>
      </c>
      <c r="E143" s="6" t="str">
        <f>HYPERLINK("https://twitter.com/dataworkout/status/1364266220762103814","1364266220762103814")</f>
        <v>1364266220762103814</v>
      </c>
      <c r="F143" s="7" t="s">
        <v>543</v>
      </c>
      <c r="G143" s="8"/>
      <c r="H143" s="8"/>
      <c r="I143" s="14">
        <v>3</v>
      </c>
      <c r="J143" s="14">
        <v>0</v>
      </c>
      <c r="K143" s="6" t="str">
        <f>HYPERLINK("http://twitter.com/download/iphone","Twitter for iPhone")</f>
        <v>Twitter for iPhone</v>
      </c>
      <c r="L143" s="15">
        <v>964</v>
      </c>
      <c r="M143" s="15">
        <v>1846</v>
      </c>
      <c r="N143" s="15">
        <v>7</v>
      </c>
      <c r="O143" s="9"/>
      <c r="P143" s="10">
        <v>42806.6174537037</v>
      </c>
      <c r="Q143" s="14" t="s">
        <v>203</v>
      </c>
      <c r="R143" s="14" t="s">
        <v>731</v>
      </c>
      <c r="S143" s="7" t="s">
        <v>732</v>
      </c>
      <c r="T143" s="8"/>
      <c r="U143" s="11" t="str">
        <f>HYPERLINK("https://pbs.twimg.com/profile_images/1354795832084750336/40nH_Cet.jpg","View")</f>
        <v>View</v>
      </c>
      <c r="V143" s="8"/>
      <c r="W143" s="8"/>
      <c r="X143" s="8"/>
      <c r="Y143" s="8"/>
      <c r="Z143" s="8"/>
    </row>
    <row r="144" spans="1:26" ht="13.2">
      <c r="A144" s="13">
        <v>44250.770243055551</v>
      </c>
      <c r="B144" s="6" t="str">
        <f>HYPERLINK("https://twitter.com/MarineBonduell1","@MarineBonduell1")</f>
        <v>@MarineBonduell1</v>
      </c>
      <c r="C144" s="14" t="s">
        <v>733</v>
      </c>
      <c r="D144" s="14" t="s">
        <v>734</v>
      </c>
      <c r="E144" s="6" t="str">
        <f>HYPERLINK("https://twitter.com/MarineBonduell1/status/1364266056848662530","1364266056848662530")</f>
        <v>1364266056848662530</v>
      </c>
      <c r="F144" s="14" t="s">
        <v>735</v>
      </c>
      <c r="G144" s="7" t="s">
        <v>736</v>
      </c>
      <c r="H144" s="8"/>
      <c r="I144" s="14">
        <v>14</v>
      </c>
      <c r="J144" s="14">
        <v>4</v>
      </c>
      <c r="K144" s="6" t="str">
        <f>HYPERLINK("https://socxopte.com/","SocxoPte")</f>
        <v>SocxoPte</v>
      </c>
      <c r="L144" s="15">
        <v>155</v>
      </c>
      <c r="M144" s="15">
        <v>148</v>
      </c>
      <c r="N144" s="15">
        <v>3</v>
      </c>
      <c r="O144" s="9"/>
      <c r="P144" s="10">
        <v>44029.710879629631</v>
      </c>
      <c r="Q144" s="8"/>
      <c r="R144" s="14" t="s">
        <v>737</v>
      </c>
      <c r="S144" s="8"/>
      <c r="T144" s="8"/>
      <c r="U144" s="11" t="str">
        <f>HYPERLINK("https://pbs.twimg.com/profile_images/1284141799905341441/I_BIa5zR.jpg","View")</f>
        <v>View</v>
      </c>
      <c r="V144" s="8"/>
      <c r="W144" s="8"/>
      <c r="X144" s="8"/>
      <c r="Y144" s="8"/>
      <c r="Z144" s="8"/>
    </row>
    <row r="145" spans="1:26" ht="13.2">
      <c r="A145" s="13">
        <v>44250.769456018519</v>
      </c>
      <c r="B145" s="6" t="str">
        <f>HYPERLINK("https://twitter.com/future_of_AI","@future_of_AI")</f>
        <v>@future_of_AI</v>
      </c>
      <c r="C145" s="14" t="s">
        <v>284</v>
      </c>
      <c r="D145" s="14" t="s">
        <v>669</v>
      </c>
      <c r="E145" s="6" t="str">
        <f>HYPERLINK("https://twitter.com/future_of_AI/status/1364265771510202372","1364265771510202372")</f>
        <v>1364265771510202372</v>
      </c>
      <c r="F145" s="7" t="s">
        <v>738</v>
      </c>
      <c r="G145" s="8"/>
      <c r="H145" s="8"/>
      <c r="I145" s="14">
        <v>1</v>
      </c>
      <c r="J145" s="14">
        <v>1</v>
      </c>
      <c r="K145" s="6" t="str">
        <f>HYPERLINK("https://buffer.com","Buffer")</f>
        <v>Buffer</v>
      </c>
      <c r="L145" s="15">
        <v>2893</v>
      </c>
      <c r="M145" s="15">
        <v>1348</v>
      </c>
      <c r="N145" s="15">
        <v>130</v>
      </c>
      <c r="O145" s="9"/>
      <c r="P145" s="10">
        <v>42816.80840277778</v>
      </c>
      <c r="Q145" s="8"/>
      <c r="R145" s="14" t="s">
        <v>287</v>
      </c>
      <c r="S145" s="7" t="s">
        <v>288</v>
      </c>
      <c r="T145" s="8"/>
      <c r="U145" s="11" t="str">
        <f>HYPERLINK("https://pbs.twimg.com/profile_images/1047866034970140673/ZBhSks16.jpg","View")</f>
        <v>View</v>
      </c>
      <c r="V145" s="8"/>
      <c r="W145" s="8"/>
      <c r="X145" s="8"/>
      <c r="Y145" s="8"/>
      <c r="Z145" s="8"/>
    </row>
    <row r="146" spans="1:26" ht="13.2">
      <c r="A146" s="13">
        <v>44250.76866898148</v>
      </c>
      <c r="B146" s="6" t="str">
        <f>HYPERLINK("https://twitter.com/aisear_ch","@aisear_ch")</f>
        <v>@aisear_ch</v>
      </c>
      <c r="C146" s="14" t="s">
        <v>739</v>
      </c>
      <c r="D146" s="14" t="s">
        <v>740</v>
      </c>
      <c r="E146" s="6" t="str">
        <f>HYPERLINK("https://twitter.com/aisear_ch/status/1364265484896583682","1364265484896583682")</f>
        <v>1364265484896583682</v>
      </c>
      <c r="F146" s="14" t="s">
        <v>741</v>
      </c>
      <c r="G146" s="8"/>
      <c r="H146" s="8"/>
      <c r="I146" s="14">
        <v>1</v>
      </c>
      <c r="J146" s="14">
        <v>0</v>
      </c>
      <c r="K146" s="6" t="str">
        <f>HYPERLINK("http://twinybots.com","TwinyBots")</f>
        <v>TwinyBots</v>
      </c>
      <c r="L146" s="15">
        <v>200</v>
      </c>
      <c r="M146" s="15">
        <v>27</v>
      </c>
      <c r="N146" s="15">
        <v>6</v>
      </c>
      <c r="O146" s="9"/>
      <c r="P146" s="10">
        <v>43992.386319444442</v>
      </c>
      <c r="Q146" s="8"/>
      <c r="R146" s="14" t="s">
        <v>742</v>
      </c>
      <c r="S146" s="7" t="s">
        <v>743</v>
      </c>
      <c r="T146" s="8"/>
      <c r="U146" s="11" t="str">
        <f>HYPERLINK("https://pbs.twimg.com/profile_images/1271018990178045953/M-vBrs0H.png","View")</f>
        <v>View</v>
      </c>
      <c r="V146" s="8"/>
      <c r="W146" s="8"/>
      <c r="X146" s="8"/>
      <c r="Y146" s="8"/>
      <c r="Z146" s="8"/>
    </row>
    <row r="147" spans="1:26" ht="13.2">
      <c r="A147" s="13">
        <v>44250.768078703702</v>
      </c>
      <c r="B147" s="6" t="str">
        <f>HYPERLINK("https://twitter.com/UnfoldLabs","@UnfoldLabs")</f>
        <v>@UnfoldLabs</v>
      </c>
      <c r="C147" s="14" t="s">
        <v>744</v>
      </c>
      <c r="D147" s="14" t="s">
        <v>745</v>
      </c>
      <c r="E147" s="6" t="str">
        <f>HYPERLINK("https://twitter.com/UnfoldLabs/status/1364265274061561856","1364265274061561856")</f>
        <v>1364265274061561856</v>
      </c>
      <c r="F147" s="7" t="s">
        <v>746</v>
      </c>
      <c r="G147" s="8"/>
      <c r="H147" s="8"/>
      <c r="I147" s="14">
        <v>1</v>
      </c>
      <c r="J147" s="14">
        <v>0</v>
      </c>
      <c r="K147" s="6" t="str">
        <f>HYPERLINK("https://mobile.twitter.com","Twitter Web App")</f>
        <v>Twitter Web App</v>
      </c>
      <c r="L147" s="15">
        <v>2746</v>
      </c>
      <c r="M147" s="15">
        <v>2753</v>
      </c>
      <c r="N147" s="15">
        <v>681</v>
      </c>
      <c r="O147" s="9"/>
      <c r="P147" s="10">
        <v>42331.861782407403</v>
      </c>
      <c r="Q147" s="14" t="s">
        <v>747</v>
      </c>
      <c r="R147" s="14" t="s">
        <v>748</v>
      </c>
      <c r="S147" s="7" t="s">
        <v>749</v>
      </c>
      <c r="T147" s="8"/>
      <c r="U147" s="11" t="str">
        <f>HYPERLINK("https://pbs.twimg.com/profile_images/951482468552462336/ozt9Og9I.jpg","View")</f>
        <v>View</v>
      </c>
      <c r="V147" s="8"/>
      <c r="W147" s="8"/>
      <c r="X147" s="8"/>
      <c r="Y147" s="8"/>
      <c r="Z147" s="8"/>
    </row>
    <row r="148" spans="1:26" ht="13.2">
      <c r="A148" s="13">
        <v>44250.767430555556</v>
      </c>
      <c r="B148" s="6" t="str">
        <f>HYPERLINK("https://twitter.com/TesseractAcade1","@TesseractAcade1")</f>
        <v>@TesseractAcade1</v>
      </c>
      <c r="C148" s="14" t="s">
        <v>750</v>
      </c>
      <c r="D148" s="14" t="s">
        <v>751</v>
      </c>
      <c r="E148" s="6" t="str">
        <f>HYPERLINK("https://twitter.com/TesseractAcade1/status/1364265037561548805","1364265037561548805")</f>
        <v>1364265037561548805</v>
      </c>
      <c r="F148" s="7" t="s">
        <v>752</v>
      </c>
      <c r="G148" s="8"/>
      <c r="H148" s="8"/>
      <c r="I148" s="14">
        <v>3</v>
      </c>
      <c r="J148" s="14">
        <v>0</v>
      </c>
      <c r="K148" s="6" t="str">
        <f>HYPERLINK("https://crowdfireapp.com","Crowdfire App")</f>
        <v>Crowdfire App</v>
      </c>
      <c r="L148" s="15">
        <v>678</v>
      </c>
      <c r="M148" s="15">
        <v>796</v>
      </c>
      <c r="N148" s="15">
        <v>14</v>
      </c>
      <c r="O148" s="9"/>
      <c r="P148" s="10">
        <v>43371.73810185185</v>
      </c>
      <c r="Q148" s="14" t="s">
        <v>753</v>
      </c>
      <c r="R148" s="14" t="s">
        <v>754</v>
      </c>
      <c r="S148" s="7" t="s">
        <v>755</v>
      </c>
      <c r="T148" s="8"/>
      <c r="U148" s="11" t="str">
        <f>HYPERLINK("https://pbs.twimg.com/profile_images/1045702404187066368/KvYhTAxM.jpg","View")</f>
        <v>View</v>
      </c>
      <c r="V148" s="8"/>
      <c r="W148" s="8"/>
      <c r="X148" s="8"/>
      <c r="Y148" s="8"/>
      <c r="Z148" s="8"/>
    </row>
    <row r="149" spans="1:26" ht="13.2">
      <c r="A149" s="13">
        <v>44250.767407407402</v>
      </c>
      <c r="B149" s="6" t="str">
        <f>HYPERLINK("https://twitter.com/nigewillson","@nigewillson")</f>
        <v>@nigewillson</v>
      </c>
      <c r="C149" s="14" t="s">
        <v>95</v>
      </c>
      <c r="D149" s="14" t="s">
        <v>756</v>
      </c>
      <c r="E149" s="6" t="str">
        <f>HYPERLINK("https://twitter.com/nigewillson/status/1364265027587473413","1364265027587473413")</f>
        <v>1364265027587473413</v>
      </c>
      <c r="F149" s="7" t="s">
        <v>757</v>
      </c>
      <c r="G149" s="7" t="s">
        <v>758</v>
      </c>
      <c r="H149" s="8"/>
      <c r="I149" s="14">
        <v>3</v>
      </c>
      <c r="J149" s="14">
        <v>2</v>
      </c>
      <c r="K149" s="6" t="str">
        <f>HYPERLINK("https://buffer.com","Buffer")</f>
        <v>Buffer</v>
      </c>
      <c r="L149" s="15">
        <v>57515</v>
      </c>
      <c r="M149" s="15">
        <v>49523</v>
      </c>
      <c r="N149" s="15">
        <v>1688</v>
      </c>
      <c r="O149" s="9"/>
      <c r="P149" s="10">
        <v>40530.666805555556</v>
      </c>
      <c r="Q149" s="14" t="s">
        <v>99</v>
      </c>
      <c r="R149" s="14" t="s">
        <v>100</v>
      </c>
      <c r="S149" s="7" t="s">
        <v>101</v>
      </c>
      <c r="T149" s="8"/>
      <c r="U149" s="11" t="str">
        <f>HYPERLINK("https://pbs.twimg.com/profile_images/1085251590997622784/x9mWVQ1d.jpg","View")</f>
        <v>View</v>
      </c>
      <c r="V149" s="8"/>
      <c r="W149" s="8"/>
      <c r="X149" s="8"/>
      <c r="Y149" s="8"/>
      <c r="Z149" s="8"/>
    </row>
    <row r="150" spans="1:26" ht="13.2">
      <c r="A150" s="13">
        <v>44250.767037037032</v>
      </c>
      <c r="B150" s="6" t="str">
        <f>HYPERLINK("https://twitter.com/asifrazzaq1988","@asifrazzaq1988")</f>
        <v>@asifrazzaq1988</v>
      </c>
      <c r="C150" s="14" t="s">
        <v>53</v>
      </c>
      <c r="D150" s="14" t="s">
        <v>759</v>
      </c>
      <c r="E150" s="6" t="str">
        <f>HYPERLINK("https://twitter.com/asifrazzaq1988/status/1364264896439799813","1364264896439799813")</f>
        <v>1364264896439799813</v>
      </c>
      <c r="F150" s="7" t="s">
        <v>760</v>
      </c>
      <c r="G150" s="8"/>
      <c r="H150" s="8"/>
      <c r="I150" s="14">
        <v>1</v>
      </c>
      <c r="J150" s="14">
        <v>0</v>
      </c>
      <c r="K150" s="6" t="str">
        <f>HYPERLINK("https://dlvrit.com/","dlvr.it")</f>
        <v>dlvr.it</v>
      </c>
      <c r="L150" s="15">
        <v>5022</v>
      </c>
      <c r="M150" s="15">
        <v>3191</v>
      </c>
      <c r="N150" s="15">
        <v>77</v>
      </c>
      <c r="O150" s="9"/>
      <c r="P150" s="10">
        <v>42237.408136574071</v>
      </c>
      <c r="Q150" s="14" t="s">
        <v>56</v>
      </c>
      <c r="R150" s="14" t="s">
        <v>57</v>
      </c>
      <c r="S150" s="7" t="s">
        <v>58</v>
      </c>
      <c r="T150" s="8"/>
      <c r="U150" s="11" t="str">
        <f>HYPERLINK("https://pbs.twimg.com/profile_images/1329326638589382657/lE7wr_tF.jpg","View")</f>
        <v>View</v>
      </c>
      <c r="V150" s="8"/>
      <c r="W150" s="8"/>
      <c r="X150" s="8"/>
      <c r="Y150" s="8"/>
      <c r="Z150" s="8"/>
    </row>
    <row r="151" spans="1:26" ht="13.2">
      <c r="A151" s="13">
        <v>44250.767002314809</v>
      </c>
      <c r="B151" s="6" t="str">
        <f>HYPERLINK("https://twitter.com/thoefler","@thoefler")</f>
        <v>@thoefler</v>
      </c>
      <c r="C151" s="14" t="s">
        <v>761</v>
      </c>
      <c r="D151" s="14" t="s">
        <v>762</v>
      </c>
      <c r="E151" s="6" t="str">
        <f>HYPERLINK("https://twitter.com/thoefler/status/1364264882221305858","1364264882221305858")</f>
        <v>1364264882221305858</v>
      </c>
      <c r="F151" s="14" t="s">
        <v>763</v>
      </c>
      <c r="G151" s="7" t="s">
        <v>764</v>
      </c>
      <c r="H151" s="8"/>
      <c r="I151" s="14">
        <v>1</v>
      </c>
      <c r="J151" s="14">
        <v>0</v>
      </c>
      <c r="K151" s="6" t="str">
        <f t="shared" ref="K151:K152" si="15">HYPERLINK("https://mobile.twitter.com","Twitter Web App")</f>
        <v>Twitter Web App</v>
      </c>
      <c r="L151" s="15">
        <v>1871</v>
      </c>
      <c r="M151" s="15">
        <v>156</v>
      </c>
      <c r="N151" s="15">
        <v>41</v>
      </c>
      <c r="O151" s="9"/>
      <c r="P151" s="10">
        <v>40026.746053240742</v>
      </c>
      <c r="Q151" s="14" t="s">
        <v>765</v>
      </c>
      <c r="R151" s="14" t="s">
        <v>766</v>
      </c>
      <c r="S151" s="7" t="s">
        <v>767</v>
      </c>
      <c r="T151" s="8"/>
      <c r="U151" s="11" t="str">
        <f>HYPERLINK("https://pbs.twimg.com/profile_images/583782346/me_southpark.png","View")</f>
        <v>View</v>
      </c>
      <c r="V151" s="8"/>
      <c r="W151" s="8"/>
      <c r="X151" s="8"/>
      <c r="Y151" s="8"/>
      <c r="Z151" s="8"/>
    </row>
    <row r="152" spans="1:26" ht="13.2">
      <c r="A152" s="13">
        <v>44250.766504629632</v>
      </c>
      <c r="B152" s="6" t="str">
        <f>HYPERLINK("https://twitter.com/LightningSource","@LightningSource")</f>
        <v>@LightningSource</v>
      </c>
      <c r="C152" s="14" t="s">
        <v>768</v>
      </c>
      <c r="D152" s="14" t="s">
        <v>769</v>
      </c>
      <c r="E152" s="6" t="str">
        <f>HYPERLINK("https://twitter.com/LightningSource/status/1364264702126288899","1364264702126288899")</f>
        <v>1364264702126288899</v>
      </c>
      <c r="F152" s="8"/>
      <c r="G152" s="7" t="s">
        <v>770</v>
      </c>
      <c r="H152" s="8"/>
      <c r="I152" s="14">
        <v>1</v>
      </c>
      <c r="J152" s="14">
        <v>0</v>
      </c>
      <c r="K152" s="6" t="str">
        <f t="shared" si="15"/>
        <v>Twitter Web App</v>
      </c>
      <c r="L152" s="15">
        <v>348</v>
      </c>
      <c r="M152" s="15">
        <v>285</v>
      </c>
      <c r="N152" s="15">
        <v>3</v>
      </c>
      <c r="O152" s="9"/>
      <c r="P152" s="10">
        <v>40710.09138888889</v>
      </c>
      <c r="Q152" s="8"/>
      <c r="R152" s="14" t="s">
        <v>771</v>
      </c>
      <c r="S152" s="7" t="s">
        <v>772</v>
      </c>
      <c r="T152" s="8"/>
      <c r="U152" s="11" t="str">
        <f>HYPERLINK("https://pbs.twimg.com/profile_images/1166558998692282368/GyhbzUea.jpg","View")</f>
        <v>View</v>
      </c>
      <c r="V152" s="8"/>
      <c r="W152" s="8"/>
      <c r="X152" s="8"/>
      <c r="Y152" s="8"/>
      <c r="Z152" s="8"/>
    </row>
    <row r="153" spans="1:26" ht="13.2">
      <c r="A153" s="13">
        <v>44250.7659837963</v>
      </c>
      <c r="B153" s="6" t="str">
        <f>HYPERLINK("https://twitter.com/lgomezperu","@lgomezperu")</f>
        <v>@lgomezperu</v>
      </c>
      <c r="C153" s="14" t="s">
        <v>773</v>
      </c>
      <c r="D153" s="14" t="s">
        <v>774</v>
      </c>
      <c r="E153" s="6" t="str">
        <f>HYPERLINK("https://twitter.com/lgomezperu/status/1364264515471364098","1364264515471364098")</f>
        <v>1364264515471364098</v>
      </c>
      <c r="F153" s="7" t="s">
        <v>775</v>
      </c>
      <c r="G153" s="8"/>
      <c r="H153" s="8"/>
      <c r="I153" s="14">
        <v>2</v>
      </c>
      <c r="J153" s="14">
        <v>0</v>
      </c>
      <c r="K153" s="6" t="str">
        <f>HYPERLINK("http://www.linkedin.com/","LinkedIn")</f>
        <v>LinkedIn</v>
      </c>
      <c r="L153" s="15">
        <v>770</v>
      </c>
      <c r="M153" s="15">
        <v>1095</v>
      </c>
      <c r="N153" s="15">
        <v>196</v>
      </c>
      <c r="O153" s="9"/>
      <c r="P153" s="10">
        <v>39858.707129629627</v>
      </c>
      <c r="Q153" s="14" t="s">
        <v>776</v>
      </c>
      <c r="R153" s="14" t="s">
        <v>777</v>
      </c>
      <c r="S153" s="7" t="s">
        <v>778</v>
      </c>
      <c r="T153" s="8"/>
      <c r="U153" s="11" t="str">
        <f>HYPERLINK("https://pbs.twimg.com/profile_images/717697647721771008/kftopeko.jpg","View")</f>
        <v>View</v>
      </c>
      <c r="V153" s="8"/>
      <c r="W153" s="8"/>
      <c r="X153" s="8"/>
      <c r="Y153" s="8"/>
      <c r="Z153" s="8"/>
    </row>
    <row r="154" spans="1:26" ht="13.2">
      <c r="A154" s="13">
        <v>44250.765694444446</v>
      </c>
      <c r="B154" s="6" t="str">
        <f>HYPERLINK("https://twitter.com/slashML","@slashML")</f>
        <v>@slashML</v>
      </c>
      <c r="C154" s="14" t="s">
        <v>779</v>
      </c>
      <c r="D154" s="14" t="s">
        <v>780</v>
      </c>
      <c r="E154" s="6" t="str">
        <f>HYPERLINK("https://twitter.com/slashML/status/1364264408629661697","1364264408629661697")</f>
        <v>1364264408629661697</v>
      </c>
      <c r="F154" s="7" t="s">
        <v>781</v>
      </c>
      <c r="G154" s="8"/>
      <c r="H154" s="8"/>
      <c r="I154" s="14">
        <v>4</v>
      </c>
      <c r="J154" s="14">
        <v>7</v>
      </c>
      <c r="K154" s="6" t="str">
        <f>HYPERLINK("https://www.reddit.com/r/MachineLearning/","From /r/MachineLearning")</f>
        <v>From /r/MachineLearning</v>
      </c>
      <c r="L154" s="15">
        <v>44297</v>
      </c>
      <c r="M154" s="15">
        <v>1</v>
      </c>
      <c r="N154" s="15">
        <v>600</v>
      </c>
      <c r="O154" s="9"/>
      <c r="P154" s="10">
        <v>42710.818564814814</v>
      </c>
      <c r="Q154" s="8"/>
      <c r="R154" s="14" t="s">
        <v>782</v>
      </c>
      <c r="S154" s="8"/>
      <c r="T154" s="8"/>
      <c r="U154" s="11" t="str">
        <f>HYPERLINK("https://pbs.twimg.com/profile_images/806213385545273344/s7sE4E8a.jpg","View")</f>
        <v>View</v>
      </c>
      <c r="V154" s="8"/>
      <c r="W154" s="8"/>
      <c r="X154" s="8"/>
      <c r="Y154" s="8"/>
      <c r="Z154" s="8"/>
    </row>
    <row r="155" spans="1:26" ht="13.2">
      <c r="A155" s="13">
        <v>44250.765486111108</v>
      </c>
      <c r="B155" s="6" t="str">
        <f>HYPERLINK("https://twitter.com/pauldranjan","@pauldranjan")</f>
        <v>@pauldranjan</v>
      </c>
      <c r="C155" s="14" t="s">
        <v>783</v>
      </c>
      <c r="D155" s="14" t="s">
        <v>784</v>
      </c>
      <c r="E155" s="6" t="str">
        <f>HYPERLINK("https://twitter.com/pauldranjan/status/1364264332033282048","1364264332033282048")</f>
        <v>1364264332033282048</v>
      </c>
      <c r="F155" s="7" t="s">
        <v>785</v>
      </c>
      <c r="G155" s="8"/>
      <c r="H155" s="8"/>
      <c r="I155" s="14">
        <v>1</v>
      </c>
      <c r="J155" s="14">
        <v>0</v>
      </c>
      <c r="K155" s="6" t="str">
        <f>HYPERLINK("http://www.linkedin.com/","LinkedIn")</f>
        <v>LinkedIn</v>
      </c>
      <c r="L155" s="15">
        <v>137</v>
      </c>
      <c r="M155" s="15">
        <v>802</v>
      </c>
      <c r="N155" s="15">
        <v>23</v>
      </c>
      <c r="O155" s="9"/>
      <c r="P155" s="10">
        <v>40844.307175925926</v>
      </c>
      <c r="Q155" s="14" t="s">
        <v>786</v>
      </c>
      <c r="R155" s="14" t="s">
        <v>787</v>
      </c>
      <c r="S155" s="7" t="s">
        <v>788</v>
      </c>
      <c r="T155" s="8"/>
      <c r="U155" s="11" t="str">
        <f>HYPERLINK("https://pbs.twimg.com/profile_images/1354522911424475136/IByqsKEr.jpg","View")</f>
        <v>View</v>
      </c>
      <c r="V155" s="8"/>
      <c r="W155" s="8"/>
      <c r="X155" s="8"/>
      <c r="Y155" s="8"/>
      <c r="Z155" s="8"/>
    </row>
    <row r="156" spans="1:26" ht="13.2">
      <c r="A156" s="13">
        <v>44250.765370370369</v>
      </c>
      <c r="B156" s="6" t="str">
        <f>HYPERLINK("https://twitter.com/neuzida","@neuzida")</f>
        <v>@neuzida</v>
      </c>
      <c r="C156" s="14" t="s">
        <v>789</v>
      </c>
      <c r="D156" s="14" t="s">
        <v>790</v>
      </c>
      <c r="E156" s="6" t="str">
        <f>HYPERLINK("https://twitter.com/neuzida/status/1364264291881353223","1364264291881353223")</f>
        <v>1364264291881353223</v>
      </c>
      <c r="F156" s="7" t="s">
        <v>791</v>
      </c>
      <c r="G156" s="8"/>
      <c r="H156" s="8"/>
      <c r="I156" s="14">
        <v>1</v>
      </c>
      <c r="J156" s="14">
        <v>0</v>
      </c>
      <c r="K156" s="6" t="str">
        <f>HYPERLINK("http://twinybots.com","TwinyBots")</f>
        <v>TwinyBots</v>
      </c>
      <c r="L156" s="15">
        <v>1326</v>
      </c>
      <c r="M156" s="15">
        <v>1118</v>
      </c>
      <c r="N156" s="15">
        <v>32</v>
      </c>
      <c r="O156" s="9"/>
      <c r="P156" s="10">
        <v>40553.300625000003</v>
      </c>
      <c r="Q156" s="14" t="s">
        <v>792</v>
      </c>
      <c r="R156" s="14" t="s">
        <v>793</v>
      </c>
      <c r="S156" s="7" t="s">
        <v>794</v>
      </c>
      <c r="T156" s="8"/>
      <c r="U156" s="11" t="str">
        <f>HYPERLINK("https://pbs.twimg.com/profile_images/1306288338765111296/Um2EYi15.jpg","View")</f>
        <v>View</v>
      </c>
      <c r="V156" s="8"/>
      <c r="W156" s="8"/>
      <c r="X156" s="8"/>
      <c r="Y156" s="8"/>
      <c r="Z156" s="8"/>
    </row>
    <row r="157" spans="1:26" ht="13.2">
      <c r="A157" s="13">
        <v>44250.764999999999</v>
      </c>
      <c r="B157" s="6" t="str">
        <f>HYPERLINK("https://twitter.com/machinelearnflx","@machinelearnflx")</f>
        <v>@machinelearnflx</v>
      </c>
      <c r="C157" s="14" t="s">
        <v>279</v>
      </c>
      <c r="D157" s="14" t="s">
        <v>795</v>
      </c>
      <c r="E157" s="6" t="str">
        <f>HYPERLINK("https://twitter.com/machinelearnflx/status/1364264157508497411","1364264157508497411")</f>
        <v>1364264157508497411</v>
      </c>
      <c r="F157" s="7" t="s">
        <v>796</v>
      </c>
      <c r="G157" s="8"/>
      <c r="H157" s="8"/>
      <c r="I157" s="14">
        <v>1</v>
      </c>
      <c r="J157" s="14">
        <v>3</v>
      </c>
      <c r="K157" s="6" t="str">
        <f>HYPERLINK("https://twitter.com/pythonbot_","Postmatico")</f>
        <v>Postmatico</v>
      </c>
      <c r="L157" s="15">
        <v>90451</v>
      </c>
      <c r="M157" s="15">
        <v>35464</v>
      </c>
      <c r="N157" s="15">
        <v>2227</v>
      </c>
      <c r="O157" s="9"/>
      <c r="P157" s="10">
        <v>42386.538865740746</v>
      </c>
      <c r="Q157" s="8"/>
      <c r="R157" s="14" t="s">
        <v>282</v>
      </c>
      <c r="S157" s="7" t="s">
        <v>283</v>
      </c>
      <c r="T157" s="8"/>
      <c r="U157" s="11" t="str">
        <f>HYPERLINK("https://pbs.twimg.com/profile_images/688735459892195329/v8sHaWSG.jpg","View")</f>
        <v>View</v>
      </c>
      <c r="V157" s="8"/>
      <c r="W157" s="8"/>
      <c r="X157" s="8"/>
      <c r="Y157" s="8"/>
      <c r="Z157" s="8"/>
    </row>
    <row r="158" spans="1:26" ht="13.2">
      <c r="A158" s="13">
        <v>44250.764814814815</v>
      </c>
      <c r="B158" s="6" t="str">
        <f>HYPERLINK("https://twitter.com/wojciehnet","@wojciehnet")</f>
        <v>@wojciehnet</v>
      </c>
      <c r="C158" s="14" t="s">
        <v>797</v>
      </c>
      <c r="D158" s="14" t="s">
        <v>90</v>
      </c>
      <c r="E158" s="6" t="str">
        <f>HYPERLINK("https://twitter.com/wojciehnet/status/1364264090252754948","1364264090252754948")</f>
        <v>1364264090252754948</v>
      </c>
      <c r="F158" s="7" t="s">
        <v>798</v>
      </c>
      <c r="G158" s="8"/>
      <c r="H158" s="8"/>
      <c r="I158" s="14">
        <v>2</v>
      </c>
      <c r="J158" s="14">
        <v>1</v>
      </c>
      <c r="K158" s="6" t="str">
        <f>HYPERLINK("http://smarp.com","Smarp.")</f>
        <v>Smarp.</v>
      </c>
      <c r="L158" s="15">
        <v>1130</v>
      </c>
      <c r="M158" s="15">
        <v>1079</v>
      </c>
      <c r="N158" s="15">
        <v>75</v>
      </c>
      <c r="O158" s="9"/>
      <c r="P158" s="10">
        <v>40070.881643518514</v>
      </c>
      <c r="Q158" s="14" t="s">
        <v>799</v>
      </c>
      <c r="R158" s="14" t="s">
        <v>800</v>
      </c>
      <c r="S158" s="7" t="s">
        <v>801</v>
      </c>
      <c r="T158" s="8"/>
      <c r="U158" s="11" t="str">
        <f>HYPERLINK("https://pbs.twimg.com/profile_images/478267593023705088/rrRVum84.png","View")</f>
        <v>View</v>
      </c>
      <c r="V158" s="8"/>
      <c r="W158" s="8"/>
      <c r="X158" s="8"/>
      <c r="Y158" s="8"/>
      <c r="Z158" s="8"/>
    </row>
    <row r="159" spans="1:26" ht="13.2">
      <c r="A159" s="13">
        <v>44250.76457175926</v>
      </c>
      <c r="B159" s="6" t="str">
        <f>HYPERLINK("https://twitter.com/technossus","@technossus")</f>
        <v>@technossus</v>
      </c>
      <c r="C159" s="14" t="s">
        <v>802</v>
      </c>
      <c r="D159" s="14" t="s">
        <v>803</v>
      </c>
      <c r="E159" s="6" t="str">
        <f>HYPERLINK("https://twitter.com/technossus/status/1364264002646380547","1364264002646380547")</f>
        <v>1364264002646380547</v>
      </c>
      <c r="F159" s="7" t="s">
        <v>804</v>
      </c>
      <c r="G159" s="8"/>
      <c r="H159" s="8"/>
      <c r="I159" s="14">
        <v>1</v>
      </c>
      <c r="J159" s="14">
        <v>0</v>
      </c>
      <c r="K159" s="6" t="str">
        <f>HYPERLINK("http://www.hubspot.com/","HubSpot")</f>
        <v>HubSpot</v>
      </c>
      <c r="L159" s="15">
        <v>202</v>
      </c>
      <c r="M159" s="15">
        <v>156</v>
      </c>
      <c r="N159" s="15">
        <v>14</v>
      </c>
      <c r="O159" s="9"/>
      <c r="P159" s="10">
        <v>40173.911504629628</v>
      </c>
      <c r="Q159" s="14" t="s">
        <v>805</v>
      </c>
      <c r="R159" s="14" t="s">
        <v>806</v>
      </c>
      <c r="S159" s="7" t="s">
        <v>807</v>
      </c>
      <c r="T159" s="8"/>
      <c r="U159" s="11" t="str">
        <f>HYPERLINK("https://pbs.twimg.com/profile_images/511642168574763008/7s_y4-nh.jpeg","View")</f>
        <v>View</v>
      </c>
      <c r="V159" s="8"/>
      <c r="W159" s="8"/>
      <c r="X159" s="8"/>
      <c r="Y159" s="8"/>
      <c r="Z159" s="8"/>
    </row>
    <row r="160" spans="1:26" ht="13.2">
      <c r="A160" s="13">
        <v>44250.763969907406</v>
      </c>
      <c r="B160" s="6" t="str">
        <f>HYPERLINK("https://twitter.com/anilmshanbhag","@anilmshanbhag")</f>
        <v>@anilmshanbhag</v>
      </c>
      <c r="C160" s="14" t="s">
        <v>808</v>
      </c>
      <c r="D160" s="14" t="s">
        <v>809</v>
      </c>
      <c r="E160" s="6" t="str">
        <f>HYPERLINK("https://twitter.com/anilmshanbhag/status/1364263783737221123","1364263783737221123")</f>
        <v>1364263783737221123</v>
      </c>
      <c r="F160" s="14" t="s">
        <v>810</v>
      </c>
      <c r="G160" s="8"/>
      <c r="H160" s="8"/>
      <c r="I160" s="14">
        <v>0</v>
      </c>
      <c r="J160" s="14">
        <v>4</v>
      </c>
      <c r="K160" s="6" t="str">
        <f>HYPERLINK("https://mobile.twitter.com","Twitter Web App")</f>
        <v>Twitter Web App</v>
      </c>
      <c r="L160" s="15">
        <v>178</v>
      </c>
      <c r="M160" s="15">
        <v>173</v>
      </c>
      <c r="N160" s="15">
        <v>0</v>
      </c>
      <c r="O160" s="9"/>
      <c r="P160" s="10">
        <v>43840.638935185183</v>
      </c>
      <c r="Q160" s="14" t="s">
        <v>811</v>
      </c>
      <c r="R160" s="14" t="s">
        <v>812</v>
      </c>
      <c r="S160" s="7" t="s">
        <v>813</v>
      </c>
      <c r="T160" s="8"/>
      <c r="U160" s="11" t="str">
        <f>HYPERLINK("https://pbs.twimg.com/profile_images/1353085925908209667/mzY1sPuT.jpg","View")</f>
        <v>View</v>
      </c>
      <c r="V160" s="8"/>
      <c r="W160" s="8"/>
      <c r="X160" s="8"/>
      <c r="Y160" s="8"/>
      <c r="Z160" s="8"/>
    </row>
    <row r="161" spans="1:26" ht="13.2">
      <c r="A161" s="13">
        <v>44250.763969907406</v>
      </c>
      <c r="B161" s="6" t="str">
        <f>HYPERLINK("https://twitter.com/nigewillson","@nigewillson")</f>
        <v>@nigewillson</v>
      </c>
      <c r="C161" s="14" t="s">
        <v>95</v>
      </c>
      <c r="D161" s="14" t="s">
        <v>814</v>
      </c>
      <c r="E161" s="6" t="str">
        <f>HYPERLINK("https://twitter.com/nigewillson/status/1364263783024189446","1364263783024189446")</f>
        <v>1364263783024189446</v>
      </c>
      <c r="F161" s="7" t="s">
        <v>815</v>
      </c>
      <c r="G161" s="7" t="s">
        <v>816</v>
      </c>
      <c r="H161" s="8"/>
      <c r="I161" s="14">
        <v>7</v>
      </c>
      <c r="J161" s="14">
        <v>2</v>
      </c>
      <c r="K161" s="6" t="str">
        <f t="shared" ref="K161:K162" si="16">HYPERLINK("https://buffer.com","Buffer")</f>
        <v>Buffer</v>
      </c>
      <c r="L161" s="15">
        <v>57515</v>
      </c>
      <c r="M161" s="15">
        <v>49523</v>
      </c>
      <c r="N161" s="15">
        <v>1688</v>
      </c>
      <c r="O161" s="9"/>
      <c r="P161" s="10">
        <v>40530.666805555556</v>
      </c>
      <c r="Q161" s="14" t="s">
        <v>99</v>
      </c>
      <c r="R161" s="14" t="s">
        <v>100</v>
      </c>
      <c r="S161" s="7" t="s">
        <v>101</v>
      </c>
      <c r="T161" s="8"/>
      <c r="U161" s="11" t="str">
        <f>HYPERLINK("https://pbs.twimg.com/profile_images/1085251590997622784/x9mWVQ1d.jpg","View")</f>
        <v>View</v>
      </c>
      <c r="V161" s="8"/>
      <c r="W161" s="8"/>
      <c r="X161" s="8"/>
      <c r="Y161" s="8"/>
      <c r="Z161" s="8"/>
    </row>
    <row r="162" spans="1:26" ht="13.2">
      <c r="A162" s="13">
        <v>44250.763958333337</v>
      </c>
      <c r="B162" s="6" t="str">
        <f>HYPERLINK("https://twitter.com/ingliguori","@ingliguori")</f>
        <v>@ingliguori</v>
      </c>
      <c r="C162" s="14" t="s">
        <v>817</v>
      </c>
      <c r="D162" s="14" t="s">
        <v>818</v>
      </c>
      <c r="E162" s="6" t="str">
        <f>HYPERLINK("https://twitter.com/ingliguori/status/1364263780566380553","1364263780566380553")</f>
        <v>1364263780566380553</v>
      </c>
      <c r="F162" s="8"/>
      <c r="G162" s="7" t="s">
        <v>819</v>
      </c>
      <c r="H162" s="8"/>
      <c r="I162" s="14">
        <v>22</v>
      </c>
      <c r="J162" s="14">
        <v>13</v>
      </c>
      <c r="K162" s="6" t="str">
        <f t="shared" si="16"/>
        <v>Buffer</v>
      </c>
      <c r="L162" s="15">
        <v>28633</v>
      </c>
      <c r="M162" s="15">
        <v>8954</v>
      </c>
      <c r="N162" s="15">
        <v>338</v>
      </c>
      <c r="O162" s="9"/>
      <c r="P162" s="10">
        <v>41173.034710648149</v>
      </c>
      <c r="Q162" s="14" t="s">
        <v>820</v>
      </c>
      <c r="R162" s="14" t="s">
        <v>821</v>
      </c>
      <c r="S162" s="7" t="s">
        <v>822</v>
      </c>
      <c r="T162" s="8"/>
      <c r="U162" s="11" t="str">
        <f>HYPERLINK("https://pbs.twimg.com/profile_images/1286694267520507909/8ZM-3MFU.jpg","View")</f>
        <v>View</v>
      </c>
      <c r="V162" s="8"/>
      <c r="W162" s="8"/>
      <c r="X162" s="8"/>
      <c r="Y162" s="8"/>
      <c r="Z162" s="8"/>
    </row>
    <row r="163" spans="1:26" ht="13.2">
      <c r="A163" s="13">
        <v>44250.763935185183</v>
      </c>
      <c r="B163" s="6" t="str">
        <f>HYPERLINK("https://twitter.com/s_kampakis","@s_kampakis")</f>
        <v>@s_kampakis</v>
      </c>
      <c r="C163" s="14" t="s">
        <v>823</v>
      </c>
      <c r="D163" s="14" t="s">
        <v>824</v>
      </c>
      <c r="E163" s="6" t="str">
        <f>HYPERLINK("https://twitter.com/s_kampakis/status/1364263770302865416","1364263770302865416")</f>
        <v>1364263770302865416</v>
      </c>
      <c r="F163" s="7" t="s">
        <v>825</v>
      </c>
      <c r="G163" s="8"/>
      <c r="H163" s="8"/>
      <c r="I163" s="14">
        <v>2</v>
      </c>
      <c r="J163" s="14">
        <v>1</v>
      </c>
      <c r="K163" s="6" t="str">
        <f>HYPERLINK("https://crowdfireapp.com","Crowdfire App")</f>
        <v>Crowdfire App</v>
      </c>
      <c r="L163" s="15">
        <v>1205</v>
      </c>
      <c r="M163" s="15">
        <v>2076</v>
      </c>
      <c r="N163" s="15">
        <v>87</v>
      </c>
      <c r="O163" s="9"/>
      <c r="P163" s="10">
        <v>41877.766087962962</v>
      </c>
      <c r="Q163" s="14" t="s">
        <v>753</v>
      </c>
      <c r="R163" s="14" t="s">
        <v>826</v>
      </c>
      <c r="S163" s="7" t="s">
        <v>827</v>
      </c>
      <c r="T163" s="8"/>
      <c r="U163" s="11" t="str">
        <f>HYPERLINK("https://pbs.twimg.com/profile_images/1175015480496726019/1UxlBHvw.jpg","View")</f>
        <v>View</v>
      </c>
      <c r="V163" s="8"/>
      <c r="W163" s="8"/>
      <c r="X163" s="8"/>
      <c r="Y163" s="8"/>
      <c r="Z163" s="8"/>
    </row>
    <row r="164" spans="1:26" ht="13.2">
      <c r="A164" s="13">
        <v>44250.763807870375</v>
      </c>
      <c r="B164" s="6" t="str">
        <f>HYPERLINK("https://twitter.com/YuganshJ","@YuganshJ")</f>
        <v>@YuganshJ</v>
      </c>
      <c r="C164" s="14" t="s">
        <v>828</v>
      </c>
      <c r="D164" s="14" t="s">
        <v>829</v>
      </c>
      <c r="E164" s="6" t="str">
        <f>HYPERLINK("https://twitter.com/YuganshJ/status/1364263725897707524","1364263725897707524")</f>
        <v>1364263725897707524</v>
      </c>
      <c r="F164" s="7" t="s">
        <v>830</v>
      </c>
      <c r="G164" s="8"/>
      <c r="H164" s="8"/>
      <c r="I164" s="14">
        <v>11</v>
      </c>
      <c r="J164" s="14">
        <v>6</v>
      </c>
      <c r="K164" s="6" t="str">
        <f>HYPERLINK("http://twitter.com/download/android","Twitter for Android")</f>
        <v>Twitter for Android</v>
      </c>
      <c r="L164" s="15">
        <v>928</v>
      </c>
      <c r="M164" s="15">
        <v>4637</v>
      </c>
      <c r="N164" s="15">
        <v>9</v>
      </c>
      <c r="O164" s="9"/>
      <c r="P164" s="10">
        <v>42502.662465277783</v>
      </c>
      <c r="Q164" s="14" t="s">
        <v>831</v>
      </c>
      <c r="R164" s="14" t="s">
        <v>832</v>
      </c>
      <c r="S164" s="7" t="s">
        <v>833</v>
      </c>
      <c r="T164" s="8"/>
      <c r="U164" s="11" t="str">
        <f>HYPERLINK("https://pbs.twimg.com/profile_images/1353939554659520512/bvr0rSct.jpg","View")</f>
        <v>View</v>
      </c>
      <c r="V164" s="8"/>
      <c r="W164" s="8"/>
      <c r="X164" s="8"/>
      <c r="Y164" s="8"/>
      <c r="Z164" s="8"/>
    </row>
    <row r="165" spans="1:26" ht="13.2">
      <c r="A165" s="13">
        <v>44250.763773148152</v>
      </c>
      <c r="B165" s="6" t="str">
        <f>HYPERLINK("https://twitter.com/anilmshanbhag","@anilmshanbhag")</f>
        <v>@anilmshanbhag</v>
      </c>
      <c r="C165" s="14" t="s">
        <v>808</v>
      </c>
      <c r="D165" s="14" t="s">
        <v>834</v>
      </c>
      <c r="E165" s="6" t="str">
        <f>HYPERLINK("https://twitter.com/anilmshanbhag/status/1364263710987059205","1364263710987059205")</f>
        <v>1364263710987059205</v>
      </c>
      <c r="F165" s="7" t="s">
        <v>835</v>
      </c>
      <c r="G165" s="7" t="s">
        <v>836</v>
      </c>
      <c r="H165" s="8"/>
      <c r="I165" s="14">
        <v>0</v>
      </c>
      <c r="J165" s="14">
        <v>2</v>
      </c>
      <c r="K165" s="6" t="str">
        <f>HYPERLINK("https://mobile.twitter.com","Twitter Web App")</f>
        <v>Twitter Web App</v>
      </c>
      <c r="L165" s="15">
        <v>178</v>
      </c>
      <c r="M165" s="15">
        <v>173</v>
      </c>
      <c r="N165" s="15">
        <v>0</v>
      </c>
      <c r="O165" s="9"/>
      <c r="P165" s="10">
        <v>43840.638935185183</v>
      </c>
      <c r="Q165" s="14" t="s">
        <v>811</v>
      </c>
      <c r="R165" s="14" t="s">
        <v>812</v>
      </c>
      <c r="S165" s="7" t="s">
        <v>813</v>
      </c>
      <c r="T165" s="8"/>
      <c r="U165" s="11" t="str">
        <f>HYPERLINK("https://pbs.twimg.com/profile_images/1353085925908209667/mzY1sPuT.jpg","View")</f>
        <v>View</v>
      </c>
      <c r="V165" s="8"/>
      <c r="W165" s="8"/>
      <c r="X165" s="8"/>
      <c r="Y165" s="8"/>
      <c r="Z165" s="8"/>
    </row>
    <row r="166" spans="1:26" ht="13.2">
      <c r="A166" s="13">
        <v>44250.763761574075</v>
      </c>
      <c r="B166" s="6" t="str">
        <f>HYPERLINK("https://twitter.com/Jelvix","@Jelvix")</f>
        <v>@Jelvix</v>
      </c>
      <c r="C166" s="14" t="s">
        <v>837</v>
      </c>
      <c r="D166" s="14" t="s">
        <v>838</v>
      </c>
      <c r="E166" s="6" t="str">
        <f>HYPERLINK("https://twitter.com/Jelvix/status/1364263707216347143","1364263707216347143")</f>
        <v>1364263707216347143</v>
      </c>
      <c r="F166" s="7" t="s">
        <v>839</v>
      </c>
      <c r="G166" s="7" t="s">
        <v>840</v>
      </c>
      <c r="H166" s="8"/>
      <c r="I166" s="14">
        <v>1</v>
      </c>
      <c r="J166" s="14">
        <v>0</v>
      </c>
      <c r="K166" s="6" t="str">
        <f>HYPERLINK("https://www.hootsuite.com","Hootsuite Inc.")</f>
        <v>Hootsuite Inc.</v>
      </c>
      <c r="L166" s="15">
        <v>2488</v>
      </c>
      <c r="M166" s="15">
        <v>1520</v>
      </c>
      <c r="N166" s="15">
        <v>23</v>
      </c>
      <c r="O166" s="9"/>
      <c r="P166" s="10">
        <v>41699.578946759255</v>
      </c>
      <c r="Q166" s="14" t="s">
        <v>841</v>
      </c>
      <c r="R166" s="14" t="s">
        <v>842</v>
      </c>
      <c r="S166" s="7" t="s">
        <v>843</v>
      </c>
      <c r="T166" s="8"/>
      <c r="U166" s="11" t="str">
        <f>HYPERLINK("https://pbs.twimg.com/profile_images/1181937621288792066/wlREMOKS.jpg","View")</f>
        <v>View</v>
      </c>
      <c r="V166" s="8"/>
      <c r="W166" s="8"/>
      <c r="X166" s="8"/>
      <c r="Y166" s="8"/>
      <c r="Z166" s="8"/>
    </row>
    <row r="167" spans="1:26" ht="13.2">
      <c r="A167" s="13">
        <v>44250.763298611113</v>
      </c>
      <c r="B167" s="6" t="str">
        <f>HYPERLINK("https://twitter.com/ReggyDeFeniks","@ReggyDeFeniks")</f>
        <v>@ReggyDeFeniks</v>
      </c>
      <c r="C167" s="14" t="s">
        <v>844</v>
      </c>
      <c r="D167" s="14" t="s">
        <v>845</v>
      </c>
      <c r="E167" s="6" t="str">
        <f>HYPERLINK("https://twitter.com/ReggyDeFeniks/status/1364263539796566019","1364263539796566019")</f>
        <v>1364263539796566019</v>
      </c>
      <c r="F167" s="7" t="s">
        <v>846</v>
      </c>
      <c r="G167" s="7" t="s">
        <v>847</v>
      </c>
      <c r="H167" s="8"/>
      <c r="I167" s="14">
        <v>2</v>
      </c>
      <c r="J167" s="14">
        <v>0</v>
      </c>
      <c r="K167" s="6" t="str">
        <f>HYPERLINK("https://app.agorapulse.com","AgoraPulse Manager")</f>
        <v>AgoraPulse Manager</v>
      </c>
      <c r="L167" s="15">
        <v>11979</v>
      </c>
      <c r="M167" s="15">
        <v>11122</v>
      </c>
      <c r="N167" s="15">
        <v>198</v>
      </c>
      <c r="O167" s="9"/>
      <c r="P167" s="10">
        <v>40657.464247685188</v>
      </c>
      <c r="Q167" s="14" t="s">
        <v>848</v>
      </c>
      <c r="R167" s="14" t="s">
        <v>849</v>
      </c>
      <c r="S167" s="7" t="s">
        <v>850</v>
      </c>
      <c r="T167" s="8"/>
      <c r="U167" s="11" t="str">
        <f>HYPERLINK("https://pbs.twimg.com/profile_images/1323351126/104-Reggy_klein.JPG","View")</f>
        <v>View</v>
      </c>
      <c r="V167" s="8"/>
      <c r="W167" s="8"/>
      <c r="X167" s="8"/>
      <c r="Y167" s="8"/>
      <c r="Z167" s="8"/>
    </row>
    <row r="168" spans="1:26" ht="13.2">
      <c r="A168" s="13">
        <v>44250.762685185182</v>
      </c>
      <c r="B168" s="6" t="str">
        <f>HYPERLINK("https://twitter.com/cybersecboardrm","@cybersecboardrm")</f>
        <v>@cybersecboardrm</v>
      </c>
      <c r="C168" s="14" t="s">
        <v>851</v>
      </c>
      <c r="D168" s="14" t="s">
        <v>790</v>
      </c>
      <c r="E168" s="6" t="str">
        <f>HYPERLINK("https://twitter.com/cybersecboardrm/status/1364263319893397507","1364263319893397507")</f>
        <v>1364263319893397507</v>
      </c>
      <c r="F168" s="7" t="s">
        <v>791</v>
      </c>
      <c r="G168" s="8"/>
      <c r="H168" s="8"/>
      <c r="I168" s="14">
        <v>3</v>
      </c>
      <c r="J168" s="14">
        <v>3</v>
      </c>
      <c r="K168" s="6" t="str">
        <f>HYPERLINK("http://twinybots.com","TwinyBots")</f>
        <v>TwinyBots</v>
      </c>
      <c r="L168" s="15">
        <v>44595</v>
      </c>
      <c r="M168" s="15">
        <v>17565</v>
      </c>
      <c r="N168" s="15">
        <v>2331</v>
      </c>
      <c r="O168" s="9"/>
      <c r="P168" s="10">
        <v>41699.739884259259</v>
      </c>
      <c r="Q168" s="14" t="s">
        <v>852</v>
      </c>
      <c r="R168" s="14" t="s">
        <v>853</v>
      </c>
      <c r="S168" s="7" t="s">
        <v>854</v>
      </c>
      <c r="T168" s="8"/>
      <c r="U168" s="11" t="str">
        <f>HYPERLINK("https://pbs.twimg.com/profile_images/1287860270283530242/2LxTyzQc.jpg","View")</f>
        <v>View</v>
      </c>
      <c r="V168" s="8"/>
      <c r="W168" s="8"/>
      <c r="X168" s="8"/>
      <c r="Y168" s="8"/>
      <c r="Z168" s="8"/>
    </row>
    <row r="169" spans="1:26" ht="13.2">
      <c r="A169" s="13">
        <v>44250.762453703705</v>
      </c>
      <c r="B169" s="6" t="str">
        <f>HYPERLINK("https://twitter.com/itsoftgmbh","@itsoftgmbh")</f>
        <v>@itsoftgmbh</v>
      </c>
      <c r="C169" s="14" t="s">
        <v>855</v>
      </c>
      <c r="D169" s="14" t="s">
        <v>856</v>
      </c>
      <c r="E169" s="6" t="str">
        <f>HYPERLINK("https://twitter.com/itsoftgmbh/status/1364263234593783815","1364263234593783815")</f>
        <v>1364263234593783815</v>
      </c>
      <c r="F169" s="7" t="s">
        <v>857</v>
      </c>
      <c r="G169" s="8"/>
      <c r="H169" s="8"/>
      <c r="I169" s="14">
        <v>1</v>
      </c>
      <c r="J169" s="14">
        <v>0</v>
      </c>
      <c r="K169" s="6" t="str">
        <f>HYPERLINK("http://twitter.com/#!/download/ipad","Twitter for iPad")</f>
        <v>Twitter for iPad</v>
      </c>
      <c r="L169" s="15">
        <v>640</v>
      </c>
      <c r="M169" s="15">
        <v>563</v>
      </c>
      <c r="N169" s="15">
        <v>75</v>
      </c>
      <c r="O169" s="9"/>
      <c r="P169" s="10">
        <v>42282.885162037041</v>
      </c>
      <c r="Q169" s="14" t="s">
        <v>858</v>
      </c>
      <c r="R169" s="14" t="s">
        <v>859</v>
      </c>
      <c r="S169" s="7" t="s">
        <v>860</v>
      </c>
      <c r="T169" s="8"/>
      <c r="U169" s="11" t="str">
        <f>HYPERLINK("https://pbs.twimg.com/profile_images/651387616030429185/vMV1DwiG.png","View")</f>
        <v>View</v>
      </c>
      <c r="V169" s="8"/>
      <c r="W169" s="8"/>
      <c r="X169" s="8"/>
      <c r="Y169" s="8"/>
      <c r="Z169" s="8"/>
    </row>
    <row r="170" spans="1:26" ht="13.2">
      <c r="A170" s="13">
        <v>44250.762222222227</v>
      </c>
      <c r="B170" s="6" t="str">
        <f>HYPERLINK("https://twitter.com/Stanford_Green","@Stanford_Green")</f>
        <v>@Stanford_Green</v>
      </c>
      <c r="C170" s="14" t="s">
        <v>861</v>
      </c>
      <c r="D170" s="14" t="s">
        <v>862</v>
      </c>
      <c r="E170" s="6" t="str">
        <f>HYPERLINK("https://twitter.com/Stanford_Green/status/1364263149029842946","1364263149029842946")</f>
        <v>1364263149029842946</v>
      </c>
      <c r="F170" s="8"/>
      <c r="G170" s="7" t="s">
        <v>863</v>
      </c>
      <c r="H170" s="8"/>
      <c r="I170" s="14">
        <v>3</v>
      </c>
      <c r="J170" s="14">
        <v>1</v>
      </c>
      <c r="K170" s="6" t="str">
        <f>HYPERLINK("http://twitter.com/download/iphone","Twitter for iPhone")</f>
        <v>Twitter for iPhone</v>
      </c>
      <c r="L170" s="15">
        <v>118</v>
      </c>
      <c r="M170" s="15">
        <v>138</v>
      </c>
      <c r="N170" s="15">
        <v>1</v>
      </c>
      <c r="O170" s="9"/>
      <c r="P170" s="10">
        <v>39986.264965277776</v>
      </c>
      <c r="Q170" s="14" t="s">
        <v>864</v>
      </c>
      <c r="R170" s="14" t="s">
        <v>865</v>
      </c>
      <c r="S170" s="8"/>
      <c r="T170" s="8"/>
      <c r="U170" s="11" t="str">
        <f>HYPERLINK("https://pbs.twimg.com/profile_images/928736437641478144/LV93879A.jpg","View")</f>
        <v>View</v>
      </c>
      <c r="V170" s="8"/>
      <c r="W170" s="8"/>
      <c r="X170" s="8"/>
      <c r="Y170" s="8"/>
      <c r="Z170" s="8"/>
    </row>
    <row r="171" spans="1:26" ht="13.2">
      <c r="A171" s="13">
        <v>44250.761817129634</v>
      </c>
      <c r="B171" s="6" t="str">
        <f>HYPERLINK("https://twitter.com/TechNative","@TechNative")</f>
        <v>@TechNative</v>
      </c>
      <c r="C171" s="14" t="s">
        <v>866</v>
      </c>
      <c r="D171" s="14" t="s">
        <v>867</v>
      </c>
      <c r="E171" s="6" t="str">
        <f>HYPERLINK("https://twitter.com/TechNative/status/1364263004578189318","1364263004578189318")</f>
        <v>1364263004578189318</v>
      </c>
      <c r="F171" s="7" t="s">
        <v>868</v>
      </c>
      <c r="G171" s="8"/>
      <c r="H171" s="8"/>
      <c r="I171" s="14">
        <v>6</v>
      </c>
      <c r="J171" s="14">
        <v>4</v>
      </c>
      <c r="K171" s="6" t="str">
        <f>HYPERLINK("https://sproutsocial.com","Sprout Social")</f>
        <v>Sprout Social</v>
      </c>
      <c r="L171" s="15">
        <v>84850</v>
      </c>
      <c r="M171" s="15">
        <v>60575</v>
      </c>
      <c r="N171" s="15">
        <v>2623</v>
      </c>
      <c r="O171" s="9"/>
      <c r="P171" s="10">
        <v>42289.695833333331</v>
      </c>
      <c r="Q171" s="14" t="s">
        <v>869</v>
      </c>
      <c r="R171" s="14" t="s">
        <v>870</v>
      </c>
      <c r="S171" s="7" t="s">
        <v>871</v>
      </c>
      <c r="T171" s="8"/>
      <c r="U171" s="11" t="str">
        <f>HYPERLINK("https://pbs.twimg.com/profile_images/877265193818103808/uriy-gaK.jpg","View")</f>
        <v>View</v>
      </c>
      <c r="V171" s="8"/>
      <c r="W171" s="8"/>
      <c r="X171" s="8"/>
      <c r="Y171" s="8"/>
      <c r="Z171" s="8"/>
    </row>
    <row r="172" spans="1:26" ht="13.2">
      <c r="A172" s="13">
        <v>44250.761712962965</v>
      </c>
      <c r="B172" s="6" t="str">
        <f>HYPERLINK("https://twitter.com/Quantiacs","@Quantiacs")</f>
        <v>@Quantiacs</v>
      </c>
      <c r="C172" s="14" t="s">
        <v>872</v>
      </c>
      <c r="D172" s="14" t="s">
        <v>873</v>
      </c>
      <c r="E172" s="6" t="str">
        <f>HYPERLINK("https://twitter.com/Quantiacs/status/1364262965747318790","1364262965747318790")</f>
        <v>1364262965747318790</v>
      </c>
      <c r="F172" s="14" t="s">
        <v>874</v>
      </c>
      <c r="G172" s="8"/>
      <c r="H172" s="8"/>
      <c r="I172" s="14">
        <v>1</v>
      </c>
      <c r="J172" s="14">
        <v>0</v>
      </c>
      <c r="K172" s="6" t="str">
        <f t="shared" ref="K172:K173" si="17">HYPERLINK("https://mobile.twitter.com","Twitter Web App")</f>
        <v>Twitter Web App</v>
      </c>
      <c r="L172" s="15">
        <v>2055</v>
      </c>
      <c r="M172" s="15">
        <v>243</v>
      </c>
      <c r="N172" s="15">
        <v>99</v>
      </c>
      <c r="O172" s="9"/>
      <c r="P172" s="10">
        <v>41745.227997685186</v>
      </c>
      <c r="Q172" s="14" t="s">
        <v>875</v>
      </c>
      <c r="R172" s="14" t="s">
        <v>876</v>
      </c>
      <c r="S172" s="7" t="s">
        <v>877</v>
      </c>
      <c r="T172" s="8"/>
      <c r="U172" s="11" t="str">
        <f>HYPERLINK("https://pbs.twimg.com/profile_images/1362085994862940160/YnfQJI8B.jpg","View")</f>
        <v>View</v>
      </c>
      <c r="V172" s="8"/>
      <c r="W172" s="8"/>
      <c r="X172" s="8"/>
      <c r="Y172" s="8"/>
      <c r="Z172" s="8"/>
    </row>
    <row r="173" spans="1:26" ht="13.2">
      <c r="A173" s="13">
        <v>44250.760891203703</v>
      </c>
      <c r="B173" s="6" t="str">
        <f>HYPERLINK("https://twitter.com/Tips4puntocero","@Tips4puntocero")</f>
        <v>@Tips4puntocero</v>
      </c>
      <c r="C173" s="14" t="s">
        <v>878</v>
      </c>
      <c r="D173" s="14" t="s">
        <v>879</v>
      </c>
      <c r="E173" s="6" t="str">
        <f>HYPERLINK("https://twitter.com/Tips4puntocero/status/1364262666756362243","1364262666756362243")</f>
        <v>1364262666756362243</v>
      </c>
      <c r="F173" s="7" t="s">
        <v>880</v>
      </c>
      <c r="G173" s="7" t="s">
        <v>881</v>
      </c>
      <c r="H173" s="8"/>
      <c r="I173" s="14">
        <v>0</v>
      </c>
      <c r="J173" s="14">
        <v>0</v>
      </c>
      <c r="K173" s="6" t="str">
        <f t="shared" si="17"/>
        <v>Twitter Web App</v>
      </c>
      <c r="L173" s="15">
        <v>1</v>
      </c>
      <c r="M173" s="15">
        <v>0</v>
      </c>
      <c r="N173" s="15">
        <v>0</v>
      </c>
      <c r="O173" s="9"/>
      <c r="P173" s="10">
        <v>44200.059328703705</v>
      </c>
      <c r="Q173" s="14" t="s">
        <v>882</v>
      </c>
      <c r="R173" s="14" t="s">
        <v>883</v>
      </c>
      <c r="S173" s="7" t="s">
        <v>880</v>
      </c>
      <c r="T173" s="8"/>
      <c r="U173" s="11" t="str">
        <f>HYPERLINK("https://pbs.twimg.com/profile_images/1345889126525132802/RtL-Rud-.jpg","View")</f>
        <v>View</v>
      </c>
      <c r="V173" s="8"/>
      <c r="W173" s="8"/>
      <c r="X173" s="8"/>
      <c r="Y173" s="8"/>
      <c r="Z173" s="8"/>
    </row>
    <row r="174" spans="1:26" ht="13.2">
      <c r="A174" s="13">
        <v>44250.76085648148</v>
      </c>
      <c r="B174" s="6" t="str">
        <f>HYPERLINK("https://twitter.com/FirmForum","@FirmForum")</f>
        <v>@FirmForum</v>
      </c>
      <c r="C174" s="14" t="s">
        <v>884</v>
      </c>
      <c r="D174" s="14" t="s">
        <v>885</v>
      </c>
      <c r="E174" s="6" t="str">
        <f>HYPERLINK("https://twitter.com/FirmForum/status/1364262655809175563","1364262655809175563")</f>
        <v>1364262655809175563</v>
      </c>
      <c r="F174" s="14" t="s">
        <v>886</v>
      </c>
      <c r="G174" s="8"/>
      <c r="H174" s="8"/>
      <c r="I174" s="14">
        <v>0</v>
      </c>
      <c r="J174" s="14">
        <v>0</v>
      </c>
      <c r="K174" s="6" t="str">
        <f>HYPERLINK("http://twinybots.com","TwinyBots")</f>
        <v>TwinyBots</v>
      </c>
      <c r="L174" s="15">
        <v>292</v>
      </c>
      <c r="M174" s="15">
        <v>185</v>
      </c>
      <c r="N174" s="15">
        <v>7</v>
      </c>
      <c r="O174" s="9"/>
      <c r="P174" s="10">
        <v>43518.5003125</v>
      </c>
      <c r="Q174" s="8"/>
      <c r="R174" s="14" t="s">
        <v>887</v>
      </c>
      <c r="S174" s="7" t="s">
        <v>888</v>
      </c>
      <c r="T174" s="8"/>
      <c r="U174" s="11" t="str">
        <f>HYPERLINK("https://pbs.twimg.com/profile_images/1105548532759568384/2lKfWRth.png","View")</f>
        <v>View</v>
      </c>
      <c r="V174" s="8"/>
      <c r="W174" s="8"/>
      <c r="X174" s="8"/>
      <c r="Y174" s="8"/>
      <c r="Z174" s="8"/>
    </row>
    <row r="175" spans="1:26" ht="13.2">
      <c r="A175" s="13">
        <v>44250.760567129633</v>
      </c>
      <c r="B175" s="6" t="str">
        <f>HYPERLINK("https://twitter.com/jskalia","@jskalia")</f>
        <v>@jskalia</v>
      </c>
      <c r="C175" s="14" t="s">
        <v>889</v>
      </c>
      <c r="D175" s="14" t="s">
        <v>890</v>
      </c>
      <c r="E175" s="6" t="str">
        <f>HYPERLINK("https://twitter.com/jskalia/status/1364262551115223041","1364262551115223041")</f>
        <v>1364262551115223041</v>
      </c>
      <c r="F175" s="7" t="s">
        <v>891</v>
      </c>
      <c r="G175" s="8"/>
      <c r="H175" s="8"/>
      <c r="I175" s="14">
        <v>1</v>
      </c>
      <c r="J175" s="14">
        <v>0</v>
      </c>
      <c r="K175" s="6" t="str">
        <f>HYPERLINK("https://www.hootsuite.com","Hootsuite Inc.")</f>
        <v>Hootsuite Inc.</v>
      </c>
      <c r="L175" s="15">
        <v>133</v>
      </c>
      <c r="M175" s="15">
        <v>380</v>
      </c>
      <c r="N175" s="15">
        <v>1</v>
      </c>
      <c r="O175" s="9"/>
      <c r="P175" s="10">
        <v>39660.655624999999</v>
      </c>
      <c r="Q175" s="14" t="s">
        <v>892</v>
      </c>
      <c r="R175" s="14" t="s">
        <v>893</v>
      </c>
      <c r="S175" s="7" t="s">
        <v>894</v>
      </c>
      <c r="T175" s="8"/>
      <c r="U175" s="11" t="str">
        <f>HYPERLINK("https://pbs.twimg.com/profile_images/1176302763027947525/ZsxrML09.jpg","View")</f>
        <v>View</v>
      </c>
      <c r="V175" s="8"/>
      <c r="W175" s="8"/>
      <c r="X175" s="8"/>
      <c r="Y175" s="8"/>
      <c r="Z175" s="8"/>
    </row>
    <row r="176" spans="1:26" ht="13.2">
      <c r="A176" s="13">
        <v>44250.760555555556</v>
      </c>
      <c r="B176" s="6" t="str">
        <f>HYPERLINK("https://twitter.com/nigewillson","@nigewillson")</f>
        <v>@nigewillson</v>
      </c>
      <c r="C176" s="14" t="s">
        <v>95</v>
      </c>
      <c r="D176" s="14" t="s">
        <v>895</v>
      </c>
      <c r="E176" s="6" t="str">
        <f>HYPERLINK("https://twitter.com/nigewillson/status/1364262544593059844","1364262544593059844")</f>
        <v>1364262544593059844</v>
      </c>
      <c r="F176" s="7" t="s">
        <v>896</v>
      </c>
      <c r="G176" s="7" t="s">
        <v>897</v>
      </c>
      <c r="H176" s="8"/>
      <c r="I176" s="14">
        <v>8</v>
      </c>
      <c r="J176" s="14">
        <v>2</v>
      </c>
      <c r="K176" s="6" t="str">
        <f>HYPERLINK("https://buffer.com","Buffer")</f>
        <v>Buffer</v>
      </c>
      <c r="L176" s="15">
        <v>57515</v>
      </c>
      <c r="M176" s="15">
        <v>49523</v>
      </c>
      <c r="N176" s="15">
        <v>1688</v>
      </c>
      <c r="O176" s="9"/>
      <c r="P176" s="10">
        <v>40530.666805555556</v>
      </c>
      <c r="Q176" s="14" t="s">
        <v>99</v>
      </c>
      <c r="R176" s="14" t="s">
        <v>100</v>
      </c>
      <c r="S176" s="7" t="s">
        <v>101</v>
      </c>
      <c r="T176" s="8"/>
      <c r="U176" s="11" t="str">
        <f>HYPERLINK("https://pbs.twimg.com/profile_images/1085251590997622784/x9mWVQ1d.jpg","View")</f>
        <v>View</v>
      </c>
      <c r="V176" s="8"/>
      <c r="W176" s="8"/>
      <c r="X176" s="8"/>
      <c r="Y176" s="8"/>
      <c r="Z176" s="8"/>
    </row>
    <row r="177" spans="1:26" ht="13.2">
      <c r="A177" s="13">
        <v>44250.760370370372</v>
      </c>
      <c r="B177" s="6" t="str">
        <f>HYPERLINK("https://twitter.com/MIMChennai","@MIMChennai")</f>
        <v>@MIMChennai</v>
      </c>
      <c r="C177" s="14" t="s">
        <v>898</v>
      </c>
      <c r="D177" s="14" t="s">
        <v>899</v>
      </c>
      <c r="E177" s="6" t="str">
        <f>HYPERLINK("https://twitter.com/MIMChennai/status/1364262477651869697","1364262477651869697")</f>
        <v>1364262477651869697</v>
      </c>
      <c r="F177" s="8"/>
      <c r="G177" s="7" t="s">
        <v>900</v>
      </c>
      <c r="H177" s="8"/>
      <c r="I177" s="14">
        <v>1</v>
      </c>
      <c r="J177" s="14">
        <v>0</v>
      </c>
      <c r="K177" s="6" t="str">
        <f>HYPERLINK("https://mobile.twitter.com","Twitter Web App")</f>
        <v>Twitter Web App</v>
      </c>
      <c r="L177" s="15">
        <v>56</v>
      </c>
      <c r="M177" s="15">
        <v>0</v>
      </c>
      <c r="N177" s="15">
        <v>0</v>
      </c>
      <c r="O177" s="9"/>
      <c r="P177" s="10">
        <v>42585.875405092593</v>
      </c>
      <c r="Q177" s="14" t="s">
        <v>901</v>
      </c>
      <c r="R177" s="14" t="s">
        <v>902</v>
      </c>
      <c r="S177" s="7" t="s">
        <v>903</v>
      </c>
      <c r="T177" s="8"/>
      <c r="U177" s="11" t="str">
        <f>HYPERLINK("https://pbs.twimg.com/profile_images/1262322588300087296/pl4G3aeT.jpg","View")</f>
        <v>View</v>
      </c>
      <c r="V177" s="8"/>
      <c r="W177" s="8"/>
      <c r="X177" s="8"/>
      <c r="Y177" s="8"/>
      <c r="Z177" s="8"/>
    </row>
    <row r="178" spans="1:26" ht="13.2">
      <c r="A178" s="13">
        <v>44250.759976851856</v>
      </c>
      <c r="B178" s="6" t="str">
        <f>HYPERLINK("https://twitter.com/patrickhopper","@patrickhopper")</f>
        <v>@patrickhopper</v>
      </c>
      <c r="C178" s="14" t="s">
        <v>904</v>
      </c>
      <c r="D178" s="14" t="s">
        <v>905</v>
      </c>
      <c r="E178" s="6" t="str">
        <f>HYPERLINK("https://twitter.com/patrickhopper/status/1364262335494246401","1364262335494246401")</f>
        <v>1364262335494246401</v>
      </c>
      <c r="F178" s="14" t="s">
        <v>906</v>
      </c>
      <c r="G178" s="8"/>
      <c r="H178" s="8"/>
      <c r="I178" s="14">
        <v>2</v>
      </c>
      <c r="J178" s="14">
        <v>1</v>
      </c>
      <c r="K178" s="6" t="str">
        <f>HYPERLINK("http://www.linkedin.com/","LinkedIn")</f>
        <v>LinkedIn</v>
      </c>
      <c r="L178" s="15">
        <v>7568</v>
      </c>
      <c r="M178" s="15">
        <v>8158</v>
      </c>
      <c r="N178" s="15">
        <v>243</v>
      </c>
      <c r="O178" s="9"/>
      <c r="P178" s="10">
        <v>39655.835069444445</v>
      </c>
      <c r="Q178" s="14" t="s">
        <v>907</v>
      </c>
      <c r="R178" s="14" t="s">
        <v>908</v>
      </c>
      <c r="S178" s="7" t="s">
        <v>909</v>
      </c>
      <c r="T178" s="8"/>
      <c r="U178" s="11" t="str">
        <f>HYPERLINK("https://pbs.twimg.com/profile_images/905390008202354689/aJOhQi3T.jpg","View")</f>
        <v>View</v>
      </c>
      <c r="V178" s="8"/>
      <c r="W178" s="8"/>
      <c r="X178" s="8"/>
      <c r="Y178" s="8"/>
      <c r="Z178" s="8"/>
    </row>
    <row r="179" spans="1:26" ht="13.2">
      <c r="A179" s="13">
        <v>44250.759456018517</v>
      </c>
      <c r="B179" s="6" t="str">
        <f>HYPERLINK("https://twitter.com/NatureCancer","@NatureCancer")</f>
        <v>@NatureCancer</v>
      </c>
      <c r="C179" s="14" t="s">
        <v>910</v>
      </c>
      <c r="D179" s="14" t="s">
        <v>911</v>
      </c>
      <c r="E179" s="6" t="str">
        <f>HYPERLINK("https://twitter.com/NatureCancer/status/1364262149091188739","1364262149091188739")</f>
        <v>1364262149091188739</v>
      </c>
      <c r="F179" s="7" t="s">
        <v>912</v>
      </c>
      <c r="G179" s="7" t="s">
        <v>913</v>
      </c>
      <c r="H179" s="8"/>
      <c r="I179" s="14">
        <v>10</v>
      </c>
      <c r="J179" s="14">
        <v>17</v>
      </c>
      <c r="K179" s="6" t="str">
        <f t="shared" ref="K179:K180" si="18">HYPERLINK("https://mobile.twitter.com","Twitter Web App")</f>
        <v>Twitter Web App</v>
      </c>
      <c r="L179" s="15">
        <v>12009</v>
      </c>
      <c r="M179" s="15">
        <v>288</v>
      </c>
      <c r="N179" s="15">
        <v>149</v>
      </c>
      <c r="O179" s="9"/>
      <c r="P179" s="10">
        <v>43479.986747685187</v>
      </c>
      <c r="Q179" s="14" t="s">
        <v>914</v>
      </c>
      <c r="R179" s="14" t="s">
        <v>915</v>
      </c>
      <c r="S179" s="7" t="s">
        <v>916</v>
      </c>
      <c r="T179" s="8"/>
      <c r="U179" s="11" t="str">
        <f>HYPERLINK("https://pbs.twimg.com/profile_images/1187114001622274050/u0KY0AW8.jpg","View")</f>
        <v>View</v>
      </c>
      <c r="V179" s="8"/>
      <c r="W179" s="8"/>
      <c r="X179" s="8"/>
      <c r="Y179" s="8"/>
      <c r="Z179" s="8"/>
    </row>
    <row r="180" spans="1:26" ht="13.2">
      <c r="A180" s="13">
        <v>44250.759004629625</v>
      </c>
      <c r="B180" s="6" t="str">
        <f>HYPERLINK("https://twitter.com/npxinnovation","@npxinnovation")</f>
        <v>@npxinnovation</v>
      </c>
      <c r="C180" s="14" t="s">
        <v>917</v>
      </c>
      <c r="D180" s="14" t="s">
        <v>918</v>
      </c>
      <c r="E180" s="6" t="str">
        <f>HYPERLINK("https://twitter.com/npxinnovation/status/1364261984754089987","1364261984754089987")</f>
        <v>1364261984754089987</v>
      </c>
      <c r="F180" s="7" t="s">
        <v>919</v>
      </c>
      <c r="G180" s="7" t="s">
        <v>920</v>
      </c>
      <c r="H180" s="8"/>
      <c r="I180" s="14">
        <v>2</v>
      </c>
      <c r="J180" s="14">
        <v>3</v>
      </c>
      <c r="K180" s="6" t="str">
        <f t="shared" si="18"/>
        <v>Twitter Web App</v>
      </c>
      <c r="L180" s="15">
        <v>199</v>
      </c>
      <c r="M180" s="15">
        <v>187</v>
      </c>
      <c r="N180" s="15">
        <v>0</v>
      </c>
      <c r="O180" s="9"/>
      <c r="P180" s="10">
        <v>43212.746215277773</v>
      </c>
      <c r="Q180" s="14" t="s">
        <v>696</v>
      </c>
      <c r="R180" s="14" t="s">
        <v>921</v>
      </c>
      <c r="S180" s="7" t="s">
        <v>922</v>
      </c>
      <c r="T180" s="8"/>
      <c r="U180" s="11" t="str">
        <f>HYPERLINK("https://pbs.twimg.com/profile_images/1314593432271192071/pfla0ziA.jpg","View")</f>
        <v>View</v>
      </c>
      <c r="V180" s="8"/>
      <c r="W180" s="8"/>
      <c r="X180" s="8"/>
      <c r="Y180" s="8"/>
      <c r="Z180" s="8"/>
    </row>
    <row r="181" spans="1:26" ht="13.2">
      <c r="A181" s="13">
        <v>44250.759004629625</v>
      </c>
      <c r="B181" s="6" t="str">
        <f>HYPERLINK("https://twitter.com/tianhuil","@tianhuil")</f>
        <v>@tianhuil</v>
      </c>
      <c r="C181" s="14" t="s">
        <v>923</v>
      </c>
      <c r="D181" s="14" t="s">
        <v>924</v>
      </c>
      <c r="E181" s="6" t="str">
        <f>HYPERLINK("https://twitter.com/tianhuil/status/1364261982820589568","1364261982820589568")</f>
        <v>1364261982820589568</v>
      </c>
      <c r="F181" s="7" t="s">
        <v>925</v>
      </c>
      <c r="G181" s="8"/>
      <c r="H181" s="8"/>
      <c r="I181" s="14">
        <v>1</v>
      </c>
      <c r="J181" s="14">
        <v>1</v>
      </c>
      <c r="K181" s="6" t="str">
        <f>HYPERLINK("https://socialpull.globalunderdog.com/","Social-Pull-Staging")</f>
        <v>Social-Pull-Staging</v>
      </c>
      <c r="L181" s="15">
        <v>4962</v>
      </c>
      <c r="M181" s="15">
        <v>4657</v>
      </c>
      <c r="N181" s="15">
        <v>1354</v>
      </c>
      <c r="O181" s="9"/>
      <c r="P181" s="10">
        <v>41075.722881944443</v>
      </c>
      <c r="Q181" s="14" t="s">
        <v>926</v>
      </c>
      <c r="R181" s="14" t="s">
        <v>927</v>
      </c>
      <c r="S181" s="7" t="s">
        <v>928</v>
      </c>
      <c r="T181" s="8"/>
      <c r="U181" s="11" t="str">
        <f>HYPERLINK("https://pbs.twimg.com/profile_images/618184546538749952/5nL3gc4f.jpg","View")</f>
        <v>View</v>
      </c>
      <c r="V181" s="8"/>
      <c r="W181" s="8"/>
      <c r="X181" s="8"/>
      <c r="Y181" s="8"/>
      <c r="Z181" s="8"/>
    </row>
    <row r="182" spans="1:26" ht="13.2">
      <c r="A182" s="13">
        <v>44250.75886574074</v>
      </c>
      <c r="B182" s="6" t="str">
        <f>HYPERLINK("https://twitter.com/Richardnotabot","@Richardnotabot")</f>
        <v>@Richardnotabot</v>
      </c>
      <c r="C182" s="14" t="s">
        <v>929</v>
      </c>
      <c r="D182" s="14" t="s">
        <v>930</v>
      </c>
      <c r="E182" s="6" t="str">
        <f>HYPERLINK("https://twitter.com/Richardnotabot/status/1364261933000572934","1364261933000572934")</f>
        <v>1364261933000572934</v>
      </c>
      <c r="F182" s="7" t="s">
        <v>931</v>
      </c>
      <c r="G182" s="7" t="s">
        <v>932</v>
      </c>
      <c r="H182" s="8"/>
      <c r="I182" s="14">
        <v>1</v>
      </c>
      <c r="J182" s="14">
        <v>0</v>
      </c>
      <c r="K182" s="6" t="str">
        <f>HYPERLINK("http://www.everyonesocial.com","EveryoneSocial")</f>
        <v>EveryoneSocial</v>
      </c>
      <c r="L182" s="15">
        <v>34</v>
      </c>
      <c r="M182" s="15">
        <v>65</v>
      </c>
      <c r="N182" s="15">
        <v>0</v>
      </c>
      <c r="O182" s="9"/>
      <c r="P182" s="10">
        <v>43572.924942129626</v>
      </c>
      <c r="Q182" s="8"/>
      <c r="R182" s="14" t="s">
        <v>933</v>
      </c>
      <c r="S182" s="8"/>
      <c r="T182" s="8"/>
      <c r="U182" s="11" t="str">
        <f>HYPERLINK("https://pbs.twimg.com/profile_images/1252651066610630657/jTwBWSUR.jpg","View")</f>
        <v>View</v>
      </c>
      <c r="V182" s="8"/>
      <c r="W182" s="8"/>
      <c r="X182" s="8"/>
      <c r="Y182" s="8"/>
      <c r="Z182" s="8"/>
    </row>
    <row r="183" spans="1:26" ht="13.2">
      <c r="A183" s="13">
        <v>44250.758333333331</v>
      </c>
      <c r="B183" s="6" t="str">
        <f>HYPERLINK("https://twitter.com/hearingnihr","@hearingnihr")</f>
        <v>@hearingnihr</v>
      </c>
      <c r="C183" s="14" t="s">
        <v>934</v>
      </c>
      <c r="D183" s="14" t="s">
        <v>935</v>
      </c>
      <c r="E183" s="6" t="str">
        <f>HYPERLINK("https://twitter.com/hearingnihr/status/1364261740049965056","1364261740049965056")</f>
        <v>1364261740049965056</v>
      </c>
      <c r="F183" s="7" t="s">
        <v>936</v>
      </c>
      <c r="G183" s="7" t="s">
        <v>937</v>
      </c>
      <c r="H183" s="8"/>
      <c r="I183" s="14">
        <v>2</v>
      </c>
      <c r="J183" s="14">
        <v>1</v>
      </c>
      <c r="K183" s="6" t="str">
        <f>HYPERLINK("https://about.twitter.com/products/tweetdeck","TweetDeck")</f>
        <v>TweetDeck</v>
      </c>
      <c r="L183" s="15">
        <v>1761</v>
      </c>
      <c r="M183" s="15">
        <v>344</v>
      </c>
      <c r="N183" s="15">
        <v>32</v>
      </c>
      <c r="O183" s="9"/>
      <c r="P183" s="10">
        <v>41236.473229166666</v>
      </c>
      <c r="Q183" s="14" t="s">
        <v>938</v>
      </c>
      <c r="R183" s="14" t="s">
        <v>939</v>
      </c>
      <c r="S183" s="7" t="s">
        <v>940</v>
      </c>
      <c r="T183" s="8"/>
      <c r="U183" s="11" t="str">
        <f>HYPERLINK("https://pbs.twimg.com/profile_images/1260564208455835648/zhniLBnJ.png","View")</f>
        <v>View</v>
      </c>
      <c r="V183" s="8"/>
      <c r="W183" s="8"/>
      <c r="X183" s="8"/>
      <c r="Y183" s="8"/>
      <c r="Z183" s="8"/>
    </row>
    <row r="184" spans="1:26" ht="13.2">
      <c r="A184" s="13">
        <v>44250.7581712963</v>
      </c>
      <c r="B184" s="6" t="str">
        <f>HYPERLINK("https://twitter.com/CambridgeGloba1","@CambridgeGloba1")</f>
        <v>@CambridgeGloba1</v>
      </c>
      <c r="C184" s="14" t="s">
        <v>941</v>
      </c>
      <c r="D184" s="14" t="s">
        <v>942</v>
      </c>
      <c r="E184" s="6" t="str">
        <f>HYPERLINK("https://twitter.com/CambridgeGloba1/status/1364261681753444353","1364261681753444353")</f>
        <v>1364261681753444353</v>
      </c>
      <c r="F184" s="7" t="s">
        <v>943</v>
      </c>
      <c r="G184" s="7" t="s">
        <v>944</v>
      </c>
      <c r="H184" s="8"/>
      <c r="I184" s="14">
        <v>1</v>
      </c>
      <c r="J184" s="14">
        <v>1</v>
      </c>
      <c r="K184" s="6" t="str">
        <f t="shared" ref="K184:K185" si="19">HYPERLINK("https://mobile.twitter.com","Twitter Web App")</f>
        <v>Twitter Web App</v>
      </c>
      <c r="L184" s="15">
        <v>733</v>
      </c>
      <c r="M184" s="15">
        <v>545</v>
      </c>
      <c r="N184" s="15">
        <v>14</v>
      </c>
      <c r="O184" s="9"/>
      <c r="P184" s="10">
        <v>43605.011284722219</v>
      </c>
      <c r="Q184" s="14" t="s">
        <v>350</v>
      </c>
      <c r="R184" s="14" t="s">
        <v>945</v>
      </c>
      <c r="S184" s="7" t="s">
        <v>946</v>
      </c>
      <c r="T184" s="8"/>
      <c r="U184" s="11" t="str">
        <f>HYPERLINK("https://pbs.twimg.com/profile_images/1130236075883073537/0leusNsu.jpg","View")</f>
        <v>View</v>
      </c>
      <c r="V184" s="8"/>
      <c r="W184" s="8"/>
      <c r="X184" s="8"/>
      <c r="Y184" s="8"/>
      <c r="Z184" s="8"/>
    </row>
    <row r="185" spans="1:26" ht="13.2">
      <c r="A185" s="13">
        <v>44250.757974537039</v>
      </c>
      <c r="B185" s="6" t="str">
        <f>HYPERLINK("https://twitter.com/Eli_Krumova","@Eli_Krumova")</f>
        <v>@Eli_Krumova</v>
      </c>
      <c r="C185" s="14" t="s">
        <v>947</v>
      </c>
      <c r="D185" s="14" t="s">
        <v>948</v>
      </c>
      <c r="E185" s="6" t="str">
        <f>HYPERLINK("https://twitter.com/Eli_Krumova/status/1364261612274745353","1364261612274745353")</f>
        <v>1364261612274745353</v>
      </c>
      <c r="F185" s="7" t="s">
        <v>949</v>
      </c>
      <c r="G185" s="14" t="s">
        <v>950</v>
      </c>
      <c r="H185" s="8"/>
      <c r="I185" s="14">
        <v>8</v>
      </c>
      <c r="J185" s="14">
        <v>4</v>
      </c>
      <c r="K185" s="6" t="str">
        <f t="shared" si="19"/>
        <v>Twitter Web App</v>
      </c>
      <c r="L185" s="15">
        <v>4471</v>
      </c>
      <c r="M185" s="15">
        <v>5001</v>
      </c>
      <c r="N185" s="15">
        <v>79</v>
      </c>
      <c r="O185" s="9"/>
      <c r="P185" s="10">
        <v>41346.597002314811</v>
      </c>
      <c r="Q185" s="14" t="s">
        <v>951</v>
      </c>
      <c r="R185" s="14" t="s">
        <v>952</v>
      </c>
      <c r="S185" s="8"/>
      <c r="T185" s="8"/>
      <c r="U185" s="11" t="str">
        <f>HYPERLINK("https://pbs.twimg.com/profile_images/1361638888427683840/HqNlplM_.jpg","View")</f>
        <v>View</v>
      </c>
      <c r="V185" s="8"/>
      <c r="W185" s="8"/>
      <c r="X185" s="8"/>
      <c r="Y185" s="8"/>
      <c r="Z185" s="8"/>
    </row>
    <row r="186" spans="1:26" ht="13.2">
      <c r="A186" s="13">
        <v>44250.757754629631</v>
      </c>
      <c r="B186" s="6" t="str">
        <f>HYPERLINK("https://twitter.com/enREDo","@enREDo")</f>
        <v>@enREDo</v>
      </c>
      <c r="C186" s="14" t="s">
        <v>953</v>
      </c>
      <c r="D186" s="14" t="s">
        <v>954</v>
      </c>
      <c r="E186" s="6" t="str">
        <f>HYPERLINK("https://twitter.com/enREDo/status/1364261529923780609","1364261529923780609")</f>
        <v>1364261529923780609</v>
      </c>
      <c r="F186" s="7" t="s">
        <v>955</v>
      </c>
      <c r="G186" s="8"/>
      <c r="H186" s="8"/>
      <c r="I186" s="14">
        <v>0</v>
      </c>
      <c r="J186" s="14">
        <v>1</v>
      </c>
      <c r="K186" s="6" t="str">
        <f>HYPERLINK("https://paper.li","Paper.li")</f>
        <v>Paper.li</v>
      </c>
      <c r="L186" s="15">
        <v>11915</v>
      </c>
      <c r="M186" s="15">
        <v>3601</v>
      </c>
      <c r="N186" s="15">
        <v>211</v>
      </c>
      <c r="O186" s="9"/>
      <c r="P186" s="10">
        <v>39641.999178240745</v>
      </c>
      <c r="Q186" s="14" t="s">
        <v>956</v>
      </c>
      <c r="R186" s="14" t="s">
        <v>957</v>
      </c>
      <c r="S186" s="7" t="s">
        <v>958</v>
      </c>
      <c r="T186" s="8"/>
      <c r="U186" s="11" t="str">
        <f>HYPERLINK("https://pbs.twimg.com/profile_images/775901571452375040/Ut5jj5OO.jpg","View")</f>
        <v>View</v>
      </c>
      <c r="V186" s="8"/>
      <c r="W186" s="8"/>
      <c r="X186" s="8"/>
      <c r="Y186" s="8"/>
      <c r="Z186" s="8"/>
    </row>
    <row r="187" spans="1:26" ht="13.2">
      <c r="A187" s="13">
        <v>44250.757731481484</v>
      </c>
      <c r="B187" s="6" t="str">
        <f>HYPERLINK("https://twitter.com/HerveMicollet","@HerveMicollet")</f>
        <v>@HerveMicollet</v>
      </c>
      <c r="C187" s="14" t="s">
        <v>959</v>
      </c>
      <c r="D187" s="14" t="s">
        <v>960</v>
      </c>
      <c r="E187" s="6" t="str">
        <f>HYPERLINK("https://twitter.com/HerveMicollet/status/1364261524169125890","1364261524169125890")</f>
        <v>1364261524169125890</v>
      </c>
      <c r="F187" s="7" t="s">
        <v>961</v>
      </c>
      <c r="G187" s="8"/>
      <c r="H187" s="8"/>
      <c r="I187" s="14">
        <v>9</v>
      </c>
      <c r="J187" s="14">
        <v>2</v>
      </c>
      <c r="K187" s="6" t="str">
        <f>HYPERLINK("http://www.linkedin.com/","LinkedIn")</f>
        <v>LinkedIn</v>
      </c>
      <c r="L187" s="15">
        <v>349</v>
      </c>
      <c r="M187" s="15">
        <v>298</v>
      </c>
      <c r="N187" s="15">
        <v>77</v>
      </c>
      <c r="O187" s="9"/>
      <c r="P187" s="10">
        <v>41538.342314814814</v>
      </c>
      <c r="Q187" s="14" t="s">
        <v>962</v>
      </c>
      <c r="R187" s="14" t="s">
        <v>963</v>
      </c>
      <c r="S187" s="7" t="s">
        <v>964</v>
      </c>
      <c r="T187" s="8"/>
      <c r="U187" s="11" t="str">
        <f>HYPERLINK("https://pbs.twimg.com/profile_images/641518931514159104/_7Ti_yUJ.jpg","View")</f>
        <v>View</v>
      </c>
      <c r="V187" s="8"/>
      <c r="W187" s="8"/>
      <c r="X187" s="8"/>
      <c r="Y187" s="8"/>
      <c r="Z187" s="8"/>
    </row>
    <row r="188" spans="1:26" ht="13.2">
      <c r="A188" s="13">
        <v>44250.75717592593</v>
      </c>
      <c r="B188" s="6" t="str">
        <f>HYPERLINK("https://twitter.com/saqibali_ca","@saqibali_ca")</f>
        <v>@saqibali_ca</v>
      </c>
      <c r="C188" s="14" t="s">
        <v>965</v>
      </c>
      <c r="D188" s="14" t="s">
        <v>966</v>
      </c>
      <c r="E188" s="6" t="str">
        <f>HYPERLINK("https://twitter.com/saqibali_ca/status/1364261320623673345","1364261320623673345")</f>
        <v>1364261320623673345</v>
      </c>
      <c r="F188" s="7" t="s">
        <v>967</v>
      </c>
      <c r="G188" s="8"/>
      <c r="H188" s="8"/>
      <c r="I188" s="14">
        <v>1</v>
      </c>
      <c r="J188" s="14">
        <v>0</v>
      </c>
      <c r="K188" s="8"/>
      <c r="L188" s="15">
        <v>270</v>
      </c>
      <c r="M188" s="15">
        <v>0</v>
      </c>
      <c r="N188" s="15">
        <v>3</v>
      </c>
      <c r="O188" s="9"/>
      <c r="P188" s="10">
        <v>43119.848680555559</v>
      </c>
      <c r="Q188" s="14" t="s">
        <v>968</v>
      </c>
      <c r="R188" s="14" t="s">
        <v>969</v>
      </c>
      <c r="S188" s="7" t="s">
        <v>970</v>
      </c>
      <c r="T188" s="8"/>
      <c r="U188" s="11" t="str">
        <f>HYPERLINK("https://pbs.twimg.com/profile_images/1142963749285855233/c6NRGCvi.jpg","View")</f>
        <v>View</v>
      </c>
      <c r="V188" s="8"/>
      <c r="W188" s="8"/>
      <c r="X188" s="8"/>
      <c r="Y188" s="8"/>
      <c r="Z188" s="8"/>
    </row>
    <row r="189" spans="1:26" ht="13.2">
      <c r="A189" s="13">
        <v>44250.756967592592</v>
      </c>
      <c r="B189" s="6" t="str">
        <f>HYPERLINK("https://twitter.com/nigewillson","@nigewillson")</f>
        <v>@nigewillson</v>
      </c>
      <c r="C189" s="14" t="s">
        <v>95</v>
      </c>
      <c r="D189" s="14" t="s">
        <v>971</v>
      </c>
      <c r="E189" s="6" t="str">
        <f>HYPERLINK("https://twitter.com/nigewillson/status/1364261244685996035","1364261244685996035")</f>
        <v>1364261244685996035</v>
      </c>
      <c r="F189" s="7" t="s">
        <v>972</v>
      </c>
      <c r="G189" s="7" t="s">
        <v>973</v>
      </c>
      <c r="H189" s="8"/>
      <c r="I189" s="14">
        <v>4</v>
      </c>
      <c r="J189" s="14">
        <v>7</v>
      </c>
      <c r="K189" s="6" t="str">
        <f>HYPERLINK("https://buffer.com","Buffer")</f>
        <v>Buffer</v>
      </c>
      <c r="L189" s="15">
        <v>57515</v>
      </c>
      <c r="M189" s="15">
        <v>49523</v>
      </c>
      <c r="N189" s="15">
        <v>1688</v>
      </c>
      <c r="O189" s="9"/>
      <c r="P189" s="10">
        <v>40530.666805555556</v>
      </c>
      <c r="Q189" s="14" t="s">
        <v>99</v>
      </c>
      <c r="R189" s="14" t="s">
        <v>100</v>
      </c>
      <c r="S189" s="7" t="s">
        <v>101</v>
      </c>
      <c r="T189" s="8"/>
      <c r="U189" s="11" t="str">
        <f>HYPERLINK("https://pbs.twimg.com/profile_images/1085251590997622784/x9mWVQ1d.jpg","View")</f>
        <v>View</v>
      </c>
      <c r="V189" s="8"/>
      <c r="W189" s="8"/>
      <c r="X189" s="8"/>
      <c r="Y189" s="8"/>
      <c r="Z189" s="8"/>
    </row>
    <row r="190" spans="1:26" ht="13.2">
      <c r="A190" s="13">
        <v>44250.75680555556</v>
      </c>
      <c r="B190" s="6" t="str">
        <f>HYPERLINK("https://twitter.com/Richardnotabot","@Richardnotabot")</f>
        <v>@Richardnotabot</v>
      </c>
      <c r="C190" s="14" t="s">
        <v>929</v>
      </c>
      <c r="D190" s="14" t="s">
        <v>930</v>
      </c>
      <c r="E190" s="6" t="str">
        <f>HYPERLINK("https://twitter.com/Richardnotabot/status/1364261187022712837","1364261187022712837")</f>
        <v>1364261187022712837</v>
      </c>
      <c r="F190" s="7" t="s">
        <v>974</v>
      </c>
      <c r="G190" s="7" t="s">
        <v>975</v>
      </c>
      <c r="H190" s="8"/>
      <c r="I190" s="14">
        <v>1</v>
      </c>
      <c r="J190" s="14">
        <v>0</v>
      </c>
      <c r="K190" s="6" t="str">
        <f>HYPERLINK("http://www.everyonesocial.com","EveryoneSocial")</f>
        <v>EveryoneSocial</v>
      </c>
      <c r="L190" s="15">
        <v>34</v>
      </c>
      <c r="M190" s="15">
        <v>65</v>
      </c>
      <c r="N190" s="15">
        <v>0</v>
      </c>
      <c r="O190" s="9"/>
      <c r="P190" s="10">
        <v>43572.924942129626</v>
      </c>
      <c r="Q190" s="8"/>
      <c r="R190" s="14" t="s">
        <v>933</v>
      </c>
      <c r="S190" s="8"/>
      <c r="T190" s="8"/>
      <c r="U190" s="11" t="str">
        <f>HYPERLINK("https://pbs.twimg.com/profile_images/1252651066610630657/jTwBWSUR.jpg","View")</f>
        <v>View</v>
      </c>
      <c r="V190" s="8"/>
      <c r="W190" s="8"/>
      <c r="X190" s="8"/>
      <c r="Y190" s="8"/>
      <c r="Z190" s="8"/>
    </row>
    <row r="191" spans="1:26" ht="13.2">
      <c r="A191" s="13">
        <v>44250.756562499999</v>
      </c>
      <c r="B191" s="6" t="str">
        <f>HYPERLINK("https://twitter.com/ML4U_org","@ML4U_org")</f>
        <v>@ML4U_org</v>
      </c>
      <c r="C191" s="14" t="s">
        <v>976</v>
      </c>
      <c r="D191" s="14" t="s">
        <v>977</v>
      </c>
      <c r="E191" s="6" t="str">
        <f>HYPERLINK("https://twitter.com/ML4U_org/status/1364261100913528834","1364261100913528834")</f>
        <v>1364261100913528834</v>
      </c>
      <c r="F191" s="8"/>
      <c r="G191" s="7" t="s">
        <v>978</v>
      </c>
      <c r="H191" s="8"/>
      <c r="I191" s="14">
        <v>1</v>
      </c>
      <c r="J191" s="14">
        <v>1</v>
      </c>
      <c r="K191" s="6" t="str">
        <f>HYPERLINK("http://twitter.com/download/iphone","Twitter for iPhone")</f>
        <v>Twitter for iPhone</v>
      </c>
      <c r="L191" s="15">
        <v>2</v>
      </c>
      <c r="M191" s="15">
        <v>38</v>
      </c>
      <c r="N191" s="15">
        <v>0</v>
      </c>
      <c r="O191" s="9"/>
      <c r="P191" s="10">
        <v>44194.089641203704</v>
      </c>
      <c r="Q191" s="8"/>
      <c r="R191" s="14" t="s">
        <v>979</v>
      </c>
      <c r="S191" s="8"/>
      <c r="T191" s="8"/>
      <c r="U191" s="11" t="str">
        <f>HYPERLINK("https://pbs.twimg.com/profile_images/1343725792086220801/qBiF7wiE.jpg","View")</f>
        <v>View</v>
      </c>
      <c r="V191" s="8"/>
      <c r="W191" s="8"/>
      <c r="X191" s="8"/>
      <c r="Y191" s="8"/>
      <c r="Z191" s="8"/>
    </row>
    <row r="192" spans="1:26" ht="13.2">
      <c r="A192" s="13">
        <v>44250.756435185191</v>
      </c>
      <c r="B192" s="6" t="str">
        <f>HYPERLINK("https://twitter.com/BVCPAs_Tax","@BVCPAs_Tax")</f>
        <v>@BVCPAs_Tax</v>
      </c>
      <c r="C192" s="14" t="s">
        <v>980</v>
      </c>
      <c r="D192" s="14" t="s">
        <v>981</v>
      </c>
      <c r="E192" s="6" t="str">
        <f>HYPERLINK("https://twitter.com/BVCPAs_Tax/status/1364261051890499584","1364261051890499584")</f>
        <v>1364261051890499584</v>
      </c>
      <c r="F192" s="8"/>
      <c r="G192" s="7" t="s">
        <v>982</v>
      </c>
      <c r="H192" s="8"/>
      <c r="I192" s="14">
        <v>1</v>
      </c>
      <c r="J192" s="14">
        <v>3</v>
      </c>
      <c r="K192" s="6" t="str">
        <f>HYPERLINK("https://mobile.twitter.com","Twitter Web App")</f>
        <v>Twitter Web App</v>
      </c>
      <c r="L192" s="15">
        <v>7</v>
      </c>
      <c r="M192" s="15">
        <v>84</v>
      </c>
      <c r="N192" s="15">
        <v>0</v>
      </c>
      <c r="O192" s="9"/>
      <c r="P192" s="10">
        <v>44219.018773148149</v>
      </c>
      <c r="Q192" s="14" t="s">
        <v>983</v>
      </c>
      <c r="R192" s="14" t="s">
        <v>984</v>
      </c>
      <c r="S192" s="7" t="s">
        <v>985</v>
      </c>
      <c r="T192" s="8"/>
      <c r="U192" s="11" t="str">
        <f>HYPERLINK("https://pbs.twimg.com/profile_images/1352761831039913984/bjTRdTuQ.jpg","View")</f>
        <v>View</v>
      </c>
      <c r="V192" s="8"/>
      <c r="W192" s="8"/>
      <c r="X192" s="8"/>
      <c r="Y192" s="8"/>
      <c r="Z192" s="8"/>
    </row>
    <row r="193" spans="1:26" ht="13.2">
      <c r="A193" s="13">
        <v>44250.755937499998</v>
      </c>
      <c r="B193" s="6" t="str">
        <f>HYPERLINK("https://twitter.com/NTrayanova","@NTrayanova")</f>
        <v>@NTrayanova</v>
      </c>
      <c r="C193" s="14" t="s">
        <v>986</v>
      </c>
      <c r="D193" s="14" t="s">
        <v>987</v>
      </c>
      <c r="E193" s="6" t="str">
        <f>HYPERLINK("https://twitter.com/NTrayanova/status/1364260873636892673","1364260873636892673")</f>
        <v>1364260873636892673</v>
      </c>
      <c r="F193" s="14" t="s">
        <v>988</v>
      </c>
      <c r="G193" s="7" t="s">
        <v>989</v>
      </c>
      <c r="H193" s="8"/>
      <c r="I193" s="14">
        <v>6</v>
      </c>
      <c r="J193" s="14">
        <v>6</v>
      </c>
      <c r="K193" s="6" t="str">
        <f>HYPERLINK("http://twitter.com/download/iphone","Twitter for iPhone")</f>
        <v>Twitter for iPhone</v>
      </c>
      <c r="L193" s="15">
        <v>1199</v>
      </c>
      <c r="M193" s="15">
        <v>452</v>
      </c>
      <c r="N193" s="15">
        <v>9</v>
      </c>
      <c r="O193" s="9"/>
      <c r="P193" s="10">
        <v>41783.302905092591</v>
      </c>
      <c r="Q193" s="14" t="s">
        <v>990</v>
      </c>
      <c r="R193" s="14" t="s">
        <v>991</v>
      </c>
      <c r="S193" s="7" t="s">
        <v>992</v>
      </c>
      <c r="T193" s="8"/>
      <c r="U193" s="11" t="str">
        <f>HYPERLINK("https://pbs.twimg.com/profile_images/731213028834713601/Tx45FRw7.jpg","View")</f>
        <v>View</v>
      </c>
      <c r="V193" s="8"/>
      <c r="W193" s="8"/>
      <c r="X193" s="8"/>
      <c r="Y193" s="8"/>
      <c r="Z193" s="8"/>
    </row>
    <row r="194" spans="1:26" ht="13.2">
      <c r="A194" s="13">
        <v>44250.755775462967</v>
      </c>
      <c r="B194" s="6" t="str">
        <f>HYPERLINK("https://twitter.com/towards_AI","@towards_AI")</f>
        <v>@towards_AI</v>
      </c>
      <c r="C194" s="14" t="s">
        <v>993</v>
      </c>
      <c r="D194" s="14" t="s">
        <v>476</v>
      </c>
      <c r="E194" s="6" t="str">
        <f>HYPERLINK("https://twitter.com/towards_AI/status/1364260815977779203","1364260815977779203")</f>
        <v>1364260815977779203</v>
      </c>
      <c r="F194" s="7" t="s">
        <v>477</v>
      </c>
      <c r="G194" s="8"/>
      <c r="H194" s="8"/>
      <c r="I194" s="14">
        <v>1</v>
      </c>
      <c r="J194" s="14">
        <v>2</v>
      </c>
      <c r="K194" s="6" t="str">
        <f>HYPERLINK("https://ifttt.com","IFTTT")</f>
        <v>IFTTT</v>
      </c>
      <c r="L194" s="15">
        <v>4357</v>
      </c>
      <c r="M194" s="15">
        <v>17</v>
      </c>
      <c r="N194" s="15">
        <v>66</v>
      </c>
      <c r="O194" s="9"/>
      <c r="P194" s="10">
        <v>43565.689467592594</v>
      </c>
      <c r="Q194" s="14" t="s">
        <v>322</v>
      </c>
      <c r="R194" s="14" t="s">
        <v>994</v>
      </c>
      <c r="S194" s="7" t="s">
        <v>995</v>
      </c>
      <c r="T194" s="8"/>
      <c r="U194" s="11" t="str">
        <f>HYPERLINK("https://pbs.twimg.com/profile_images/1289733180468203520/z8oEBpFo.png","View")</f>
        <v>View</v>
      </c>
      <c r="V194" s="8"/>
      <c r="W194" s="8"/>
      <c r="X194" s="8"/>
      <c r="Y194" s="8"/>
      <c r="Z194" s="8"/>
    </row>
    <row r="195" spans="1:26" ht="13.2">
      <c r="A195" s="13">
        <v>44250.755706018521</v>
      </c>
      <c r="B195" s="6" t="str">
        <f>HYPERLINK("https://twitter.com/compunetics","@compunetics")</f>
        <v>@compunetics</v>
      </c>
      <c r="C195" s="14" t="s">
        <v>996</v>
      </c>
      <c r="D195" s="14" t="s">
        <v>997</v>
      </c>
      <c r="E195" s="6" t="str">
        <f>HYPERLINK("https://twitter.com/compunetics/status/1364260790040158217","1364260790040158217")</f>
        <v>1364260790040158217</v>
      </c>
      <c r="F195" s="7" t="s">
        <v>998</v>
      </c>
      <c r="G195" s="8"/>
      <c r="H195" s="8"/>
      <c r="I195" s="14">
        <v>1</v>
      </c>
      <c r="J195" s="14">
        <v>0</v>
      </c>
      <c r="K195" s="6" t="str">
        <f>HYPERLINK("https://mobile.twitter.com","Twitter Web App")</f>
        <v>Twitter Web App</v>
      </c>
      <c r="L195" s="15">
        <v>201</v>
      </c>
      <c r="M195" s="15">
        <v>651</v>
      </c>
      <c r="N195" s="15">
        <v>0</v>
      </c>
      <c r="O195" s="9"/>
      <c r="P195" s="10">
        <v>43930.573333333334</v>
      </c>
      <c r="Q195" s="8"/>
      <c r="R195" s="14" t="s">
        <v>999</v>
      </c>
      <c r="S195" s="7" t="s">
        <v>1000</v>
      </c>
      <c r="T195" s="8"/>
      <c r="U195" s="11" t="str">
        <f>HYPERLINK("https://pbs.twimg.com/profile_images/1248248769935634432/aLN96fe_.jpg","View")</f>
        <v>View</v>
      </c>
      <c r="V195" s="8"/>
      <c r="W195" s="8"/>
      <c r="X195" s="8"/>
      <c r="Y195" s="8"/>
      <c r="Z195" s="8"/>
    </row>
    <row r="196" spans="1:26" ht="13.2">
      <c r="A196" s="13">
        <v>44250.755578703705</v>
      </c>
      <c r="B196" s="6" t="str">
        <f>HYPERLINK("https://twitter.com/Calsoft_Data","@Calsoft_Data")</f>
        <v>@Calsoft_Data</v>
      </c>
      <c r="C196" s="14" t="s">
        <v>1001</v>
      </c>
      <c r="D196" s="14" t="s">
        <v>1002</v>
      </c>
      <c r="E196" s="6" t="str">
        <f>HYPERLINK("https://twitter.com/Calsoft_Data/status/1364260743198236675","1364260743198236675")</f>
        <v>1364260743198236675</v>
      </c>
      <c r="F196" s="7" t="s">
        <v>1003</v>
      </c>
      <c r="G196" s="7" t="s">
        <v>1004</v>
      </c>
      <c r="H196" s="8"/>
      <c r="I196" s="14">
        <v>2</v>
      </c>
      <c r="J196" s="14">
        <v>5</v>
      </c>
      <c r="K196" s="6" t="str">
        <f>HYPERLINK("https://buffer.com","Buffer")</f>
        <v>Buffer</v>
      </c>
      <c r="L196" s="15">
        <v>2700</v>
      </c>
      <c r="M196" s="15">
        <v>960</v>
      </c>
      <c r="N196" s="15">
        <v>20</v>
      </c>
      <c r="O196" s="9"/>
      <c r="P196" s="10">
        <v>43510.451793981483</v>
      </c>
      <c r="Q196" s="8"/>
      <c r="R196" s="14" t="s">
        <v>1005</v>
      </c>
      <c r="S196" s="8"/>
      <c r="T196" s="8"/>
      <c r="U196" s="11" t="str">
        <f>HYPERLINK("https://pbs.twimg.com/profile_images/1095985545094651904/dL1oPs8X.png","View")</f>
        <v>View</v>
      </c>
      <c r="V196" s="8"/>
      <c r="W196" s="8"/>
      <c r="X196" s="8"/>
      <c r="Y196" s="8"/>
      <c r="Z196" s="8"/>
    </row>
    <row r="197" spans="1:26" ht="13.2">
      <c r="A197" s="13">
        <v>44250.75545138889</v>
      </c>
      <c r="B197" s="6" t="str">
        <f>HYPERLINK("https://twitter.com/alexia_zz","@alexia_zz")</f>
        <v>@alexia_zz</v>
      </c>
      <c r="C197" s="14" t="s">
        <v>1006</v>
      </c>
      <c r="D197" s="14" t="s">
        <v>1007</v>
      </c>
      <c r="E197" s="6" t="str">
        <f>HYPERLINK("https://twitter.com/alexia_zz/status/1364260697958469633","1364260697958469633")</f>
        <v>1364260697958469633</v>
      </c>
      <c r="F197" s="7" t="s">
        <v>1008</v>
      </c>
      <c r="G197" s="7" t="s">
        <v>1009</v>
      </c>
      <c r="H197" s="8"/>
      <c r="I197" s="14">
        <v>4</v>
      </c>
      <c r="J197" s="14">
        <v>18</v>
      </c>
      <c r="K197" s="6" t="str">
        <f>HYPERLINK("https://mobile.twitter.com","Twitter Web App")</f>
        <v>Twitter Web App</v>
      </c>
      <c r="L197" s="15">
        <v>4139</v>
      </c>
      <c r="M197" s="15">
        <v>1042</v>
      </c>
      <c r="N197" s="15">
        <v>22</v>
      </c>
      <c r="O197" s="9"/>
      <c r="P197" s="10">
        <v>43213.119884259257</v>
      </c>
      <c r="Q197" s="14" t="s">
        <v>914</v>
      </c>
      <c r="R197" s="14" t="s">
        <v>1010</v>
      </c>
      <c r="S197" s="7" t="s">
        <v>1011</v>
      </c>
      <c r="T197" s="8"/>
      <c r="U197" s="11" t="str">
        <f>HYPERLINK("https://pbs.twimg.com/profile_images/1358157212410130434/NMCG1ArE.jpg","View")</f>
        <v>View</v>
      </c>
      <c r="V197" s="8"/>
      <c r="W197" s="8"/>
      <c r="X197" s="8"/>
      <c r="Y197" s="8"/>
      <c r="Z197" s="8"/>
    </row>
    <row r="198" spans="1:26" ht="13.2">
      <c r="A198" s="13">
        <v>44250.755393518513</v>
      </c>
      <c r="B198" s="6" t="str">
        <f>HYPERLINK("https://twitter.com/machinelearnflx","@machinelearnflx")</f>
        <v>@machinelearnflx</v>
      </c>
      <c r="C198" s="14" t="s">
        <v>279</v>
      </c>
      <c r="D198" s="14" t="s">
        <v>1012</v>
      </c>
      <c r="E198" s="6" t="str">
        <f>HYPERLINK("https://twitter.com/machinelearnflx/status/1364260676009566210","1364260676009566210")</f>
        <v>1364260676009566210</v>
      </c>
      <c r="F198" s="7" t="s">
        <v>1013</v>
      </c>
      <c r="G198" s="8"/>
      <c r="H198" s="8"/>
      <c r="I198" s="14">
        <v>3</v>
      </c>
      <c r="J198" s="14">
        <v>7</v>
      </c>
      <c r="K198" s="6" t="str">
        <f>HYPERLINK("https://twitter.com/pythonbot_","Postmatico")</f>
        <v>Postmatico</v>
      </c>
      <c r="L198" s="15">
        <v>90451</v>
      </c>
      <c r="M198" s="15">
        <v>35464</v>
      </c>
      <c r="N198" s="15">
        <v>2227</v>
      </c>
      <c r="O198" s="9"/>
      <c r="P198" s="10">
        <v>42386.538865740746</v>
      </c>
      <c r="Q198" s="8"/>
      <c r="R198" s="14" t="s">
        <v>282</v>
      </c>
      <c r="S198" s="7" t="s">
        <v>283</v>
      </c>
      <c r="T198" s="8"/>
      <c r="U198" s="11" t="str">
        <f>HYPERLINK("https://pbs.twimg.com/profile_images/688735459892195329/v8sHaWSG.jpg","View")</f>
        <v>View</v>
      </c>
      <c r="V198" s="8"/>
      <c r="W198" s="8"/>
      <c r="X198" s="8"/>
      <c r="Y198" s="8"/>
      <c r="Z198" s="8"/>
    </row>
    <row r="199" spans="1:26" ht="13.2">
      <c r="A199" s="13">
        <v>44250.755370370374</v>
      </c>
      <c r="B199" s="6" t="str">
        <f>HYPERLINK("https://twitter.com/thatneedle","@thatneedle")</f>
        <v>@thatneedle</v>
      </c>
      <c r="C199" s="14" t="s">
        <v>1014</v>
      </c>
      <c r="D199" s="14" t="s">
        <v>1015</v>
      </c>
      <c r="E199" s="6" t="str">
        <f>HYPERLINK("https://twitter.com/thatneedle/status/1364260668489129985","1364260668489129985")</f>
        <v>1364260668489129985</v>
      </c>
      <c r="F199" s="8"/>
      <c r="G199" s="8"/>
      <c r="H199" s="8"/>
      <c r="I199" s="14">
        <v>2</v>
      </c>
      <c r="J199" s="14">
        <v>1</v>
      </c>
      <c r="K199" s="6" t="str">
        <f t="shared" ref="K199:K200" si="20">HYPERLINK("https://mobile.twitter.com","Twitter Web App")</f>
        <v>Twitter Web App</v>
      </c>
      <c r="L199" s="15">
        <v>63</v>
      </c>
      <c r="M199" s="15">
        <v>228</v>
      </c>
      <c r="N199" s="15">
        <v>4</v>
      </c>
      <c r="O199" s="9"/>
      <c r="P199" s="10">
        <v>41827.808807870373</v>
      </c>
      <c r="Q199" s="8"/>
      <c r="R199" s="14" t="s">
        <v>1016</v>
      </c>
      <c r="S199" s="7" t="s">
        <v>1017</v>
      </c>
      <c r="T199" s="8"/>
      <c r="U199" s="11" t="str">
        <f>HYPERLINK("https://pbs.twimg.com/profile_images/642575774973751296/USJh0DNN.jpg","View")</f>
        <v>View</v>
      </c>
      <c r="V199" s="8"/>
      <c r="W199" s="8"/>
      <c r="X199" s="8"/>
      <c r="Y199" s="8"/>
      <c r="Z199" s="8"/>
    </row>
    <row r="200" spans="1:26" ht="13.2">
      <c r="A200" s="13">
        <v>44250.754467592589</v>
      </c>
      <c r="B200" s="6" t="str">
        <f>HYPERLINK("https://twitter.com/vaaaaanquish","@vaaaaanquish")</f>
        <v>@vaaaaanquish</v>
      </c>
      <c r="C200" s="14" t="s">
        <v>1018</v>
      </c>
      <c r="D200" s="14" t="s">
        <v>1019</v>
      </c>
      <c r="E200" s="6" t="str">
        <f>HYPERLINK("https://twitter.com/vaaaaanquish/status/1364260341652185090","1364260341652185090")</f>
        <v>1364260341652185090</v>
      </c>
      <c r="F200" s="7" t="s">
        <v>1020</v>
      </c>
      <c r="G200" s="8"/>
      <c r="H200" s="8"/>
      <c r="I200" s="14">
        <v>0</v>
      </c>
      <c r="J200" s="14">
        <v>2</v>
      </c>
      <c r="K200" s="6" t="str">
        <f t="shared" si="20"/>
        <v>Twitter Web App</v>
      </c>
      <c r="L200" s="15">
        <v>23076</v>
      </c>
      <c r="M200" s="15">
        <v>20155</v>
      </c>
      <c r="N200" s="15">
        <v>435</v>
      </c>
      <c r="O200" s="9"/>
      <c r="P200" s="10">
        <v>40426.486493055556</v>
      </c>
      <c r="Q200" s="14" t="s">
        <v>1021</v>
      </c>
      <c r="R200" s="14" t="s">
        <v>1022</v>
      </c>
      <c r="S200" s="7" t="s">
        <v>1023</v>
      </c>
      <c r="T200" s="8"/>
      <c r="U200" s="11" t="str">
        <f>HYPERLINK("https://pbs.twimg.com/profile_images/1190114877987266561/Fvxl9j26.jpg","View")</f>
        <v>View</v>
      </c>
      <c r="V200" s="8"/>
      <c r="W200" s="8"/>
      <c r="X200" s="8"/>
      <c r="Y200" s="8"/>
      <c r="Z200" s="8"/>
    </row>
    <row r="201" spans="1:26" ht="13.2">
      <c r="A201" s="13">
        <v>44250.753969907411</v>
      </c>
      <c r="B201" s="6" t="str">
        <f t="shared" ref="B201:B202" si="21">HYPERLINK("https://twitter.com/willman20","@willman20")</f>
        <v>@willman20</v>
      </c>
      <c r="C201" s="14" t="s">
        <v>1024</v>
      </c>
      <c r="D201" s="14" t="s">
        <v>1025</v>
      </c>
      <c r="E201" s="6" t="str">
        <f>HYPERLINK("https://twitter.com/willman20/status/1364260160131256321","1364260160131256321")</f>
        <v>1364260160131256321</v>
      </c>
      <c r="F201" s="7" t="s">
        <v>1026</v>
      </c>
      <c r="G201" s="7" t="s">
        <v>1027</v>
      </c>
      <c r="H201" s="8"/>
      <c r="I201" s="14">
        <v>3</v>
      </c>
      <c r="J201" s="14">
        <v>0</v>
      </c>
      <c r="K201" s="6" t="str">
        <f t="shared" ref="K201:K202" si="22">HYPERLINK("http://twibble.io","Twibble.io")</f>
        <v>Twibble.io</v>
      </c>
      <c r="L201" s="15">
        <v>1081</v>
      </c>
      <c r="M201" s="15">
        <v>1113</v>
      </c>
      <c r="N201" s="15">
        <v>524</v>
      </c>
      <c r="O201" s="9"/>
      <c r="P201" s="10">
        <v>40287.780729166669</v>
      </c>
      <c r="Q201" s="14" t="s">
        <v>1028</v>
      </c>
      <c r="R201" s="14" t="s">
        <v>1029</v>
      </c>
      <c r="S201" s="7" t="s">
        <v>1030</v>
      </c>
      <c r="T201" s="8"/>
      <c r="U201" s="11" t="str">
        <f t="shared" ref="U201:U202" si="23">HYPERLINK("https://pbs.twimg.com/profile_images/1257427465/Photo-010.jpg","View")</f>
        <v>View</v>
      </c>
      <c r="V201" s="8"/>
      <c r="W201" s="8"/>
      <c r="X201" s="8"/>
      <c r="Y201" s="8"/>
      <c r="Z201" s="8"/>
    </row>
    <row r="202" spans="1:26" ht="13.2">
      <c r="A202" s="13">
        <v>44250.753796296296</v>
      </c>
      <c r="B202" s="6" t="str">
        <f t="shared" si="21"/>
        <v>@willman20</v>
      </c>
      <c r="C202" s="14" t="s">
        <v>1024</v>
      </c>
      <c r="D202" s="14" t="s">
        <v>1031</v>
      </c>
      <c r="E202" s="6" t="str">
        <f>HYPERLINK("https://twitter.com/willman20/status/1364260095174000641","1364260095174000641")</f>
        <v>1364260095174000641</v>
      </c>
      <c r="F202" s="7" t="s">
        <v>1032</v>
      </c>
      <c r="G202" s="8"/>
      <c r="H202" s="8"/>
      <c r="I202" s="14">
        <v>3</v>
      </c>
      <c r="J202" s="14">
        <v>1</v>
      </c>
      <c r="K202" s="6" t="str">
        <f t="shared" si="22"/>
        <v>Twibble.io</v>
      </c>
      <c r="L202" s="15">
        <v>1081</v>
      </c>
      <c r="M202" s="15">
        <v>1113</v>
      </c>
      <c r="N202" s="15">
        <v>524</v>
      </c>
      <c r="O202" s="9"/>
      <c r="P202" s="10">
        <v>40287.780729166669</v>
      </c>
      <c r="Q202" s="14" t="s">
        <v>1028</v>
      </c>
      <c r="R202" s="14" t="s">
        <v>1029</v>
      </c>
      <c r="S202" s="7" t="s">
        <v>1030</v>
      </c>
      <c r="T202" s="8"/>
      <c r="U202" s="11" t="str">
        <f t="shared" si="23"/>
        <v>View</v>
      </c>
      <c r="V202" s="8"/>
      <c r="W202" s="8"/>
      <c r="X202" s="8"/>
      <c r="Y202" s="8"/>
      <c r="Z202" s="8"/>
    </row>
    <row r="203" spans="1:26" ht="13.2">
      <c r="A203" s="13">
        <v>44250.753750000003</v>
      </c>
      <c r="B203" s="6" t="str">
        <f>HYPERLINK("https://twitter.com/PetuumInc","@PetuumInc")</f>
        <v>@PetuumInc</v>
      </c>
      <c r="C203" s="14" t="s">
        <v>1033</v>
      </c>
      <c r="D203" s="14" t="s">
        <v>1034</v>
      </c>
      <c r="E203" s="6" t="str">
        <f>HYPERLINK("https://twitter.com/PetuumInc/status/1364260078153584641","1364260078153584641")</f>
        <v>1364260078153584641</v>
      </c>
      <c r="F203" s="7" t="s">
        <v>1035</v>
      </c>
      <c r="G203" s="8"/>
      <c r="H203" s="8"/>
      <c r="I203" s="14">
        <v>3</v>
      </c>
      <c r="J203" s="14">
        <v>0</v>
      </c>
      <c r="K203" s="6" t="str">
        <f>HYPERLINK("http://www.hubspot.com/","HubSpot")</f>
        <v>HubSpot</v>
      </c>
      <c r="L203" s="15">
        <v>672</v>
      </c>
      <c r="M203" s="15">
        <v>153</v>
      </c>
      <c r="N203" s="15">
        <v>47</v>
      </c>
      <c r="O203" s="9"/>
      <c r="P203" s="10">
        <v>42689.78769675926</v>
      </c>
      <c r="Q203" s="14" t="s">
        <v>1036</v>
      </c>
      <c r="R203" s="14" t="s">
        <v>1037</v>
      </c>
      <c r="S203" s="7" t="s">
        <v>1038</v>
      </c>
      <c r="T203" s="8"/>
      <c r="U203" s="11" t="str">
        <f>HYPERLINK("https://pbs.twimg.com/profile_images/1098986582063800320/v3wz0TGp.png","View")</f>
        <v>View</v>
      </c>
      <c r="V203" s="8"/>
      <c r="W203" s="8"/>
      <c r="X203" s="8"/>
      <c r="Y203" s="8"/>
      <c r="Z203" s="8"/>
    </row>
    <row r="204" spans="1:26" ht="13.2">
      <c r="A204" s="13">
        <v>44250.753576388888</v>
      </c>
      <c r="B204" s="6" t="str">
        <f>HYPERLINK("https://twitter.com/JayZuccarelli","@JayZuccarelli")</f>
        <v>@JayZuccarelli</v>
      </c>
      <c r="C204" s="14" t="s">
        <v>1039</v>
      </c>
      <c r="D204" s="14" t="s">
        <v>1040</v>
      </c>
      <c r="E204" s="6" t="str">
        <f>HYPERLINK("https://twitter.com/JayZuccarelli/status/1364260016694378498","1364260016694378498")</f>
        <v>1364260016694378498</v>
      </c>
      <c r="F204" s="8"/>
      <c r="G204" s="8"/>
      <c r="H204" s="8"/>
      <c r="I204" s="14">
        <v>3</v>
      </c>
      <c r="J204" s="14">
        <v>1</v>
      </c>
      <c r="K204" s="6" t="str">
        <f>HYPERLINK("https://www.hootsuite.com","Hootsuite Inc.")</f>
        <v>Hootsuite Inc.</v>
      </c>
      <c r="L204" s="15">
        <v>95</v>
      </c>
      <c r="M204" s="15">
        <v>180</v>
      </c>
      <c r="N204" s="15">
        <v>1</v>
      </c>
      <c r="O204" s="9"/>
      <c r="P204" s="10">
        <v>43953.002650462964</v>
      </c>
      <c r="Q204" s="14" t="s">
        <v>914</v>
      </c>
      <c r="R204" s="14" t="s">
        <v>1041</v>
      </c>
      <c r="S204" s="7" t="s">
        <v>1042</v>
      </c>
      <c r="T204" s="8"/>
      <c r="U204" s="11" t="str">
        <f>HYPERLINK("https://pbs.twimg.com/profile_images/1256343782557192194/Dm7YjxpM.jpg","View")</f>
        <v>View</v>
      </c>
      <c r="V204" s="8"/>
      <c r="W204" s="8"/>
      <c r="X204" s="8"/>
      <c r="Y204" s="8"/>
      <c r="Z204" s="8"/>
    </row>
    <row r="205" spans="1:26" ht="13.2">
      <c r="A205" s="13">
        <v>44250.753506944442</v>
      </c>
      <c r="B205" s="6" t="str">
        <f>HYPERLINK("https://twitter.com/AlertTrade","@AlertTrade")</f>
        <v>@AlertTrade</v>
      </c>
      <c r="C205" s="14" t="s">
        <v>1043</v>
      </c>
      <c r="D205" s="14" t="s">
        <v>1044</v>
      </c>
      <c r="E205" s="6" t="str">
        <f>HYPERLINK("https://twitter.com/AlertTrade/status/1364259992271007746","1364259992271007746")</f>
        <v>1364259992271007746</v>
      </c>
      <c r="F205" s="7" t="s">
        <v>1045</v>
      </c>
      <c r="G205" s="7" t="s">
        <v>1046</v>
      </c>
      <c r="H205" s="8"/>
      <c r="I205" s="14">
        <v>2</v>
      </c>
      <c r="J205" s="14">
        <v>0</v>
      </c>
      <c r="K205" s="6" t="str">
        <f>HYPERLINK("https://buffer.com","Buffer")</f>
        <v>Buffer</v>
      </c>
      <c r="L205" s="15">
        <v>147561</v>
      </c>
      <c r="M205" s="15">
        <v>149760</v>
      </c>
      <c r="N205" s="15">
        <v>2503</v>
      </c>
      <c r="O205" s="9"/>
      <c r="P205" s="10">
        <v>40245.718449074076</v>
      </c>
      <c r="Q205" s="8"/>
      <c r="R205" s="14" t="s">
        <v>1047</v>
      </c>
      <c r="S205" s="7" t="s">
        <v>1048</v>
      </c>
      <c r="T205" s="8"/>
      <c r="U205" s="11" t="str">
        <f>HYPERLINK("https://pbs.twimg.com/profile_images/909427952001146880/UoMAp4JA.jpg","View")</f>
        <v>View</v>
      </c>
      <c r="V205" s="8"/>
      <c r="W205" s="8"/>
      <c r="X205" s="8"/>
      <c r="Y205" s="8"/>
      <c r="Z205" s="8"/>
    </row>
    <row r="206" spans="1:26" ht="13.2">
      <c r="A206" s="13">
        <v>44250.753148148149</v>
      </c>
      <c r="B206" s="6" t="str">
        <f>HYPERLINK("https://twitter.com/pedromdiez","@pedromdiez")</f>
        <v>@pedromdiez</v>
      </c>
      <c r="C206" s="14" t="s">
        <v>1049</v>
      </c>
      <c r="D206" s="14" t="s">
        <v>1050</v>
      </c>
      <c r="E206" s="6" t="str">
        <f>HYPERLINK("https://twitter.com/pedromdiez/status/1364259861761052683","1364259861761052683")</f>
        <v>1364259861761052683</v>
      </c>
      <c r="F206" s="14" t="s">
        <v>1051</v>
      </c>
      <c r="G206" s="7" t="s">
        <v>1052</v>
      </c>
      <c r="H206" s="8"/>
      <c r="I206" s="14">
        <v>0</v>
      </c>
      <c r="J206" s="14">
        <v>0</v>
      </c>
      <c r="K206" s="6" t="str">
        <f>HYPERLINK("https://ifttt.com","IFTTT")</f>
        <v>IFTTT</v>
      </c>
      <c r="L206" s="15">
        <v>705</v>
      </c>
      <c r="M206" s="15">
        <v>576</v>
      </c>
      <c r="N206" s="15">
        <v>36</v>
      </c>
      <c r="O206" s="9"/>
      <c r="P206" s="10">
        <v>40285.443576388891</v>
      </c>
      <c r="Q206" s="14" t="s">
        <v>1053</v>
      </c>
      <c r="R206" s="14" t="s">
        <v>1054</v>
      </c>
      <c r="S206" s="7" t="s">
        <v>1055</v>
      </c>
      <c r="T206" s="8"/>
      <c r="U206" s="11" t="str">
        <f>HYPERLINK("https://pbs.twimg.com/profile_images/926160133352288256/4XU7ZPde.jpg","View")</f>
        <v>View</v>
      </c>
      <c r="V206" s="8"/>
      <c r="W206" s="8"/>
      <c r="X206" s="8"/>
      <c r="Y206" s="8"/>
      <c r="Z206" s="8"/>
    </row>
    <row r="207" spans="1:26" ht="13.2">
      <c r="A207" s="13">
        <v>44250.752893518518</v>
      </c>
      <c r="B207" s="6" t="str">
        <f>HYPERLINK("https://twitter.com/henoninc","@henoninc")</f>
        <v>@henoninc</v>
      </c>
      <c r="C207" s="14" t="s">
        <v>1056</v>
      </c>
      <c r="D207" s="14" t="s">
        <v>1057</v>
      </c>
      <c r="E207" s="6" t="str">
        <f>HYPERLINK("https://twitter.com/henoninc/status/1364259769482178565","1364259769482178565")</f>
        <v>1364259769482178565</v>
      </c>
      <c r="F207" s="7" t="s">
        <v>1058</v>
      </c>
      <c r="G207" s="7" t="s">
        <v>1059</v>
      </c>
      <c r="H207" s="8"/>
      <c r="I207" s="14">
        <v>3</v>
      </c>
      <c r="J207" s="14">
        <v>1</v>
      </c>
      <c r="K207" s="6" t="str">
        <f>HYPERLINK("https://www.canva.com","Canva")</f>
        <v>Canva</v>
      </c>
      <c r="L207" s="15">
        <v>4</v>
      </c>
      <c r="M207" s="15">
        <v>0</v>
      </c>
      <c r="N207" s="15">
        <v>0</v>
      </c>
      <c r="O207" s="9"/>
      <c r="P207" s="10">
        <v>43748.149884259255</v>
      </c>
      <c r="Q207" s="8"/>
      <c r="R207" s="14" t="s">
        <v>1060</v>
      </c>
      <c r="S207" s="7" t="s">
        <v>1058</v>
      </c>
      <c r="T207" s="8"/>
      <c r="U207" s="11" t="str">
        <f>HYPERLINK("https://pbs.twimg.com/profile_images/1363524399278686212/0cYot83L.jpg","View")</f>
        <v>View</v>
      </c>
      <c r="V207" s="8"/>
      <c r="W207" s="8"/>
      <c r="X207" s="8"/>
      <c r="Y207" s="8"/>
      <c r="Z207" s="8"/>
    </row>
    <row r="208" spans="1:26" ht="13.2">
      <c r="A208" s="13">
        <v>44250.752800925926</v>
      </c>
      <c r="B208" s="6" t="str">
        <f>HYPERLINK("https://twitter.com/JourneyHeroTech","@JourneyHeroTech")</f>
        <v>@JourneyHeroTech</v>
      </c>
      <c r="C208" s="14" t="s">
        <v>1061</v>
      </c>
      <c r="D208" s="14" t="s">
        <v>1062</v>
      </c>
      <c r="E208" s="6" t="str">
        <f>HYPERLINK("https://twitter.com/JourneyHeroTech/status/1364259734266793986","1364259734266793986")</f>
        <v>1364259734266793986</v>
      </c>
      <c r="F208" s="14" t="s">
        <v>1063</v>
      </c>
      <c r="G208" s="7" t="s">
        <v>1064</v>
      </c>
      <c r="H208" s="8"/>
      <c r="I208" s="14">
        <v>13</v>
      </c>
      <c r="J208" s="14">
        <v>5</v>
      </c>
      <c r="K208" s="6" t="str">
        <f>HYPERLINK("http://twitter.com/download/iphone","Twitter for iPhone")</f>
        <v>Twitter for iPhone</v>
      </c>
      <c r="L208" s="15">
        <v>418</v>
      </c>
      <c r="M208" s="15">
        <v>1469</v>
      </c>
      <c r="N208" s="15">
        <v>4</v>
      </c>
      <c r="O208" s="9"/>
      <c r="P208" s="10">
        <v>43958.737557870365</v>
      </c>
      <c r="Q208" s="8"/>
      <c r="R208" s="14" t="s">
        <v>1065</v>
      </c>
      <c r="S208" s="7" t="s">
        <v>1066</v>
      </c>
      <c r="T208" s="8"/>
      <c r="U208" s="11" t="str">
        <f>HYPERLINK("https://pbs.twimg.com/profile_images/1258421949493100544/99J8Ehfn.jpg","View")</f>
        <v>View</v>
      </c>
      <c r="V208" s="8"/>
      <c r="W208" s="8"/>
      <c r="X208" s="8"/>
      <c r="Y208" s="8"/>
      <c r="Z208" s="8"/>
    </row>
    <row r="209" spans="1:26" ht="13.2">
      <c r="A209" s="13">
        <v>44250.751956018517</v>
      </c>
      <c r="B209" s="6" t="str">
        <f>HYPERLINK("https://twitter.com/DataAugmented","@DataAugmented")</f>
        <v>@DataAugmented</v>
      </c>
      <c r="C209" s="14" t="s">
        <v>1067</v>
      </c>
      <c r="D209" s="14" t="s">
        <v>1068</v>
      </c>
      <c r="E209" s="6" t="str">
        <f>HYPERLINK("https://twitter.com/DataAugmented/status/1364259431421157381","1364259431421157381")</f>
        <v>1364259431421157381</v>
      </c>
      <c r="F209" s="7" t="s">
        <v>152</v>
      </c>
      <c r="G209" s="8"/>
      <c r="H209" s="8"/>
      <c r="I209" s="14">
        <v>2</v>
      </c>
      <c r="J209" s="14">
        <v>0</v>
      </c>
      <c r="K209" s="6" t="str">
        <f>HYPERLINK("https://gamer-geek-news.com","DataScienceInfo")</f>
        <v>DataScienceInfo</v>
      </c>
      <c r="L209" s="15">
        <v>6506</v>
      </c>
      <c r="M209" s="15">
        <v>6648</v>
      </c>
      <c r="N209" s="15">
        <v>85</v>
      </c>
      <c r="O209" s="9"/>
      <c r="P209" s="10">
        <v>43798.394791666666</v>
      </c>
      <c r="Q209" s="8"/>
      <c r="R209" s="14" t="s">
        <v>1069</v>
      </c>
      <c r="S209" s="7" t="s">
        <v>1070</v>
      </c>
      <c r="T209" s="8"/>
      <c r="U209" s="11" t="str">
        <f>HYPERLINK("https://pbs.twimg.com/profile_images/1302170997328621568/kxZYcsFI.jpg","View")</f>
        <v>View</v>
      </c>
      <c r="V209" s="8"/>
      <c r="W209" s="8"/>
      <c r="X209" s="8"/>
      <c r="Y209" s="8"/>
      <c r="Z209" s="8"/>
    </row>
    <row r="210" spans="1:26" ht="13.2">
      <c r="A210" s="13">
        <v>44250.751747685186</v>
      </c>
      <c r="B210" s="6" t="str">
        <f>HYPERLINK("https://twitter.com/Marktechpost","@Marktechpost")</f>
        <v>@Marktechpost</v>
      </c>
      <c r="C210" s="7" t="s">
        <v>1071</v>
      </c>
      <c r="D210" s="14" t="s">
        <v>1072</v>
      </c>
      <c r="E210" s="6" t="str">
        <f>HYPERLINK("https://twitter.com/Marktechpost/status/1364259354753572864","1364259354753572864")</f>
        <v>1364259354753572864</v>
      </c>
      <c r="F210" s="7" t="s">
        <v>1073</v>
      </c>
      <c r="G210" s="7" t="s">
        <v>1074</v>
      </c>
      <c r="H210" s="8"/>
      <c r="I210" s="14">
        <v>1</v>
      </c>
      <c r="J210" s="14">
        <v>1</v>
      </c>
      <c r="K210" s="6" t="str">
        <f>HYPERLINK("https://www.hootsuite.com","Hootsuite Inc.")</f>
        <v>Hootsuite Inc.</v>
      </c>
      <c r="L210" s="15">
        <v>2673</v>
      </c>
      <c r="M210" s="15">
        <v>461</v>
      </c>
      <c r="N210" s="15">
        <v>24</v>
      </c>
      <c r="O210" s="9"/>
      <c r="P210" s="10">
        <v>42467.265682870369</v>
      </c>
      <c r="Q210" s="14" t="s">
        <v>56</v>
      </c>
      <c r="R210" s="14" t="s">
        <v>1075</v>
      </c>
      <c r="S210" s="7" t="s">
        <v>58</v>
      </c>
      <c r="T210" s="8"/>
      <c r="U210" s="11" t="str">
        <f>HYPERLINK("https://pbs.twimg.com/profile_images/994114664874180608/tD0vcytP.jpg","View")</f>
        <v>View</v>
      </c>
      <c r="V210" s="8"/>
      <c r="W210" s="8"/>
      <c r="X210" s="8"/>
      <c r="Y210" s="8"/>
      <c r="Z210" s="8"/>
    </row>
    <row r="211" spans="1:26" ht="13.2">
      <c r="A211" s="13">
        <v>44250.751550925925</v>
      </c>
      <c r="B211" s="6" t="str">
        <f>HYPERLINK("https://twitter.com/YvesMulkers","@YvesMulkers")</f>
        <v>@YvesMulkers</v>
      </c>
      <c r="C211" s="14" t="s">
        <v>1076</v>
      </c>
      <c r="D211" s="14" t="s">
        <v>1077</v>
      </c>
      <c r="E211" s="6" t="str">
        <f>HYPERLINK("https://twitter.com/YvesMulkers/status/1364259281923674112","1364259281923674112")</f>
        <v>1364259281923674112</v>
      </c>
      <c r="F211" s="14" t="s">
        <v>1078</v>
      </c>
      <c r="G211" s="8"/>
      <c r="H211" s="8"/>
      <c r="I211" s="14">
        <v>1</v>
      </c>
      <c r="J211" s="14">
        <v>0</v>
      </c>
      <c r="K211" s="6" t="str">
        <f>HYPERLINK("https://mobile.twitter.com","Twitter Web App")</f>
        <v>Twitter Web App</v>
      </c>
      <c r="L211" s="15">
        <v>95622</v>
      </c>
      <c r="M211" s="15">
        <v>73487</v>
      </c>
      <c r="N211" s="15">
        <v>4318</v>
      </c>
      <c r="O211" s="9"/>
      <c r="P211" s="10">
        <v>39588.797592592593</v>
      </c>
      <c r="Q211" s="14" t="s">
        <v>1079</v>
      </c>
      <c r="R211" s="14" t="s">
        <v>1080</v>
      </c>
      <c r="S211" s="7" t="s">
        <v>1081</v>
      </c>
      <c r="T211" s="8"/>
      <c r="U211" s="11" t="str">
        <f>HYPERLINK("https://pbs.twimg.com/profile_images/975114008301789184/rOaCSOdl.jpg","View")</f>
        <v>View</v>
      </c>
      <c r="V211" s="8"/>
      <c r="W211" s="8"/>
      <c r="X211" s="8"/>
      <c r="Y211" s="8"/>
      <c r="Z211" s="8"/>
    </row>
    <row r="212" spans="1:26" ht="13.2">
      <c r="A212" s="13">
        <v>44250.751446759255</v>
      </c>
      <c r="B212" s="6" t="str">
        <f>HYPERLINK("https://twitter.com/Datascience__","@Datascience__")</f>
        <v>@Datascience__</v>
      </c>
      <c r="C212" s="14" t="s">
        <v>1082</v>
      </c>
      <c r="D212" s="14" t="s">
        <v>1083</v>
      </c>
      <c r="E212" s="6" t="str">
        <f>HYPERLINK("https://twitter.com/Datascience__/status/1364259246418915334","1364259246418915334")</f>
        <v>1364259246418915334</v>
      </c>
      <c r="F212" s="7" t="s">
        <v>1084</v>
      </c>
      <c r="G212" s="8"/>
      <c r="H212" s="8"/>
      <c r="I212" s="14">
        <v>1</v>
      </c>
      <c r="J212" s="14">
        <v>2</v>
      </c>
      <c r="K212" s="6" t="str">
        <f>HYPERLINK("https://twitter.com/pythonbot_","Postmatico")</f>
        <v>Postmatico</v>
      </c>
      <c r="L212" s="15">
        <v>21499</v>
      </c>
      <c r="M212" s="15">
        <v>11071</v>
      </c>
      <c r="N212" s="15">
        <v>0</v>
      </c>
      <c r="O212" s="9"/>
      <c r="P212" s="10">
        <v>42735.551377314812</v>
      </c>
      <c r="Q212" s="8"/>
      <c r="R212" s="14" t="s">
        <v>1085</v>
      </c>
      <c r="S212" s="7" t="s">
        <v>1086</v>
      </c>
      <c r="T212" s="8"/>
      <c r="U212" s="11" t="str">
        <f>HYPERLINK("https://pbs.twimg.com/profile_images/989066461435097088/AQZSFyuk.jpg","View")</f>
        <v>View</v>
      </c>
      <c r="V212" s="8"/>
      <c r="W212" s="8"/>
      <c r="X212" s="8"/>
      <c r="Y212" s="8"/>
      <c r="Z212" s="8"/>
    </row>
    <row r="213" spans="1:26" ht="13.2">
      <c r="A213" s="13">
        <v>44250.751134259262</v>
      </c>
      <c r="B213" s="6" t="str">
        <f>HYPERLINK("https://twitter.com/jamesvgingerich","@jamesvgingerich")</f>
        <v>@jamesvgingerich</v>
      </c>
      <c r="C213" s="14" t="s">
        <v>1087</v>
      </c>
      <c r="D213" s="14" t="s">
        <v>1088</v>
      </c>
      <c r="E213" s="6" t="str">
        <f>HYPERLINK("https://twitter.com/jamesvgingerich/status/1364259130840555525","1364259130840555525")</f>
        <v>1364259130840555525</v>
      </c>
      <c r="F213" s="7" t="s">
        <v>1089</v>
      </c>
      <c r="G213" s="7" t="s">
        <v>1090</v>
      </c>
      <c r="H213" s="8"/>
      <c r="I213" s="14">
        <v>1</v>
      </c>
      <c r="J213" s="14">
        <v>0</v>
      </c>
      <c r="K213" s="6" t="str">
        <f>HYPERLINK("https://buffer.com","Buffer")</f>
        <v>Buffer</v>
      </c>
      <c r="L213" s="15">
        <v>53483</v>
      </c>
      <c r="M213" s="15">
        <v>56072</v>
      </c>
      <c r="N213" s="15">
        <v>1126</v>
      </c>
      <c r="O213" s="9"/>
      <c r="P213" s="10">
        <v>39623.806192129632</v>
      </c>
      <c r="Q213" s="14" t="s">
        <v>1091</v>
      </c>
      <c r="R213" s="14" t="s">
        <v>1092</v>
      </c>
      <c r="S213" s="7" t="s">
        <v>1093</v>
      </c>
      <c r="T213" s="8"/>
      <c r="U213" s="11" t="str">
        <f>HYPERLINK("https://pbs.twimg.com/profile_images/692168521/james_profile.jpg","View")</f>
        <v>View</v>
      </c>
      <c r="V213" s="8"/>
      <c r="W213" s="8"/>
      <c r="X213" s="8"/>
      <c r="Y213" s="8"/>
      <c r="Z213" s="8"/>
    </row>
    <row r="214" spans="1:26" ht="13.2">
      <c r="A214" s="13">
        <v>44250.750706018516</v>
      </c>
      <c r="B214" s="6" t="str">
        <f>HYPERLINK("https://twitter.com/ZetaneSystems","@ZetaneSystems")</f>
        <v>@ZetaneSystems</v>
      </c>
      <c r="C214" s="14" t="s">
        <v>1094</v>
      </c>
      <c r="D214" s="14" t="s">
        <v>1095</v>
      </c>
      <c r="E214" s="6" t="str">
        <f>HYPERLINK("https://twitter.com/ZetaneSystems/status/1364258978646151171","1364258978646151171")</f>
        <v>1364258978646151171</v>
      </c>
      <c r="F214" s="7" t="s">
        <v>1096</v>
      </c>
      <c r="G214" s="7" t="s">
        <v>1097</v>
      </c>
      <c r="H214" s="8"/>
      <c r="I214" s="14">
        <v>1</v>
      </c>
      <c r="J214" s="14">
        <v>0</v>
      </c>
      <c r="K214" s="6" t="str">
        <f>HYPERLINK("http://www.hubspot.com/","HubSpot")</f>
        <v>HubSpot</v>
      </c>
      <c r="L214" s="15">
        <v>72</v>
      </c>
      <c r="M214" s="15">
        <v>112</v>
      </c>
      <c r="N214" s="15">
        <v>2</v>
      </c>
      <c r="O214" s="9"/>
      <c r="P214" s="10">
        <v>43118.280578703707</v>
      </c>
      <c r="Q214" s="14" t="s">
        <v>1098</v>
      </c>
      <c r="R214" s="14" t="s">
        <v>1099</v>
      </c>
      <c r="S214" s="7" t="s">
        <v>1100</v>
      </c>
      <c r="T214" s="8"/>
      <c r="U214" s="11" t="str">
        <f>HYPERLINK("https://pbs.twimg.com/profile_images/1309648920105160707/EKlapVVo.jpg","View")</f>
        <v>View</v>
      </c>
      <c r="V214" s="8"/>
      <c r="W214" s="8"/>
      <c r="X214" s="8"/>
      <c r="Y214" s="8"/>
      <c r="Z214" s="8"/>
    </row>
    <row r="215" spans="1:26" ht="13.2">
      <c r="A215" s="13">
        <v>44250.750543981485</v>
      </c>
      <c r="B215" s="6" t="str">
        <f>HYPERLINK("https://twitter.com/hrconsultingeu","@hrconsultingeu")</f>
        <v>@hrconsultingeu</v>
      </c>
      <c r="C215" s="14" t="s">
        <v>1101</v>
      </c>
      <c r="D215" s="14" t="s">
        <v>1102</v>
      </c>
      <c r="E215" s="6" t="str">
        <f>HYPERLINK("https://twitter.com/hrconsultingeu/status/1364258918944436224","1364258918944436224")</f>
        <v>1364258918944436224</v>
      </c>
      <c r="F215" s="8"/>
      <c r="G215" s="7" t="s">
        <v>1103</v>
      </c>
      <c r="H215" s="8"/>
      <c r="I215" s="14">
        <v>0</v>
      </c>
      <c r="J215" s="14">
        <v>0</v>
      </c>
      <c r="K215" s="6" t="str">
        <f>HYPERLINK("https://app.socialpilot.co/","SocialPilot.co")</f>
        <v>SocialPilot.co</v>
      </c>
      <c r="L215" s="15">
        <v>107</v>
      </c>
      <c r="M215" s="15">
        <v>81</v>
      </c>
      <c r="N215" s="15">
        <v>12</v>
      </c>
      <c r="O215" s="9"/>
      <c r="P215" s="10">
        <v>40371.536990740744</v>
      </c>
      <c r="Q215" s="14" t="s">
        <v>1104</v>
      </c>
      <c r="R215" s="14" t="s">
        <v>1105</v>
      </c>
      <c r="S215" s="7" t="s">
        <v>1106</v>
      </c>
      <c r="T215" s="8"/>
      <c r="U215" s="11" t="str">
        <f>HYPERLINK("https://pbs.twimg.com/profile_images/1090632141/twitter_AW.gif","View")</f>
        <v>View</v>
      </c>
      <c r="V215" s="8"/>
      <c r="W215" s="8"/>
      <c r="X215" s="8"/>
      <c r="Y215" s="8"/>
      <c r="Z215" s="8"/>
    </row>
    <row r="216" spans="1:26" ht="13.2">
      <c r="A216" s="13">
        <v>44250.750381944439</v>
      </c>
      <c r="B216" s="6" t="str">
        <f>HYPERLINK("https://twitter.com/lopezunwired","@lopezunwired")</f>
        <v>@lopezunwired</v>
      </c>
      <c r="C216" s="14" t="s">
        <v>224</v>
      </c>
      <c r="D216" s="14" t="s">
        <v>1107</v>
      </c>
      <c r="E216" s="6" t="str">
        <f>HYPERLINK("https://twitter.com/lopezunwired/status/1364258858030440449","1364258858030440449")</f>
        <v>1364258858030440449</v>
      </c>
      <c r="F216" s="7" t="s">
        <v>1108</v>
      </c>
      <c r="G216" s="7" t="s">
        <v>1109</v>
      </c>
      <c r="H216" s="8"/>
      <c r="I216" s="14">
        <v>1</v>
      </c>
      <c r="J216" s="14">
        <v>0</v>
      </c>
      <c r="K216" s="6" t="str">
        <f>HYPERLINK("https://dlvrit.com/","dlvr.it")</f>
        <v>dlvr.it</v>
      </c>
      <c r="L216" s="15">
        <v>1803</v>
      </c>
      <c r="M216" s="15">
        <v>800</v>
      </c>
      <c r="N216" s="15">
        <v>586</v>
      </c>
      <c r="O216" s="9"/>
      <c r="P216" s="10">
        <v>39831.947152777779</v>
      </c>
      <c r="Q216" s="14" t="s">
        <v>228</v>
      </c>
      <c r="R216" s="14" t="s">
        <v>229</v>
      </c>
      <c r="S216" s="7" t="s">
        <v>230</v>
      </c>
      <c r="T216" s="8"/>
      <c r="U216" s="11" t="str">
        <f>HYPERLINK("https://pbs.twimg.com/profile_images/3326137784/c6c1c2570fc7b9711dd8de812b996a66.jpeg","View")</f>
        <v>View</v>
      </c>
      <c r="V216" s="8"/>
      <c r="W216" s="8"/>
      <c r="X216" s="8"/>
      <c r="Y216" s="8"/>
      <c r="Z216" s="8"/>
    </row>
    <row r="217" spans="1:26" ht="13.2">
      <c r="A217" s="13">
        <v>44250.750335648147</v>
      </c>
      <c r="B217" s="6" t="str">
        <f>HYPERLINK("https://twitter.com/bigdataNODE","@bigdataNODE")</f>
        <v>@bigdataNODE</v>
      </c>
      <c r="C217" s="14" t="s">
        <v>1110</v>
      </c>
      <c r="D217" s="14" t="s">
        <v>1111</v>
      </c>
      <c r="E217" s="6" t="str">
        <f>HYPERLINK("https://twitter.com/bigdataNODE/status/1364258844570959876","1364258844570959876")</f>
        <v>1364258844570959876</v>
      </c>
      <c r="F217" s="7" t="s">
        <v>1112</v>
      </c>
      <c r="G217" s="8"/>
      <c r="H217" s="8"/>
      <c r="I217" s="14">
        <v>1</v>
      </c>
      <c r="J217" s="14">
        <v>0</v>
      </c>
      <c r="K217" s="6" t="str">
        <f>HYPERLINK("http://www.hubspot.com/","HubSpot")</f>
        <v>HubSpot</v>
      </c>
      <c r="L217" s="15">
        <v>8846</v>
      </c>
      <c r="M217" s="15">
        <v>8777</v>
      </c>
      <c r="N217" s="15">
        <v>281</v>
      </c>
      <c r="O217" s="9"/>
      <c r="P217" s="10">
        <v>41411.563344907408</v>
      </c>
      <c r="Q217" s="14" t="s">
        <v>1113</v>
      </c>
      <c r="R217" s="14" t="s">
        <v>1114</v>
      </c>
      <c r="S217" s="7" t="s">
        <v>1115</v>
      </c>
      <c r="T217" s="8"/>
      <c r="U217" s="11" t="str">
        <f>HYPERLINK("https://pbs.twimg.com/profile_images/722705562144780288/7wwu8K2P.jpg","View")</f>
        <v>View</v>
      </c>
      <c r="V217" s="8"/>
      <c r="W217" s="8"/>
      <c r="X217" s="8"/>
      <c r="Y217" s="8"/>
      <c r="Z217" s="8"/>
    </row>
    <row r="218" spans="1:26" ht="13.2">
      <c r="A218" s="13">
        <v>44250.750324074077</v>
      </c>
      <c r="B218" s="6" t="str">
        <f>HYPERLINK("https://twitter.com/Paula_Piccard","@Paula_Piccard")</f>
        <v>@Paula_Piccard</v>
      </c>
      <c r="C218" s="14" t="s">
        <v>1116</v>
      </c>
      <c r="D218" s="14" t="s">
        <v>1117</v>
      </c>
      <c r="E218" s="6" t="str">
        <f>HYPERLINK("https://twitter.com/Paula_Piccard/status/1364258839726555142","1364258839726555142")</f>
        <v>1364258839726555142</v>
      </c>
      <c r="F218" s="7" t="s">
        <v>1118</v>
      </c>
      <c r="G218" s="7" t="s">
        <v>1119</v>
      </c>
      <c r="H218" s="8"/>
      <c r="I218" s="14">
        <v>13</v>
      </c>
      <c r="J218" s="14">
        <v>6</v>
      </c>
      <c r="K218" s="6" t="str">
        <f>HYPERLINK("https://smarterqueue.com","SmarterQueue")</f>
        <v>SmarterQueue</v>
      </c>
      <c r="L218" s="15">
        <v>61067</v>
      </c>
      <c r="M218" s="15">
        <v>9852</v>
      </c>
      <c r="N218" s="15">
        <v>1284</v>
      </c>
      <c r="O218" s="9"/>
      <c r="P218" s="10">
        <v>40665.824629629627</v>
      </c>
      <c r="Q218" s="14" t="s">
        <v>1120</v>
      </c>
      <c r="R218" s="14" t="s">
        <v>1121</v>
      </c>
      <c r="S218" s="7" t="s">
        <v>1122</v>
      </c>
      <c r="T218" s="8"/>
      <c r="U218" s="11" t="str">
        <f>HYPERLINK("https://pbs.twimg.com/profile_images/1307804375981621254/KT6ID8H9.png","View")</f>
        <v>View</v>
      </c>
      <c r="V218" s="8"/>
      <c r="W218" s="8"/>
      <c r="X218" s="8"/>
      <c r="Y218" s="8"/>
      <c r="Z218" s="8"/>
    </row>
    <row r="219" spans="1:26" ht="13.2">
      <c r="A219" s="13">
        <v>44250.7502662037</v>
      </c>
      <c r="B219" s="6" t="str">
        <f>HYPERLINK("https://twitter.com/ProgrammerWkly","@ProgrammerWkly")</f>
        <v>@ProgrammerWkly</v>
      </c>
      <c r="C219" s="14" t="s">
        <v>1123</v>
      </c>
      <c r="D219" s="14" t="s">
        <v>1124</v>
      </c>
      <c r="E219" s="6" t="str">
        <f>HYPERLINK("https://twitter.com/ProgrammerWkly/status/1364258819644227585","1364258819644227585")</f>
        <v>1364258819644227585</v>
      </c>
      <c r="F219" s="7" t="s">
        <v>1125</v>
      </c>
      <c r="G219" s="8"/>
      <c r="H219" s="8"/>
      <c r="I219" s="14">
        <v>1</v>
      </c>
      <c r="J219" s="14">
        <v>0</v>
      </c>
      <c r="K219" s="6" t="str">
        <f t="shared" ref="K219:K220" si="24">HYPERLINK("https://buffer.com","Buffer")</f>
        <v>Buffer</v>
      </c>
      <c r="L219" s="15">
        <v>2824</v>
      </c>
      <c r="M219" s="15">
        <v>0</v>
      </c>
      <c r="N219" s="15">
        <v>223</v>
      </c>
      <c r="O219" s="9"/>
      <c r="P219" s="10">
        <v>40501.003148148149</v>
      </c>
      <c r="Q219" s="8"/>
      <c r="R219" s="14" t="s">
        <v>1126</v>
      </c>
      <c r="S219" s="7" t="s">
        <v>1127</v>
      </c>
      <c r="T219" s="8"/>
      <c r="U219" s="11" t="str">
        <f>HYPERLINK("https://pbs.twimg.com/profile_images/1253166237955342336/gol4c3MZ.jpg","View")</f>
        <v>View</v>
      </c>
      <c r="V219" s="8"/>
      <c r="W219" s="8"/>
      <c r="X219" s="8"/>
      <c r="Y219" s="8"/>
      <c r="Z219" s="8"/>
    </row>
    <row r="220" spans="1:26" ht="13.2">
      <c r="A220" s="13">
        <v>44250.750196759254</v>
      </c>
      <c r="B220" s="6" t="str">
        <f>HYPERLINK("https://twitter.com/globaliqx","@globaliqx")</f>
        <v>@globaliqx</v>
      </c>
      <c r="C220" s="14" t="s">
        <v>305</v>
      </c>
      <c r="D220" s="14" t="s">
        <v>1128</v>
      </c>
      <c r="E220" s="6" t="str">
        <f>HYPERLINK("https://twitter.com/globaliqx/status/1364258793312448515","1364258793312448515")</f>
        <v>1364258793312448515</v>
      </c>
      <c r="F220" s="7" t="s">
        <v>1129</v>
      </c>
      <c r="G220" s="7" t="s">
        <v>1130</v>
      </c>
      <c r="H220" s="8"/>
      <c r="I220" s="14">
        <v>3</v>
      </c>
      <c r="J220" s="14">
        <v>7</v>
      </c>
      <c r="K220" s="6" t="str">
        <f t="shared" si="24"/>
        <v>Buffer</v>
      </c>
      <c r="L220" s="15">
        <v>10339</v>
      </c>
      <c r="M220" s="15">
        <v>7808</v>
      </c>
      <c r="N220" s="15">
        <v>868</v>
      </c>
      <c r="O220" s="9"/>
      <c r="P220" s="10">
        <v>41565.721296296295</v>
      </c>
      <c r="Q220" s="14" t="s">
        <v>309</v>
      </c>
      <c r="R220" s="14" t="s">
        <v>310</v>
      </c>
      <c r="S220" s="7" t="s">
        <v>311</v>
      </c>
      <c r="T220" s="8"/>
      <c r="U220" s="11" t="str">
        <f>HYPERLINK("https://pbs.twimg.com/profile_images/695005663492247556/v0EQSRal.jpg","View")</f>
        <v>View</v>
      </c>
      <c r="V220" s="8"/>
      <c r="W220" s="8"/>
      <c r="X220" s="8"/>
      <c r="Y220" s="8"/>
      <c r="Z220" s="8"/>
    </row>
    <row r="221" spans="1:26" ht="13.2">
      <c r="A221" s="13">
        <v>44250.750081018516</v>
      </c>
      <c r="B221" s="6" t="str">
        <f>HYPERLINK("https://twitter.com/ipfconline1","@ipfconline1")</f>
        <v>@ipfconline1</v>
      </c>
      <c r="C221" s="14" t="s">
        <v>65</v>
      </c>
      <c r="D221" s="14" t="s">
        <v>1131</v>
      </c>
      <c r="E221" s="6" t="str">
        <f>HYPERLINK("https://twitter.com/ipfconline1/status/1364258750379536385","1364258750379536385")</f>
        <v>1364258750379536385</v>
      </c>
      <c r="F221" s="7" t="s">
        <v>1132</v>
      </c>
      <c r="G221" s="7" t="s">
        <v>1133</v>
      </c>
      <c r="H221" s="8"/>
      <c r="I221" s="14">
        <v>10</v>
      </c>
      <c r="J221" s="14">
        <v>10</v>
      </c>
      <c r="K221" s="6" t="str">
        <f>HYPERLINK("https://twittimer.com","Twittimer")</f>
        <v>Twittimer</v>
      </c>
      <c r="L221" s="15">
        <v>112675</v>
      </c>
      <c r="M221" s="15">
        <v>107162</v>
      </c>
      <c r="N221" s="15">
        <v>7806</v>
      </c>
      <c r="O221" s="9"/>
      <c r="P221" s="10">
        <v>42433.031967592593</v>
      </c>
      <c r="Q221" s="14" t="s">
        <v>69</v>
      </c>
      <c r="R221" s="14" t="s">
        <v>70</v>
      </c>
      <c r="S221" s="7" t="s">
        <v>71</v>
      </c>
      <c r="T221" s="8"/>
      <c r="U221" s="11" t="str">
        <f>HYPERLINK("https://pbs.twimg.com/profile_images/729065804004769793/St2_Pum9.jpg","View")</f>
        <v>View</v>
      </c>
      <c r="V221" s="8"/>
      <c r="W221" s="8"/>
      <c r="X221" s="8"/>
      <c r="Y221" s="8"/>
      <c r="Z221" s="8"/>
    </row>
    <row r="222" spans="1:26" ht="13.2">
      <c r="A222" s="13">
        <v>44250.750069444446</v>
      </c>
      <c r="B222" s="6" t="str">
        <f>HYPERLINK("https://twitter.com/AIDogoftheDay","@AIDogoftheDay")</f>
        <v>@AIDogoftheDay</v>
      </c>
      <c r="C222" s="14" t="s">
        <v>1134</v>
      </c>
      <c r="D222" s="14" t="s">
        <v>1135</v>
      </c>
      <c r="E222" s="6" t="str">
        <f>HYPERLINK("https://twitter.com/AIDogoftheDay/status/1364258747414151172","1364258747414151172")</f>
        <v>1364258747414151172</v>
      </c>
      <c r="F222" s="8"/>
      <c r="G222" s="7" t="s">
        <v>1136</v>
      </c>
      <c r="H222" s="8"/>
      <c r="I222" s="14">
        <v>0</v>
      </c>
      <c r="J222" s="14">
        <v>0</v>
      </c>
      <c r="K222" s="8"/>
      <c r="L222" s="15">
        <v>8</v>
      </c>
      <c r="M222" s="15">
        <v>0</v>
      </c>
      <c r="N222" s="15">
        <v>0</v>
      </c>
      <c r="O222" s="9"/>
      <c r="P222" s="10">
        <v>44176.951689814814</v>
      </c>
      <c r="Q222" s="8"/>
      <c r="R222" s="14" t="s">
        <v>1137</v>
      </c>
      <c r="S222" s="8"/>
      <c r="T222" s="8"/>
      <c r="U222" s="11" t="str">
        <f>HYPERLINK("https://pbs.twimg.com/profile_images/1337520302729912321/tqBGGqZ6.jpg","View")</f>
        <v>View</v>
      </c>
      <c r="V222" s="8"/>
      <c r="W222" s="8"/>
      <c r="X222" s="8"/>
      <c r="Y222" s="8"/>
      <c r="Z222" s="8"/>
    </row>
    <row r="223" spans="1:26" ht="13.2">
      <c r="A223" s="13">
        <v>44250.750034722223</v>
      </c>
      <c r="B223" s="6" t="str">
        <f>HYPERLINK("https://twitter.com/AnnePordon","@AnnePordon")</f>
        <v>@AnnePordon</v>
      </c>
      <c r="C223" s="14" t="s">
        <v>1138</v>
      </c>
      <c r="D223" s="14" t="s">
        <v>1139</v>
      </c>
      <c r="E223" s="6" t="str">
        <f>HYPERLINK("https://twitter.com/AnnePordon/status/1364258735430897664","1364258735430897664")</f>
        <v>1364258735430897664</v>
      </c>
      <c r="F223" s="7" t="s">
        <v>1140</v>
      </c>
      <c r="G223" s="8"/>
      <c r="H223" s="8"/>
      <c r="I223" s="14">
        <v>10</v>
      </c>
      <c r="J223" s="14">
        <v>3</v>
      </c>
      <c r="K223" s="6" t="str">
        <f>HYPERLINK("http://www.linkedin.com/","LinkedIn")</f>
        <v>LinkedIn</v>
      </c>
      <c r="L223" s="15">
        <v>265</v>
      </c>
      <c r="M223" s="15">
        <v>565</v>
      </c>
      <c r="N223" s="15">
        <v>5</v>
      </c>
      <c r="O223" s="9"/>
      <c r="P223" s="10">
        <v>43714.793321759258</v>
      </c>
      <c r="Q223" s="14" t="s">
        <v>1141</v>
      </c>
      <c r="R223" s="14" t="s">
        <v>1142</v>
      </c>
      <c r="S223" s="8"/>
      <c r="T223" s="8"/>
      <c r="U223" s="11" t="str">
        <f>HYPERLINK("https://pbs.twimg.com/profile_images/1170020149455462401/KK9I4zZR.jpg","View")</f>
        <v>View</v>
      </c>
      <c r="V223" s="8"/>
      <c r="W223" s="8"/>
      <c r="X223" s="8"/>
      <c r="Y223" s="8"/>
      <c r="Z223" s="8"/>
    </row>
    <row r="224" spans="1:26" ht="13.2">
      <c r="A224" s="13">
        <v>44250.75001157407</v>
      </c>
      <c r="B224" s="6" t="str">
        <f>HYPERLINK("https://twitter.com/NVIDIAAI","@NVIDIAAI")</f>
        <v>@NVIDIAAI</v>
      </c>
      <c r="C224" s="14" t="s">
        <v>1143</v>
      </c>
      <c r="D224" s="14" t="s">
        <v>1144</v>
      </c>
      <c r="E224" s="6" t="str">
        <f>HYPERLINK("https://twitter.com/NVIDIAAI/status/1364258725981261828","1364258725981261828")</f>
        <v>1364258725981261828</v>
      </c>
      <c r="F224" s="7" t="s">
        <v>1145</v>
      </c>
      <c r="G224" s="7" t="s">
        <v>1146</v>
      </c>
      <c r="H224" s="8"/>
      <c r="I224" s="14">
        <v>9</v>
      </c>
      <c r="J224" s="14">
        <v>8</v>
      </c>
      <c r="K224" s="6" t="str">
        <f>HYPERLINK("https://prod1.sprinklr.com","Sprinklr Publishing")</f>
        <v>Sprinklr Publishing</v>
      </c>
      <c r="L224" s="15">
        <v>67791</v>
      </c>
      <c r="M224" s="15">
        <v>815</v>
      </c>
      <c r="N224" s="15">
        <v>1304</v>
      </c>
      <c r="O224" s="15" t="s">
        <v>130</v>
      </c>
      <c r="P224" s="10">
        <v>42528.823900462958</v>
      </c>
      <c r="Q224" s="14" t="s">
        <v>81</v>
      </c>
      <c r="R224" s="14" t="s">
        <v>1147</v>
      </c>
      <c r="S224" s="7" t="s">
        <v>1148</v>
      </c>
      <c r="T224" s="8"/>
      <c r="U224" s="11" t="str">
        <f>HYPERLINK("https://pbs.twimg.com/profile_images/877294444554231809/Wcem1g-S.jpg","View")</f>
        <v>View</v>
      </c>
      <c r="V224" s="8"/>
      <c r="W224" s="8"/>
      <c r="X224" s="8"/>
      <c r="Y224" s="8"/>
      <c r="Z224" s="8"/>
    </row>
    <row r="225" spans="1:26" ht="13.2">
      <c r="A225" s="13">
        <v>44250.749305555553</v>
      </c>
      <c r="B225" s="6" t="str">
        <f>HYPERLINK("https://twitter.com/SuccessAnalytiX","@SuccessAnalytiX")</f>
        <v>@SuccessAnalytiX</v>
      </c>
      <c r="C225" s="14" t="s">
        <v>1149</v>
      </c>
      <c r="D225" s="14" t="s">
        <v>1150</v>
      </c>
      <c r="E225" s="6" t="str">
        <f>HYPERLINK("https://twitter.com/SuccessAnalytiX/status/1364258470803963908","1364258470803963908")</f>
        <v>1364258470803963908</v>
      </c>
      <c r="F225" s="7" t="s">
        <v>1151</v>
      </c>
      <c r="G225" s="8"/>
      <c r="H225" s="8"/>
      <c r="I225" s="14">
        <v>3</v>
      </c>
      <c r="J225" s="14">
        <v>1</v>
      </c>
      <c r="K225" s="6" t="str">
        <f>HYPERLINK("http://twitter.com/download/iphone","Twitter for iPhone")</f>
        <v>Twitter for iPhone</v>
      </c>
      <c r="L225" s="15">
        <v>2744</v>
      </c>
      <c r="M225" s="15">
        <v>2908</v>
      </c>
      <c r="N225" s="15">
        <v>11</v>
      </c>
      <c r="O225" s="9"/>
      <c r="P225" s="10">
        <v>43149.839606481481</v>
      </c>
      <c r="Q225" s="14" t="s">
        <v>1152</v>
      </c>
      <c r="R225" s="14" t="s">
        <v>1153</v>
      </c>
      <c r="S225" s="7" t="s">
        <v>1154</v>
      </c>
      <c r="T225" s="8"/>
      <c r="U225" s="11" t="str">
        <f>HYPERLINK("https://pbs.twimg.com/profile_images/1154058190545391616/pOYyXv3r.jpg","View")</f>
        <v>View</v>
      </c>
      <c r="V225" s="8"/>
      <c r="W225" s="8"/>
      <c r="X225" s="8"/>
      <c r="Y225" s="8"/>
      <c r="Z225" s="8"/>
    </row>
    <row r="226" spans="1:26" ht="13.2">
      <c r="A226" s="13">
        <v>44250.749108796299</v>
      </c>
      <c r="B226" s="6" t="str">
        <f>HYPERLINK("https://twitter.com/nataopita","@nataopita")</f>
        <v>@nataopita</v>
      </c>
      <c r="C226" s="14" t="s">
        <v>1155</v>
      </c>
      <c r="D226" s="14" t="s">
        <v>1156</v>
      </c>
      <c r="E226" s="6" t="str">
        <f>HYPERLINK("https://twitter.com/nataopita/status/1364258398057996290","1364258398057996290")</f>
        <v>1364258398057996290</v>
      </c>
      <c r="F226" s="7" t="s">
        <v>1157</v>
      </c>
      <c r="G226" s="7" t="s">
        <v>1158</v>
      </c>
      <c r="H226" s="8"/>
      <c r="I226" s="14">
        <v>0</v>
      </c>
      <c r="J226" s="14">
        <v>1</v>
      </c>
      <c r="K226" s="6" t="str">
        <f>HYPERLINK("http://www.everyonesocial.com","EveryoneSocial")</f>
        <v>EveryoneSocial</v>
      </c>
      <c r="L226" s="15">
        <v>25</v>
      </c>
      <c r="M226" s="15">
        <v>14</v>
      </c>
      <c r="N226" s="15">
        <v>0</v>
      </c>
      <c r="O226" s="9"/>
      <c r="P226" s="10">
        <v>42084.789456018523</v>
      </c>
      <c r="Q226" s="14" t="s">
        <v>1159</v>
      </c>
      <c r="R226" s="8"/>
      <c r="S226" s="8"/>
      <c r="T226" s="8"/>
      <c r="U226" s="11" t="str">
        <f>HYPERLINK("https://pbs.twimg.com/profile_images/803910784661258240/M-ZGRjtR.jpg","View")</f>
        <v>View</v>
      </c>
      <c r="V226" s="8"/>
      <c r="W226" s="8"/>
      <c r="X226" s="8"/>
      <c r="Y226" s="8"/>
      <c r="Z226" s="8"/>
    </row>
    <row r="227" spans="1:26" ht="13.2">
      <c r="A227" s="13">
        <v>44250.749050925922</v>
      </c>
      <c r="B227" s="6" t="str">
        <f>HYPERLINK("https://twitter.com/freeag8","@freeag8")</f>
        <v>@freeag8</v>
      </c>
      <c r="C227" s="14" t="s">
        <v>1160</v>
      </c>
      <c r="D227" s="14" t="s">
        <v>1161</v>
      </c>
      <c r="E227" s="6" t="str">
        <f>HYPERLINK("https://twitter.com/freeag8/status/1364258376960544769","1364258376960544769")</f>
        <v>1364258376960544769</v>
      </c>
      <c r="F227" s="7" t="s">
        <v>1162</v>
      </c>
      <c r="G227" s="8"/>
      <c r="H227" s="8"/>
      <c r="I227" s="14">
        <v>0</v>
      </c>
      <c r="J227" s="14">
        <v>0</v>
      </c>
      <c r="K227" s="6" t="str">
        <f t="shared" ref="K227:K228" si="25">HYPERLINK("https://mobile.twitter.com","Twitter Web App")</f>
        <v>Twitter Web App</v>
      </c>
      <c r="L227" s="15">
        <v>7736</v>
      </c>
      <c r="M227" s="15">
        <v>4874</v>
      </c>
      <c r="N227" s="15">
        <v>83</v>
      </c>
      <c r="O227" s="9"/>
      <c r="P227" s="10">
        <v>43155.080266203702</v>
      </c>
      <c r="Q227" s="14" t="s">
        <v>1163</v>
      </c>
      <c r="R227" s="14" t="s">
        <v>1164</v>
      </c>
      <c r="S227" s="7" t="s">
        <v>1165</v>
      </c>
      <c r="T227" s="8"/>
      <c r="U227" s="11" t="str">
        <f>HYPERLINK("https://pbs.twimg.com/profile_images/967202034574217217/nYHxhCpL.jpg","View")</f>
        <v>View</v>
      </c>
      <c r="V227" s="8"/>
      <c r="W227" s="8"/>
      <c r="X227" s="8"/>
      <c r="Y227" s="8"/>
      <c r="Z227" s="8"/>
    </row>
    <row r="228" spans="1:26" ht="13.2">
      <c r="A228" s="13">
        <v>44250.748842592591</v>
      </c>
      <c r="B228" s="6" t="str">
        <f>HYPERLINK("https://twitter.com/RiponDevSharma1","@RiponDevSharma1")</f>
        <v>@RiponDevSharma1</v>
      </c>
      <c r="C228" s="14" t="s">
        <v>1166</v>
      </c>
      <c r="D228" s="14" t="s">
        <v>1167</v>
      </c>
      <c r="E228" s="6" t="str">
        <f>HYPERLINK("https://twitter.com/RiponDevSharma1/status/1364258300183908357","1364258300183908357")</f>
        <v>1364258300183908357</v>
      </c>
      <c r="F228" s="7" t="s">
        <v>1168</v>
      </c>
      <c r="G228" s="7" t="s">
        <v>1169</v>
      </c>
      <c r="H228" s="8"/>
      <c r="I228" s="14">
        <v>0</v>
      </c>
      <c r="J228" s="14">
        <v>0</v>
      </c>
      <c r="K228" s="6" t="str">
        <f t="shared" si="25"/>
        <v>Twitter Web App</v>
      </c>
      <c r="L228" s="15">
        <v>210</v>
      </c>
      <c r="M228" s="15">
        <v>1482</v>
      </c>
      <c r="N228" s="15">
        <v>0</v>
      </c>
      <c r="O228" s="9"/>
      <c r="P228" s="10">
        <v>44231.139490740738</v>
      </c>
      <c r="Q228" s="14" t="s">
        <v>1170</v>
      </c>
      <c r="R228" s="14" t="s">
        <v>1171</v>
      </c>
      <c r="S228" s="7" t="s">
        <v>1172</v>
      </c>
      <c r="T228" s="8"/>
      <c r="U228" s="11" t="str">
        <f>HYPERLINK("https://pbs.twimg.com/profile_images/1361879726961217536/7cwsVium.jpg","View")</f>
        <v>View</v>
      </c>
      <c r="V228" s="8"/>
      <c r="W228" s="8"/>
      <c r="X228" s="8"/>
      <c r="Y228" s="8"/>
      <c r="Z228" s="8"/>
    </row>
    <row r="229" spans="1:26" ht="13.2">
      <c r="A229" s="13">
        <v>44250.748831018514</v>
      </c>
      <c r="B229" s="6" t="str">
        <f>HYPERLINK("https://twitter.com/MLWhiz","@MLWhiz")</f>
        <v>@MLWhiz</v>
      </c>
      <c r="C229" s="14" t="s">
        <v>1173</v>
      </c>
      <c r="D229" s="14" t="s">
        <v>1174</v>
      </c>
      <c r="E229" s="6" t="str">
        <f>HYPERLINK("https://twitter.com/MLWhiz/status/1364258295624704000","1364258295624704000")</f>
        <v>1364258295624704000</v>
      </c>
      <c r="F229" s="7" t="s">
        <v>1175</v>
      </c>
      <c r="G229" s="7" t="s">
        <v>1176</v>
      </c>
      <c r="H229" s="8"/>
      <c r="I229" s="14">
        <v>1</v>
      </c>
      <c r="J229" s="14">
        <v>1</v>
      </c>
      <c r="K229" s="6" t="str">
        <f>HYPERLINK("https://missinglettr.com","Missinglettr")</f>
        <v>Missinglettr</v>
      </c>
      <c r="L229" s="15">
        <v>1951</v>
      </c>
      <c r="M229" s="15">
        <v>235</v>
      </c>
      <c r="N229" s="15">
        <v>61</v>
      </c>
      <c r="O229" s="9"/>
      <c r="P229" s="10">
        <v>40062.971597222218</v>
      </c>
      <c r="Q229" s="14" t="s">
        <v>753</v>
      </c>
      <c r="R229" s="14" t="s">
        <v>1177</v>
      </c>
      <c r="S229" s="7" t="s">
        <v>1178</v>
      </c>
      <c r="T229" s="8"/>
      <c r="U229" s="11" t="str">
        <f>HYPERLINK("https://pbs.twimg.com/profile_images/1292181673312784384/xU7Wselt.jpg","View")</f>
        <v>View</v>
      </c>
      <c r="V229" s="8"/>
      <c r="W229" s="8"/>
      <c r="X229" s="8"/>
      <c r="Y229" s="8"/>
      <c r="Z229" s="8"/>
    </row>
    <row r="230" spans="1:26" ht="13.2">
      <c r="A230" s="13">
        <v>44250.748622685191</v>
      </c>
      <c r="B230" s="6" t="str">
        <f>HYPERLINK("https://twitter.com/JasSood","@JasSood")</f>
        <v>@JasSood</v>
      </c>
      <c r="C230" s="14" t="s">
        <v>1179</v>
      </c>
      <c r="D230" s="14" t="s">
        <v>1180</v>
      </c>
      <c r="E230" s="6" t="str">
        <f>HYPERLINK("https://twitter.com/JasSood/status/1364258220852740096","1364258220852740096")</f>
        <v>1364258220852740096</v>
      </c>
      <c r="F230" s="7" t="s">
        <v>1181</v>
      </c>
      <c r="G230" s="7" t="s">
        <v>1182</v>
      </c>
      <c r="H230" s="8"/>
      <c r="I230" s="14">
        <v>1</v>
      </c>
      <c r="J230" s="14">
        <v>0</v>
      </c>
      <c r="K230" s="6" t="str">
        <f>HYPERLINK("http://dynamicsignal.com/","Dynamic Signal")</f>
        <v>Dynamic Signal</v>
      </c>
      <c r="L230" s="15">
        <v>161</v>
      </c>
      <c r="M230" s="15">
        <v>56</v>
      </c>
      <c r="N230" s="15">
        <v>1</v>
      </c>
      <c r="O230" s="9"/>
      <c r="P230" s="10">
        <v>41914.628472222219</v>
      </c>
      <c r="Q230" s="8"/>
      <c r="R230" s="8"/>
      <c r="S230" s="8"/>
      <c r="T230" s="8"/>
      <c r="U230" s="11" t="str">
        <f>HYPERLINK("https://pbs.twimg.com/profile_images/1202122712874770432/rH0IOX7b.jpg","View")</f>
        <v>View</v>
      </c>
      <c r="V230" s="8"/>
      <c r="W230" s="8"/>
      <c r="X230" s="8"/>
      <c r="Y230" s="8"/>
      <c r="Z230" s="8"/>
    </row>
    <row r="231" spans="1:26" ht="13.2">
      <c r="A231" s="13">
        <v>44250.747662037036</v>
      </c>
      <c r="B231" s="6" t="str">
        <f>HYPERLINK("https://twitter.com/Underfox3","@Underfox3")</f>
        <v>@Underfox3</v>
      </c>
      <c r="C231" s="14" t="s">
        <v>1183</v>
      </c>
      <c r="D231" s="14" t="s">
        <v>1184</v>
      </c>
      <c r="E231" s="6" t="str">
        <f>HYPERLINK("https://twitter.com/Underfox3/status/1364257874529161219","1364257874529161219")</f>
        <v>1364257874529161219</v>
      </c>
      <c r="F231" s="7" t="s">
        <v>1185</v>
      </c>
      <c r="G231" s="7" t="s">
        <v>1186</v>
      </c>
      <c r="H231" s="8"/>
      <c r="I231" s="14">
        <v>2</v>
      </c>
      <c r="J231" s="14">
        <v>7</v>
      </c>
      <c r="K231" s="6" t="str">
        <f t="shared" ref="K231:K235" si="26">HYPERLINK("https://mobile.twitter.com","Twitter Web App")</f>
        <v>Twitter Web App</v>
      </c>
      <c r="L231" s="15">
        <v>3353</v>
      </c>
      <c r="M231" s="15">
        <v>133</v>
      </c>
      <c r="N231" s="15">
        <v>56</v>
      </c>
      <c r="O231" s="9"/>
      <c r="P231" s="10">
        <v>43080.100162037037</v>
      </c>
      <c r="Q231" s="8"/>
      <c r="R231" s="14" t="s">
        <v>1187</v>
      </c>
      <c r="S231" s="8"/>
      <c r="T231" s="8"/>
      <c r="U231" s="11" t="str">
        <f>HYPERLINK("https://pbs.twimg.com/profile_images/1359987733767335948/uw_17A_S.jpg","View")</f>
        <v>View</v>
      </c>
      <c r="V231" s="8"/>
      <c r="W231" s="8"/>
      <c r="X231" s="8"/>
      <c r="Y231" s="8"/>
      <c r="Z231" s="8"/>
    </row>
    <row r="232" spans="1:26" ht="13.2">
      <c r="A232" s="13">
        <v>44250.747395833328</v>
      </c>
      <c r="B232" s="6" t="str">
        <f>HYPERLINK("https://twitter.com/MetOffice_Sci","@MetOffice_Sci")</f>
        <v>@MetOffice_Sci</v>
      </c>
      <c r="C232" s="14" t="s">
        <v>1188</v>
      </c>
      <c r="D232" s="14" t="s">
        <v>1189</v>
      </c>
      <c r="E232" s="6" t="str">
        <f>HYPERLINK("https://twitter.com/MetOffice_Sci/status/1364257776600555522","1364257776600555522")</f>
        <v>1364257776600555522</v>
      </c>
      <c r="F232" s="7" t="s">
        <v>1190</v>
      </c>
      <c r="G232" s="7" t="s">
        <v>1191</v>
      </c>
      <c r="H232" s="8"/>
      <c r="I232" s="14">
        <v>2</v>
      </c>
      <c r="J232" s="14">
        <v>2</v>
      </c>
      <c r="K232" s="6" t="str">
        <f t="shared" si="26"/>
        <v>Twitter Web App</v>
      </c>
      <c r="L232" s="15">
        <v>8281</v>
      </c>
      <c r="M232" s="15">
        <v>443</v>
      </c>
      <c r="N232" s="15">
        <v>141</v>
      </c>
      <c r="O232" s="15" t="s">
        <v>130</v>
      </c>
      <c r="P232" s="10">
        <v>42639.714594907404</v>
      </c>
      <c r="Q232" s="14" t="s">
        <v>1192</v>
      </c>
      <c r="R232" s="14" t="s">
        <v>1193</v>
      </c>
      <c r="S232" s="7" t="s">
        <v>1194</v>
      </c>
      <c r="T232" s="8"/>
      <c r="U232" s="11" t="str">
        <f>HYPERLINK("https://pbs.twimg.com/profile_images/1323211918778183680/H6rm5VsM.jpg","View")</f>
        <v>View</v>
      </c>
      <c r="V232" s="8"/>
      <c r="W232" s="8"/>
      <c r="X232" s="8"/>
      <c r="Y232" s="8"/>
      <c r="Z232" s="8"/>
    </row>
    <row r="233" spans="1:26" ht="13.2">
      <c r="A233" s="13">
        <v>44250.747361111113</v>
      </c>
      <c r="B233" s="6" t="str">
        <f>HYPERLINK("https://twitter.com/eriphar","@eriphar")</f>
        <v>@eriphar</v>
      </c>
      <c r="C233" s="14" t="s">
        <v>1195</v>
      </c>
      <c r="D233" s="14" t="s">
        <v>1196</v>
      </c>
      <c r="E233" s="6" t="str">
        <f>HYPERLINK("https://twitter.com/eriphar/status/1364257765032624130","1364257765032624130")</f>
        <v>1364257765032624130</v>
      </c>
      <c r="F233" s="7" t="s">
        <v>1197</v>
      </c>
      <c r="G233" s="7" t="s">
        <v>1198</v>
      </c>
      <c r="H233" s="8"/>
      <c r="I233" s="14">
        <v>0</v>
      </c>
      <c r="J233" s="14">
        <v>0</v>
      </c>
      <c r="K233" s="6" t="str">
        <f t="shared" si="26"/>
        <v>Twitter Web App</v>
      </c>
      <c r="L233" s="15">
        <v>270</v>
      </c>
      <c r="M233" s="15">
        <v>598</v>
      </c>
      <c r="N233" s="15">
        <v>3</v>
      </c>
      <c r="O233" s="9"/>
      <c r="P233" s="10">
        <v>43237.791874999995</v>
      </c>
      <c r="Q233" s="14" t="s">
        <v>1199</v>
      </c>
      <c r="R233" s="14" t="s">
        <v>1200</v>
      </c>
      <c r="S233" s="7" t="s">
        <v>1201</v>
      </c>
      <c r="T233" s="8"/>
      <c r="U233" s="11" t="str">
        <f>HYPERLINK("https://pbs.twimg.com/profile_images/1336004951038943238/x4Xq-nqn.jpg","View")</f>
        <v>View</v>
      </c>
      <c r="V233" s="8"/>
      <c r="W233" s="8"/>
      <c r="X233" s="8"/>
      <c r="Y233" s="8"/>
      <c r="Z233" s="8"/>
    </row>
    <row r="234" spans="1:26" ht="13.2">
      <c r="A234" s="13">
        <v>44250.747256944444</v>
      </c>
      <c r="B234" s="6" t="str">
        <f>HYPERLINK("https://twitter.com/WiebkeArlt","@WiebkeArlt")</f>
        <v>@WiebkeArlt</v>
      </c>
      <c r="C234" s="14" t="s">
        <v>1202</v>
      </c>
      <c r="D234" s="14" t="s">
        <v>1203</v>
      </c>
      <c r="E234" s="6" t="str">
        <f>HYPERLINK("https://twitter.com/WiebkeArlt/status/1364257727833395210","1364257727833395210")</f>
        <v>1364257727833395210</v>
      </c>
      <c r="F234" s="8"/>
      <c r="G234" s="7" t="s">
        <v>1204</v>
      </c>
      <c r="H234" s="8"/>
      <c r="I234" s="14">
        <v>1</v>
      </c>
      <c r="J234" s="14">
        <v>6</v>
      </c>
      <c r="K234" s="6" t="str">
        <f t="shared" si="26"/>
        <v>Twitter Web App</v>
      </c>
      <c r="L234" s="15">
        <v>2410</v>
      </c>
      <c r="M234" s="15">
        <v>858</v>
      </c>
      <c r="N234" s="15">
        <v>16</v>
      </c>
      <c r="O234" s="9"/>
      <c r="P234" s="10">
        <v>42425.649733796294</v>
      </c>
      <c r="Q234" s="14" t="s">
        <v>1205</v>
      </c>
      <c r="R234" s="14" t="s">
        <v>1206</v>
      </c>
      <c r="S234" s="7" t="s">
        <v>1207</v>
      </c>
      <c r="T234" s="8"/>
      <c r="U234" s="11" t="str">
        <f>HYPERLINK("https://pbs.twimg.com/profile_images/1347881028338253824/7p0GBKlE.jpg","View")</f>
        <v>View</v>
      </c>
      <c r="V234" s="8"/>
      <c r="W234" s="8"/>
      <c r="X234" s="8"/>
      <c r="Y234" s="8"/>
      <c r="Z234" s="8"/>
    </row>
    <row r="235" spans="1:26" ht="13.2">
      <c r="A235" s="13">
        <v>44250.746990740736</v>
      </c>
      <c r="B235" s="6" t="str">
        <f>HYPERLINK("https://twitter.com/data_monsters","@data_monsters")</f>
        <v>@data_monsters</v>
      </c>
      <c r="C235" s="14" t="s">
        <v>1208</v>
      </c>
      <c r="D235" s="14" t="s">
        <v>1209</v>
      </c>
      <c r="E235" s="6" t="str">
        <f>HYPERLINK("https://twitter.com/data_monsters/status/1364257629225193472","1364257629225193472")</f>
        <v>1364257629225193472</v>
      </c>
      <c r="F235" s="7" t="s">
        <v>1210</v>
      </c>
      <c r="G235" s="8"/>
      <c r="H235" s="8"/>
      <c r="I235" s="14">
        <v>0</v>
      </c>
      <c r="J235" s="14">
        <v>0</v>
      </c>
      <c r="K235" s="6" t="str">
        <f t="shared" si="26"/>
        <v>Twitter Web App</v>
      </c>
      <c r="L235" s="15">
        <v>12103</v>
      </c>
      <c r="M235" s="15">
        <v>4931</v>
      </c>
      <c r="N235" s="15">
        <v>172</v>
      </c>
      <c r="O235" s="9"/>
      <c r="P235" s="10">
        <v>42410.593576388885</v>
      </c>
      <c r="Q235" s="14" t="s">
        <v>390</v>
      </c>
      <c r="R235" s="14" t="s">
        <v>1211</v>
      </c>
      <c r="S235" s="7" t="s">
        <v>1212</v>
      </c>
      <c r="T235" s="8"/>
      <c r="U235" s="11" t="str">
        <f>HYPERLINK("https://pbs.twimg.com/profile_images/1357055271550349313/9X_oRn8e.jpg","View")</f>
        <v>View</v>
      </c>
      <c r="V235" s="8"/>
      <c r="W235" s="8"/>
      <c r="X235" s="8"/>
      <c r="Y235" s="8"/>
      <c r="Z235" s="8"/>
    </row>
    <row r="236" spans="1:26" ht="13.2">
      <c r="A236" s="13">
        <v>44250.746608796297</v>
      </c>
      <c r="B236" s="6" t="str">
        <f>HYPERLINK("https://twitter.com/UofT_TCAIREM","@UofT_TCAIREM")</f>
        <v>@UofT_TCAIREM</v>
      </c>
      <c r="C236" s="14" t="s">
        <v>1213</v>
      </c>
      <c r="D236" s="14" t="s">
        <v>1214</v>
      </c>
      <c r="E236" s="6" t="str">
        <f>HYPERLINK("https://twitter.com/UofT_TCAIREM/status/1364257490372853760","1364257490372853760")</f>
        <v>1364257490372853760</v>
      </c>
      <c r="F236" s="7" t="s">
        <v>1215</v>
      </c>
      <c r="G236" s="7" t="s">
        <v>1216</v>
      </c>
      <c r="H236" s="8"/>
      <c r="I236" s="14">
        <v>0</v>
      </c>
      <c r="J236" s="14">
        <v>0</v>
      </c>
      <c r="K236" s="6" t="str">
        <f>HYPERLINK("https://www.hootsuite.com","Hootsuite Inc.")</f>
        <v>Hootsuite Inc.</v>
      </c>
      <c r="L236" s="15">
        <v>625</v>
      </c>
      <c r="M236" s="15">
        <v>1330</v>
      </c>
      <c r="N236" s="15">
        <v>5</v>
      </c>
      <c r="O236" s="9"/>
      <c r="P236" s="10">
        <v>44078.8122337963</v>
      </c>
      <c r="Q236" s="14" t="s">
        <v>1217</v>
      </c>
      <c r="R236" s="14" t="s">
        <v>1218</v>
      </c>
      <c r="S236" s="7" t="s">
        <v>1219</v>
      </c>
      <c r="T236" s="8"/>
      <c r="U236" s="11" t="str">
        <f>HYPERLINK("https://pbs.twimg.com/profile_images/1324121822263185409/XujIy-bC.jpg","View")</f>
        <v>View</v>
      </c>
      <c r="V236" s="8"/>
      <c r="W236" s="8"/>
      <c r="X236" s="8"/>
      <c r="Y236" s="8"/>
      <c r="Z236" s="8"/>
    </row>
    <row r="237" spans="1:26" ht="13.2">
      <c r="A237" s="13">
        <v>44250.746018518519</v>
      </c>
      <c r="B237" s="6" t="str">
        <f t="shared" ref="B237:B238" si="27">HYPERLINK("https://twitter.com/Programmingbea2","@Programmingbea2")</f>
        <v>@Programmingbea2</v>
      </c>
      <c r="C237" s="14" t="s">
        <v>1220</v>
      </c>
      <c r="D237" s="14" t="s">
        <v>1221</v>
      </c>
      <c r="E237" s="6" t="str">
        <f>HYPERLINK("https://twitter.com/Programmingbea2/status/1364257277234925575","1364257277234925575")</f>
        <v>1364257277234925575</v>
      </c>
      <c r="F237" s="8"/>
      <c r="G237" s="8"/>
      <c r="H237" s="8"/>
      <c r="I237" s="14">
        <v>20</v>
      </c>
      <c r="J237" s="14">
        <v>11</v>
      </c>
      <c r="K237" s="6" t="str">
        <f t="shared" ref="K237:K238" si="28">HYPERLINK("https://mobile.twitter.com","Twitter Web App")</f>
        <v>Twitter Web App</v>
      </c>
      <c r="L237" s="15">
        <v>1275</v>
      </c>
      <c r="M237" s="15">
        <v>2330</v>
      </c>
      <c r="N237" s="15">
        <v>4</v>
      </c>
      <c r="O237" s="9"/>
      <c r="P237" s="10">
        <v>43964.922314814816</v>
      </c>
      <c r="Q237" s="14" t="s">
        <v>322</v>
      </c>
      <c r="R237" s="14" t="s">
        <v>1222</v>
      </c>
      <c r="S237" s="7" t="s">
        <v>1223</v>
      </c>
      <c r="T237" s="8"/>
      <c r="U237" s="11" t="str">
        <f t="shared" ref="U237:U238" si="29">HYPERLINK("https://pbs.twimg.com/profile_images/1260663222455001089/myzRF2Vd.jpg","View")</f>
        <v>View</v>
      </c>
      <c r="V237" s="8"/>
      <c r="W237" s="8"/>
      <c r="X237" s="8"/>
      <c r="Y237" s="8"/>
      <c r="Z237" s="8"/>
    </row>
    <row r="238" spans="1:26" ht="13.2">
      <c r="A238" s="13">
        <v>44250.745601851857</v>
      </c>
      <c r="B238" s="6" t="str">
        <f t="shared" si="27"/>
        <v>@Programmingbea2</v>
      </c>
      <c r="C238" s="14" t="s">
        <v>1220</v>
      </c>
      <c r="D238" s="14" t="s">
        <v>1224</v>
      </c>
      <c r="E238" s="6" t="str">
        <f>HYPERLINK("https://twitter.com/Programmingbea2/status/1364257127246618626","1364257127246618626")</f>
        <v>1364257127246618626</v>
      </c>
      <c r="F238" s="7" t="s">
        <v>1225</v>
      </c>
      <c r="G238" s="8"/>
      <c r="H238" s="8"/>
      <c r="I238" s="14">
        <v>3</v>
      </c>
      <c r="J238" s="14">
        <v>1</v>
      </c>
      <c r="K238" s="6" t="str">
        <f t="shared" si="28"/>
        <v>Twitter Web App</v>
      </c>
      <c r="L238" s="15">
        <v>1275</v>
      </c>
      <c r="M238" s="15">
        <v>2330</v>
      </c>
      <c r="N238" s="15">
        <v>4</v>
      </c>
      <c r="O238" s="9"/>
      <c r="P238" s="10">
        <v>43964.922314814816</v>
      </c>
      <c r="Q238" s="14" t="s">
        <v>322</v>
      </c>
      <c r="R238" s="14" t="s">
        <v>1222</v>
      </c>
      <c r="S238" s="7" t="s">
        <v>1223</v>
      </c>
      <c r="T238" s="8"/>
      <c r="U238" s="11" t="str">
        <f t="shared" si="29"/>
        <v>View</v>
      </c>
      <c r="V238" s="8"/>
      <c r="W238" s="8"/>
      <c r="X238" s="8"/>
      <c r="Y238" s="8"/>
      <c r="Z238" s="8"/>
    </row>
    <row r="239" spans="1:26" ht="13.2">
      <c r="A239" s="13">
        <v>44250.745601851857</v>
      </c>
      <c r="B239" s="6" t="str">
        <f>HYPERLINK("https://twitter.com/altis_t","@altis_t")</f>
        <v>@altis_t</v>
      </c>
      <c r="C239" s="14" t="s">
        <v>1226</v>
      </c>
      <c r="D239" s="14" t="s">
        <v>1227</v>
      </c>
      <c r="E239" s="6" t="str">
        <f>HYPERLINK("https://twitter.com/altis_t/status/1364257126676262914","1364257126676262914")</f>
        <v>1364257126676262914</v>
      </c>
      <c r="F239" s="14" t="s">
        <v>1228</v>
      </c>
      <c r="G239" s="7" t="s">
        <v>1229</v>
      </c>
      <c r="H239" s="8"/>
      <c r="I239" s="14">
        <v>2</v>
      </c>
      <c r="J239" s="14">
        <v>1</v>
      </c>
      <c r="K239" s="6" t="str">
        <f>HYPERLINK("http://twitter.com/download/android","Twitter for Android")</f>
        <v>Twitter for Android</v>
      </c>
      <c r="L239" s="15">
        <v>18</v>
      </c>
      <c r="M239" s="15">
        <v>53</v>
      </c>
      <c r="N239" s="15">
        <v>1</v>
      </c>
      <c r="O239" s="9"/>
      <c r="P239" s="10">
        <v>44036.830289351856</v>
      </c>
      <c r="Q239" s="8"/>
      <c r="R239" s="14" t="s">
        <v>1230</v>
      </c>
      <c r="S239" s="7" t="s">
        <v>1231</v>
      </c>
      <c r="T239" s="8"/>
      <c r="U239" s="11" t="str">
        <f>HYPERLINK("https://pbs.twimg.com/profile_images/1286727921990688768/a_QeFDUZ.jpg","View")</f>
        <v>View</v>
      </c>
      <c r="V239" s="8"/>
      <c r="W239" s="8"/>
      <c r="X239" s="8"/>
      <c r="Y239" s="8"/>
      <c r="Z239" s="8"/>
    </row>
    <row r="240" spans="1:26" ht="13.2">
      <c r="A240" s="13">
        <v>44250.745219907403</v>
      </c>
      <c r="B240" s="6" t="str">
        <f>HYPERLINK("https://twitter.com/esantapau","@esantapau")</f>
        <v>@esantapau</v>
      </c>
      <c r="C240" s="14" t="s">
        <v>1232</v>
      </c>
      <c r="D240" s="14" t="s">
        <v>1233</v>
      </c>
      <c r="E240" s="6" t="str">
        <f>HYPERLINK("https://twitter.com/esantapau/status/1364256987656118276","1364256987656118276")</f>
        <v>1364256987656118276</v>
      </c>
      <c r="F240" s="7" t="s">
        <v>1234</v>
      </c>
      <c r="G240" s="8"/>
      <c r="H240" s="8"/>
      <c r="I240" s="14">
        <v>0</v>
      </c>
      <c r="J240" s="14">
        <v>2</v>
      </c>
      <c r="K240" s="6" t="str">
        <f>HYPERLINK("https://mobile.twitter.com","Twitter Web App")</f>
        <v>Twitter Web App</v>
      </c>
      <c r="L240" s="15">
        <v>469</v>
      </c>
      <c r="M240" s="15">
        <v>495</v>
      </c>
      <c r="N240" s="15">
        <v>11</v>
      </c>
      <c r="O240" s="9"/>
      <c r="P240" s="10">
        <v>42693.856238425928</v>
      </c>
      <c r="Q240" s="8"/>
      <c r="R240" s="14" t="s">
        <v>1235</v>
      </c>
      <c r="S240" s="8"/>
      <c r="T240" s="8"/>
      <c r="U240" s="11" t="str">
        <f>HYPERLINK("https://pbs.twimg.com/profile_images/800063138041393153/BfI21SIO.jpg","View")</f>
        <v>View</v>
      </c>
      <c r="V240" s="8"/>
      <c r="W240" s="8"/>
      <c r="X240" s="8"/>
      <c r="Y240" s="8"/>
      <c r="Z240" s="8"/>
    </row>
    <row r="241" spans="1:26" ht="13.2">
      <c r="A241" s="13">
        <v>44250.744988425926</v>
      </c>
      <c r="B241" s="6" t="str">
        <f>HYPERLINK("https://twitter.com/TheRealJQuinten","@TheRealJQuinten")</f>
        <v>@TheRealJQuinten</v>
      </c>
      <c r="C241" s="14" t="s">
        <v>1236</v>
      </c>
      <c r="D241" s="14" t="s">
        <v>1237</v>
      </c>
      <c r="E241" s="6" t="str">
        <f>HYPERLINK("https://twitter.com/TheRealJQuinten/status/1364256904822673410","1364256904822673410")</f>
        <v>1364256904822673410</v>
      </c>
      <c r="F241" s="7" t="s">
        <v>1238</v>
      </c>
      <c r="G241" s="8"/>
      <c r="H241" s="8"/>
      <c r="I241" s="14">
        <v>0</v>
      </c>
      <c r="J241" s="14">
        <v>0</v>
      </c>
      <c r="K241" s="6" t="str">
        <f>HYPERLINK("http://twitter.com/download/iphone","Twitter for iPhone")</f>
        <v>Twitter for iPhone</v>
      </c>
      <c r="L241" s="15">
        <v>89</v>
      </c>
      <c r="M241" s="15">
        <v>699</v>
      </c>
      <c r="N241" s="15">
        <v>1</v>
      </c>
      <c r="O241" s="9"/>
      <c r="P241" s="10">
        <v>43727.255879629629</v>
      </c>
      <c r="Q241" s="14" t="s">
        <v>138</v>
      </c>
      <c r="R241" s="14" t="s">
        <v>1239</v>
      </c>
      <c r="S241" s="7" t="s">
        <v>1240</v>
      </c>
      <c r="T241" s="8"/>
      <c r="U241" s="11" t="str">
        <f>HYPERLINK("https://pbs.twimg.com/profile_images/1243394984365047809/oxIw9c5N.jpg","View")</f>
        <v>View</v>
      </c>
      <c r="V241" s="8"/>
      <c r="W241" s="8"/>
      <c r="X241" s="8"/>
      <c r="Y241" s="8"/>
      <c r="Z241" s="8"/>
    </row>
    <row r="242" spans="1:26" ht="13.2">
      <c r="A242" s="13">
        <v>44250.744432870371</v>
      </c>
      <c r="B242" s="6" t="str">
        <f>HYPERLINK("https://twitter.com/Programmingbea2","@Programmingbea2")</f>
        <v>@Programmingbea2</v>
      </c>
      <c r="C242" s="14" t="s">
        <v>1220</v>
      </c>
      <c r="D242" s="14" t="s">
        <v>1241</v>
      </c>
      <c r="E242" s="6" t="str">
        <f>HYPERLINK("https://twitter.com/Programmingbea2/status/1364256703882006531","1364256703882006531")</f>
        <v>1364256703882006531</v>
      </c>
      <c r="F242" s="8"/>
      <c r="G242" s="8"/>
      <c r="H242" s="8"/>
      <c r="I242" s="14">
        <v>15</v>
      </c>
      <c r="J242" s="14">
        <v>6</v>
      </c>
      <c r="K242" s="6" t="str">
        <f t="shared" ref="K242:K243" si="30">HYPERLINK("https://mobile.twitter.com","Twitter Web App")</f>
        <v>Twitter Web App</v>
      </c>
      <c r="L242" s="15">
        <v>1275</v>
      </c>
      <c r="M242" s="15">
        <v>2330</v>
      </c>
      <c r="N242" s="15">
        <v>4</v>
      </c>
      <c r="O242" s="9"/>
      <c r="P242" s="10">
        <v>43964.922314814816</v>
      </c>
      <c r="Q242" s="14" t="s">
        <v>322</v>
      </c>
      <c r="R242" s="14" t="s">
        <v>1222</v>
      </c>
      <c r="S242" s="7" t="s">
        <v>1223</v>
      </c>
      <c r="T242" s="8"/>
      <c r="U242" s="11" t="str">
        <f>HYPERLINK("https://pbs.twimg.com/profile_images/1260663222455001089/myzRF2Vd.jpg","View")</f>
        <v>View</v>
      </c>
      <c r="V242" s="8"/>
      <c r="W242" s="8"/>
      <c r="X242" s="8"/>
      <c r="Y242" s="8"/>
      <c r="Z242" s="8"/>
    </row>
    <row r="243" spans="1:26" ht="13.2">
      <c r="A243" s="13">
        <v>44250.743784722217</v>
      </c>
      <c r="B243" s="6" t="str">
        <f>HYPERLINK("https://twitter.com/BlueCloudtech","@BlueCloudtech")</f>
        <v>@BlueCloudtech</v>
      </c>
      <c r="C243" s="14" t="s">
        <v>1242</v>
      </c>
      <c r="D243" s="14" t="s">
        <v>1243</v>
      </c>
      <c r="E243" s="6" t="str">
        <f>HYPERLINK("https://twitter.com/BlueCloudtech/status/1364256469709774849","1364256469709774849")</f>
        <v>1364256469709774849</v>
      </c>
      <c r="F243" s="7" t="s">
        <v>1244</v>
      </c>
      <c r="G243" s="7" t="s">
        <v>1245</v>
      </c>
      <c r="H243" s="8"/>
      <c r="I243" s="14">
        <v>0</v>
      </c>
      <c r="J243" s="14">
        <v>0</v>
      </c>
      <c r="K243" s="6" t="str">
        <f t="shared" si="30"/>
        <v>Twitter Web App</v>
      </c>
      <c r="L243" s="15">
        <v>242</v>
      </c>
      <c r="M243" s="15">
        <v>649</v>
      </c>
      <c r="N243" s="15">
        <v>4</v>
      </c>
      <c r="O243" s="9"/>
      <c r="P243" s="10">
        <v>43488.246562500004</v>
      </c>
      <c r="Q243" s="14" t="s">
        <v>1246</v>
      </c>
      <c r="R243" s="14" t="s">
        <v>1247</v>
      </c>
      <c r="S243" s="7" t="s">
        <v>1248</v>
      </c>
      <c r="T243" s="8"/>
      <c r="U243" s="11" t="str">
        <f>HYPERLINK("https://pbs.twimg.com/profile_images/1253591788415340544/iONNPzEQ.jpg","View")</f>
        <v>View</v>
      </c>
      <c r="V243" s="8"/>
      <c r="W243" s="8"/>
      <c r="X243" s="8"/>
      <c r="Y243" s="8"/>
      <c r="Z243" s="8"/>
    </row>
    <row r="244" spans="1:26" ht="13.2">
      <c r="A244" s="13">
        <v>44250.743101851855</v>
      </c>
      <c r="B244" s="6" t="str">
        <f>HYPERLINK("https://twitter.com/bigdataconf","@bigdataconf")</f>
        <v>@bigdataconf</v>
      </c>
      <c r="C244" s="14" t="s">
        <v>78</v>
      </c>
      <c r="D244" s="14" t="s">
        <v>1249</v>
      </c>
      <c r="E244" s="6" t="str">
        <f>HYPERLINK("https://twitter.com/bigdataconf/status/1364256220803178499","1364256220803178499")</f>
        <v>1364256220803178499</v>
      </c>
      <c r="F244" s="7" t="s">
        <v>1250</v>
      </c>
      <c r="G244" s="8"/>
      <c r="H244" s="8"/>
      <c r="I244" s="14">
        <v>13</v>
      </c>
      <c r="J244" s="14">
        <v>5</v>
      </c>
      <c r="K244" s="6" t="str">
        <f>HYPERLINK("https://buffer.com","Buffer")</f>
        <v>Buffer</v>
      </c>
      <c r="L244" s="15">
        <v>6752</v>
      </c>
      <c r="M244" s="15">
        <v>4333</v>
      </c>
      <c r="N244" s="15">
        <v>1236</v>
      </c>
      <c r="O244" s="9"/>
      <c r="P244" s="10">
        <v>41238.332962962959</v>
      </c>
      <c r="Q244" s="14" t="s">
        <v>81</v>
      </c>
      <c r="R244" s="14" t="s">
        <v>82</v>
      </c>
      <c r="S244" s="7" t="s">
        <v>83</v>
      </c>
      <c r="T244" s="8"/>
      <c r="U244" s="11" t="str">
        <f>HYPERLINK("https://pbs.twimg.com/profile_images/1347252050757709824/mnYHBPAA.jpg","View")</f>
        <v>View</v>
      </c>
      <c r="V244" s="8"/>
      <c r="W244" s="8"/>
      <c r="X244" s="8"/>
      <c r="Y244" s="8"/>
      <c r="Z244" s="8"/>
    </row>
    <row r="245" spans="1:26" ht="13.2">
      <c r="A245" s="13">
        <v>44250.743043981478</v>
      </c>
      <c r="B245" s="6" t="str">
        <f>HYPERLINK("https://twitter.com/diggernautcom","@diggernautcom")</f>
        <v>@diggernautcom</v>
      </c>
      <c r="C245" s="14" t="s">
        <v>1251</v>
      </c>
      <c r="D245" s="14" t="s">
        <v>1252</v>
      </c>
      <c r="E245" s="6" t="str">
        <f>HYPERLINK("https://twitter.com/diggernautcom/status/1364256201295466503","1364256201295466503")</f>
        <v>1364256201295466503</v>
      </c>
      <c r="F245" s="7" t="s">
        <v>1253</v>
      </c>
      <c r="G245" s="8"/>
      <c r="H245" s="8"/>
      <c r="I245" s="14">
        <v>0</v>
      </c>
      <c r="J245" s="14">
        <v>0</v>
      </c>
      <c r="K245" s="6" t="str">
        <f>HYPERLINK("https://paper.li","Paper.li")</f>
        <v>Paper.li</v>
      </c>
      <c r="L245" s="15">
        <v>2084</v>
      </c>
      <c r="M245" s="15">
        <v>994</v>
      </c>
      <c r="N245" s="15">
        <v>17</v>
      </c>
      <c r="O245" s="9"/>
      <c r="P245" s="10">
        <v>42535.614212962959</v>
      </c>
      <c r="Q245" s="14" t="s">
        <v>1254</v>
      </c>
      <c r="R245" s="14" t="s">
        <v>1255</v>
      </c>
      <c r="S245" s="7" t="s">
        <v>1256</v>
      </c>
      <c r="T245" s="8"/>
      <c r="U245" s="11" t="str">
        <f>HYPERLINK("https://pbs.twimg.com/profile_images/765314524140474368/5epvIj7T.jpg","View")</f>
        <v>View</v>
      </c>
      <c r="V245" s="8"/>
      <c r="W245" s="8"/>
      <c r="X245" s="8"/>
      <c r="Y245" s="8"/>
      <c r="Z245" s="8"/>
    </row>
    <row r="246" spans="1:26" ht="13.2">
      <c r="A246" s="13">
        <v>44250.742361111115</v>
      </c>
      <c r="B246" s="6" t="str">
        <f>HYPERLINK("https://twitter.com/KirkDBorne","@KirkDBorne")</f>
        <v>@KirkDBorne</v>
      </c>
      <c r="C246" s="14" t="s">
        <v>127</v>
      </c>
      <c r="D246" s="14" t="s">
        <v>1257</v>
      </c>
      <c r="E246" s="6" t="str">
        <f>HYPERLINK("https://twitter.com/KirkDBorne/status/1364255951876988932","1364255951876988932")</f>
        <v>1364255951876988932</v>
      </c>
      <c r="F246" s="7" t="s">
        <v>1258</v>
      </c>
      <c r="G246" s="7" t="s">
        <v>1259</v>
      </c>
      <c r="H246" s="8"/>
      <c r="I246" s="14">
        <v>2</v>
      </c>
      <c r="J246" s="14">
        <v>1</v>
      </c>
      <c r="K246" s="6" t="str">
        <f>HYPERLINK("https://about.twitter.com/products/tweetdeck","TweetDeck")</f>
        <v>TweetDeck</v>
      </c>
      <c r="L246" s="15">
        <v>273892</v>
      </c>
      <c r="M246" s="15">
        <v>8969</v>
      </c>
      <c r="N246" s="15">
        <v>8299</v>
      </c>
      <c r="O246" s="15" t="s">
        <v>130</v>
      </c>
      <c r="P246" s="10">
        <v>40991.732835648145</v>
      </c>
      <c r="Q246" s="14" t="s">
        <v>131</v>
      </c>
      <c r="R246" s="14" t="s">
        <v>132</v>
      </c>
      <c r="S246" s="7" t="s">
        <v>133</v>
      </c>
      <c r="T246" s="8"/>
      <c r="U246" s="11" t="str">
        <f>HYPERLINK("https://pbs.twimg.com/profile_images/1112733580948635648/s-8d1avb.jpg","View")</f>
        <v>View</v>
      </c>
      <c r="V246" s="8"/>
      <c r="W246" s="8"/>
      <c r="X246" s="8"/>
      <c r="Y246" s="8"/>
      <c r="Z246" s="8"/>
    </row>
    <row r="247" spans="1:26" ht="13.2">
      <c r="A247" s="13">
        <v>44250.742256944446</v>
      </c>
      <c r="B247" s="6" t="str">
        <f>HYPERLINK("https://twitter.com/DominikKlepl","@DominikKlepl")</f>
        <v>@DominikKlepl</v>
      </c>
      <c r="C247" s="14" t="s">
        <v>1260</v>
      </c>
      <c r="D247" s="14" t="s">
        <v>1261</v>
      </c>
      <c r="E247" s="6" t="str">
        <f>HYPERLINK("https://twitter.com/DominikKlepl/status/1364255913171968005","1364255913171968005")</f>
        <v>1364255913171968005</v>
      </c>
      <c r="F247" s="14" t="s">
        <v>1262</v>
      </c>
      <c r="G247" s="7" t="s">
        <v>1263</v>
      </c>
      <c r="H247" s="8"/>
      <c r="I247" s="14">
        <v>0</v>
      </c>
      <c r="J247" s="14">
        <v>2</v>
      </c>
      <c r="K247" s="6" t="str">
        <f>HYPERLINK("https://mobile.twitter.com","Twitter Web App")</f>
        <v>Twitter Web App</v>
      </c>
      <c r="L247" s="15">
        <v>3</v>
      </c>
      <c r="M247" s="15">
        <v>35</v>
      </c>
      <c r="N247" s="15">
        <v>1</v>
      </c>
      <c r="O247" s="9"/>
      <c r="P247" s="10">
        <v>41735.653761574074</v>
      </c>
      <c r="Q247" s="14" t="s">
        <v>1264</v>
      </c>
      <c r="R247" s="14" t="s">
        <v>1265</v>
      </c>
      <c r="S247" s="8"/>
      <c r="T247" s="8"/>
      <c r="U247" s="11" t="str">
        <f>HYPERLINK("https://pbs.twimg.com/profile_images/1364254073848016898/3VbTB8y8.jpg","View")</f>
        <v>View</v>
      </c>
      <c r="V247" s="8"/>
      <c r="W247" s="8"/>
      <c r="X247" s="8"/>
      <c r="Y247" s="8"/>
      <c r="Z247" s="8"/>
    </row>
    <row r="248" spans="1:26" ht="13.2">
      <c r="A248" s="13">
        <v>44250.742083333331</v>
      </c>
      <c r="B248" s="6" t="str">
        <f>HYPERLINK("https://twitter.com/machinelearnflx","@machinelearnflx")</f>
        <v>@machinelearnflx</v>
      </c>
      <c r="C248" s="14" t="s">
        <v>279</v>
      </c>
      <c r="D248" s="14" t="s">
        <v>1266</v>
      </c>
      <c r="E248" s="6" t="str">
        <f>HYPERLINK("https://twitter.com/machinelearnflx/status/1364255850890752004","1364255850890752004")</f>
        <v>1364255850890752004</v>
      </c>
      <c r="F248" s="7" t="s">
        <v>1267</v>
      </c>
      <c r="G248" s="8"/>
      <c r="H248" s="8"/>
      <c r="I248" s="14">
        <v>1</v>
      </c>
      <c r="J248" s="14">
        <v>4</v>
      </c>
      <c r="K248" s="6" t="str">
        <f>HYPERLINK("https://twitter.com/pythonbot_","Postmatico")</f>
        <v>Postmatico</v>
      </c>
      <c r="L248" s="15">
        <v>90451</v>
      </c>
      <c r="M248" s="15">
        <v>35464</v>
      </c>
      <c r="N248" s="15">
        <v>2227</v>
      </c>
      <c r="O248" s="9"/>
      <c r="P248" s="10">
        <v>42386.538865740746</v>
      </c>
      <c r="Q248" s="8"/>
      <c r="R248" s="14" t="s">
        <v>282</v>
      </c>
      <c r="S248" s="7" t="s">
        <v>283</v>
      </c>
      <c r="T248" s="8"/>
      <c r="U248" s="11" t="str">
        <f>HYPERLINK("https://pbs.twimg.com/profile_images/688735459892195329/v8sHaWSG.jpg","View")</f>
        <v>View</v>
      </c>
      <c r="V248" s="8"/>
      <c r="W248" s="8"/>
      <c r="X248" s="8"/>
      <c r="Y248" s="8"/>
      <c r="Z248" s="8"/>
    </row>
    <row r="249" spans="1:26" ht="13.2">
      <c r="A249" s="13">
        <v>44250.741724537038</v>
      </c>
      <c r="B249" s="6" t="str">
        <f>HYPERLINK("https://twitter.com/everythingCour1","@everythingCour1")</f>
        <v>@everythingCour1</v>
      </c>
      <c r="C249" s="14" t="s">
        <v>1268</v>
      </c>
      <c r="D249" s="14" t="s">
        <v>1269</v>
      </c>
      <c r="E249" s="6" t="str">
        <f>HYPERLINK("https://twitter.com/everythingCour1/status/1364255721127251968","1364255721127251968")</f>
        <v>1364255721127251968</v>
      </c>
      <c r="F249" s="7" t="s">
        <v>1270</v>
      </c>
      <c r="G249" s="7" t="s">
        <v>1271</v>
      </c>
      <c r="H249" s="8"/>
      <c r="I249" s="14">
        <v>21</v>
      </c>
      <c r="J249" s="14">
        <v>7</v>
      </c>
      <c r="K249" s="6" t="str">
        <f t="shared" ref="K249:K250" si="31">HYPERLINK("https://mobile.twitter.com","Twitter Web App")</f>
        <v>Twitter Web App</v>
      </c>
      <c r="L249" s="15">
        <v>451</v>
      </c>
      <c r="M249" s="15">
        <v>135</v>
      </c>
      <c r="N249" s="15">
        <v>14</v>
      </c>
      <c r="O249" s="9"/>
      <c r="P249" s="10">
        <v>43553.051527777774</v>
      </c>
      <c r="Q249" s="8"/>
      <c r="R249" s="14" t="s">
        <v>1272</v>
      </c>
      <c r="S249" s="7" t="s">
        <v>1273</v>
      </c>
      <c r="T249" s="8"/>
      <c r="U249" s="11" t="str">
        <f>HYPERLINK("https://pbs.twimg.com/profile_images/1111422724000243712/78aNeW6c.jpg","View")</f>
        <v>View</v>
      </c>
      <c r="V249" s="8"/>
      <c r="W249" s="8"/>
      <c r="X249" s="8"/>
      <c r="Y249" s="8"/>
      <c r="Z249" s="8"/>
    </row>
    <row r="250" spans="1:26" ht="13.2">
      <c r="A250" s="13">
        <v>44250.741006944445</v>
      </c>
      <c r="B250" s="6" t="str">
        <f>HYPERLINK("https://twitter.com/EquitusCorp","@EquitusCorp")</f>
        <v>@EquitusCorp</v>
      </c>
      <c r="C250" s="14" t="s">
        <v>1274</v>
      </c>
      <c r="D250" s="14" t="s">
        <v>1275</v>
      </c>
      <c r="E250" s="6" t="str">
        <f>HYPERLINK("https://twitter.com/EquitusCorp/status/1364255463571914756","1364255463571914756")</f>
        <v>1364255463571914756</v>
      </c>
      <c r="F250" s="8"/>
      <c r="G250" s="7" t="s">
        <v>1276</v>
      </c>
      <c r="H250" s="8"/>
      <c r="I250" s="14">
        <v>0</v>
      </c>
      <c r="J250" s="14">
        <v>0</v>
      </c>
      <c r="K250" s="6" t="str">
        <f t="shared" si="31"/>
        <v>Twitter Web App</v>
      </c>
      <c r="L250" s="15">
        <v>51</v>
      </c>
      <c r="M250" s="15">
        <v>87</v>
      </c>
      <c r="N250" s="15">
        <v>1</v>
      </c>
      <c r="O250" s="9"/>
      <c r="P250" s="10">
        <v>40809.801782407405</v>
      </c>
      <c r="Q250" s="14" t="s">
        <v>1277</v>
      </c>
      <c r="R250" s="14" t="s">
        <v>1278</v>
      </c>
      <c r="S250" s="7" t="s">
        <v>1279</v>
      </c>
      <c r="T250" s="8"/>
      <c r="U250" s="11" t="str">
        <f>HYPERLINK("https://pbs.twimg.com/profile_images/1246107290610159617/YmrBiA0Q.jpg","View")</f>
        <v>View</v>
      </c>
      <c r="V250" s="8"/>
      <c r="W250" s="8"/>
      <c r="X250" s="8"/>
      <c r="Y250" s="8"/>
      <c r="Z250" s="8"/>
    </row>
    <row r="251" spans="1:26" ht="13.2">
      <c r="A251" s="13">
        <v>44250.74082175926</v>
      </c>
      <c r="B251" s="6" t="str">
        <f>HYPERLINK("https://twitter.com/ChristianMcM","@ChristianMcM")</f>
        <v>@ChristianMcM</v>
      </c>
      <c r="C251" s="14" t="s">
        <v>1280</v>
      </c>
      <c r="D251" s="14" t="s">
        <v>1281</v>
      </c>
      <c r="E251" s="6" t="str">
        <f>HYPERLINK("https://twitter.com/ChristianMcM/status/1364255395389276161","1364255395389276161")</f>
        <v>1364255395389276161</v>
      </c>
      <c r="F251" s="7" t="s">
        <v>1282</v>
      </c>
      <c r="G251" s="8"/>
      <c r="H251" s="8"/>
      <c r="I251" s="14">
        <v>0</v>
      </c>
      <c r="J251" s="14">
        <v>0</v>
      </c>
      <c r="K251" s="6" t="str">
        <f>HYPERLINK("https://paper.li","Paper.li")</f>
        <v>Paper.li</v>
      </c>
      <c r="L251" s="15">
        <v>12570</v>
      </c>
      <c r="M251" s="15">
        <v>18455</v>
      </c>
      <c r="N251" s="15">
        <v>1114</v>
      </c>
      <c r="O251" s="15" t="s">
        <v>130</v>
      </c>
      <c r="P251" s="10">
        <v>39188.481724537036</v>
      </c>
      <c r="Q251" s="14" t="s">
        <v>1283</v>
      </c>
      <c r="R251" s="14" t="s">
        <v>1284</v>
      </c>
      <c r="S251" s="7" t="s">
        <v>1285</v>
      </c>
      <c r="T251" s="8"/>
      <c r="U251" s="11" t="str">
        <f>HYPERLINK("https://pbs.twimg.com/profile_images/705061904079835136/nNlfG3qW.jpg","View")</f>
        <v>View</v>
      </c>
      <c r="V251" s="8"/>
      <c r="W251" s="8"/>
      <c r="X251" s="8"/>
      <c r="Y251" s="8"/>
      <c r="Z251" s="8"/>
    </row>
    <row r="252" spans="1:26" ht="13.2">
      <c r="A252" s="13">
        <v>44250.74009259259</v>
      </c>
      <c r="B252" s="6" t="str">
        <f>HYPERLINK("https://twitter.com/ai_summary","@ai_summary")</f>
        <v>@ai_summary</v>
      </c>
      <c r="C252" s="14" t="s">
        <v>528</v>
      </c>
      <c r="D252" s="14" t="s">
        <v>1286</v>
      </c>
      <c r="E252" s="6" t="str">
        <f>HYPERLINK("https://twitter.com/ai_summary/status/1364255131013898246","1364255131013898246")</f>
        <v>1364255131013898246</v>
      </c>
      <c r="F252" s="7" t="s">
        <v>1287</v>
      </c>
      <c r="G252" s="8"/>
      <c r="H252" s="8"/>
      <c r="I252" s="14">
        <v>0</v>
      </c>
      <c r="J252" s="14">
        <v>0</v>
      </c>
      <c r="K252" s="8"/>
      <c r="L252" s="15">
        <v>47</v>
      </c>
      <c r="M252" s="15">
        <v>7</v>
      </c>
      <c r="N252" s="15">
        <v>2</v>
      </c>
      <c r="O252" s="9"/>
      <c r="P252" s="10">
        <v>44039.504699074074</v>
      </c>
      <c r="Q252" s="8"/>
      <c r="R252" s="14" t="s">
        <v>531</v>
      </c>
      <c r="S252" s="8"/>
      <c r="T252" s="8"/>
      <c r="U252" s="11" t="str">
        <f>HYPERLINK("https://pbs.twimg.com/profile_images/1315240281206382592/-i10o6Yg.jpg","View")</f>
        <v>View</v>
      </c>
      <c r="V252" s="8"/>
      <c r="W252" s="8"/>
      <c r="X252" s="8"/>
      <c r="Y252" s="8"/>
      <c r="Z252" s="8"/>
    </row>
    <row r="253" spans="1:26" ht="13.2">
      <c r="A253" s="13">
        <v>44250.739918981482</v>
      </c>
      <c r="B253" s="6" t="str">
        <f>HYPERLINK("https://twitter.com/dopamineharvest","@dopamineharvest")</f>
        <v>@dopamineharvest</v>
      </c>
      <c r="C253" s="14" t="s">
        <v>1288</v>
      </c>
      <c r="D253" s="14" t="s">
        <v>1289</v>
      </c>
      <c r="E253" s="6" t="str">
        <f>HYPERLINK("https://twitter.com/dopamineharvest/status/1364255066656559106","1364255066656559106")</f>
        <v>1364255066656559106</v>
      </c>
      <c r="F253" s="8"/>
      <c r="G253" s="7" t="s">
        <v>1290</v>
      </c>
      <c r="H253" s="8"/>
      <c r="I253" s="14">
        <v>0</v>
      </c>
      <c r="J253" s="14">
        <v>2</v>
      </c>
      <c r="K253" s="6" t="str">
        <f>HYPERLINK("http://pascal.cc/blog/glitches","GlitchDemon")</f>
        <v>GlitchDemon</v>
      </c>
      <c r="L253" s="15">
        <v>2199</v>
      </c>
      <c r="M253" s="15">
        <v>269</v>
      </c>
      <c r="N253" s="15">
        <v>25</v>
      </c>
      <c r="O253" s="9"/>
      <c r="P253" s="10">
        <v>43004.538657407407</v>
      </c>
      <c r="Q253" s="14" t="s">
        <v>1291</v>
      </c>
      <c r="R253" s="14" t="s">
        <v>1292</v>
      </c>
      <c r="S253" s="7" t="s">
        <v>1293</v>
      </c>
      <c r="T253" s="8"/>
      <c r="U253" s="11" t="str">
        <f>HYPERLINK("https://pbs.twimg.com/profile_images/931549616268627968/t0seYJqQ.jpg","View")</f>
        <v>View</v>
      </c>
      <c r="V253" s="8"/>
      <c r="W253" s="8"/>
      <c r="X253" s="8"/>
      <c r="Y253" s="8"/>
      <c r="Z253" s="8"/>
    </row>
    <row r="254" spans="1:26" ht="13.2">
      <c r="A254" s="13">
        <v>44250.739756944444</v>
      </c>
      <c r="B254" s="6" t="str">
        <f>HYPERLINK("https://twitter.com/altis_t","@altis_t")</f>
        <v>@altis_t</v>
      </c>
      <c r="C254" s="14" t="s">
        <v>1226</v>
      </c>
      <c r="D254" s="14" t="s">
        <v>1294</v>
      </c>
      <c r="E254" s="6" t="str">
        <f>HYPERLINK("https://twitter.com/altis_t/status/1364255010175864832","1364255010175864832")</f>
        <v>1364255010175864832</v>
      </c>
      <c r="F254" s="7" t="s">
        <v>1295</v>
      </c>
      <c r="G254" s="7" t="s">
        <v>1229</v>
      </c>
      <c r="H254" s="8"/>
      <c r="I254" s="14">
        <v>17</v>
      </c>
      <c r="J254" s="14">
        <v>8</v>
      </c>
      <c r="K254" s="6" t="str">
        <f t="shared" ref="K254:K255" si="32">HYPERLINK("http://twitter.com/download/android","Twitter for Android")</f>
        <v>Twitter for Android</v>
      </c>
      <c r="L254" s="15">
        <v>18</v>
      </c>
      <c r="M254" s="15">
        <v>53</v>
      </c>
      <c r="N254" s="15">
        <v>1</v>
      </c>
      <c r="O254" s="9"/>
      <c r="P254" s="10">
        <v>44036.830289351856</v>
      </c>
      <c r="Q254" s="8"/>
      <c r="R254" s="14" t="s">
        <v>1230</v>
      </c>
      <c r="S254" s="7" t="s">
        <v>1231</v>
      </c>
      <c r="T254" s="8"/>
      <c r="U254" s="11" t="str">
        <f>HYPERLINK("https://pbs.twimg.com/profile_images/1286727921990688768/a_QeFDUZ.jpg","View")</f>
        <v>View</v>
      </c>
      <c r="V254" s="8"/>
      <c r="W254" s="8"/>
      <c r="X254" s="8"/>
      <c r="Y254" s="8"/>
      <c r="Z254" s="8"/>
    </row>
    <row r="255" spans="1:26" ht="13.2">
      <c r="A255" s="13">
        <v>44250.739606481482</v>
      </c>
      <c r="B255" s="6" t="str">
        <f>HYPERLINK("https://twitter.com/data81026303","@data81026303")</f>
        <v>@data81026303</v>
      </c>
      <c r="C255" s="14" t="s">
        <v>1296</v>
      </c>
      <c r="D255" s="14" t="s">
        <v>1297</v>
      </c>
      <c r="E255" s="6" t="str">
        <f>HYPERLINK("https://twitter.com/data81026303/status/1364254955033403395","1364254955033403395")</f>
        <v>1364254955033403395</v>
      </c>
      <c r="F255" s="14" t="s">
        <v>1298</v>
      </c>
      <c r="G255" s="8"/>
      <c r="H255" s="8"/>
      <c r="I255" s="14">
        <v>8</v>
      </c>
      <c r="J255" s="14">
        <v>2</v>
      </c>
      <c r="K255" s="6" t="str">
        <f t="shared" si="32"/>
        <v>Twitter for Android</v>
      </c>
      <c r="L255" s="15">
        <v>10</v>
      </c>
      <c r="M255" s="15">
        <v>12</v>
      </c>
      <c r="N255" s="15">
        <v>0</v>
      </c>
      <c r="O255" s="9"/>
      <c r="P255" s="10">
        <v>44188.566759259258</v>
      </c>
      <c r="Q255" s="8"/>
      <c r="R255" s="14" t="s">
        <v>1299</v>
      </c>
      <c r="S255" s="7" t="s">
        <v>1300</v>
      </c>
      <c r="T255" s="8"/>
      <c r="U255" s="11" t="str">
        <f>HYPERLINK("https://pbs.twimg.com/profile_images/1345362011660509184/dGWAZGLW.jpg","View")</f>
        <v>View</v>
      </c>
      <c r="V255" s="8"/>
      <c r="W255" s="8"/>
      <c r="X255" s="8"/>
      <c r="Y255" s="8"/>
      <c r="Z255" s="8"/>
    </row>
    <row r="256" spans="1:26" ht="13.2">
      <c r="A256" s="13">
        <v>44250.739583333328</v>
      </c>
      <c r="B256" s="6" t="str">
        <f>HYPERLINK("https://twitter.com/Raamana_","@Raamana_")</f>
        <v>@Raamana_</v>
      </c>
      <c r="C256" s="14" t="s">
        <v>1301</v>
      </c>
      <c r="D256" s="14" t="s">
        <v>1302</v>
      </c>
      <c r="E256" s="6" t="str">
        <f>HYPERLINK("https://twitter.com/Raamana_/status/1364254945508261892","1364254945508261892")</f>
        <v>1364254945508261892</v>
      </c>
      <c r="F256" s="8"/>
      <c r="G256" s="7" t="s">
        <v>1303</v>
      </c>
      <c r="H256" s="8"/>
      <c r="I256" s="14">
        <v>1</v>
      </c>
      <c r="J256" s="14">
        <v>2</v>
      </c>
      <c r="K256" s="6" t="str">
        <f>HYPERLINK("https://mobile.twitter.com","Twitter Web App")</f>
        <v>Twitter Web App</v>
      </c>
      <c r="L256" s="15">
        <v>2628</v>
      </c>
      <c r="M256" s="15">
        <v>826</v>
      </c>
      <c r="N256" s="15">
        <v>120</v>
      </c>
      <c r="O256" s="9"/>
      <c r="P256" s="10">
        <v>40212.388113425928</v>
      </c>
      <c r="Q256" s="14" t="s">
        <v>1036</v>
      </c>
      <c r="R256" s="14" t="s">
        <v>1304</v>
      </c>
      <c r="S256" s="7" t="s">
        <v>1305</v>
      </c>
      <c r="T256" s="8"/>
      <c r="U256" s="11" t="str">
        <f>HYPERLINK("https://pbs.twimg.com/profile_images/1290840003157938178/X50oOtbB.jpg","View")</f>
        <v>View</v>
      </c>
      <c r="V256" s="8"/>
      <c r="W256" s="8"/>
      <c r="X256" s="8"/>
      <c r="Y256" s="8"/>
      <c r="Z256" s="8"/>
    </row>
    <row r="257" spans="1:26" ht="13.2">
      <c r="A257" s="13">
        <v>44250.739583333328</v>
      </c>
      <c r="B257" s="6" t="str">
        <f>HYPERLINK("https://twitter.com/v_vashishta","@v_vashishta")</f>
        <v>@v_vashishta</v>
      </c>
      <c r="C257" s="14" t="s">
        <v>1306</v>
      </c>
      <c r="D257" s="14" t="s">
        <v>1307</v>
      </c>
      <c r="E257" s="6" t="str">
        <f>HYPERLINK("https://twitter.com/v_vashishta/status/1364254945382309888","1364254945382309888")</f>
        <v>1364254945382309888</v>
      </c>
      <c r="F257" s="8"/>
      <c r="G257" s="8"/>
      <c r="H257" s="8"/>
      <c r="I257" s="14">
        <v>2</v>
      </c>
      <c r="J257" s="14">
        <v>3</v>
      </c>
      <c r="K257" s="6" t="str">
        <f>HYPERLINK("https://about.twitter.com/products/tweetdeck","TweetDeck")</f>
        <v>TweetDeck</v>
      </c>
      <c r="L257" s="15">
        <v>29323</v>
      </c>
      <c r="M257" s="15">
        <v>5438</v>
      </c>
      <c r="N257" s="15">
        <v>1942</v>
      </c>
      <c r="O257" s="9"/>
      <c r="P257" s="10">
        <v>40436.623113425929</v>
      </c>
      <c r="Q257" s="14" t="s">
        <v>1308</v>
      </c>
      <c r="R257" s="14" t="s">
        <v>1309</v>
      </c>
      <c r="S257" s="7" t="s">
        <v>1310</v>
      </c>
      <c r="T257" s="8"/>
      <c r="U257" s="11" t="str">
        <f>HYPERLINK("https://pbs.twimg.com/profile_images/1041812432388145153/GCVoviC3.jpg","View")</f>
        <v>View</v>
      </c>
      <c r="V257" s="8"/>
      <c r="W257" s="8"/>
      <c r="X257" s="8"/>
      <c r="Y257" s="8"/>
      <c r="Z257" s="8"/>
    </row>
    <row r="258" spans="1:26" ht="13.2">
      <c r="A258" s="13">
        <v>44250.73945601852</v>
      </c>
      <c r="B258" s="6" t="str">
        <f>HYPERLINK("https://twitter.com/KimPgch","@KimPgch")</f>
        <v>@KimPgch</v>
      </c>
      <c r="C258" s="14" t="s">
        <v>1311</v>
      </c>
      <c r="D258" s="14" t="s">
        <v>1312</v>
      </c>
      <c r="E258" s="6" t="str">
        <f>HYPERLINK("https://twitter.com/KimPgch/status/1364254900461395970","1364254900461395970")</f>
        <v>1364254900461395970</v>
      </c>
      <c r="F258" s="14" t="s">
        <v>1313</v>
      </c>
      <c r="G258" s="8"/>
      <c r="H258" s="8"/>
      <c r="I258" s="14">
        <v>0</v>
      </c>
      <c r="J258" s="14">
        <v>1</v>
      </c>
      <c r="K258" s="6" t="str">
        <f>HYPERLINK("http://twinybots.com","TwinyBots")</f>
        <v>TwinyBots</v>
      </c>
      <c r="L258" s="15">
        <v>5717</v>
      </c>
      <c r="M258" s="15">
        <v>5802</v>
      </c>
      <c r="N258" s="15">
        <v>37</v>
      </c>
      <c r="O258" s="9"/>
      <c r="P258" s="10">
        <v>41926.214687500003</v>
      </c>
      <c r="Q258" s="14" t="s">
        <v>650</v>
      </c>
      <c r="R258" s="14" t="s">
        <v>1314</v>
      </c>
      <c r="S258" s="7" t="s">
        <v>1315</v>
      </c>
      <c r="T258" s="8"/>
      <c r="U258" s="11" t="str">
        <f>HYPERLINK("https://pbs.twimg.com/profile_images/525481353182072832/qd_bfvn9.jpeg","View")</f>
        <v>View</v>
      </c>
      <c r="V258" s="8"/>
      <c r="W258" s="8"/>
      <c r="X258" s="8"/>
      <c r="Y258" s="8"/>
      <c r="Z258" s="8"/>
    </row>
    <row r="259" spans="1:26" ht="13.2">
      <c r="A259" s="13">
        <v>44250.739004629635</v>
      </c>
      <c r="B259" s="6" t="str">
        <f>HYPERLINK("https://twitter.com/_blackhost","@_blackhost")</f>
        <v>@_blackhost</v>
      </c>
      <c r="C259" s="14" t="s">
        <v>1316</v>
      </c>
      <c r="D259" s="14" t="s">
        <v>1317</v>
      </c>
      <c r="E259" s="6" t="str">
        <f>HYPERLINK("https://twitter.com/_blackhost/status/1364254737571450882","1364254737571450882")</f>
        <v>1364254737571450882</v>
      </c>
      <c r="F259" s="7" t="s">
        <v>1318</v>
      </c>
      <c r="G259" s="8"/>
      <c r="H259" s="8"/>
      <c r="I259" s="14">
        <v>2</v>
      </c>
      <c r="J259" s="14">
        <v>2</v>
      </c>
      <c r="K259" s="6" t="str">
        <f>HYPERLINK("https://mobile.twitter.com","Twitter Web App")</f>
        <v>Twitter Web App</v>
      </c>
      <c r="L259" s="15">
        <v>1049</v>
      </c>
      <c r="M259" s="15">
        <v>497</v>
      </c>
      <c r="N259" s="15">
        <v>20</v>
      </c>
      <c r="O259" s="9"/>
      <c r="P259" s="10">
        <v>42128.987500000003</v>
      </c>
      <c r="Q259" s="14" t="s">
        <v>1319</v>
      </c>
      <c r="R259" s="14" t="s">
        <v>1320</v>
      </c>
      <c r="S259" s="7" t="s">
        <v>1321</v>
      </c>
      <c r="T259" s="8"/>
      <c r="U259" s="11" t="str">
        <f>HYPERLINK("https://pbs.twimg.com/profile_images/1359497245700333569/WSb8Gz-0.jpg","View")</f>
        <v>View</v>
      </c>
      <c r="V259" s="8"/>
      <c r="W259" s="8"/>
      <c r="X259" s="8"/>
      <c r="Y259" s="8"/>
      <c r="Z259" s="8"/>
    </row>
    <row r="260" spans="1:26" ht="13.2">
      <c r="A260" s="13">
        <v>44250.738981481481</v>
      </c>
      <c r="B260" s="6" t="str">
        <f>HYPERLINK("https://twitter.com/BristowColin","@BristowColin")</f>
        <v>@BristowColin</v>
      </c>
      <c r="C260" s="14" t="s">
        <v>596</v>
      </c>
      <c r="D260" s="14" t="s">
        <v>1322</v>
      </c>
      <c r="E260" s="6" t="str">
        <f>HYPERLINK("https://twitter.com/BristowColin/status/1364254726674550788","1364254726674550788")</f>
        <v>1364254726674550788</v>
      </c>
      <c r="F260" s="7" t="s">
        <v>1323</v>
      </c>
      <c r="G260" s="8"/>
      <c r="H260" s="8"/>
      <c r="I260" s="14">
        <v>4</v>
      </c>
      <c r="J260" s="14">
        <v>0</v>
      </c>
      <c r="K260" s="6" t="str">
        <f>HYPERLINK("http://dynamicsignal.com/","Dynamic Signal")</f>
        <v>Dynamic Signal</v>
      </c>
      <c r="L260" s="15">
        <v>12149</v>
      </c>
      <c r="M260" s="15">
        <v>9707</v>
      </c>
      <c r="N260" s="15">
        <v>155</v>
      </c>
      <c r="O260" s="9"/>
      <c r="P260" s="10">
        <v>40900.478090277778</v>
      </c>
      <c r="Q260" s="14" t="s">
        <v>599</v>
      </c>
      <c r="R260" s="14" t="s">
        <v>600</v>
      </c>
      <c r="S260" s="7" t="s">
        <v>601</v>
      </c>
      <c r="T260" s="8"/>
      <c r="U260" s="11" t="str">
        <f>HYPERLINK("https://pbs.twimg.com/profile_images/692994884270198784/jQX64C1s.jpg","View")</f>
        <v>View</v>
      </c>
      <c r="V260" s="8"/>
      <c r="W260" s="8"/>
      <c r="X260" s="8"/>
      <c r="Y260" s="8"/>
      <c r="Z260" s="8"/>
    </row>
    <row r="261" spans="1:26" ht="13.2">
      <c r="A261" s="13">
        <v>44250.738819444443</v>
      </c>
      <c r="B261" s="6" t="str">
        <f>HYPERLINK("https://twitter.com/jrdorkin","@jrdorkin")</f>
        <v>@jrdorkin</v>
      </c>
      <c r="C261" s="14" t="s">
        <v>1324</v>
      </c>
      <c r="D261" s="14" t="s">
        <v>1325</v>
      </c>
      <c r="E261" s="6" t="str">
        <f>HYPERLINK("https://twitter.com/jrdorkin/status/1364254670030397440","1364254670030397440")</f>
        <v>1364254670030397440</v>
      </c>
      <c r="F261" s="7" t="s">
        <v>1326</v>
      </c>
      <c r="G261" s="7" t="s">
        <v>1327</v>
      </c>
      <c r="H261" s="8"/>
      <c r="I261" s="14">
        <v>0</v>
      </c>
      <c r="J261" s="14">
        <v>1</v>
      </c>
      <c r="K261" s="6" t="str">
        <f>HYPERLINK("http://twitter.com/#!/download/ipad","Twitter for iPad")</f>
        <v>Twitter for iPad</v>
      </c>
      <c r="L261" s="15">
        <v>25146</v>
      </c>
      <c r="M261" s="15">
        <v>3286</v>
      </c>
      <c r="N261" s="15">
        <v>634</v>
      </c>
      <c r="O261" s="15" t="s">
        <v>130</v>
      </c>
      <c r="P261" s="10">
        <v>39186.100844907407</v>
      </c>
      <c r="Q261" s="14" t="s">
        <v>1328</v>
      </c>
      <c r="R261" s="14" t="s">
        <v>1329</v>
      </c>
      <c r="S261" s="7" t="s">
        <v>1330</v>
      </c>
      <c r="T261" s="8"/>
      <c r="U261" s="11" t="str">
        <f>HYPERLINK("https://pbs.twimg.com/profile_images/1317240948695265280/t3uoVtxi.jpg","View")</f>
        <v>View</v>
      </c>
      <c r="V261" s="8"/>
      <c r="W261" s="8"/>
      <c r="X261" s="8"/>
      <c r="Y261" s="8"/>
      <c r="Z261" s="8"/>
    </row>
    <row r="262" spans="1:26" ht="13.2">
      <c r="A262" s="13">
        <v>44250.738796296297</v>
      </c>
      <c r="B262" s="6" t="str">
        <f>HYPERLINK("https://twitter.com/BM_NXT","@BM_NXT")</f>
        <v>@BM_NXT</v>
      </c>
      <c r="C262" s="14" t="s">
        <v>1331</v>
      </c>
      <c r="D262" s="14" t="s">
        <v>1332</v>
      </c>
      <c r="E262" s="6" t="str">
        <f>HYPERLINK("https://twitter.com/BM_NXT/status/1364254659985088516","1364254659985088516")</f>
        <v>1364254659985088516</v>
      </c>
      <c r="F262" s="7" t="s">
        <v>1333</v>
      </c>
      <c r="G262" s="8"/>
      <c r="H262" s="8"/>
      <c r="I262" s="14">
        <v>0</v>
      </c>
      <c r="J262" s="14">
        <v>3</v>
      </c>
      <c r="K262" s="6" t="str">
        <f>HYPERLINK("http://twitter.com/download/android","Twitter for Android")</f>
        <v>Twitter for Android</v>
      </c>
      <c r="L262" s="15">
        <v>151</v>
      </c>
      <c r="M262" s="15">
        <v>733</v>
      </c>
      <c r="N262" s="15">
        <v>1</v>
      </c>
      <c r="O262" s="9"/>
      <c r="P262" s="10">
        <v>42543.261921296296</v>
      </c>
      <c r="Q262" s="8"/>
      <c r="R262" s="14" t="s">
        <v>1334</v>
      </c>
      <c r="S262" s="7" t="s">
        <v>1335</v>
      </c>
      <c r="T262" s="8"/>
      <c r="U262" s="11" t="str">
        <f>HYPERLINK("https://pbs.twimg.com/profile_images/745471921068740608/I29u_XmL.jpg","View")</f>
        <v>View</v>
      </c>
      <c r="V262" s="8"/>
      <c r="W262" s="8"/>
      <c r="X262" s="8"/>
      <c r="Y262" s="8"/>
      <c r="Z262" s="8"/>
    </row>
    <row r="263" spans="1:26" ht="13.2">
      <c r="A263" s="13">
        <v>44250.738715277781</v>
      </c>
      <c r="B263" s="6" t="str">
        <f>HYPERLINK("https://twitter.com/IulianVladSerb1","@IulianVladSerb1")</f>
        <v>@IulianVladSerb1</v>
      </c>
      <c r="C263" s="14" t="s">
        <v>1336</v>
      </c>
      <c r="D263" s="14" t="s">
        <v>1337</v>
      </c>
      <c r="E263" s="6" t="str">
        <f>HYPERLINK("https://twitter.com/IulianVladSerb1/status/1364254633720446981","1364254633720446981")</f>
        <v>1364254633720446981</v>
      </c>
      <c r="F263" s="7" t="s">
        <v>543</v>
      </c>
      <c r="G263" s="8"/>
      <c r="H263" s="8"/>
      <c r="I263" s="14">
        <v>0</v>
      </c>
      <c r="J263" s="14">
        <v>1</v>
      </c>
      <c r="K263" s="6" t="str">
        <f t="shared" ref="K263:K264" si="33">HYPERLINK("https://mobile.twitter.com","Twitter Web App")</f>
        <v>Twitter Web App</v>
      </c>
      <c r="L263" s="15">
        <v>33</v>
      </c>
      <c r="M263" s="15">
        <v>8</v>
      </c>
      <c r="N263" s="15">
        <v>0</v>
      </c>
      <c r="O263" s="9"/>
      <c r="P263" s="10">
        <v>43606.791041666671</v>
      </c>
      <c r="Q263" s="8"/>
      <c r="R263" s="14" t="s">
        <v>1338</v>
      </c>
      <c r="S263" s="8"/>
      <c r="T263" s="8"/>
      <c r="U263" s="11" t="str">
        <f>HYPERLINK("https://pbs.twimg.com/profile_images/1130880968531881985/_3lztlvx.jpg","View")</f>
        <v>View</v>
      </c>
      <c r="V263" s="8"/>
      <c r="W263" s="8"/>
      <c r="X263" s="8"/>
      <c r="Y263" s="8"/>
      <c r="Z263" s="8"/>
    </row>
    <row r="264" spans="1:26" ht="13.2">
      <c r="A264" s="13">
        <v>44250.738634259258</v>
      </c>
      <c r="B264" s="6" t="str">
        <f>HYPERLINK("https://twitter.com/Synced_Global","@Synced_Global")</f>
        <v>@Synced_Global</v>
      </c>
      <c r="C264" s="14" t="s">
        <v>1339</v>
      </c>
      <c r="D264" s="14" t="s">
        <v>1340</v>
      </c>
      <c r="E264" s="6" t="str">
        <f>HYPERLINK("https://twitter.com/Synced_Global/status/1364254603064143875","1364254603064143875")</f>
        <v>1364254603064143875</v>
      </c>
      <c r="F264" s="7" t="s">
        <v>1341</v>
      </c>
      <c r="G264" s="7" t="s">
        <v>1342</v>
      </c>
      <c r="H264" s="8"/>
      <c r="I264" s="14">
        <v>1</v>
      </c>
      <c r="J264" s="14">
        <v>2</v>
      </c>
      <c r="K264" s="6" t="str">
        <f t="shared" si="33"/>
        <v>Twitter Web App</v>
      </c>
      <c r="L264" s="15">
        <v>3608</v>
      </c>
      <c r="M264" s="15">
        <v>251</v>
      </c>
      <c r="N264" s="15">
        <v>118</v>
      </c>
      <c r="O264" s="9"/>
      <c r="P264" s="10">
        <v>42748.499421296292</v>
      </c>
      <c r="Q264" s="14" t="s">
        <v>696</v>
      </c>
      <c r="R264" s="14" t="s">
        <v>1343</v>
      </c>
      <c r="S264" s="7" t="s">
        <v>1344</v>
      </c>
      <c r="T264" s="8"/>
      <c r="U264" s="11" t="str">
        <f>HYPERLINK("https://pbs.twimg.com/profile_images/895029477192851456/7dh0KKva.jpg","View")</f>
        <v>View</v>
      </c>
      <c r="V264" s="8"/>
      <c r="W264" s="8"/>
      <c r="X264" s="8"/>
      <c r="Y264" s="8"/>
      <c r="Z264" s="8"/>
    </row>
    <row r="265" spans="1:26" ht="13.2">
      <c r="A265" s="13">
        <v>44250.737523148149</v>
      </c>
      <c r="B265" s="6" t="str">
        <f>HYPERLINK("https://twitter.com/CE_Polska","@CE_Polska")</f>
        <v>@CE_Polska</v>
      </c>
      <c r="C265" s="14" t="s">
        <v>1345</v>
      </c>
      <c r="D265" s="14" t="s">
        <v>1346</v>
      </c>
      <c r="E265" s="6" t="str">
        <f>HYPERLINK("https://twitter.com/CE_Polska/status/1364254200151085061","1364254200151085061")</f>
        <v>1364254200151085061</v>
      </c>
      <c r="F265" s="7" t="s">
        <v>1347</v>
      </c>
      <c r="G265" s="7" t="s">
        <v>1348</v>
      </c>
      <c r="H265" s="8"/>
      <c r="I265" s="14">
        <v>2</v>
      </c>
      <c r="J265" s="14">
        <v>0</v>
      </c>
      <c r="K265" s="6" t="str">
        <f t="shared" ref="K265:K266" si="34">HYPERLINK("https://buffer.com","Buffer")</f>
        <v>Buffer</v>
      </c>
      <c r="L265" s="15">
        <v>530</v>
      </c>
      <c r="M265" s="15">
        <v>319</v>
      </c>
      <c r="N265" s="15">
        <v>16</v>
      </c>
      <c r="O265" s="9"/>
      <c r="P265" s="10">
        <v>42054.676168981481</v>
      </c>
      <c r="Q265" s="14" t="s">
        <v>1349</v>
      </c>
      <c r="R265" s="14" t="s">
        <v>1350</v>
      </c>
      <c r="S265" s="7" t="s">
        <v>1351</v>
      </c>
      <c r="T265" s="8"/>
      <c r="U265" s="11" t="str">
        <f>HYPERLINK("https://pbs.twimg.com/profile_images/1011176728297910272/SsuB6Dui.jpg","View")</f>
        <v>View</v>
      </c>
      <c r="V265" s="8"/>
      <c r="W265" s="8"/>
      <c r="X265" s="8"/>
      <c r="Y265" s="8"/>
      <c r="Z265" s="8"/>
    </row>
    <row r="266" spans="1:26" ht="13.2">
      <c r="A266" s="13">
        <v>44250.737511574072</v>
      </c>
      <c r="B266" s="6" t="str">
        <f>HYPERLINK("https://twitter.com/DataMovesHer","@DataMovesHer")</f>
        <v>@DataMovesHer</v>
      </c>
      <c r="C266" s="14" t="s">
        <v>1352</v>
      </c>
      <c r="D266" s="14" t="s">
        <v>1353</v>
      </c>
      <c r="E266" s="6" t="str">
        <f>HYPERLINK("https://twitter.com/DataMovesHer/status/1364254193775763460","1364254193775763460")</f>
        <v>1364254193775763460</v>
      </c>
      <c r="F266" s="7" t="s">
        <v>1354</v>
      </c>
      <c r="G266" s="8"/>
      <c r="H266" s="8"/>
      <c r="I266" s="14">
        <v>0</v>
      </c>
      <c r="J266" s="14">
        <v>0</v>
      </c>
      <c r="K266" s="6" t="str">
        <f t="shared" si="34"/>
        <v>Buffer</v>
      </c>
      <c r="L266" s="15">
        <v>2728</v>
      </c>
      <c r="M266" s="15">
        <v>1073</v>
      </c>
      <c r="N266" s="15">
        <v>74</v>
      </c>
      <c r="O266" s="9"/>
      <c r="P266" s="10">
        <v>40255.932662037041</v>
      </c>
      <c r="Q266" s="14" t="s">
        <v>1355</v>
      </c>
      <c r="R266" s="14" t="s">
        <v>1356</v>
      </c>
      <c r="S266" s="7" t="s">
        <v>1357</v>
      </c>
      <c r="T266" s="8"/>
      <c r="U266" s="11" t="str">
        <f>HYPERLINK("https://pbs.twimg.com/profile_images/1005810346270035969/X-8fcvuv.jpg","View")</f>
        <v>View</v>
      </c>
      <c r="V266" s="8"/>
      <c r="W266" s="8"/>
      <c r="X266" s="8"/>
      <c r="Y266" s="8"/>
      <c r="Z266" s="8"/>
    </row>
    <row r="267" spans="1:26" ht="13.2">
      <c r="A267" s="13">
        <v>44250.737222222218</v>
      </c>
      <c r="B267" s="6" t="str">
        <f>HYPERLINK("https://twitter.com/dansar39","@dansar39")</f>
        <v>@dansar39</v>
      </c>
      <c r="C267" s="14" t="s">
        <v>1358</v>
      </c>
      <c r="D267" s="14" t="s">
        <v>1359</v>
      </c>
      <c r="E267" s="6" t="str">
        <f>HYPERLINK("https://twitter.com/dansar39/status/1364254090809778177","1364254090809778177")</f>
        <v>1364254090809778177</v>
      </c>
      <c r="F267" s="8"/>
      <c r="G267" s="7" t="s">
        <v>1360</v>
      </c>
      <c r="H267" s="8"/>
      <c r="I267" s="14">
        <v>0</v>
      </c>
      <c r="J267" s="14">
        <v>3</v>
      </c>
      <c r="K267" s="6" t="str">
        <f>HYPERLINK("https://mobile.twitter.com","Twitter Web App")</f>
        <v>Twitter Web App</v>
      </c>
      <c r="L267" s="15">
        <v>588</v>
      </c>
      <c r="M267" s="15">
        <v>112</v>
      </c>
      <c r="N267" s="15">
        <v>22</v>
      </c>
      <c r="O267" s="9"/>
      <c r="P267" s="10">
        <v>40750.872094907405</v>
      </c>
      <c r="Q267" s="8"/>
      <c r="R267" s="14" t="s">
        <v>1361</v>
      </c>
      <c r="S267" s="8"/>
      <c r="T267" s="8"/>
      <c r="U267" s="11" t="str">
        <f>HYPERLINK("https://pbs.twimg.com/profile_images/889884264120164352/fiBjQnlE.jpg","View")</f>
        <v>View</v>
      </c>
      <c r="V267" s="8"/>
      <c r="W267" s="8"/>
      <c r="X267" s="8"/>
      <c r="Y267" s="8"/>
      <c r="Z267" s="8"/>
    </row>
    <row r="268" spans="1:26" ht="13.2">
      <c r="A268" s="13">
        <v>44250.736944444448</v>
      </c>
      <c r="B268" s="6" t="str">
        <f>HYPERLINK("https://twitter.com/gbolcer","@gbolcer")</f>
        <v>@gbolcer</v>
      </c>
      <c r="C268" s="14" t="s">
        <v>1362</v>
      </c>
      <c r="D268" s="14" t="s">
        <v>1363</v>
      </c>
      <c r="E268" s="6" t="str">
        <f>HYPERLINK("https://twitter.com/gbolcer/status/1364253990075138050","1364253990075138050")</f>
        <v>1364253990075138050</v>
      </c>
      <c r="F268" s="7" t="s">
        <v>1364</v>
      </c>
      <c r="G268" s="8"/>
      <c r="H268" s="8"/>
      <c r="I268" s="14">
        <v>2</v>
      </c>
      <c r="J268" s="14">
        <v>2</v>
      </c>
      <c r="K268" s="6" t="str">
        <f>HYPERLINK("https://ifttt.com","IFTTT")</f>
        <v>IFTTT</v>
      </c>
      <c r="L268" s="15">
        <v>178</v>
      </c>
      <c r="M268" s="15">
        <v>617</v>
      </c>
      <c r="N268" s="15">
        <v>4</v>
      </c>
      <c r="O268" s="9"/>
      <c r="P268" s="10">
        <v>39167.672280092593</v>
      </c>
      <c r="Q268" s="14" t="s">
        <v>1365</v>
      </c>
      <c r="R268" s="14" t="s">
        <v>1366</v>
      </c>
      <c r="S268" s="7" t="s">
        <v>1367</v>
      </c>
      <c r="T268" s="8"/>
      <c r="U268" s="11" t="str">
        <f>HYPERLINK("https://pbs.twimg.com/profile_images/29959562/Greg-8.jpg","View")</f>
        <v>View</v>
      </c>
      <c r="V268" s="8"/>
      <c r="W268" s="8"/>
      <c r="X268" s="8"/>
      <c r="Y268" s="8"/>
      <c r="Z268" s="8"/>
    </row>
    <row r="269" spans="1:26" ht="13.2">
      <c r="A269" s="13">
        <v>44250.736886574072</v>
      </c>
      <c r="B269" s="6" t="str">
        <f>HYPERLINK("https://twitter.com/Lucian2drei","@Lucian2drei")</f>
        <v>@Lucian2drei</v>
      </c>
      <c r="C269" s="14" t="s">
        <v>1368</v>
      </c>
      <c r="D269" s="14" t="s">
        <v>1369</v>
      </c>
      <c r="E269" s="6" t="str">
        <f>HYPERLINK("https://twitter.com/Lucian2drei/status/1364253968801665027","1364253968801665027")</f>
        <v>1364253968801665027</v>
      </c>
      <c r="F269" s="14" t="s">
        <v>1370</v>
      </c>
      <c r="G269" s="8"/>
      <c r="H269" s="8"/>
      <c r="I269" s="14">
        <v>1</v>
      </c>
      <c r="J269" s="14">
        <v>1</v>
      </c>
      <c r="K269" s="6" t="str">
        <f>HYPERLINK("http://twinybots.com","TwinyBots")</f>
        <v>TwinyBots</v>
      </c>
      <c r="L269" s="15">
        <v>938</v>
      </c>
      <c r="M269" s="15">
        <v>815</v>
      </c>
      <c r="N269" s="15">
        <v>36</v>
      </c>
      <c r="O269" s="9"/>
      <c r="P269" s="10">
        <v>41428.742523148147</v>
      </c>
      <c r="Q269" s="14" t="s">
        <v>1371</v>
      </c>
      <c r="R269" s="14" t="s">
        <v>1372</v>
      </c>
      <c r="S269" s="7" t="s">
        <v>1373</v>
      </c>
      <c r="T269" s="8"/>
      <c r="U269" s="11" t="str">
        <f>HYPERLINK("https://pbs.twimg.com/profile_images/1096299089527033856/Eh3wO1aV.png","View")</f>
        <v>View</v>
      </c>
      <c r="V269" s="8"/>
      <c r="W269" s="8"/>
      <c r="X269" s="8"/>
      <c r="Y269" s="8"/>
      <c r="Z269" s="8"/>
    </row>
    <row r="270" spans="1:26" ht="13.2">
      <c r="A270" s="13">
        <v>44250.736481481479</v>
      </c>
      <c r="B270" s="6" t="str">
        <f>HYPERLINK("https://twitter.com/musaibxandra","@musaibxandra")</f>
        <v>@musaibxandra</v>
      </c>
      <c r="C270" s="14" t="s">
        <v>1374</v>
      </c>
      <c r="D270" s="14" t="s">
        <v>1375</v>
      </c>
      <c r="E270" s="6" t="str">
        <f>HYPERLINK("https://twitter.com/musaibxandra/status/1364253822193831936","1364253822193831936")</f>
        <v>1364253822193831936</v>
      </c>
      <c r="F270" s="8"/>
      <c r="G270" s="8"/>
      <c r="H270" s="8"/>
      <c r="I270" s="14">
        <v>1</v>
      </c>
      <c r="J270" s="14">
        <v>1</v>
      </c>
      <c r="K270" s="6" t="str">
        <f>HYPERLINK("http://twitter.com/download/android","Twitter for Android")</f>
        <v>Twitter for Android</v>
      </c>
      <c r="L270" s="15">
        <v>70</v>
      </c>
      <c r="M270" s="15">
        <v>111</v>
      </c>
      <c r="N270" s="15">
        <v>0</v>
      </c>
      <c r="O270" s="9"/>
      <c r="P270" s="10">
        <v>42743.280821759261</v>
      </c>
      <c r="Q270" s="14" t="s">
        <v>1376</v>
      </c>
      <c r="R270" s="14" t="s">
        <v>1377</v>
      </c>
      <c r="S270" s="8"/>
      <c r="T270" s="8"/>
      <c r="U270" s="11" t="str">
        <f>HYPERLINK("https://pbs.twimg.com/profile_images/1347876297360375811/FCfekt69.jpg","View")</f>
        <v>View</v>
      </c>
      <c r="V270" s="8"/>
      <c r="W270" s="8"/>
      <c r="X270" s="8"/>
      <c r="Y270" s="8"/>
      <c r="Z270" s="8"/>
    </row>
    <row r="271" spans="1:26" ht="13.2">
      <c r="A271" s="13">
        <v>44250.736307870371</v>
      </c>
      <c r="B271" s="6" t="str">
        <f>HYPERLINK("https://twitter.com/OSIRIS_ERA","@OSIRIS_ERA")</f>
        <v>@OSIRIS_ERA</v>
      </c>
      <c r="C271" s="14" t="s">
        <v>1378</v>
      </c>
      <c r="D271" s="14" t="s">
        <v>1379</v>
      </c>
      <c r="E271" s="6" t="str">
        <f>HYPERLINK("https://twitter.com/OSIRIS_ERA/status/1364253757693812739","1364253757693812739")</f>
        <v>1364253757693812739</v>
      </c>
      <c r="F271" s="7" t="s">
        <v>1380</v>
      </c>
      <c r="G271" s="8"/>
      <c r="H271" s="8"/>
      <c r="I271" s="14">
        <v>0</v>
      </c>
      <c r="J271" s="14">
        <v>2</v>
      </c>
      <c r="K271" s="6" t="str">
        <f>HYPERLINK("http://twitter.com/download/iphone","Twitter for iPhone")</f>
        <v>Twitter for iPhone</v>
      </c>
      <c r="L271" s="15">
        <v>15310</v>
      </c>
      <c r="M271" s="15">
        <v>7264</v>
      </c>
      <c r="N271" s="15">
        <v>147</v>
      </c>
      <c r="O271" s="9"/>
      <c r="P271" s="10">
        <v>39920.968715277777</v>
      </c>
      <c r="Q271" s="14" t="s">
        <v>1381</v>
      </c>
      <c r="R271" s="14" t="s">
        <v>1382</v>
      </c>
      <c r="S271" s="7" t="s">
        <v>1383</v>
      </c>
      <c r="T271" s="8"/>
      <c r="U271" s="11" t="str">
        <f>HYPERLINK("https://pbs.twimg.com/profile_images/378800000227517747/93b3d8e8f657d19cfcbbaf0701534bf2.jpeg","View")</f>
        <v>View</v>
      </c>
      <c r="V271" s="8"/>
      <c r="W271" s="8"/>
      <c r="X271" s="8"/>
      <c r="Y271" s="8"/>
      <c r="Z271" s="8"/>
    </row>
    <row r="272" spans="1:26" ht="13.2">
      <c r="A272" s="13">
        <v>44250.736215277779</v>
      </c>
      <c r="B272" s="6" t="str">
        <f>HYPERLINK("https://twitter.com/BettingsEasy","@BettingsEasy")</f>
        <v>@BettingsEasy</v>
      </c>
      <c r="C272" s="14" t="s">
        <v>1384</v>
      </c>
      <c r="D272" s="14" t="s">
        <v>1385</v>
      </c>
      <c r="E272" s="6" t="str">
        <f>HYPERLINK("https://twitter.com/BettingsEasy/status/1364253724378472457","1364253724378472457")</f>
        <v>1364253724378472457</v>
      </c>
      <c r="F272" s="8"/>
      <c r="G272" s="7" t="s">
        <v>1386</v>
      </c>
      <c r="H272" s="8"/>
      <c r="I272" s="14">
        <v>0</v>
      </c>
      <c r="J272" s="14">
        <v>1</v>
      </c>
      <c r="K272" s="6" t="str">
        <f>HYPERLINK("http://twitter.com/download/android","Twitter for Android")</f>
        <v>Twitter for Android</v>
      </c>
      <c r="L272" s="15">
        <v>5</v>
      </c>
      <c r="M272" s="15">
        <v>1</v>
      </c>
      <c r="N272" s="15">
        <v>0</v>
      </c>
      <c r="O272" s="9"/>
      <c r="P272" s="10">
        <v>44155.710983796293</v>
      </c>
      <c r="Q272" s="8"/>
      <c r="R272" s="14" t="s">
        <v>1387</v>
      </c>
      <c r="S272" s="8"/>
      <c r="T272" s="8"/>
      <c r="U272" s="11" t="str">
        <f>HYPERLINK("https://pbs.twimg.com/profile_images/1329817808264335360/f56QEgBR.jpg","View")</f>
        <v>View</v>
      </c>
      <c r="V272" s="8"/>
      <c r="W272" s="8"/>
      <c r="X272" s="8"/>
      <c r="Y272" s="8"/>
      <c r="Z272" s="8"/>
    </row>
    <row r="273" spans="1:26" ht="13.2">
      <c r="A273" s="13">
        <v>44250.736192129625</v>
      </c>
      <c r="B273" s="6" t="str">
        <f>HYPERLINK("https://twitter.com/ArxivDocs","@ArxivDocs")</f>
        <v>@ArxivDocs</v>
      </c>
      <c r="C273" s="14" t="s">
        <v>1388</v>
      </c>
      <c r="D273" s="14" t="s">
        <v>1389</v>
      </c>
      <c r="E273" s="6" t="str">
        <f>HYPERLINK("https://twitter.com/ArxivDocs/status/1364253719274156038","1364253719274156038")</f>
        <v>1364253719274156038</v>
      </c>
      <c r="F273" s="7" t="s">
        <v>1390</v>
      </c>
      <c r="G273" s="8"/>
      <c r="H273" s="8"/>
      <c r="I273" s="14">
        <v>0</v>
      </c>
      <c r="J273" s="14">
        <v>1</v>
      </c>
      <c r="K273" s="8"/>
      <c r="L273" s="15">
        <v>52</v>
      </c>
      <c r="M273" s="15">
        <v>1</v>
      </c>
      <c r="N273" s="15">
        <v>1</v>
      </c>
      <c r="O273" s="9"/>
      <c r="P273" s="10">
        <v>44043.285671296297</v>
      </c>
      <c r="Q273" s="8"/>
      <c r="R273" s="14" t="s">
        <v>1391</v>
      </c>
      <c r="S273" s="8"/>
      <c r="T273" s="8"/>
      <c r="U273" s="11" t="str">
        <f>HYPERLINK("https://pbs.twimg.com/profile_images/1289218984554962944/nLPjrD1y.jpg","View")</f>
        <v>View</v>
      </c>
      <c r="V273" s="8"/>
      <c r="W273" s="8"/>
      <c r="X273" s="8"/>
      <c r="Y273" s="8"/>
      <c r="Z273" s="8"/>
    </row>
    <row r="274" spans="1:26" ht="13.2">
      <c r="A274" s="13">
        <v>44250.735972222217</v>
      </c>
      <c r="B274" s="6" t="str">
        <f>HYPERLINK("https://twitter.com/frlazzeri","@frlazzeri")</f>
        <v>@frlazzeri</v>
      </c>
      <c r="C274" s="14" t="s">
        <v>1392</v>
      </c>
      <c r="D274" s="14" t="s">
        <v>1393</v>
      </c>
      <c r="E274" s="6" t="str">
        <f>HYPERLINK("https://twitter.com/frlazzeri/status/1364253639427174404","1364253639427174404")</f>
        <v>1364253639427174404</v>
      </c>
      <c r="F274" s="7" t="s">
        <v>1394</v>
      </c>
      <c r="G274" s="8"/>
      <c r="H274" s="8"/>
      <c r="I274" s="14">
        <v>0</v>
      </c>
      <c r="J274" s="14">
        <v>3</v>
      </c>
      <c r="K274" s="6" t="str">
        <f>HYPERLINK("http://twitter.com/download/iphone","Twitter for iPhone")</f>
        <v>Twitter for iPhone</v>
      </c>
      <c r="L274" s="15">
        <v>3996</v>
      </c>
      <c r="M274" s="15">
        <v>1059</v>
      </c>
      <c r="N274" s="15">
        <v>163</v>
      </c>
      <c r="O274" s="9"/>
      <c r="P274" s="10">
        <v>41131.907951388886</v>
      </c>
      <c r="Q274" s="14" t="s">
        <v>221</v>
      </c>
      <c r="R274" s="14" t="s">
        <v>1395</v>
      </c>
      <c r="S274" s="7" t="s">
        <v>1396</v>
      </c>
      <c r="T274" s="8"/>
      <c r="U274" s="11" t="str">
        <f>HYPERLINK("https://pbs.twimg.com/profile_images/1336411623314100228/fBsCFEIi.jpg","View")</f>
        <v>View</v>
      </c>
      <c r="V274" s="8"/>
      <c r="W274" s="8"/>
      <c r="X274" s="8"/>
      <c r="Y274" s="8"/>
      <c r="Z274" s="8"/>
    </row>
    <row r="275" spans="1:26" ht="13.2">
      <c r="A275" s="13">
        <v>44250.735868055555</v>
      </c>
      <c r="B275" s="6" t="str">
        <f>HYPERLINK("https://twitter.com/WIZZCAD","@WIZZCAD")</f>
        <v>@WIZZCAD</v>
      </c>
      <c r="C275" s="14" t="s">
        <v>1397</v>
      </c>
      <c r="D275" s="14" t="s">
        <v>1398</v>
      </c>
      <c r="E275" s="6" t="str">
        <f>HYPERLINK("https://twitter.com/WIZZCAD/status/1364253598918586369","1364253598918586369")</f>
        <v>1364253598918586369</v>
      </c>
      <c r="F275" s="7" t="s">
        <v>1399</v>
      </c>
      <c r="G275" s="7" t="s">
        <v>1400</v>
      </c>
      <c r="H275" s="8"/>
      <c r="I275" s="14">
        <v>0</v>
      </c>
      <c r="J275" s="14">
        <v>2</v>
      </c>
      <c r="K275" s="6" t="str">
        <f>HYPERLINK("http://www.hubspot.com/","HubSpot")</f>
        <v>HubSpot</v>
      </c>
      <c r="L275" s="15">
        <v>439</v>
      </c>
      <c r="M275" s="15">
        <v>779</v>
      </c>
      <c r="N275" s="15">
        <v>15</v>
      </c>
      <c r="O275" s="9"/>
      <c r="P275" s="10">
        <v>42858.496539351851</v>
      </c>
      <c r="Q275" s="14" t="s">
        <v>1401</v>
      </c>
      <c r="R275" s="14" t="s">
        <v>1402</v>
      </c>
      <c r="S275" s="7" t="s">
        <v>1403</v>
      </c>
      <c r="T275" s="8"/>
      <c r="U275" s="11" t="str">
        <f>HYPERLINK("https://pbs.twimg.com/profile_images/1158287359814840321/wN9F_isd.jpg","View")</f>
        <v>View</v>
      </c>
      <c r="V275" s="8"/>
      <c r="W275" s="8"/>
      <c r="X275" s="8"/>
      <c r="Y275" s="8"/>
      <c r="Z275" s="8"/>
    </row>
    <row r="276" spans="1:26" ht="13.2">
      <c r="A276" s="13">
        <v>44250.735416666663</v>
      </c>
      <c r="B276" s="6" t="str">
        <f>HYPERLINK("https://twitter.com/SKlausDev","@SKlausDev")</f>
        <v>@SKlausDev</v>
      </c>
      <c r="C276" s="14" t="s">
        <v>1404</v>
      </c>
      <c r="D276" s="14" t="s">
        <v>1405</v>
      </c>
      <c r="E276" s="6" t="str">
        <f>HYPERLINK("https://twitter.com/SKlausDev/status/1364253435328159744","1364253435328159744")</f>
        <v>1364253435328159744</v>
      </c>
      <c r="F276" s="7" t="s">
        <v>1406</v>
      </c>
      <c r="G276" s="8"/>
      <c r="H276" s="8"/>
      <c r="I276" s="14">
        <v>1</v>
      </c>
      <c r="J276" s="14">
        <v>1</v>
      </c>
      <c r="K276" s="6" t="str">
        <f t="shared" ref="K276:K278" si="35">HYPERLINK("https://mobile.twitter.com","Twitter Web App")</f>
        <v>Twitter Web App</v>
      </c>
      <c r="L276" s="15">
        <v>1288</v>
      </c>
      <c r="M276" s="15">
        <v>910</v>
      </c>
      <c r="N276" s="15">
        <v>505</v>
      </c>
      <c r="O276" s="9"/>
      <c r="P276" s="10">
        <v>42492.59207175926</v>
      </c>
      <c r="Q276" s="14" t="s">
        <v>1407</v>
      </c>
      <c r="R276" s="14" t="s">
        <v>1408</v>
      </c>
      <c r="S276" s="8"/>
      <c r="T276" s="8"/>
      <c r="U276" s="11" t="str">
        <f>HYPERLINK("https://pbs.twimg.com/profile_images/727109083283726336/pMHGSHGB.jpg","View")</f>
        <v>View</v>
      </c>
      <c r="V276" s="8"/>
      <c r="W276" s="8"/>
      <c r="X276" s="8"/>
      <c r="Y276" s="8"/>
      <c r="Z276" s="8"/>
    </row>
    <row r="277" spans="1:26" ht="13.2">
      <c r="A277" s="13">
        <v>44250.735416666663</v>
      </c>
      <c r="B277" s="6" t="str">
        <f>HYPERLINK("https://twitter.com/AKM_Intisar","@AKM_Intisar")</f>
        <v>@AKM_Intisar</v>
      </c>
      <c r="C277" s="14" t="s">
        <v>1409</v>
      </c>
      <c r="D277" s="14" t="s">
        <v>1410</v>
      </c>
      <c r="E277" s="6" t="str">
        <f>HYPERLINK("https://twitter.com/AKM_Intisar/status/1364253435248463876","1364253435248463876")</f>
        <v>1364253435248463876</v>
      </c>
      <c r="F277" s="8"/>
      <c r="G277" s="8"/>
      <c r="H277" s="8"/>
      <c r="I277" s="14">
        <v>24</v>
      </c>
      <c r="J277" s="14">
        <v>17</v>
      </c>
      <c r="K277" s="6" t="str">
        <f t="shared" si="35"/>
        <v>Twitter Web App</v>
      </c>
      <c r="L277" s="15">
        <v>656</v>
      </c>
      <c r="M277" s="15">
        <v>3183</v>
      </c>
      <c r="N277" s="15">
        <v>1</v>
      </c>
      <c r="O277" s="9"/>
      <c r="P277" s="10">
        <v>40237.325590277775</v>
      </c>
      <c r="Q277" s="14" t="s">
        <v>1411</v>
      </c>
      <c r="R277" s="14" t="s">
        <v>1412</v>
      </c>
      <c r="S277" s="7" t="s">
        <v>1223</v>
      </c>
      <c r="T277" s="8"/>
      <c r="U277" s="11" t="str">
        <f>HYPERLINK("https://pbs.twimg.com/profile_images/1340328446858170369/PHJ_TWVH.jpg","View")</f>
        <v>View</v>
      </c>
      <c r="V277" s="8"/>
      <c r="W277" s="8"/>
      <c r="X277" s="8"/>
      <c r="Y277" s="8"/>
      <c r="Z277" s="8"/>
    </row>
    <row r="278" spans="1:26" ht="13.2">
      <c r="A278" s="13">
        <v>44250.735069444447</v>
      </c>
      <c r="B278" s="6" t="str">
        <f>HYPERLINK("https://twitter.com/Carolin11357347","@Carolin11357347")</f>
        <v>@Carolin11357347</v>
      </c>
      <c r="C278" s="14" t="s">
        <v>1413</v>
      </c>
      <c r="D278" s="14" t="s">
        <v>1414</v>
      </c>
      <c r="E278" s="6" t="str">
        <f>HYPERLINK("https://twitter.com/Carolin11357347/status/1364253311357050883","1364253311357050883")</f>
        <v>1364253311357050883</v>
      </c>
      <c r="F278" s="7" t="s">
        <v>1415</v>
      </c>
      <c r="G278" s="8"/>
      <c r="H278" s="8"/>
      <c r="I278" s="14">
        <v>0</v>
      </c>
      <c r="J278" s="14">
        <v>2</v>
      </c>
      <c r="K278" s="6" t="str">
        <f t="shared" si="35"/>
        <v>Twitter Web App</v>
      </c>
      <c r="L278" s="15">
        <v>26</v>
      </c>
      <c r="M278" s="15">
        <v>27</v>
      </c>
      <c r="N278" s="15">
        <v>0</v>
      </c>
      <c r="O278" s="9"/>
      <c r="P278" s="10">
        <v>44195.024606481486</v>
      </c>
      <c r="Q278" s="8"/>
      <c r="R278" s="14" t="s">
        <v>1416</v>
      </c>
      <c r="S278" s="8"/>
      <c r="T278" s="8"/>
      <c r="U278" s="11" t="str">
        <f>HYPERLINK("https://pbs.twimg.com/profile_images/1344064604490653696/O4XEuuhM.jpg","View")</f>
        <v>View</v>
      </c>
      <c r="V278" s="8"/>
      <c r="W278" s="8"/>
      <c r="X278" s="8"/>
      <c r="Y278" s="8"/>
      <c r="Z278" s="8"/>
    </row>
    <row r="279" spans="1:26" ht="13.2">
      <c r="A279" s="13">
        <v>44250.734861111108</v>
      </c>
      <c r="B279" s="6" t="str">
        <f>HYPERLINK("https://twitter.com/MHcommunicate","@MHcommunicate")</f>
        <v>@MHcommunicate</v>
      </c>
      <c r="C279" s="14" t="s">
        <v>1417</v>
      </c>
      <c r="D279" s="14" t="s">
        <v>1418</v>
      </c>
      <c r="E279" s="6" t="str">
        <f>HYPERLINK("https://twitter.com/MHcommunicate/status/1364253236237131783","1364253236237131783")</f>
        <v>1364253236237131783</v>
      </c>
      <c r="F279" s="7" t="s">
        <v>1419</v>
      </c>
      <c r="G279" s="7" t="s">
        <v>1420</v>
      </c>
      <c r="H279" s="8"/>
      <c r="I279" s="14">
        <v>7</v>
      </c>
      <c r="J279" s="14">
        <v>9</v>
      </c>
      <c r="K279" s="6" t="str">
        <f>HYPERLINK("http://twitter.com/download/iphone","Twitter for iPhone")</f>
        <v>Twitter for iPhone</v>
      </c>
      <c r="L279" s="15">
        <v>24212</v>
      </c>
      <c r="M279" s="15">
        <v>23740</v>
      </c>
      <c r="N279" s="15">
        <v>2239</v>
      </c>
      <c r="O279" s="9"/>
      <c r="P279" s="10">
        <v>40146.676458333335</v>
      </c>
      <c r="Q279" s="14" t="s">
        <v>1421</v>
      </c>
      <c r="R279" s="14" t="s">
        <v>1422</v>
      </c>
      <c r="S279" s="7" t="s">
        <v>1423</v>
      </c>
      <c r="T279" s="8"/>
      <c r="U279" s="11" t="str">
        <f>HYPERLINK("https://pbs.twimg.com/profile_images/760579424387493888/xooxyp1t.jpg","View")</f>
        <v>View</v>
      </c>
      <c r="V279" s="8"/>
      <c r="W279" s="8"/>
      <c r="X279" s="8"/>
      <c r="Y279" s="8"/>
      <c r="Z279" s="8"/>
    </row>
    <row r="280" spans="1:26" ht="13.2">
      <c r="A280" s="13">
        <v>44250.734791666662</v>
      </c>
      <c r="B280" s="6" t="str">
        <f>HYPERLINK("https://twitter.com/subhanster","@subhanster")</f>
        <v>@subhanster</v>
      </c>
      <c r="C280" s="14" t="s">
        <v>1424</v>
      </c>
      <c r="D280" s="14" t="s">
        <v>1425</v>
      </c>
      <c r="E280" s="6" t="str">
        <f>HYPERLINK("https://twitter.com/subhanster/status/1364253210769203202","1364253210769203202")</f>
        <v>1364253210769203202</v>
      </c>
      <c r="F280" s="14" t="s">
        <v>1426</v>
      </c>
      <c r="G280" s="7" t="s">
        <v>1427</v>
      </c>
      <c r="H280" s="8"/>
      <c r="I280" s="14">
        <v>6</v>
      </c>
      <c r="J280" s="14">
        <v>1</v>
      </c>
      <c r="K280" s="6" t="str">
        <f t="shared" ref="K280:K281" si="36">HYPERLINK("https://mobile.twitter.com","Twitter Web App")</f>
        <v>Twitter Web App</v>
      </c>
      <c r="L280" s="15">
        <v>407</v>
      </c>
      <c r="M280" s="15">
        <v>984</v>
      </c>
      <c r="N280" s="15">
        <v>2</v>
      </c>
      <c r="O280" s="9"/>
      <c r="P280" s="10">
        <v>40832.130150462966</v>
      </c>
      <c r="Q280" s="14" t="s">
        <v>81</v>
      </c>
      <c r="R280" s="14" t="s">
        <v>1428</v>
      </c>
      <c r="S280" s="7" t="s">
        <v>1429</v>
      </c>
      <c r="T280" s="8"/>
      <c r="U280" s="11" t="str">
        <f>HYPERLINK("https://pbs.twimg.com/profile_images/1179556231192514560/YigBs8wm.jpg","View")</f>
        <v>View</v>
      </c>
      <c r="V280" s="8"/>
      <c r="W280" s="8"/>
      <c r="X280" s="8"/>
      <c r="Y280" s="8"/>
      <c r="Z280" s="8"/>
    </row>
    <row r="281" spans="1:26" ht="13.2">
      <c r="A281" s="13">
        <v>44250.734722222223</v>
      </c>
      <c r="B281" s="6" t="str">
        <f>HYPERLINK("https://twitter.com/epfl_exts","@epfl_exts")</f>
        <v>@epfl_exts</v>
      </c>
      <c r="C281" s="14" t="s">
        <v>1430</v>
      </c>
      <c r="D281" s="14" t="s">
        <v>1431</v>
      </c>
      <c r="E281" s="6" t="str">
        <f>HYPERLINK("https://twitter.com/epfl_exts/status/1364253183703457793","1364253183703457793")</f>
        <v>1364253183703457793</v>
      </c>
      <c r="F281" s="14" t="s">
        <v>1432</v>
      </c>
      <c r="G281" s="14" t="s">
        <v>1433</v>
      </c>
      <c r="H281" s="8"/>
      <c r="I281" s="14">
        <v>1</v>
      </c>
      <c r="J281" s="14">
        <v>1</v>
      </c>
      <c r="K281" s="6" t="str">
        <f t="shared" si="36"/>
        <v>Twitter Web App</v>
      </c>
      <c r="L281" s="15">
        <v>1338</v>
      </c>
      <c r="M281" s="15">
        <v>742</v>
      </c>
      <c r="N281" s="15">
        <v>23</v>
      </c>
      <c r="O281" s="9"/>
      <c r="P281" s="10">
        <v>42573.629988425921</v>
      </c>
      <c r="Q281" s="14" t="s">
        <v>1434</v>
      </c>
      <c r="R281" s="14" t="s">
        <v>1435</v>
      </c>
      <c r="S281" s="7" t="s">
        <v>1436</v>
      </c>
      <c r="T281" s="8"/>
      <c r="U281" s="11" t="str">
        <f>HYPERLINK("https://pbs.twimg.com/profile_images/924913531849494528/05VvkNAV.jpg","View")</f>
        <v>View</v>
      </c>
      <c r="V281" s="8"/>
      <c r="W281" s="8"/>
      <c r="X281" s="8"/>
      <c r="Y281" s="8"/>
      <c r="Z281" s="8"/>
    </row>
    <row r="282" spans="1:26" ht="13.2">
      <c r="A282" s="13">
        <v>44250.734560185185</v>
      </c>
      <c r="B282" s="6" t="str">
        <f>HYPERLINK("https://twitter.com/mnaotech","@mnaotech")</f>
        <v>@mnaotech</v>
      </c>
      <c r="C282" s="14" t="s">
        <v>1437</v>
      </c>
      <c r="D282" s="14" t="s">
        <v>1438</v>
      </c>
      <c r="E282" s="6" t="str">
        <f>HYPERLINK("https://twitter.com/mnaotech/status/1364253127755460609","1364253127755460609")</f>
        <v>1364253127755460609</v>
      </c>
      <c r="F282" s="7" t="s">
        <v>1439</v>
      </c>
      <c r="G282" s="7" t="s">
        <v>1440</v>
      </c>
      <c r="H282" s="8"/>
      <c r="I282" s="14">
        <v>20</v>
      </c>
      <c r="J282" s="14">
        <v>10</v>
      </c>
      <c r="K282" s="6" t="str">
        <f>HYPERLINK("http://twitter.com/download/android","Twitter for Android")</f>
        <v>Twitter for Android</v>
      </c>
      <c r="L282" s="15">
        <v>1505</v>
      </c>
      <c r="M282" s="15">
        <v>105</v>
      </c>
      <c r="N282" s="15">
        <v>2</v>
      </c>
      <c r="O282" s="9"/>
      <c r="P282" s="10">
        <v>42985.661678240736</v>
      </c>
      <c r="Q282" s="8"/>
      <c r="R282" s="14" t="s">
        <v>1441</v>
      </c>
      <c r="S282" s="7" t="s">
        <v>1442</v>
      </c>
      <c r="T282" s="8"/>
      <c r="U282" s="11" t="str">
        <f>HYPERLINK("https://pbs.twimg.com/profile_images/1204818181019205632/V1zE97KT.jpg","View")</f>
        <v>View</v>
      </c>
      <c r="V282" s="8"/>
      <c r="W282" s="8"/>
      <c r="X282" s="8"/>
      <c r="Y282" s="8"/>
      <c r="Z282" s="8"/>
    </row>
    <row r="283" spans="1:26" ht="13.2">
      <c r="A283" s="13">
        <v>44250.734259259261</v>
      </c>
      <c r="B283" s="6" t="str">
        <f>HYPERLINK("https://twitter.com/_SafetyLine","@_SafetyLine")</f>
        <v>@_SafetyLine</v>
      </c>
      <c r="C283" s="14" t="s">
        <v>1443</v>
      </c>
      <c r="D283" s="14" t="s">
        <v>1444</v>
      </c>
      <c r="E283" s="6" t="str">
        <f>HYPERLINK("https://twitter.com/_SafetyLine/status/1364253016577220613","1364253016577220613")</f>
        <v>1364253016577220613</v>
      </c>
      <c r="F283" s="7" t="s">
        <v>1445</v>
      </c>
      <c r="G283" s="8"/>
      <c r="H283" s="8"/>
      <c r="I283" s="14">
        <v>1</v>
      </c>
      <c r="J283" s="14">
        <v>2</v>
      </c>
      <c r="K283" s="6" t="str">
        <f>HYPERLINK("https://mobile.twitter.com","Twitter Web App")</f>
        <v>Twitter Web App</v>
      </c>
      <c r="L283" s="15">
        <v>718</v>
      </c>
      <c r="M283" s="15">
        <v>693</v>
      </c>
      <c r="N283" s="15">
        <v>73</v>
      </c>
      <c r="O283" s="9"/>
      <c r="P283" s="10">
        <v>41416.669895833329</v>
      </c>
      <c r="Q283" s="14" t="s">
        <v>1446</v>
      </c>
      <c r="R283" s="14" t="s">
        <v>1447</v>
      </c>
      <c r="S283" s="7" t="s">
        <v>1448</v>
      </c>
      <c r="T283" s="8"/>
      <c r="U283" s="11" t="str">
        <f>HYPERLINK("https://pbs.twimg.com/profile_images/608246688965394433/mtc9ydk7.png","View")</f>
        <v>View</v>
      </c>
      <c r="V283" s="8"/>
      <c r="W283" s="8"/>
      <c r="X283" s="8"/>
      <c r="Y283" s="8"/>
      <c r="Z283" s="8"/>
    </row>
    <row r="284" spans="1:26" ht="13.2">
      <c r="A284" s="13">
        <v>44250.734189814815</v>
      </c>
      <c r="B284" s="6" t="str">
        <f>HYPERLINK("https://twitter.com/coursesvir","@coursesvir")</f>
        <v>@coursesvir</v>
      </c>
      <c r="C284" s="14" t="s">
        <v>365</v>
      </c>
      <c r="D284" s="14" t="s">
        <v>1449</v>
      </c>
      <c r="E284" s="6" t="str">
        <f>HYPERLINK("https://twitter.com/coursesvir/status/1364252993164558340","1364252993164558340")</f>
        <v>1364252993164558340</v>
      </c>
      <c r="F284" s="7" t="s">
        <v>1450</v>
      </c>
      <c r="G284" s="7" t="s">
        <v>1451</v>
      </c>
      <c r="H284" s="8"/>
      <c r="I284" s="14">
        <v>12</v>
      </c>
      <c r="J284" s="14">
        <v>3</v>
      </c>
      <c r="K284" s="6" t="str">
        <f>HYPERLINK("https://buffer.com","Buffer")</f>
        <v>Buffer</v>
      </c>
      <c r="L284" s="15">
        <v>348</v>
      </c>
      <c r="M284" s="15">
        <v>57</v>
      </c>
      <c r="N284" s="15">
        <v>3</v>
      </c>
      <c r="O284" s="9"/>
      <c r="P284" s="10">
        <v>43408.174849537041</v>
      </c>
      <c r="Q284" s="8"/>
      <c r="R284" s="14" t="s">
        <v>369</v>
      </c>
      <c r="S284" s="7" t="s">
        <v>370</v>
      </c>
      <c r="T284" s="8"/>
      <c r="U284" s="11" t="str">
        <f>HYPERLINK("https://pbs.twimg.com/profile_images/1327806002717192192/wWEiVHhn.jpg","View")</f>
        <v>View</v>
      </c>
      <c r="V284" s="8"/>
      <c r="W284" s="8"/>
      <c r="X284" s="8"/>
      <c r="Y284" s="8"/>
      <c r="Z284" s="8"/>
    </row>
    <row r="285" spans="1:26" ht="13.2">
      <c r="A285" s="13">
        <v>44250.734155092592</v>
      </c>
      <c r="B285" s="6" t="str">
        <f>HYPERLINK("https://twitter.com/Programming1Pro","@Programming1Pro")</f>
        <v>@Programming1Pro</v>
      </c>
      <c r="C285" s="14" t="s">
        <v>1452</v>
      </c>
      <c r="D285" s="14" t="s">
        <v>1453</v>
      </c>
      <c r="E285" s="6" t="str">
        <f>HYPERLINK("https://twitter.com/Programming1Pro/status/1364252980820676608","1364252980820676608")</f>
        <v>1364252980820676608</v>
      </c>
      <c r="F285" s="7" t="s">
        <v>1454</v>
      </c>
      <c r="G285" s="7" t="s">
        <v>1455</v>
      </c>
      <c r="H285" s="8"/>
      <c r="I285" s="14">
        <v>21</v>
      </c>
      <c r="J285" s="14">
        <v>10</v>
      </c>
      <c r="K285" s="6" t="str">
        <f>HYPERLINK("http://twitter.com/download/android","Twitter for Android")</f>
        <v>Twitter for Android</v>
      </c>
      <c r="L285" s="15">
        <v>154</v>
      </c>
      <c r="M285" s="15">
        <v>101</v>
      </c>
      <c r="N285" s="15">
        <v>5</v>
      </c>
      <c r="O285" s="9"/>
      <c r="P285" s="10">
        <v>44051.923946759256</v>
      </c>
      <c r="Q285" s="8"/>
      <c r="R285" s="14" t="s">
        <v>1456</v>
      </c>
      <c r="S285" s="7" t="s">
        <v>1457</v>
      </c>
      <c r="T285" s="8"/>
      <c r="U285" s="11" t="str">
        <f>HYPERLINK("https://pbs.twimg.com/profile_images/1296026445592973312/Us0pl5f6.jpg","View")</f>
        <v>View</v>
      </c>
      <c r="V285" s="8"/>
      <c r="W285" s="8"/>
      <c r="X285" s="8"/>
      <c r="Y285" s="8"/>
      <c r="Z285" s="8"/>
    </row>
    <row r="286" spans="1:26" ht="13.2">
      <c r="A286" s="13">
        <v>44250.7340625</v>
      </c>
      <c r="B286" s="6" t="str">
        <f>HYPERLINK("https://twitter.com/MikeTamir","@MikeTamir")</f>
        <v>@MikeTamir</v>
      </c>
      <c r="C286" s="14" t="s">
        <v>1458</v>
      </c>
      <c r="D286" s="14" t="s">
        <v>1459</v>
      </c>
      <c r="E286" s="6" t="str">
        <f>HYPERLINK("https://twitter.com/MikeTamir/status/1364252944665829377","1364252944665829377")</f>
        <v>1364252944665829377</v>
      </c>
      <c r="F286" s="7" t="s">
        <v>1460</v>
      </c>
      <c r="G286" s="7" t="s">
        <v>641</v>
      </c>
      <c r="H286" s="8"/>
      <c r="I286" s="14">
        <v>0</v>
      </c>
      <c r="J286" s="14">
        <v>3</v>
      </c>
      <c r="K286" s="6" t="str">
        <f>HYPERLINK("https://buffer.com","Buffer")</f>
        <v>Buffer</v>
      </c>
      <c r="L286" s="15">
        <v>22385</v>
      </c>
      <c r="M286" s="15">
        <v>52</v>
      </c>
      <c r="N286" s="15">
        <v>1067</v>
      </c>
      <c r="O286" s="9"/>
      <c r="P286" s="10">
        <v>40732.691851851851</v>
      </c>
      <c r="Q286" s="14" t="s">
        <v>1461</v>
      </c>
      <c r="R286" s="14" t="s">
        <v>1462</v>
      </c>
      <c r="S286" s="7" t="s">
        <v>1463</v>
      </c>
      <c r="T286" s="8"/>
      <c r="U286" s="11" t="str">
        <f>HYPERLINK("https://pbs.twimg.com/profile_images/674658758472024064/1BWd5LDj.jpg","View")</f>
        <v>View</v>
      </c>
      <c r="V286" s="8"/>
      <c r="W286" s="8"/>
      <c r="X286" s="8"/>
      <c r="Y286" s="8"/>
      <c r="Z286" s="8"/>
    </row>
    <row r="287" spans="1:26" ht="13.2">
      <c r="A287" s="13">
        <v>44250.733842592592</v>
      </c>
      <c r="B287" s="6" t="str">
        <f>HYPERLINK("https://twitter.com/Agimafr","@Agimafr")</f>
        <v>@Agimafr</v>
      </c>
      <c r="C287" s="14" t="s">
        <v>1464</v>
      </c>
      <c r="D287" s="14" t="s">
        <v>1465</v>
      </c>
      <c r="E287" s="6" t="str">
        <f>HYPERLINK("https://twitter.com/Agimafr/status/1364252865649274886","1364252865649274886")</f>
        <v>1364252865649274886</v>
      </c>
      <c r="F287" s="7" t="s">
        <v>1466</v>
      </c>
      <c r="G287" s="7" t="s">
        <v>1467</v>
      </c>
      <c r="H287" s="8"/>
      <c r="I287" s="14">
        <v>0</v>
      </c>
      <c r="J287" s="14">
        <v>0</v>
      </c>
      <c r="K287" s="8"/>
      <c r="L287" s="15">
        <v>70</v>
      </c>
      <c r="M287" s="15">
        <v>17</v>
      </c>
      <c r="N287" s="15">
        <v>3</v>
      </c>
      <c r="O287" s="9"/>
      <c r="P287" s="10">
        <v>39909.366319444445</v>
      </c>
      <c r="Q287" s="14" t="s">
        <v>1468</v>
      </c>
      <c r="R287" s="14" t="s">
        <v>1469</v>
      </c>
      <c r="S287" s="7" t="s">
        <v>1470</v>
      </c>
      <c r="T287" s="8"/>
      <c r="U287" s="11" t="str">
        <f>HYPERLINK("https://pbs.twimg.com/profile_images/1361992755740827649/d8ySUqUQ.png","View")</f>
        <v>View</v>
      </c>
      <c r="V287" s="8"/>
      <c r="W287" s="8"/>
      <c r="X287" s="8"/>
      <c r="Y287" s="8"/>
      <c r="Z287" s="8"/>
    </row>
    <row r="288" spans="1:26" ht="13.2">
      <c r="A288" s="13">
        <v>44250.733564814815</v>
      </c>
      <c r="B288" s="6" t="str">
        <f>HYPERLINK("https://twitter.com/RDextrasolar","@RDextrasolar")</f>
        <v>@RDextrasolar</v>
      </c>
      <c r="C288" s="14" t="s">
        <v>1471</v>
      </c>
      <c r="D288" s="14" t="s">
        <v>1472</v>
      </c>
      <c r="E288" s="6" t="str">
        <f>HYPERLINK("https://twitter.com/RDextrasolar/status/1364252766672191489","1364252766672191489")</f>
        <v>1364252766672191489</v>
      </c>
      <c r="F288" s="14" t="s">
        <v>1473</v>
      </c>
      <c r="G288" s="7" t="s">
        <v>1474</v>
      </c>
      <c r="H288" s="8"/>
      <c r="I288" s="14">
        <v>0</v>
      </c>
      <c r="J288" s="14">
        <v>3</v>
      </c>
      <c r="K288" s="6" t="str">
        <f>HYPERLINK("https://mobile.twitter.com","Twitter Web App")</f>
        <v>Twitter Web App</v>
      </c>
      <c r="L288" s="15">
        <v>780</v>
      </c>
      <c r="M288" s="15">
        <v>687</v>
      </c>
      <c r="N288" s="15">
        <v>8</v>
      </c>
      <c r="O288" s="9"/>
      <c r="P288" s="10">
        <v>41140.140462962961</v>
      </c>
      <c r="Q288" s="8"/>
      <c r="R288" s="14" t="s">
        <v>1475</v>
      </c>
      <c r="S288" s="8"/>
      <c r="T288" s="8"/>
      <c r="U288" s="11" t="str">
        <f>HYPERLINK("https://pbs.twimg.com/profile_images/618991915590111232/lHWF7isy.jpg","View")</f>
        <v>View</v>
      </c>
      <c r="V288" s="8"/>
      <c r="W288" s="8"/>
      <c r="X288" s="8"/>
      <c r="Y288" s="8"/>
      <c r="Z288" s="8"/>
    </row>
    <row r="289" spans="1:26" ht="13.2">
      <c r="A289" s="13">
        <v>44250.732685185183</v>
      </c>
      <c r="B289" s="6" t="str">
        <f>HYPERLINK("https://twitter.com/GARP_Risk","@GARP_Risk")</f>
        <v>@GARP_Risk</v>
      </c>
      <c r="C289" s="14" t="s">
        <v>1476</v>
      </c>
      <c r="D289" s="14" t="s">
        <v>1477</v>
      </c>
      <c r="E289" s="6" t="str">
        <f>HYPERLINK("https://twitter.com/GARP_Risk/status/1364252446021865475","1364252446021865475")</f>
        <v>1364252446021865475</v>
      </c>
      <c r="F289" s="8"/>
      <c r="G289" s="7" t="s">
        <v>1478</v>
      </c>
      <c r="H289" s="8"/>
      <c r="I289" s="14">
        <v>1</v>
      </c>
      <c r="J289" s="14">
        <v>1</v>
      </c>
      <c r="K289" s="6" t="str">
        <f>HYPERLINK("https://sproutsocial.com","Sprout Social")</f>
        <v>Sprout Social</v>
      </c>
      <c r="L289" s="15">
        <v>14543</v>
      </c>
      <c r="M289" s="15">
        <v>381</v>
      </c>
      <c r="N289" s="15">
        <v>271</v>
      </c>
      <c r="O289" s="15" t="s">
        <v>130</v>
      </c>
      <c r="P289" s="10">
        <v>40612.937372685185</v>
      </c>
      <c r="Q289" s="14" t="s">
        <v>650</v>
      </c>
      <c r="R289" s="14" t="s">
        <v>1479</v>
      </c>
      <c r="S289" s="7" t="s">
        <v>1480</v>
      </c>
      <c r="T289" s="8"/>
      <c r="U289" s="11" t="str">
        <f>HYPERLINK("https://pbs.twimg.com/profile_images/1190276531542724608/1boVdwID.png","View")</f>
        <v>View</v>
      </c>
      <c r="V289" s="8"/>
      <c r="W289" s="8"/>
      <c r="X289" s="8"/>
      <c r="Y289" s="8"/>
      <c r="Z289" s="8"/>
    </row>
    <row r="290" spans="1:26" ht="13.2">
      <c r="A290" s="13">
        <v>44250.732673611114</v>
      </c>
      <c r="B290" s="6" t="str">
        <f>HYPERLINK("https://twitter.com/RadiologyGamuts","@RadiologyGamuts")</f>
        <v>@RadiologyGamuts</v>
      </c>
      <c r="C290" s="14" t="s">
        <v>1481</v>
      </c>
      <c r="D290" s="14" t="s">
        <v>1482</v>
      </c>
      <c r="E290" s="6" t="str">
        <f>HYPERLINK("https://twitter.com/RadiologyGamuts/status/1364252444176175106","1364252444176175106")</f>
        <v>1364252444176175106</v>
      </c>
      <c r="F290" s="7" t="s">
        <v>1483</v>
      </c>
      <c r="G290" s="7" t="s">
        <v>1484</v>
      </c>
      <c r="H290" s="8"/>
      <c r="I290" s="14">
        <v>0</v>
      </c>
      <c r="J290" s="14">
        <v>2</v>
      </c>
      <c r="K290" s="6" t="str">
        <f>HYPERLINK("https://www.gamuts.net","RadiologyGamuts")</f>
        <v>RadiologyGamuts</v>
      </c>
      <c r="L290" s="15">
        <v>4633</v>
      </c>
      <c r="M290" s="15">
        <v>3528</v>
      </c>
      <c r="N290" s="15">
        <v>62</v>
      </c>
      <c r="O290" s="9"/>
      <c r="P290" s="10">
        <v>41019.020555555559</v>
      </c>
      <c r="Q290" s="14" t="s">
        <v>1485</v>
      </c>
      <c r="R290" s="14" t="s">
        <v>1486</v>
      </c>
      <c r="S290" s="7" t="s">
        <v>1487</v>
      </c>
      <c r="T290" s="8"/>
      <c r="U290" s="11" t="str">
        <f>HYPERLINK("https://pbs.twimg.com/profile_images/2148080535/color-wheel.jpg","View")</f>
        <v>View</v>
      </c>
      <c r="V290" s="8"/>
      <c r="W290" s="8"/>
      <c r="X290" s="8"/>
      <c r="Y290" s="8"/>
      <c r="Z290" s="8"/>
    </row>
    <row r="291" spans="1:26" ht="13.2">
      <c r="A291" s="13">
        <v>44250.732488425929</v>
      </c>
      <c r="B291" s="6" t="str">
        <f>HYPERLINK("https://twitter.com/Serchs3D","@Serchs3D")</f>
        <v>@Serchs3D</v>
      </c>
      <c r="C291" s="14" t="s">
        <v>1488</v>
      </c>
      <c r="D291" s="14" t="s">
        <v>1489</v>
      </c>
      <c r="E291" s="6" t="str">
        <f>HYPERLINK("https://twitter.com/Serchs3D/status/1364252374383099907","1364252374383099907")</f>
        <v>1364252374383099907</v>
      </c>
      <c r="F291" s="7" t="s">
        <v>1490</v>
      </c>
      <c r="G291" s="7" t="s">
        <v>1491</v>
      </c>
      <c r="H291" s="8"/>
      <c r="I291" s="14">
        <v>0</v>
      </c>
      <c r="J291" s="14">
        <v>0</v>
      </c>
      <c r="K291" s="6" t="str">
        <f>HYPERLINK("http://twitter.com/download/android","Twitter for Android")</f>
        <v>Twitter for Android</v>
      </c>
      <c r="L291" s="15">
        <v>532</v>
      </c>
      <c r="M291" s="15">
        <v>991</v>
      </c>
      <c r="N291" s="15">
        <v>1</v>
      </c>
      <c r="O291" s="9"/>
      <c r="P291" s="10">
        <v>42412.792615740742</v>
      </c>
      <c r="Q291" s="14" t="s">
        <v>1492</v>
      </c>
      <c r="R291" s="14" t="s">
        <v>1493</v>
      </c>
      <c r="S291" s="8"/>
      <c r="T291" s="8"/>
      <c r="U291" s="11" t="str">
        <f>HYPERLINK("https://pbs.twimg.com/profile_images/1339315699395792901/CiCPqd8t.jpg","View")</f>
        <v>View</v>
      </c>
      <c r="V291" s="8"/>
      <c r="W291" s="8"/>
      <c r="X291" s="8"/>
      <c r="Y291" s="8"/>
      <c r="Z291" s="8"/>
    </row>
    <row r="292" spans="1:26" ht="13.2">
      <c r="A292" s="13">
        <v>44250.731944444444</v>
      </c>
      <c r="B292" s="6" t="str">
        <f>HYPERLINK("https://twitter.com/SSI_Innovations","@SSI_Innovations")</f>
        <v>@SSI_Innovations</v>
      </c>
      <c r="C292" s="14" t="s">
        <v>656</v>
      </c>
      <c r="D292" s="14" t="s">
        <v>1494</v>
      </c>
      <c r="E292" s="6" t="str">
        <f>HYPERLINK("https://twitter.com/SSI_Innovations/status/1364252177246552075","1364252177246552075")</f>
        <v>1364252177246552075</v>
      </c>
      <c r="F292" s="14" t="s">
        <v>1495</v>
      </c>
      <c r="G292" s="7" t="s">
        <v>1496</v>
      </c>
      <c r="H292" s="8"/>
      <c r="I292" s="14">
        <v>5</v>
      </c>
      <c r="J292" s="14">
        <v>4</v>
      </c>
      <c r="K292" s="6" t="str">
        <f>HYPERLINK("https://about.twitter.com/products/tweetdeck","TweetDeck")</f>
        <v>TweetDeck</v>
      </c>
      <c r="L292" s="15">
        <v>4449</v>
      </c>
      <c r="M292" s="15">
        <v>5002</v>
      </c>
      <c r="N292" s="15">
        <v>270</v>
      </c>
      <c r="O292" s="9"/>
      <c r="P292" s="10">
        <v>42264.36791666667</v>
      </c>
      <c r="Q292" s="14" t="s">
        <v>660</v>
      </c>
      <c r="R292" s="14" t="s">
        <v>661</v>
      </c>
      <c r="S292" s="7" t="s">
        <v>662</v>
      </c>
      <c r="T292" s="8"/>
      <c r="U292" s="11" t="str">
        <f>HYPERLINK("https://pbs.twimg.com/profile_images/649205321848631296/u39Qrzjg.jpg","View")</f>
        <v>View</v>
      </c>
      <c r="V292" s="8"/>
      <c r="W292" s="8"/>
      <c r="X292" s="8"/>
      <c r="Y292" s="8"/>
      <c r="Z292" s="8"/>
    </row>
    <row r="293" spans="1:26" ht="13.2">
      <c r="A293" s="13">
        <v>44250.730717592596</v>
      </c>
      <c r="B293" s="6" t="str">
        <f t="shared" ref="B293:B294" si="37">HYPERLINK("https://twitter.com/EngineeringInn3","@EngineeringInn3")</f>
        <v>@EngineeringInn3</v>
      </c>
      <c r="C293" s="14" t="s">
        <v>1497</v>
      </c>
      <c r="D293" s="14" t="s">
        <v>1498</v>
      </c>
      <c r="E293" s="6" t="str">
        <f>HYPERLINK("https://twitter.com/EngineeringInn3/status/1364251732306325505","1364251732306325505")</f>
        <v>1364251732306325505</v>
      </c>
      <c r="F293" s="8"/>
      <c r="G293" s="7" t="s">
        <v>1499</v>
      </c>
      <c r="H293" s="8"/>
      <c r="I293" s="14">
        <v>0</v>
      </c>
      <c r="J293" s="14">
        <v>1</v>
      </c>
      <c r="K293" s="6" t="str">
        <f t="shared" ref="K293:K294" si="38">HYPERLINK("http://twitter.com/download/android","Twitter for Android")</f>
        <v>Twitter for Android</v>
      </c>
      <c r="L293" s="15">
        <v>0</v>
      </c>
      <c r="M293" s="15">
        <v>106</v>
      </c>
      <c r="N293" s="15">
        <v>0</v>
      </c>
      <c r="O293" s="9"/>
      <c r="P293" s="10">
        <v>44231.34238425926</v>
      </c>
      <c r="Q293" s="8"/>
      <c r="R293" s="8"/>
      <c r="S293" s="8"/>
      <c r="T293" s="8"/>
      <c r="U293" s="11" t="str">
        <f t="shared" ref="U293:U294" si="39">HYPERLINK("https://pbs.twimg.com/profile_images/1357225875620548608/6rgkE3i2.jpg","View")</f>
        <v>View</v>
      </c>
      <c r="V293" s="8"/>
      <c r="W293" s="8"/>
      <c r="X293" s="8"/>
      <c r="Y293" s="8"/>
      <c r="Z293" s="8"/>
    </row>
    <row r="294" spans="1:26" ht="13.2">
      <c r="A294" s="13">
        <v>44250.73064814815</v>
      </c>
      <c r="B294" s="6" t="str">
        <f t="shared" si="37"/>
        <v>@EngineeringInn3</v>
      </c>
      <c r="C294" s="14" t="s">
        <v>1497</v>
      </c>
      <c r="D294" s="14" t="s">
        <v>1498</v>
      </c>
      <c r="E294" s="6" t="str">
        <f>HYPERLINK("https://twitter.com/EngineeringInn3/status/1364251709095038979","1364251709095038979")</f>
        <v>1364251709095038979</v>
      </c>
      <c r="F294" s="8"/>
      <c r="G294" s="7" t="s">
        <v>1500</v>
      </c>
      <c r="H294" s="8"/>
      <c r="I294" s="14">
        <v>0</v>
      </c>
      <c r="J294" s="14">
        <v>1</v>
      </c>
      <c r="K294" s="6" t="str">
        <f t="shared" si="38"/>
        <v>Twitter for Android</v>
      </c>
      <c r="L294" s="15">
        <v>0</v>
      </c>
      <c r="M294" s="15">
        <v>106</v>
      </c>
      <c r="N294" s="15">
        <v>0</v>
      </c>
      <c r="O294" s="9"/>
      <c r="P294" s="10">
        <v>44231.34238425926</v>
      </c>
      <c r="Q294" s="8"/>
      <c r="R294" s="8"/>
      <c r="S294" s="8"/>
      <c r="T294" s="8"/>
      <c r="U294" s="11" t="str">
        <f t="shared" si="39"/>
        <v>View</v>
      </c>
      <c r="V294" s="8"/>
      <c r="W294" s="8"/>
      <c r="X294" s="8"/>
      <c r="Y294" s="8"/>
      <c r="Z294" s="8"/>
    </row>
    <row r="295" spans="1:26" ht="13.2">
      <c r="A295" s="13">
        <v>44250.730613425927</v>
      </c>
      <c r="B295" s="6" t="str">
        <f>HYPERLINK("https://twitter.com/mhdodick","@mhdodick")</f>
        <v>@mhdodick</v>
      </c>
      <c r="C295" s="14" t="s">
        <v>1501</v>
      </c>
      <c r="D295" s="14" t="s">
        <v>1502</v>
      </c>
      <c r="E295" s="6" t="str">
        <f>HYPERLINK("https://twitter.com/mhdodick/status/1364251695472115720","1364251695472115720")</f>
        <v>1364251695472115720</v>
      </c>
      <c r="F295" s="14" t="s">
        <v>1503</v>
      </c>
      <c r="G295" s="7" t="s">
        <v>1504</v>
      </c>
      <c r="H295" s="8"/>
      <c r="I295" s="14">
        <v>0</v>
      </c>
      <c r="J295" s="14">
        <v>3</v>
      </c>
      <c r="K295" s="6" t="str">
        <f>HYPERLINK("https://mobile.twitter.com","Twitter Web App")</f>
        <v>Twitter Web App</v>
      </c>
      <c r="L295" s="15">
        <v>800</v>
      </c>
      <c r="M295" s="15">
        <v>1043</v>
      </c>
      <c r="N295" s="15">
        <v>58</v>
      </c>
      <c r="O295" s="9"/>
      <c r="P295" s="10">
        <v>40976.700127314813</v>
      </c>
      <c r="Q295" s="14" t="s">
        <v>1505</v>
      </c>
      <c r="R295" s="14" t="s">
        <v>1506</v>
      </c>
      <c r="S295" s="7" t="s">
        <v>1507</v>
      </c>
      <c r="T295" s="8"/>
      <c r="U295" s="11" t="str">
        <f>HYPERLINK("https://pbs.twimg.com/profile_images/1156191258018275334/GOdgQc_j.jpg","View")</f>
        <v>View</v>
      </c>
      <c r="V295" s="8"/>
      <c r="W295" s="8"/>
      <c r="X295" s="8"/>
      <c r="Y295" s="8"/>
      <c r="Z295" s="8"/>
    </row>
    <row r="296" spans="1:26" ht="13.2">
      <c r="A296" s="13">
        <v>44250.73060185185</v>
      </c>
      <c r="B296" s="6" t="str">
        <f>HYPERLINK("https://twitter.com/ipfconline1","@ipfconline1")</f>
        <v>@ipfconline1</v>
      </c>
      <c r="C296" s="14" t="s">
        <v>65</v>
      </c>
      <c r="D296" s="14" t="s">
        <v>1508</v>
      </c>
      <c r="E296" s="6" t="str">
        <f>HYPERLINK("https://twitter.com/ipfconline1/status/1364251690506027022","1364251690506027022")</f>
        <v>1364251690506027022</v>
      </c>
      <c r="F296" s="7" t="s">
        <v>1509</v>
      </c>
      <c r="G296" s="7" t="s">
        <v>1510</v>
      </c>
      <c r="H296" s="8"/>
      <c r="I296" s="14">
        <v>10</v>
      </c>
      <c r="J296" s="14">
        <v>9</v>
      </c>
      <c r="K296" s="6" t="str">
        <f>HYPERLINK("https://twittimer.com","Twittimer")</f>
        <v>Twittimer</v>
      </c>
      <c r="L296" s="15">
        <v>112675</v>
      </c>
      <c r="M296" s="15">
        <v>107162</v>
      </c>
      <c r="N296" s="15">
        <v>7806</v>
      </c>
      <c r="O296" s="9"/>
      <c r="P296" s="10">
        <v>42433.031967592593</v>
      </c>
      <c r="Q296" s="14" t="s">
        <v>69</v>
      </c>
      <c r="R296" s="14" t="s">
        <v>70</v>
      </c>
      <c r="S296" s="7" t="s">
        <v>71</v>
      </c>
      <c r="T296" s="8"/>
      <c r="U296" s="11" t="str">
        <f>HYPERLINK("https://pbs.twimg.com/profile_images/729065804004769793/St2_Pum9.jpg","View")</f>
        <v>View</v>
      </c>
      <c r="V296" s="8"/>
      <c r="W296" s="8"/>
      <c r="X296" s="8"/>
      <c r="Y296" s="8"/>
      <c r="Z296" s="8"/>
    </row>
    <row r="297" spans="1:26" ht="13.2">
      <c r="A297" s="13">
        <v>44250.730578703704</v>
      </c>
      <c r="B297" s="6" t="str">
        <f>HYPERLINK("https://twitter.com/asifrazzaq1988","@asifrazzaq1988")</f>
        <v>@asifrazzaq1988</v>
      </c>
      <c r="C297" s="14" t="s">
        <v>53</v>
      </c>
      <c r="D297" s="14" t="s">
        <v>1511</v>
      </c>
      <c r="E297" s="6" t="str">
        <f>HYPERLINK("https://twitter.com/asifrazzaq1988/status/1364251684835188737","1364251684835188737")</f>
        <v>1364251684835188737</v>
      </c>
      <c r="F297" s="7" t="s">
        <v>1512</v>
      </c>
      <c r="G297" s="8"/>
      <c r="H297" s="8"/>
      <c r="I297" s="14">
        <v>2</v>
      </c>
      <c r="J297" s="14">
        <v>2</v>
      </c>
      <c r="K297" s="6" t="str">
        <f>HYPERLINK("https://dlvrit.com/","dlvr.it")</f>
        <v>dlvr.it</v>
      </c>
      <c r="L297" s="15">
        <v>5022</v>
      </c>
      <c r="M297" s="15">
        <v>3191</v>
      </c>
      <c r="N297" s="15">
        <v>77</v>
      </c>
      <c r="O297" s="9"/>
      <c r="P297" s="10">
        <v>42237.408136574071</v>
      </c>
      <c r="Q297" s="14" t="s">
        <v>56</v>
      </c>
      <c r="R297" s="14" t="s">
        <v>57</v>
      </c>
      <c r="S297" s="7" t="s">
        <v>58</v>
      </c>
      <c r="T297" s="8"/>
      <c r="U297" s="11" t="str">
        <f>HYPERLINK("https://pbs.twimg.com/profile_images/1329326638589382657/lE7wr_tF.jpg","View")</f>
        <v>View</v>
      </c>
      <c r="V297" s="8"/>
      <c r="W297" s="8"/>
      <c r="X297" s="8"/>
      <c r="Y297" s="8"/>
      <c r="Z297" s="8"/>
    </row>
    <row r="298" spans="1:26" ht="13.2">
      <c r="A298" s="13">
        <v>44250.73028935185</v>
      </c>
      <c r="B298" s="6" t="str">
        <f>HYPERLINK("https://twitter.com/FrRonconi","@FrRonconi")</f>
        <v>@FrRonconi</v>
      </c>
      <c r="C298" s="14" t="s">
        <v>1513</v>
      </c>
      <c r="D298" s="14" t="s">
        <v>1514</v>
      </c>
      <c r="E298" s="6" t="str">
        <f>HYPERLINK("https://twitter.com/FrRonconi/status/1364251580145537025","1364251580145537025")</f>
        <v>1364251580145537025</v>
      </c>
      <c r="F298" s="8"/>
      <c r="G298" s="7" t="s">
        <v>1515</v>
      </c>
      <c r="H298" s="8"/>
      <c r="I298" s="14">
        <v>1</v>
      </c>
      <c r="J298" s="14">
        <v>4</v>
      </c>
      <c r="K298" s="6" t="str">
        <f>HYPERLINK("https://mobile.twitter.com","Twitter Web App")</f>
        <v>Twitter Web App</v>
      </c>
      <c r="L298" s="15">
        <v>27982</v>
      </c>
      <c r="M298" s="15">
        <v>2430</v>
      </c>
      <c r="N298" s="15">
        <v>712</v>
      </c>
      <c r="O298" s="9"/>
      <c r="P298" s="10">
        <v>41401.436574074076</v>
      </c>
      <c r="Q298" s="14" t="s">
        <v>1516</v>
      </c>
      <c r="R298" s="14" t="s">
        <v>1517</v>
      </c>
      <c r="S298" s="7" t="s">
        <v>1518</v>
      </c>
      <c r="T298" s="8"/>
      <c r="U298" s="11" t="str">
        <f>HYPERLINK("https://pbs.twimg.com/profile_images/1271860204775276547/JPkzj0EM.jpg","View")</f>
        <v>View</v>
      </c>
      <c r="V298" s="8"/>
      <c r="W298" s="8"/>
      <c r="X298" s="8"/>
      <c r="Y298" s="8"/>
      <c r="Z298" s="8"/>
    </row>
    <row r="299" spans="1:26" ht="13.2">
      <c r="A299" s="13">
        <v>44250.730138888888</v>
      </c>
      <c r="B299" s="6" t="str">
        <f>HYPERLINK("https://twitter.com/bluetrainagency","@bluetrainagency")</f>
        <v>@bluetrainagency</v>
      </c>
      <c r="C299" s="14" t="s">
        <v>1519</v>
      </c>
      <c r="D299" s="14" t="s">
        <v>1520</v>
      </c>
      <c r="E299" s="6" t="str">
        <f>HYPERLINK("https://twitter.com/bluetrainagency/status/1364251525497966592","1364251525497966592")</f>
        <v>1364251525497966592</v>
      </c>
      <c r="F299" s="7" t="s">
        <v>1521</v>
      </c>
      <c r="G299" s="7" t="s">
        <v>1522</v>
      </c>
      <c r="H299" s="8"/>
      <c r="I299" s="14">
        <v>0</v>
      </c>
      <c r="J299" s="14">
        <v>1</v>
      </c>
      <c r="K299" s="6" t="str">
        <f>HYPERLINK("https://www.hootsuite.com","Hootsuite Inc.")</f>
        <v>Hootsuite Inc.</v>
      </c>
      <c r="L299" s="15">
        <v>1925</v>
      </c>
      <c r="M299" s="15">
        <v>3039</v>
      </c>
      <c r="N299" s="15">
        <v>38</v>
      </c>
      <c r="O299" s="9"/>
      <c r="P299" s="10">
        <v>41984.508564814816</v>
      </c>
      <c r="Q299" s="14" t="s">
        <v>599</v>
      </c>
      <c r="R299" s="14" t="s">
        <v>1523</v>
      </c>
      <c r="S299" s="7" t="s">
        <v>1524</v>
      </c>
      <c r="T299" s="8"/>
      <c r="U299" s="11" t="str">
        <f>HYPERLINK("https://pbs.twimg.com/profile_images/1346462276144877572/cO3VJvP9.png","View")</f>
        <v>View</v>
      </c>
      <c r="V299" s="8"/>
      <c r="W299" s="8"/>
      <c r="X299" s="8"/>
      <c r="Y299" s="8"/>
      <c r="Z299" s="8"/>
    </row>
    <row r="300" spans="1:26" ht="13.2">
      <c r="A300" s="13">
        <v>44250.730057870373</v>
      </c>
      <c r="B300" s="6" t="str">
        <f>HYPERLINK("https://twitter.com/manodevelcro","@manodevelcro")</f>
        <v>@manodevelcro</v>
      </c>
      <c r="C300" s="14" t="s">
        <v>1525</v>
      </c>
      <c r="D300" s="14" t="s">
        <v>1526</v>
      </c>
      <c r="E300" s="6" t="str">
        <f>HYPERLINK("https://twitter.com/manodevelcro/status/1364251495005323267","1364251495005323267")</f>
        <v>1364251495005323267</v>
      </c>
      <c r="F300" s="7" t="s">
        <v>1527</v>
      </c>
      <c r="G300" s="8"/>
      <c r="H300" s="8"/>
      <c r="I300" s="14">
        <v>0</v>
      </c>
      <c r="J300" s="14">
        <v>0</v>
      </c>
      <c r="K300" s="6" t="str">
        <f>HYPERLINK("http://smarp.com","Smarp.")</f>
        <v>Smarp.</v>
      </c>
      <c r="L300" s="15">
        <v>158</v>
      </c>
      <c r="M300" s="15">
        <v>320</v>
      </c>
      <c r="N300" s="15">
        <v>4</v>
      </c>
      <c r="O300" s="9"/>
      <c r="P300" s="10">
        <v>43045.807152777779</v>
      </c>
      <c r="Q300" s="14" t="s">
        <v>1528</v>
      </c>
      <c r="R300" s="14" t="s">
        <v>1529</v>
      </c>
      <c r="S300" s="7" t="s">
        <v>1530</v>
      </c>
      <c r="T300" s="8"/>
      <c r="U300" s="11" t="str">
        <f>HYPERLINK("https://pbs.twimg.com/profile_images/1218314687986774016/oYeuBzyZ.jpg","View")</f>
        <v>View</v>
      </c>
      <c r="V300" s="8"/>
      <c r="W300" s="8"/>
      <c r="X300" s="8"/>
      <c r="Y300" s="8"/>
      <c r="Z300" s="8"/>
    </row>
    <row r="301" spans="1:26" ht="13.2">
      <c r="A301" s="13">
        <v>44250.729895833334</v>
      </c>
      <c r="B301" s="6" t="str">
        <f>HYPERLINK("https://twitter.com/DatamlConsult","@DatamlConsult")</f>
        <v>@DatamlConsult</v>
      </c>
      <c r="C301" s="14" t="s">
        <v>1531</v>
      </c>
      <c r="D301" s="14" t="s">
        <v>1532</v>
      </c>
      <c r="E301" s="6" t="str">
        <f>HYPERLINK("https://twitter.com/DatamlConsult/status/1364251434347335682","1364251434347335682")</f>
        <v>1364251434347335682</v>
      </c>
      <c r="F301" s="8"/>
      <c r="G301" s="7" t="s">
        <v>1533</v>
      </c>
      <c r="H301" s="8"/>
      <c r="I301" s="14">
        <v>1</v>
      </c>
      <c r="J301" s="14">
        <v>0</v>
      </c>
      <c r="K301" s="6" t="str">
        <f t="shared" ref="K301:K302" si="40">HYPERLINK("https://mobile.twitter.com","Twitter Web App")</f>
        <v>Twitter Web App</v>
      </c>
      <c r="L301" s="15">
        <v>86</v>
      </c>
      <c r="M301" s="15">
        <v>56</v>
      </c>
      <c r="N301" s="15">
        <v>0</v>
      </c>
      <c r="O301" s="9"/>
      <c r="P301" s="10">
        <v>42888.363865740743</v>
      </c>
      <c r="Q301" s="8"/>
      <c r="R301" s="14" t="s">
        <v>1534</v>
      </c>
      <c r="S301" s="7" t="s">
        <v>1535</v>
      </c>
      <c r="T301" s="8"/>
      <c r="U301" s="11" t="str">
        <f>HYPERLINK("https://pbs.twimg.com/profile_images/1129090564849360898/d3L-SoWd.jpg","View")</f>
        <v>View</v>
      </c>
      <c r="V301" s="8"/>
      <c r="W301" s="8"/>
      <c r="X301" s="8"/>
      <c r="Y301" s="8"/>
      <c r="Z301" s="8"/>
    </row>
    <row r="302" spans="1:26" ht="13.2">
      <c r="A302" s="13">
        <v>44250.729710648149</v>
      </c>
      <c r="B302" s="6" t="str">
        <f>HYPERLINK("https://twitter.com/aster_cloud","@aster_cloud")</f>
        <v>@aster_cloud</v>
      </c>
      <c r="C302" s="14" t="s">
        <v>1536</v>
      </c>
      <c r="D302" s="14" t="s">
        <v>1537</v>
      </c>
      <c r="E302" s="6" t="str">
        <f>HYPERLINK("https://twitter.com/aster_cloud/status/1364251368073035778","1364251368073035778")</f>
        <v>1364251368073035778</v>
      </c>
      <c r="F302" s="7" t="s">
        <v>1538</v>
      </c>
      <c r="G302" s="7" t="s">
        <v>1539</v>
      </c>
      <c r="H302" s="8"/>
      <c r="I302" s="14">
        <v>13</v>
      </c>
      <c r="J302" s="14">
        <v>4</v>
      </c>
      <c r="K302" s="6" t="str">
        <f t="shared" si="40"/>
        <v>Twitter Web App</v>
      </c>
      <c r="L302" s="15">
        <v>221</v>
      </c>
      <c r="M302" s="15">
        <v>278</v>
      </c>
      <c r="N302" s="15">
        <v>4</v>
      </c>
      <c r="O302" s="9"/>
      <c r="P302" s="10">
        <v>43586.708912037036</v>
      </c>
      <c r="Q302" s="8"/>
      <c r="R302" s="14" t="s">
        <v>1540</v>
      </c>
      <c r="S302" s="7" t="s">
        <v>1541</v>
      </c>
      <c r="T302" s="8"/>
      <c r="U302" s="11" t="str">
        <f>HYPERLINK("https://pbs.twimg.com/profile_images/1123615703653728257/0maE5z0k.png","View")</f>
        <v>View</v>
      </c>
      <c r="V302" s="8"/>
      <c r="W302" s="8"/>
      <c r="X302" s="8"/>
      <c r="Y302" s="8"/>
      <c r="Z302" s="8"/>
    </row>
    <row r="303" spans="1:26" ht="13.2">
      <c r="A303" s="13">
        <v>44250.729629629626</v>
      </c>
      <c r="B303" s="6" t="str">
        <f>HYPERLINK("https://twitter.com/MicropoleBeLux","@MicropoleBeLux")</f>
        <v>@MicropoleBeLux</v>
      </c>
      <c r="C303" s="14" t="s">
        <v>1542</v>
      </c>
      <c r="D303" s="14" t="s">
        <v>1543</v>
      </c>
      <c r="E303" s="6" t="str">
        <f>HYPERLINK("https://twitter.com/MicropoleBeLux/status/1364251339837100034","1364251339837100034")</f>
        <v>1364251339837100034</v>
      </c>
      <c r="F303" s="8"/>
      <c r="G303" s="7" t="s">
        <v>1544</v>
      </c>
      <c r="H303" s="8"/>
      <c r="I303" s="14">
        <v>0</v>
      </c>
      <c r="J303" s="14">
        <v>1</v>
      </c>
      <c r="K303" s="6" t="str">
        <f t="shared" ref="K303:K304" si="41">HYPERLINK("https://www.hootsuite.com","Hootsuite Inc.")</f>
        <v>Hootsuite Inc.</v>
      </c>
      <c r="L303" s="15">
        <v>371</v>
      </c>
      <c r="M303" s="15">
        <v>263</v>
      </c>
      <c r="N303" s="15">
        <v>42</v>
      </c>
      <c r="O303" s="9"/>
      <c r="P303" s="10">
        <v>40696.600486111114</v>
      </c>
      <c r="Q303" s="14" t="s">
        <v>1545</v>
      </c>
      <c r="R303" s="14" t="s">
        <v>1546</v>
      </c>
      <c r="S303" s="7" t="s">
        <v>1547</v>
      </c>
      <c r="T303" s="8"/>
      <c r="U303" s="11" t="str">
        <f>HYPERLINK("https://pbs.twimg.com/profile_images/1052904664386154497/jJPl0ztZ.jpg","View")</f>
        <v>View</v>
      </c>
      <c r="V303" s="8"/>
      <c r="W303" s="8"/>
      <c r="X303" s="8"/>
      <c r="Y303" s="8"/>
      <c r="Z303" s="8"/>
    </row>
    <row r="304" spans="1:26" ht="13.2">
      <c r="A304" s="13">
        <v>44250.729583333334</v>
      </c>
      <c r="B304" s="6" t="str">
        <f>HYPERLINK("https://twitter.com/Acuvate","@Acuvate")</f>
        <v>@Acuvate</v>
      </c>
      <c r="C304" s="14" t="s">
        <v>1548</v>
      </c>
      <c r="D304" s="14" t="s">
        <v>1549</v>
      </c>
      <c r="E304" s="6" t="str">
        <f>HYPERLINK("https://twitter.com/Acuvate/status/1364251320820129803","1364251320820129803")</f>
        <v>1364251320820129803</v>
      </c>
      <c r="F304" s="7" t="s">
        <v>1550</v>
      </c>
      <c r="G304" s="8"/>
      <c r="H304" s="8"/>
      <c r="I304" s="14">
        <v>0</v>
      </c>
      <c r="J304" s="14">
        <v>1</v>
      </c>
      <c r="K304" s="6" t="str">
        <f t="shared" si="41"/>
        <v>Hootsuite Inc.</v>
      </c>
      <c r="L304" s="15">
        <v>1724</v>
      </c>
      <c r="M304" s="15">
        <v>1530</v>
      </c>
      <c r="N304" s="15">
        <v>162</v>
      </c>
      <c r="O304" s="9"/>
      <c r="P304" s="10">
        <v>40659.360000000001</v>
      </c>
      <c r="Q304" s="14" t="s">
        <v>1551</v>
      </c>
      <c r="R304" s="14" t="s">
        <v>1552</v>
      </c>
      <c r="S304" s="7" t="s">
        <v>1553</v>
      </c>
      <c r="T304" s="8"/>
      <c r="U304" s="11" t="str">
        <f>HYPERLINK("https://pbs.twimg.com/profile_images/747748531323080704/czQ31L30.jpg","View")</f>
        <v>View</v>
      </c>
      <c r="V304" s="8"/>
      <c r="W304" s="8"/>
      <c r="X304" s="8"/>
      <c r="Y304" s="8"/>
      <c r="Z304" s="8"/>
    </row>
    <row r="305" spans="1:26" ht="13.2">
      <c r="A305" s="13">
        <v>44250.729421296295</v>
      </c>
      <c r="B305" s="6" t="str">
        <f>HYPERLINK("https://twitter.com/Paula_Piccard","@Paula_Piccard")</f>
        <v>@Paula_Piccard</v>
      </c>
      <c r="C305" s="14" t="s">
        <v>1116</v>
      </c>
      <c r="D305" s="14" t="s">
        <v>1554</v>
      </c>
      <c r="E305" s="6" t="str">
        <f>HYPERLINK("https://twitter.com/Paula_Piccard/status/1364251264574488577","1364251264574488577")</f>
        <v>1364251264574488577</v>
      </c>
      <c r="F305" s="8"/>
      <c r="G305" s="7" t="s">
        <v>1555</v>
      </c>
      <c r="H305" s="8"/>
      <c r="I305" s="14">
        <v>21</v>
      </c>
      <c r="J305" s="14">
        <v>9</v>
      </c>
      <c r="K305" s="6" t="str">
        <f>HYPERLINK("https://smarterqueue.com","SmarterQueue")</f>
        <v>SmarterQueue</v>
      </c>
      <c r="L305" s="15">
        <v>61067</v>
      </c>
      <c r="M305" s="15">
        <v>9852</v>
      </c>
      <c r="N305" s="15">
        <v>1284</v>
      </c>
      <c r="O305" s="9"/>
      <c r="P305" s="10">
        <v>40665.824629629627</v>
      </c>
      <c r="Q305" s="14" t="s">
        <v>1120</v>
      </c>
      <c r="R305" s="14" t="s">
        <v>1121</v>
      </c>
      <c r="S305" s="7" t="s">
        <v>1122</v>
      </c>
      <c r="T305" s="8"/>
      <c r="U305" s="11" t="str">
        <f>HYPERLINK("https://pbs.twimg.com/profile_images/1307804375981621254/KT6ID8H9.png","View")</f>
        <v>View</v>
      </c>
      <c r="V305" s="8"/>
      <c r="W305" s="8"/>
      <c r="X305" s="8"/>
      <c r="Y305" s="8"/>
      <c r="Z305" s="8"/>
    </row>
    <row r="306" spans="1:26" ht="13.2">
      <c r="A306" s="13">
        <v>44250.729386574079</v>
      </c>
      <c r="B306" s="6" t="str">
        <f>HYPERLINK("https://twitter.com/PlugandPlayTC","@PlugandPlayTC")</f>
        <v>@PlugandPlayTC</v>
      </c>
      <c r="C306" s="14" t="s">
        <v>1556</v>
      </c>
      <c r="D306" s="14" t="s">
        <v>1557</v>
      </c>
      <c r="E306" s="6" t="str">
        <f>HYPERLINK("https://twitter.com/PlugandPlayTC/status/1364251249688907786","1364251249688907786")</f>
        <v>1364251249688907786</v>
      </c>
      <c r="F306" s="7" t="s">
        <v>1558</v>
      </c>
      <c r="G306" s="7" t="s">
        <v>1559</v>
      </c>
      <c r="H306" s="8"/>
      <c r="I306" s="14">
        <v>0</v>
      </c>
      <c r="J306" s="14">
        <v>1</v>
      </c>
      <c r="K306" s="6" t="str">
        <f>HYPERLINK("http://www.hubspot.com/","HubSpot")</f>
        <v>HubSpot</v>
      </c>
      <c r="L306" s="15">
        <v>22082</v>
      </c>
      <c r="M306" s="15">
        <v>5729</v>
      </c>
      <c r="N306" s="15">
        <v>1108</v>
      </c>
      <c r="O306" s="9"/>
      <c r="P306" s="10">
        <v>39766.791990740741</v>
      </c>
      <c r="Q306" s="14" t="s">
        <v>1560</v>
      </c>
      <c r="R306" s="14" t="s">
        <v>1561</v>
      </c>
      <c r="S306" s="7" t="s">
        <v>1562</v>
      </c>
      <c r="T306" s="8"/>
      <c r="U306" s="11" t="str">
        <f>HYPERLINK("https://pbs.twimg.com/profile_images/1116662990852558848/EZhztH1B.png","View")</f>
        <v>View</v>
      </c>
      <c r="V306" s="8"/>
      <c r="W306" s="8"/>
      <c r="X306" s="8"/>
      <c r="Y306" s="8"/>
      <c r="Z306" s="8"/>
    </row>
    <row r="307" spans="1:26" ht="13.2">
      <c r="A307" s="13">
        <v>44250.72923611111</v>
      </c>
      <c r="B307" s="6" t="str">
        <f>HYPERLINK("https://twitter.com/botosynthesis","@botosynthesis")</f>
        <v>@botosynthesis</v>
      </c>
      <c r="C307" s="14" t="s">
        <v>1563</v>
      </c>
      <c r="D307" s="14" t="s">
        <v>1564</v>
      </c>
      <c r="E307" s="6" t="str">
        <f>HYPERLINK("https://twitter.com/botosynthesis/status/1364251196177924099","1364251196177924099")</f>
        <v>1364251196177924099</v>
      </c>
      <c r="F307" s="14" t="s">
        <v>1565</v>
      </c>
      <c r="G307" s="8"/>
      <c r="H307" s="8"/>
      <c r="I307" s="14">
        <v>0</v>
      </c>
      <c r="J307" s="14">
        <v>1</v>
      </c>
      <c r="K307" s="6" t="str">
        <f>HYPERLINK("https://publer.io","Publer ")</f>
        <v xml:space="preserve">Publer </v>
      </c>
      <c r="L307" s="15">
        <v>10052</v>
      </c>
      <c r="M307" s="15">
        <v>9635</v>
      </c>
      <c r="N307" s="15">
        <v>42</v>
      </c>
      <c r="O307" s="9"/>
      <c r="P307" s="10">
        <v>43806.763773148152</v>
      </c>
      <c r="Q307" s="14" t="s">
        <v>1566</v>
      </c>
      <c r="R307" s="14" t="s">
        <v>1567</v>
      </c>
      <c r="S307" s="7" t="s">
        <v>1568</v>
      </c>
      <c r="T307" s="8"/>
      <c r="U307" s="11" t="str">
        <f>HYPERLINK("https://pbs.twimg.com/profile_images/1212680524600242176/-88PCrRa.jpg","View")</f>
        <v>View</v>
      </c>
      <c r="V307" s="8"/>
      <c r="W307" s="8"/>
      <c r="X307" s="8"/>
      <c r="Y307" s="8"/>
      <c r="Z307" s="8"/>
    </row>
    <row r="308" spans="1:26" ht="13.2">
      <c r="A308" s="13">
        <v>44250.729224537034</v>
      </c>
      <c r="B308" s="6" t="str">
        <f>HYPERLINK("https://twitter.com/PunkPOS","@PunkPOS")</f>
        <v>@PunkPOS</v>
      </c>
      <c r="C308" s="14" t="s">
        <v>1569</v>
      </c>
      <c r="D308" s="14" t="s">
        <v>1570</v>
      </c>
      <c r="E308" s="6" t="str">
        <f>HYPERLINK("https://twitter.com/PunkPOS/status/1364251193640378373","1364251193640378373")</f>
        <v>1364251193640378373</v>
      </c>
      <c r="F308" s="7" t="s">
        <v>1571</v>
      </c>
      <c r="G308" s="8"/>
      <c r="H308" s="8"/>
      <c r="I308" s="14">
        <v>0</v>
      </c>
      <c r="J308" s="14">
        <v>0</v>
      </c>
      <c r="K308" s="6" t="str">
        <f>HYPERLINK("http://www.hubspot.com/","HubSpot")</f>
        <v>HubSpot</v>
      </c>
      <c r="L308" s="15">
        <v>166</v>
      </c>
      <c r="M308" s="15">
        <v>173</v>
      </c>
      <c r="N308" s="15">
        <v>1</v>
      </c>
      <c r="O308" s="9"/>
      <c r="P308" s="10">
        <v>43402.905532407407</v>
      </c>
      <c r="Q308" s="14" t="s">
        <v>215</v>
      </c>
      <c r="R308" s="14" t="s">
        <v>1572</v>
      </c>
      <c r="S308" s="7" t="s">
        <v>1573</v>
      </c>
      <c r="T308" s="8"/>
      <c r="U308" s="11" t="str">
        <f>HYPERLINK("https://pbs.twimg.com/profile_images/1057476215383228416/HNCjA0Yw.jpg","View")</f>
        <v>View</v>
      </c>
      <c r="V308" s="8"/>
      <c r="W308" s="8"/>
      <c r="X308" s="8"/>
      <c r="Y308" s="8"/>
      <c r="Z308" s="8"/>
    </row>
    <row r="309" spans="1:26" ht="13.2">
      <c r="A309" s="13">
        <v>44250.729212962964</v>
      </c>
      <c r="B309" s="6" t="str">
        <f>HYPERLINK("https://twitter.com/XcedeDigital","@XcedeDigital")</f>
        <v>@XcedeDigital</v>
      </c>
      <c r="C309" s="14" t="s">
        <v>1574</v>
      </c>
      <c r="D309" s="14" t="s">
        <v>1575</v>
      </c>
      <c r="E309" s="6" t="str">
        <f>HYPERLINK("https://twitter.com/XcedeDigital/status/1364251189450276876","1364251189450276876")</f>
        <v>1364251189450276876</v>
      </c>
      <c r="F309" s="7" t="s">
        <v>1576</v>
      </c>
      <c r="G309" s="7" t="s">
        <v>1577</v>
      </c>
      <c r="H309" s="8"/>
      <c r="I309" s="14">
        <v>1</v>
      </c>
      <c r="J309" s="14">
        <v>0</v>
      </c>
      <c r="K309" s="6" t="str">
        <f>HYPERLINK("https://app.sendible.com","Sendible")</f>
        <v>Sendible</v>
      </c>
      <c r="L309" s="15">
        <v>1444</v>
      </c>
      <c r="M309" s="15">
        <v>1120</v>
      </c>
      <c r="N309" s="15">
        <v>262</v>
      </c>
      <c r="O309" s="9"/>
      <c r="P309" s="10">
        <v>40276.945752314816</v>
      </c>
      <c r="Q309" s="14" t="s">
        <v>753</v>
      </c>
      <c r="R309" s="14" t="s">
        <v>1578</v>
      </c>
      <c r="S309" s="7" t="s">
        <v>1579</v>
      </c>
      <c r="T309" s="8"/>
      <c r="U309" s="11" t="str">
        <f>HYPERLINK("https://pbs.twimg.com/profile_images/1151488447275839488/JeZrHHxE.png","View")</f>
        <v>View</v>
      </c>
      <c r="V309" s="8"/>
      <c r="W309" s="8"/>
      <c r="X309" s="8"/>
      <c r="Y309" s="8"/>
      <c r="Z309" s="8"/>
    </row>
    <row r="310" spans="1:26" ht="13.2">
      <c r="A310" s="13">
        <v>44250.729166666672</v>
      </c>
      <c r="B310" s="6" t="str">
        <f>HYPERLINK("https://twitter.com/Bioenable","@Bioenable")</f>
        <v>@Bioenable</v>
      </c>
      <c r="C310" s="14" t="s">
        <v>1580</v>
      </c>
      <c r="D310" s="14" t="s">
        <v>1581</v>
      </c>
      <c r="E310" s="6" t="str">
        <f>HYPERLINK("https://twitter.com/Bioenable/status/1364251172073312265","1364251172073312265")</f>
        <v>1364251172073312265</v>
      </c>
      <c r="F310" s="8"/>
      <c r="G310" s="7" t="s">
        <v>1582</v>
      </c>
      <c r="H310" s="8"/>
      <c r="I310" s="14">
        <v>3</v>
      </c>
      <c r="J310" s="14">
        <v>1</v>
      </c>
      <c r="K310" s="6" t="str">
        <f t="shared" ref="K310:K311" si="42">HYPERLINK("https://about.twitter.com/products/tweetdeck","TweetDeck")</f>
        <v>TweetDeck</v>
      </c>
      <c r="L310" s="15">
        <v>662</v>
      </c>
      <c r="M310" s="15">
        <v>7</v>
      </c>
      <c r="N310" s="15">
        <v>3</v>
      </c>
      <c r="O310" s="9"/>
      <c r="P310" s="10">
        <v>40765.462881944448</v>
      </c>
      <c r="Q310" s="14" t="s">
        <v>1583</v>
      </c>
      <c r="R310" s="14" t="s">
        <v>1584</v>
      </c>
      <c r="S310" s="7" t="s">
        <v>1585</v>
      </c>
      <c r="T310" s="8"/>
      <c r="U310" s="11" t="str">
        <f>HYPERLINK("https://pbs.twimg.com/profile_images/1295296926049419265/RUCW7DPw.jpg","View")</f>
        <v>View</v>
      </c>
      <c r="V310" s="8"/>
      <c r="W310" s="8"/>
      <c r="X310" s="8"/>
      <c r="Y310" s="8"/>
      <c r="Z310" s="8"/>
    </row>
    <row r="311" spans="1:26" ht="13.2">
      <c r="A311" s="13">
        <v>44250.729166666672</v>
      </c>
      <c r="B311" s="6" t="str">
        <f>HYPERLINK("https://twitter.com/VisiveAI","@VisiveAI")</f>
        <v>@VisiveAI</v>
      </c>
      <c r="C311" s="14" t="s">
        <v>1586</v>
      </c>
      <c r="D311" s="14" t="s">
        <v>1587</v>
      </c>
      <c r="E311" s="6" t="str">
        <f>HYPERLINK("https://twitter.com/VisiveAI/status/1364251171817353216","1364251171817353216")</f>
        <v>1364251171817353216</v>
      </c>
      <c r="F311" s="8"/>
      <c r="G311" s="7" t="s">
        <v>1588</v>
      </c>
      <c r="H311" s="8"/>
      <c r="I311" s="14">
        <v>2</v>
      </c>
      <c r="J311" s="14">
        <v>1</v>
      </c>
      <c r="K311" s="6" t="str">
        <f t="shared" si="42"/>
        <v>TweetDeck</v>
      </c>
      <c r="L311" s="15">
        <v>1370</v>
      </c>
      <c r="M311" s="15">
        <v>722</v>
      </c>
      <c r="N311" s="15">
        <v>19</v>
      </c>
      <c r="O311" s="9"/>
      <c r="P311" s="10">
        <v>44020.318541666667</v>
      </c>
      <c r="Q311" s="14" t="s">
        <v>914</v>
      </c>
      <c r="R311" s="14" t="s">
        <v>1589</v>
      </c>
      <c r="S311" s="7" t="s">
        <v>1590</v>
      </c>
      <c r="T311" s="8"/>
      <c r="U311" s="11" t="str">
        <f>HYPERLINK("https://pbs.twimg.com/profile_images/1280742386784546816/yppKuStA.jpg","View")</f>
        <v>View</v>
      </c>
      <c r="V311" s="8"/>
      <c r="W311" s="8"/>
      <c r="X311" s="8"/>
      <c r="Y311" s="8"/>
      <c r="Z311" s="8"/>
    </row>
    <row r="312" spans="1:26" ht="13.2">
      <c r="A312" s="13">
        <v>44250.728622685187</v>
      </c>
      <c r="B312" s="6" t="str">
        <f>HYPERLINK("https://twitter.com/JimTheWhyGuy","@JimTheWhyGuy")</f>
        <v>@JimTheWhyGuy</v>
      </c>
      <c r="C312" s="14" t="s">
        <v>1591</v>
      </c>
      <c r="D312" s="14" t="s">
        <v>1592</v>
      </c>
      <c r="E312" s="6" t="str">
        <f>HYPERLINK("https://twitter.com/JimTheWhyGuy/status/1364250973691125769","1364250973691125769")</f>
        <v>1364250973691125769</v>
      </c>
      <c r="F312" s="8"/>
      <c r="G312" s="7" t="s">
        <v>1593</v>
      </c>
      <c r="H312" s="8"/>
      <c r="I312" s="14">
        <v>3</v>
      </c>
      <c r="J312" s="14">
        <v>6</v>
      </c>
      <c r="K312" s="6" t="str">
        <f t="shared" ref="K312:K315" si="43">HYPERLINK("https://mobile.twitter.com","Twitter Web App")</f>
        <v>Twitter Web App</v>
      </c>
      <c r="L312" s="15">
        <v>2124</v>
      </c>
      <c r="M312" s="15">
        <v>465</v>
      </c>
      <c r="N312" s="15">
        <v>64</v>
      </c>
      <c r="O312" s="9"/>
      <c r="P312" s="10">
        <v>39755.976597222223</v>
      </c>
      <c r="Q312" s="14" t="s">
        <v>1594</v>
      </c>
      <c r="R312" s="14" t="s">
        <v>1595</v>
      </c>
      <c r="S312" s="7" t="s">
        <v>1596</v>
      </c>
      <c r="T312" s="8"/>
      <c r="U312" s="11" t="str">
        <f>HYPERLINK("https://pbs.twimg.com/profile_images/1056653489902768128/RmhNaADv.jpg","View")</f>
        <v>View</v>
      </c>
      <c r="V312" s="8"/>
      <c r="W312" s="8"/>
      <c r="X312" s="8"/>
      <c r="Y312" s="8"/>
      <c r="Z312" s="8"/>
    </row>
    <row r="313" spans="1:26" ht="13.2">
      <c r="A313" s="13">
        <v>44250.72855324074</v>
      </c>
      <c r="B313" s="6" t="str">
        <f t="shared" ref="B313:B315" si="44">HYPERLINK("https://twitter.com/jaisonjai","@jaisonjai")</f>
        <v>@jaisonjai</v>
      </c>
      <c r="C313" s="14" t="s">
        <v>1597</v>
      </c>
      <c r="D313" s="14" t="s">
        <v>1598</v>
      </c>
      <c r="E313" s="6" t="str">
        <f>HYPERLINK("https://twitter.com/jaisonjai/status/1364250950123274241","1364250950123274241")</f>
        <v>1364250950123274241</v>
      </c>
      <c r="F313" s="7" t="s">
        <v>1599</v>
      </c>
      <c r="G313" s="8"/>
      <c r="H313" s="8"/>
      <c r="I313" s="14">
        <v>0</v>
      </c>
      <c r="J313" s="14">
        <v>1</v>
      </c>
      <c r="K313" s="6" t="str">
        <f t="shared" si="43"/>
        <v>Twitter Web App</v>
      </c>
      <c r="L313" s="15">
        <v>229</v>
      </c>
      <c r="M313" s="15">
        <v>774</v>
      </c>
      <c r="N313" s="15">
        <v>4</v>
      </c>
      <c r="O313" s="9"/>
      <c r="P313" s="10">
        <v>40329.27915509259</v>
      </c>
      <c r="Q313" s="14" t="s">
        <v>1600</v>
      </c>
      <c r="R313" s="14" t="s">
        <v>1601</v>
      </c>
      <c r="S313" s="7" t="s">
        <v>1602</v>
      </c>
      <c r="T313" s="8"/>
      <c r="U313" s="11" t="str">
        <f t="shared" ref="U313:U315" si="45">HYPERLINK("https://pbs.twimg.com/profile_images/1118652865566916608/qmvsuAnn.jpg","View")</f>
        <v>View</v>
      </c>
      <c r="V313" s="8"/>
      <c r="W313" s="8"/>
      <c r="X313" s="8"/>
      <c r="Y313" s="8"/>
      <c r="Z313" s="8"/>
    </row>
    <row r="314" spans="1:26" ht="13.2">
      <c r="A314" s="13">
        <v>44250.728229166663</v>
      </c>
      <c r="B314" s="6" t="str">
        <f t="shared" si="44"/>
        <v>@jaisonjai</v>
      </c>
      <c r="C314" s="14" t="s">
        <v>1597</v>
      </c>
      <c r="D314" s="14" t="s">
        <v>1603</v>
      </c>
      <c r="E314" s="6" t="str">
        <f>HYPERLINK("https://twitter.com/jaisonjai/status/1364250833186136065","1364250833186136065")</f>
        <v>1364250833186136065</v>
      </c>
      <c r="F314" s="7" t="s">
        <v>1604</v>
      </c>
      <c r="G314" s="8"/>
      <c r="H314" s="8"/>
      <c r="I314" s="14">
        <v>1</v>
      </c>
      <c r="J314" s="14">
        <v>0</v>
      </c>
      <c r="K314" s="6" t="str">
        <f t="shared" si="43"/>
        <v>Twitter Web App</v>
      </c>
      <c r="L314" s="15">
        <v>229</v>
      </c>
      <c r="M314" s="15">
        <v>774</v>
      </c>
      <c r="N314" s="15">
        <v>4</v>
      </c>
      <c r="O314" s="9"/>
      <c r="P314" s="10">
        <v>40329.27915509259</v>
      </c>
      <c r="Q314" s="14" t="s">
        <v>1600</v>
      </c>
      <c r="R314" s="14" t="s">
        <v>1601</v>
      </c>
      <c r="S314" s="7" t="s">
        <v>1602</v>
      </c>
      <c r="T314" s="8"/>
      <c r="U314" s="11" t="str">
        <f t="shared" si="45"/>
        <v>View</v>
      </c>
      <c r="V314" s="8"/>
      <c r="W314" s="8"/>
      <c r="X314" s="8"/>
      <c r="Y314" s="8"/>
      <c r="Z314" s="8"/>
    </row>
    <row r="315" spans="1:26" ht="13.2">
      <c r="A315" s="13">
        <v>44250.728055555555</v>
      </c>
      <c r="B315" s="6" t="str">
        <f t="shared" si="44"/>
        <v>@jaisonjai</v>
      </c>
      <c r="C315" s="14" t="s">
        <v>1597</v>
      </c>
      <c r="D315" s="14" t="s">
        <v>1605</v>
      </c>
      <c r="E315" s="6" t="str">
        <f>HYPERLINK("https://twitter.com/jaisonjai/status/1364250770586165248","1364250770586165248")</f>
        <v>1364250770586165248</v>
      </c>
      <c r="F315" s="7" t="s">
        <v>1606</v>
      </c>
      <c r="G315" s="8"/>
      <c r="H315" s="8"/>
      <c r="I315" s="14">
        <v>1</v>
      </c>
      <c r="J315" s="14">
        <v>0</v>
      </c>
      <c r="K315" s="6" t="str">
        <f t="shared" si="43"/>
        <v>Twitter Web App</v>
      </c>
      <c r="L315" s="15">
        <v>229</v>
      </c>
      <c r="M315" s="15">
        <v>774</v>
      </c>
      <c r="N315" s="15">
        <v>4</v>
      </c>
      <c r="O315" s="9"/>
      <c r="P315" s="10">
        <v>40329.27915509259</v>
      </c>
      <c r="Q315" s="14" t="s">
        <v>1600</v>
      </c>
      <c r="R315" s="14" t="s">
        <v>1601</v>
      </c>
      <c r="S315" s="7" t="s">
        <v>1602</v>
      </c>
      <c r="T315" s="8"/>
      <c r="U315" s="11" t="str">
        <f t="shared" si="45"/>
        <v>View</v>
      </c>
      <c r="V315" s="8"/>
      <c r="W315" s="8"/>
      <c r="X315" s="8"/>
      <c r="Y315" s="8"/>
      <c r="Z315" s="8"/>
    </row>
    <row r="316" spans="1:26" ht="13.2">
      <c r="A316" s="13">
        <v>44250.727800925924</v>
      </c>
      <c r="B316" s="6" t="str">
        <f>HYPERLINK("https://twitter.com/ttemplar","@ttemplar")</f>
        <v>@ttemplar</v>
      </c>
      <c r="C316" s="14" t="s">
        <v>1607</v>
      </c>
      <c r="D316" s="14" t="s">
        <v>1608</v>
      </c>
      <c r="E316" s="6" t="str">
        <f>HYPERLINK("https://twitter.com/ttemplar/status/1364250676096884736","1364250676096884736")</f>
        <v>1364250676096884736</v>
      </c>
      <c r="F316" s="7" t="s">
        <v>1609</v>
      </c>
      <c r="G316" s="7" t="s">
        <v>1610</v>
      </c>
      <c r="H316" s="8"/>
      <c r="I316" s="14">
        <v>1</v>
      </c>
      <c r="J316" s="14">
        <v>0</v>
      </c>
      <c r="K316" s="6" t="str">
        <f>HYPERLINK("https://buffer.com","Buffer")</f>
        <v>Buffer</v>
      </c>
      <c r="L316" s="15">
        <v>340</v>
      </c>
      <c r="M316" s="15">
        <v>923</v>
      </c>
      <c r="N316" s="15">
        <v>36</v>
      </c>
      <c r="O316" s="9"/>
      <c r="P316" s="10">
        <v>39931.400740740741</v>
      </c>
      <c r="Q316" s="14" t="s">
        <v>1611</v>
      </c>
      <c r="R316" s="14" t="s">
        <v>1612</v>
      </c>
      <c r="S316" s="7" t="s">
        <v>1613</v>
      </c>
      <c r="T316" s="8"/>
      <c r="U316" s="11" t="str">
        <f>HYPERLINK("https://pbs.twimg.com/profile_images/1306425190805417984/69r0RlkT.jpg","View")</f>
        <v>View</v>
      </c>
      <c r="V316" s="8"/>
      <c r="W316" s="8"/>
      <c r="X316" s="8"/>
      <c r="Y316" s="8"/>
      <c r="Z316" s="8"/>
    </row>
    <row r="317" spans="1:26" ht="13.2">
      <c r="A317" s="13">
        <v>44250.727546296301</v>
      </c>
      <c r="B317" s="6" t="str">
        <f>HYPERLINK("https://twitter.com/iresearchsci","@iresearchsci")</f>
        <v>@iresearchsci</v>
      </c>
      <c r="C317" s="14" t="s">
        <v>1614</v>
      </c>
      <c r="D317" s="14" t="s">
        <v>1615</v>
      </c>
      <c r="E317" s="6" t="str">
        <f>HYPERLINK("https://twitter.com/iresearchsci/status/1364250585516630020","1364250585516630020")</f>
        <v>1364250585516630020</v>
      </c>
      <c r="F317" s="14" t="s">
        <v>1616</v>
      </c>
      <c r="G317" s="7" t="s">
        <v>1617</v>
      </c>
      <c r="H317" s="8"/>
      <c r="I317" s="14">
        <v>2</v>
      </c>
      <c r="J317" s="14">
        <v>0</v>
      </c>
      <c r="K317" s="6" t="str">
        <f>HYPERLINK("http://twitter.com/download/android","Twitter for Android")</f>
        <v>Twitter for Android</v>
      </c>
      <c r="L317" s="15">
        <v>228</v>
      </c>
      <c r="M317" s="15">
        <v>218</v>
      </c>
      <c r="N317" s="15">
        <v>24</v>
      </c>
      <c r="O317" s="9"/>
      <c r="P317" s="10">
        <v>41118.265462962961</v>
      </c>
      <c r="Q317" s="8"/>
      <c r="R317" s="14" t="s">
        <v>1618</v>
      </c>
      <c r="S317" s="7" t="s">
        <v>1619</v>
      </c>
      <c r="T317" s="8"/>
      <c r="U317" s="11" t="str">
        <f>HYPERLINK("https://pbs.twimg.com/profile_images/1050896001433788417/5Eo273ac.jpg","View")</f>
        <v>View</v>
      </c>
      <c r="V317" s="8"/>
      <c r="W317" s="8"/>
      <c r="X317" s="8"/>
      <c r="Y317" s="8"/>
      <c r="Z317" s="8"/>
    </row>
    <row r="318" spans="1:26" ht="13.2">
      <c r="A318" s="13">
        <v>44250.727476851855</v>
      </c>
      <c r="B318" s="6" t="str">
        <f>HYPERLINK("https://twitter.com/theankitshaw","@theankitshaw")</f>
        <v>@theankitshaw</v>
      </c>
      <c r="C318" s="14" t="s">
        <v>1620</v>
      </c>
      <c r="D318" s="14" t="s">
        <v>1621</v>
      </c>
      <c r="E318" s="6" t="str">
        <f>HYPERLINK("https://twitter.com/theankitshaw/status/1364250560765984770","1364250560765984770")</f>
        <v>1364250560765984770</v>
      </c>
      <c r="F318" s="8"/>
      <c r="G318" s="8"/>
      <c r="H318" s="8"/>
      <c r="I318" s="14">
        <v>8</v>
      </c>
      <c r="J318" s="14">
        <v>4</v>
      </c>
      <c r="K318" s="6" t="str">
        <f>HYPERLINK("https://mobile.twitter.com","Twitter Web App")</f>
        <v>Twitter Web App</v>
      </c>
      <c r="L318" s="15">
        <v>178</v>
      </c>
      <c r="M318" s="15">
        <v>404</v>
      </c>
      <c r="N318" s="15">
        <v>14</v>
      </c>
      <c r="O318" s="9"/>
      <c r="P318" s="10">
        <v>40270.444895833338</v>
      </c>
      <c r="Q318" s="14" t="s">
        <v>1622</v>
      </c>
      <c r="R318" s="14" t="s">
        <v>1623</v>
      </c>
      <c r="S318" s="7" t="s">
        <v>1624</v>
      </c>
      <c r="T318" s="8"/>
      <c r="U318" s="11" t="str">
        <f>HYPERLINK("https://pbs.twimg.com/profile_images/883686369947639809/1hcFn9ik.jpg","View")</f>
        <v>View</v>
      </c>
      <c r="V318" s="8"/>
      <c r="W318" s="8"/>
      <c r="X318" s="8"/>
      <c r="Y318" s="8"/>
      <c r="Z318" s="8"/>
    </row>
    <row r="319" spans="1:26" ht="13.2">
      <c r="A319" s="13">
        <v>44250.727442129632</v>
      </c>
      <c r="B319" s="6" t="str">
        <f>HYPERLINK("https://twitter.com/Vikezmedia","@Vikezmedia")</f>
        <v>@Vikezmedia</v>
      </c>
      <c r="C319" s="14" t="s">
        <v>1625</v>
      </c>
      <c r="D319" s="14" t="s">
        <v>1626</v>
      </c>
      <c r="E319" s="6" t="str">
        <f>HYPERLINK("https://twitter.com/Vikezmedia/status/1364250545469284353","1364250545469284353")</f>
        <v>1364250545469284353</v>
      </c>
      <c r="F319" s="7" t="s">
        <v>1627</v>
      </c>
      <c r="G319" s="7" t="s">
        <v>1628</v>
      </c>
      <c r="H319" s="8"/>
      <c r="I319" s="14">
        <v>0</v>
      </c>
      <c r="J319" s="14">
        <v>0</v>
      </c>
      <c r="K319" s="6" t="str">
        <f>HYPERLINK("http://twitter.com/download/iphone","Twitter for iPhone")</f>
        <v>Twitter for iPhone</v>
      </c>
      <c r="L319" s="15">
        <v>5492</v>
      </c>
      <c r="M319" s="15">
        <v>6041</v>
      </c>
      <c r="N319" s="15">
        <v>1526</v>
      </c>
      <c r="O319" s="9"/>
      <c r="P319" s="10">
        <v>42258.697187500002</v>
      </c>
      <c r="Q319" s="14" t="s">
        <v>1629</v>
      </c>
      <c r="R319" s="14" t="s">
        <v>1630</v>
      </c>
      <c r="S319" s="7" t="s">
        <v>1631</v>
      </c>
      <c r="T319" s="8"/>
      <c r="U319" s="11" t="str">
        <f>HYPERLINK("https://pbs.twimg.com/profile_images/642348669564416000/hqC3m0nb.png","View")</f>
        <v>View</v>
      </c>
      <c r="V319" s="8"/>
      <c r="W319" s="8"/>
      <c r="X319" s="8"/>
      <c r="Y319" s="8"/>
      <c r="Z319" s="8"/>
    </row>
    <row r="320" spans="1:26" ht="13.2">
      <c r="A320" s="13">
        <v>44250.727395833332</v>
      </c>
      <c r="B320" s="6" t="str">
        <f>HYPERLINK("https://twitter.com/UlsterUniGES","@UlsterUniGES")</f>
        <v>@UlsterUniGES</v>
      </c>
      <c r="C320" s="14" t="s">
        <v>1632</v>
      </c>
      <c r="D320" s="14" t="s">
        <v>1633</v>
      </c>
      <c r="E320" s="6" t="str">
        <f>HYPERLINK("https://twitter.com/UlsterUniGES/status/1364250529682100228","1364250529682100228")</f>
        <v>1364250529682100228</v>
      </c>
      <c r="F320" s="7" t="s">
        <v>1634</v>
      </c>
      <c r="G320" s="7" t="s">
        <v>1635</v>
      </c>
      <c r="H320" s="8"/>
      <c r="I320" s="14">
        <v>4</v>
      </c>
      <c r="J320" s="14">
        <v>3</v>
      </c>
      <c r="K320" s="6" t="str">
        <f>HYPERLINK("https://mobile.twitter.com","Twitter Web App")</f>
        <v>Twitter Web App</v>
      </c>
      <c r="L320" s="15">
        <v>1709</v>
      </c>
      <c r="M320" s="15">
        <v>1229</v>
      </c>
      <c r="N320" s="15">
        <v>35</v>
      </c>
      <c r="O320" s="9"/>
      <c r="P320" s="10">
        <v>42311.388020833328</v>
      </c>
      <c r="Q320" s="14" t="s">
        <v>1636</v>
      </c>
      <c r="R320" s="14" t="s">
        <v>1637</v>
      </c>
      <c r="S320" s="7" t="s">
        <v>1638</v>
      </c>
      <c r="T320" s="8"/>
      <c r="U320" s="11" t="str">
        <f>HYPERLINK("https://pbs.twimg.com/profile_images/1158327918742970368/xiVdrfC9.jpg","View")</f>
        <v>View</v>
      </c>
      <c r="V320" s="8"/>
      <c r="W320" s="8"/>
      <c r="X320" s="8"/>
      <c r="Y320" s="8"/>
      <c r="Z320" s="8"/>
    </row>
    <row r="321" spans="1:26" ht="13.2">
      <c r="A321" s="13">
        <v>44250.727164351847</v>
      </c>
      <c r="B321" s="6" t="str">
        <f>HYPERLINK("https://twitter.com/DecisionsSmart","@DecisionsSmart")</f>
        <v>@DecisionsSmart</v>
      </c>
      <c r="C321" s="14" t="s">
        <v>212</v>
      </c>
      <c r="D321" s="14" t="s">
        <v>1639</v>
      </c>
      <c r="E321" s="6" t="str">
        <f>HYPERLINK("https://twitter.com/DecisionsSmart/status/1364250446077046787","1364250446077046787")</f>
        <v>1364250446077046787</v>
      </c>
      <c r="F321" s="14" t="s">
        <v>1640</v>
      </c>
      <c r="G321" s="8"/>
      <c r="H321" s="8"/>
      <c r="I321" s="14">
        <v>25</v>
      </c>
      <c r="J321" s="14">
        <v>19</v>
      </c>
      <c r="K321" s="6" t="str">
        <f>HYPERLINK("http://twinybots.com","TwinyBots")</f>
        <v>TwinyBots</v>
      </c>
      <c r="L321" s="15">
        <v>6690</v>
      </c>
      <c r="M321" s="15">
        <v>5126</v>
      </c>
      <c r="N321" s="15">
        <v>88</v>
      </c>
      <c r="O321" s="9"/>
      <c r="P321" s="10">
        <v>43282.143495370372</v>
      </c>
      <c r="Q321" s="14" t="s">
        <v>215</v>
      </c>
      <c r="R321" s="14" t="s">
        <v>216</v>
      </c>
      <c r="S321" s="8"/>
      <c r="T321" s="8"/>
      <c r="U321" s="11" t="str">
        <f>HYPERLINK("https://pbs.twimg.com/profile_images/1273753380373004289/crFq1msz.jpg","View")</f>
        <v>View</v>
      </c>
      <c r="V321" s="8"/>
      <c r="W321" s="8"/>
      <c r="X321" s="8"/>
      <c r="Y321" s="8"/>
      <c r="Z321" s="8"/>
    </row>
    <row r="322" spans="1:26" ht="13.2">
      <c r="A322" s="13">
        <v>44250.727083333331</v>
      </c>
      <c r="B322" s="6" t="str">
        <f>HYPERLINK("https://twitter.com/atg_abhishek","@atg_abhishek")</f>
        <v>@atg_abhishek</v>
      </c>
      <c r="C322" s="14" t="s">
        <v>1641</v>
      </c>
      <c r="D322" s="14" t="s">
        <v>1642</v>
      </c>
      <c r="E322" s="6" t="str">
        <f>HYPERLINK("https://twitter.com/atg_abhishek/status/1364250415206969350","1364250415206969350")</f>
        <v>1364250415206969350</v>
      </c>
      <c r="F322" s="7" t="s">
        <v>1643</v>
      </c>
      <c r="G322" s="8"/>
      <c r="H322" s="8"/>
      <c r="I322" s="14">
        <v>1</v>
      </c>
      <c r="J322" s="14">
        <v>3</v>
      </c>
      <c r="K322" s="6" t="str">
        <f>HYPERLINK("https://typefully.app/","Typefully")</f>
        <v>Typefully</v>
      </c>
      <c r="L322" s="15">
        <v>3096</v>
      </c>
      <c r="M322" s="15">
        <v>4928</v>
      </c>
      <c r="N322" s="15">
        <v>90</v>
      </c>
      <c r="O322" s="9"/>
      <c r="P322" s="10">
        <v>41224.12228009259</v>
      </c>
      <c r="Q322" s="14" t="s">
        <v>1644</v>
      </c>
      <c r="R322" s="14" t="s">
        <v>1645</v>
      </c>
      <c r="S322" s="7" t="s">
        <v>1646</v>
      </c>
      <c r="T322" s="8"/>
      <c r="U322" s="11" t="str">
        <f>HYPERLINK("https://pbs.twimg.com/profile_images/378800000863739374/zl9PeSPl.jpeg","View")</f>
        <v>View</v>
      </c>
      <c r="V322" s="8"/>
      <c r="W322" s="8"/>
      <c r="X322" s="8"/>
      <c r="Y322" s="8"/>
      <c r="Z322" s="8"/>
    </row>
    <row r="323" spans="1:26" ht="13.2">
      <c r="A323" s="13">
        <v>44250.726863425924</v>
      </c>
      <c r="B323" s="6" t="str">
        <f>HYPERLINK("https://twitter.com/Serchs3D","@Serchs3D")</f>
        <v>@Serchs3D</v>
      </c>
      <c r="C323" s="14" t="s">
        <v>1488</v>
      </c>
      <c r="D323" s="14" t="s">
        <v>1647</v>
      </c>
      <c r="E323" s="6" t="str">
        <f>HYPERLINK("https://twitter.com/Serchs3D/status/1364250336958021632","1364250336958021632")</f>
        <v>1364250336958021632</v>
      </c>
      <c r="F323" s="7" t="s">
        <v>1648</v>
      </c>
      <c r="G323" s="7" t="s">
        <v>1649</v>
      </c>
      <c r="H323" s="8"/>
      <c r="I323" s="14">
        <v>0</v>
      </c>
      <c r="J323" s="14">
        <v>0</v>
      </c>
      <c r="K323" s="6" t="str">
        <f>HYPERLINK("http://twitter.com/download/android","Twitter for Android")</f>
        <v>Twitter for Android</v>
      </c>
      <c r="L323" s="15">
        <v>532</v>
      </c>
      <c r="M323" s="15">
        <v>991</v>
      </c>
      <c r="N323" s="15">
        <v>1</v>
      </c>
      <c r="O323" s="9"/>
      <c r="P323" s="10">
        <v>42412.792615740742</v>
      </c>
      <c r="Q323" s="14" t="s">
        <v>1492</v>
      </c>
      <c r="R323" s="14" t="s">
        <v>1493</v>
      </c>
      <c r="S323" s="8"/>
      <c r="T323" s="8"/>
      <c r="U323" s="11" t="str">
        <f>HYPERLINK("https://pbs.twimg.com/profile_images/1339315699395792901/CiCPqd8t.jpg","View")</f>
        <v>View</v>
      </c>
      <c r="V323" s="8"/>
      <c r="W323" s="8"/>
      <c r="X323" s="8"/>
      <c r="Y323" s="8"/>
      <c r="Z323" s="8"/>
    </row>
    <row r="324" spans="1:26" ht="13.2">
      <c r="A324" s="13">
        <v>44250.726655092592</v>
      </c>
      <c r="B324" s="6" t="str">
        <f>HYPERLINK("https://twitter.com/rathiankit","@rathiankit")</f>
        <v>@rathiankit</v>
      </c>
      <c r="C324" s="14" t="s">
        <v>1650</v>
      </c>
      <c r="D324" s="14" t="s">
        <v>1651</v>
      </c>
      <c r="E324" s="6" t="str">
        <f>HYPERLINK("https://twitter.com/rathiankit/status/1364250262223872000","1364250262223872000")</f>
        <v>1364250262223872000</v>
      </c>
      <c r="F324" s="7" t="s">
        <v>1652</v>
      </c>
      <c r="G324" s="8"/>
      <c r="H324" s="8"/>
      <c r="I324" s="14">
        <v>0</v>
      </c>
      <c r="J324" s="14">
        <v>1</v>
      </c>
      <c r="K324" s="6" t="str">
        <f>HYPERLINK("http://www.linkedin.com/","LinkedIn")</f>
        <v>LinkedIn</v>
      </c>
      <c r="L324" s="15">
        <v>554</v>
      </c>
      <c r="M324" s="15">
        <v>552</v>
      </c>
      <c r="N324" s="15">
        <v>13</v>
      </c>
      <c r="O324" s="9"/>
      <c r="P324" s="10">
        <v>40096.729085648149</v>
      </c>
      <c r="Q324" s="14" t="s">
        <v>1653</v>
      </c>
      <c r="R324" s="14" t="s">
        <v>1654</v>
      </c>
      <c r="S324" s="7" t="s">
        <v>1655</v>
      </c>
      <c r="T324" s="8"/>
      <c r="U324" s="11" t="str">
        <f>HYPERLINK("https://pbs.twimg.com/profile_images/1023246398572122118/1iaiuGDu.jpg","View")</f>
        <v>View</v>
      </c>
      <c r="V324" s="8"/>
      <c r="W324" s="8"/>
      <c r="X324" s="8"/>
      <c r="Y324" s="8"/>
      <c r="Z324" s="8"/>
    </row>
    <row r="325" spans="1:26" ht="13.2">
      <c r="A325" s="13">
        <v>44250.725960648153</v>
      </c>
      <c r="B325" s="6" t="str">
        <f>HYPERLINK("https://twitter.com/Bitvore","@Bitvore")</f>
        <v>@Bitvore</v>
      </c>
      <c r="C325" s="14" t="s">
        <v>1656</v>
      </c>
      <c r="D325" s="14" t="s">
        <v>1657</v>
      </c>
      <c r="E325" s="6" t="str">
        <f>HYPERLINK("https://twitter.com/Bitvore/status/1364250009647120385","1364250009647120385")</f>
        <v>1364250009647120385</v>
      </c>
      <c r="F325" s="7" t="s">
        <v>1364</v>
      </c>
      <c r="G325" s="8"/>
      <c r="H325" s="8"/>
      <c r="I325" s="14">
        <v>2</v>
      </c>
      <c r="J325" s="14">
        <v>2</v>
      </c>
      <c r="K325" s="6" t="str">
        <f>HYPERLINK("http://www.hubspot.com/","HubSpot")</f>
        <v>HubSpot</v>
      </c>
      <c r="L325" s="15">
        <v>1006</v>
      </c>
      <c r="M325" s="15">
        <v>1268</v>
      </c>
      <c r="N325" s="15">
        <v>41</v>
      </c>
      <c r="O325" s="9"/>
      <c r="P325" s="10">
        <v>41318.86246527778</v>
      </c>
      <c r="Q325" s="14" t="s">
        <v>1658</v>
      </c>
      <c r="R325" s="14" t="s">
        <v>1659</v>
      </c>
      <c r="S325" s="7" t="s">
        <v>1660</v>
      </c>
      <c r="T325" s="8"/>
      <c r="U325" s="11" t="str">
        <f>HYPERLINK("https://pbs.twimg.com/profile_images/1013931537774010368/TaNO0SsL.jpg","View")</f>
        <v>View</v>
      </c>
      <c r="V325" s="8"/>
      <c r="W325" s="8"/>
      <c r="X325" s="8"/>
      <c r="Y325" s="8"/>
      <c r="Z325" s="8"/>
    </row>
    <row r="326" spans="1:26" ht="13.2">
      <c r="A326" s="13">
        <v>44250.725937499999</v>
      </c>
      <c r="B326" s="6" t="str">
        <f>HYPERLINK("https://twitter.com/godatpro","@godatpro")</f>
        <v>@godatpro</v>
      </c>
      <c r="C326" s="14" t="s">
        <v>1661</v>
      </c>
      <c r="D326" s="14" t="s">
        <v>1662</v>
      </c>
      <c r="E326" s="6" t="str">
        <f>HYPERLINK("https://twitter.com/godatpro/status/1364249999526289415","1364249999526289415")</f>
        <v>1364249999526289415</v>
      </c>
      <c r="F326" s="8"/>
      <c r="G326" s="7" t="s">
        <v>1663</v>
      </c>
      <c r="H326" s="8"/>
      <c r="I326" s="14">
        <v>1</v>
      </c>
      <c r="J326" s="14">
        <v>1</v>
      </c>
      <c r="K326" s="6" t="str">
        <f t="shared" ref="K326:K328" si="46">HYPERLINK("https://mobile.twitter.com","Twitter Web App")</f>
        <v>Twitter Web App</v>
      </c>
      <c r="L326" s="15">
        <v>5</v>
      </c>
      <c r="M326" s="15">
        <v>41</v>
      </c>
      <c r="N326" s="15">
        <v>0</v>
      </c>
      <c r="O326" s="9"/>
      <c r="P326" s="10">
        <v>44130.8746412037</v>
      </c>
      <c r="Q326" s="14" t="s">
        <v>1664</v>
      </c>
      <c r="R326" s="14" t="s">
        <v>1665</v>
      </c>
      <c r="S326" s="7" t="s">
        <v>1666</v>
      </c>
      <c r="T326" s="8"/>
      <c r="U326" s="11" t="str">
        <f>HYPERLINK("https://pbs.twimg.com/profile_images/1349274605819731968/Hx6HDKOL.jpg","View")</f>
        <v>View</v>
      </c>
      <c r="V326" s="8"/>
      <c r="W326" s="8"/>
      <c r="X326" s="8"/>
      <c r="Y326" s="8"/>
      <c r="Z326" s="8"/>
    </row>
    <row r="327" spans="1:26" ht="13.2">
      <c r="A327" s="13">
        <v>44250.725324074076</v>
      </c>
      <c r="B327" s="6" t="str">
        <f>HYPERLINK("https://twitter.com/KirkDBorne","@KirkDBorne")</f>
        <v>@KirkDBorne</v>
      </c>
      <c r="C327" s="14" t="s">
        <v>127</v>
      </c>
      <c r="D327" s="14" t="s">
        <v>1667</v>
      </c>
      <c r="E327" s="6" t="str">
        <f>HYPERLINK("https://twitter.com/KirkDBorne/status/1364249781040783364","1364249781040783364")</f>
        <v>1364249781040783364</v>
      </c>
      <c r="F327" s="7" t="s">
        <v>1668</v>
      </c>
      <c r="G327" s="7" t="s">
        <v>1669</v>
      </c>
      <c r="H327" s="8"/>
      <c r="I327" s="14">
        <v>0</v>
      </c>
      <c r="J327" s="14">
        <v>2</v>
      </c>
      <c r="K327" s="6" t="str">
        <f t="shared" si="46"/>
        <v>Twitter Web App</v>
      </c>
      <c r="L327" s="15">
        <v>273892</v>
      </c>
      <c r="M327" s="15">
        <v>8969</v>
      </c>
      <c r="N327" s="15">
        <v>8299</v>
      </c>
      <c r="O327" s="15" t="s">
        <v>130</v>
      </c>
      <c r="P327" s="10">
        <v>40991.732835648145</v>
      </c>
      <c r="Q327" s="14" t="s">
        <v>131</v>
      </c>
      <c r="R327" s="14" t="s">
        <v>132</v>
      </c>
      <c r="S327" s="7" t="s">
        <v>133</v>
      </c>
      <c r="T327" s="8"/>
      <c r="U327" s="11" t="str">
        <f>HYPERLINK("https://pbs.twimg.com/profile_images/1112733580948635648/s-8d1avb.jpg","View")</f>
        <v>View</v>
      </c>
      <c r="V327" s="8"/>
      <c r="W327" s="8"/>
      <c r="X327" s="8"/>
      <c r="Y327" s="8"/>
      <c r="Z327" s="8"/>
    </row>
    <row r="328" spans="1:26" ht="13.2">
      <c r="A328" s="13">
        <v>44250.724722222221</v>
      </c>
      <c r="B328" s="6" t="str">
        <f>HYPERLINK("https://twitter.com/ItaiYaffe","@ItaiYaffe")</f>
        <v>@ItaiYaffe</v>
      </c>
      <c r="C328" s="14" t="s">
        <v>1670</v>
      </c>
      <c r="D328" s="14" t="s">
        <v>1671</v>
      </c>
      <c r="E328" s="6" t="str">
        <f>HYPERLINK("https://twitter.com/ItaiYaffe/status/1364249558973374465","1364249558973374465")</f>
        <v>1364249558973374465</v>
      </c>
      <c r="F328" s="7" t="s">
        <v>1672</v>
      </c>
      <c r="G328" s="7" t="s">
        <v>1673</v>
      </c>
      <c r="H328" s="8"/>
      <c r="I328" s="14">
        <v>1</v>
      </c>
      <c r="J328" s="14">
        <v>2</v>
      </c>
      <c r="K328" s="6" t="str">
        <f t="shared" si="46"/>
        <v>Twitter Web App</v>
      </c>
      <c r="L328" s="15">
        <v>478</v>
      </c>
      <c r="M328" s="15">
        <v>1222</v>
      </c>
      <c r="N328" s="15">
        <v>7</v>
      </c>
      <c r="O328" s="9"/>
      <c r="P328" s="10">
        <v>43592.502754629633</v>
      </c>
      <c r="Q328" s="8"/>
      <c r="R328" s="14" t="s">
        <v>1674</v>
      </c>
      <c r="S328" s="7" t="s">
        <v>1675</v>
      </c>
      <c r="T328" s="8"/>
      <c r="U328" s="11" t="str">
        <f>HYPERLINK("https://pbs.twimg.com/profile_images/1214283418860687360/wHJqT1EK.jpg","View")</f>
        <v>View</v>
      </c>
      <c r="V328" s="8"/>
      <c r="W328" s="8"/>
      <c r="X328" s="8"/>
      <c r="Y328" s="8"/>
      <c r="Z328" s="8"/>
    </row>
    <row r="329" spans="1:26" ht="13.2">
      <c r="A329" s="13">
        <v>44250.724155092597</v>
      </c>
      <c r="B329" s="6" t="str">
        <f>HYPERLINK("https://twitter.com/vfcarida","@vfcarida")</f>
        <v>@vfcarida</v>
      </c>
      <c r="C329" s="14" t="s">
        <v>1676</v>
      </c>
      <c r="D329" s="14" t="s">
        <v>1677</v>
      </c>
      <c r="E329" s="6" t="str">
        <f>HYPERLINK("https://twitter.com/vfcarida/status/1364249357436993536","1364249357436993536")</f>
        <v>1364249357436993536</v>
      </c>
      <c r="F329" s="7" t="s">
        <v>1678</v>
      </c>
      <c r="G329" s="7" t="s">
        <v>1679</v>
      </c>
      <c r="H329" s="8"/>
      <c r="I329" s="14">
        <v>0</v>
      </c>
      <c r="J329" s="14">
        <v>3</v>
      </c>
      <c r="K329" s="6" t="str">
        <f t="shared" ref="K329:K330" si="47">HYPERLINK("http://twitter.com/download/android","Twitter for Android")</f>
        <v>Twitter for Android</v>
      </c>
      <c r="L329" s="15">
        <v>257</v>
      </c>
      <c r="M329" s="15">
        <v>163</v>
      </c>
      <c r="N329" s="15">
        <v>7</v>
      </c>
      <c r="O329" s="9"/>
      <c r="P329" s="10">
        <v>39998.766921296294</v>
      </c>
      <c r="Q329" s="8"/>
      <c r="R329" s="14" t="s">
        <v>1680</v>
      </c>
      <c r="S329" s="7" t="s">
        <v>1681</v>
      </c>
      <c r="T329" s="8"/>
      <c r="U329" s="11" t="str">
        <f>HYPERLINK("https://pbs.twimg.com/profile_images/1184264342801453056/hbzDV8ze.jpg","View")</f>
        <v>View</v>
      </c>
      <c r="V329" s="8"/>
      <c r="W329" s="8"/>
      <c r="X329" s="8"/>
      <c r="Y329" s="8"/>
      <c r="Z329" s="8"/>
    </row>
    <row r="330" spans="1:26" ht="13.2">
      <c r="A330" s="13">
        <v>44250.723807870367</v>
      </c>
      <c r="B330" s="6" t="str">
        <f>HYPERLINK("https://twitter.com/Ifatticapitali","@Ifatticapitali")</f>
        <v>@Ifatticapitali</v>
      </c>
      <c r="C330" s="14" t="s">
        <v>1682</v>
      </c>
      <c r="D330" s="14" t="s">
        <v>1683</v>
      </c>
      <c r="E330" s="6" t="str">
        <f>HYPERLINK("https://twitter.com/Ifatticapitali/status/1364249228743241734","1364249228743241734")</f>
        <v>1364249228743241734</v>
      </c>
      <c r="F330" s="7" t="s">
        <v>1684</v>
      </c>
      <c r="G330" s="8"/>
      <c r="H330" s="8"/>
      <c r="I330" s="14">
        <v>6</v>
      </c>
      <c r="J330" s="14">
        <v>2</v>
      </c>
      <c r="K330" s="6" t="str">
        <f t="shared" si="47"/>
        <v>Twitter for Android</v>
      </c>
      <c r="L330" s="15">
        <v>2616</v>
      </c>
      <c r="M330" s="15">
        <v>1415</v>
      </c>
      <c r="N330" s="15">
        <v>12</v>
      </c>
      <c r="O330" s="9"/>
      <c r="P330" s="10">
        <v>43368.68586805556</v>
      </c>
      <c r="Q330" s="14" t="s">
        <v>1685</v>
      </c>
      <c r="R330" s="14" t="s">
        <v>1686</v>
      </c>
      <c r="S330" s="7" t="s">
        <v>1687</v>
      </c>
      <c r="T330" s="8"/>
      <c r="U330" s="11" t="str">
        <f>HYPERLINK("https://pbs.twimg.com/profile_images/1143858853878145026/ANPrd7XZ.png","View")</f>
        <v>View</v>
      </c>
      <c r="V330" s="8"/>
      <c r="W330" s="8"/>
      <c r="X330" s="8"/>
      <c r="Y330" s="8"/>
      <c r="Z330" s="8"/>
    </row>
    <row r="331" spans="1:26" ht="13.2">
      <c r="A331" s="13">
        <v>44250.723113425927</v>
      </c>
      <c r="B331" s="6" t="str">
        <f>HYPERLINK("https://twitter.com/PQminds","@PQminds")</f>
        <v>@PQminds</v>
      </c>
      <c r="C331" s="14" t="s">
        <v>1688</v>
      </c>
      <c r="D331" s="14" t="s">
        <v>1689</v>
      </c>
      <c r="E331" s="6" t="str">
        <f>HYPERLINK("https://twitter.com/PQminds/status/1364248979471392769","1364248979471392769")</f>
        <v>1364248979471392769</v>
      </c>
      <c r="F331" s="7" t="s">
        <v>1690</v>
      </c>
      <c r="G331" s="8"/>
      <c r="H331" s="8"/>
      <c r="I331" s="14">
        <v>1</v>
      </c>
      <c r="J331" s="14">
        <v>2</v>
      </c>
      <c r="K331" s="6" t="str">
        <f>HYPERLINK("https://mobile.twitter.com","Twitter Web App")</f>
        <v>Twitter Web App</v>
      </c>
      <c r="L331" s="15">
        <v>114</v>
      </c>
      <c r="M331" s="15">
        <v>53</v>
      </c>
      <c r="N331" s="15">
        <v>10</v>
      </c>
      <c r="O331" s="9"/>
      <c r="P331" s="10">
        <v>41852.737442129626</v>
      </c>
      <c r="Q331" s="14" t="s">
        <v>1691</v>
      </c>
      <c r="R331" s="14" t="s">
        <v>1692</v>
      </c>
      <c r="S331" s="7" t="s">
        <v>1693</v>
      </c>
      <c r="T331" s="8"/>
      <c r="U331" s="11" t="str">
        <f>HYPERLINK("https://pbs.twimg.com/profile_images/1268500836679852033/ceBNwt-I.jpg","View")</f>
        <v>View</v>
      </c>
      <c r="V331" s="8"/>
      <c r="W331" s="8"/>
      <c r="X331" s="8"/>
      <c r="Y331" s="8"/>
      <c r="Z331" s="8"/>
    </row>
    <row r="332" spans="1:26" ht="13.2">
      <c r="A332" s="13">
        <v>44250.722337962958</v>
      </c>
      <c r="B332" s="6" t="str">
        <f>HYPERLINK("https://twitter.com/NellisterC","@NellisterC")</f>
        <v>@NellisterC</v>
      </c>
      <c r="C332" s="14" t="s">
        <v>1694</v>
      </c>
      <c r="D332" s="14" t="s">
        <v>1695</v>
      </c>
      <c r="E332" s="6" t="str">
        <f>HYPERLINK("https://twitter.com/NellisterC/status/1364248697924648966","1364248697924648966")</f>
        <v>1364248697924648966</v>
      </c>
      <c r="F332" s="14" t="s">
        <v>1696</v>
      </c>
      <c r="G332" s="8"/>
      <c r="H332" s="8"/>
      <c r="I332" s="14">
        <v>0</v>
      </c>
      <c r="J332" s="14">
        <v>0</v>
      </c>
      <c r="K332" s="6" t="str">
        <f>HYPERLINK("http://twinybots.com","TwinyBots")</f>
        <v>TwinyBots</v>
      </c>
      <c r="L332" s="15">
        <v>198</v>
      </c>
      <c r="M332" s="15">
        <v>560</v>
      </c>
      <c r="N332" s="15">
        <v>10</v>
      </c>
      <c r="O332" s="9"/>
      <c r="P332" s="10">
        <v>43599.954525462963</v>
      </c>
      <c r="Q332" s="8"/>
      <c r="R332" s="8"/>
      <c r="S332" s="8"/>
      <c r="T332" s="8"/>
      <c r="U332" s="11" t="str">
        <f>HYPERLINK("https://pbs.twimg.com/profile_images/1203805530122313728/6wZUGRfP.jpg","View")</f>
        <v>View</v>
      </c>
      <c r="V332" s="8"/>
      <c r="W332" s="8"/>
      <c r="X332" s="8"/>
      <c r="Y332" s="8"/>
      <c r="Z332" s="8"/>
    </row>
    <row r="333" spans="1:26" ht="13.2">
      <c r="A333" s="13">
        <v>44250.722268518519</v>
      </c>
      <c r="B333" s="6" t="str">
        <f>HYPERLINK("https://twitter.com/subhanster","@subhanster")</f>
        <v>@subhanster</v>
      </c>
      <c r="C333" s="14" t="s">
        <v>1424</v>
      </c>
      <c r="D333" s="14" t="s">
        <v>1697</v>
      </c>
      <c r="E333" s="6" t="str">
        <f>HYPERLINK("https://twitter.com/subhanster/status/1364248670158266368","1364248670158266368")</f>
        <v>1364248670158266368</v>
      </c>
      <c r="F333" s="7" t="s">
        <v>1698</v>
      </c>
      <c r="G333" s="8"/>
      <c r="H333" s="8"/>
      <c r="I333" s="14">
        <v>3</v>
      </c>
      <c r="J333" s="14">
        <v>0</v>
      </c>
      <c r="K333" s="6" t="str">
        <f>HYPERLINK("http://dynamicsignal.com/","Dynamic Signal")</f>
        <v>Dynamic Signal</v>
      </c>
      <c r="L333" s="15">
        <v>407</v>
      </c>
      <c r="M333" s="15">
        <v>984</v>
      </c>
      <c r="N333" s="15">
        <v>2</v>
      </c>
      <c r="O333" s="9"/>
      <c r="P333" s="10">
        <v>40832.130150462966</v>
      </c>
      <c r="Q333" s="14" t="s">
        <v>81</v>
      </c>
      <c r="R333" s="14" t="s">
        <v>1428</v>
      </c>
      <c r="S333" s="7" t="s">
        <v>1429</v>
      </c>
      <c r="T333" s="8"/>
      <c r="U333" s="11" t="str">
        <f>HYPERLINK("https://pbs.twimg.com/profile_images/1179556231192514560/YigBs8wm.jpg","View")</f>
        <v>View</v>
      </c>
      <c r="V333" s="8"/>
      <c r="W333" s="8"/>
      <c r="X333" s="8"/>
      <c r="Y333" s="8"/>
      <c r="Z333" s="8"/>
    </row>
    <row r="334" spans="1:26" ht="13.2">
      <c r="A334" s="13">
        <v>44250.721712962964</v>
      </c>
      <c r="B334" s="6" t="str">
        <f>HYPERLINK("https://twitter.com/manifexto","@manifexto")</f>
        <v>@manifexto</v>
      </c>
      <c r="C334" s="14" t="s">
        <v>1699</v>
      </c>
      <c r="D334" s="14" t="s">
        <v>1700</v>
      </c>
      <c r="E334" s="6" t="str">
        <f>HYPERLINK("https://twitter.com/manifexto/status/1364248470014599169","1364248470014599169")</f>
        <v>1364248470014599169</v>
      </c>
      <c r="F334" s="14" t="s">
        <v>1701</v>
      </c>
      <c r="G334" s="7" t="s">
        <v>1702</v>
      </c>
      <c r="H334" s="8"/>
      <c r="I334" s="14">
        <v>0</v>
      </c>
      <c r="J334" s="14">
        <v>1</v>
      </c>
      <c r="K334" s="6" t="str">
        <f>HYPERLINK("http://twitter.com/download/iphone","Twitter for iPhone")</f>
        <v>Twitter for iPhone</v>
      </c>
      <c r="L334" s="15">
        <v>697</v>
      </c>
      <c r="M334" s="15">
        <v>105</v>
      </c>
      <c r="N334" s="15">
        <v>9</v>
      </c>
      <c r="O334" s="9"/>
      <c r="P334" s="10">
        <v>42098.471805555557</v>
      </c>
      <c r="Q334" s="14" t="s">
        <v>1703</v>
      </c>
      <c r="R334" s="14" t="s">
        <v>1704</v>
      </c>
      <c r="S334" s="7" t="s">
        <v>1705</v>
      </c>
      <c r="T334" s="8"/>
      <c r="U334" s="11" t="str">
        <f>HYPERLINK("https://pbs.twimg.com/profile_images/922915644969975809/c9V3HUma.jpg","View")</f>
        <v>View</v>
      </c>
      <c r="V334" s="8"/>
      <c r="W334" s="8"/>
      <c r="X334" s="8"/>
      <c r="Y334" s="8"/>
      <c r="Z334" s="8"/>
    </row>
    <row r="335" spans="1:26" ht="13.2">
      <c r="A335" s="13">
        <v>44250.720891203702</v>
      </c>
      <c r="B335" s="6" t="str">
        <f>HYPERLINK("https://twitter.com/FrRonconi","@FrRonconi")</f>
        <v>@FrRonconi</v>
      </c>
      <c r="C335" s="14" t="s">
        <v>1513</v>
      </c>
      <c r="D335" s="14" t="s">
        <v>1706</v>
      </c>
      <c r="E335" s="6" t="str">
        <f>HYPERLINK("https://twitter.com/FrRonconi/status/1364248174462984194","1364248174462984194")</f>
        <v>1364248174462984194</v>
      </c>
      <c r="F335" s="8"/>
      <c r="G335" s="7" t="s">
        <v>1707</v>
      </c>
      <c r="H335" s="8"/>
      <c r="I335" s="14">
        <v>2</v>
      </c>
      <c r="J335" s="14">
        <v>5</v>
      </c>
      <c r="K335" s="6" t="str">
        <f>HYPERLINK("https://mobile.twitter.com","Twitter Web App")</f>
        <v>Twitter Web App</v>
      </c>
      <c r="L335" s="15">
        <v>27982</v>
      </c>
      <c r="M335" s="15">
        <v>2430</v>
      </c>
      <c r="N335" s="15">
        <v>712</v>
      </c>
      <c r="O335" s="9"/>
      <c r="P335" s="10">
        <v>41401.436574074076</v>
      </c>
      <c r="Q335" s="14" t="s">
        <v>1516</v>
      </c>
      <c r="R335" s="14" t="s">
        <v>1517</v>
      </c>
      <c r="S335" s="7" t="s">
        <v>1518</v>
      </c>
      <c r="T335" s="8"/>
      <c r="U335" s="11" t="str">
        <f>HYPERLINK("https://pbs.twimg.com/profile_images/1271860204775276547/JPkzj0EM.jpg","View")</f>
        <v>View</v>
      </c>
      <c r="V335" s="8"/>
      <c r="W335" s="8"/>
      <c r="X335" s="8"/>
      <c r="Y335" s="8"/>
      <c r="Z335" s="8"/>
    </row>
    <row r="336" spans="1:26" ht="13.2">
      <c r="A336" s="13">
        <v>44250.720856481479</v>
      </c>
      <c r="B336" s="6" t="str">
        <f>HYPERLINK("https://twitter.com/TechBusinessG","@TechBusinessG")</f>
        <v>@TechBusinessG</v>
      </c>
      <c r="C336" s="14" t="s">
        <v>1708</v>
      </c>
      <c r="D336" s="14" t="s">
        <v>1709</v>
      </c>
      <c r="E336" s="6" t="str">
        <f>HYPERLINK("https://twitter.com/TechBusinessG/status/1364248158998589440","1364248158998589440")</f>
        <v>1364248158998589440</v>
      </c>
      <c r="F336" s="7" t="s">
        <v>1710</v>
      </c>
      <c r="G336" s="7" t="s">
        <v>1711</v>
      </c>
      <c r="H336" s="8"/>
      <c r="I336" s="14">
        <v>3</v>
      </c>
      <c r="J336" s="14">
        <v>2</v>
      </c>
      <c r="K336" s="6" t="str">
        <f>HYPERLINK("https://buffer.com","Buffer")</f>
        <v>Buffer</v>
      </c>
      <c r="L336" s="15">
        <v>1871</v>
      </c>
      <c r="M336" s="15">
        <v>2137</v>
      </c>
      <c r="N336" s="15">
        <v>14</v>
      </c>
      <c r="O336" s="9"/>
      <c r="P336" s="10">
        <v>43609.736863425926</v>
      </c>
      <c r="Q336" s="8"/>
      <c r="R336" s="14" t="s">
        <v>1712</v>
      </c>
      <c r="S336" s="7" t="s">
        <v>1713</v>
      </c>
      <c r="T336" s="8"/>
      <c r="U336" s="11" t="str">
        <f>HYPERLINK("https://pbs.twimg.com/profile_images/1131948369591582720/vMtIZagw.png","View")</f>
        <v>View</v>
      </c>
      <c r="V336" s="8"/>
      <c r="W336" s="8"/>
      <c r="X336" s="8"/>
      <c r="Y336" s="8"/>
      <c r="Z336" s="8"/>
    </row>
    <row r="337" spans="1:26" ht="13.2">
      <c r="A337" s="13">
        <v>44250.720046296294</v>
      </c>
      <c r="B337" s="6" t="str">
        <f>HYPERLINK("https://twitter.com/nanoHUBnews","@nanoHUBnews")</f>
        <v>@nanoHUBnews</v>
      </c>
      <c r="C337" s="14" t="s">
        <v>1714</v>
      </c>
      <c r="D337" s="14" t="s">
        <v>1715</v>
      </c>
      <c r="E337" s="6" t="str">
        <f>HYPERLINK("https://twitter.com/nanoHUBnews/status/1364247864499728384","1364247864499728384")</f>
        <v>1364247864499728384</v>
      </c>
      <c r="F337" s="7" t="s">
        <v>1716</v>
      </c>
      <c r="G337" s="7" t="s">
        <v>1717</v>
      </c>
      <c r="H337" s="8"/>
      <c r="I337" s="14">
        <v>3</v>
      </c>
      <c r="J337" s="14">
        <v>5</v>
      </c>
      <c r="K337" s="6" t="str">
        <f>HYPERLINK("http://www.salesforce.com","Salesforce - Social Studio")</f>
        <v>Salesforce - Social Studio</v>
      </c>
      <c r="L337" s="15">
        <v>3066</v>
      </c>
      <c r="M337" s="15">
        <v>1206</v>
      </c>
      <c r="N337" s="15">
        <v>96</v>
      </c>
      <c r="O337" s="9"/>
      <c r="P337" s="10">
        <v>41298.922418981485</v>
      </c>
      <c r="Q337" s="8"/>
      <c r="R337" s="14" t="s">
        <v>1718</v>
      </c>
      <c r="S337" s="7" t="s">
        <v>1719</v>
      </c>
      <c r="T337" s="8"/>
      <c r="U337" s="11" t="str">
        <f>HYPERLINK("https://pbs.twimg.com/profile_images/583354778308218881/xr4uC3de.png","View")</f>
        <v>View</v>
      </c>
      <c r="V337" s="8"/>
      <c r="W337" s="8"/>
      <c r="X337" s="8"/>
      <c r="Y337" s="8"/>
      <c r="Z337" s="8"/>
    </row>
    <row r="338" spans="1:26" ht="13.2">
      <c r="A338" s="13">
        <v>44250.71980324074</v>
      </c>
      <c r="B338" s="6" t="str">
        <f>HYPERLINK("https://twitter.com/ANoorTM","@ANoorTM")</f>
        <v>@ANoorTM</v>
      </c>
      <c r="C338" s="14" t="s">
        <v>1720</v>
      </c>
      <c r="D338" s="14" t="s">
        <v>1721</v>
      </c>
      <c r="E338" s="6" t="str">
        <f>HYPERLINK("https://twitter.com/ANoorTM/status/1364247778914828297","1364247778914828297")</f>
        <v>1364247778914828297</v>
      </c>
      <c r="F338" s="8"/>
      <c r="G338" s="8"/>
      <c r="H338" s="8"/>
      <c r="I338" s="14">
        <v>13</v>
      </c>
      <c r="J338" s="14">
        <v>6</v>
      </c>
      <c r="K338" s="6" t="str">
        <f>HYPERLINK("https://mobile.twitter.com","Twitter Web App")</f>
        <v>Twitter Web App</v>
      </c>
      <c r="L338" s="15">
        <v>115</v>
      </c>
      <c r="M338" s="15">
        <v>396</v>
      </c>
      <c r="N338" s="15">
        <v>0</v>
      </c>
      <c r="O338" s="9"/>
      <c r="P338" s="10">
        <v>41609.607916666668</v>
      </c>
      <c r="Q338" s="14" t="s">
        <v>1722</v>
      </c>
      <c r="R338" s="14" t="s">
        <v>1723</v>
      </c>
      <c r="S338" s="7" t="s">
        <v>1724</v>
      </c>
      <c r="T338" s="8"/>
      <c r="U338" s="11" t="str">
        <f>HYPERLINK("https://pbs.twimg.com/profile_images/1360847327636955136/AMGDy86d.jpg","View")</f>
        <v>View</v>
      </c>
      <c r="V338" s="8"/>
      <c r="W338" s="8"/>
      <c r="X338" s="8"/>
      <c r="Y338" s="8"/>
      <c r="Z338" s="8"/>
    </row>
    <row r="339" spans="1:26" ht="13.2">
      <c r="A339" s="13">
        <v>44250.719560185185</v>
      </c>
      <c r="B339" s="6" t="str">
        <f>HYPERLINK("https://twitter.com/Techfuturenew","@Techfuturenew")</f>
        <v>@Techfuturenew</v>
      </c>
      <c r="C339" s="14" t="s">
        <v>1725</v>
      </c>
      <c r="D339" s="14" t="s">
        <v>1726</v>
      </c>
      <c r="E339" s="6" t="str">
        <f>HYPERLINK("https://twitter.com/Techfuturenew/status/1364247690746474498","1364247690746474498")</f>
        <v>1364247690746474498</v>
      </c>
      <c r="F339" s="14" t="s">
        <v>1313</v>
      </c>
      <c r="G339" s="8"/>
      <c r="H339" s="8"/>
      <c r="I339" s="14">
        <v>0</v>
      </c>
      <c r="J339" s="14">
        <v>0</v>
      </c>
      <c r="K339" s="6" t="str">
        <f>HYPERLINK("http://twinybots.com","TwinyBots")</f>
        <v>TwinyBots</v>
      </c>
      <c r="L339" s="15">
        <v>961</v>
      </c>
      <c r="M339" s="15">
        <v>411</v>
      </c>
      <c r="N339" s="15">
        <v>17</v>
      </c>
      <c r="O339" s="9"/>
      <c r="P339" s="10">
        <v>43080.534120370372</v>
      </c>
      <c r="Q339" s="14" t="s">
        <v>322</v>
      </c>
      <c r="R339" s="14" t="s">
        <v>1727</v>
      </c>
      <c r="S339" s="8"/>
      <c r="T339" s="8"/>
      <c r="U339" s="11" t="str">
        <f>HYPERLINK("https://pbs.twimg.com/profile_images/1201246977150922755/lKxY2XSy.jpg","View")</f>
        <v>View</v>
      </c>
      <c r="V339" s="8"/>
      <c r="W339" s="8"/>
      <c r="X339" s="8"/>
      <c r="Y339" s="8"/>
      <c r="Z339" s="8"/>
    </row>
    <row r="340" spans="1:26" ht="13.2">
      <c r="A340" s="13">
        <v>44250.719456018516</v>
      </c>
      <c r="B340" s="6" t="str">
        <f>HYPERLINK("https://twitter.com/future_of_AI","@future_of_AI")</f>
        <v>@future_of_AI</v>
      </c>
      <c r="C340" s="14" t="s">
        <v>284</v>
      </c>
      <c r="D340" s="14" t="s">
        <v>1728</v>
      </c>
      <c r="E340" s="6" t="str">
        <f>HYPERLINK("https://twitter.com/future_of_AI/status/1364247653870108675","1364247653870108675")</f>
        <v>1364247653870108675</v>
      </c>
      <c r="F340" s="7" t="s">
        <v>1729</v>
      </c>
      <c r="G340" s="8"/>
      <c r="H340" s="8"/>
      <c r="I340" s="14">
        <v>0</v>
      </c>
      <c r="J340" s="14">
        <v>0</v>
      </c>
      <c r="K340" s="6" t="str">
        <f>HYPERLINK("https://buffer.com","Buffer")</f>
        <v>Buffer</v>
      </c>
      <c r="L340" s="15">
        <v>2893</v>
      </c>
      <c r="M340" s="15">
        <v>1348</v>
      </c>
      <c r="N340" s="15">
        <v>130</v>
      </c>
      <c r="O340" s="9"/>
      <c r="P340" s="10">
        <v>42816.80840277778</v>
      </c>
      <c r="Q340" s="8"/>
      <c r="R340" s="14" t="s">
        <v>287</v>
      </c>
      <c r="S340" s="7" t="s">
        <v>288</v>
      </c>
      <c r="T340" s="8"/>
      <c r="U340" s="11" t="str">
        <f>HYPERLINK("https://pbs.twimg.com/profile_images/1047866034970140673/ZBhSks16.jpg","View")</f>
        <v>View</v>
      </c>
      <c r="V340" s="8"/>
      <c r="W340" s="8"/>
      <c r="X340" s="8"/>
      <c r="Y340" s="8"/>
      <c r="Z340" s="8"/>
    </row>
    <row r="341" spans="1:26" ht="13.2">
      <c r="A341" s="13">
        <v>44250.719236111108</v>
      </c>
      <c r="B341" s="6" t="str">
        <f>HYPERLINK("https://twitter.com/Eli_Krumova","@Eli_Krumova")</f>
        <v>@Eli_Krumova</v>
      </c>
      <c r="C341" s="14" t="s">
        <v>947</v>
      </c>
      <c r="D341" s="14" t="s">
        <v>1730</v>
      </c>
      <c r="E341" s="6" t="str">
        <f>HYPERLINK("https://twitter.com/Eli_Krumova/status/1364247570990706692","1364247570990706692")</f>
        <v>1364247570990706692</v>
      </c>
      <c r="F341" s="14" t="s">
        <v>1731</v>
      </c>
      <c r="G341" s="14" t="s">
        <v>1732</v>
      </c>
      <c r="H341" s="8"/>
      <c r="I341" s="14">
        <v>26</v>
      </c>
      <c r="J341" s="14">
        <v>9</v>
      </c>
      <c r="K341" s="6" t="str">
        <f>HYPERLINK("https://mobile.twitter.com","Twitter Web App")</f>
        <v>Twitter Web App</v>
      </c>
      <c r="L341" s="15">
        <v>4471</v>
      </c>
      <c r="M341" s="15">
        <v>5001</v>
      </c>
      <c r="N341" s="15">
        <v>79</v>
      </c>
      <c r="O341" s="9"/>
      <c r="P341" s="10">
        <v>41346.597002314811</v>
      </c>
      <c r="Q341" s="14" t="s">
        <v>951</v>
      </c>
      <c r="R341" s="14" t="s">
        <v>952</v>
      </c>
      <c r="S341" s="8"/>
      <c r="T341" s="8"/>
      <c r="U341" s="11" t="str">
        <f>HYPERLINK("https://pbs.twimg.com/profile_images/1361638888427683840/HqNlplM_.jpg","View")</f>
        <v>View</v>
      </c>
      <c r="V341" s="8"/>
      <c r="W341" s="8"/>
      <c r="X341" s="8"/>
      <c r="Y341" s="8"/>
      <c r="Z341" s="8"/>
    </row>
    <row r="342" spans="1:26" ht="13.2">
      <c r="A342" s="13">
        <v>44250.718958333338</v>
      </c>
      <c r="B342" s="6" t="str">
        <f>HYPERLINK("https://twitter.com/ailab_mtitech","@ailab_mtitech")</f>
        <v>@ailab_mtitech</v>
      </c>
      <c r="C342" s="14" t="s">
        <v>1733</v>
      </c>
      <c r="D342" s="14" t="s">
        <v>1734</v>
      </c>
      <c r="E342" s="6" t="str">
        <f>HYPERLINK("https://twitter.com/ailab_mtitech/status/1364247472348930048","1364247472348930048")</f>
        <v>1364247472348930048</v>
      </c>
      <c r="F342" s="7" t="s">
        <v>1735</v>
      </c>
      <c r="G342" s="8"/>
      <c r="H342" s="8"/>
      <c r="I342" s="14">
        <v>2</v>
      </c>
      <c r="J342" s="14">
        <v>2</v>
      </c>
      <c r="K342" s="6" t="str">
        <f t="shared" ref="K342:K344" si="48">HYPERLINK("http://twitter.com/download/android","Twitter for Android")</f>
        <v>Twitter for Android</v>
      </c>
      <c r="L342" s="15">
        <v>112</v>
      </c>
      <c r="M342" s="15">
        <v>446</v>
      </c>
      <c r="N342" s="15">
        <v>0</v>
      </c>
      <c r="O342" s="9"/>
      <c r="P342" s="10">
        <v>44093.297337962962</v>
      </c>
      <c r="Q342" s="14" t="s">
        <v>1736</v>
      </c>
      <c r="R342" s="14" t="s">
        <v>1737</v>
      </c>
      <c r="S342" s="7" t="s">
        <v>1738</v>
      </c>
      <c r="T342" s="8"/>
      <c r="U342" s="11" t="str">
        <f>HYPERLINK("https://pbs.twimg.com/profile_images/1307186254539182082/Jz3kK0vE.jpg","View")</f>
        <v>View</v>
      </c>
      <c r="V342" s="8"/>
      <c r="W342" s="8"/>
      <c r="X342" s="8"/>
      <c r="Y342" s="8"/>
      <c r="Z342" s="8"/>
    </row>
    <row r="343" spans="1:26" ht="13.2">
      <c r="A343" s="13">
        <v>44250.718900462962</v>
      </c>
      <c r="B343" s="6" t="str">
        <f>HYPERLINK("https://twitter.com/TMSayan","@TMSayan")</f>
        <v>@TMSayan</v>
      </c>
      <c r="C343" s="14" t="s">
        <v>1739</v>
      </c>
      <c r="D343" s="14" t="s">
        <v>1740</v>
      </c>
      <c r="E343" s="6" t="str">
        <f>HYPERLINK("https://twitter.com/TMSayan/status/1364247452199645190","1364247452199645190")</f>
        <v>1364247452199645190</v>
      </c>
      <c r="F343" s="8"/>
      <c r="G343" s="7" t="s">
        <v>1741</v>
      </c>
      <c r="H343" s="8"/>
      <c r="I343" s="14">
        <v>1</v>
      </c>
      <c r="J343" s="14">
        <v>4</v>
      </c>
      <c r="K343" s="6" t="str">
        <f t="shared" si="48"/>
        <v>Twitter for Android</v>
      </c>
      <c r="L343" s="15">
        <v>754</v>
      </c>
      <c r="M343" s="15">
        <v>4977</v>
      </c>
      <c r="N343" s="15">
        <v>8</v>
      </c>
      <c r="O343" s="9"/>
      <c r="P343" s="10">
        <v>40001.241724537038</v>
      </c>
      <c r="Q343" s="14" t="s">
        <v>1742</v>
      </c>
      <c r="R343" s="14" t="s">
        <v>1743</v>
      </c>
      <c r="S343" s="7" t="s">
        <v>1744</v>
      </c>
      <c r="T343" s="8"/>
      <c r="U343" s="11" t="str">
        <f>HYPERLINK("https://pbs.twimg.com/profile_images/487263282470719489/2E0OtC4S.jpeg","View")</f>
        <v>View</v>
      </c>
      <c r="V343" s="8"/>
      <c r="W343" s="8"/>
      <c r="X343" s="8"/>
      <c r="Y343" s="8"/>
      <c r="Z343" s="8"/>
    </row>
    <row r="344" spans="1:26" ht="13.2">
      <c r="A344" s="13">
        <v>44250.718877314815</v>
      </c>
      <c r="B344" s="6" t="str">
        <f>HYPERLINK("https://twitter.com/statsmattersm","@statsmattersm")</f>
        <v>@statsmattersm</v>
      </c>
      <c r="C344" s="14" t="s">
        <v>1745</v>
      </c>
      <c r="D344" s="14" t="s">
        <v>1746</v>
      </c>
      <c r="E344" s="6" t="str">
        <f>HYPERLINK("https://twitter.com/statsmattersm/status/1364247443152363523","1364247443152363523")</f>
        <v>1364247443152363523</v>
      </c>
      <c r="F344" s="7" t="s">
        <v>1747</v>
      </c>
      <c r="G344" s="8"/>
      <c r="H344" s="8"/>
      <c r="I344" s="14">
        <v>0</v>
      </c>
      <c r="J344" s="14">
        <v>2</v>
      </c>
      <c r="K344" s="6" t="str">
        <f t="shared" si="48"/>
        <v>Twitter for Android</v>
      </c>
      <c r="L344" s="15">
        <v>164</v>
      </c>
      <c r="M344" s="15">
        <v>100</v>
      </c>
      <c r="N344" s="15">
        <v>0</v>
      </c>
      <c r="O344" s="9"/>
      <c r="P344" s="10">
        <v>42504.050405092596</v>
      </c>
      <c r="Q344" s="14" t="s">
        <v>364</v>
      </c>
      <c r="R344" s="14" t="s">
        <v>1748</v>
      </c>
      <c r="S344" s="8"/>
      <c r="T344" s="8"/>
      <c r="U344" s="11" t="str">
        <f>HYPERLINK("https://pbs.twimg.com/profile_images/731261257706151936/21yFRg5N.jpg","View")</f>
        <v>View</v>
      </c>
      <c r="V344" s="8"/>
      <c r="W344" s="8"/>
      <c r="X344" s="8"/>
      <c r="Y344" s="8"/>
      <c r="Z344" s="8"/>
    </row>
    <row r="345" spans="1:26" ht="13.2">
      <c r="A345" s="13">
        <v>44250.718877314815</v>
      </c>
      <c r="B345" s="6" t="str">
        <f>HYPERLINK("https://twitter.com/fortressiq","@fortressiq")</f>
        <v>@fortressiq</v>
      </c>
      <c r="C345" s="14" t="s">
        <v>1749</v>
      </c>
      <c r="D345" s="14" t="s">
        <v>1750</v>
      </c>
      <c r="E345" s="6" t="str">
        <f>HYPERLINK("https://twitter.com/fortressiq/status/1364247442196221957","1364247442196221957")</f>
        <v>1364247442196221957</v>
      </c>
      <c r="F345" s="14" t="s">
        <v>1751</v>
      </c>
      <c r="G345" s="8"/>
      <c r="H345" s="8"/>
      <c r="I345" s="14">
        <v>0</v>
      </c>
      <c r="J345" s="14">
        <v>1</v>
      </c>
      <c r="K345" s="6" t="str">
        <f t="shared" ref="K345:K346" si="49">HYPERLINK("https://www.hootsuite.com","Hootsuite Inc.")</f>
        <v>Hootsuite Inc.</v>
      </c>
      <c r="L345" s="15">
        <v>252</v>
      </c>
      <c r="M345" s="15">
        <v>21</v>
      </c>
      <c r="N345" s="15">
        <v>15</v>
      </c>
      <c r="O345" s="9"/>
      <c r="P345" s="10">
        <v>42916.346412037034</v>
      </c>
      <c r="Q345" s="14" t="s">
        <v>390</v>
      </c>
      <c r="R345" s="14" t="s">
        <v>1752</v>
      </c>
      <c r="S345" s="7" t="s">
        <v>1753</v>
      </c>
      <c r="T345" s="8"/>
      <c r="U345" s="11" t="str">
        <f>HYPERLINK("https://pbs.twimg.com/profile_images/1278117540980338689/yoXleXCc.jpg","View")</f>
        <v>View</v>
      </c>
      <c r="V345" s="8"/>
      <c r="W345" s="8"/>
      <c r="X345" s="8"/>
      <c r="Y345" s="8"/>
      <c r="Z345" s="8"/>
    </row>
    <row r="346" spans="1:26" ht="13.2">
      <c r="A346" s="13">
        <v>44250.718854166669</v>
      </c>
      <c r="B346" s="6" t="str">
        <f>HYPERLINK("https://twitter.com/UTHealth_SBMI","@UTHealth_SBMI")</f>
        <v>@UTHealth_SBMI</v>
      </c>
      <c r="C346" s="14" t="s">
        <v>1754</v>
      </c>
      <c r="D346" s="14" t="s">
        <v>1755</v>
      </c>
      <c r="E346" s="6" t="str">
        <f>HYPERLINK("https://twitter.com/UTHealth_SBMI/status/1364247432725467139","1364247432725467139")</f>
        <v>1364247432725467139</v>
      </c>
      <c r="F346" s="7" t="s">
        <v>1756</v>
      </c>
      <c r="G346" s="8"/>
      <c r="H346" s="8"/>
      <c r="I346" s="14">
        <v>0</v>
      </c>
      <c r="J346" s="14">
        <v>1</v>
      </c>
      <c r="K346" s="6" t="str">
        <f t="shared" si="49"/>
        <v>Hootsuite Inc.</v>
      </c>
      <c r="L346" s="15">
        <v>2020</v>
      </c>
      <c r="M346" s="15">
        <v>757</v>
      </c>
      <c r="N346" s="15">
        <v>499</v>
      </c>
      <c r="O346" s="9"/>
      <c r="P346" s="10">
        <v>40395.892129629632</v>
      </c>
      <c r="Q346" s="14" t="s">
        <v>1757</v>
      </c>
      <c r="R346" s="14" t="s">
        <v>1758</v>
      </c>
      <c r="S346" s="7" t="s">
        <v>1759</v>
      </c>
      <c r="T346" s="8"/>
      <c r="U346" s="11" t="str">
        <f>HYPERLINK("https://pbs.twimg.com/profile_images/1052586305480155136/gPeC83x5.jpg","View")</f>
        <v>View</v>
      </c>
      <c r="V346" s="8"/>
      <c r="W346" s="8"/>
      <c r="X346" s="8"/>
      <c r="Y346" s="8"/>
      <c r="Z346" s="8"/>
    </row>
    <row r="347" spans="1:26" ht="13.2">
      <c r="A347" s="13">
        <v>44250.718842592592</v>
      </c>
      <c r="B347" s="6" t="str">
        <f>HYPERLINK("https://twitter.com/RapidMiner","@RapidMiner")</f>
        <v>@RapidMiner</v>
      </c>
      <c r="C347" s="14" t="s">
        <v>1760</v>
      </c>
      <c r="D347" s="14" t="s">
        <v>1761</v>
      </c>
      <c r="E347" s="6" t="str">
        <f>HYPERLINK("https://twitter.com/RapidMiner/status/1364247429655191556","1364247429655191556")</f>
        <v>1364247429655191556</v>
      </c>
      <c r="F347" s="7" t="s">
        <v>1762</v>
      </c>
      <c r="G347" s="8"/>
      <c r="H347" s="8"/>
      <c r="I347" s="14">
        <v>2</v>
      </c>
      <c r="J347" s="14">
        <v>2</v>
      </c>
      <c r="K347" s="6" t="str">
        <f>HYPERLINK("https://buffer.com","Buffer")</f>
        <v>Buffer</v>
      </c>
      <c r="L347" s="15">
        <v>15673</v>
      </c>
      <c r="M347" s="15">
        <v>2159</v>
      </c>
      <c r="N347" s="15">
        <v>507</v>
      </c>
      <c r="O347" s="15" t="s">
        <v>130</v>
      </c>
      <c r="P347" s="10">
        <v>40190.745613425926</v>
      </c>
      <c r="Q347" s="14" t="s">
        <v>221</v>
      </c>
      <c r="R347" s="14" t="s">
        <v>1763</v>
      </c>
      <c r="S347" s="7" t="s">
        <v>1764</v>
      </c>
      <c r="T347" s="8"/>
      <c r="U347" s="11" t="str">
        <f>HYPERLINK("https://pbs.twimg.com/profile_images/378800000708431883/9ca32f3333fa7e8e3d049cbbd5802a52.png","View")</f>
        <v>View</v>
      </c>
      <c r="V347" s="8"/>
      <c r="W347" s="8"/>
      <c r="X347" s="8"/>
      <c r="Y347" s="8"/>
      <c r="Z347" s="8"/>
    </row>
    <row r="348" spans="1:26" ht="13.2">
      <c r="A348" s="13">
        <v>44250.718831018516</v>
      </c>
      <c r="B348" s="6" t="str">
        <f>HYPERLINK("https://twitter.com/LityxIQ","@LityxIQ")</f>
        <v>@LityxIQ</v>
      </c>
      <c r="C348" s="14" t="s">
        <v>1765</v>
      </c>
      <c r="D348" s="14" t="s">
        <v>1766</v>
      </c>
      <c r="E348" s="6" t="str">
        <f>HYPERLINK("https://twitter.com/LityxIQ/status/1364247425565753348","1364247425565753348")</f>
        <v>1364247425565753348</v>
      </c>
      <c r="F348" s="7" t="s">
        <v>1767</v>
      </c>
      <c r="G348" s="8"/>
      <c r="H348" s="8"/>
      <c r="I348" s="14">
        <v>0</v>
      </c>
      <c r="J348" s="14">
        <v>0</v>
      </c>
      <c r="K348" s="6" t="str">
        <f t="shared" ref="K348:K349" si="50">HYPERLINK("https://www.hootsuite.com","Hootsuite Inc.")</f>
        <v>Hootsuite Inc.</v>
      </c>
      <c r="L348" s="15">
        <v>2017</v>
      </c>
      <c r="M348" s="15">
        <v>1998</v>
      </c>
      <c r="N348" s="15">
        <v>63</v>
      </c>
      <c r="O348" s="9"/>
      <c r="P348" s="10">
        <v>40907.770520833335</v>
      </c>
      <c r="Q348" s="14" t="s">
        <v>322</v>
      </c>
      <c r="R348" s="14" t="s">
        <v>1768</v>
      </c>
      <c r="S348" s="7" t="s">
        <v>1769</v>
      </c>
      <c r="T348" s="8"/>
      <c r="U348" s="11" t="str">
        <f>HYPERLINK("https://pbs.twimg.com/profile_images/892903863455326209/Nz27JFOb.jpg","View")</f>
        <v>View</v>
      </c>
      <c r="V348" s="8"/>
      <c r="W348" s="8"/>
      <c r="X348" s="8"/>
      <c r="Y348" s="8"/>
      <c r="Z348" s="8"/>
    </row>
    <row r="349" spans="1:26" ht="13.2">
      <c r="A349" s="13">
        <v>44250.718796296293</v>
      </c>
      <c r="B349" s="6" t="str">
        <f>HYPERLINK("https://twitter.com/Exxactcorp","@Exxactcorp")</f>
        <v>@Exxactcorp</v>
      </c>
      <c r="C349" s="14" t="s">
        <v>1770</v>
      </c>
      <c r="D349" s="14" t="s">
        <v>1771</v>
      </c>
      <c r="E349" s="6" t="str">
        <f>HYPERLINK("https://twitter.com/Exxactcorp/status/1364247414413144064","1364247414413144064")</f>
        <v>1364247414413144064</v>
      </c>
      <c r="F349" s="7" t="s">
        <v>1772</v>
      </c>
      <c r="G349" s="7" t="s">
        <v>1773</v>
      </c>
      <c r="H349" s="8"/>
      <c r="I349" s="14">
        <v>0</v>
      </c>
      <c r="J349" s="14">
        <v>1</v>
      </c>
      <c r="K349" s="6" t="str">
        <f t="shared" si="50"/>
        <v>Hootsuite Inc.</v>
      </c>
      <c r="L349" s="15">
        <v>9845</v>
      </c>
      <c r="M349" s="15">
        <v>364</v>
      </c>
      <c r="N349" s="15">
        <v>19</v>
      </c>
      <c r="O349" s="9"/>
      <c r="P349" s="10">
        <v>40627.79928240741</v>
      </c>
      <c r="Q349" s="14" t="s">
        <v>1774</v>
      </c>
      <c r="R349" s="14" t="s">
        <v>1775</v>
      </c>
      <c r="S349" s="7" t="s">
        <v>1776</v>
      </c>
      <c r="T349" s="8"/>
      <c r="U349" s="11" t="str">
        <f>HYPERLINK("https://pbs.twimg.com/profile_images/1229884518166749184/-8MYngZK.png","View")</f>
        <v>View</v>
      </c>
      <c r="V349" s="8"/>
      <c r="W349" s="8"/>
      <c r="X349" s="8"/>
      <c r="Y349" s="8"/>
      <c r="Z349" s="8"/>
    </row>
    <row r="350" spans="1:26" ht="13.2">
      <c r="A350" s="13">
        <v>44250.71837962963</v>
      </c>
      <c r="B350" s="6" t="str">
        <f>HYPERLINK("https://twitter.com/Eli_Krumova","@Eli_Krumova")</f>
        <v>@Eli_Krumova</v>
      </c>
      <c r="C350" s="14" t="s">
        <v>947</v>
      </c>
      <c r="D350" s="14" t="s">
        <v>1777</v>
      </c>
      <c r="E350" s="6" t="str">
        <f>HYPERLINK("https://twitter.com/Eli_Krumova/status/1364247262776479747","1364247262776479747")</f>
        <v>1364247262776479747</v>
      </c>
      <c r="F350" s="14" t="s">
        <v>1778</v>
      </c>
      <c r="G350" s="14" t="s">
        <v>1779</v>
      </c>
      <c r="H350" s="8"/>
      <c r="I350" s="14">
        <v>15</v>
      </c>
      <c r="J350" s="14">
        <v>6</v>
      </c>
      <c r="K350" s="6" t="str">
        <f>HYPERLINK("https://mobile.twitter.com","Twitter Web App")</f>
        <v>Twitter Web App</v>
      </c>
      <c r="L350" s="15">
        <v>4471</v>
      </c>
      <c r="M350" s="15">
        <v>5001</v>
      </c>
      <c r="N350" s="15">
        <v>79</v>
      </c>
      <c r="O350" s="9"/>
      <c r="P350" s="10">
        <v>41346.597002314811</v>
      </c>
      <c r="Q350" s="14" t="s">
        <v>951</v>
      </c>
      <c r="R350" s="14" t="s">
        <v>952</v>
      </c>
      <c r="S350" s="8"/>
      <c r="T350" s="8"/>
      <c r="U350" s="11" t="str">
        <f>HYPERLINK("https://pbs.twimg.com/profile_images/1361638888427683840/HqNlplM_.jpg","View")</f>
        <v>View</v>
      </c>
      <c r="V350" s="8"/>
      <c r="W350" s="8"/>
      <c r="X350" s="8"/>
      <c r="Y350" s="8"/>
      <c r="Z350" s="8"/>
    </row>
    <row r="351" spans="1:26" ht="13.2">
      <c r="A351" s="13">
        <v>44250.717534722222</v>
      </c>
      <c r="B351" s="6" t="str">
        <f>HYPERLINK("https://twitter.com/TechVisorNL","@TechVisorNL")</f>
        <v>@TechVisorNL</v>
      </c>
      <c r="C351" s="14" t="s">
        <v>1780</v>
      </c>
      <c r="D351" s="14" t="s">
        <v>1781</v>
      </c>
      <c r="E351" s="6" t="str">
        <f>HYPERLINK("https://twitter.com/TechVisorNL/status/1364246956395102210","1364246956395102210")</f>
        <v>1364246956395102210</v>
      </c>
      <c r="F351" s="7" t="s">
        <v>1782</v>
      </c>
      <c r="G351" s="7" t="s">
        <v>1783</v>
      </c>
      <c r="H351" s="8"/>
      <c r="I351" s="14">
        <v>0</v>
      </c>
      <c r="J351" s="14">
        <v>1</v>
      </c>
      <c r="K351" s="6" t="str">
        <f>HYPERLINK("http://www.techvisor.nl","TechVisor")</f>
        <v>TechVisor</v>
      </c>
      <c r="L351" s="15">
        <v>1701</v>
      </c>
      <c r="M351" s="15">
        <v>958</v>
      </c>
      <c r="N351" s="15">
        <v>72</v>
      </c>
      <c r="O351" s="9"/>
      <c r="P351" s="10">
        <v>42643.791261574079</v>
      </c>
      <c r="Q351" s="14" t="s">
        <v>1784</v>
      </c>
      <c r="R351" s="14" t="s">
        <v>1785</v>
      </c>
      <c r="S351" s="7" t="s">
        <v>1786</v>
      </c>
      <c r="T351" s="8"/>
      <c r="U351" s="11" t="str">
        <f>HYPERLINK("https://pbs.twimg.com/profile_images/781903184826667009/q1xpC--T.jpg","View")</f>
        <v>View</v>
      </c>
      <c r="V351" s="8"/>
      <c r="W351" s="8"/>
      <c r="X351" s="8"/>
      <c r="Y351" s="8"/>
      <c r="Z351" s="8"/>
    </row>
    <row r="352" spans="1:26" ht="13.2">
      <c r="A352" s="13">
        <v>44250.717534722222</v>
      </c>
      <c r="B352" s="6" t="str">
        <f>HYPERLINK("https://twitter.com/Lavenir_co","@Lavenir_co")</f>
        <v>@Lavenir_co</v>
      </c>
      <c r="C352" s="14" t="s">
        <v>1787</v>
      </c>
      <c r="D352" s="14" t="s">
        <v>1788</v>
      </c>
      <c r="E352" s="6" t="str">
        <f>HYPERLINK("https://twitter.com/Lavenir_co/status/1364246954784526336","1364246954784526336")</f>
        <v>1364246954784526336</v>
      </c>
      <c r="F352" s="8"/>
      <c r="G352" s="7" t="s">
        <v>1789</v>
      </c>
      <c r="H352" s="8"/>
      <c r="I352" s="14">
        <v>0</v>
      </c>
      <c r="J352" s="14">
        <v>0</v>
      </c>
      <c r="K352" s="6" t="str">
        <f t="shared" ref="K352:K353" si="51">HYPERLINK("https://mobile.twitter.com","Twitter Web App")</f>
        <v>Twitter Web App</v>
      </c>
      <c r="L352" s="15">
        <v>109</v>
      </c>
      <c r="M352" s="15">
        <v>84</v>
      </c>
      <c r="N352" s="15">
        <v>3</v>
      </c>
      <c r="O352" s="9"/>
      <c r="P352" s="10">
        <v>42491.068923611107</v>
      </c>
      <c r="Q352" s="14" t="s">
        <v>1159</v>
      </c>
      <c r="R352" s="14" t="s">
        <v>1790</v>
      </c>
      <c r="S352" s="7" t="s">
        <v>1791</v>
      </c>
      <c r="T352" s="8"/>
      <c r="U352" s="11" t="str">
        <f>HYPERLINK("https://pbs.twimg.com/profile_images/1296207707054186499/1vIol6HO.jpg","View")</f>
        <v>View</v>
      </c>
      <c r="V352" s="8"/>
      <c r="W352" s="8"/>
      <c r="X352" s="8"/>
      <c r="Y352" s="8"/>
      <c r="Z352" s="8"/>
    </row>
    <row r="353" spans="1:26" ht="13.2">
      <c r="A353" s="13">
        <v>44250.717002314814</v>
      </c>
      <c r="B353" s="6" t="str">
        <f>HYPERLINK("https://twitter.com/ShahtechG","@ShahtechG")</f>
        <v>@ShahtechG</v>
      </c>
      <c r="C353" s="14" t="s">
        <v>1792</v>
      </c>
      <c r="D353" s="14" t="s">
        <v>1793</v>
      </c>
      <c r="E353" s="6" t="str">
        <f>HYPERLINK("https://twitter.com/ShahtechG/status/1364246763247337473","1364246763247337473")</f>
        <v>1364246763247337473</v>
      </c>
      <c r="F353" s="7" t="s">
        <v>1794</v>
      </c>
      <c r="G353" s="7" t="s">
        <v>1795</v>
      </c>
      <c r="H353" s="8"/>
      <c r="I353" s="14">
        <v>15</v>
      </c>
      <c r="J353" s="14">
        <v>6</v>
      </c>
      <c r="K353" s="6" t="str">
        <f t="shared" si="51"/>
        <v>Twitter Web App</v>
      </c>
      <c r="L353" s="15">
        <v>1489</v>
      </c>
      <c r="M353" s="15">
        <v>2382</v>
      </c>
      <c r="N353" s="15">
        <v>0</v>
      </c>
      <c r="O353" s="9"/>
      <c r="P353" s="10">
        <v>43938.061956018515</v>
      </c>
      <c r="Q353" s="8"/>
      <c r="R353" s="8"/>
      <c r="S353" s="7" t="s">
        <v>1796</v>
      </c>
      <c r="T353" s="8"/>
      <c r="U353" s="11" t="str">
        <f>HYPERLINK("https://pbs.twimg.com/profile_images/1360988005645737988/gWCEZTI2.jpg","View")</f>
        <v>View</v>
      </c>
      <c r="V353" s="8"/>
      <c r="W353" s="8"/>
      <c r="X353" s="8"/>
      <c r="Y353" s="8"/>
      <c r="Z353" s="8"/>
    </row>
    <row r="354" spans="1:26" ht="13.2">
      <c r="A354" s="13">
        <v>44250.716782407406</v>
      </c>
      <c r="B354" s="6" t="str">
        <f>HYPERLINK("https://twitter.com/SSuccess_data","@SSuccess_data")</f>
        <v>@SSuccess_data</v>
      </c>
      <c r="C354" s="14" t="s">
        <v>1797</v>
      </c>
      <c r="D354" s="14" t="s">
        <v>1798</v>
      </c>
      <c r="E354" s="6" t="str">
        <f>HYPERLINK("https://twitter.com/SSuccess_data/status/1364246684742615041","1364246684742615041")</f>
        <v>1364246684742615041</v>
      </c>
      <c r="F354" s="14" t="s">
        <v>1051</v>
      </c>
      <c r="G354" s="7" t="s">
        <v>1052</v>
      </c>
      <c r="H354" s="8"/>
      <c r="I354" s="14">
        <v>0</v>
      </c>
      <c r="J354" s="14">
        <v>1</v>
      </c>
      <c r="K354" s="6" t="str">
        <f>HYPERLINK("http://twitter.com/download/android","Twitter for Android")</f>
        <v>Twitter for Android</v>
      </c>
      <c r="L354" s="15">
        <v>42</v>
      </c>
      <c r="M354" s="15">
        <v>79</v>
      </c>
      <c r="N354" s="15">
        <v>1</v>
      </c>
      <c r="O354" s="9"/>
      <c r="P354" s="10">
        <v>44151.822534722218</v>
      </c>
      <c r="Q354" s="14" t="s">
        <v>1799</v>
      </c>
      <c r="R354" s="14" t="s">
        <v>1800</v>
      </c>
      <c r="S354" s="7" t="s">
        <v>1801</v>
      </c>
      <c r="T354" s="8"/>
      <c r="U354" s="11" t="str">
        <f>HYPERLINK("https://pbs.twimg.com/profile_images/1328414764675063817/b7xikCPd.jpg","View")</f>
        <v>View</v>
      </c>
      <c r="V354" s="8"/>
      <c r="W354" s="8"/>
      <c r="X354" s="8"/>
      <c r="Y354" s="8"/>
      <c r="Z354" s="8"/>
    </row>
    <row r="355" spans="1:26" ht="13.2">
      <c r="A355" s="13">
        <v>44250.716458333336</v>
      </c>
      <c r="B355" s="6" t="str">
        <f>HYPERLINK("https://twitter.com/Eli_Krumova","@Eli_Krumova")</f>
        <v>@Eli_Krumova</v>
      </c>
      <c r="C355" s="14" t="s">
        <v>947</v>
      </c>
      <c r="D355" s="14" t="s">
        <v>1802</v>
      </c>
      <c r="E355" s="6" t="str">
        <f>HYPERLINK("https://twitter.com/Eli_Krumova/status/1364246564286451717","1364246564286451717")</f>
        <v>1364246564286451717</v>
      </c>
      <c r="F355" s="14" t="s">
        <v>1803</v>
      </c>
      <c r="G355" s="14" t="s">
        <v>1804</v>
      </c>
      <c r="H355" s="8"/>
      <c r="I355" s="14">
        <v>18</v>
      </c>
      <c r="J355" s="14">
        <v>8</v>
      </c>
      <c r="K355" s="6" t="str">
        <f>HYPERLINK("https://mobile.twitter.com","Twitter Web App")</f>
        <v>Twitter Web App</v>
      </c>
      <c r="L355" s="15">
        <v>4471</v>
      </c>
      <c r="M355" s="15">
        <v>5001</v>
      </c>
      <c r="N355" s="15">
        <v>79</v>
      </c>
      <c r="O355" s="9"/>
      <c r="P355" s="10">
        <v>41346.597002314811</v>
      </c>
      <c r="Q355" s="14" t="s">
        <v>951</v>
      </c>
      <c r="R355" s="14" t="s">
        <v>952</v>
      </c>
      <c r="S355" s="8"/>
      <c r="T355" s="8"/>
      <c r="U355" s="11" t="str">
        <f>HYPERLINK("https://pbs.twimg.com/profile_images/1361638888427683840/HqNlplM_.jpg","View")</f>
        <v>View</v>
      </c>
      <c r="V355" s="8"/>
      <c r="W355" s="8"/>
      <c r="X355" s="8"/>
      <c r="Y355" s="8"/>
      <c r="Z355" s="8"/>
    </row>
    <row r="356" spans="1:26" ht="13.2">
      <c r="A356" s="13">
        <v>44250.716354166667</v>
      </c>
      <c r="B356" s="6" t="str">
        <f>HYPERLINK("https://twitter.com/milocamj","@milocamj")</f>
        <v>@milocamj</v>
      </c>
      <c r="C356" s="14" t="s">
        <v>1805</v>
      </c>
      <c r="D356" s="14" t="s">
        <v>1806</v>
      </c>
      <c r="E356" s="6" t="str">
        <f>HYPERLINK("https://twitter.com/milocamj/status/1364246527699345412","1364246527699345412")</f>
        <v>1364246527699345412</v>
      </c>
      <c r="F356" s="7" t="s">
        <v>1807</v>
      </c>
      <c r="G356" s="7" t="s">
        <v>1808</v>
      </c>
      <c r="H356" s="8"/>
      <c r="I356" s="14">
        <v>0</v>
      </c>
      <c r="J356" s="14">
        <v>1</v>
      </c>
      <c r="K356" s="6" t="str">
        <f>HYPERLINK("https://dlvrit.com/","dlvr.it")</f>
        <v>dlvr.it</v>
      </c>
      <c r="L356" s="15">
        <v>2595</v>
      </c>
      <c r="M356" s="15">
        <v>48</v>
      </c>
      <c r="N356" s="15">
        <v>1282</v>
      </c>
      <c r="O356" s="9"/>
      <c r="P356" s="10">
        <v>39904.699837962966</v>
      </c>
      <c r="Q356" s="14" t="s">
        <v>1809</v>
      </c>
      <c r="R356" s="14" t="s">
        <v>1810</v>
      </c>
      <c r="S356" s="7" t="s">
        <v>1811</v>
      </c>
      <c r="T356" s="8"/>
      <c r="U356" s="11" t="str">
        <f>HYPERLINK("https://pbs.twimg.com/profile_images/1108578778018709505/56I0aOhL.jpg","View")</f>
        <v>View</v>
      </c>
      <c r="V356" s="8"/>
      <c r="W356" s="8"/>
      <c r="X356" s="8"/>
      <c r="Y356" s="8"/>
      <c r="Z356" s="8"/>
    </row>
    <row r="357" spans="1:26" ht="13.2">
      <c r="A357" s="13">
        <v>44250.716261574074</v>
      </c>
      <c r="B357" s="6" t="str">
        <f>HYPERLINK("https://twitter.com/nordicinst","@nordicinst")</f>
        <v>@nordicinst</v>
      </c>
      <c r="C357" s="14" t="s">
        <v>1812</v>
      </c>
      <c r="D357" s="14" t="s">
        <v>1813</v>
      </c>
      <c r="E357" s="6" t="str">
        <f>HYPERLINK("https://twitter.com/nordicinst/status/1364246494732292105","1364246494732292105")</f>
        <v>1364246494732292105</v>
      </c>
      <c r="F357" s="7" t="s">
        <v>1814</v>
      </c>
      <c r="G357" s="8"/>
      <c r="H357" s="8"/>
      <c r="I357" s="14">
        <v>0</v>
      </c>
      <c r="J357" s="14">
        <v>0</v>
      </c>
      <c r="K357" s="6" t="str">
        <f>HYPERLINK("https://ifttt.com","IFTTT")</f>
        <v>IFTTT</v>
      </c>
      <c r="L357" s="15">
        <v>18247</v>
      </c>
      <c r="M357" s="15">
        <v>17</v>
      </c>
      <c r="N357" s="15">
        <v>306</v>
      </c>
      <c r="O357" s="9"/>
      <c r="P357" s="10">
        <v>42796.734710648147</v>
      </c>
      <c r="Q357" s="14" t="s">
        <v>1815</v>
      </c>
      <c r="R357" s="14" t="s">
        <v>1816</v>
      </c>
      <c r="S357" s="7" t="s">
        <v>1817</v>
      </c>
      <c r="T357" s="8"/>
      <c r="U357" s="11" t="str">
        <f>HYPERLINK("https://pbs.twimg.com/profile_images/894659016705556480/_CJhwfbx.jpg","View")</f>
        <v>View</v>
      </c>
      <c r="V357" s="8"/>
      <c r="W357" s="8"/>
      <c r="X357" s="8"/>
      <c r="Y357" s="8"/>
      <c r="Z357" s="8"/>
    </row>
    <row r="358" spans="1:26" ht="13.2">
      <c r="A358" s="13">
        <v>44250.716192129628</v>
      </c>
      <c r="B358" s="6" t="str">
        <f>HYPERLINK("https://twitter.com/educabily","@educabily")</f>
        <v>@educabily</v>
      </c>
      <c r="C358" s="14" t="s">
        <v>1818</v>
      </c>
      <c r="D358" s="14" t="s">
        <v>1798</v>
      </c>
      <c r="E358" s="6" t="str">
        <f>HYPERLINK("https://twitter.com/educabily/status/1364246468136218625","1364246468136218625")</f>
        <v>1364246468136218625</v>
      </c>
      <c r="F358" s="14" t="s">
        <v>1051</v>
      </c>
      <c r="G358" s="7" t="s">
        <v>1052</v>
      </c>
      <c r="H358" s="8"/>
      <c r="I358" s="14">
        <v>0</v>
      </c>
      <c r="J358" s="14">
        <v>1</v>
      </c>
      <c r="K358" s="6" t="str">
        <f>HYPERLINK("http://twitter.com/download/android","Twitter for Android")</f>
        <v>Twitter for Android</v>
      </c>
      <c r="L358" s="15">
        <v>92</v>
      </c>
      <c r="M358" s="15">
        <v>117</v>
      </c>
      <c r="N358" s="15">
        <v>1</v>
      </c>
      <c r="O358" s="9"/>
      <c r="P358" s="10">
        <v>43373.445439814815</v>
      </c>
      <c r="Q358" s="14" t="s">
        <v>1819</v>
      </c>
      <c r="R358" s="14" t="s">
        <v>1820</v>
      </c>
      <c r="S358" s="7" t="s">
        <v>1821</v>
      </c>
      <c r="T358" s="8"/>
      <c r="U358" s="11" t="str">
        <f>HYPERLINK("https://pbs.twimg.com/profile_images/1272788636451377152/mo-7OufV.jpg","View")</f>
        <v>View</v>
      </c>
      <c r="V358" s="8"/>
      <c r="W358" s="8"/>
      <c r="X358" s="8"/>
      <c r="Y358" s="8"/>
      <c r="Z358" s="8"/>
    </row>
    <row r="359" spans="1:26" ht="13.2">
      <c r="A359" s="13">
        <v>44250.715995370367</v>
      </c>
      <c r="B359" s="6" t="str">
        <f>HYPERLINK("https://twitter.com/futurefactsnl","@futurefactsnl")</f>
        <v>@futurefactsnl</v>
      </c>
      <c r="C359" s="14" t="s">
        <v>1822</v>
      </c>
      <c r="D359" s="14" t="s">
        <v>1823</v>
      </c>
      <c r="E359" s="6" t="str">
        <f>HYPERLINK("https://twitter.com/futurefactsnl/status/1364246399949430786","1364246399949430786")</f>
        <v>1364246399949430786</v>
      </c>
      <c r="F359" s="7" t="s">
        <v>1824</v>
      </c>
      <c r="G359" s="7" t="s">
        <v>1825</v>
      </c>
      <c r="H359" s="8"/>
      <c r="I359" s="14">
        <v>1</v>
      </c>
      <c r="J359" s="14">
        <v>2</v>
      </c>
      <c r="K359" s="6" t="str">
        <f>HYPERLINK("https://buffer.com","Buffer")</f>
        <v>Buffer</v>
      </c>
      <c r="L359" s="15">
        <v>53</v>
      </c>
      <c r="M359" s="15">
        <v>37</v>
      </c>
      <c r="N359" s="15">
        <v>6</v>
      </c>
      <c r="O359" s="9"/>
      <c r="P359" s="10">
        <v>42171.411527777775</v>
      </c>
      <c r="Q359" s="14" t="s">
        <v>1826</v>
      </c>
      <c r="R359" s="14" t="s">
        <v>1827</v>
      </c>
      <c r="S359" s="7" t="s">
        <v>1828</v>
      </c>
      <c r="T359" s="8"/>
      <c r="U359" s="11" t="str">
        <f>HYPERLINK("https://pbs.twimg.com/profile_images/1350089029283434496/aJfIrJp_.jpg","View")</f>
        <v>View</v>
      </c>
      <c r="V359" s="8"/>
      <c r="W359" s="8"/>
      <c r="X359" s="8"/>
      <c r="Y359" s="8"/>
      <c r="Z359" s="8"/>
    </row>
    <row r="360" spans="1:26" ht="13.2">
      <c r="A360" s="13">
        <v>44250.715949074074</v>
      </c>
      <c r="B360" s="6" t="str">
        <f>HYPERLINK("https://twitter.com/flowrax_x","@flowrax_x")</f>
        <v>@flowrax_x</v>
      </c>
      <c r="C360" s="14" t="s">
        <v>250</v>
      </c>
      <c r="D360" s="14" t="s">
        <v>1829</v>
      </c>
      <c r="E360" s="6" t="str">
        <f>HYPERLINK("https://twitter.com/flowrax_x/status/1364246379619643394","1364246379619643394")</f>
        <v>1364246379619643394</v>
      </c>
      <c r="F360" s="8"/>
      <c r="G360" s="7" t="s">
        <v>1830</v>
      </c>
      <c r="H360" s="8"/>
      <c r="I360" s="14">
        <v>11</v>
      </c>
      <c r="J360" s="14">
        <v>3</v>
      </c>
      <c r="K360" s="6" t="str">
        <f>HYPERLINK("https://www.later.com","LaterMedia")</f>
        <v>LaterMedia</v>
      </c>
      <c r="L360" s="15">
        <v>18</v>
      </c>
      <c r="M360" s="15">
        <v>78</v>
      </c>
      <c r="N360" s="15">
        <v>0</v>
      </c>
      <c r="O360" s="9"/>
      <c r="P360" s="10">
        <v>44238.855486111112</v>
      </c>
      <c r="Q360" s="8"/>
      <c r="R360" s="14" t="s">
        <v>253</v>
      </c>
      <c r="S360" s="7" t="s">
        <v>254</v>
      </c>
      <c r="T360" s="8"/>
      <c r="U360" s="11" t="str">
        <f>HYPERLINK("https://pbs.twimg.com/profile_images/1359948560158978050/uGqG2sUw.jpg","View")</f>
        <v>View</v>
      </c>
      <c r="V360" s="8"/>
      <c r="W360" s="8"/>
      <c r="X360" s="8"/>
      <c r="Y360" s="8"/>
      <c r="Z360" s="8"/>
    </row>
    <row r="361" spans="1:26" ht="13.2">
      <c r="A361" s="13">
        <v>44250.715891203705</v>
      </c>
      <c r="B361" s="6" t="str">
        <f>HYPERLINK("https://twitter.com/Eli_Krumova","@Eli_Krumova")</f>
        <v>@Eli_Krumova</v>
      </c>
      <c r="C361" s="14" t="s">
        <v>947</v>
      </c>
      <c r="D361" s="14" t="s">
        <v>1831</v>
      </c>
      <c r="E361" s="6" t="str">
        <f>HYPERLINK("https://twitter.com/Eli_Krumova/status/1364246361064013826","1364246361064013826")</f>
        <v>1364246361064013826</v>
      </c>
      <c r="F361" s="14" t="s">
        <v>1832</v>
      </c>
      <c r="G361" s="14" t="s">
        <v>1833</v>
      </c>
      <c r="H361" s="8"/>
      <c r="I361" s="14">
        <v>21</v>
      </c>
      <c r="J361" s="14">
        <v>5</v>
      </c>
      <c r="K361" s="6" t="str">
        <f t="shared" ref="K361:K362" si="52">HYPERLINK("https://mobile.twitter.com","Twitter Web App")</f>
        <v>Twitter Web App</v>
      </c>
      <c r="L361" s="15">
        <v>4471</v>
      </c>
      <c r="M361" s="15">
        <v>5001</v>
      </c>
      <c r="N361" s="15">
        <v>79</v>
      </c>
      <c r="O361" s="9"/>
      <c r="P361" s="10">
        <v>41346.597002314811</v>
      </c>
      <c r="Q361" s="14" t="s">
        <v>951</v>
      </c>
      <c r="R361" s="14" t="s">
        <v>952</v>
      </c>
      <c r="S361" s="8"/>
      <c r="T361" s="8"/>
      <c r="U361" s="11" t="str">
        <f>HYPERLINK("https://pbs.twimg.com/profile_images/1361638888427683840/HqNlplM_.jpg","View")</f>
        <v>View</v>
      </c>
      <c r="V361" s="8"/>
      <c r="W361" s="8"/>
      <c r="X361" s="8"/>
      <c r="Y361" s="8"/>
      <c r="Z361" s="8"/>
    </row>
    <row r="362" spans="1:26" ht="13.2">
      <c r="A362" s="13">
        <v>44250.715624999997</v>
      </c>
      <c r="B362" s="6" t="str">
        <f>HYPERLINK("https://twitter.com/Underfox3","@Underfox3")</f>
        <v>@Underfox3</v>
      </c>
      <c r="C362" s="14" t="s">
        <v>1183</v>
      </c>
      <c r="D362" s="14" t="s">
        <v>1834</v>
      </c>
      <c r="E362" s="6" t="str">
        <f>HYPERLINK("https://twitter.com/Underfox3/status/1364246265383550980","1364246265383550980")</f>
        <v>1364246265383550980</v>
      </c>
      <c r="F362" s="7" t="s">
        <v>1835</v>
      </c>
      <c r="G362" s="7" t="s">
        <v>1836</v>
      </c>
      <c r="H362" s="8"/>
      <c r="I362" s="14">
        <v>3</v>
      </c>
      <c r="J362" s="14">
        <v>13</v>
      </c>
      <c r="K362" s="6" t="str">
        <f t="shared" si="52"/>
        <v>Twitter Web App</v>
      </c>
      <c r="L362" s="15">
        <v>3353</v>
      </c>
      <c r="M362" s="15">
        <v>133</v>
      </c>
      <c r="N362" s="15">
        <v>56</v>
      </c>
      <c r="O362" s="9"/>
      <c r="P362" s="10">
        <v>43080.100162037037</v>
      </c>
      <c r="Q362" s="8"/>
      <c r="R362" s="14" t="s">
        <v>1187</v>
      </c>
      <c r="S362" s="8"/>
      <c r="T362" s="8"/>
      <c r="U362" s="11" t="str">
        <f>HYPERLINK("https://pbs.twimg.com/profile_images/1359987733767335948/uw_17A_S.jpg","View")</f>
        <v>View</v>
      </c>
      <c r="V362" s="8"/>
      <c r="W362" s="8"/>
      <c r="X362" s="8"/>
      <c r="Y362" s="8"/>
      <c r="Z362" s="8"/>
    </row>
    <row r="363" spans="1:26" ht="13.2">
      <c r="A363" s="13">
        <v>44250.714953703704</v>
      </c>
      <c r="B363" s="6" t="str">
        <f>HYPERLINK("https://twitter.com/SystemSoft_Tech","@SystemSoft_Tech")</f>
        <v>@SystemSoft_Tech</v>
      </c>
      <c r="C363" s="14" t="s">
        <v>1837</v>
      </c>
      <c r="D363" s="14" t="s">
        <v>1838</v>
      </c>
      <c r="E363" s="6" t="str">
        <f>HYPERLINK("https://twitter.com/SystemSoft_Tech/status/1364246022394937347","1364246022394937347")</f>
        <v>1364246022394937347</v>
      </c>
      <c r="F363" s="7" t="s">
        <v>1839</v>
      </c>
      <c r="G363" s="8"/>
      <c r="H363" s="8"/>
      <c r="I363" s="14">
        <v>0</v>
      </c>
      <c r="J363" s="14">
        <v>1</v>
      </c>
      <c r="K363" s="6" t="str">
        <f>HYPERLINK("http://www.hubspot.com/","HubSpot")</f>
        <v>HubSpot</v>
      </c>
      <c r="L363" s="15">
        <v>241</v>
      </c>
      <c r="M363" s="15">
        <v>181</v>
      </c>
      <c r="N363" s="15">
        <v>5</v>
      </c>
      <c r="O363" s="9"/>
      <c r="P363" s="10">
        <v>42769.7971412037</v>
      </c>
      <c r="Q363" s="14" t="s">
        <v>1840</v>
      </c>
      <c r="R363" s="14" t="s">
        <v>1841</v>
      </c>
      <c r="S363" s="7" t="s">
        <v>1842</v>
      </c>
      <c r="T363" s="8"/>
      <c r="U363" s="11" t="str">
        <f>HYPERLINK("https://pbs.twimg.com/profile_images/1181652509049397255/uWXWIfJK.jpg","View")</f>
        <v>View</v>
      </c>
      <c r="V363" s="8"/>
      <c r="W363" s="8"/>
      <c r="X363" s="8"/>
      <c r="Y363" s="8"/>
      <c r="Z363" s="8"/>
    </row>
    <row r="364" spans="1:26" ht="13.2">
      <c r="A364" s="13">
        <v>44250.714861111112</v>
      </c>
      <c r="B364" s="6" t="str">
        <f>HYPERLINK("https://twitter.com/DLDConference","@DLDConference")</f>
        <v>@DLDConference</v>
      </c>
      <c r="C364" s="14" t="s">
        <v>141</v>
      </c>
      <c r="D364" s="14" t="s">
        <v>1843</v>
      </c>
      <c r="E364" s="6" t="str">
        <f>HYPERLINK("https://twitter.com/DLDConference/status/1364245985782861827","1364245985782861827")</f>
        <v>1364245985782861827</v>
      </c>
      <c r="F364" s="7" t="s">
        <v>143</v>
      </c>
      <c r="G364" s="7" t="s">
        <v>1844</v>
      </c>
      <c r="H364" s="8"/>
      <c r="I364" s="14">
        <v>0</v>
      </c>
      <c r="J364" s="14">
        <v>0</v>
      </c>
      <c r="K364" s="6" t="str">
        <f>HYPERLINK("http://twitter.com/#!/download/ipad","Twitter for iPad")</f>
        <v>Twitter for iPad</v>
      </c>
      <c r="L364" s="15">
        <v>22674</v>
      </c>
      <c r="M364" s="15">
        <v>1830</v>
      </c>
      <c r="N364" s="15">
        <v>850</v>
      </c>
      <c r="O364" s="15" t="s">
        <v>130</v>
      </c>
      <c r="P364" s="10">
        <v>39790.889502314814</v>
      </c>
      <c r="Q364" s="14" t="s">
        <v>145</v>
      </c>
      <c r="R364" s="14" t="s">
        <v>146</v>
      </c>
      <c r="S364" s="7" t="s">
        <v>147</v>
      </c>
      <c r="T364" s="8"/>
      <c r="U364" s="11" t="str">
        <f>HYPERLINK("https://pbs.twimg.com/profile_images/66773901/dld.png","View")</f>
        <v>View</v>
      </c>
      <c r="V364" s="8"/>
      <c r="W364" s="8"/>
      <c r="X364" s="8"/>
      <c r="Y364" s="8"/>
      <c r="Z364" s="8"/>
    </row>
    <row r="365" spans="1:26" ht="13.2">
      <c r="A365" s="13">
        <v>44250.71475694445</v>
      </c>
      <c r="B365" s="6" t="str">
        <f>HYPERLINK("https://twitter.com/amunzel","@amunzel")</f>
        <v>@amunzel</v>
      </c>
      <c r="C365" s="14" t="s">
        <v>1845</v>
      </c>
      <c r="D365" s="14" t="s">
        <v>1846</v>
      </c>
      <c r="E365" s="6" t="str">
        <f>HYPERLINK("https://twitter.com/amunzel/status/1364245949003018244","1364245949003018244")</f>
        <v>1364245949003018244</v>
      </c>
      <c r="F365" s="7" t="s">
        <v>1847</v>
      </c>
      <c r="G365" s="8"/>
      <c r="H365" s="8"/>
      <c r="I365" s="14">
        <v>0</v>
      </c>
      <c r="J365" s="14">
        <v>0</v>
      </c>
      <c r="K365" s="6" t="str">
        <f>HYPERLINK("https://paper.li","Paper.li")</f>
        <v>Paper.li</v>
      </c>
      <c r="L365" s="15">
        <v>1162</v>
      </c>
      <c r="M365" s="15">
        <v>958</v>
      </c>
      <c r="N365" s="15">
        <v>174</v>
      </c>
      <c r="O365" s="9"/>
      <c r="P365" s="10">
        <v>40713.807569444441</v>
      </c>
      <c r="Q365" s="14" t="s">
        <v>1848</v>
      </c>
      <c r="R365" s="14" t="s">
        <v>1849</v>
      </c>
      <c r="S365" s="7" t="s">
        <v>1850</v>
      </c>
      <c r="T365" s="8"/>
      <c r="U365" s="11" t="str">
        <f>HYPERLINK("https://pbs.twimg.com/profile_images/1252735540409118728/2Xj6y2HX.jpg","View")</f>
        <v>View</v>
      </c>
      <c r="V365" s="8"/>
      <c r="W365" s="8"/>
      <c r="X365" s="8"/>
      <c r="Y365" s="8"/>
      <c r="Z365" s="8"/>
    </row>
    <row r="366" spans="1:26" ht="13.2">
      <c r="A366" s="13">
        <v>44250.714722222227</v>
      </c>
      <c r="B366" s="6" t="str">
        <f>HYPERLINK("https://twitter.com/DeftboxSol","@DeftboxSol")</f>
        <v>@DeftboxSol</v>
      </c>
      <c r="C366" s="14" t="s">
        <v>1851</v>
      </c>
      <c r="D366" s="14" t="s">
        <v>1852</v>
      </c>
      <c r="E366" s="6" t="str">
        <f>HYPERLINK("https://twitter.com/DeftboxSol/status/1364245938487758849","1364245938487758849")</f>
        <v>1364245938487758849</v>
      </c>
      <c r="F366" s="8"/>
      <c r="G366" s="7" t="s">
        <v>1853</v>
      </c>
      <c r="H366" s="8"/>
      <c r="I366" s="14">
        <v>2</v>
      </c>
      <c r="J366" s="14">
        <v>0</v>
      </c>
      <c r="K366" s="6" t="str">
        <f>HYPERLINK("https://mobile.twitter.com","Twitter Web App")</f>
        <v>Twitter Web App</v>
      </c>
      <c r="L366" s="15">
        <v>5</v>
      </c>
      <c r="M366" s="15">
        <v>4</v>
      </c>
      <c r="N366" s="15">
        <v>0</v>
      </c>
      <c r="O366" s="9"/>
      <c r="P366" s="10">
        <v>43350.47184027778</v>
      </c>
      <c r="Q366" s="14" t="s">
        <v>1854</v>
      </c>
      <c r="R366" s="14" t="s">
        <v>1855</v>
      </c>
      <c r="S366" s="7" t="s">
        <v>1856</v>
      </c>
      <c r="T366" s="8"/>
      <c r="U366" s="11" t="str">
        <f>HYPERLINK("https://pbs.twimg.com/profile_images/1364199714569154562/Svg3XqLp.jpg","View")</f>
        <v>View</v>
      </c>
      <c r="V366" s="8"/>
      <c r="W366" s="8"/>
      <c r="X366" s="8"/>
      <c r="Y366" s="8"/>
      <c r="Z366" s="8"/>
    </row>
    <row r="367" spans="1:26" ht="13.2">
      <c r="A367" s="13">
        <v>44250.714722222227</v>
      </c>
      <c r="B367" s="6" t="str">
        <f>HYPERLINK("https://twitter.com/helixa_ai","@helixa_ai")</f>
        <v>@helixa_ai</v>
      </c>
      <c r="C367" s="14" t="s">
        <v>1857</v>
      </c>
      <c r="D367" s="14" t="s">
        <v>1858</v>
      </c>
      <c r="E367" s="6" t="str">
        <f>HYPERLINK("https://twitter.com/helixa_ai/status/1364245936428433408","1364245936428433408")</f>
        <v>1364245936428433408</v>
      </c>
      <c r="F367" s="7" t="s">
        <v>1859</v>
      </c>
      <c r="G367" s="8"/>
      <c r="H367" s="8"/>
      <c r="I367" s="14">
        <v>0</v>
      </c>
      <c r="J367" s="14">
        <v>0</v>
      </c>
      <c r="K367" s="6" t="str">
        <f>HYPERLINK("http://www.hubspot.com/","HubSpot")</f>
        <v>HubSpot</v>
      </c>
      <c r="L367" s="15">
        <v>104</v>
      </c>
      <c r="M367" s="15">
        <v>49</v>
      </c>
      <c r="N367" s="15">
        <v>6</v>
      </c>
      <c r="O367" s="9"/>
      <c r="P367" s="10">
        <v>43469.894027777773</v>
      </c>
      <c r="Q367" s="14" t="s">
        <v>215</v>
      </c>
      <c r="R367" s="14" t="s">
        <v>1860</v>
      </c>
      <c r="S367" s="7" t="s">
        <v>1861</v>
      </c>
      <c r="T367" s="8"/>
      <c r="U367" s="11" t="str">
        <f>HYPERLINK("https://pbs.twimg.com/profile_images/1089230577566392321/9_JfYTOI.jpg","View")</f>
        <v>View</v>
      </c>
      <c r="V367" s="8"/>
      <c r="W367" s="8"/>
      <c r="X367" s="8"/>
      <c r="Y367" s="8"/>
      <c r="Z367" s="8"/>
    </row>
    <row r="368" spans="1:26" ht="13.2">
      <c r="A368" s="13">
        <v>44250.714432870373</v>
      </c>
      <c r="B368" s="6" t="str">
        <f>HYPERLINK("https://twitter.com/DrAndreDavid","@DrAndreDavid")</f>
        <v>@DrAndreDavid</v>
      </c>
      <c r="C368" s="14" t="s">
        <v>1862</v>
      </c>
      <c r="D368" s="14" t="s">
        <v>1863</v>
      </c>
      <c r="E368" s="6" t="str">
        <f>HYPERLINK("https://twitter.com/DrAndreDavid/status/1364245830899822619","1364245830899822619")</f>
        <v>1364245830899822619</v>
      </c>
      <c r="F368" s="8"/>
      <c r="G368" s="7" t="s">
        <v>1864</v>
      </c>
      <c r="H368" s="8"/>
      <c r="I368" s="14">
        <v>1</v>
      </c>
      <c r="J368" s="14">
        <v>3</v>
      </c>
      <c r="K368" s="6" t="str">
        <f>HYPERLINK("https://mobile.twitter.com","Twitter Web App")</f>
        <v>Twitter Web App</v>
      </c>
      <c r="L368" s="15">
        <v>3523</v>
      </c>
      <c r="M368" s="15">
        <v>678</v>
      </c>
      <c r="N368" s="15">
        <v>230</v>
      </c>
      <c r="O368" s="15" t="s">
        <v>130</v>
      </c>
      <c r="P368" s="10">
        <v>40573.479861111111</v>
      </c>
      <c r="Q368" s="14" t="s">
        <v>1865</v>
      </c>
      <c r="R368" s="14" t="s">
        <v>1866</v>
      </c>
      <c r="S368" s="7" t="s">
        <v>1867</v>
      </c>
      <c r="T368" s="8"/>
      <c r="U368" s="11" t="str">
        <f>HYPERLINK("https://pbs.twimg.com/profile_images/378800000515656324/7646f6cf93d4ca651b06a8b9ed9934fb.jpeg","View")</f>
        <v>View</v>
      </c>
      <c r="V368" s="8"/>
      <c r="W368" s="8"/>
      <c r="X368" s="8"/>
      <c r="Y368" s="8"/>
      <c r="Z368" s="8"/>
    </row>
    <row r="369" spans="1:26" ht="13.2">
      <c r="A369" s="13">
        <v>44250.71366898148</v>
      </c>
      <c r="B369" s="6" t="str">
        <f>HYPERLINK("https://twitter.com/skyl_ai","@skyl_ai")</f>
        <v>@skyl_ai</v>
      </c>
      <c r="C369" s="7" t="s">
        <v>1868</v>
      </c>
      <c r="D369" s="14" t="s">
        <v>1869</v>
      </c>
      <c r="E369" s="6" t="str">
        <f>HYPERLINK("https://twitter.com/skyl_ai/status/1364245555979964419","1364245555979964419")</f>
        <v>1364245555979964419</v>
      </c>
      <c r="F369" s="7" t="s">
        <v>1870</v>
      </c>
      <c r="G369" s="8"/>
      <c r="H369" s="8"/>
      <c r="I369" s="14">
        <v>0</v>
      </c>
      <c r="J369" s="14">
        <v>0</v>
      </c>
      <c r="K369" s="6" t="str">
        <f>HYPERLINK("http://www.hubspot.com/","HubSpot")</f>
        <v>HubSpot</v>
      </c>
      <c r="L369" s="15">
        <v>115</v>
      </c>
      <c r="M369" s="15">
        <v>438</v>
      </c>
      <c r="N369" s="15">
        <v>3</v>
      </c>
      <c r="O369" s="9"/>
      <c r="P369" s="10">
        <v>43306.194143518514</v>
      </c>
      <c r="Q369" s="14" t="s">
        <v>1871</v>
      </c>
      <c r="R369" s="14" t="s">
        <v>1872</v>
      </c>
      <c r="S369" s="7" t="s">
        <v>1873</v>
      </c>
      <c r="T369" s="8"/>
      <c r="U369" s="11" t="str">
        <f>HYPERLINK("https://pbs.twimg.com/profile_images/1237693976112578562/SCzy1Ap4.jpg","View")</f>
        <v>View</v>
      </c>
      <c r="V369" s="8"/>
      <c r="W369" s="8"/>
      <c r="X369" s="8"/>
      <c r="Y369" s="8"/>
      <c r="Z369" s="8"/>
    </row>
    <row r="370" spans="1:26" ht="13.2">
      <c r="A370" s="13">
        <v>44250.713321759264</v>
      </c>
      <c r="B370" s="6" t="str">
        <f>HYPERLINK("https://twitter.com/DecisionsSmart","@DecisionsSmart")</f>
        <v>@DecisionsSmart</v>
      </c>
      <c r="C370" s="14" t="s">
        <v>212</v>
      </c>
      <c r="D370" s="14" t="s">
        <v>1726</v>
      </c>
      <c r="E370" s="6" t="str">
        <f>HYPERLINK("https://twitter.com/DecisionsSmart/status/1364245430788358145","1364245430788358145")</f>
        <v>1364245430788358145</v>
      </c>
      <c r="F370" s="14" t="s">
        <v>1313</v>
      </c>
      <c r="G370" s="8"/>
      <c r="H370" s="8"/>
      <c r="I370" s="14">
        <v>0</v>
      </c>
      <c r="J370" s="14">
        <v>0</v>
      </c>
      <c r="K370" s="6" t="str">
        <f>HYPERLINK("http://twinybots.com","TwinyBots")</f>
        <v>TwinyBots</v>
      </c>
      <c r="L370" s="15">
        <v>6690</v>
      </c>
      <c r="M370" s="15">
        <v>5126</v>
      </c>
      <c r="N370" s="15">
        <v>88</v>
      </c>
      <c r="O370" s="9"/>
      <c r="P370" s="10">
        <v>43282.143495370372</v>
      </c>
      <c r="Q370" s="14" t="s">
        <v>215</v>
      </c>
      <c r="R370" s="14" t="s">
        <v>216</v>
      </c>
      <c r="S370" s="8"/>
      <c r="T370" s="8"/>
      <c r="U370" s="11" t="str">
        <f>HYPERLINK("https://pbs.twimg.com/profile_images/1273753380373004289/crFq1msz.jpg","View")</f>
        <v>View</v>
      </c>
      <c r="V370" s="8"/>
      <c r="W370" s="8"/>
      <c r="X370" s="8"/>
      <c r="Y370" s="8"/>
      <c r="Z370" s="8"/>
    </row>
    <row r="371" spans="1:26" ht="13.2">
      <c r="A371" s="13">
        <v>44250.713263888887</v>
      </c>
      <c r="B371" s="6" t="str">
        <f>HYPERLINK("https://twitter.com/tjmcnamee","@tjmcnamee")</f>
        <v>@tjmcnamee</v>
      </c>
      <c r="C371" s="14" t="s">
        <v>1874</v>
      </c>
      <c r="D371" s="14" t="s">
        <v>1875</v>
      </c>
      <c r="E371" s="6" t="str">
        <f>HYPERLINK("https://twitter.com/tjmcnamee/status/1364245406444568578","1364245406444568578")</f>
        <v>1364245406444568578</v>
      </c>
      <c r="F371" s="7" t="s">
        <v>1876</v>
      </c>
      <c r="G371" s="7" t="s">
        <v>1877</v>
      </c>
      <c r="H371" s="8"/>
      <c r="I371" s="14">
        <v>0</v>
      </c>
      <c r="J371" s="14">
        <v>0</v>
      </c>
      <c r="K371" s="6" t="str">
        <f>HYPERLINK("http://www.everyonesocial.com","EveryoneSocial")</f>
        <v>EveryoneSocial</v>
      </c>
      <c r="L371" s="15">
        <v>8</v>
      </c>
      <c r="M371" s="15">
        <v>42</v>
      </c>
      <c r="N371" s="15">
        <v>0</v>
      </c>
      <c r="O371" s="9"/>
      <c r="P371" s="10">
        <v>39951.742222222223</v>
      </c>
      <c r="Q371" s="14" t="s">
        <v>1878</v>
      </c>
      <c r="R371" s="8"/>
      <c r="S371" s="8"/>
      <c r="T371" s="8"/>
      <c r="U371" s="15" t="s">
        <v>1879</v>
      </c>
      <c r="V371" s="8"/>
      <c r="W371" s="8"/>
      <c r="X371" s="8"/>
      <c r="Y371" s="8"/>
      <c r="Z371" s="8"/>
    </row>
    <row r="372" spans="1:26" ht="13.2">
      <c r="A372" s="13">
        <v>44250.713229166664</v>
      </c>
      <c r="B372" s="6" t="str">
        <f>HYPERLINK("https://twitter.com/PlainEnglish_io","@PlainEnglish_io")</f>
        <v>@PlainEnglish_io</v>
      </c>
      <c r="C372" s="14" t="s">
        <v>1880</v>
      </c>
      <c r="D372" s="14" t="s">
        <v>1881</v>
      </c>
      <c r="E372" s="6" t="str">
        <f>HYPERLINK("https://twitter.com/PlainEnglish_io/status/1364245394792869894","1364245394792869894")</f>
        <v>1364245394792869894</v>
      </c>
      <c r="F372" s="7" t="s">
        <v>1882</v>
      </c>
      <c r="G372" s="8"/>
      <c r="H372" s="8"/>
      <c r="I372" s="14">
        <v>0</v>
      </c>
      <c r="J372" s="14">
        <v>0</v>
      </c>
      <c r="K372" s="6" t="str">
        <f>HYPERLINK("https://plainenglish.io","In Plain English")</f>
        <v>In Plain English</v>
      </c>
      <c r="L372" s="15">
        <v>356</v>
      </c>
      <c r="M372" s="15">
        <v>112</v>
      </c>
      <c r="N372" s="15">
        <v>6</v>
      </c>
      <c r="O372" s="9"/>
      <c r="P372" s="10">
        <v>43974.857465277775</v>
      </c>
      <c r="Q372" s="14" t="s">
        <v>869</v>
      </c>
      <c r="R372" s="14" t="s">
        <v>1883</v>
      </c>
      <c r="S372" s="7" t="s">
        <v>1884</v>
      </c>
      <c r="T372" s="8"/>
      <c r="U372" s="11" t="str">
        <f>HYPERLINK("https://pbs.twimg.com/profile_images/1359444322039586816/jkyrvt2Q.jpg","View")</f>
        <v>View</v>
      </c>
      <c r="V372" s="8"/>
      <c r="W372" s="8"/>
      <c r="X372" s="8"/>
      <c r="Y372" s="8"/>
      <c r="Z372" s="8"/>
    </row>
    <row r="373" spans="1:26" ht="13.2">
      <c r="A373" s="13">
        <v>44250.711863425924</v>
      </c>
      <c r="B373" s="6" t="str">
        <f>HYPERLINK("https://twitter.com/Datascience__","@Datascience__")</f>
        <v>@Datascience__</v>
      </c>
      <c r="C373" s="14" t="s">
        <v>1082</v>
      </c>
      <c r="D373" s="14" t="s">
        <v>1885</v>
      </c>
      <c r="E373" s="6" t="str">
        <f>HYPERLINK("https://twitter.com/Datascience__/status/1364244899839762433","1364244899839762433")</f>
        <v>1364244899839762433</v>
      </c>
      <c r="F373" s="7" t="s">
        <v>1886</v>
      </c>
      <c r="G373" s="8"/>
      <c r="H373" s="8"/>
      <c r="I373" s="14">
        <v>6</v>
      </c>
      <c r="J373" s="14">
        <v>2</v>
      </c>
      <c r="K373" s="6" t="str">
        <f>HYPERLINK("https://twitter.com/pythonbot_","Postmatico")</f>
        <v>Postmatico</v>
      </c>
      <c r="L373" s="15">
        <v>21499</v>
      </c>
      <c r="M373" s="15">
        <v>11071</v>
      </c>
      <c r="N373" s="15">
        <v>0</v>
      </c>
      <c r="O373" s="9"/>
      <c r="P373" s="10">
        <v>42735.551377314812</v>
      </c>
      <c r="Q373" s="8"/>
      <c r="R373" s="14" t="s">
        <v>1085</v>
      </c>
      <c r="S373" s="7" t="s">
        <v>1086</v>
      </c>
      <c r="T373" s="8"/>
      <c r="U373" s="11" t="str">
        <f>HYPERLINK("https://pbs.twimg.com/profile_images/989066461435097088/AQZSFyuk.jpg","View")</f>
        <v>View</v>
      </c>
      <c r="V373" s="8"/>
      <c r="W373" s="8"/>
      <c r="X373" s="8"/>
      <c r="Y373" s="8"/>
      <c r="Z373" s="8"/>
    </row>
    <row r="374" spans="1:26" ht="13.2">
      <c r="A374" s="13">
        <v>44250.711840277778</v>
      </c>
      <c r="B374" s="6" t="str">
        <f>HYPERLINK("https://twitter.com/InformationAge","@InformationAge")</f>
        <v>@InformationAge</v>
      </c>
      <c r="C374" s="14" t="s">
        <v>1887</v>
      </c>
      <c r="D374" s="14" t="s">
        <v>1888</v>
      </c>
      <c r="E374" s="6" t="str">
        <f>HYPERLINK("https://twitter.com/InformationAge/status/1364244893896503298","1364244893896503298")</f>
        <v>1364244893896503298</v>
      </c>
      <c r="F374" s="7" t="s">
        <v>746</v>
      </c>
      <c r="G374" s="7" t="s">
        <v>1889</v>
      </c>
      <c r="H374" s="8"/>
      <c r="I374" s="14">
        <v>1</v>
      </c>
      <c r="J374" s="14">
        <v>1</v>
      </c>
      <c r="K374" s="6" t="str">
        <f>HYPERLINK("https://www.hootsuite.com","Hootsuite Inc.")</f>
        <v>Hootsuite Inc.</v>
      </c>
      <c r="L374" s="15">
        <v>16633</v>
      </c>
      <c r="M374" s="15">
        <v>872</v>
      </c>
      <c r="N374" s="15">
        <v>1204</v>
      </c>
      <c r="O374" s="9"/>
      <c r="P374" s="10">
        <v>39840.772581018522</v>
      </c>
      <c r="Q374" s="14" t="s">
        <v>1890</v>
      </c>
      <c r="R374" s="14" t="s">
        <v>1891</v>
      </c>
      <c r="S374" s="7" t="s">
        <v>1892</v>
      </c>
      <c r="T374" s="8"/>
      <c r="U374" s="11" t="str">
        <f>HYPERLINK("https://pbs.twimg.com/profile_images/1011189249130057729/NerACf3J.jpg","View")</f>
        <v>View</v>
      </c>
      <c r="V374" s="8"/>
      <c r="W374" s="8"/>
      <c r="X374" s="8"/>
      <c r="Y374" s="8"/>
      <c r="Z374" s="8"/>
    </row>
    <row r="375" spans="1:26" ht="13.2">
      <c r="A375" s="13">
        <v>44250.7112037037</v>
      </c>
      <c r="B375" s="6" t="str">
        <f>HYPERLINK("https://twitter.com/IjyiLtd","@IjyiLtd")</f>
        <v>@IjyiLtd</v>
      </c>
      <c r="C375" s="14" t="s">
        <v>1893</v>
      </c>
      <c r="D375" s="14" t="s">
        <v>1894</v>
      </c>
      <c r="E375" s="6" t="str">
        <f>HYPERLINK("https://twitter.com/IjyiLtd/status/1364244660386996226","1364244660386996226")</f>
        <v>1364244660386996226</v>
      </c>
      <c r="F375" s="7" t="s">
        <v>1895</v>
      </c>
      <c r="G375" s="8"/>
      <c r="H375" s="8"/>
      <c r="I375" s="14">
        <v>3</v>
      </c>
      <c r="J375" s="14">
        <v>2</v>
      </c>
      <c r="K375" s="6" t="str">
        <f>HYPERLINK("https://mobile.twitter.com","Twitter Web App")</f>
        <v>Twitter Web App</v>
      </c>
      <c r="L375" s="15">
        <v>498</v>
      </c>
      <c r="M375" s="15">
        <v>783</v>
      </c>
      <c r="N375" s="15">
        <v>11</v>
      </c>
      <c r="O375" s="9"/>
      <c r="P375" s="10">
        <v>41727.581921296296</v>
      </c>
      <c r="Q375" s="14" t="s">
        <v>1896</v>
      </c>
      <c r="R375" s="14" t="s">
        <v>1897</v>
      </c>
      <c r="S375" s="7" t="s">
        <v>1898</v>
      </c>
      <c r="T375" s="8"/>
      <c r="U375" s="11" t="str">
        <f>HYPERLINK("https://pbs.twimg.com/profile_images/916038398342770691/_KG3pOJm.jpg","View")</f>
        <v>View</v>
      </c>
      <c r="V375" s="8"/>
      <c r="W375" s="8"/>
      <c r="X375" s="8"/>
      <c r="Y375" s="8"/>
      <c r="Z375" s="8"/>
    </row>
    <row r="376" spans="1:26" ht="13.2">
      <c r="A376" s="13">
        <v>44250.711192129631</v>
      </c>
      <c r="B376" s="6" t="str">
        <f>HYPERLINK("https://twitter.com/CodingPers_Bot","@CodingPers_Bot")</f>
        <v>@CodingPers_Bot</v>
      </c>
      <c r="C376" s="14" t="s">
        <v>1899</v>
      </c>
      <c r="D376" s="14" t="s">
        <v>1900</v>
      </c>
      <c r="E376" s="6" t="str">
        <f>HYPERLINK("https://twitter.com/CodingPers_Bot/status/1364244656771502086","1364244656771502086")</f>
        <v>1364244656771502086</v>
      </c>
      <c r="F376" s="7" t="s">
        <v>1901</v>
      </c>
      <c r="G376" s="8"/>
      <c r="H376" s="8"/>
      <c r="I376" s="14">
        <v>2</v>
      </c>
      <c r="J376" s="14">
        <v>0</v>
      </c>
      <c r="K376" s="8"/>
      <c r="L376" s="15">
        <v>7</v>
      </c>
      <c r="M376" s="15">
        <v>1</v>
      </c>
      <c r="N376" s="15">
        <v>0</v>
      </c>
      <c r="O376" s="9"/>
      <c r="P376" s="10">
        <v>44209.357442129629</v>
      </c>
      <c r="Q376" s="8"/>
      <c r="R376" s="14" t="s">
        <v>1902</v>
      </c>
      <c r="S376" s="7" t="s">
        <v>1903</v>
      </c>
      <c r="T376" s="8"/>
      <c r="U376" s="11" t="str">
        <f>HYPERLINK("https://pbs.twimg.com/profile_images/1354492057025449990/GKDFizO-.jpg","View")</f>
        <v>View</v>
      </c>
      <c r="V376" s="8"/>
      <c r="W376" s="8"/>
      <c r="X376" s="8"/>
      <c r="Y376" s="8"/>
      <c r="Z376" s="8"/>
    </row>
    <row r="377" spans="1:26" ht="13.2">
      <c r="A377" s="13">
        <v>44250.711157407408</v>
      </c>
      <c r="B377" s="6" t="str">
        <f>HYPERLINK("https://twitter.com/Deep__AI","@Deep__AI")</f>
        <v>@Deep__AI</v>
      </c>
      <c r="C377" s="14" t="s">
        <v>1904</v>
      </c>
      <c r="D377" s="14" t="s">
        <v>1905</v>
      </c>
      <c r="E377" s="6" t="str">
        <f>HYPERLINK("https://twitter.com/Deep__AI/status/1364244644188446722","1364244644188446722")</f>
        <v>1364244644188446722</v>
      </c>
      <c r="F377" s="7" t="s">
        <v>1906</v>
      </c>
      <c r="G377" s="8"/>
      <c r="H377" s="8"/>
      <c r="I377" s="14">
        <v>8</v>
      </c>
      <c r="J377" s="14">
        <v>11</v>
      </c>
      <c r="K377" s="6" t="str">
        <f>HYPERLINK("https://deepai.org/","DeepAI")</f>
        <v>DeepAI</v>
      </c>
      <c r="L377" s="15">
        <v>36483</v>
      </c>
      <c r="M377" s="15">
        <v>1642</v>
      </c>
      <c r="N377" s="15">
        <v>406</v>
      </c>
      <c r="O377" s="9"/>
      <c r="P377" s="10">
        <v>42826.414039351846</v>
      </c>
      <c r="Q377" s="14" t="s">
        <v>1907</v>
      </c>
      <c r="R377" s="14" t="s">
        <v>1908</v>
      </c>
      <c r="S377" s="7" t="s">
        <v>1909</v>
      </c>
      <c r="T377" s="8"/>
      <c r="U377" s="11" t="str">
        <f>HYPERLINK("https://pbs.twimg.com/profile_images/1118532973203079168/8VTzkyzD.png","View")</f>
        <v>View</v>
      </c>
      <c r="V377" s="8"/>
      <c r="W377" s="8"/>
      <c r="X377" s="8"/>
      <c r="Y377" s="8"/>
      <c r="Z377" s="8"/>
    </row>
    <row r="378" spans="1:26" ht="13.2">
      <c r="A378" s="13">
        <v>44250.710543981477</v>
      </c>
      <c r="B378" s="6" t="str">
        <f>HYPERLINK("https://twitter.com/ANoorTM","@ANoorTM")</f>
        <v>@ANoorTM</v>
      </c>
      <c r="C378" s="14" t="s">
        <v>1720</v>
      </c>
      <c r="D378" s="14" t="s">
        <v>1910</v>
      </c>
      <c r="E378" s="6" t="str">
        <f>HYPERLINK("https://twitter.com/ANoorTM/status/1364244424486658051","1364244424486658051")</f>
        <v>1364244424486658051</v>
      </c>
      <c r="F378" s="8"/>
      <c r="G378" s="7" t="s">
        <v>1911</v>
      </c>
      <c r="H378" s="8"/>
      <c r="I378" s="14">
        <v>4</v>
      </c>
      <c r="J378" s="14">
        <v>1</v>
      </c>
      <c r="K378" s="6" t="str">
        <f t="shared" ref="K378:K380" si="53">HYPERLINK("https://mobile.twitter.com","Twitter Web App")</f>
        <v>Twitter Web App</v>
      </c>
      <c r="L378" s="15">
        <v>115</v>
      </c>
      <c r="M378" s="15">
        <v>396</v>
      </c>
      <c r="N378" s="15">
        <v>0</v>
      </c>
      <c r="O378" s="9"/>
      <c r="P378" s="10">
        <v>41609.607916666668</v>
      </c>
      <c r="Q378" s="14" t="s">
        <v>1722</v>
      </c>
      <c r="R378" s="14" t="s">
        <v>1723</v>
      </c>
      <c r="S378" s="7" t="s">
        <v>1724</v>
      </c>
      <c r="T378" s="8"/>
      <c r="U378" s="11" t="str">
        <f>HYPERLINK("https://pbs.twimg.com/profile_images/1360847327636955136/AMGDy86d.jpg","View")</f>
        <v>View</v>
      </c>
      <c r="V378" s="8"/>
      <c r="W378" s="8"/>
      <c r="X378" s="8"/>
      <c r="Y378" s="8"/>
      <c r="Z378" s="8"/>
    </row>
    <row r="379" spans="1:26" ht="13.2">
      <c r="A379" s="13">
        <v>44250.710011574076</v>
      </c>
      <c r="B379" s="6" t="str">
        <f>HYPERLINK("https://twitter.com/WeAreJADBio","@WeAreJADBio")</f>
        <v>@WeAreJADBio</v>
      </c>
      <c r="C379" s="14" t="s">
        <v>1912</v>
      </c>
      <c r="D379" s="14" t="s">
        <v>1913</v>
      </c>
      <c r="E379" s="6" t="str">
        <f>HYPERLINK("https://twitter.com/WeAreJADBio/status/1364244231796178946","1364244231796178946")</f>
        <v>1364244231796178946</v>
      </c>
      <c r="F379" s="7" t="s">
        <v>1914</v>
      </c>
      <c r="G379" s="8"/>
      <c r="H379" s="8"/>
      <c r="I379" s="14">
        <v>0</v>
      </c>
      <c r="J379" s="14">
        <v>1</v>
      </c>
      <c r="K379" s="6" t="str">
        <f t="shared" si="53"/>
        <v>Twitter Web App</v>
      </c>
      <c r="L379" s="15">
        <v>114</v>
      </c>
      <c r="M379" s="15">
        <v>545</v>
      </c>
      <c r="N379" s="15">
        <v>0</v>
      </c>
      <c r="O379" s="9"/>
      <c r="P379" s="10">
        <v>44018.772951388892</v>
      </c>
      <c r="Q379" s="14" t="s">
        <v>138</v>
      </c>
      <c r="R379" s="14" t="s">
        <v>1915</v>
      </c>
      <c r="S379" s="7" t="s">
        <v>1916</v>
      </c>
      <c r="T379" s="8"/>
      <c r="U379" s="11" t="str">
        <f>HYPERLINK("https://pbs.twimg.com/profile_images/1280179766964957186/pLxHxO-l.jpg","View")</f>
        <v>View</v>
      </c>
      <c r="V379" s="8"/>
      <c r="W379" s="8"/>
      <c r="X379" s="8"/>
      <c r="Y379" s="8"/>
      <c r="Z379" s="8"/>
    </row>
    <row r="380" spans="1:26" ht="13.2">
      <c r="A380" s="13">
        <v>44250.709988425922</v>
      </c>
      <c r="B380" s="6" t="str">
        <f>HYPERLINK("https://twitter.com/Eli_Krumova","@Eli_Krumova")</f>
        <v>@Eli_Krumova</v>
      </c>
      <c r="C380" s="14" t="s">
        <v>947</v>
      </c>
      <c r="D380" s="14" t="s">
        <v>1917</v>
      </c>
      <c r="E380" s="6" t="str">
        <f>HYPERLINK("https://twitter.com/Eli_Krumova/status/1364244222514192393","1364244222514192393")</f>
        <v>1364244222514192393</v>
      </c>
      <c r="F380" s="14" t="s">
        <v>1918</v>
      </c>
      <c r="G380" s="14" t="s">
        <v>1919</v>
      </c>
      <c r="H380" s="8"/>
      <c r="I380" s="14">
        <v>15</v>
      </c>
      <c r="J380" s="14">
        <v>5</v>
      </c>
      <c r="K380" s="6" t="str">
        <f t="shared" si="53"/>
        <v>Twitter Web App</v>
      </c>
      <c r="L380" s="15">
        <v>4471</v>
      </c>
      <c r="M380" s="15">
        <v>5001</v>
      </c>
      <c r="N380" s="15">
        <v>79</v>
      </c>
      <c r="O380" s="9"/>
      <c r="P380" s="10">
        <v>41346.597002314811</v>
      </c>
      <c r="Q380" s="14" t="s">
        <v>951</v>
      </c>
      <c r="R380" s="14" t="s">
        <v>952</v>
      </c>
      <c r="S380" s="8"/>
      <c r="T380" s="8"/>
      <c r="U380" s="11" t="str">
        <f>HYPERLINK("https://pbs.twimg.com/profile_images/1361638888427683840/HqNlplM_.jpg","View")</f>
        <v>View</v>
      </c>
      <c r="V380" s="8"/>
      <c r="W380" s="8"/>
      <c r="X380" s="8"/>
      <c r="Y380" s="8"/>
      <c r="Z380" s="8"/>
    </row>
    <row r="381" spans="1:26" ht="13.2">
      <c r="A381" s="13">
        <v>44250.709293981483</v>
      </c>
      <c r="B381" s="6" t="str">
        <f>HYPERLINK("https://twitter.com/dat4mente","@dat4mente")</f>
        <v>@dat4mente</v>
      </c>
      <c r="C381" s="14" t="s">
        <v>1920</v>
      </c>
      <c r="D381" s="14" t="s">
        <v>1921</v>
      </c>
      <c r="E381" s="6" t="str">
        <f>HYPERLINK("https://twitter.com/dat4mente/status/1364243971640332293","1364243971640332293")</f>
        <v>1364243971640332293</v>
      </c>
      <c r="F381" s="7" t="s">
        <v>1922</v>
      </c>
      <c r="G381" s="7" t="s">
        <v>1923</v>
      </c>
      <c r="H381" s="8"/>
      <c r="I381" s="14">
        <v>1</v>
      </c>
      <c r="J381" s="14">
        <v>1</v>
      </c>
      <c r="K381" s="6" t="str">
        <f t="shared" ref="K381:K383" si="54">HYPERLINK("https://www.hootsuite.com","Hootsuite Inc.")</f>
        <v>Hootsuite Inc.</v>
      </c>
      <c r="L381" s="15">
        <v>94</v>
      </c>
      <c r="M381" s="15">
        <v>25</v>
      </c>
      <c r="N381" s="15">
        <v>3</v>
      </c>
      <c r="O381" s="9"/>
      <c r="P381" s="10">
        <v>43235.83012731481</v>
      </c>
      <c r="Q381" s="14" t="s">
        <v>75</v>
      </c>
      <c r="R381" s="14" t="s">
        <v>1924</v>
      </c>
      <c r="S381" s="7" t="s">
        <v>1925</v>
      </c>
      <c r="T381" s="8"/>
      <c r="U381" s="11" t="str">
        <f>HYPERLINK("https://pbs.twimg.com/profile_images/996459359327670272/9kPxpRLS.jpg","View")</f>
        <v>View</v>
      </c>
      <c r="V381" s="8"/>
      <c r="W381" s="8"/>
      <c r="X381" s="8"/>
      <c r="Y381" s="8"/>
      <c r="Z381" s="8"/>
    </row>
    <row r="382" spans="1:26" ht="13.2">
      <c r="A382" s="13">
        <v>44250.70925925926</v>
      </c>
      <c r="B382" s="6" t="str">
        <f>HYPERLINK("https://twitter.com/MatthewRenze","@MatthewRenze")</f>
        <v>@MatthewRenze</v>
      </c>
      <c r="C382" s="14" t="s">
        <v>1926</v>
      </c>
      <c r="D382" s="14" t="s">
        <v>1927</v>
      </c>
      <c r="E382" s="6" t="str">
        <f>HYPERLINK("https://twitter.com/MatthewRenze/status/1364243957438382086","1364243957438382086")</f>
        <v>1364243957438382086</v>
      </c>
      <c r="F382" s="7" t="s">
        <v>1928</v>
      </c>
      <c r="G382" s="8"/>
      <c r="H382" s="8"/>
      <c r="I382" s="14">
        <v>0</v>
      </c>
      <c r="J382" s="14">
        <v>1</v>
      </c>
      <c r="K382" s="6" t="str">
        <f t="shared" si="54"/>
        <v>Hootsuite Inc.</v>
      </c>
      <c r="L382" s="15">
        <v>2431</v>
      </c>
      <c r="M382" s="15">
        <v>435</v>
      </c>
      <c r="N382" s="15">
        <v>88</v>
      </c>
      <c r="O382" s="9"/>
      <c r="P382" s="10">
        <v>40071.184849537036</v>
      </c>
      <c r="Q382" s="14" t="s">
        <v>1929</v>
      </c>
      <c r="R382" s="14" t="s">
        <v>1930</v>
      </c>
      <c r="S382" s="7" t="s">
        <v>1931</v>
      </c>
      <c r="T382" s="8"/>
      <c r="U382" s="11" t="str">
        <f>HYPERLINK("https://pbs.twimg.com/profile_images/608438312173453315/jO9hPL0e.jpg","View")</f>
        <v>View</v>
      </c>
      <c r="V382" s="8"/>
      <c r="W382" s="8"/>
      <c r="X382" s="8"/>
      <c r="Y382" s="8"/>
      <c r="Z382" s="8"/>
    </row>
    <row r="383" spans="1:26" ht="13.2">
      <c r="A383" s="13">
        <v>44250.709189814814</v>
      </c>
      <c r="B383" s="6" t="str">
        <f>HYPERLINK("https://twitter.com/arjenvanberkum","@arjenvanberkum")</f>
        <v>@arjenvanberkum</v>
      </c>
      <c r="C383" s="14" t="s">
        <v>1932</v>
      </c>
      <c r="D383" s="14" t="s">
        <v>1933</v>
      </c>
      <c r="E383" s="6" t="str">
        <f>HYPERLINK("https://twitter.com/arjenvanberkum/status/1364243933841281029","1364243933841281029")</f>
        <v>1364243933841281029</v>
      </c>
      <c r="F383" s="7" t="s">
        <v>1934</v>
      </c>
      <c r="G383" s="8"/>
      <c r="H383" s="8"/>
      <c r="I383" s="14">
        <v>2</v>
      </c>
      <c r="J383" s="14">
        <v>0</v>
      </c>
      <c r="K383" s="6" t="str">
        <f t="shared" si="54"/>
        <v>Hootsuite Inc.</v>
      </c>
      <c r="L383" s="15">
        <v>35525</v>
      </c>
      <c r="M383" s="15">
        <v>25582</v>
      </c>
      <c r="N383" s="15">
        <v>2679</v>
      </c>
      <c r="O383" s="9"/>
      <c r="P383" s="10">
        <v>40000.924085648148</v>
      </c>
      <c r="Q383" s="14" t="s">
        <v>1935</v>
      </c>
      <c r="R383" s="14" t="s">
        <v>1936</v>
      </c>
      <c r="S383" s="7" t="s">
        <v>1937</v>
      </c>
      <c r="T383" s="8"/>
      <c r="U383" s="11" t="str">
        <f>HYPERLINK("https://pbs.twimg.com/profile_images/627125933800075264/gtLxqzzN.jpg","View")</f>
        <v>View</v>
      </c>
      <c r="V383" s="8"/>
      <c r="W383" s="8"/>
      <c r="X383" s="8"/>
      <c r="Y383" s="8"/>
      <c r="Z383" s="8"/>
    </row>
    <row r="384" spans="1:26" ht="13.2">
      <c r="A384" s="13">
        <v>44250.708923611106</v>
      </c>
      <c r="B384" s="6" t="str">
        <f>HYPERLINK("https://twitter.com/GARP_Risk","@GARP_Risk")</f>
        <v>@GARP_Risk</v>
      </c>
      <c r="C384" s="14" t="s">
        <v>1476</v>
      </c>
      <c r="D384" s="14" t="s">
        <v>1938</v>
      </c>
      <c r="E384" s="6" t="str">
        <f>HYPERLINK("https://twitter.com/GARP_Risk/status/1364243835916865545","1364243835916865545")</f>
        <v>1364243835916865545</v>
      </c>
      <c r="F384" s="8"/>
      <c r="G384" s="7" t="s">
        <v>1198</v>
      </c>
      <c r="H384" s="8"/>
      <c r="I384" s="14">
        <v>1</v>
      </c>
      <c r="J384" s="14">
        <v>1</v>
      </c>
      <c r="K384" s="6" t="str">
        <f>HYPERLINK("https://sproutsocial.com","Sprout Social")</f>
        <v>Sprout Social</v>
      </c>
      <c r="L384" s="15">
        <v>14543</v>
      </c>
      <c r="M384" s="15">
        <v>381</v>
      </c>
      <c r="N384" s="15">
        <v>271</v>
      </c>
      <c r="O384" s="15" t="s">
        <v>130</v>
      </c>
      <c r="P384" s="10">
        <v>40612.937372685185</v>
      </c>
      <c r="Q384" s="14" t="s">
        <v>650</v>
      </c>
      <c r="R384" s="14" t="s">
        <v>1479</v>
      </c>
      <c r="S384" s="7" t="s">
        <v>1480</v>
      </c>
      <c r="T384" s="8"/>
      <c r="U384" s="11" t="str">
        <f>HYPERLINK("https://pbs.twimg.com/profile_images/1190276531542724608/1boVdwID.png","View")</f>
        <v>View</v>
      </c>
      <c r="V384" s="8"/>
      <c r="W384" s="8"/>
      <c r="X384" s="8"/>
      <c r="Y384" s="8"/>
      <c r="Z384" s="8"/>
    </row>
    <row r="385" spans="1:26" ht="13.2">
      <c r="A385" s="13">
        <v>44250.708773148144</v>
      </c>
      <c r="B385" s="6" t="str">
        <f>HYPERLINK("https://twitter.com/puneetjindalisb","@puneetjindalisb")</f>
        <v>@puneetjindalisb</v>
      </c>
      <c r="C385" s="14" t="s">
        <v>1939</v>
      </c>
      <c r="D385" s="14" t="s">
        <v>1940</v>
      </c>
      <c r="E385" s="6" t="str">
        <f>HYPERLINK("https://twitter.com/puneetjindalisb/status/1364243781248286727","1364243781248286727")</f>
        <v>1364243781248286727</v>
      </c>
      <c r="F385" s="7" t="s">
        <v>1941</v>
      </c>
      <c r="G385" s="8"/>
      <c r="H385" s="8"/>
      <c r="I385" s="14">
        <v>0</v>
      </c>
      <c r="J385" s="14">
        <v>0</v>
      </c>
      <c r="K385" s="6" t="str">
        <f>HYPERLINK("https://www.hootsuite.com","Hootsuite Inc.")</f>
        <v>Hootsuite Inc.</v>
      </c>
      <c r="L385" s="15">
        <v>147</v>
      </c>
      <c r="M385" s="15">
        <v>679</v>
      </c>
      <c r="N385" s="15">
        <v>0</v>
      </c>
      <c r="O385" s="9"/>
      <c r="P385" s="10">
        <v>41914.419953703706</v>
      </c>
      <c r="Q385" s="14" t="s">
        <v>1942</v>
      </c>
      <c r="R385" s="14" t="s">
        <v>1943</v>
      </c>
      <c r="S385" s="7" t="s">
        <v>1944</v>
      </c>
      <c r="T385" s="8"/>
      <c r="U385" s="11" t="str">
        <f>HYPERLINK("https://pbs.twimg.com/profile_images/769884625221013504/vHbz4Mwc.jpg","View")</f>
        <v>View</v>
      </c>
      <c r="V385" s="8"/>
      <c r="W385" s="8"/>
      <c r="X385" s="8"/>
      <c r="Y385" s="8"/>
      <c r="Z385" s="8"/>
    </row>
    <row r="386" spans="1:26" ht="13.2">
      <c r="A386" s="13">
        <v>44250.708715277782</v>
      </c>
      <c r="B386" s="6" t="str">
        <f>HYPERLINK("https://twitter.com/techjunkiejh","@techjunkiejh")</f>
        <v>@techjunkiejh</v>
      </c>
      <c r="C386" s="14" t="s">
        <v>1945</v>
      </c>
      <c r="D386" s="14" t="s">
        <v>1946</v>
      </c>
      <c r="E386" s="6" t="str">
        <f>HYPERLINK("https://twitter.com/techjunkiejh/status/1364243760129990662","1364243760129990662")</f>
        <v>1364243760129990662</v>
      </c>
      <c r="F386" s="7" t="s">
        <v>1947</v>
      </c>
      <c r="G386" s="7" t="s">
        <v>1948</v>
      </c>
      <c r="H386" s="8"/>
      <c r="I386" s="14">
        <v>3</v>
      </c>
      <c r="J386" s="14">
        <v>0</v>
      </c>
      <c r="K386" s="6" t="str">
        <f>HYPERLINK("https://buffer.com","Buffer")</f>
        <v>Buffer</v>
      </c>
      <c r="L386" s="15">
        <v>28541</v>
      </c>
      <c r="M386" s="15">
        <v>22044</v>
      </c>
      <c r="N386" s="15">
        <v>6147</v>
      </c>
      <c r="O386" s="9"/>
      <c r="P386" s="10">
        <v>42062.082199074073</v>
      </c>
      <c r="Q386" s="8"/>
      <c r="R386" s="14" t="s">
        <v>1949</v>
      </c>
      <c r="S386" s="7" t="s">
        <v>1950</v>
      </c>
      <c r="T386" s="8"/>
      <c r="U386" s="11" t="str">
        <f>HYPERLINK("https://pbs.twimg.com/profile_images/587160065536299009/9MBFPj6a.png","View")</f>
        <v>View</v>
      </c>
      <c r="V386" s="8"/>
      <c r="W386" s="8"/>
      <c r="X386" s="8"/>
      <c r="Y386" s="8"/>
      <c r="Z386" s="8"/>
    </row>
    <row r="387" spans="1:26" ht="13.2">
      <c r="A387" s="13">
        <v>44250.708703703705</v>
      </c>
      <c r="B387" s="6" t="str">
        <f>HYPERLINK("https://twitter.com/VerticaUnified","@VerticaUnified")</f>
        <v>@VerticaUnified</v>
      </c>
      <c r="C387" s="14" t="s">
        <v>1951</v>
      </c>
      <c r="D387" s="14" t="s">
        <v>1952</v>
      </c>
      <c r="E387" s="6" t="str">
        <f>HYPERLINK("https://twitter.com/VerticaUnified/status/1364243753960148994","1364243753960148994")</f>
        <v>1364243753960148994</v>
      </c>
      <c r="F387" s="7" t="s">
        <v>1953</v>
      </c>
      <c r="G387" s="8"/>
      <c r="H387" s="8"/>
      <c r="I387" s="14">
        <v>0</v>
      </c>
      <c r="J387" s="14">
        <v>1</v>
      </c>
      <c r="K387" s="6" t="str">
        <f>HYPERLINK("http://www.everyonesocial.com","EveryoneSocial")</f>
        <v>EveryoneSocial</v>
      </c>
      <c r="L387" s="15">
        <v>13071</v>
      </c>
      <c r="M387" s="15">
        <v>1904</v>
      </c>
      <c r="N387" s="15">
        <v>804</v>
      </c>
      <c r="O387" s="9"/>
      <c r="P387" s="10">
        <v>40372.775439814817</v>
      </c>
      <c r="Q387" s="14" t="s">
        <v>221</v>
      </c>
      <c r="R387" s="14" t="s">
        <v>1954</v>
      </c>
      <c r="S387" s="7" t="s">
        <v>1955</v>
      </c>
      <c r="T387" s="8"/>
      <c r="U387" s="11" t="str">
        <f>HYPERLINK("https://pbs.twimg.com/profile_images/1007732969157480448/ZFjB1nl1.jpg","View")</f>
        <v>View</v>
      </c>
      <c r="V387" s="8"/>
      <c r="W387" s="8"/>
      <c r="X387" s="8"/>
      <c r="Y387" s="8"/>
      <c r="Z387" s="8"/>
    </row>
    <row r="388" spans="1:26" ht="13.2">
      <c r="A388" s="13">
        <v>44250.708611111113</v>
      </c>
      <c r="B388" s="6" t="str">
        <f>HYPERLINK("https://twitter.com/Deep_In_Depth","@Deep_In_Depth")</f>
        <v>@Deep_In_Depth</v>
      </c>
      <c r="C388" s="14" t="s">
        <v>312</v>
      </c>
      <c r="D388" s="14" t="s">
        <v>1956</v>
      </c>
      <c r="E388" s="6" t="str">
        <f>HYPERLINK("https://twitter.com/Deep_In_Depth/status/1364243721265569799","1364243721265569799")</f>
        <v>1364243721265569799</v>
      </c>
      <c r="F388" s="14" t="s">
        <v>1957</v>
      </c>
      <c r="G388" s="8"/>
      <c r="H388" s="8"/>
      <c r="I388" s="14">
        <v>4</v>
      </c>
      <c r="J388" s="14">
        <v>3</v>
      </c>
      <c r="K388" s="6" t="str">
        <f>HYPERLINK("https://buffer.com","Buffer")</f>
        <v>Buffer</v>
      </c>
      <c r="L388" s="15">
        <v>10954</v>
      </c>
      <c r="M388" s="15">
        <v>9176</v>
      </c>
      <c r="N388" s="15">
        <v>159</v>
      </c>
      <c r="O388" s="9"/>
      <c r="P388" s="10">
        <v>42864.439525462964</v>
      </c>
      <c r="Q388" s="14" t="s">
        <v>315</v>
      </c>
      <c r="R388" s="14" t="s">
        <v>316</v>
      </c>
      <c r="S388" s="7" t="s">
        <v>317</v>
      </c>
      <c r="T388" s="8"/>
      <c r="U388" s="11" t="str">
        <f>HYPERLINK("https://pbs.twimg.com/profile_images/861866967493431296/PIjaSD4g.jpg","View")</f>
        <v>View</v>
      </c>
      <c r="V388" s="8"/>
      <c r="W388" s="8"/>
      <c r="X388" s="8"/>
      <c r="Y388" s="8"/>
      <c r="Z388" s="8"/>
    </row>
    <row r="389" spans="1:26" ht="13.2">
      <c r="A389" s="13">
        <v>44250.708483796298</v>
      </c>
      <c r="B389" s="6" t="str">
        <f>HYPERLINK("https://twitter.com/ipfconline1","@ipfconline1")</f>
        <v>@ipfconline1</v>
      </c>
      <c r="C389" s="14" t="s">
        <v>65</v>
      </c>
      <c r="D389" s="14" t="s">
        <v>1958</v>
      </c>
      <c r="E389" s="6" t="str">
        <f>HYPERLINK("https://twitter.com/ipfconline1/status/1364243676914974723","1364243676914974723")</f>
        <v>1364243676914974723</v>
      </c>
      <c r="F389" s="7" t="s">
        <v>1959</v>
      </c>
      <c r="G389" s="7" t="s">
        <v>1960</v>
      </c>
      <c r="H389" s="8"/>
      <c r="I389" s="14">
        <v>14</v>
      </c>
      <c r="J389" s="14">
        <v>14</v>
      </c>
      <c r="K389" s="6" t="str">
        <f t="shared" ref="K389:K390" si="55">HYPERLINK("https://twittimer.com","Twittimer")</f>
        <v>Twittimer</v>
      </c>
      <c r="L389" s="15">
        <v>112675</v>
      </c>
      <c r="M389" s="15">
        <v>107162</v>
      </c>
      <c r="N389" s="15">
        <v>7806</v>
      </c>
      <c r="O389" s="9"/>
      <c r="P389" s="10">
        <v>42433.031967592593</v>
      </c>
      <c r="Q389" s="14" t="s">
        <v>69</v>
      </c>
      <c r="R389" s="14" t="s">
        <v>70</v>
      </c>
      <c r="S389" s="7" t="s">
        <v>71</v>
      </c>
      <c r="T389" s="8"/>
      <c r="U389" s="11" t="str">
        <f>HYPERLINK("https://pbs.twimg.com/profile_images/729065804004769793/St2_Pum9.jpg","View")</f>
        <v>View</v>
      </c>
      <c r="V389" s="8"/>
      <c r="W389" s="8"/>
      <c r="X389" s="8"/>
      <c r="Y389" s="8"/>
      <c r="Z389" s="8"/>
    </row>
    <row r="390" spans="1:26" ht="13.2">
      <c r="A390" s="13">
        <v>44250.708472222221</v>
      </c>
      <c r="B390" s="6" t="str">
        <f>HYPERLINK("https://twitter.com/themlguru","@themlguru")</f>
        <v>@themlguru</v>
      </c>
      <c r="C390" s="14" t="s">
        <v>362</v>
      </c>
      <c r="D390" s="14" t="s">
        <v>1961</v>
      </c>
      <c r="E390" s="6" t="str">
        <f>HYPERLINK("https://twitter.com/themlguru/status/1364243672531931138","1364243672531931138")</f>
        <v>1364243672531931138</v>
      </c>
      <c r="F390" s="8"/>
      <c r="G390" s="8"/>
      <c r="H390" s="8"/>
      <c r="I390" s="14">
        <v>0</v>
      </c>
      <c r="J390" s="14">
        <v>1</v>
      </c>
      <c r="K390" s="6" t="str">
        <f t="shared" si="55"/>
        <v>Twittimer</v>
      </c>
      <c r="L390" s="15">
        <v>10</v>
      </c>
      <c r="M390" s="15">
        <v>33</v>
      </c>
      <c r="N390" s="15">
        <v>0</v>
      </c>
      <c r="O390" s="9"/>
      <c r="P390" s="10">
        <v>44242.188148148147</v>
      </c>
      <c r="Q390" s="14" t="s">
        <v>364</v>
      </c>
      <c r="R390" s="8"/>
      <c r="S390" s="8"/>
      <c r="T390" s="8"/>
      <c r="U390" s="11" t="str">
        <f>HYPERLINK("https://pbs.twimg.com/profile_images/1361967087623700484/-6UQQ_sZ.jpg","View")</f>
        <v>View</v>
      </c>
      <c r="V390" s="8"/>
      <c r="W390" s="8"/>
      <c r="X390" s="8"/>
      <c r="Y390" s="8"/>
      <c r="Z390" s="8"/>
    </row>
    <row r="391" spans="1:26" ht="13.2">
      <c r="A391" s="13">
        <v>44250.708437499998</v>
      </c>
      <c r="B391" s="6" t="str">
        <f>HYPERLINK("https://twitter.com/AustraliaAi","@AustraliaAi")</f>
        <v>@AustraliaAi</v>
      </c>
      <c r="C391" s="14" t="s">
        <v>1962</v>
      </c>
      <c r="D391" s="14" t="s">
        <v>1963</v>
      </c>
      <c r="E391" s="6" t="str">
        <f>HYPERLINK("https://twitter.com/AustraliaAi/status/1364243657524719618","1364243657524719618")</f>
        <v>1364243657524719618</v>
      </c>
      <c r="F391" s="8"/>
      <c r="G391" s="7" t="s">
        <v>1964</v>
      </c>
      <c r="H391" s="8"/>
      <c r="I391" s="14">
        <v>2</v>
      </c>
      <c r="J391" s="14">
        <v>2</v>
      </c>
      <c r="K391" s="6" t="str">
        <f>HYPERLINK("https://app.sendible.com","Sendible")</f>
        <v>Sendible</v>
      </c>
      <c r="L391" s="15">
        <v>372</v>
      </c>
      <c r="M391" s="15">
        <v>156</v>
      </c>
      <c r="N391" s="15">
        <v>15</v>
      </c>
      <c r="O391" s="9"/>
      <c r="P391" s="10">
        <v>43238.426400462966</v>
      </c>
      <c r="Q391" s="14" t="s">
        <v>1965</v>
      </c>
      <c r="R391" s="14" t="s">
        <v>1966</v>
      </c>
      <c r="S391" s="7" t="s">
        <v>1967</v>
      </c>
      <c r="T391" s="8"/>
      <c r="U391" s="11" t="str">
        <f>HYPERLINK("https://pbs.twimg.com/profile_images/997395542169694208/C8IypA30.jpg","View")</f>
        <v>View</v>
      </c>
      <c r="V391" s="8"/>
      <c r="W391" s="8"/>
      <c r="X391" s="8"/>
      <c r="Y391" s="8"/>
      <c r="Z391" s="8"/>
    </row>
    <row r="392" spans="1:26" ht="13.2">
      <c r="A392" s="13">
        <v>44250.708344907413</v>
      </c>
      <c r="B392" s="6" t="str">
        <f>HYPERLINK("https://twitter.com/FreeHipwee","@FreeHipwee")</f>
        <v>@FreeHipwee</v>
      </c>
      <c r="C392" s="14" t="s">
        <v>1968</v>
      </c>
      <c r="D392" s="14" t="s">
        <v>1969</v>
      </c>
      <c r="E392" s="6" t="str">
        <f>HYPERLINK("https://twitter.com/FreeHipwee/status/1364243625098567681","1364243625098567681")</f>
        <v>1364243625098567681</v>
      </c>
      <c r="F392" s="7" t="s">
        <v>1970</v>
      </c>
      <c r="G392" s="8"/>
      <c r="H392" s="8"/>
      <c r="I392" s="14">
        <v>11</v>
      </c>
      <c r="J392" s="14">
        <v>1</v>
      </c>
      <c r="K392" s="6" t="str">
        <f t="shared" ref="K392:K393" si="56">HYPERLINK("https://about.twitter.com/products/tweetdeck","TweetDeck")</f>
        <v>TweetDeck</v>
      </c>
      <c r="L392" s="15">
        <v>444</v>
      </c>
      <c r="M392" s="15">
        <v>152</v>
      </c>
      <c r="N392" s="15">
        <v>7</v>
      </c>
      <c r="O392" s="9"/>
      <c r="P392" s="10">
        <v>43642.24018518519</v>
      </c>
      <c r="Q392" s="8"/>
      <c r="R392" s="14" t="s">
        <v>1971</v>
      </c>
      <c r="S392" s="8"/>
      <c r="T392" s="8"/>
      <c r="U392" s="11" t="str">
        <f>HYPERLINK("https://pbs.twimg.com/profile_images/1143734724977762304/i9HNUbp4.png","View")</f>
        <v>View</v>
      </c>
      <c r="V392" s="8"/>
      <c r="W392" s="8"/>
      <c r="X392" s="8"/>
      <c r="Y392" s="8"/>
      <c r="Z392" s="8"/>
    </row>
    <row r="393" spans="1:26" ht="13.2">
      <c r="A393" s="13">
        <v>44250.708333333328</v>
      </c>
      <c r="B393" s="6" t="str">
        <f>HYPERLINK("https://twitter.com/fishinnovation","@fishinnovation")</f>
        <v>@fishinnovation</v>
      </c>
      <c r="C393" s="14" t="s">
        <v>1972</v>
      </c>
      <c r="D393" s="14" t="s">
        <v>1973</v>
      </c>
      <c r="E393" s="6" t="str">
        <f>HYPERLINK("https://twitter.com/fishinnovation/status/1364243623127228416","1364243623127228416")</f>
        <v>1364243623127228416</v>
      </c>
      <c r="F393" s="7" t="s">
        <v>1974</v>
      </c>
      <c r="G393" s="7" t="s">
        <v>1975</v>
      </c>
      <c r="H393" s="8"/>
      <c r="I393" s="14">
        <v>2</v>
      </c>
      <c r="J393" s="14">
        <v>7</v>
      </c>
      <c r="K393" s="6" t="str">
        <f t="shared" si="56"/>
        <v>TweetDeck</v>
      </c>
      <c r="L393" s="15">
        <v>207</v>
      </c>
      <c r="M393" s="15">
        <v>71</v>
      </c>
      <c r="N393" s="15">
        <v>2</v>
      </c>
      <c r="O393" s="9"/>
      <c r="P393" s="10">
        <v>43613.735486111109</v>
      </c>
      <c r="Q393" s="14" t="s">
        <v>1976</v>
      </c>
      <c r="R393" s="14" t="s">
        <v>1977</v>
      </c>
      <c r="S393" s="7" t="s">
        <v>1978</v>
      </c>
      <c r="T393" s="8"/>
      <c r="U393" s="11" t="str">
        <f>HYPERLINK("https://pbs.twimg.com/profile_images/1196916432174403584/B8KhUmTW.jpg","View")</f>
        <v>View</v>
      </c>
      <c r="V393" s="8"/>
      <c r="W393" s="8"/>
      <c r="X393" s="8"/>
      <c r="Y393" s="8"/>
      <c r="Z393" s="8"/>
    </row>
    <row r="394" spans="1:26" ht="13.2">
      <c r="A394" s="13">
        <v>44250.708182870367</v>
      </c>
      <c r="B394" s="6" t="str">
        <f>HYPERLINK("https://twitter.com/thePKGlobal","@thePKGlobal")</f>
        <v>@thePKGlobal</v>
      </c>
      <c r="C394" s="14" t="s">
        <v>1979</v>
      </c>
      <c r="D394" s="14" t="s">
        <v>1980</v>
      </c>
      <c r="E394" s="6" t="str">
        <f>HYPERLINK("https://twitter.com/thePKGlobal/status/1364243568051814402","1364243568051814402")</f>
        <v>1364243568051814402</v>
      </c>
      <c r="F394" s="7" t="s">
        <v>1981</v>
      </c>
      <c r="G394" s="7" t="s">
        <v>1982</v>
      </c>
      <c r="H394" s="8"/>
      <c r="I394" s="14">
        <v>3</v>
      </c>
      <c r="J394" s="14">
        <v>3</v>
      </c>
      <c r="K394" s="6" t="str">
        <f>HYPERLINK("https://www.hootsuite.com","Hootsuite Inc.")</f>
        <v>Hootsuite Inc.</v>
      </c>
      <c r="L394" s="15">
        <v>1474</v>
      </c>
      <c r="M394" s="15">
        <v>1163</v>
      </c>
      <c r="N394" s="15">
        <v>126</v>
      </c>
      <c r="O394" s="9"/>
      <c r="P394" s="10">
        <v>41010.829016203701</v>
      </c>
      <c r="Q394" s="14" t="s">
        <v>1983</v>
      </c>
      <c r="R394" s="14" t="s">
        <v>1984</v>
      </c>
      <c r="S394" s="7" t="s">
        <v>1985</v>
      </c>
      <c r="T394" s="8"/>
      <c r="U394" s="11" t="str">
        <f>HYPERLINK("https://pbs.twimg.com/profile_images/1231923573553426434/QRKmU4TC.jpg","View")</f>
        <v>View</v>
      </c>
      <c r="V394" s="8"/>
      <c r="W394" s="8"/>
      <c r="X394" s="8"/>
      <c r="Y394" s="8"/>
      <c r="Z394" s="8"/>
    </row>
    <row r="395" spans="1:26" ht="13.2">
      <c r="A395" s="13">
        <v>44250.708125000005</v>
      </c>
      <c r="B395" s="6" t="str">
        <f>HYPERLINK("https://twitter.com/NeurAutomata","@NeurAutomata")</f>
        <v>@NeurAutomata</v>
      </c>
      <c r="C395" s="14" t="s">
        <v>400</v>
      </c>
      <c r="D395" s="14" t="s">
        <v>401</v>
      </c>
      <c r="E395" s="6" t="str">
        <f>HYPERLINK("https://twitter.com/NeurAutomata/status/1364243548305059840","1364243548305059840")</f>
        <v>1364243548305059840</v>
      </c>
      <c r="F395" s="7" t="s">
        <v>1986</v>
      </c>
      <c r="G395" s="8"/>
      <c r="H395" s="8"/>
      <c r="I395" s="14">
        <v>0</v>
      </c>
      <c r="J395" s="14">
        <v>0</v>
      </c>
      <c r="K395" s="6" t="str">
        <f>HYPERLINK("https://ifttt.com","IFTTT")</f>
        <v>IFTTT</v>
      </c>
      <c r="L395" s="15">
        <v>83</v>
      </c>
      <c r="M395" s="15">
        <v>14</v>
      </c>
      <c r="N395" s="15">
        <v>3</v>
      </c>
      <c r="O395" s="9"/>
      <c r="P395" s="10">
        <v>42862.083414351851</v>
      </c>
      <c r="Q395" s="14" t="s">
        <v>403</v>
      </c>
      <c r="R395" s="14" t="s">
        <v>404</v>
      </c>
      <c r="S395" s="8"/>
      <c r="T395" s="8"/>
      <c r="U395" s="11" t="str">
        <f>HYPERLINK("https://pbs.twimg.com/profile_images/861050448672718848/oHUlrvEK.jpg","View")</f>
        <v>View</v>
      </c>
      <c r="V395" s="8"/>
      <c r="W395" s="8"/>
      <c r="X395" s="8"/>
      <c r="Y395" s="8"/>
      <c r="Z395" s="8"/>
    </row>
    <row r="396" spans="1:26" ht="13.2">
      <c r="A396" s="13">
        <v>44250.708055555559</v>
      </c>
      <c r="B396" s="6" t="str">
        <f>HYPERLINK("https://twitter.com/adnzafar","@adnzafar")</f>
        <v>@adnzafar</v>
      </c>
      <c r="C396" s="14" t="s">
        <v>1987</v>
      </c>
      <c r="D396" s="14" t="s">
        <v>1988</v>
      </c>
      <c r="E396" s="6" t="str">
        <f>HYPERLINK("https://twitter.com/adnzafar/status/1364243521872556033","1364243521872556033")</f>
        <v>1364243521872556033</v>
      </c>
      <c r="F396" s="7" t="s">
        <v>1989</v>
      </c>
      <c r="G396" s="8"/>
      <c r="H396" s="8"/>
      <c r="I396" s="14">
        <v>0</v>
      </c>
      <c r="J396" s="14">
        <v>1</v>
      </c>
      <c r="K396" s="6" t="str">
        <f>HYPERLINK("http://twitter.com/download/android","Twitter for Android")</f>
        <v>Twitter for Android</v>
      </c>
      <c r="L396" s="15">
        <v>1491</v>
      </c>
      <c r="M396" s="15">
        <v>216</v>
      </c>
      <c r="N396" s="15">
        <v>505</v>
      </c>
      <c r="O396" s="9"/>
      <c r="P396" s="10">
        <v>40232.793194444443</v>
      </c>
      <c r="Q396" s="8"/>
      <c r="R396" s="8"/>
      <c r="S396" s="7" t="s">
        <v>1990</v>
      </c>
      <c r="T396" s="8"/>
      <c r="U396" s="11" t="str">
        <f>HYPERLINK("https://pbs.twimg.com/profile_images/3448256884/216fa4ac393e8fc136b80f41b94f9e44.jpeg","View")</f>
        <v>View</v>
      </c>
      <c r="V396" s="8"/>
      <c r="W396" s="8"/>
      <c r="X396" s="8"/>
      <c r="Y396" s="8"/>
      <c r="Z396" s="8"/>
    </row>
    <row r="397" spans="1:26" ht="13.2">
      <c r="A397" s="13">
        <v>44250.707141203704</v>
      </c>
      <c r="B397" s="6" t="str">
        <f>HYPERLINK("https://twitter.com/bigdataturkey_","@bigdataturkey_")</f>
        <v>@bigdataturkey_</v>
      </c>
      <c r="C397" s="14" t="s">
        <v>1991</v>
      </c>
      <c r="D397" s="14" t="s">
        <v>1992</v>
      </c>
      <c r="E397" s="6" t="str">
        <f>HYPERLINK("https://twitter.com/bigdataturkey_/status/1364243187913666566","1364243187913666566")</f>
        <v>1364243187913666566</v>
      </c>
      <c r="F397" s="8"/>
      <c r="G397" s="7" t="s">
        <v>1993</v>
      </c>
      <c r="H397" s="8"/>
      <c r="I397" s="14">
        <v>3</v>
      </c>
      <c r="J397" s="14">
        <v>1</v>
      </c>
      <c r="K397" s="6" t="str">
        <f t="shared" ref="K397:K398" si="57">HYPERLINK("http://twitter.com/download/iphone","Twitter for iPhone")</f>
        <v>Twitter for iPhone</v>
      </c>
      <c r="L397" s="15">
        <v>556</v>
      </c>
      <c r="M397" s="15">
        <v>0</v>
      </c>
      <c r="N397" s="15">
        <v>2</v>
      </c>
      <c r="O397" s="9"/>
      <c r="P397" s="10">
        <v>43587.876689814817</v>
      </c>
      <c r="Q397" s="14" t="s">
        <v>1994</v>
      </c>
      <c r="R397" s="14" t="s">
        <v>1995</v>
      </c>
      <c r="S397" s="8"/>
      <c r="T397" s="8"/>
      <c r="U397" s="11" t="str">
        <f>HYPERLINK("https://pbs.twimg.com/profile_images/1191708931938238464/01Ig4jfb.jpg","View")</f>
        <v>View</v>
      </c>
      <c r="V397" s="8"/>
      <c r="W397" s="8"/>
      <c r="X397" s="8"/>
      <c r="Y397" s="8"/>
      <c r="Z397" s="8"/>
    </row>
    <row r="398" spans="1:26" ht="13.2">
      <c r="A398" s="13">
        <v>44250.706967592589</v>
      </c>
      <c r="B398" s="6" t="str">
        <f>HYPERLINK("https://twitter.com/SuccessAnalytiX","@SuccessAnalytiX")</f>
        <v>@SuccessAnalytiX</v>
      </c>
      <c r="C398" s="14" t="s">
        <v>1149</v>
      </c>
      <c r="D398" s="14" t="s">
        <v>1996</v>
      </c>
      <c r="E398" s="6" t="str">
        <f>HYPERLINK("https://twitter.com/SuccessAnalytiX/status/1364243126412599303","1364243126412599303")</f>
        <v>1364243126412599303</v>
      </c>
      <c r="F398" s="7" t="s">
        <v>1151</v>
      </c>
      <c r="G398" s="8"/>
      <c r="H398" s="8"/>
      <c r="I398" s="14">
        <v>20</v>
      </c>
      <c r="J398" s="14">
        <v>5</v>
      </c>
      <c r="K398" s="6" t="str">
        <f t="shared" si="57"/>
        <v>Twitter for iPhone</v>
      </c>
      <c r="L398" s="15">
        <v>2744</v>
      </c>
      <c r="M398" s="15">
        <v>2908</v>
      </c>
      <c r="N398" s="15">
        <v>11</v>
      </c>
      <c r="O398" s="9"/>
      <c r="P398" s="10">
        <v>43149.839606481481</v>
      </c>
      <c r="Q398" s="14" t="s">
        <v>1152</v>
      </c>
      <c r="R398" s="14" t="s">
        <v>1153</v>
      </c>
      <c r="S398" s="7" t="s">
        <v>1154</v>
      </c>
      <c r="T398" s="8"/>
      <c r="U398" s="11" t="str">
        <f>HYPERLINK("https://pbs.twimg.com/profile_images/1154058190545391616/pOYyXv3r.jpg","View")</f>
        <v>View</v>
      </c>
      <c r="V398" s="8"/>
      <c r="W398" s="8"/>
      <c r="X398" s="8"/>
      <c r="Y398" s="8"/>
      <c r="Z398" s="8"/>
    </row>
    <row r="399" spans="1:26" ht="13.2">
      <c r="A399" s="13">
        <v>44250.70584490741</v>
      </c>
      <c r="B399" s="6" t="str">
        <f>HYPERLINK("https://twitter.com/zimmerman_team","@zimmerman_team")</f>
        <v>@zimmerman_team</v>
      </c>
      <c r="C399" s="14" t="s">
        <v>1997</v>
      </c>
      <c r="D399" s="14" t="s">
        <v>1998</v>
      </c>
      <c r="E399" s="6" t="str">
        <f>HYPERLINK("https://twitter.com/zimmerman_team/status/1364242718256463873","1364242718256463873")</f>
        <v>1364242718256463873</v>
      </c>
      <c r="F399" s="8"/>
      <c r="G399" s="7" t="s">
        <v>1999</v>
      </c>
      <c r="H399" s="8"/>
      <c r="I399" s="14">
        <v>1</v>
      </c>
      <c r="J399" s="14">
        <v>2</v>
      </c>
      <c r="K399" s="6" t="str">
        <f t="shared" ref="K399:K400" si="58">HYPERLINK("https://mobile.twitter.com","Twitter Web App")</f>
        <v>Twitter Web App</v>
      </c>
      <c r="L399" s="15">
        <v>601</v>
      </c>
      <c r="M399" s="15">
        <v>104</v>
      </c>
      <c r="N399" s="15">
        <v>17</v>
      </c>
      <c r="O399" s="9"/>
      <c r="P399" s="10">
        <v>40353.56186342593</v>
      </c>
      <c r="Q399" s="14" t="s">
        <v>2000</v>
      </c>
      <c r="R399" s="14" t="s">
        <v>2001</v>
      </c>
      <c r="S399" s="7" t="s">
        <v>2002</v>
      </c>
      <c r="T399" s="8"/>
      <c r="U399" s="11" t="str">
        <f>HYPERLINK("https://pbs.twimg.com/profile_images/1218149676140068864/d3zi2wTP.png","View")</f>
        <v>View</v>
      </c>
      <c r="V399" s="8"/>
      <c r="W399" s="8"/>
      <c r="X399" s="8"/>
      <c r="Y399" s="8"/>
      <c r="Z399" s="8"/>
    </row>
    <row r="400" spans="1:26" ht="13.2">
      <c r="A400" s="13">
        <v>44250.705555555556</v>
      </c>
      <c r="B400" s="6" t="str">
        <f>HYPERLINK("https://twitter.com/xfund","@xfund")</f>
        <v>@xfund</v>
      </c>
      <c r="C400" s="14" t="s">
        <v>2003</v>
      </c>
      <c r="D400" s="14" t="s">
        <v>2004</v>
      </c>
      <c r="E400" s="6" t="str">
        <f>HYPERLINK("https://twitter.com/xfund/status/1364242613981745152","1364242613981745152")</f>
        <v>1364242613981745152</v>
      </c>
      <c r="F400" s="7" t="s">
        <v>2005</v>
      </c>
      <c r="G400" s="8"/>
      <c r="H400" s="8"/>
      <c r="I400" s="14">
        <v>0</v>
      </c>
      <c r="J400" s="14">
        <v>0</v>
      </c>
      <c r="K400" s="6" t="str">
        <f t="shared" si="58"/>
        <v>Twitter Web App</v>
      </c>
      <c r="L400" s="15">
        <v>2320</v>
      </c>
      <c r="M400" s="15">
        <v>903</v>
      </c>
      <c r="N400" s="15">
        <v>121</v>
      </c>
      <c r="O400" s="9"/>
      <c r="P400" s="10">
        <v>40868.242962962962</v>
      </c>
      <c r="Q400" s="14" t="s">
        <v>2006</v>
      </c>
      <c r="R400" s="14" t="s">
        <v>2007</v>
      </c>
      <c r="S400" s="7" t="s">
        <v>2008</v>
      </c>
      <c r="T400" s="8"/>
      <c r="U400" s="11" t="str">
        <f>HYPERLINK("https://pbs.twimg.com/profile_images/880180427318714368/TF79O3r4.jpg","View")</f>
        <v>View</v>
      </c>
      <c r="V400" s="8"/>
      <c r="W400" s="8"/>
      <c r="X400" s="8"/>
      <c r="Y400" s="8"/>
      <c r="Z400" s="8"/>
    </row>
    <row r="401" spans="1:26" ht="13.2">
      <c r="A401" s="13">
        <v>44250.705208333333</v>
      </c>
      <c r="B401" s="6" t="str">
        <f>HYPERLINK("https://twitter.com/RocheDia","@RocheDia")</f>
        <v>@RocheDia</v>
      </c>
      <c r="C401" s="14" t="s">
        <v>2009</v>
      </c>
      <c r="D401" s="14" t="s">
        <v>2010</v>
      </c>
      <c r="E401" s="6" t="str">
        <f>HYPERLINK("https://twitter.com/RocheDia/status/1364242490673352707","1364242490673352707")</f>
        <v>1364242490673352707</v>
      </c>
      <c r="F401" s="7" t="s">
        <v>2011</v>
      </c>
      <c r="G401" s="7" t="s">
        <v>2012</v>
      </c>
      <c r="H401" s="8"/>
      <c r="I401" s="14">
        <v>0</v>
      </c>
      <c r="J401" s="14">
        <v>2</v>
      </c>
      <c r="K401" s="6" t="str">
        <f>HYPERLINK("http://www.socialbakers.com/","Socialbakers")</f>
        <v>Socialbakers</v>
      </c>
      <c r="L401" s="15">
        <v>2702</v>
      </c>
      <c r="M401" s="15">
        <v>116</v>
      </c>
      <c r="N401" s="15">
        <v>15</v>
      </c>
      <c r="O401" s="15" t="s">
        <v>130</v>
      </c>
      <c r="P401" s="10">
        <v>41416.642835648148</v>
      </c>
      <c r="Q401" s="8"/>
      <c r="R401" s="14" t="s">
        <v>2013</v>
      </c>
      <c r="S401" s="7" t="s">
        <v>2014</v>
      </c>
      <c r="T401" s="8"/>
      <c r="U401" s="11" t="str">
        <f>HYPERLINK("https://pbs.twimg.com/profile_images/1115307819303985153/A_lMPU5z.png","View")</f>
        <v>View</v>
      </c>
      <c r="V401" s="8"/>
      <c r="W401" s="8"/>
      <c r="X401" s="8"/>
      <c r="Y401" s="8"/>
      <c r="Z401" s="8"/>
    </row>
    <row r="402" spans="1:26" ht="13.2">
      <c r="A402" s="13">
        <v>44250.704930555556</v>
      </c>
      <c r="B402" s="6" t="str">
        <f>HYPERLINK("https://twitter.com/Danny_MLE","@Danny_MLE")</f>
        <v>@Danny_MLE</v>
      </c>
      <c r="C402" s="14" t="s">
        <v>2015</v>
      </c>
      <c r="D402" s="14" t="s">
        <v>2016</v>
      </c>
      <c r="E402" s="6" t="str">
        <f>HYPERLINK("https://twitter.com/Danny_MLE/status/1364242389871771651","1364242389871771651")</f>
        <v>1364242389871771651</v>
      </c>
      <c r="F402" s="8"/>
      <c r="G402" s="8"/>
      <c r="H402" s="8"/>
      <c r="I402" s="14">
        <v>2</v>
      </c>
      <c r="J402" s="14">
        <v>0</v>
      </c>
      <c r="K402" s="6" t="str">
        <f>HYPERLINK("http://twitter.com/download/iphone","Twitter for iPhone")</f>
        <v>Twitter for iPhone</v>
      </c>
      <c r="L402" s="15">
        <v>5</v>
      </c>
      <c r="M402" s="15">
        <v>26</v>
      </c>
      <c r="N402" s="15">
        <v>0</v>
      </c>
      <c r="O402" s="9"/>
      <c r="P402" s="10">
        <v>44227.758483796293</v>
      </c>
      <c r="Q402" s="8"/>
      <c r="R402" s="14" t="s">
        <v>2017</v>
      </c>
      <c r="S402" s="8"/>
      <c r="T402" s="8"/>
      <c r="U402" s="11" t="str">
        <f>HYPERLINK("https://pbs.twimg.com/profile_images/1355927035286319122/T97K9B9r.jpg","View")</f>
        <v>View</v>
      </c>
      <c r="V402" s="8"/>
      <c r="W402" s="8"/>
      <c r="X402" s="8"/>
      <c r="Y402" s="8"/>
      <c r="Z402" s="8"/>
    </row>
    <row r="403" spans="1:26" ht="13.2">
      <c r="A403" s="13">
        <v>44250.704895833333</v>
      </c>
      <c r="B403" s="6" t="str">
        <f>HYPERLINK("https://twitter.com/aaronzuccolin","@aaronzuccolin")</f>
        <v>@aaronzuccolin</v>
      </c>
      <c r="C403" s="14" t="s">
        <v>2018</v>
      </c>
      <c r="D403" s="14" t="s">
        <v>2019</v>
      </c>
      <c r="E403" s="6" t="str">
        <f>HYPERLINK("https://twitter.com/aaronzuccolin/status/1364242376311635968","1364242376311635968")</f>
        <v>1364242376311635968</v>
      </c>
      <c r="F403" s="7" t="s">
        <v>2020</v>
      </c>
      <c r="G403" s="8"/>
      <c r="H403" s="8"/>
      <c r="I403" s="14">
        <v>0</v>
      </c>
      <c r="J403" s="14">
        <v>0</v>
      </c>
      <c r="K403" s="6" t="str">
        <f>HYPERLINK("https://www.hootsuite.com","Hootsuite Inc.")</f>
        <v>Hootsuite Inc.</v>
      </c>
      <c r="L403" s="15">
        <v>96</v>
      </c>
      <c r="M403" s="15">
        <v>163</v>
      </c>
      <c r="N403" s="15">
        <v>1</v>
      </c>
      <c r="O403" s="9"/>
      <c r="P403" s="10">
        <v>39834.818912037037</v>
      </c>
      <c r="Q403" s="8"/>
      <c r="R403" s="8"/>
      <c r="S403" s="8"/>
      <c r="T403" s="8"/>
      <c r="U403" s="11" t="str">
        <f>HYPERLINK("https://pbs.twimg.com/profile_images/979008827877019649/Ghm8_31M.jpg","View")</f>
        <v>View</v>
      </c>
      <c r="V403" s="8"/>
      <c r="W403" s="8"/>
      <c r="X403" s="8"/>
      <c r="Y403" s="8"/>
      <c r="Z403" s="8"/>
    </row>
    <row r="404" spans="1:26" ht="13.2">
      <c r="A404" s="13">
        <v>44250.704502314809</v>
      </c>
      <c r="B404" s="6" t="str">
        <f>HYPERLINK("https://twitter.com/into_AI","@into_AI")</f>
        <v>@into_AI</v>
      </c>
      <c r="C404" s="14" t="s">
        <v>2021</v>
      </c>
      <c r="D404" s="14" t="s">
        <v>2022</v>
      </c>
      <c r="E404" s="6" t="str">
        <f>HYPERLINK("https://twitter.com/into_AI/status/1364242234032463878","1364242234032463878")</f>
        <v>1364242234032463878</v>
      </c>
      <c r="F404" s="7" t="s">
        <v>2023</v>
      </c>
      <c r="G404" s="8"/>
      <c r="H404" s="8"/>
      <c r="I404" s="14">
        <v>0</v>
      </c>
      <c r="J404" s="14">
        <v>0</v>
      </c>
      <c r="K404" s="6" t="str">
        <f>HYPERLINK("http://into.AI","into.AI")</f>
        <v>into.AI</v>
      </c>
      <c r="L404" s="15">
        <v>19374</v>
      </c>
      <c r="M404" s="15">
        <v>1707</v>
      </c>
      <c r="N404" s="15">
        <v>3164</v>
      </c>
      <c r="O404" s="9"/>
      <c r="P404" s="10">
        <v>42133.721620370372</v>
      </c>
      <c r="Q404" s="14" t="s">
        <v>2024</v>
      </c>
      <c r="R404" s="14" t="s">
        <v>2025</v>
      </c>
      <c r="S404" s="7" t="s">
        <v>2026</v>
      </c>
      <c r="T404" s="8"/>
      <c r="U404" s="11" t="str">
        <f>HYPERLINK("https://pbs.twimg.com/profile_images/967341160124608512/LM2Y5Q5m.jpg","View")</f>
        <v>View</v>
      </c>
      <c r="V404" s="8"/>
      <c r="W404" s="8"/>
      <c r="X404" s="8"/>
      <c r="Y404" s="8"/>
      <c r="Z404" s="8"/>
    </row>
    <row r="405" spans="1:26" ht="13.2">
      <c r="A405" s="13">
        <v>44250.704421296294</v>
      </c>
      <c r="B405" s="6" t="str">
        <f>HYPERLINK("https://twitter.com/techlazy_msft","@techlazy_msft")</f>
        <v>@techlazy_msft</v>
      </c>
      <c r="C405" s="14" t="s">
        <v>2027</v>
      </c>
      <c r="D405" s="14" t="s">
        <v>2028</v>
      </c>
      <c r="E405" s="6" t="str">
        <f>HYPERLINK("https://twitter.com/techlazy_msft/status/1364242202554155008","1364242202554155008")</f>
        <v>1364242202554155008</v>
      </c>
      <c r="F405" s="7" t="s">
        <v>2029</v>
      </c>
      <c r="G405" s="8"/>
      <c r="H405" s="8"/>
      <c r="I405" s="14">
        <v>14</v>
      </c>
      <c r="J405" s="14">
        <v>5</v>
      </c>
      <c r="K405" s="6" t="str">
        <f>HYPERLINK("http://azure.microsoft.com/en-us/services/app-service/logic/","Microsoft Azure Logic Apps")</f>
        <v>Microsoft Azure Logic Apps</v>
      </c>
      <c r="L405" s="15">
        <v>1493</v>
      </c>
      <c r="M405" s="15">
        <v>81</v>
      </c>
      <c r="N405" s="15">
        <v>804</v>
      </c>
      <c r="O405" s="9"/>
      <c r="P405" s="10">
        <v>40443.435752314814</v>
      </c>
      <c r="Q405" s="14" t="s">
        <v>2030</v>
      </c>
      <c r="R405" s="14" t="s">
        <v>2031</v>
      </c>
      <c r="S405" s="7" t="s">
        <v>2032</v>
      </c>
      <c r="T405" s="8"/>
      <c r="U405" s="11" t="str">
        <f>HYPERLINK("https://pbs.twimg.com/profile_images/716220444651753472/q6PwsQ8V.jpg","View")</f>
        <v>View</v>
      </c>
      <c r="V405" s="8"/>
      <c r="W405" s="8"/>
      <c r="X405" s="8"/>
      <c r="Y405" s="8"/>
      <c r="Z405" s="8"/>
    </row>
    <row r="406" spans="1:26" ht="13.2">
      <c r="A406" s="13">
        <v>44250.704409722224</v>
      </c>
      <c r="B406" s="6" t="str">
        <f t="shared" ref="B406:B407" si="59">HYPERLINK("https://twitter.com/into_AI","@into_AI")</f>
        <v>@into_AI</v>
      </c>
      <c r="C406" s="14" t="s">
        <v>2021</v>
      </c>
      <c r="D406" s="14" t="s">
        <v>2033</v>
      </c>
      <c r="E406" s="6" t="str">
        <f>HYPERLINK("https://twitter.com/into_AI/status/1364242199379136515","1364242199379136515")</f>
        <v>1364242199379136515</v>
      </c>
      <c r="F406" s="7" t="s">
        <v>2034</v>
      </c>
      <c r="G406" s="8"/>
      <c r="H406" s="8"/>
      <c r="I406" s="14">
        <v>1</v>
      </c>
      <c r="J406" s="14">
        <v>0</v>
      </c>
      <c r="K406" s="6" t="str">
        <f t="shared" ref="K406:K407" si="60">HYPERLINK("http://into.AI","into.AI")</f>
        <v>into.AI</v>
      </c>
      <c r="L406" s="15">
        <v>19374</v>
      </c>
      <c r="M406" s="15">
        <v>1707</v>
      </c>
      <c r="N406" s="15">
        <v>3164</v>
      </c>
      <c r="O406" s="9"/>
      <c r="P406" s="10">
        <v>42133.721620370372</v>
      </c>
      <c r="Q406" s="14" t="s">
        <v>2024</v>
      </c>
      <c r="R406" s="14" t="s">
        <v>2025</v>
      </c>
      <c r="S406" s="7" t="s">
        <v>2026</v>
      </c>
      <c r="T406" s="8"/>
      <c r="U406" s="11" t="str">
        <f t="shared" ref="U406:U407" si="61">HYPERLINK("https://pbs.twimg.com/profile_images/967341160124608512/LM2Y5Q5m.jpg","View")</f>
        <v>View</v>
      </c>
      <c r="V406" s="8"/>
      <c r="W406" s="8"/>
      <c r="X406" s="8"/>
      <c r="Y406" s="8"/>
      <c r="Z406" s="8"/>
    </row>
    <row r="407" spans="1:26" ht="13.2">
      <c r="A407" s="13">
        <v>44250.704270833332</v>
      </c>
      <c r="B407" s="6" t="str">
        <f t="shared" si="59"/>
        <v>@into_AI</v>
      </c>
      <c r="C407" s="14" t="s">
        <v>2021</v>
      </c>
      <c r="D407" s="14" t="s">
        <v>2035</v>
      </c>
      <c r="E407" s="6" t="str">
        <f>HYPERLINK("https://twitter.com/into_AI/status/1364242151429861377","1364242151429861377")</f>
        <v>1364242151429861377</v>
      </c>
      <c r="F407" s="7" t="s">
        <v>2036</v>
      </c>
      <c r="G407" s="8"/>
      <c r="H407" s="8"/>
      <c r="I407" s="14">
        <v>0</v>
      </c>
      <c r="J407" s="14">
        <v>0</v>
      </c>
      <c r="K407" s="6" t="str">
        <f t="shared" si="60"/>
        <v>into.AI</v>
      </c>
      <c r="L407" s="15">
        <v>19374</v>
      </c>
      <c r="M407" s="15">
        <v>1707</v>
      </c>
      <c r="N407" s="15">
        <v>3164</v>
      </c>
      <c r="O407" s="9"/>
      <c r="P407" s="10">
        <v>42133.721620370372</v>
      </c>
      <c r="Q407" s="14" t="s">
        <v>2024</v>
      </c>
      <c r="R407" s="14" t="s">
        <v>2025</v>
      </c>
      <c r="S407" s="7" t="s">
        <v>2026</v>
      </c>
      <c r="T407" s="8"/>
      <c r="U407" s="11" t="str">
        <f t="shared" si="61"/>
        <v>View</v>
      </c>
      <c r="V407" s="8"/>
      <c r="W407" s="8"/>
      <c r="X407" s="8"/>
      <c r="Y407" s="8"/>
      <c r="Z407" s="8"/>
    </row>
    <row r="408" spans="1:26" ht="13.2">
      <c r="A408" s="13">
        <v>44250.704236111109</v>
      </c>
      <c r="B408" s="6" t="str">
        <f>HYPERLINK("https://twitter.com/ARTIBA_Insights","@ARTIBA_Insights")</f>
        <v>@ARTIBA_Insights</v>
      </c>
      <c r="C408" s="14" t="s">
        <v>2037</v>
      </c>
      <c r="D408" s="14" t="s">
        <v>2038</v>
      </c>
      <c r="E408" s="6" t="str">
        <f>HYPERLINK("https://twitter.com/ARTIBA_Insights/status/1364242135894028291","1364242135894028291")</f>
        <v>1364242135894028291</v>
      </c>
      <c r="F408" s="7" t="s">
        <v>2039</v>
      </c>
      <c r="G408" s="8"/>
      <c r="H408" s="8"/>
      <c r="I408" s="14">
        <v>2</v>
      </c>
      <c r="J408" s="14">
        <v>0</v>
      </c>
      <c r="K408" s="6" t="str">
        <f>HYPERLINK("https://mobile.twitter.com","Twitter Web App")</f>
        <v>Twitter Web App</v>
      </c>
      <c r="L408" s="15">
        <v>3507</v>
      </c>
      <c r="M408" s="15">
        <v>1940</v>
      </c>
      <c r="N408" s="15">
        <v>12</v>
      </c>
      <c r="O408" s="9"/>
      <c r="P408" s="10">
        <v>42482.411828703705</v>
      </c>
      <c r="Q408" s="14" t="s">
        <v>650</v>
      </c>
      <c r="R408" s="14" t="s">
        <v>2040</v>
      </c>
      <c r="S408" s="7" t="s">
        <v>2041</v>
      </c>
      <c r="T408" s="8"/>
      <c r="U408" s="11" t="str">
        <f>HYPERLINK("https://pbs.twimg.com/profile_images/1091636377152827392/VlWet-rE.jpg","View")</f>
        <v>View</v>
      </c>
      <c r="V408" s="8"/>
      <c r="W408" s="8"/>
      <c r="X408" s="8"/>
      <c r="Y408" s="8"/>
      <c r="Z408" s="8"/>
    </row>
    <row r="409" spans="1:26" ht="13.2">
      <c r="A409" s="13">
        <v>44250.70417824074</v>
      </c>
      <c r="B409" s="6" t="str">
        <f t="shared" ref="B409:B414" si="62">HYPERLINK("https://twitter.com/into_AI","@into_AI")</f>
        <v>@into_AI</v>
      </c>
      <c r="C409" s="14" t="s">
        <v>2021</v>
      </c>
      <c r="D409" s="14" t="s">
        <v>2042</v>
      </c>
      <c r="E409" s="6" t="str">
        <f>HYPERLINK("https://twitter.com/into_AI/status/1364242115593699330","1364242115593699330")</f>
        <v>1364242115593699330</v>
      </c>
      <c r="F409" s="7" t="s">
        <v>2043</v>
      </c>
      <c r="G409" s="8"/>
      <c r="H409" s="8"/>
      <c r="I409" s="14">
        <v>1</v>
      </c>
      <c r="J409" s="14">
        <v>0</v>
      </c>
      <c r="K409" s="6" t="str">
        <f t="shared" ref="K409:K414" si="63">HYPERLINK("http://into.AI","into.AI")</f>
        <v>into.AI</v>
      </c>
      <c r="L409" s="15">
        <v>19374</v>
      </c>
      <c r="M409" s="15">
        <v>1707</v>
      </c>
      <c r="N409" s="15">
        <v>3164</v>
      </c>
      <c r="O409" s="9"/>
      <c r="P409" s="10">
        <v>42133.721620370372</v>
      </c>
      <c r="Q409" s="14" t="s">
        <v>2024</v>
      </c>
      <c r="R409" s="14" t="s">
        <v>2025</v>
      </c>
      <c r="S409" s="7" t="s">
        <v>2026</v>
      </c>
      <c r="T409" s="8"/>
      <c r="U409" s="11" t="str">
        <f t="shared" ref="U409:U414" si="64">HYPERLINK("https://pbs.twimg.com/profile_images/967341160124608512/LM2Y5Q5m.jpg","View")</f>
        <v>View</v>
      </c>
      <c r="V409" s="8"/>
      <c r="W409" s="8"/>
      <c r="X409" s="8"/>
      <c r="Y409" s="8"/>
      <c r="Z409" s="8"/>
    </row>
    <row r="410" spans="1:26" ht="13.2">
      <c r="A410" s="13">
        <v>44250.704074074078</v>
      </c>
      <c r="B410" s="6" t="str">
        <f t="shared" si="62"/>
        <v>@into_AI</v>
      </c>
      <c r="C410" s="14" t="s">
        <v>2021</v>
      </c>
      <c r="D410" s="14" t="s">
        <v>2044</v>
      </c>
      <c r="E410" s="6" t="str">
        <f>HYPERLINK("https://twitter.com/into_AI/status/1364242078193094658","1364242078193094658")</f>
        <v>1364242078193094658</v>
      </c>
      <c r="F410" s="7" t="s">
        <v>2045</v>
      </c>
      <c r="G410" s="8"/>
      <c r="H410" s="8"/>
      <c r="I410" s="14">
        <v>0</v>
      </c>
      <c r="J410" s="14">
        <v>0</v>
      </c>
      <c r="K410" s="6" t="str">
        <f t="shared" si="63"/>
        <v>into.AI</v>
      </c>
      <c r="L410" s="15">
        <v>19374</v>
      </c>
      <c r="M410" s="15">
        <v>1707</v>
      </c>
      <c r="N410" s="15">
        <v>3164</v>
      </c>
      <c r="O410" s="9"/>
      <c r="P410" s="10">
        <v>42133.721620370372</v>
      </c>
      <c r="Q410" s="14" t="s">
        <v>2024</v>
      </c>
      <c r="R410" s="14" t="s">
        <v>2025</v>
      </c>
      <c r="S410" s="7" t="s">
        <v>2026</v>
      </c>
      <c r="T410" s="8"/>
      <c r="U410" s="11" t="str">
        <f t="shared" si="64"/>
        <v>View</v>
      </c>
      <c r="V410" s="8"/>
      <c r="W410" s="8"/>
      <c r="X410" s="8"/>
      <c r="Y410" s="8"/>
      <c r="Z410" s="8"/>
    </row>
    <row r="411" spans="1:26" ht="13.2">
      <c r="A411" s="13">
        <v>44250.703969907408</v>
      </c>
      <c r="B411" s="6" t="str">
        <f t="shared" si="62"/>
        <v>@into_AI</v>
      </c>
      <c r="C411" s="14" t="s">
        <v>2021</v>
      </c>
      <c r="D411" s="14" t="s">
        <v>2046</v>
      </c>
      <c r="E411" s="6" t="str">
        <f>HYPERLINK("https://twitter.com/into_AI/status/1364242039748124674","1364242039748124674")</f>
        <v>1364242039748124674</v>
      </c>
      <c r="F411" s="7" t="s">
        <v>2047</v>
      </c>
      <c r="G411" s="8"/>
      <c r="H411" s="8"/>
      <c r="I411" s="14">
        <v>1</v>
      </c>
      <c r="J411" s="14">
        <v>0</v>
      </c>
      <c r="K411" s="6" t="str">
        <f t="shared" si="63"/>
        <v>into.AI</v>
      </c>
      <c r="L411" s="15">
        <v>19374</v>
      </c>
      <c r="M411" s="15">
        <v>1707</v>
      </c>
      <c r="N411" s="15">
        <v>3164</v>
      </c>
      <c r="O411" s="9"/>
      <c r="P411" s="10">
        <v>42133.721620370372</v>
      </c>
      <c r="Q411" s="14" t="s">
        <v>2024</v>
      </c>
      <c r="R411" s="14" t="s">
        <v>2025</v>
      </c>
      <c r="S411" s="7" t="s">
        <v>2026</v>
      </c>
      <c r="T411" s="8"/>
      <c r="U411" s="11" t="str">
        <f t="shared" si="64"/>
        <v>View</v>
      </c>
      <c r="V411" s="8"/>
      <c r="W411" s="8"/>
      <c r="X411" s="8"/>
      <c r="Y411" s="8"/>
      <c r="Z411" s="8"/>
    </row>
    <row r="412" spans="1:26" ht="13.2">
      <c r="A412" s="13">
        <v>44250.703888888893</v>
      </c>
      <c r="B412" s="6" t="str">
        <f t="shared" si="62"/>
        <v>@into_AI</v>
      </c>
      <c r="C412" s="14" t="s">
        <v>2021</v>
      </c>
      <c r="D412" s="14" t="s">
        <v>2048</v>
      </c>
      <c r="E412" s="6" t="str">
        <f>HYPERLINK("https://twitter.com/into_AI/status/1364242011868512259","1364242011868512259")</f>
        <v>1364242011868512259</v>
      </c>
      <c r="F412" s="7" t="s">
        <v>2049</v>
      </c>
      <c r="G412" s="8"/>
      <c r="H412" s="8"/>
      <c r="I412" s="14">
        <v>1</v>
      </c>
      <c r="J412" s="14">
        <v>0</v>
      </c>
      <c r="K412" s="6" t="str">
        <f t="shared" si="63"/>
        <v>into.AI</v>
      </c>
      <c r="L412" s="15">
        <v>19374</v>
      </c>
      <c r="M412" s="15">
        <v>1707</v>
      </c>
      <c r="N412" s="15">
        <v>3164</v>
      </c>
      <c r="O412" s="9"/>
      <c r="P412" s="10">
        <v>42133.721620370372</v>
      </c>
      <c r="Q412" s="14" t="s">
        <v>2024</v>
      </c>
      <c r="R412" s="14" t="s">
        <v>2025</v>
      </c>
      <c r="S412" s="7" t="s">
        <v>2026</v>
      </c>
      <c r="T412" s="8"/>
      <c r="U412" s="11" t="str">
        <f t="shared" si="64"/>
        <v>View</v>
      </c>
      <c r="V412" s="8"/>
      <c r="W412" s="8"/>
      <c r="X412" s="8"/>
      <c r="Y412" s="8"/>
      <c r="Z412" s="8"/>
    </row>
    <row r="413" spans="1:26" ht="13.2">
      <c r="A413" s="13">
        <v>44250.703784722224</v>
      </c>
      <c r="B413" s="6" t="str">
        <f t="shared" si="62"/>
        <v>@into_AI</v>
      </c>
      <c r="C413" s="14" t="s">
        <v>2021</v>
      </c>
      <c r="D413" s="14" t="s">
        <v>2050</v>
      </c>
      <c r="E413" s="6" t="str">
        <f>HYPERLINK("https://twitter.com/into_AI/status/1364241973964587009","1364241973964587009")</f>
        <v>1364241973964587009</v>
      </c>
      <c r="F413" s="7" t="s">
        <v>2051</v>
      </c>
      <c r="G413" s="8"/>
      <c r="H413" s="8"/>
      <c r="I413" s="14">
        <v>1</v>
      </c>
      <c r="J413" s="14">
        <v>0</v>
      </c>
      <c r="K413" s="6" t="str">
        <f t="shared" si="63"/>
        <v>into.AI</v>
      </c>
      <c r="L413" s="15">
        <v>19374</v>
      </c>
      <c r="M413" s="15">
        <v>1707</v>
      </c>
      <c r="N413" s="15">
        <v>3164</v>
      </c>
      <c r="O413" s="9"/>
      <c r="P413" s="10">
        <v>42133.721620370372</v>
      </c>
      <c r="Q413" s="14" t="s">
        <v>2024</v>
      </c>
      <c r="R413" s="14" t="s">
        <v>2025</v>
      </c>
      <c r="S413" s="7" t="s">
        <v>2026</v>
      </c>
      <c r="T413" s="8"/>
      <c r="U413" s="11" t="str">
        <f t="shared" si="64"/>
        <v>View</v>
      </c>
      <c r="V413" s="8"/>
      <c r="W413" s="8"/>
      <c r="X413" s="8"/>
      <c r="Y413" s="8"/>
      <c r="Z413" s="8"/>
    </row>
    <row r="414" spans="1:26" ht="13.2">
      <c r="A414" s="13">
        <v>44250.703715277778</v>
      </c>
      <c r="B414" s="6" t="str">
        <f t="shared" si="62"/>
        <v>@into_AI</v>
      </c>
      <c r="C414" s="14" t="s">
        <v>2021</v>
      </c>
      <c r="D414" s="14" t="s">
        <v>2052</v>
      </c>
      <c r="E414" s="6" t="str">
        <f>HYPERLINK("https://twitter.com/into_AI/status/1364241948652023823","1364241948652023823")</f>
        <v>1364241948652023823</v>
      </c>
      <c r="F414" s="7" t="s">
        <v>2053</v>
      </c>
      <c r="G414" s="8"/>
      <c r="H414" s="8"/>
      <c r="I414" s="14">
        <v>1</v>
      </c>
      <c r="J414" s="14">
        <v>0</v>
      </c>
      <c r="K414" s="6" t="str">
        <f t="shared" si="63"/>
        <v>into.AI</v>
      </c>
      <c r="L414" s="15">
        <v>19374</v>
      </c>
      <c r="M414" s="15">
        <v>1707</v>
      </c>
      <c r="N414" s="15">
        <v>3164</v>
      </c>
      <c r="O414" s="9"/>
      <c r="P414" s="10">
        <v>42133.721620370372</v>
      </c>
      <c r="Q414" s="14" t="s">
        <v>2024</v>
      </c>
      <c r="R414" s="14" t="s">
        <v>2025</v>
      </c>
      <c r="S414" s="7" t="s">
        <v>2026</v>
      </c>
      <c r="T414" s="8"/>
      <c r="U414" s="11" t="str">
        <f t="shared" si="64"/>
        <v>View</v>
      </c>
      <c r="V414" s="8"/>
      <c r="W414" s="8"/>
      <c r="X414" s="8"/>
      <c r="Y414" s="8"/>
      <c r="Z414" s="8"/>
    </row>
    <row r="415" spans="1:26" ht="13.2">
      <c r="A415" s="13">
        <v>44250.703668981485</v>
      </c>
      <c r="B415" s="6" t="str">
        <f>HYPERLINK("https://twitter.com/parebane","@parebane")</f>
        <v>@parebane</v>
      </c>
      <c r="C415" s="14" t="s">
        <v>2054</v>
      </c>
      <c r="D415" s="14" t="s">
        <v>2055</v>
      </c>
      <c r="E415" s="6" t="str">
        <f>HYPERLINK("https://twitter.com/parebane/status/1364241932218728448","1364241932218728448")</f>
        <v>1364241932218728448</v>
      </c>
      <c r="F415" s="7" t="s">
        <v>2056</v>
      </c>
      <c r="G415" s="8"/>
      <c r="H415" s="8"/>
      <c r="I415" s="14">
        <v>1</v>
      </c>
      <c r="J415" s="14">
        <v>0</v>
      </c>
      <c r="K415" s="6" t="str">
        <f>HYPERLINK("https://mobile.twitter.com","Twitter Web App")</f>
        <v>Twitter Web App</v>
      </c>
      <c r="L415" s="15">
        <v>65</v>
      </c>
      <c r="M415" s="15">
        <v>123</v>
      </c>
      <c r="N415" s="15">
        <v>2</v>
      </c>
      <c r="O415" s="9"/>
      <c r="P415" s="10">
        <v>43312.104710648149</v>
      </c>
      <c r="Q415" s="14" t="s">
        <v>138</v>
      </c>
      <c r="R415" s="14" t="s">
        <v>2057</v>
      </c>
      <c r="S415" s="8"/>
      <c r="T415" s="8"/>
      <c r="U415" s="11" t="str">
        <f>HYPERLINK("https://pbs.twimg.com/profile_images/1240265511801434119/wHevUU9x.jpg","View")</f>
        <v>View</v>
      </c>
      <c r="V415" s="8"/>
      <c r="W415" s="8"/>
      <c r="X415" s="8"/>
      <c r="Y415" s="8"/>
      <c r="Z415" s="8"/>
    </row>
    <row r="416" spans="1:26" ht="13.2">
      <c r="A416" s="13">
        <v>44250.703657407408</v>
      </c>
      <c r="B416" s="6" t="str">
        <f>HYPERLINK("https://twitter.com/into_AI","@into_AI")</f>
        <v>@into_AI</v>
      </c>
      <c r="C416" s="14" t="s">
        <v>2021</v>
      </c>
      <c r="D416" s="14" t="s">
        <v>2058</v>
      </c>
      <c r="E416" s="6" t="str">
        <f>HYPERLINK("https://twitter.com/into_AI/status/1364241926770352128","1364241926770352128")</f>
        <v>1364241926770352128</v>
      </c>
      <c r="F416" s="7" t="s">
        <v>2059</v>
      </c>
      <c r="G416" s="8"/>
      <c r="H416" s="8"/>
      <c r="I416" s="14">
        <v>1</v>
      </c>
      <c r="J416" s="14">
        <v>0</v>
      </c>
      <c r="K416" s="6" t="str">
        <f>HYPERLINK("http://into.AI","into.AI")</f>
        <v>into.AI</v>
      </c>
      <c r="L416" s="15">
        <v>19374</v>
      </c>
      <c r="M416" s="15">
        <v>1707</v>
      </c>
      <c r="N416" s="15">
        <v>3164</v>
      </c>
      <c r="O416" s="9"/>
      <c r="P416" s="10">
        <v>42133.721620370372</v>
      </c>
      <c r="Q416" s="14" t="s">
        <v>2024</v>
      </c>
      <c r="R416" s="14" t="s">
        <v>2025</v>
      </c>
      <c r="S416" s="7" t="s">
        <v>2026</v>
      </c>
      <c r="T416" s="8"/>
      <c r="U416" s="11" t="str">
        <f>HYPERLINK("https://pbs.twimg.com/profile_images/967341160124608512/LM2Y5Q5m.jpg","View")</f>
        <v>View</v>
      </c>
      <c r="V416" s="8"/>
      <c r="W416" s="8"/>
      <c r="X416" s="8"/>
      <c r="Y416" s="8"/>
      <c r="Z416" s="8"/>
    </row>
    <row r="417" spans="1:26" ht="13.2">
      <c r="A417" s="13">
        <v>44250.703321759254</v>
      </c>
      <c r="B417" s="6" t="str">
        <f>HYPERLINK("https://twitter.com/aen_espanol","@aen_espanol")</f>
        <v>@aen_espanol</v>
      </c>
      <c r="C417" s="14" t="s">
        <v>2060</v>
      </c>
      <c r="D417" s="14" t="s">
        <v>2061</v>
      </c>
      <c r="E417" s="6" t="str">
        <f>HYPERLINK("https://twitter.com/aen_espanol/status/1364241803709468675","1364241803709468675")</f>
        <v>1364241803709468675</v>
      </c>
      <c r="F417" s="14" t="s">
        <v>2062</v>
      </c>
      <c r="G417" s="7" t="s">
        <v>2063</v>
      </c>
      <c r="H417" s="8"/>
      <c r="I417" s="14">
        <v>0</v>
      </c>
      <c r="J417" s="14">
        <v>1</v>
      </c>
      <c r="K417" s="6" t="str">
        <f t="shared" ref="K417:K418" si="65">HYPERLINK("https://mobile.twitter.com","Twitter Web App")</f>
        <v>Twitter Web App</v>
      </c>
      <c r="L417" s="15">
        <v>503</v>
      </c>
      <c r="M417" s="15">
        <v>335</v>
      </c>
      <c r="N417" s="15">
        <v>6</v>
      </c>
      <c r="O417" s="9"/>
      <c r="P417" s="10">
        <v>44099.950474537036</v>
      </c>
      <c r="Q417" s="14" t="s">
        <v>2064</v>
      </c>
      <c r="R417" s="14" t="s">
        <v>2065</v>
      </c>
      <c r="S417" s="8"/>
      <c r="T417" s="8"/>
      <c r="U417" s="11" t="str">
        <f>HYPERLINK("https://pbs.twimg.com/profile_images/1310670317010944019/y0Q95Tmh.jpg","View")</f>
        <v>View</v>
      </c>
      <c r="V417" s="8"/>
      <c r="W417" s="8"/>
      <c r="X417" s="8"/>
      <c r="Y417" s="8"/>
      <c r="Z417" s="8"/>
    </row>
    <row r="418" spans="1:26" ht="13.2">
      <c r="A418" s="13">
        <v>44250.703194444446</v>
      </c>
      <c r="B418" s="6" t="str">
        <f>HYPERLINK("https://twitter.com/EcptCareer","@EcptCareer")</f>
        <v>@EcptCareer</v>
      </c>
      <c r="C418" s="14" t="s">
        <v>2066</v>
      </c>
      <c r="D418" s="14" t="s">
        <v>2067</v>
      </c>
      <c r="E418" s="6" t="str">
        <f>HYPERLINK("https://twitter.com/EcptCareer/status/1364241757941108738","1364241757941108738")</f>
        <v>1364241757941108738</v>
      </c>
      <c r="F418" s="7" t="s">
        <v>2068</v>
      </c>
      <c r="G418" s="7" t="s">
        <v>2069</v>
      </c>
      <c r="H418" s="8"/>
      <c r="I418" s="14">
        <v>0</v>
      </c>
      <c r="J418" s="14">
        <v>0</v>
      </c>
      <c r="K418" s="6" t="str">
        <f t="shared" si="65"/>
        <v>Twitter Web App</v>
      </c>
      <c r="L418" s="15">
        <v>24</v>
      </c>
      <c r="M418" s="15">
        <v>22</v>
      </c>
      <c r="N418" s="15">
        <v>0</v>
      </c>
      <c r="O418" s="9"/>
      <c r="P418" s="10">
        <v>44073.250821759255</v>
      </c>
      <c r="Q418" s="8"/>
      <c r="R418" s="14" t="s">
        <v>2070</v>
      </c>
      <c r="S418" s="7" t="s">
        <v>2071</v>
      </c>
      <c r="T418" s="8"/>
      <c r="U418" s="11" t="str">
        <f>HYPERLINK("https://pbs.twimg.com/profile_images/1344266029715738626/gwz5SBa3.jpg","View")</f>
        <v>View</v>
      </c>
      <c r="V418" s="8"/>
      <c r="W418" s="8"/>
      <c r="X418" s="8"/>
      <c r="Y418" s="8"/>
      <c r="Z418" s="8"/>
    </row>
    <row r="419" spans="1:26" ht="13.2">
      <c r="A419" s="13">
        <v>44250.702928240746</v>
      </c>
      <c r="B419" s="6" t="str">
        <f>HYPERLINK("https://twitter.com/h3techdev","@h3techdev")</f>
        <v>@h3techdev</v>
      </c>
      <c r="C419" s="14" t="s">
        <v>2072</v>
      </c>
      <c r="D419" s="14" t="s">
        <v>2073</v>
      </c>
      <c r="E419" s="6" t="str">
        <f>HYPERLINK("https://twitter.com/h3techdev/status/1364241662084481026","1364241662084481026")</f>
        <v>1364241662084481026</v>
      </c>
      <c r="F419" s="7" t="s">
        <v>2074</v>
      </c>
      <c r="G419" s="7" t="s">
        <v>2075</v>
      </c>
      <c r="H419" s="8"/>
      <c r="I419" s="14">
        <v>0</v>
      </c>
      <c r="J419" s="14">
        <v>2</v>
      </c>
      <c r="K419" s="6" t="str">
        <f>HYPERLINK("http://twitter.com/download/android","Twitter for Android")</f>
        <v>Twitter for Android</v>
      </c>
      <c r="L419" s="15">
        <v>369</v>
      </c>
      <c r="M419" s="15">
        <v>714</v>
      </c>
      <c r="N419" s="15">
        <v>9</v>
      </c>
      <c r="O419" s="9"/>
      <c r="P419" s="10">
        <v>42340.912476851852</v>
      </c>
      <c r="Q419" s="14" t="s">
        <v>2076</v>
      </c>
      <c r="R419" s="14" t="s">
        <v>2077</v>
      </c>
      <c r="S419" s="7" t="s">
        <v>2078</v>
      </c>
      <c r="T419" s="8"/>
      <c r="U419" s="11" t="str">
        <f>HYPERLINK("https://pbs.twimg.com/profile_images/1352063268915822592/jLlu3x-O.jpg","View")</f>
        <v>View</v>
      </c>
      <c r="V419" s="8"/>
      <c r="W419" s="8"/>
      <c r="X419" s="8"/>
      <c r="Y419" s="8"/>
      <c r="Z419" s="8"/>
    </row>
    <row r="420" spans="1:26" ht="13.2">
      <c r="A420" s="13">
        <v>44250.702546296292</v>
      </c>
      <c r="B420" s="6" t="str">
        <f>HYPERLINK("https://twitter.com/Eli_Krumova","@Eli_Krumova")</f>
        <v>@Eli_Krumova</v>
      </c>
      <c r="C420" s="14" t="s">
        <v>947</v>
      </c>
      <c r="D420" s="14" t="s">
        <v>2079</v>
      </c>
      <c r="E420" s="6" t="str">
        <f>HYPERLINK("https://twitter.com/Eli_Krumova/status/1364241526033952771","1364241526033952771")</f>
        <v>1364241526033952771</v>
      </c>
      <c r="F420" s="14" t="s">
        <v>2080</v>
      </c>
      <c r="G420" s="7" t="s">
        <v>2081</v>
      </c>
      <c r="H420" s="8"/>
      <c r="I420" s="14">
        <v>14</v>
      </c>
      <c r="J420" s="14">
        <v>4</v>
      </c>
      <c r="K420" s="6" t="str">
        <f t="shared" ref="K420:K421" si="66">HYPERLINK("https://mobile.twitter.com","Twitter Web App")</f>
        <v>Twitter Web App</v>
      </c>
      <c r="L420" s="15">
        <v>4471</v>
      </c>
      <c r="M420" s="15">
        <v>5001</v>
      </c>
      <c r="N420" s="15">
        <v>79</v>
      </c>
      <c r="O420" s="9"/>
      <c r="P420" s="10">
        <v>41346.597002314811</v>
      </c>
      <c r="Q420" s="14" t="s">
        <v>951</v>
      </c>
      <c r="R420" s="14" t="s">
        <v>952</v>
      </c>
      <c r="S420" s="8"/>
      <c r="T420" s="8"/>
      <c r="U420" s="11" t="str">
        <f>HYPERLINK("https://pbs.twimg.com/profile_images/1361638888427683840/HqNlplM_.jpg","View")</f>
        <v>View</v>
      </c>
      <c r="V420" s="8"/>
      <c r="W420" s="8"/>
      <c r="X420" s="8"/>
      <c r="Y420" s="8"/>
      <c r="Z420" s="8"/>
    </row>
    <row r="421" spans="1:26" ht="13.2">
      <c r="A421" s="13">
        <v>44250.702048611114</v>
      </c>
      <c r="B421" s="6" t="str">
        <f>HYPERLINK("https://twitter.com/Kh4lilO","@Kh4lilO")</f>
        <v>@Kh4lilO</v>
      </c>
      <c r="C421" s="14" t="s">
        <v>2082</v>
      </c>
      <c r="D421" s="14" t="s">
        <v>2083</v>
      </c>
      <c r="E421" s="6" t="str">
        <f>HYPERLINK("https://twitter.com/Kh4lilO/status/1364241343111827458","1364241343111827458")</f>
        <v>1364241343111827458</v>
      </c>
      <c r="F421" s="7" t="s">
        <v>2084</v>
      </c>
      <c r="G421" s="8"/>
      <c r="H421" s="8"/>
      <c r="I421" s="14">
        <v>11</v>
      </c>
      <c r="J421" s="14">
        <v>7</v>
      </c>
      <c r="K421" s="6" t="str">
        <f t="shared" si="66"/>
        <v>Twitter Web App</v>
      </c>
      <c r="L421" s="15">
        <v>315</v>
      </c>
      <c r="M421" s="15">
        <v>927</v>
      </c>
      <c r="N421" s="15">
        <v>0</v>
      </c>
      <c r="O421" s="9"/>
      <c r="P421" s="10">
        <v>41049.61072916667</v>
      </c>
      <c r="Q421" s="14" t="s">
        <v>322</v>
      </c>
      <c r="R421" s="14" t="s">
        <v>2085</v>
      </c>
      <c r="S421" s="8"/>
      <c r="T421" s="8"/>
      <c r="U421" s="11" t="str">
        <f>HYPERLINK("https://pbs.twimg.com/profile_images/1183223579665747968/-92uLWJe.jpg","View")</f>
        <v>View</v>
      </c>
      <c r="V421" s="8"/>
      <c r="W421" s="8"/>
      <c r="X421" s="8"/>
      <c r="Y421" s="8"/>
      <c r="Z421" s="8"/>
    </row>
    <row r="422" spans="1:26" ht="13.2">
      <c r="A422" s="13">
        <v>44250.701828703706</v>
      </c>
      <c r="B422" s="6" t="str">
        <f>HYPERLINK("https://twitter.com/amitkjha_rjn","@amitkjha_rjn")</f>
        <v>@amitkjha_rjn</v>
      </c>
      <c r="C422" s="14" t="s">
        <v>2086</v>
      </c>
      <c r="D422" s="14" t="s">
        <v>2087</v>
      </c>
      <c r="E422" s="6" t="str">
        <f>HYPERLINK("https://twitter.com/amitkjha_rjn/status/1364241263411818496","1364241263411818496")</f>
        <v>1364241263411818496</v>
      </c>
      <c r="F422" s="7" t="s">
        <v>2088</v>
      </c>
      <c r="G422" s="7" t="s">
        <v>2089</v>
      </c>
      <c r="H422" s="8"/>
      <c r="I422" s="14">
        <v>0</v>
      </c>
      <c r="J422" s="14">
        <v>0</v>
      </c>
      <c r="K422" s="6" t="str">
        <f>HYPERLINK("http://www.everyonesocial.com","EveryoneSocial")</f>
        <v>EveryoneSocial</v>
      </c>
      <c r="L422" s="15">
        <v>183</v>
      </c>
      <c r="M422" s="15">
        <v>643</v>
      </c>
      <c r="N422" s="15">
        <v>4</v>
      </c>
      <c r="O422" s="9"/>
      <c r="P422" s="10">
        <v>41913.715439814812</v>
      </c>
      <c r="Q422" s="14" t="s">
        <v>914</v>
      </c>
      <c r="R422" s="14" t="s">
        <v>2090</v>
      </c>
      <c r="S422" s="8"/>
      <c r="T422" s="8"/>
      <c r="U422" s="11" t="str">
        <f>HYPERLINK("https://pbs.twimg.com/profile_images/1191141975501746176/4sLvfP75.jpg","View")</f>
        <v>View</v>
      </c>
      <c r="V422" s="8"/>
      <c r="W422" s="8"/>
      <c r="X422" s="8"/>
      <c r="Y422" s="8"/>
      <c r="Z422" s="8"/>
    </row>
    <row r="423" spans="1:26" ht="13.2">
      <c r="A423" s="13">
        <v>44250.701793981483</v>
      </c>
      <c r="B423" s="6" t="str">
        <f>HYPERLINK("https://twitter.com/derivedfromdata","@derivedfromdata")</f>
        <v>@derivedfromdata</v>
      </c>
      <c r="C423" s="14" t="s">
        <v>2091</v>
      </c>
      <c r="D423" s="14" t="s">
        <v>2092</v>
      </c>
      <c r="E423" s="6" t="str">
        <f>HYPERLINK("https://twitter.com/derivedfromdata/status/1364241253295153154","1364241253295153154")</f>
        <v>1364241253295153154</v>
      </c>
      <c r="F423" s="7" t="s">
        <v>2093</v>
      </c>
      <c r="G423" s="7" t="s">
        <v>2094</v>
      </c>
      <c r="H423" s="8"/>
      <c r="I423" s="14">
        <v>1</v>
      </c>
      <c r="J423" s="14">
        <v>1</v>
      </c>
      <c r="K423" s="6" t="str">
        <f>HYPERLINK("https://mobile.twitter.com","Twitter Web App")</f>
        <v>Twitter Web App</v>
      </c>
      <c r="L423" s="15">
        <v>227</v>
      </c>
      <c r="M423" s="15">
        <v>233</v>
      </c>
      <c r="N423" s="15">
        <v>10</v>
      </c>
      <c r="O423" s="9"/>
      <c r="P423" s="10">
        <v>43939.131342592591</v>
      </c>
      <c r="Q423" s="8"/>
      <c r="R423" s="14" t="s">
        <v>2095</v>
      </c>
      <c r="S423" s="7" t="s">
        <v>2096</v>
      </c>
      <c r="T423" s="8"/>
      <c r="U423" s="11" t="str">
        <f>HYPERLINK("https://pbs.twimg.com/profile_images/1277710688958525442/1KDd8mtL.jpg","View")</f>
        <v>View</v>
      </c>
      <c r="V423" s="8"/>
      <c r="W423" s="8"/>
      <c r="X423" s="8"/>
      <c r="Y423" s="8"/>
      <c r="Z423" s="8"/>
    </row>
    <row r="424" spans="1:26" ht="13.2">
      <c r="A424" s="13">
        <v>44250.701620370368</v>
      </c>
      <c r="B424" s="6" t="str">
        <f>HYPERLINK("https://twitter.com/stanford__ai","@stanford__ai")</f>
        <v>@stanford__ai</v>
      </c>
      <c r="C424" s="14" t="s">
        <v>475</v>
      </c>
      <c r="D424" s="14" t="s">
        <v>2097</v>
      </c>
      <c r="E424" s="6" t="str">
        <f>HYPERLINK("https://twitter.com/stanford__ai/status/1364241190024065032","1364241190024065032")</f>
        <v>1364241190024065032</v>
      </c>
      <c r="F424" s="7" t="s">
        <v>2098</v>
      </c>
      <c r="G424" s="8"/>
      <c r="H424" s="8"/>
      <c r="I424" s="14">
        <v>1</v>
      </c>
      <c r="J424" s="14">
        <v>1</v>
      </c>
      <c r="K424" s="6" t="str">
        <f>HYPERLINK("https://ifttt.com","IFTTT")</f>
        <v>IFTTT</v>
      </c>
      <c r="L424" s="15">
        <v>928</v>
      </c>
      <c r="M424" s="15">
        <v>1487</v>
      </c>
      <c r="N424" s="15">
        <v>20</v>
      </c>
      <c r="O424" s="9"/>
      <c r="P424" s="10">
        <v>43558.915891203702</v>
      </c>
      <c r="Q424" s="14" t="s">
        <v>478</v>
      </c>
      <c r="R424" s="14" t="s">
        <v>479</v>
      </c>
      <c r="S424" s="7" t="s">
        <v>480</v>
      </c>
      <c r="T424" s="8"/>
      <c r="U424" s="11" t="str">
        <f>HYPERLINK("https://pbs.twimg.com/profile_images/1113531441625935878/OR4W_sLY.jpg","View")</f>
        <v>View</v>
      </c>
      <c r="V424" s="8"/>
      <c r="W424" s="8"/>
      <c r="X424" s="8"/>
      <c r="Y424" s="8"/>
      <c r="Z424" s="8"/>
    </row>
    <row r="425" spans="1:26" ht="13.2">
      <c r="A425" s="13">
        <v>44250.701620370368</v>
      </c>
      <c r="B425" s="6" t="str">
        <f>HYPERLINK("https://twitter.com/Robofied","@Robofied")</f>
        <v>@Robofied</v>
      </c>
      <c r="C425" s="14" t="s">
        <v>2099</v>
      </c>
      <c r="D425" s="14" t="s">
        <v>2100</v>
      </c>
      <c r="E425" s="6" t="str">
        <f>HYPERLINK("https://twitter.com/Robofied/status/1364241189419933697","1364241189419933697")</f>
        <v>1364241189419933697</v>
      </c>
      <c r="F425" s="8"/>
      <c r="G425" s="7" t="s">
        <v>2101</v>
      </c>
      <c r="H425" s="8"/>
      <c r="I425" s="14">
        <v>8</v>
      </c>
      <c r="J425" s="14">
        <v>4</v>
      </c>
      <c r="K425" s="6" t="str">
        <f>HYPERLINK("http://twitter.com/download/android","Twitter for Android")</f>
        <v>Twitter for Android</v>
      </c>
      <c r="L425" s="15">
        <v>231</v>
      </c>
      <c r="M425" s="15">
        <v>116</v>
      </c>
      <c r="N425" s="15">
        <v>8</v>
      </c>
      <c r="O425" s="9"/>
      <c r="P425" s="10">
        <v>43198.393437499995</v>
      </c>
      <c r="Q425" s="14" t="s">
        <v>2102</v>
      </c>
      <c r="R425" s="14" t="s">
        <v>2103</v>
      </c>
      <c r="S425" s="7" t="s">
        <v>2104</v>
      </c>
      <c r="T425" s="8"/>
      <c r="U425" s="11" t="str">
        <f>HYPERLINK("https://pbs.twimg.com/profile_images/1139982196540764160/2tahzdY4.png","View")</f>
        <v>View</v>
      </c>
      <c r="V425" s="8"/>
      <c r="W425" s="8"/>
      <c r="X425" s="8"/>
      <c r="Y425" s="8"/>
      <c r="Z425" s="8"/>
    </row>
    <row r="426" spans="1:26" ht="13.2">
      <c r="A426" s="13">
        <v>44250.701608796298</v>
      </c>
      <c r="B426" s="6" t="str">
        <f>HYPERLINK("https://twitter.com/stanford__ai","@stanford__ai")</f>
        <v>@stanford__ai</v>
      </c>
      <c r="C426" s="14" t="s">
        <v>475</v>
      </c>
      <c r="D426" s="14" t="s">
        <v>2105</v>
      </c>
      <c r="E426" s="6" t="str">
        <f>HYPERLINK("https://twitter.com/stanford__ai/status/1364241186794467328","1364241186794467328")</f>
        <v>1364241186794467328</v>
      </c>
      <c r="F426" s="7" t="s">
        <v>2106</v>
      </c>
      <c r="G426" s="8"/>
      <c r="H426" s="8"/>
      <c r="I426" s="14">
        <v>1</v>
      </c>
      <c r="J426" s="14">
        <v>2</v>
      </c>
      <c r="K426" s="6" t="str">
        <f>HYPERLINK("https://ifttt.com","IFTTT")</f>
        <v>IFTTT</v>
      </c>
      <c r="L426" s="15">
        <v>928</v>
      </c>
      <c r="M426" s="15">
        <v>1487</v>
      </c>
      <c r="N426" s="15">
        <v>20</v>
      </c>
      <c r="O426" s="9"/>
      <c r="P426" s="10">
        <v>43558.915891203702</v>
      </c>
      <c r="Q426" s="14" t="s">
        <v>478</v>
      </c>
      <c r="R426" s="14" t="s">
        <v>479</v>
      </c>
      <c r="S426" s="7" t="s">
        <v>480</v>
      </c>
      <c r="T426" s="8"/>
      <c r="U426" s="11" t="str">
        <f>HYPERLINK("https://pbs.twimg.com/profile_images/1113531441625935878/OR4W_sLY.jpg","View")</f>
        <v>View</v>
      </c>
      <c r="V426" s="8"/>
      <c r="W426" s="8"/>
      <c r="X426" s="8"/>
      <c r="Y426" s="8"/>
      <c r="Z426" s="8"/>
    </row>
    <row r="427" spans="1:26" ht="13.2">
      <c r="A427" s="13">
        <v>44250.701574074075</v>
      </c>
      <c r="B427" s="6" t="str">
        <f>HYPERLINK("https://twitter.com/ai_guild","@ai_guild")</f>
        <v>@ai_guild</v>
      </c>
      <c r="C427" s="14" t="s">
        <v>2107</v>
      </c>
      <c r="D427" s="14" t="s">
        <v>2108</v>
      </c>
      <c r="E427" s="6" t="str">
        <f>HYPERLINK("https://twitter.com/ai_guild/status/1364241172634419201","1364241172634419201")</f>
        <v>1364241172634419201</v>
      </c>
      <c r="F427" s="7" t="s">
        <v>2109</v>
      </c>
      <c r="G427" s="8"/>
      <c r="H427" s="8"/>
      <c r="I427" s="14">
        <v>0</v>
      </c>
      <c r="J427" s="14">
        <v>0</v>
      </c>
      <c r="K427" s="6" t="str">
        <f>HYPERLINK("http://twitter.com/download/android","Twitter for Android")</f>
        <v>Twitter for Android</v>
      </c>
      <c r="L427" s="15">
        <v>303</v>
      </c>
      <c r="M427" s="15">
        <v>603</v>
      </c>
      <c r="N427" s="15">
        <v>4</v>
      </c>
      <c r="O427" s="9"/>
      <c r="P427" s="10">
        <v>43632.609444444446</v>
      </c>
      <c r="Q427" s="8"/>
      <c r="R427" s="14" t="s">
        <v>2110</v>
      </c>
      <c r="S427" s="7" t="s">
        <v>2111</v>
      </c>
      <c r="T427" s="8"/>
      <c r="U427" s="11" t="str">
        <f>HYPERLINK("https://pbs.twimg.com/profile_images/1347231191603286023/fjxtanlI.jpg","View")</f>
        <v>View</v>
      </c>
      <c r="V427" s="8"/>
      <c r="W427" s="8"/>
      <c r="X427" s="8"/>
      <c r="Y427" s="8"/>
      <c r="Z427" s="8"/>
    </row>
    <row r="428" spans="1:26" ht="13.2">
      <c r="A428" s="13">
        <v>44250.701574074075</v>
      </c>
      <c r="B428" s="6" t="str">
        <f>HYPERLINK("https://twitter.com/_M_Dey","@_M_Dey")</f>
        <v>@_M_Dey</v>
      </c>
      <c r="C428" s="14" t="s">
        <v>2112</v>
      </c>
      <c r="D428" s="14" t="s">
        <v>2113</v>
      </c>
      <c r="E428" s="6" t="str">
        <f>HYPERLINK("https://twitter.com/_M_Dey/status/1364241171543777281","1364241171543777281")</f>
        <v>1364241171543777281</v>
      </c>
      <c r="F428" s="7" t="s">
        <v>2114</v>
      </c>
      <c r="G428" s="8"/>
      <c r="H428" s="8"/>
      <c r="I428" s="14">
        <v>3</v>
      </c>
      <c r="J428" s="14">
        <v>3</v>
      </c>
      <c r="K428" s="6" t="str">
        <f>HYPERLINK("http://dynamicsignal.com/","Dynamic Signal")</f>
        <v>Dynamic Signal</v>
      </c>
      <c r="L428" s="15">
        <v>1174</v>
      </c>
      <c r="M428" s="15">
        <v>4503</v>
      </c>
      <c r="N428" s="15">
        <v>19</v>
      </c>
      <c r="O428" s="9"/>
      <c r="P428" s="10">
        <v>42691.486655092594</v>
      </c>
      <c r="Q428" s="14" t="s">
        <v>106</v>
      </c>
      <c r="R428" s="14" t="s">
        <v>2115</v>
      </c>
      <c r="S428" s="7" t="s">
        <v>2116</v>
      </c>
      <c r="T428" s="8"/>
      <c r="U428" s="11" t="str">
        <f>HYPERLINK("https://pbs.twimg.com/profile_images/799206549025603584/G1d1duXU.jpg","View")</f>
        <v>View</v>
      </c>
      <c r="V428" s="8"/>
      <c r="W428" s="8"/>
      <c r="X428" s="8"/>
      <c r="Y428" s="8"/>
      <c r="Z428" s="8"/>
    </row>
    <row r="429" spans="1:26" ht="13.2">
      <c r="A429" s="13">
        <v>44250.701261574075</v>
      </c>
      <c r="B429" s="6" t="str">
        <f>HYPERLINK("https://twitter.com/ANoorTech","@ANoorTech")</f>
        <v>@ANoorTech</v>
      </c>
      <c r="C429" s="14" t="s">
        <v>2117</v>
      </c>
      <c r="D429" s="14" t="s">
        <v>2118</v>
      </c>
      <c r="E429" s="6" t="str">
        <f>HYPERLINK("https://twitter.com/ANoorTech/status/1364241060466098176","1364241060466098176")</f>
        <v>1364241060466098176</v>
      </c>
      <c r="F429" s="8"/>
      <c r="G429" s="7" t="s">
        <v>2119</v>
      </c>
      <c r="H429" s="8"/>
      <c r="I429" s="14">
        <v>14</v>
      </c>
      <c r="J429" s="14">
        <v>8</v>
      </c>
      <c r="K429" s="6" t="str">
        <f>HYPERLINK("https://mobile.twitter.com","Twitter Web App")</f>
        <v>Twitter Web App</v>
      </c>
      <c r="L429" s="15">
        <v>392</v>
      </c>
      <c r="M429" s="15">
        <v>333</v>
      </c>
      <c r="N429" s="15">
        <v>0</v>
      </c>
      <c r="O429" s="9"/>
      <c r="P429" s="10">
        <v>44241.511238425926</v>
      </c>
      <c r="Q429" s="14" t="s">
        <v>2120</v>
      </c>
      <c r="R429" s="14" t="s">
        <v>2121</v>
      </c>
      <c r="S429" s="8"/>
      <c r="T429" s="8"/>
      <c r="U429" s="11" t="str">
        <f>HYPERLINK("https://pbs.twimg.com/profile_images/1361417183574839302/G5WcAJbe.jpg","View")</f>
        <v>View</v>
      </c>
      <c r="V429" s="8"/>
      <c r="W429" s="8"/>
      <c r="X429" s="8"/>
      <c r="Y429" s="8"/>
      <c r="Z429" s="8"/>
    </row>
    <row r="430" spans="1:26" ht="13.2">
      <c r="A430" s="13">
        <v>44250.700752314813</v>
      </c>
      <c r="B430" s="6" t="str">
        <f>HYPERLINK("https://twitter.com/HealthcareMuse","@HealthcareMuse")</f>
        <v>@HealthcareMuse</v>
      </c>
      <c r="C430" s="14" t="s">
        <v>2122</v>
      </c>
      <c r="D430" s="14" t="s">
        <v>2123</v>
      </c>
      <c r="E430" s="6" t="str">
        <f>HYPERLINK("https://twitter.com/HealthcareMuse/status/1364240873781932032","1364240873781932032")</f>
        <v>1364240873781932032</v>
      </c>
      <c r="F430" s="7" t="s">
        <v>2124</v>
      </c>
      <c r="G430" s="7" t="s">
        <v>2125</v>
      </c>
      <c r="H430" s="8"/>
      <c r="I430" s="14">
        <v>0</v>
      </c>
      <c r="J430" s="14">
        <v>0</v>
      </c>
      <c r="K430" s="6" t="str">
        <f>HYPERLINK("https://www.hootsuite.com","Hootsuite Inc.")</f>
        <v>Hootsuite Inc.</v>
      </c>
      <c r="L430" s="15">
        <v>19</v>
      </c>
      <c r="M430" s="15">
        <v>5</v>
      </c>
      <c r="N430" s="15">
        <v>0</v>
      </c>
      <c r="O430" s="9"/>
      <c r="P430" s="10">
        <v>43899.899745370371</v>
      </c>
      <c r="Q430" s="8"/>
      <c r="R430" s="14" t="s">
        <v>2126</v>
      </c>
      <c r="S430" s="7" t="s">
        <v>2127</v>
      </c>
      <c r="T430" s="8"/>
      <c r="U430" s="11" t="str">
        <f>HYPERLINK("https://pbs.twimg.com/profile_images/1237117157751824384/dRV7YKvy.jpg","View")</f>
        <v>View</v>
      </c>
      <c r="V430" s="8"/>
      <c r="W430" s="8"/>
      <c r="X430" s="8"/>
      <c r="Y430" s="8"/>
      <c r="Z430" s="8"/>
    </row>
    <row r="431" spans="1:26" ht="13.2">
      <c r="A431" s="13">
        <v>44250.700717592597</v>
      </c>
      <c r="B431" s="6" t="str">
        <f>HYPERLINK("https://twitter.com/Arnold_Haine","@Arnold_Haine")</f>
        <v>@Arnold_Haine</v>
      </c>
      <c r="C431" s="14" t="s">
        <v>2128</v>
      </c>
      <c r="D431" s="14" t="s">
        <v>2129</v>
      </c>
      <c r="E431" s="6" t="str">
        <f>HYPERLINK("https://twitter.com/Arnold_Haine/status/1364240859814887425","1364240859814887425")</f>
        <v>1364240859814887425</v>
      </c>
      <c r="F431" s="7" t="s">
        <v>2130</v>
      </c>
      <c r="G431" s="7" t="s">
        <v>2131</v>
      </c>
      <c r="H431" s="8"/>
      <c r="I431" s="14">
        <v>0</v>
      </c>
      <c r="J431" s="14">
        <v>0</v>
      </c>
      <c r="K431" s="6" t="str">
        <f>HYPERLINK("https://buffer.com","Buffer")</f>
        <v>Buffer</v>
      </c>
      <c r="L431" s="15">
        <v>8235</v>
      </c>
      <c r="M431" s="15">
        <v>3987</v>
      </c>
      <c r="N431" s="15">
        <v>3414</v>
      </c>
      <c r="O431" s="9"/>
      <c r="P431" s="10">
        <v>39883.2815162037</v>
      </c>
      <c r="Q431" s="14" t="s">
        <v>1446</v>
      </c>
      <c r="R431" s="14" t="s">
        <v>2132</v>
      </c>
      <c r="S431" s="7" t="s">
        <v>2133</v>
      </c>
      <c r="T431" s="8"/>
      <c r="U431" s="11" t="str">
        <f>HYPERLINK("https://pbs.twimg.com/profile_images/788408495452393473/J53k5sL8.jpg","View")</f>
        <v>View</v>
      </c>
      <c r="V431" s="8"/>
      <c r="W431" s="8"/>
      <c r="X431" s="8"/>
      <c r="Y431" s="8"/>
      <c r="Z431" s="8"/>
    </row>
    <row r="432" spans="1:26" ht="13.2">
      <c r="A432" s="13">
        <v>44250.700590277775</v>
      </c>
      <c r="B432" s="6" t="str">
        <f>HYPERLINK("https://twitter.com/matthewokeefe1","@matthewokeefe1")</f>
        <v>@matthewokeefe1</v>
      </c>
      <c r="C432" s="14" t="s">
        <v>2134</v>
      </c>
      <c r="D432" s="14" t="s">
        <v>2135</v>
      </c>
      <c r="E432" s="6" t="str">
        <f>HYPERLINK("https://twitter.com/matthewokeefe1/status/1364240815380332548","1364240815380332548")</f>
        <v>1364240815380332548</v>
      </c>
      <c r="F432" s="7" t="s">
        <v>2136</v>
      </c>
      <c r="G432" s="8"/>
      <c r="H432" s="8"/>
      <c r="I432" s="14">
        <v>1</v>
      </c>
      <c r="J432" s="14">
        <v>0</v>
      </c>
      <c r="K432" s="6" t="str">
        <f t="shared" ref="K432:K436" si="67">HYPERLINK("https://mobile.twitter.com","Twitter Web App")</f>
        <v>Twitter Web App</v>
      </c>
      <c r="L432" s="15">
        <v>353</v>
      </c>
      <c r="M432" s="15">
        <v>272</v>
      </c>
      <c r="N432" s="15">
        <v>20</v>
      </c>
      <c r="O432" s="9"/>
      <c r="P432" s="10">
        <v>39937.130254629628</v>
      </c>
      <c r="Q432" s="14" t="s">
        <v>2137</v>
      </c>
      <c r="R432" s="14" t="s">
        <v>2138</v>
      </c>
      <c r="S432" s="7" t="s">
        <v>2139</v>
      </c>
      <c r="T432" s="8"/>
      <c r="U432" s="11" t="str">
        <f>HYPERLINK("https://pbs.twimg.com/profile_images/1259036394/bender_the_offender.jpg","View")</f>
        <v>View</v>
      </c>
      <c r="V432" s="8"/>
      <c r="W432" s="8"/>
      <c r="X432" s="8"/>
      <c r="Y432" s="8"/>
      <c r="Z432" s="8"/>
    </row>
    <row r="433" spans="1:26" ht="13.2">
      <c r="A433" s="13">
        <v>44250.699930555551</v>
      </c>
      <c r="B433" s="6" t="str">
        <f>HYPERLINK("https://twitter.com/NoorahAlhasan","@NoorahAlhasan")</f>
        <v>@NoorahAlhasan</v>
      </c>
      <c r="C433" s="14" t="s">
        <v>2140</v>
      </c>
      <c r="D433" s="14" t="s">
        <v>2141</v>
      </c>
      <c r="E433" s="6" t="str">
        <f>HYPERLINK("https://twitter.com/NoorahAlhasan/status/1364240577743650822","1364240577743650822")</f>
        <v>1364240577743650822</v>
      </c>
      <c r="F433" s="8"/>
      <c r="G433" s="8"/>
      <c r="H433" s="8"/>
      <c r="I433" s="14">
        <v>4</v>
      </c>
      <c r="J433" s="14">
        <v>0</v>
      </c>
      <c r="K433" s="6" t="str">
        <f t="shared" si="67"/>
        <v>Twitter Web App</v>
      </c>
      <c r="L433" s="15">
        <v>311</v>
      </c>
      <c r="M433" s="15">
        <v>489</v>
      </c>
      <c r="N433" s="15">
        <v>1</v>
      </c>
      <c r="O433" s="9"/>
      <c r="P433" s="10">
        <v>43367.099212962959</v>
      </c>
      <c r="Q433" s="14" t="s">
        <v>2142</v>
      </c>
      <c r="R433" s="14" t="s">
        <v>2143</v>
      </c>
      <c r="S433" s="7" t="s">
        <v>2144</v>
      </c>
      <c r="T433" s="8"/>
      <c r="U433" s="11" t="str">
        <f>HYPERLINK("https://pbs.twimg.com/profile_images/1261347000408322054/19irH2Lx.jpg","View")</f>
        <v>View</v>
      </c>
      <c r="V433" s="8"/>
      <c r="W433" s="8"/>
      <c r="X433" s="8"/>
      <c r="Y433" s="8"/>
      <c r="Z433" s="8"/>
    </row>
    <row r="434" spans="1:26" ht="13.2">
      <c r="A434" s="13">
        <v>44250.699722222227</v>
      </c>
      <c r="B434" s="6" t="str">
        <f>HYPERLINK("https://twitter.com/AppColl","@AppColl")</f>
        <v>@AppColl</v>
      </c>
      <c r="C434" s="14" t="s">
        <v>2145</v>
      </c>
      <c r="D434" s="14" t="s">
        <v>2146</v>
      </c>
      <c r="E434" s="6" t="str">
        <f>HYPERLINK("https://twitter.com/AppColl/status/1364240502455894025","1364240502455894025")</f>
        <v>1364240502455894025</v>
      </c>
      <c r="F434" s="7" t="s">
        <v>2147</v>
      </c>
      <c r="G434" s="7" t="s">
        <v>2148</v>
      </c>
      <c r="H434" s="8"/>
      <c r="I434" s="14">
        <v>1</v>
      </c>
      <c r="J434" s="14">
        <v>0</v>
      </c>
      <c r="K434" s="6" t="str">
        <f t="shared" si="67"/>
        <v>Twitter Web App</v>
      </c>
      <c r="L434" s="15">
        <v>49</v>
      </c>
      <c r="M434" s="15">
        <v>12</v>
      </c>
      <c r="N434" s="15">
        <v>3</v>
      </c>
      <c r="O434" s="9"/>
      <c r="P434" s="10">
        <v>40687.999189814815</v>
      </c>
      <c r="Q434" s="14" t="s">
        <v>875</v>
      </c>
      <c r="R434" s="8"/>
      <c r="S434" s="7" t="s">
        <v>2149</v>
      </c>
      <c r="T434" s="8"/>
      <c r="U434" s="11" t="str">
        <f>HYPERLINK("https://pbs.twimg.com/profile_images/971844863044894720/OV9SEjpx.jpg","View")</f>
        <v>View</v>
      </c>
      <c r="V434" s="8"/>
      <c r="W434" s="8"/>
      <c r="X434" s="8"/>
      <c r="Y434" s="8"/>
      <c r="Z434" s="8"/>
    </row>
    <row r="435" spans="1:26" ht="13.2">
      <c r="A435" s="13">
        <v>44250.699699074074</v>
      </c>
      <c r="B435" s="6" t="str">
        <f>HYPERLINK("https://twitter.com/Eli_Krumova","@Eli_Krumova")</f>
        <v>@Eli_Krumova</v>
      </c>
      <c r="C435" s="14" t="s">
        <v>947</v>
      </c>
      <c r="D435" s="14" t="s">
        <v>2150</v>
      </c>
      <c r="E435" s="6" t="str">
        <f>HYPERLINK("https://twitter.com/Eli_Krumova/status/1364240492859383812","1364240492859383812")</f>
        <v>1364240492859383812</v>
      </c>
      <c r="F435" s="7" t="s">
        <v>2151</v>
      </c>
      <c r="G435" s="14" t="s">
        <v>2152</v>
      </c>
      <c r="H435" s="8"/>
      <c r="I435" s="14">
        <v>14</v>
      </c>
      <c r="J435" s="14">
        <v>10</v>
      </c>
      <c r="K435" s="6" t="str">
        <f t="shared" si="67"/>
        <v>Twitter Web App</v>
      </c>
      <c r="L435" s="15">
        <v>4471</v>
      </c>
      <c r="M435" s="15">
        <v>5001</v>
      </c>
      <c r="N435" s="15">
        <v>79</v>
      </c>
      <c r="O435" s="9"/>
      <c r="P435" s="10">
        <v>41346.597002314811</v>
      </c>
      <c r="Q435" s="14" t="s">
        <v>951</v>
      </c>
      <c r="R435" s="14" t="s">
        <v>952</v>
      </c>
      <c r="S435" s="8"/>
      <c r="T435" s="8"/>
      <c r="U435" s="11" t="str">
        <f>HYPERLINK("https://pbs.twimg.com/profile_images/1361638888427683840/HqNlplM_.jpg","View")</f>
        <v>View</v>
      </c>
      <c r="V435" s="8"/>
      <c r="W435" s="8"/>
      <c r="X435" s="8"/>
      <c r="Y435" s="8"/>
      <c r="Z435" s="8"/>
    </row>
    <row r="436" spans="1:26" ht="13.2">
      <c r="A436" s="13">
        <v>44250.699629629627</v>
      </c>
      <c r="B436" s="6" t="str">
        <f>HYPERLINK("https://twitter.com/MarinaMayer","@MarinaMayer")</f>
        <v>@MarinaMayer</v>
      </c>
      <c r="C436" s="14" t="s">
        <v>2153</v>
      </c>
      <c r="D436" s="14" t="s">
        <v>2154</v>
      </c>
      <c r="E436" s="6" t="str">
        <f>HYPERLINK("https://twitter.com/MarinaMayer/status/1364240467450298370","1364240467450298370")</f>
        <v>1364240467450298370</v>
      </c>
      <c r="F436" s="7" t="s">
        <v>2155</v>
      </c>
      <c r="G436" s="8"/>
      <c r="H436" s="8"/>
      <c r="I436" s="14">
        <v>1</v>
      </c>
      <c r="J436" s="14">
        <v>1</v>
      </c>
      <c r="K436" s="6" t="str">
        <f t="shared" si="67"/>
        <v>Twitter Web App</v>
      </c>
      <c r="L436" s="15">
        <v>82</v>
      </c>
      <c r="M436" s="15">
        <v>260</v>
      </c>
      <c r="N436" s="15">
        <v>6</v>
      </c>
      <c r="O436" s="9"/>
      <c r="P436" s="10">
        <v>42326.199861111112</v>
      </c>
      <c r="Q436" s="14" t="s">
        <v>2156</v>
      </c>
      <c r="R436" s="14" t="s">
        <v>2157</v>
      </c>
      <c r="S436" s="8"/>
      <c r="T436" s="8"/>
      <c r="U436" s="11" t="str">
        <f>HYPERLINK("https://pbs.twimg.com/profile_images/1358894751353868289/7N1GLM6J.jpg","View")</f>
        <v>View</v>
      </c>
      <c r="V436" s="8"/>
      <c r="W436" s="8"/>
      <c r="X436" s="8"/>
      <c r="Y436" s="8"/>
      <c r="Z436" s="8"/>
    </row>
    <row r="437" spans="1:26" ht="13.2">
      <c r="A437" s="13">
        <v>44250.699467592596</v>
      </c>
      <c r="B437" s="6" t="str">
        <f>HYPERLINK("https://twitter.com/MasonandWake","@MasonandWake")</f>
        <v>@MasonandWake</v>
      </c>
      <c r="C437" s="14" t="s">
        <v>2158</v>
      </c>
      <c r="D437" s="14" t="s">
        <v>2159</v>
      </c>
      <c r="E437" s="6" t="str">
        <f>HYPERLINK("https://twitter.com/MasonandWake/status/1364240408696520709","1364240408696520709")</f>
        <v>1364240408696520709</v>
      </c>
      <c r="F437" s="7" t="s">
        <v>2160</v>
      </c>
      <c r="G437" s="7" t="s">
        <v>2161</v>
      </c>
      <c r="H437" s="8"/>
      <c r="I437" s="14">
        <v>0</v>
      </c>
      <c r="J437" s="14">
        <v>0</v>
      </c>
      <c r="K437" s="6" t="str">
        <f>HYPERLINK("https://paiger.co","Paiger")</f>
        <v>Paiger</v>
      </c>
      <c r="L437" s="15">
        <v>549</v>
      </c>
      <c r="M437" s="15">
        <v>2364</v>
      </c>
      <c r="N437" s="15">
        <v>10</v>
      </c>
      <c r="O437" s="9"/>
      <c r="P437" s="10">
        <v>41712.721736111111</v>
      </c>
      <c r="Q437" s="14" t="s">
        <v>753</v>
      </c>
      <c r="R437" s="14" t="s">
        <v>2162</v>
      </c>
      <c r="S437" s="7" t="s">
        <v>2163</v>
      </c>
      <c r="T437" s="8"/>
      <c r="U437" s="11" t="str">
        <f>HYPERLINK("https://pbs.twimg.com/profile_images/917772922604933126/s8Flwqcx.jpg","View")</f>
        <v>View</v>
      </c>
      <c r="V437" s="8"/>
      <c r="W437" s="8"/>
      <c r="X437" s="8"/>
      <c r="Y437" s="8"/>
      <c r="Z437" s="8"/>
    </row>
    <row r="438" spans="1:26" ht="13.2">
      <c r="A438" s="13">
        <v>44250.699467592596</v>
      </c>
      <c r="B438" s="6" t="str">
        <f>HYPERLINK("https://twitter.com/vishvdeep18","@vishvdeep18")</f>
        <v>@vishvdeep18</v>
      </c>
      <c r="C438" s="14" t="s">
        <v>2164</v>
      </c>
      <c r="D438" s="14" t="s">
        <v>2165</v>
      </c>
      <c r="E438" s="6" t="str">
        <f>HYPERLINK("https://twitter.com/vishvdeep18/status/1364240407694102530","1364240407694102530")</f>
        <v>1364240407694102530</v>
      </c>
      <c r="F438" s="7" t="s">
        <v>2166</v>
      </c>
      <c r="G438" s="8"/>
      <c r="H438" s="8"/>
      <c r="I438" s="14">
        <v>1</v>
      </c>
      <c r="J438" s="14">
        <v>2</v>
      </c>
      <c r="K438" s="6" t="str">
        <f t="shared" ref="K438:K439" si="68">HYPERLINK("https://mobile.twitter.com","Twitter Web App")</f>
        <v>Twitter Web App</v>
      </c>
      <c r="L438" s="15">
        <v>267</v>
      </c>
      <c r="M438" s="15">
        <v>384</v>
      </c>
      <c r="N438" s="15">
        <v>12</v>
      </c>
      <c r="O438" s="9"/>
      <c r="P438" s="10">
        <v>42617.455659722225</v>
      </c>
      <c r="Q438" s="14" t="s">
        <v>2167</v>
      </c>
      <c r="R438" s="14" t="s">
        <v>2168</v>
      </c>
      <c r="S438" s="7" t="s">
        <v>2169</v>
      </c>
      <c r="T438" s="8"/>
      <c r="U438" s="11" t="str">
        <f>HYPERLINK("https://pbs.twimg.com/profile_images/1332249146099605506/faPNOnod.jpg","View")</f>
        <v>View</v>
      </c>
      <c r="V438" s="8"/>
      <c r="W438" s="8"/>
      <c r="X438" s="8"/>
      <c r="Y438" s="8"/>
      <c r="Z438" s="8"/>
    </row>
    <row r="439" spans="1:26" ht="13.2">
      <c r="A439" s="13">
        <v>44250.699016203704</v>
      </c>
      <c r="B439" s="6" t="str">
        <f>HYPERLINK("https://twitter.com/PythonPr","@PythonPr")</f>
        <v>@PythonPr</v>
      </c>
      <c r="C439" s="14" t="s">
        <v>2170</v>
      </c>
      <c r="D439" s="14" t="s">
        <v>2171</v>
      </c>
      <c r="E439" s="6" t="str">
        <f>HYPERLINK("https://twitter.com/PythonPr/status/1364240243394637828","1364240243394637828")</f>
        <v>1364240243394637828</v>
      </c>
      <c r="F439" s="7" t="s">
        <v>2172</v>
      </c>
      <c r="G439" s="8"/>
      <c r="H439" s="8"/>
      <c r="I439" s="14">
        <v>0</v>
      </c>
      <c r="J439" s="14">
        <v>2</v>
      </c>
      <c r="K439" s="6" t="str">
        <f t="shared" si="68"/>
        <v>Twitter Web App</v>
      </c>
      <c r="L439" s="15">
        <v>7122</v>
      </c>
      <c r="M439" s="15">
        <v>1310</v>
      </c>
      <c r="N439" s="15">
        <v>74</v>
      </c>
      <c r="O439" s="9"/>
      <c r="P439" s="10">
        <v>42846.566689814819</v>
      </c>
      <c r="Q439" s="14" t="s">
        <v>322</v>
      </c>
      <c r="R439" s="14" t="s">
        <v>2173</v>
      </c>
      <c r="S439" s="7" t="s">
        <v>2174</v>
      </c>
      <c r="T439" s="8"/>
      <c r="U439" s="11" t="str">
        <f>HYPERLINK("https://pbs.twimg.com/profile_images/855386134439895041/BKOMdcnN.jpg","View")</f>
        <v>View</v>
      </c>
      <c r="V439" s="8"/>
      <c r="W439" s="8"/>
      <c r="X439" s="8"/>
      <c r="Y439" s="8"/>
      <c r="Z439" s="8"/>
    </row>
    <row r="440" spans="1:26" ht="13.2">
      <c r="A440" s="13">
        <v>44250.698414351849</v>
      </c>
      <c r="B440" s="6" t="str">
        <f>HYPERLINK("https://twitter.com/ai_summary","@ai_summary")</f>
        <v>@ai_summary</v>
      </c>
      <c r="C440" s="14" t="s">
        <v>528</v>
      </c>
      <c r="D440" s="14" t="s">
        <v>2175</v>
      </c>
      <c r="E440" s="6" t="str">
        <f>HYPERLINK("https://twitter.com/ai_summary/status/1364240025978822663","1364240025978822663")</f>
        <v>1364240025978822663</v>
      </c>
      <c r="F440" s="7" t="s">
        <v>2176</v>
      </c>
      <c r="G440" s="8"/>
      <c r="H440" s="8"/>
      <c r="I440" s="14">
        <v>0</v>
      </c>
      <c r="J440" s="14">
        <v>0</v>
      </c>
      <c r="K440" s="8"/>
      <c r="L440" s="15">
        <v>47</v>
      </c>
      <c r="M440" s="15">
        <v>7</v>
      </c>
      <c r="N440" s="15">
        <v>2</v>
      </c>
      <c r="O440" s="9"/>
      <c r="P440" s="10">
        <v>44039.504699074074</v>
      </c>
      <c r="Q440" s="8"/>
      <c r="R440" s="14" t="s">
        <v>531</v>
      </c>
      <c r="S440" s="8"/>
      <c r="T440" s="8"/>
      <c r="U440" s="11" t="str">
        <f>HYPERLINK("https://pbs.twimg.com/profile_images/1315240281206382592/-i10o6Yg.jpg","View")</f>
        <v>View</v>
      </c>
      <c r="V440" s="8"/>
      <c r="W440" s="8"/>
      <c r="X440" s="8"/>
      <c r="Y440" s="8"/>
      <c r="Z440" s="8"/>
    </row>
    <row r="441" spans="1:26" ht="13.2">
      <c r="A441" s="13">
        <v>44250.698217592595</v>
      </c>
      <c r="B441" s="6" t="str">
        <f>HYPERLINK("https://twitter.com/AnnetteSophonie","@AnnetteSophonie")</f>
        <v>@AnnetteSophonie</v>
      </c>
      <c r="C441" s="14" t="s">
        <v>2177</v>
      </c>
      <c r="D441" s="14" t="s">
        <v>2178</v>
      </c>
      <c r="E441" s="6" t="str">
        <f>HYPERLINK("https://twitter.com/AnnetteSophonie/status/1364239953966690308","1364239953966690308")</f>
        <v>1364239953966690308</v>
      </c>
      <c r="F441" s="7" t="s">
        <v>2179</v>
      </c>
      <c r="G441" s="7" t="s">
        <v>2180</v>
      </c>
      <c r="H441" s="8"/>
      <c r="I441" s="14">
        <v>1</v>
      </c>
      <c r="J441" s="14">
        <v>1</v>
      </c>
      <c r="K441" s="6" t="str">
        <f>HYPERLINK("https://mobile.twitter.com","Twitter Web App")</f>
        <v>Twitter Web App</v>
      </c>
      <c r="L441" s="15">
        <v>1254</v>
      </c>
      <c r="M441" s="15">
        <v>1237</v>
      </c>
      <c r="N441" s="15">
        <v>11</v>
      </c>
      <c r="O441" s="9"/>
      <c r="P441" s="10">
        <v>43514.004745370374</v>
      </c>
      <c r="Q441" s="14" t="s">
        <v>2181</v>
      </c>
      <c r="R441" s="14" t="s">
        <v>2182</v>
      </c>
      <c r="S441" s="8"/>
      <c r="T441" s="8"/>
      <c r="U441" s="11" t="str">
        <f>HYPERLINK("https://pbs.twimg.com/profile_images/1097274157040128000/kbJdFYDd.jpg","View")</f>
        <v>View</v>
      </c>
      <c r="V441" s="8"/>
      <c r="W441" s="8"/>
      <c r="X441" s="8"/>
      <c r="Y441" s="8"/>
      <c r="Z441" s="8"/>
    </row>
    <row r="442" spans="1:26" ht="13.2">
      <c r="A442" s="13">
        <v>44250.698055555556</v>
      </c>
      <c r="B442" s="6" t="str">
        <f>HYPERLINK("https://twitter.com/Tech_SanDiego","@Tech_SanDiego")</f>
        <v>@Tech_SanDiego</v>
      </c>
      <c r="C442" s="14" t="s">
        <v>2183</v>
      </c>
      <c r="D442" s="14" t="s">
        <v>2184</v>
      </c>
      <c r="E442" s="6" t="str">
        <f>HYPERLINK("https://twitter.com/Tech_SanDiego/status/1364239899226963968","1364239899226963968")</f>
        <v>1364239899226963968</v>
      </c>
      <c r="F442" s="7" t="s">
        <v>2185</v>
      </c>
      <c r="G442" s="8"/>
      <c r="H442" s="8"/>
      <c r="I442" s="14">
        <v>2</v>
      </c>
      <c r="J442" s="14">
        <v>2</v>
      </c>
      <c r="K442" s="6" t="str">
        <f>HYPERLINK("https://www.hootsuite.com","Hootsuite Inc.")</f>
        <v>Hootsuite Inc.</v>
      </c>
      <c r="L442" s="15">
        <v>997</v>
      </c>
      <c r="M442" s="15">
        <v>492</v>
      </c>
      <c r="N442" s="15">
        <v>36</v>
      </c>
      <c r="O442" s="9"/>
      <c r="P442" s="10">
        <v>39892.226574074077</v>
      </c>
      <c r="Q442" s="14" t="s">
        <v>747</v>
      </c>
      <c r="R442" s="14" t="s">
        <v>2186</v>
      </c>
      <c r="S442" s="7" t="s">
        <v>2187</v>
      </c>
      <c r="T442" s="8"/>
      <c r="U442" s="11" t="str">
        <f>HYPERLINK("https://pbs.twimg.com/profile_images/1116405162074001408/_HVjBjUF.png","View")</f>
        <v>View</v>
      </c>
      <c r="V442" s="8"/>
      <c r="W442" s="8"/>
      <c r="X442" s="8"/>
      <c r="Y442" s="8"/>
      <c r="Z442" s="8"/>
    </row>
    <row r="443" spans="1:26" ht="13.2">
      <c r="A443" s="13">
        <v>44250.697939814811</v>
      </c>
      <c r="B443" s="6" t="str">
        <f>HYPERLINK("https://twitter.com/Revista_ByteTI","@Revista_ByteTI")</f>
        <v>@Revista_ByteTI</v>
      </c>
      <c r="C443" s="14" t="s">
        <v>2188</v>
      </c>
      <c r="D443" s="14" t="s">
        <v>2189</v>
      </c>
      <c r="E443" s="6" t="str">
        <f>HYPERLINK("https://twitter.com/Revista_ByteTI/status/1364239854519934978","1364239854519934978")</f>
        <v>1364239854519934978</v>
      </c>
      <c r="F443" s="7" t="s">
        <v>2190</v>
      </c>
      <c r="G443" s="7" t="s">
        <v>2191</v>
      </c>
      <c r="H443" s="8"/>
      <c r="I443" s="14">
        <v>2</v>
      </c>
      <c r="J443" s="14">
        <v>0</v>
      </c>
      <c r="K443" s="6" t="str">
        <f>HYPERLINK("https://buffer.com","Buffer")</f>
        <v>Buffer</v>
      </c>
      <c r="L443" s="15">
        <v>8969</v>
      </c>
      <c r="M443" s="15">
        <v>2411</v>
      </c>
      <c r="N443" s="15">
        <v>481</v>
      </c>
      <c r="O443" s="9"/>
      <c r="P443" s="10">
        <v>40438.546817129631</v>
      </c>
      <c r="Q443" s="14" t="s">
        <v>2192</v>
      </c>
      <c r="R443" s="14" t="s">
        <v>2193</v>
      </c>
      <c r="S443" s="7" t="s">
        <v>2194</v>
      </c>
      <c r="T443" s="8"/>
      <c r="U443" s="11" t="str">
        <f>HYPERLINK("https://pbs.twimg.com/profile_images/1152134143570010113/l-6grP4K.jpg","View")</f>
        <v>View</v>
      </c>
      <c r="V443" s="8"/>
      <c r="W443" s="8"/>
      <c r="X443" s="8"/>
      <c r="Y443" s="8"/>
      <c r="Z443" s="8"/>
    </row>
    <row r="444" spans="1:26" ht="13.2">
      <c r="A444" s="13">
        <v>44250.69736111111</v>
      </c>
      <c r="B444" s="6" t="str">
        <f>HYPERLINK("https://twitter.com/LindstenFredrik","@LindstenFredrik")</f>
        <v>@LindstenFredrik</v>
      </c>
      <c r="C444" s="14" t="s">
        <v>2195</v>
      </c>
      <c r="D444" s="14" t="s">
        <v>2196</v>
      </c>
      <c r="E444" s="6" t="str">
        <f>HYPERLINK("https://twitter.com/LindstenFredrik/status/1364239646738235400","1364239646738235400")</f>
        <v>1364239646738235400</v>
      </c>
      <c r="F444" s="7" t="s">
        <v>2197</v>
      </c>
      <c r="G444" s="8"/>
      <c r="H444" s="8"/>
      <c r="I444" s="14">
        <v>1</v>
      </c>
      <c r="J444" s="14">
        <v>2</v>
      </c>
      <c r="K444" s="6" t="str">
        <f>HYPERLINK("https://mobile.twitter.com","Twitter Web App")</f>
        <v>Twitter Web App</v>
      </c>
      <c r="L444" s="15">
        <v>64</v>
      </c>
      <c r="M444" s="15">
        <v>45</v>
      </c>
      <c r="N444" s="15">
        <v>1</v>
      </c>
      <c r="O444" s="9"/>
      <c r="P444" s="10">
        <v>43810.322476851856</v>
      </c>
      <c r="Q444" s="8"/>
      <c r="R444" s="14" t="s">
        <v>2198</v>
      </c>
      <c r="S444" s="8"/>
      <c r="T444" s="8"/>
      <c r="U444" s="11" t="str">
        <f>HYPERLINK("https://pbs.twimg.com/profile_images/1204653241159626754/i6osvAbw.png","View")</f>
        <v>View</v>
      </c>
      <c r="V444" s="8"/>
      <c r="W444" s="8"/>
      <c r="X444" s="8"/>
      <c r="Y444" s="8"/>
      <c r="Z444" s="8"/>
    </row>
    <row r="445" spans="1:26" ht="13.2">
      <c r="A445" s="13">
        <v>44250.696932870371</v>
      </c>
      <c r="B445" s="6" t="str">
        <f>HYPERLINK("https://twitter.com/machinelearnflx","@machinelearnflx")</f>
        <v>@machinelearnflx</v>
      </c>
      <c r="C445" s="14" t="s">
        <v>279</v>
      </c>
      <c r="D445" s="14" t="s">
        <v>2199</v>
      </c>
      <c r="E445" s="6" t="str">
        <f>HYPERLINK("https://twitter.com/machinelearnflx/status/1364239491104440323","1364239491104440323")</f>
        <v>1364239491104440323</v>
      </c>
      <c r="F445" s="7" t="s">
        <v>2200</v>
      </c>
      <c r="G445" s="8"/>
      <c r="H445" s="8"/>
      <c r="I445" s="14">
        <v>8</v>
      </c>
      <c r="J445" s="14">
        <v>6</v>
      </c>
      <c r="K445" s="6" t="str">
        <f>HYPERLINK("https://twitter.com/pythonbot_","Postmatico")</f>
        <v>Postmatico</v>
      </c>
      <c r="L445" s="15">
        <v>90451</v>
      </c>
      <c r="M445" s="15">
        <v>35464</v>
      </c>
      <c r="N445" s="15">
        <v>2227</v>
      </c>
      <c r="O445" s="9"/>
      <c r="P445" s="10">
        <v>42386.538865740746</v>
      </c>
      <c r="Q445" s="8"/>
      <c r="R445" s="14" t="s">
        <v>282</v>
      </c>
      <c r="S445" s="7" t="s">
        <v>283</v>
      </c>
      <c r="T445" s="8"/>
      <c r="U445" s="11" t="str">
        <f>HYPERLINK("https://pbs.twimg.com/profile_images/688735459892195329/v8sHaWSG.jpg","View")</f>
        <v>View</v>
      </c>
      <c r="V445" s="8"/>
      <c r="W445" s="8"/>
      <c r="X445" s="8"/>
      <c r="Y445" s="8"/>
      <c r="Z445" s="8"/>
    </row>
    <row r="446" spans="1:26" ht="13.2">
      <c r="A446" s="13">
        <v>44250.696805555555</v>
      </c>
      <c r="B446" s="6" t="str">
        <f t="shared" ref="B446:B447" si="69">HYPERLINK("https://twitter.com/mlmemoirs","@mlmemoirs")</f>
        <v>@mlmemoirs</v>
      </c>
      <c r="C446" s="14" t="s">
        <v>577</v>
      </c>
      <c r="D446" s="14" t="s">
        <v>2097</v>
      </c>
      <c r="E446" s="6" t="str">
        <f>HYPERLINK("https://twitter.com/mlmemoirs/status/1364239445281636353","1364239445281636353")</f>
        <v>1364239445281636353</v>
      </c>
      <c r="F446" s="7" t="s">
        <v>2201</v>
      </c>
      <c r="G446" s="8"/>
      <c r="H446" s="8"/>
      <c r="I446" s="14">
        <v>1</v>
      </c>
      <c r="J446" s="14">
        <v>1</v>
      </c>
      <c r="K446" s="6" t="str">
        <f t="shared" ref="K446:K447" si="70">HYPERLINK("https://ifttt.com","IFTTT")</f>
        <v>IFTTT</v>
      </c>
      <c r="L446" s="15">
        <v>1674</v>
      </c>
      <c r="M446" s="15">
        <v>2216</v>
      </c>
      <c r="N446" s="15">
        <v>30</v>
      </c>
      <c r="O446" s="9"/>
      <c r="P446" s="10">
        <v>43238.970069444447</v>
      </c>
      <c r="Q446" s="14" t="s">
        <v>478</v>
      </c>
      <c r="R446" s="14" t="s">
        <v>579</v>
      </c>
      <c r="S446" s="8"/>
      <c r="T446" s="8"/>
      <c r="U446" s="11" t="str">
        <f t="shared" ref="U446:U447" si="71">HYPERLINK("https://pbs.twimg.com/profile_images/1050964116729413637/Q5tLLPAf.jpg","View")</f>
        <v>View</v>
      </c>
      <c r="V446" s="8"/>
      <c r="W446" s="8"/>
      <c r="X446" s="8"/>
      <c r="Y446" s="8"/>
      <c r="Z446" s="8"/>
    </row>
    <row r="447" spans="1:26" ht="13.2">
      <c r="A447" s="13">
        <v>44250.696793981479</v>
      </c>
      <c r="B447" s="6" t="str">
        <f t="shared" si="69"/>
        <v>@mlmemoirs</v>
      </c>
      <c r="C447" s="14" t="s">
        <v>577</v>
      </c>
      <c r="D447" s="14" t="s">
        <v>2105</v>
      </c>
      <c r="E447" s="6" t="str">
        <f>HYPERLINK("https://twitter.com/mlmemoirs/status/1364239439657107456","1364239439657107456")</f>
        <v>1364239439657107456</v>
      </c>
      <c r="F447" s="7" t="s">
        <v>2202</v>
      </c>
      <c r="G447" s="8"/>
      <c r="H447" s="8"/>
      <c r="I447" s="14">
        <v>1</v>
      </c>
      <c r="J447" s="14">
        <v>1</v>
      </c>
      <c r="K447" s="6" t="str">
        <f t="shared" si="70"/>
        <v>IFTTT</v>
      </c>
      <c r="L447" s="15">
        <v>1674</v>
      </c>
      <c r="M447" s="15">
        <v>2216</v>
      </c>
      <c r="N447" s="15">
        <v>30</v>
      </c>
      <c r="O447" s="9"/>
      <c r="P447" s="10">
        <v>43238.970069444447</v>
      </c>
      <c r="Q447" s="14" t="s">
        <v>478</v>
      </c>
      <c r="R447" s="14" t="s">
        <v>579</v>
      </c>
      <c r="S447" s="8"/>
      <c r="T447" s="8"/>
      <c r="U447" s="11" t="str">
        <f t="shared" si="71"/>
        <v>View</v>
      </c>
      <c r="V447" s="8"/>
      <c r="W447" s="8"/>
      <c r="X447" s="8"/>
      <c r="Y447" s="8"/>
      <c r="Z447" s="8"/>
    </row>
    <row r="448" spans="1:26" ht="13.2">
      <c r="A448" s="13">
        <v>44250.696712962963</v>
      </c>
      <c r="B448" s="6" t="str">
        <f>HYPERLINK("https://twitter.com/guidaautonoma","@guidaautonoma")</f>
        <v>@guidaautonoma</v>
      </c>
      <c r="C448" s="14" t="s">
        <v>2203</v>
      </c>
      <c r="D448" s="14" t="s">
        <v>2204</v>
      </c>
      <c r="E448" s="6" t="str">
        <f>HYPERLINK("https://twitter.com/guidaautonoma/status/1364239410292752384","1364239410292752384")</f>
        <v>1364239410292752384</v>
      </c>
      <c r="F448" s="7" t="s">
        <v>2205</v>
      </c>
      <c r="G448" s="7" t="s">
        <v>2206</v>
      </c>
      <c r="H448" s="8"/>
      <c r="I448" s="14">
        <v>1</v>
      </c>
      <c r="J448" s="14">
        <v>2</v>
      </c>
      <c r="K448" s="6" t="str">
        <f t="shared" ref="K448:K449" si="72">HYPERLINK("http://twitter.com/download/android","Twitter for Android")</f>
        <v>Twitter for Android</v>
      </c>
      <c r="L448" s="15">
        <v>7074</v>
      </c>
      <c r="M448" s="15">
        <v>6991</v>
      </c>
      <c r="N448" s="15">
        <v>411</v>
      </c>
      <c r="O448" s="9"/>
      <c r="P448" s="10">
        <v>42496.270833333328</v>
      </c>
      <c r="Q448" s="14" t="s">
        <v>2207</v>
      </c>
      <c r="R448" s="14" t="s">
        <v>2208</v>
      </c>
      <c r="S448" s="7" t="s">
        <v>2209</v>
      </c>
      <c r="T448" s="8"/>
      <c r="U448" s="11" t="str">
        <f>HYPERLINK("https://pbs.twimg.com/profile_images/728675456971583488/AVbaFxlK.jpg","View")</f>
        <v>View</v>
      </c>
      <c r="V448" s="8"/>
      <c r="W448" s="8"/>
      <c r="X448" s="8"/>
      <c r="Y448" s="8"/>
      <c r="Z448" s="8"/>
    </row>
    <row r="449" spans="1:26" ht="13.2">
      <c r="A449" s="13">
        <v>44250.696643518517</v>
      </c>
      <c r="B449" s="6" t="str">
        <f>HYPERLINK("https://twitter.com/moveForward_100","@moveForward_100")</f>
        <v>@moveForward_100</v>
      </c>
      <c r="C449" s="14" t="s">
        <v>2210</v>
      </c>
      <c r="D449" s="14" t="s">
        <v>2211</v>
      </c>
      <c r="E449" s="6" t="str">
        <f>HYPERLINK("https://twitter.com/moveForward_100/status/1364239386267672578","1364239386267672578")</f>
        <v>1364239386267672578</v>
      </c>
      <c r="F449" s="8"/>
      <c r="G449" s="7" t="s">
        <v>2212</v>
      </c>
      <c r="H449" s="8"/>
      <c r="I449" s="14">
        <v>2</v>
      </c>
      <c r="J449" s="14">
        <v>3</v>
      </c>
      <c r="K449" s="6" t="str">
        <f t="shared" si="72"/>
        <v>Twitter for Android</v>
      </c>
      <c r="L449" s="15">
        <v>10</v>
      </c>
      <c r="M449" s="15">
        <v>0</v>
      </c>
      <c r="N449" s="15">
        <v>0</v>
      </c>
      <c r="O449" s="9"/>
      <c r="P449" s="10">
        <v>44200.564791666664</v>
      </c>
      <c r="Q449" s="8"/>
      <c r="R449" s="14" t="s">
        <v>2213</v>
      </c>
      <c r="S449" s="7" t="s">
        <v>2214</v>
      </c>
      <c r="T449" s="8"/>
      <c r="U449" s="11" t="str">
        <f>HYPERLINK("https://pbs.twimg.com/profile_images/1346087818058215425/eeU9llBG.png","View")</f>
        <v>View</v>
      </c>
      <c r="V449" s="8"/>
      <c r="W449" s="8"/>
      <c r="X449" s="8"/>
      <c r="Y449" s="8"/>
      <c r="Z449" s="8"/>
    </row>
    <row r="450" spans="1:26" ht="13.2">
      <c r="A450" s="13">
        <v>44250.696597222224</v>
      </c>
      <c r="B450" s="6" t="str">
        <f>HYPERLINK("https://twitter.com/Financedata1","@Financedata1")</f>
        <v>@Financedata1</v>
      </c>
      <c r="C450" s="14" t="s">
        <v>2215</v>
      </c>
      <c r="D450" s="14" t="s">
        <v>2216</v>
      </c>
      <c r="E450" s="6" t="str">
        <f>HYPERLINK("https://twitter.com/Financedata1/status/1364239368873865220","1364239368873865220")</f>
        <v>1364239368873865220</v>
      </c>
      <c r="F450" s="7" t="s">
        <v>2217</v>
      </c>
      <c r="G450" s="8"/>
      <c r="H450" s="8"/>
      <c r="I450" s="14">
        <v>2</v>
      </c>
      <c r="J450" s="14">
        <v>0</v>
      </c>
      <c r="K450" s="6" t="str">
        <f>HYPERLINK("https://dlvrit.com/","dlvr.it")</f>
        <v>dlvr.it</v>
      </c>
      <c r="L450" s="15">
        <v>1123</v>
      </c>
      <c r="M450" s="15">
        <v>2408</v>
      </c>
      <c r="N450" s="15">
        <v>6</v>
      </c>
      <c r="O450" s="9"/>
      <c r="P450" s="10">
        <v>44009.041550925926</v>
      </c>
      <c r="Q450" s="14" t="s">
        <v>1815</v>
      </c>
      <c r="R450" s="14" t="s">
        <v>2218</v>
      </c>
      <c r="S450" s="8"/>
      <c r="T450" s="8"/>
      <c r="U450" s="11" t="str">
        <f>HYPERLINK("https://pbs.twimg.com/profile_images/1276887152488579072/N1Dr3txg.jpg","View")</f>
        <v>View</v>
      </c>
      <c r="V450" s="8"/>
      <c r="W450" s="8"/>
      <c r="X450" s="8"/>
      <c r="Y450" s="8"/>
      <c r="Z450" s="8"/>
    </row>
    <row r="451" spans="1:26" ht="13.2">
      <c r="A451" s="13">
        <v>44250.696180555555</v>
      </c>
      <c r="B451" s="6" t="str">
        <f>HYPERLINK("https://twitter.com/InvestorAshish","@InvestorAshish")</f>
        <v>@InvestorAshish</v>
      </c>
      <c r="C451" s="14" t="s">
        <v>2219</v>
      </c>
      <c r="D451" s="14" t="s">
        <v>2220</v>
      </c>
      <c r="E451" s="6" t="str">
        <f>HYPERLINK("https://twitter.com/InvestorAshish/status/1364239218185097220","1364239218185097220")</f>
        <v>1364239218185097220</v>
      </c>
      <c r="F451" s="8"/>
      <c r="G451" s="7" t="s">
        <v>2221</v>
      </c>
      <c r="H451" s="8"/>
      <c r="I451" s="14">
        <v>0</v>
      </c>
      <c r="J451" s="14">
        <v>2</v>
      </c>
      <c r="K451" s="6" t="str">
        <f>HYPERLINK("http://twitter.com/#!/download/ipad","Twitter for iPad")</f>
        <v>Twitter for iPad</v>
      </c>
      <c r="L451" s="15">
        <v>6</v>
      </c>
      <c r="M451" s="15">
        <v>3</v>
      </c>
      <c r="N451" s="15">
        <v>0</v>
      </c>
      <c r="O451" s="9"/>
      <c r="P451" s="10">
        <v>43664.588391203702</v>
      </c>
      <c r="Q451" s="14" t="s">
        <v>2222</v>
      </c>
      <c r="R451" s="14" t="s">
        <v>2223</v>
      </c>
      <c r="S451" s="7" t="s">
        <v>2224</v>
      </c>
      <c r="T451" s="8"/>
      <c r="U451" s="11" t="str">
        <f>HYPERLINK("https://pbs.twimg.com/profile_images/1269631887217094657/i7f86VL1.jpg","View")</f>
        <v>View</v>
      </c>
      <c r="V451" s="8"/>
      <c r="W451" s="8"/>
      <c r="X451" s="8"/>
      <c r="Y451" s="8"/>
      <c r="Z451" s="8"/>
    </row>
    <row r="452" spans="1:26" ht="13.2">
      <c r="A452" s="13">
        <v>44250.696006944447</v>
      </c>
      <c r="B452" s="6" t="str">
        <f>HYPERLINK("https://twitter.com/julsimon","@julsimon")</f>
        <v>@julsimon</v>
      </c>
      <c r="C452" s="14" t="s">
        <v>2225</v>
      </c>
      <c r="D452" s="14" t="s">
        <v>2226</v>
      </c>
      <c r="E452" s="6" t="str">
        <f>HYPERLINK("https://twitter.com/julsimon/status/1364239153366523905","1364239153366523905")</f>
        <v>1364239153366523905</v>
      </c>
      <c r="F452" s="7" t="s">
        <v>2227</v>
      </c>
      <c r="G452" s="8"/>
      <c r="H452" s="8"/>
      <c r="I452" s="14">
        <v>1</v>
      </c>
      <c r="J452" s="14">
        <v>2</v>
      </c>
      <c r="K452" s="6" t="str">
        <f>HYPERLINK("https://mobile.twitter.com","Twitter Web App")</f>
        <v>Twitter Web App</v>
      </c>
      <c r="L452" s="15">
        <v>8911</v>
      </c>
      <c r="M452" s="15">
        <v>2044</v>
      </c>
      <c r="N452" s="15">
        <v>354</v>
      </c>
      <c r="O452" s="9"/>
      <c r="P452" s="10">
        <v>39900.460381944446</v>
      </c>
      <c r="Q452" s="14" t="s">
        <v>106</v>
      </c>
      <c r="R452" s="14" t="s">
        <v>2228</v>
      </c>
      <c r="S452" s="7" t="s">
        <v>2229</v>
      </c>
      <c r="T452" s="8"/>
      <c r="U452" s="11" t="str">
        <f>HYPERLINK("https://pbs.twimg.com/profile_images/1074681797894660101/a4BDayre.jpg","View")</f>
        <v>View</v>
      </c>
      <c r="V452" s="8"/>
      <c r="W452" s="8"/>
      <c r="X452" s="8"/>
      <c r="Y452" s="8"/>
      <c r="Z452" s="8"/>
    </row>
    <row r="453" spans="1:26" ht="13.2">
      <c r="A453" s="13">
        <v>44250.695879629631</v>
      </c>
      <c r="B453" s="6" t="str">
        <f>HYPERLINK("https://twitter.com/gp_pulipaka","@gp_pulipaka")</f>
        <v>@gp_pulipaka</v>
      </c>
      <c r="C453" s="14" t="s">
        <v>2230</v>
      </c>
      <c r="D453" s="14" t="s">
        <v>2231</v>
      </c>
      <c r="E453" s="6" t="str">
        <f>HYPERLINK("https://twitter.com/gp_pulipaka/status/1364239110572036102","1364239110572036102")</f>
        <v>1364239110572036102</v>
      </c>
      <c r="F453" s="7" t="s">
        <v>2232</v>
      </c>
      <c r="G453" s="7" t="s">
        <v>2233</v>
      </c>
      <c r="H453" s="8"/>
      <c r="I453" s="14">
        <v>40</v>
      </c>
      <c r="J453" s="14">
        <v>20</v>
      </c>
      <c r="K453" s="6" t="str">
        <f>HYPERLINK("https://buffer.com","Buffer")</f>
        <v>Buffer</v>
      </c>
      <c r="L453" s="15">
        <v>109083</v>
      </c>
      <c r="M453" s="15">
        <v>22723</v>
      </c>
      <c r="N453" s="15">
        <v>3558</v>
      </c>
      <c r="O453" s="9"/>
      <c r="P453" s="10">
        <v>42325.138298611113</v>
      </c>
      <c r="Q453" s="14" t="s">
        <v>2234</v>
      </c>
      <c r="R453" s="14" t="s">
        <v>2235</v>
      </c>
      <c r="S453" s="7" t="s">
        <v>2236</v>
      </c>
      <c r="T453" s="8"/>
      <c r="U453" s="11" t="str">
        <f>HYPERLINK("https://pbs.twimg.com/profile_images/1354974939887988736/P9wzBxgk.jpg","View")</f>
        <v>View</v>
      </c>
      <c r="V453" s="8"/>
      <c r="W453" s="8"/>
      <c r="X453" s="8"/>
      <c r="Y453" s="8"/>
      <c r="Z453" s="8"/>
    </row>
    <row r="454" spans="1:26" ht="13.2">
      <c r="A454" s="13">
        <v>44250.695069444446</v>
      </c>
      <c r="B454" s="6" t="str">
        <f>HYPERLINK("https://twitter.com/orobix","@orobix")</f>
        <v>@orobix</v>
      </c>
      <c r="C454" s="14" t="s">
        <v>2237</v>
      </c>
      <c r="D454" s="14" t="s">
        <v>2238</v>
      </c>
      <c r="E454" s="6" t="str">
        <f>HYPERLINK("https://twitter.com/orobix/status/1364238814907162624","1364238814907162624")</f>
        <v>1364238814907162624</v>
      </c>
      <c r="F454" s="7" t="s">
        <v>2239</v>
      </c>
      <c r="G454" s="7" t="s">
        <v>2240</v>
      </c>
      <c r="H454" s="8"/>
      <c r="I454" s="14">
        <v>0</v>
      </c>
      <c r="J454" s="14">
        <v>1</v>
      </c>
      <c r="K454" s="6" t="str">
        <f t="shared" ref="K454:K457" si="73">HYPERLINK("https://mobile.twitter.com","Twitter Web App")</f>
        <v>Twitter Web App</v>
      </c>
      <c r="L454" s="15">
        <v>561</v>
      </c>
      <c r="M454" s="15">
        <v>1241</v>
      </c>
      <c r="N454" s="15">
        <v>8</v>
      </c>
      <c r="O454" s="9"/>
      <c r="P454" s="10">
        <v>40234.419166666667</v>
      </c>
      <c r="Q454" s="14" t="s">
        <v>2241</v>
      </c>
      <c r="R454" s="14" t="s">
        <v>2242</v>
      </c>
      <c r="S454" s="7" t="s">
        <v>2243</v>
      </c>
      <c r="T454" s="8"/>
      <c r="U454" s="11" t="str">
        <f>HYPERLINK("https://pbs.twimg.com/profile_images/1335702855613865985/tjTPZB_s.jpg","View")</f>
        <v>View</v>
      </c>
      <c r="V454" s="8"/>
      <c r="W454" s="8"/>
      <c r="X454" s="8"/>
      <c r="Y454" s="8"/>
      <c r="Z454" s="8"/>
    </row>
    <row r="455" spans="1:26" ht="13.2">
      <c r="A455" s="13">
        <v>44250.694444444445</v>
      </c>
      <c r="B455" s="6" t="str">
        <f>HYPERLINK("https://twitter.com/Nicochan33","@Nicochan33")</f>
        <v>@Nicochan33</v>
      </c>
      <c r="C455" s="14" t="s">
        <v>2244</v>
      </c>
      <c r="D455" s="14" t="s">
        <v>2245</v>
      </c>
      <c r="E455" s="6" t="str">
        <f>HYPERLINK("https://twitter.com/Nicochan33/status/1364238587420573696","1364238587420573696")</f>
        <v>1364238587420573696</v>
      </c>
      <c r="F455" s="7" t="s">
        <v>2246</v>
      </c>
      <c r="G455" s="8"/>
      <c r="H455" s="8"/>
      <c r="I455" s="14">
        <v>2</v>
      </c>
      <c r="J455" s="14">
        <v>1</v>
      </c>
      <c r="K455" s="6" t="str">
        <f t="shared" si="73"/>
        <v>Twitter Web App</v>
      </c>
      <c r="L455" s="15">
        <v>86054</v>
      </c>
      <c r="M455" s="15">
        <v>78930</v>
      </c>
      <c r="N455" s="15">
        <v>3711</v>
      </c>
      <c r="O455" s="9"/>
      <c r="P455" s="10">
        <v>39834.541168981479</v>
      </c>
      <c r="Q455" s="14" t="s">
        <v>1468</v>
      </c>
      <c r="R455" s="14" t="s">
        <v>2247</v>
      </c>
      <c r="S455" s="7" t="s">
        <v>2248</v>
      </c>
      <c r="T455" s="8"/>
      <c r="U455" s="11" t="str">
        <f>HYPERLINK("https://pbs.twimg.com/profile_images/773909130352402432/XKlKwdPG.jpg","View")</f>
        <v>View</v>
      </c>
      <c r="V455" s="8"/>
      <c r="W455" s="8"/>
      <c r="X455" s="8"/>
      <c r="Y455" s="8"/>
      <c r="Z455" s="8"/>
    </row>
    <row r="456" spans="1:26" ht="13.2">
      <c r="A456" s="13">
        <v>44250.692685185189</v>
      </c>
      <c r="B456" s="6" t="str">
        <f>HYPERLINK("https://twitter.com/Great_Learning","@Great_Learning")</f>
        <v>@Great_Learning</v>
      </c>
      <c r="C456" s="14" t="s">
        <v>2249</v>
      </c>
      <c r="D456" s="14" t="s">
        <v>2250</v>
      </c>
      <c r="E456" s="6" t="str">
        <f>HYPERLINK("https://twitter.com/Great_Learning/status/1364237949265534980","1364237949265534980")</f>
        <v>1364237949265534980</v>
      </c>
      <c r="F456" s="7" t="s">
        <v>2251</v>
      </c>
      <c r="G456" s="7" t="s">
        <v>2252</v>
      </c>
      <c r="H456" s="8"/>
      <c r="I456" s="14">
        <v>1</v>
      </c>
      <c r="J456" s="14">
        <v>0</v>
      </c>
      <c r="K456" s="6" t="str">
        <f t="shared" si="73"/>
        <v>Twitter Web App</v>
      </c>
      <c r="L456" s="15">
        <v>19837</v>
      </c>
      <c r="M456" s="15">
        <v>220</v>
      </c>
      <c r="N456" s="15">
        <v>16</v>
      </c>
      <c r="O456" s="9"/>
      <c r="P456" s="10">
        <v>42650.369398148148</v>
      </c>
      <c r="Q456" s="14" t="s">
        <v>2102</v>
      </c>
      <c r="R456" s="14" t="s">
        <v>2253</v>
      </c>
      <c r="S456" s="7" t="s">
        <v>2254</v>
      </c>
      <c r="T456" s="8"/>
      <c r="U456" s="11" t="str">
        <f>HYPERLINK("https://pbs.twimg.com/profile_images/1278276726406238208/9oSE1iJA.png","View")</f>
        <v>View</v>
      </c>
      <c r="V456" s="8"/>
      <c r="W456" s="8"/>
      <c r="X456" s="8"/>
      <c r="Y456" s="8"/>
      <c r="Z456" s="8"/>
    </row>
    <row r="457" spans="1:26" ht="13.2">
      <c r="A457" s="13">
        <v>44250.692650462966</v>
      </c>
      <c r="B457" s="6" t="str">
        <f>HYPERLINK("https://twitter.com/GoforthSci","@GoforthSci")</f>
        <v>@GoforthSci</v>
      </c>
      <c r="C457" s="14" t="s">
        <v>2255</v>
      </c>
      <c r="D457" s="14" t="s">
        <v>2256</v>
      </c>
      <c r="E457" s="6" t="str">
        <f>HYPERLINK("https://twitter.com/GoforthSci/status/1364237937899167750","1364237937899167750")</f>
        <v>1364237937899167750</v>
      </c>
      <c r="F457" s="7" t="s">
        <v>2257</v>
      </c>
      <c r="G457" s="8"/>
      <c r="H457" s="8"/>
      <c r="I457" s="14">
        <v>0</v>
      </c>
      <c r="J457" s="14">
        <v>0</v>
      </c>
      <c r="K457" s="6" t="str">
        <f t="shared" si="73"/>
        <v>Twitter Web App</v>
      </c>
      <c r="L457" s="15">
        <v>724</v>
      </c>
      <c r="M457" s="15">
        <v>853</v>
      </c>
      <c r="N457" s="15">
        <v>181</v>
      </c>
      <c r="O457" s="9"/>
      <c r="P457" s="10">
        <v>40672.658599537041</v>
      </c>
      <c r="Q457" s="14" t="s">
        <v>2258</v>
      </c>
      <c r="R457" s="14" t="s">
        <v>2259</v>
      </c>
      <c r="S457" s="7" t="s">
        <v>2260</v>
      </c>
      <c r="T457" s="8"/>
      <c r="U457" s="11" t="str">
        <f>HYPERLINK("https://pbs.twimg.com/profile_images/605375647301701632/Q3qFsHlZ.jpg","View")</f>
        <v>View</v>
      </c>
      <c r="V457" s="8"/>
      <c r="W457" s="8"/>
      <c r="X457" s="8"/>
      <c r="Y457" s="8"/>
      <c r="Z457" s="8"/>
    </row>
    <row r="458" spans="1:26" ht="13.2">
      <c r="A458" s="13">
        <v>44250.692037037035</v>
      </c>
      <c r="B458" s="6" t="str">
        <f>HYPERLINK("https://twitter.com/okeee0315","@okeee0315")</f>
        <v>@okeee0315</v>
      </c>
      <c r="C458" s="14" t="s">
        <v>620</v>
      </c>
      <c r="D458" s="14" t="s">
        <v>2261</v>
      </c>
      <c r="E458" s="6" t="str">
        <f>HYPERLINK("https://twitter.com/okeee0315/status/1364237714762129410","1364237714762129410")</f>
        <v>1364237714762129410</v>
      </c>
      <c r="F458" s="7" t="s">
        <v>2262</v>
      </c>
      <c r="G458" s="8"/>
      <c r="H458" s="8"/>
      <c r="I458" s="14">
        <v>2</v>
      </c>
      <c r="J458" s="14">
        <v>0</v>
      </c>
      <c r="K458" s="6" t="str">
        <f>HYPERLINK("https://ifttt.com","IFTTT")</f>
        <v>IFTTT</v>
      </c>
      <c r="L458" s="15">
        <v>828</v>
      </c>
      <c r="M458" s="15">
        <v>299</v>
      </c>
      <c r="N458" s="15">
        <v>72</v>
      </c>
      <c r="O458" s="9"/>
      <c r="P458" s="10">
        <v>40437.043703703705</v>
      </c>
      <c r="Q458" s="14" t="s">
        <v>623</v>
      </c>
      <c r="R458" s="14" t="s">
        <v>624</v>
      </c>
      <c r="S458" s="8"/>
      <c r="T458" s="8"/>
      <c r="U458" s="11" t="str">
        <f>HYPERLINK("https://pbs.twimg.com/profile_images/638327937788329984/2IXCQIE9.jpg","View")</f>
        <v>View</v>
      </c>
      <c r="V458" s="8"/>
      <c r="W458" s="8"/>
      <c r="X458" s="8"/>
      <c r="Y458" s="8"/>
      <c r="Z458" s="8"/>
    </row>
    <row r="459" spans="1:26" ht="13.2">
      <c r="A459" s="13">
        <v>44250.691828703704</v>
      </c>
      <c r="B459" s="6" t="str">
        <f>HYPERLINK("https://twitter.com/rwang0","@rwang0")</f>
        <v>@rwang0</v>
      </c>
      <c r="C459" s="14" t="s">
        <v>2263</v>
      </c>
      <c r="D459" s="14" t="s">
        <v>2264</v>
      </c>
      <c r="E459" s="6" t="str">
        <f>HYPERLINK("https://twitter.com/rwang0/status/1364237639868690432","1364237639868690432")</f>
        <v>1364237639868690432</v>
      </c>
      <c r="F459" s="7" t="s">
        <v>2265</v>
      </c>
      <c r="G459" s="8"/>
      <c r="H459" s="8"/>
      <c r="I459" s="14">
        <v>2</v>
      </c>
      <c r="J459" s="14">
        <v>1</v>
      </c>
      <c r="K459" s="6" t="str">
        <f>HYPERLINK("https://paper.li","Paper.li")</f>
        <v>Paper.li</v>
      </c>
      <c r="L459" s="15">
        <v>131943</v>
      </c>
      <c r="M459" s="15">
        <v>100551</v>
      </c>
      <c r="N459" s="15">
        <v>6846</v>
      </c>
      <c r="O459" s="15" t="s">
        <v>130</v>
      </c>
      <c r="P459" s="10">
        <v>39566.045532407406</v>
      </c>
      <c r="Q459" s="14" t="s">
        <v>2266</v>
      </c>
      <c r="R459" s="14" t="s">
        <v>2267</v>
      </c>
      <c r="S459" s="7" t="s">
        <v>2268</v>
      </c>
      <c r="T459" s="8"/>
      <c r="U459" s="11" t="str">
        <f>HYPERLINK("https://pbs.twimg.com/profile_images/1046576251949862912/axeUR8EK.jpg","View")</f>
        <v>View</v>
      </c>
      <c r="V459" s="8"/>
      <c r="W459" s="8"/>
      <c r="X459" s="8"/>
      <c r="Y459" s="8"/>
      <c r="Z459" s="8"/>
    </row>
    <row r="460" spans="1:26" ht="13.2">
      <c r="A460" s="13">
        <v>44250.691701388889</v>
      </c>
      <c r="B460" s="6" t="str">
        <f>HYPERLINK("https://twitter.com/asifrazzaq1988","@asifrazzaq1988")</f>
        <v>@asifrazzaq1988</v>
      </c>
      <c r="C460" s="14" t="s">
        <v>53</v>
      </c>
      <c r="D460" s="14" t="s">
        <v>2269</v>
      </c>
      <c r="E460" s="6" t="str">
        <f>HYPERLINK("https://twitter.com/asifrazzaq1988/status/1364237593429241858","1364237593429241858")</f>
        <v>1364237593429241858</v>
      </c>
      <c r="F460" s="7" t="s">
        <v>2270</v>
      </c>
      <c r="G460" s="8"/>
      <c r="H460" s="8"/>
      <c r="I460" s="14">
        <v>0</v>
      </c>
      <c r="J460" s="14">
        <v>0</v>
      </c>
      <c r="K460" s="6" t="str">
        <f>HYPERLINK("https://dlvrit.com/","dlvr.it")</f>
        <v>dlvr.it</v>
      </c>
      <c r="L460" s="15">
        <v>5022</v>
      </c>
      <c r="M460" s="15">
        <v>3191</v>
      </c>
      <c r="N460" s="15">
        <v>77</v>
      </c>
      <c r="O460" s="9"/>
      <c r="P460" s="10">
        <v>42237.408136574071</v>
      </c>
      <c r="Q460" s="14" t="s">
        <v>56</v>
      </c>
      <c r="R460" s="14" t="s">
        <v>57</v>
      </c>
      <c r="S460" s="7" t="s">
        <v>58</v>
      </c>
      <c r="T460" s="8"/>
      <c r="U460" s="11" t="str">
        <f>HYPERLINK("https://pbs.twimg.com/profile_images/1329326638589382657/lE7wr_tF.jpg","View")</f>
        <v>View</v>
      </c>
      <c r="V460" s="8"/>
      <c r="W460" s="8"/>
      <c r="X460" s="8"/>
      <c r="Y460" s="8"/>
      <c r="Z460" s="8"/>
    </row>
    <row r="461" spans="1:26" ht="13.2">
      <c r="A461" s="13">
        <v>44250.691481481481</v>
      </c>
      <c r="B461" s="6" t="str">
        <f>HYPERLINK("https://twitter.com/cornichecorp","@cornichecorp")</f>
        <v>@cornichecorp</v>
      </c>
      <c r="C461" s="14" t="s">
        <v>2271</v>
      </c>
      <c r="D461" s="14" t="s">
        <v>2272</v>
      </c>
      <c r="E461" s="6" t="str">
        <f>HYPERLINK("https://twitter.com/cornichecorp/status/1364237514727452672","1364237514727452672")</f>
        <v>1364237514727452672</v>
      </c>
      <c r="F461" s="14" t="s">
        <v>2273</v>
      </c>
      <c r="G461" s="8"/>
      <c r="H461" s="8"/>
      <c r="I461" s="14">
        <v>0</v>
      </c>
      <c r="J461" s="14">
        <v>0</v>
      </c>
      <c r="K461" s="6" t="str">
        <f>HYPERLINK("http://twinybots.com","TwinyBots")</f>
        <v>TwinyBots</v>
      </c>
      <c r="L461" s="15">
        <v>2349</v>
      </c>
      <c r="M461" s="15">
        <v>2163</v>
      </c>
      <c r="N461" s="15">
        <v>30</v>
      </c>
      <c r="O461" s="9"/>
      <c r="P461" s="10">
        <v>42246.917499999996</v>
      </c>
      <c r="Q461" s="14" t="s">
        <v>2274</v>
      </c>
      <c r="R461" s="14" t="s">
        <v>2275</v>
      </c>
      <c r="S461" s="8"/>
      <c r="T461" s="8"/>
      <c r="U461" s="11" t="str">
        <f>HYPERLINK("https://pbs.twimg.com/profile_images/1135863200396775424/vPe8Htor.png","View")</f>
        <v>View</v>
      </c>
      <c r="V461" s="8"/>
      <c r="W461" s="8"/>
      <c r="X461" s="8"/>
      <c r="Y461" s="8"/>
      <c r="Z461" s="8"/>
    </row>
    <row r="462" spans="1:26" ht="13.2">
      <c r="A462" s="13">
        <v>44250.691064814819</v>
      </c>
      <c r="B462" s="6" t="str">
        <f>HYPERLINK("https://twitter.com/RossingtonDC","@RossingtonDC")</f>
        <v>@RossingtonDC</v>
      </c>
      <c r="C462" s="14" t="s">
        <v>2276</v>
      </c>
      <c r="D462" s="14" t="s">
        <v>2277</v>
      </c>
      <c r="E462" s="6" t="str">
        <f>HYPERLINK("https://twitter.com/RossingtonDC/status/1364237364495847427","1364237364495847427")</f>
        <v>1364237364495847427</v>
      </c>
      <c r="F462" s="7" t="s">
        <v>2278</v>
      </c>
      <c r="G462" s="8"/>
      <c r="H462" s="8"/>
      <c r="I462" s="14">
        <v>0</v>
      </c>
      <c r="J462" s="14">
        <v>0</v>
      </c>
      <c r="K462" s="6" t="str">
        <f>HYPERLINK("https://www.hootsuite.com","Hootsuite Inc.")</f>
        <v>Hootsuite Inc.</v>
      </c>
      <c r="L462" s="15">
        <v>873</v>
      </c>
      <c r="M462" s="15">
        <v>875</v>
      </c>
      <c r="N462" s="15">
        <v>125</v>
      </c>
      <c r="O462" s="9"/>
      <c r="P462" s="10">
        <v>40059.959444444445</v>
      </c>
      <c r="Q462" s="14" t="s">
        <v>2279</v>
      </c>
      <c r="R462" s="14" t="s">
        <v>2280</v>
      </c>
      <c r="S462" s="7" t="s">
        <v>2281</v>
      </c>
      <c r="T462" s="8"/>
      <c r="U462" s="11" t="str">
        <f>HYPERLINK("https://pbs.twimg.com/profile_images/1138519380038508546/ZWYd0dnF.jpg","View")</f>
        <v>View</v>
      </c>
      <c r="V462" s="8"/>
      <c r="W462" s="8"/>
      <c r="X462" s="8"/>
      <c r="Y462" s="8"/>
      <c r="Z462" s="8"/>
    </row>
    <row r="463" spans="1:26" ht="13.2">
      <c r="A463" s="13">
        <v>44250.691006944442</v>
      </c>
      <c r="B463" s="6" t="str">
        <f>HYPERLINK("https://twitter.com/AI_PlainEnglish","@AI_PlainEnglish")</f>
        <v>@AI_PlainEnglish</v>
      </c>
      <c r="C463" s="14" t="s">
        <v>2282</v>
      </c>
      <c r="D463" s="14" t="s">
        <v>2283</v>
      </c>
      <c r="E463" s="6" t="str">
        <f>HYPERLINK("https://twitter.com/AI_PlainEnglish/status/1364237343746621442","1364237343746621442")</f>
        <v>1364237343746621442</v>
      </c>
      <c r="F463" s="7" t="s">
        <v>2284</v>
      </c>
      <c r="G463" s="8"/>
      <c r="H463" s="8"/>
      <c r="I463" s="14">
        <v>0</v>
      </c>
      <c r="J463" s="14">
        <v>0</v>
      </c>
      <c r="K463" s="8"/>
      <c r="L463" s="15">
        <v>32</v>
      </c>
      <c r="M463" s="15">
        <v>5</v>
      </c>
      <c r="N463" s="15">
        <v>0</v>
      </c>
      <c r="O463" s="9"/>
      <c r="P463" s="10">
        <v>44206.451215277775</v>
      </c>
      <c r="Q463" s="14" t="s">
        <v>2285</v>
      </c>
      <c r="R463" s="14" t="s">
        <v>2286</v>
      </c>
      <c r="S463" s="7" t="s">
        <v>2287</v>
      </c>
      <c r="T463" s="8"/>
      <c r="U463" s="11" t="str">
        <f>HYPERLINK("https://pbs.twimg.com/profile_images/1359444764098260999/C6-rgvq0.jpg","View")</f>
        <v>View</v>
      </c>
      <c r="V463" s="8"/>
      <c r="W463" s="8"/>
      <c r="X463" s="8"/>
      <c r="Y463" s="8"/>
      <c r="Z463" s="8"/>
    </row>
    <row r="464" spans="1:26" ht="13.2">
      <c r="A464" s="13">
        <v>44250.690995370373</v>
      </c>
      <c r="B464" s="6" t="str">
        <f>HYPERLINK("https://twitter.com/ASUEngineering","@ASUEngineering")</f>
        <v>@ASUEngineering</v>
      </c>
      <c r="C464" s="14" t="s">
        <v>2288</v>
      </c>
      <c r="D464" s="14" t="s">
        <v>2289</v>
      </c>
      <c r="E464" s="6" t="str">
        <f>HYPERLINK("https://twitter.com/ASUEngineering/status/1364237340554764288","1364237340554764288")</f>
        <v>1364237340554764288</v>
      </c>
      <c r="F464" s="7" t="s">
        <v>2290</v>
      </c>
      <c r="G464" s="8"/>
      <c r="H464" s="8"/>
      <c r="I464" s="14">
        <v>1</v>
      </c>
      <c r="J464" s="14">
        <v>3</v>
      </c>
      <c r="K464" s="6" t="str">
        <f>HYPERLINK("https://www.hootsuite.com","Hootsuite Inc.")</f>
        <v>Hootsuite Inc.</v>
      </c>
      <c r="L464" s="15">
        <v>8405</v>
      </c>
      <c r="M464" s="15">
        <v>2411</v>
      </c>
      <c r="N464" s="15">
        <v>224</v>
      </c>
      <c r="O464" s="15" t="s">
        <v>130</v>
      </c>
      <c r="P464" s="10">
        <v>40021.835856481484</v>
      </c>
      <c r="Q464" s="14" t="s">
        <v>2291</v>
      </c>
      <c r="R464" s="14" t="s">
        <v>2292</v>
      </c>
      <c r="S464" s="7" t="s">
        <v>2293</v>
      </c>
      <c r="T464" s="8"/>
      <c r="U464" s="11" t="str">
        <f>HYPERLINK("https://pbs.twimg.com/profile_images/1340540710521475073/IL_HqJgT.jpg","View")</f>
        <v>View</v>
      </c>
      <c r="V464" s="8"/>
      <c r="W464" s="8"/>
      <c r="X464" s="8"/>
      <c r="Y464" s="8"/>
      <c r="Z464" s="8"/>
    </row>
    <row r="465" spans="1:26" ht="13.2">
      <c r="A465" s="13">
        <v>44250.690694444449</v>
      </c>
      <c r="B465" s="6" t="str">
        <f>HYPERLINK("https://twitter.com/alexcastrounis","@alexcastrounis")</f>
        <v>@alexcastrounis</v>
      </c>
      <c r="C465" s="14" t="s">
        <v>2294</v>
      </c>
      <c r="D465" s="14" t="s">
        <v>2295</v>
      </c>
      <c r="E465" s="6" t="str">
        <f>HYPERLINK("https://twitter.com/alexcastrounis/status/1364237230357708806","1364237230357708806")</f>
        <v>1364237230357708806</v>
      </c>
      <c r="F465" s="7" t="s">
        <v>2296</v>
      </c>
      <c r="G465" s="8"/>
      <c r="H465" s="8"/>
      <c r="I465" s="14">
        <v>0</v>
      </c>
      <c r="J465" s="14">
        <v>1</v>
      </c>
      <c r="K465" s="6" t="str">
        <f>HYPERLINK("https://social.zoho.com","Zoho Social")</f>
        <v>Zoho Social</v>
      </c>
      <c r="L465" s="15">
        <v>1039</v>
      </c>
      <c r="M465" s="15">
        <v>439</v>
      </c>
      <c r="N465" s="15">
        <v>130</v>
      </c>
      <c r="O465" s="9"/>
      <c r="P465" s="10">
        <v>41696.807037037041</v>
      </c>
      <c r="Q465" s="14" t="s">
        <v>2297</v>
      </c>
      <c r="R465" s="14" t="s">
        <v>2298</v>
      </c>
      <c r="S465" s="7" t="s">
        <v>2299</v>
      </c>
      <c r="T465" s="8"/>
      <c r="U465" s="11" t="str">
        <f>HYPERLINK("https://pbs.twimg.com/profile_images/1238468107322171393/q_RbQd3m.jpg","View")</f>
        <v>View</v>
      </c>
      <c r="V465" s="8"/>
      <c r="W465" s="8"/>
      <c r="X465" s="8"/>
      <c r="Y465" s="8"/>
      <c r="Z465" s="8"/>
    </row>
    <row r="466" spans="1:26" ht="13.2">
      <c r="A466" s="13">
        <v>44250.690451388888</v>
      </c>
      <c r="B466" s="6" t="str">
        <f>HYPERLINK("https://twitter.com/semf_nexus","@semf_nexus")</f>
        <v>@semf_nexus</v>
      </c>
      <c r="C466" s="14" t="s">
        <v>2300</v>
      </c>
      <c r="D466" s="14" t="s">
        <v>2301</v>
      </c>
      <c r="E466" s="6" t="str">
        <f>HYPERLINK("https://twitter.com/semf_nexus/status/1364237141367283720","1364237141367283720")</f>
        <v>1364237141367283720</v>
      </c>
      <c r="F466" s="7" t="s">
        <v>2302</v>
      </c>
      <c r="G466" s="8"/>
      <c r="H466" s="8"/>
      <c r="I466" s="14">
        <v>2</v>
      </c>
      <c r="J466" s="14">
        <v>1</v>
      </c>
      <c r="K466" s="6" t="str">
        <f t="shared" ref="K466:K467" si="74">HYPERLINK("https://mobile.twitter.com","Twitter Web App")</f>
        <v>Twitter Web App</v>
      </c>
      <c r="L466" s="15">
        <v>126</v>
      </c>
      <c r="M466" s="15">
        <v>40</v>
      </c>
      <c r="N466" s="15">
        <v>1</v>
      </c>
      <c r="O466" s="9"/>
      <c r="P466" s="10">
        <v>42847.758229166662</v>
      </c>
      <c r="Q466" s="14" t="s">
        <v>2303</v>
      </c>
      <c r="R466" s="14" t="s">
        <v>2304</v>
      </c>
      <c r="S466" s="7" t="s">
        <v>2305</v>
      </c>
      <c r="T466" s="8"/>
      <c r="U466" s="11" t="str">
        <f>HYPERLINK("https://pbs.twimg.com/profile_images/1303048202359320578/pTTEQewl.jpg","View")</f>
        <v>View</v>
      </c>
      <c r="V466" s="8"/>
      <c r="W466" s="8"/>
      <c r="X466" s="8"/>
      <c r="Y466" s="8"/>
      <c r="Z466" s="8"/>
    </row>
    <row r="467" spans="1:26" ht="13.2">
      <c r="A467" s="13">
        <v>44250.690057870372</v>
      </c>
      <c r="B467" s="6" t="str">
        <f>HYPERLINK("https://twitter.com/javascript_fan","@javascript_fan")</f>
        <v>@javascript_fan</v>
      </c>
      <c r="C467" s="14" t="s">
        <v>2306</v>
      </c>
      <c r="D467" s="14" t="s">
        <v>2307</v>
      </c>
      <c r="E467" s="6" t="str">
        <f>HYPERLINK("https://twitter.com/javascript_fan/status/1364236997603201025","1364236997603201025")</f>
        <v>1364236997603201025</v>
      </c>
      <c r="F467" s="7" t="s">
        <v>2308</v>
      </c>
      <c r="G467" s="8"/>
      <c r="H467" s="8"/>
      <c r="I467" s="14">
        <v>3</v>
      </c>
      <c r="J467" s="14">
        <v>5</v>
      </c>
      <c r="K467" s="6" t="str">
        <f t="shared" si="74"/>
        <v>Twitter Web App</v>
      </c>
      <c r="L467" s="15">
        <v>28576</v>
      </c>
      <c r="M467" s="15">
        <v>6118</v>
      </c>
      <c r="N467" s="15">
        <v>418</v>
      </c>
      <c r="O467" s="9"/>
      <c r="P467" s="10">
        <v>42222.253460648149</v>
      </c>
      <c r="Q467" s="8"/>
      <c r="R467" s="14" t="s">
        <v>2309</v>
      </c>
      <c r="S467" s="7" t="s">
        <v>2310</v>
      </c>
      <c r="T467" s="8"/>
      <c r="U467" s="11" t="str">
        <f>HYPERLINK("https://pbs.twimg.com/profile_images/634644295618658304/UuIqtEJ8.png","View")</f>
        <v>View</v>
      </c>
      <c r="V467" s="8"/>
      <c r="W467" s="8"/>
      <c r="X467" s="8"/>
      <c r="Y467" s="8"/>
      <c r="Z467" s="8"/>
    </row>
    <row r="468" spans="1:26" ht="13.2">
      <c r="A468" s="13">
        <v>44250.689652777779</v>
      </c>
      <c r="B468" s="6" t="str">
        <f>HYPERLINK("https://twitter.com/CTaslicay","@CTaslicay")</f>
        <v>@CTaslicay</v>
      </c>
      <c r="C468" s="14" t="s">
        <v>2311</v>
      </c>
      <c r="D468" s="14" t="s">
        <v>2312</v>
      </c>
      <c r="E468" s="6" t="str">
        <f>HYPERLINK("https://twitter.com/CTaslicay/status/1364236854091001859","1364236854091001859")</f>
        <v>1364236854091001859</v>
      </c>
      <c r="F468" s="8"/>
      <c r="G468" s="7" t="s">
        <v>2313</v>
      </c>
      <c r="H468" s="8"/>
      <c r="I468" s="14">
        <v>1</v>
      </c>
      <c r="J468" s="14">
        <v>2</v>
      </c>
      <c r="K468" s="6" t="str">
        <f>HYPERLINK("http://twitter.com/download/iphone","Twitter for iPhone")</f>
        <v>Twitter for iPhone</v>
      </c>
      <c r="L468" s="15">
        <v>127</v>
      </c>
      <c r="M468" s="15">
        <v>318</v>
      </c>
      <c r="N468" s="15">
        <v>0</v>
      </c>
      <c r="O468" s="9"/>
      <c r="P468" s="10">
        <v>43729.836354166662</v>
      </c>
      <c r="Q468" s="8"/>
      <c r="R468" s="14" t="s">
        <v>2314</v>
      </c>
      <c r="S468" s="8"/>
      <c r="T468" s="8"/>
      <c r="U468" s="11" t="str">
        <f>HYPERLINK("https://pbs.twimg.com/profile_images/1175471173494329344/Q8LPBjkZ.jpg","View")</f>
        <v>View</v>
      </c>
      <c r="V468" s="8"/>
      <c r="W468" s="8"/>
      <c r="X468" s="8"/>
      <c r="Y468" s="8"/>
      <c r="Z468" s="8"/>
    </row>
    <row r="469" spans="1:26" ht="13.2">
      <c r="A469" s="13">
        <v>44250.68950231481</v>
      </c>
      <c r="B469" s="6" t="str">
        <f>HYPERLINK("https://twitter.com/capital_homa","@capital_homa")</f>
        <v>@capital_homa</v>
      </c>
      <c r="C469" s="14" t="s">
        <v>2315</v>
      </c>
      <c r="D469" s="14" t="s">
        <v>2316</v>
      </c>
      <c r="E469" s="6" t="str">
        <f>HYPERLINK("https://twitter.com/capital_homa/status/1364236795798577155","1364236795798577155")</f>
        <v>1364236795798577155</v>
      </c>
      <c r="F469" s="7" t="s">
        <v>2317</v>
      </c>
      <c r="G469" s="8"/>
      <c r="H469" s="8"/>
      <c r="I469" s="14">
        <v>4</v>
      </c>
      <c r="J469" s="14">
        <v>1</v>
      </c>
      <c r="K469" s="6" t="str">
        <f>HYPERLINK("https://mobile.twitter.com","Twitter Web App")</f>
        <v>Twitter Web App</v>
      </c>
      <c r="L469" s="15">
        <v>33</v>
      </c>
      <c r="M469" s="15">
        <v>44</v>
      </c>
      <c r="N469" s="15">
        <v>0</v>
      </c>
      <c r="O469" s="9"/>
      <c r="P469" s="10">
        <v>43846.752395833333</v>
      </c>
      <c r="Q469" s="14" t="s">
        <v>2318</v>
      </c>
      <c r="R469" s="14" t="s">
        <v>2319</v>
      </c>
      <c r="S469" s="7" t="s">
        <v>2320</v>
      </c>
      <c r="T469" s="8"/>
      <c r="U469" s="11" t="str">
        <f>HYPERLINK("https://pbs.twimg.com/profile_images/1218126752926531585/07SYsyo2.jpg","View")</f>
        <v>View</v>
      </c>
      <c r="V469" s="8"/>
      <c r="W469" s="8"/>
      <c r="X469" s="8"/>
      <c r="Y469" s="8"/>
      <c r="Z469" s="8"/>
    </row>
    <row r="470" spans="1:26" ht="13.2">
      <c r="A470" s="13">
        <v>44250.688912037032</v>
      </c>
      <c r="B470" s="6" t="str">
        <f>HYPERLINK("https://twitter.com/CFAEdmonton","@CFAEdmonton")</f>
        <v>@CFAEdmonton</v>
      </c>
      <c r="C470" s="14" t="s">
        <v>2321</v>
      </c>
      <c r="D470" s="14" t="s">
        <v>2322</v>
      </c>
      <c r="E470" s="6" t="str">
        <f>HYPERLINK("https://twitter.com/CFAEdmonton/status/1364236584372027399","1364236584372027399")</f>
        <v>1364236584372027399</v>
      </c>
      <c r="F470" s="7" t="s">
        <v>2323</v>
      </c>
      <c r="G470" s="7" t="s">
        <v>2324</v>
      </c>
      <c r="H470" s="8"/>
      <c r="I470" s="14">
        <v>0</v>
      </c>
      <c r="J470" s="14">
        <v>0</v>
      </c>
      <c r="K470" s="6" t="str">
        <f>HYPERLINK("https://buffer.com","Buffer")</f>
        <v>Buffer</v>
      </c>
      <c r="L470" s="15">
        <v>1170</v>
      </c>
      <c r="M470" s="15">
        <v>159</v>
      </c>
      <c r="N470" s="15">
        <v>12</v>
      </c>
      <c r="O470" s="9"/>
      <c r="P470" s="10">
        <v>40459.009456018517</v>
      </c>
      <c r="Q470" s="14" t="s">
        <v>2325</v>
      </c>
      <c r="R470" s="8"/>
      <c r="S470" s="7" t="s">
        <v>2326</v>
      </c>
      <c r="T470" s="8"/>
      <c r="U470" s="11" t="str">
        <f>HYPERLINK("https://pbs.twimg.com/profile_images/1230229164138983424/pXKMZXos.jpg","View")</f>
        <v>View</v>
      </c>
      <c r="V470" s="8"/>
      <c r="W470" s="8"/>
      <c r="X470" s="8"/>
      <c r="Y470" s="8"/>
      <c r="Z470" s="8"/>
    </row>
    <row r="471" spans="1:26" ht="13.2">
      <c r="A471" s="13">
        <v>44250.688750000001</v>
      </c>
      <c r="B471" s="6" t="str">
        <f>HYPERLINK("https://twitter.com/Frugal__Finance","@Frugal__Finance")</f>
        <v>@Frugal__Finance</v>
      </c>
      <c r="C471" s="14" t="s">
        <v>2327</v>
      </c>
      <c r="D471" s="14" t="s">
        <v>2328</v>
      </c>
      <c r="E471" s="6" t="str">
        <f>HYPERLINK("https://twitter.com/Frugal__Finance/status/1364236524414468099","1364236524414468099")</f>
        <v>1364236524414468099</v>
      </c>
      <c r="F471" s="7" t="s">
        <v>2329</v>
      </c>
      <c r="G471" s="7" t="s">
        <v>2330</v>
      </c>
      <c r="H471" s="8"/>
      <c r="I471" s="14">
        <v>7</v>
      </c>
      <c r="J471" s="14">
        <v>7</v>
      </c>
      <c r="K471" s="6" t="str">
        <f t="shared" ref="K471:K472" si="75">HYPERLINK("https://mobile.twitter.com","Twitter Web App")</f>
        <v>Twitter Web App</v>
      </c>
      <c r="L471" s="15">
        <v>5708</v>
      </c>
      <c r="M471" s="15">
        <v>3432</v>
      </c>
      <c r="N471" s="15">
        <v>3284</v>
      </c>
      <c r="O471" s="9"/>
      <c r="P471" s="10">
        <v>40662.165856481479</v>
      </c>
      <c r="Q471" s="14" t="s">
        <v>2331</v>
      </c>
      <c r="R471" s="14" t="s">
        <v>2332</v>
      </c>
      <c r="S471" s="7" t="s">
        <v>2333</v>
      </c>
      <c r="T471" s="8"/>
      <c r="U471" s="11" t="str">
        <f>HYPERLINK("https://pbs.twimg.com/profile_images/1210602825685852160/Kn3l4xM-.jpg","View")</f>
        <v>View</v>
      </c>
      <c r="V471" s="8"/>
      <c r="W471" s="8"/>
      <c r="X471" s="8"/>
      <c r="Y471" s="8"/>
      <c r="Z471" s="8"/>
    </row>
    <row r="472" spans="1:26" ht="13.2">
      <c r="A472" s="13">
        <v>44250.68855324074</v>
      </c>
      <c r="B472" s="6" t="str">
        <f>HYPERLINK("https://twitter.com/julsimon","@julsimon")</f>
        <v>@julsimon</v>
      </c>
      <c r="C472" s="14" t="s">
        <v>2225</v>
      </c>
      <c r="D472" s="14" t="s">
        <v>2334</v>
      </c>
      <c r="E472" s="6" t="str">
        <f>HYPERLINK("https://twitter.com/julsimon/status/1364236452733870083","1364236452733870083")</f>
        <v>1364236452733870083</v>
      </c>
      <c r="F472" s="7" t="s">
        <v>2335</v>
      </c>
      <c r="G472" s="8"/>
      <c r="H472" s="8"/>
      <c r="I472" s="14">
        <v>2</v>
      </c>
      <c r="J472" s="14">
        <v>3</v>
      </c>
      <c r="K472" s="6" t="str">
        <f t="shared" si="75"/>
        <v>Twitter Web App</v>
      </c>
      <c r="L472" s="15">
        <v>8911</v>
      </c>
      <c r="M472" s="15">
        <v>2044</v>
      </c>
      <c r="N472" s="15">
        <v>354</v>
      </c>
      <c r="O472" s="9"/>
      <c r="P472" s="10">
        <v>39900.460381944446</v>
      </c>
      <c r="Q472" s="14" t="s">
        <v>106</v>
      </c>
      <c r="R472" s="14" t="s">
        <v>2228</v>
      </c>
      <c r="S472" s="7" t="s">
        <v>2229</v>
      </c>
      <c r="T472" s="8"/>
      <c r="U472" s="11" t="str">
        <f>HYPERLINK("https://pbs.twimg.com/profile_images/1074681797894660101/a4BDayre.jpg","View")</f>
        <v>View</v>
      </c>
      <c r="V472" s="8"/>
      <c r="W472" s="8"/>
      <c r="X472" s="8"/>
      <c r="Y472" s="8"/>
      <c r="Z472" s="8"/>
    </row>
    <row r="473" spans="1:26" ht="13.2">
      <c r="A473" s="13">
        <v>44250.688321759255</v>
      </c>
      <c r="B473" s="6" t="str">
        <f>HYPERLINK("https://twitter.com/Mlearning_ai","@Mlearning_ai")</f>
        <v>@Mlearning_ai</v>
      </c>
      <c r="C473" s="14" t="s">
        <v>2336</v>
      </c>
      <c r="D473" s="14" t="s">
        <v>2337</v>
      </c>
      <c r="E473" s="6" t="str">
        <f>HYPERLINK("https://twitter.com/Mlearning_ai/status/1364236371544670209","1364236371544670209")</f>
        <v>1364236371544670209</v>
      </c>
      <c r="F473" s="14" t="s">
        <v>2338</v>
      </c>
      <c r="G473" s="8"/>
      <c r="H473" s="8"/>
      <c r="I473" s="14">
        <v>1</v>
      </c>
      <c r="J473" s="14">
        <v>0</v>
      </c>
      <c r="K473" s="6" t="str">
        <f>HYPERLINK("https://ifttt.com","IFTTT")</f>
        <v>IFTTT</v>
      </c>
      <c r="L473" s="15">
        <v>4161</v>
      </c>
      <c r="M473" s="15">
        <v>201</v>
      </c>
      <c r="N473" s="15">
        <v>148</v>
      </c>
      <c r="O473" s="9"/>
      <c r="P473" s="10">
        <v>41120.458391203705</v>
      </c>
      <c r="Q473" s="8"/>
      <c r="R473" s="14" t="s">
        <v>2339</v>
      </c>
      <c r="S473" s="7" t="s">
        <v>2340</v>
      </c>
      <c r="T473" s="8"/>
      <c r="U473" s="11" t="str">
        <f>HYPERLINK("https://pbs.twimg.com/profile_images/1198670629433724928/V-cPfdPX.jpg","View")</f>
        <v>View</v>
      </c>
      <c r="V473" s="8"/>
      <c r="W473" s="8"/>
      <c r="X473" s="8"/>
      <c r="Y473" s="8"/>
      <c r="Z473" s="8"/>
    </row>
    <row r="474" spans="1:26" ht="13.2">
      <c r="A474" s="13">
        <v>44250.688009259262</v>
      </c>
      <c r="B474" s="6" t="str">
        <f>HYPERLINK("https://twitter.com/BBVA_espana","@BBVA_espana")</f>
        <v>@BBVA_espana</v>
      </c>
      <c r="C474" s="14" t="s">
        <v>2341</v>
      </c>
      <c r="D474" s="14" t="s">
        <v>2342</v>
      </c>
      <c r="E474" s="6" t="str">
        <f>HYPERLINK("https://twitter.com/BBVA_espana/status/1364236255752511496","1364236255752511496")</f>
        <v>1364236255752511496</v>
      </c>
      <c r="F474" s="7" t="s">
        <v>2343</v>
      </c>
      <c r="G474" s="7" t="s">
        <v>2344</v>
      </c>
      <c r="H474" s="8"/>
      <c r="I474" s="14">
        <v>0</v>
      </c>
      <c r="J474" s="14">
        <v>1</v>
      </c>
      <c r="K474" s="6" t="str">
        <f>HYPERLINK("http://www.salesforce.com","Salesforce - Social Studio")</f>
        <v>Salesforce - Social Studio</v>
      </c>
      <c r="L474" s="15">
        <v>61563</v>
      </c>
      <c r="M474" s="15">
        <v>472</v>
      </c>
      <c r="N474" s="15">
        <v>523</v>
      </c>
      <c r="O474" s="15" t="s">
        <v>130</v>
      </c>
      <c r="P474" s="10">
        <v>40536.46980324074</v>
      </c>
      <c r="Q474" s="14" t="s">
        <v>1053</v>
      </c>
      <c r="R474" s="14" t="s">
        <v>2345</v>
      </c>
      <c r="S474" s="7" t="s">
        <v>2346</v>
      </c>
      <c r="T474" s="8"/>
      <c r="U474" s="11" t="str">
        <f>HYPERLINK("https://pbs.twimg.com/profile_images/1353739984713506821/2GmG6qdz.png","View")</f>
        <v>View</v>
      </c>
      <c r="V474" s="8"/>
      <c r="W474" s="8"/>
      <c r="X474" s="8"/>
      <c r="Y474" s="8"/>
      <c r="Z474" s="8"/>
    </row>
    <row r="475" spans="1:26" ht="13.2">
      <c r="A475" s="13">
        <v>44250.687951388885</v>
      </c>
      <c r="B475" s="6" t="str">
        <f>HYPERLINK("https://twitter.com/BandB_srl","@BandB_srl")</f>
        <v>@BandB_srl</v>
      </c>
      <c r="C475" s="14" t="s">
        <v>2347</v>
      </c>
      <c r="D475" s="14" t="s">
        <v>706</v>
      </c>
      <c r="E475" s="6" t="str">
        <f>HYPERLINK("https://twitter.com/BandB_srl/status/1364236234223149057","1364236234223149057")</f>
        <v>1364236234223149057</v>
      </c>
      <c r="F475" s="8"/>
      <c r="G475" s="7" t="s">
        <v>2348</v>
      </c>
      <c r="H475" s="8"/>
      <c r="I475" s="14">
        <v>1</v>
      </c>
      <c r="J475" s="14">
        <v>0</v>
      </c>
      <c r="K475" s="6" t="str">
        <f t="shared" ref="K475:K478" si="76">HYPERLINK("https://buffer.com","Buffer")</f>
        <v>Buffer</v>
      </c>
      <c r="L475" s="15">
        <v>67</v>
      </c>
      <c r="M475" s="15">
        <v>8</v>
      </c>
      <c r="N475" s="15">
        <v>2</v>
      </c>
      <c r="O475" s="9"/>
      <c r="P475" s="10">
        <v>43818.578541666662</v>
      </c>
      <c r="Q475" s="8"/>
      <c r="R475" s="14" t="s">
        <v>2349</v>
      </c>
      <c r="S475" s="8"/>
      <c r="T475" s="8"/>
      <c r="U475" s="11" t="str">
        <f>HYPERLINK("https://pbs.twimg.com/profile_images/1207645212975255552/yRRSpN5U.png","View")</f>
        <v>View</v>
      </c>
      <c r="V475" s="8"/>
      <c r="W475" s="8"/>
      <c r="X475" s="8"/>
      <c r="Y475" s="8"/>
      <c r="Z475" s="8"/>
    </row>
    <row r="476" spans="1:26" ht="13.2">
      <c r="A476" s="13">
        <v>44250.6878125</v>
      </c>
      <c r="B476" s="6" t="str">
        <f>HYPERLINK("https://twitter.com/gp_pulipaka","@gp_pulipaka")</f>
        <v>@gp_pulipaka</v>
      </c>
      <c r="C476" s="14" t="s">
        <v>2230</v>
      </c>
      <c r="D476" s="14" t="s">
        <v>2350</v>
      </c>
      <c r="E476" s="6" t="str">
        <f>HYPERLINK("https://twitter.com/gp_pulipaka/status/1364236186865254403","1364236186865254403")</f>
        <v>1364236186865254403</v>
      </c>
      <c r="F476" s="7" t="s">
        <v>2351</v>
      </c>
      <c r="G476" s="7" t="s">
        <v>2352</v>
      </c>
      <c r="H476" s="8"/>
      <c r="I476" s="14">
        <v>40</v>
      </c>
      <c r="J476" s="14">
        <v>32</v>
      </c>
      <c r="K476" s="6" t="str">
        <f t="shared" si="76"/>
        <v>Buffer</v>
      </c>
      <c r="L476" s="15">
        <v>109083</v>
      </c>
      <c r="M476" s="15">
        <v>22723</v>
      </c>
      <c r="N476" s="15">
        <v>3558</v>
      </c>
      <c r="O476" s="9"/>
      <c r="P476" s="10">
        <v>42325.138298611113</v>
      </c>
      <c r="Q476" s="14" t="s">
        <v>2234</v>
      </c>
      <c r="R476" s="14" t="s">
        <v>2235</v>
      </c>
      <c r="S476" s="7" t="s">
        <v>2236</v>
      </c>
      <c r="T476" s="8"/>
      <c r="U476" s="11" t="str">
        <f>HYPERLINK("https://pbs.twimg.com/profile_images/1354974939887988736/P9wzBxgk.jpg","View")</f>
        <v>View</v>
      </c>
      <c r="V476" s="8"/>
      <c r="W476" s="8"/>
      <c r="X476" s="8"/>
      <c r="Y476" s="8"/>
      <c r="Z476" s="8"/>
    </row>
    <row r="477" spans="1:26" ht="13.2">
      <c r="A477" s="13">
        <v>44250.687673611115</v>
      </c>
      <c r="B477" s="6" t="str">
        <f>HYPERLINK("https://twitter.com/AlertTrade","@AlertTrade")</f>
        <v>@AlertTrade</v>
      </c>
      <c r="C477" s="14" t="s">
        <v>1043</v>
      </c>
      <c r="D477" s="14" t="s">
        <v>2353</v>
      </c>
      <c r="E477" s="6" t="str">
        <f>HYPERLINK("https://twitter.com/AlertTrade/status/1364236136101670919","1364236136101670919")</f>
        <v>1364236136101670919</v>
      </c>
      <c r="F477" s="7" t="s">
        <v>1045</v>
      </c>
      <c r="G477" s="7" t="s">
        <v>2354</v>
      </c>
      <c r="H477" s="8"/>
      <c r="I477" s="14">
        <v>0</v>
      </c>
      <c r="J477" s="14">
        <v>0</v>
      </c>
      <c r="K477" s="6" t="str">
        <f t="shared" si="76"/>
        <v>Buffer</v>
      </c>
      <c r="L477" s="15">
        <v>147561</v>
      </c>
      <c r="M477" s="15">
        <v>149760</v>
      </c>
      <c r="N477" s="15">
        <v>2503</v>
      </c>
      <c r="O477" s="9"/>
      <c r="P477" s="10">
        <v>40245.718449074076</v>
      </c>
      <c r="Q477" s="8"/>
      <c r="R477" s="14" t="s">
        <v>1047</v>
      </c>
      <c r="S477" s="7" t="s">
        <v>1048</v>
      </c>
      <c r="T477" s="8"/>
      <c r="U477" s="11" t="str">
        <f>HYPERLINK("https://pbs.twimg.com/profile_images/909427952001146880/UoMAp4JA.jpg","View")</f>
        <v>View</v>
      </c>
      <c r="V477" s="8"/>
      <c r="W477" s="8"/>
      <c r="X477" s="8"/>
      <c r="Y477" s="8"/>
      <c r="Z477" s="8"/>
    </row>
    <row r="478" spans="1:26" ht="13.2">
      <c r="A478" s="13">
        <v>44250.687615740739</v>
      </c>
      <c r="B478" s="6" t="str">
        <f>HYPERLINK("https://twitter.com/RichardEudes","@RichardEudes")</f>
        <v>@RichardEudes</v>
      </c>
      <c r="C478" s="14" t="s">
        <v>341</v>
      </c>
      <c r="D478" s="14" t="s">
        <v>2355</v>
      </c>
      <c r="E478" s="6" t="str">
        <f>HYPERLINK("https://twitter.com/RichardEudes/status/1364236113687310342","1364236113687310342")</f>
        <v>1364236113687310342</v>
      </c>
      <c r="F478" s="7" t="s">
        <v>2356</v>
      </c>
      <c r="G478" s="8"/>
      <c r="H478" s="8"/>
      <c r="I478" s="14">
        <v>2</v>
      </c>
      <c r="J478" s="14">
        <v>2</v>
      </c>
      <c r="K478" s="6" t="str">
        <f t="shared" si="76"/>
        <v>Buffer</v>
      </c>
      <c r="L478" s="15">
        <v>16960</v>
      </c>
      <c r="M478" s="15">
        <v>1979</v>
      </c>
      <c r="N478" s="15">
        <v>668</v>
      </c>
      <c r="O478" s="9"/>
      <c r="P478" s="10">
        <v>39985.961481481485</v>
      </c>
      <c r="Q478" s="14" t="s">
        <v>106</v>
      </c>
      <c r="R478" s="14" t="s">
        <v>344</v>
      </c>
      <c r="S478" s="7" t="s">
        <v>345</v>
      </c>
      <c r="T478" s="8"/>
      <c r="U478" s="11" t="str">
        <f>HYPERLINK("https://pbs.twimg.com/profile_images/1332753391886491648/I9fBm3kf.jpg","View")</f>
        <v>View</v>
      </c>
      <c r="V478" s="8"/>
      <c r="W478" s="8"/>
      <c r="X478" s="8"/>
      <c r="Y478" s="8"/>
      <c r="Z478" s="8"/>
    </row>
    <row r="479" spans="1:26" ht="13.2">
      <c r="A479" s="13">
        <v>44250.6875</v>
      </c>
      <c r="B479" s="6" t="str">
        <f>HYPERLINK("https://twitter.com/scanta_io","@scanta_io")</f>
        <v>@scanta_io</v>
      </c>
      <c r="C479" s="14" t="s">
        <v>388</v>
      </c>
      <c r="D479" s="14" t="s">
        <v>2357</v>
      </c>
      <c r="E479" s="6" t="str">
        <f>HYPERLINK("https://twitter.com/scanta_io/status/1364236071958061066","1364236071958061066")</f>
        <v>1364236071958061066</v>
      </c>
      <c r="F479" s="8"/>
      <c r="G479" s="8"/>
      <c r="H479" s="8"/>
      <c r="I479" s="14">
        <v>3</v>
      </c>
      <c r="J479" s="14">
        <v>2</v>
      </c>
      <c r="K479" s="6" t="str">
        <f t="shared" ref="K479:K480" si="77">HYPERLINK("https://about.twitter.com/products/tweetdeck","TweetDeck")</f>
        <v>TweetDeck</v>
      </c>
      <c r="L479" s="15">
        <v>307</v>
      </c>
      <c r="M479" s="15">
        <v>474</v>
      </c>
      <c r="N479" s="15">
        <v>6</v>
      </c>
      <c r="O479" s="9"/>
      <c r="P479" s="10">
        <v>42927.621400462958</v>
      </c>
      <c r="Q479" s="14" t="s">
        <v>390</v>
      </c>
      <c r="R479" s="14" t="s">
        <v>391</v>
      </c>
      <c r="S479" s="7" t="s">
        <v>392</v>
      </c>
      <c r="T479" s="8"/>
      <c r="U479" s="11" t="str">
        <f>HYPERLINK("https://pbs.twimg.com/profile_images/884759857240227841/TPVpzh1Z.jpg","View")</f>
        <v>View</v>
      </c>
      <c r="V479" s="8"/>
      <c r="W479" s="8"/>
      <c r="X479" s="8"/>
      <c r="Y479" s="8"/>
      <c r="Z479" s="8"/>
    </row>
    <row r="480" spans="1:26" ht="13.2">
      <c r="A480" s="13">
        <v>44250.6875</v>
      </c>
      <c r="B480" s="6" t="str">
        <f>HYPERLINK("https://twitter.com/jamesvgingerich","@jamesvgingerich")</f>
        <v>@jamesvgingerich</v>
      </c>
      <c r="C480" s="14" t="s">
        <v>1087</v>
      </c>
      <c r="D480" s="14" t="s">
        <v>2358</v>
      </c>
      <c r="E480" s="6" t="str">
        <f>HYPERLINK("https://twitter.com/jamesvgingerich/status/1364236071945519105","1364236071945519105")</f>
        <v>1364236071945519105</v>
      </c>
      <c r="F480" s="7" t="s">
        <v>2359</v>
      </c>
      <c r="G480" s="7" t="s">
        <v>2360</v>
      </c>
      <c r="H480" s="8"/>
      <c r="I480" s="14">
        <v>0</v>
      </c>
      <c r="J480" s="14">
        <v>2</v>
      </c>
      <c r="K480" s="6" t="str">
        <f t="shared" si="77"/>
        <v>TweetDeck</v>
      </c>
      <c r="L480" s="15">
        <v>53483</v>
      </c>
      <c r="M480" s="15">
        <v>56072</v>
      </c>
      <c r="N480" s="15">
        <v>1126</v>
      </c>
      <c r="O480" s="9"/>
      <c r="P480" s="10">
        <v>39623.806192129632</v>
      </c>
      <c r="Q480" s="14" t="s">
        <v>1091</v>
      </c>
      <c r="R480" s="14" t="s">
        <v>1092</v>
      </c>
      <c r="S480" s="7" t="s">
        <v>1093</v>
      </c>
      <c r="T480" s="8"/>
      <c r="U480" s="11" t="str">
        <f>HYPERLINK("https://pbs.twimg.com/profile_images/692168521/james_profile.jpg","View")</f>
        <v>View</v>
      </c>
      <c r="V480" s="8"/>
      <c r="W480" s="8"/>
      <c r="X480" s="8"/>
      <c r="Y480" s="8"/>
      <c r="Z480" s="8"/>
    </row>
    <row r="481" spans="1:26" ht="13.2">
      <c r="A481" s="13">
        <v>44250.68748842593</v>
      </c>
      <c r="B481" s="6" t="str">
        <f>HYPERLINK("https://twitter.com/stardust_QA","@stardust_QA")</f>
        <v>@stardust_QA</v>
      </c>
      <c r="C481" s="14" t="s">
        <v>2361</v>
      </c>
      <c r="D481" s="14" t="s">
        <v>2362</v>
      </c>
      <c r="E481" s="6" t="str">
        <f>HYPERLINK("https://twitter.com/stardust_QA/status/1364236068548186120","1364236068548186120")</f>
        <v>1364236068548186120</v>
      </c>
      <c r="F481" s="7" t="s">
        <v>2363</v>
      </c>
      <c r="G481" s="8"/>
      <c r="H481" s="8"/>
      <c r="I481" s="14">
        <v>0</v>
      </c>
      <c r="J481" s="14">
        <v>0</v>
      </c>
      <c r="K481" s="6" t="str">
        <f>HYPERLINK("http://www.hubspot.com/","HubSpot")</f>
        <v>HubSpot</v>
      </c>
      <c r="L481" s="15">
        <v>3511</v>
      </c>
      <c r="M481" s="15">
        <v>4188</v>
      </c>
      <c r="N481" s="15">
        <v>92</v>
      </c>
      <c r="O481" s="9"/>
      <c r="P481" s="10">
        <v>40573.933981481481</v>
      </c>
      <c r="Q481" s="14" t="s">
        <v>69</v>
      </c>
      <c r="R481" s="14" t="s">
        <v>2364</v>
      </c>
      <c r="S481" s="7" t="s">
        <v>2365</v>
      </c>
      <c r="T481" s="8"/>
      <c r="U481" s="11" t="str">
        <f>HYPERLINK("https://pbs.twimg.com/profile_images/1236939722066452483/0RKaMbKh.png","View")</f>
        <v>View</v>
      </c>
      <c r="V481" s="8"/>
      <c r="W481" s="8"/>
      <c r="X481" s="8"/>
      <c r="Y481" s="8"/>
      <c r="Z481" s="8"/>
    </row>
    <row r="482" spans="1:26" ht="13.2">
      <c r="A482" s="13">
        <v>44250.687013888892</v>
      </c>
      <c r="B482" s="6" t="str">
        <f>HYPERLINK("https://twitter.com/stemifyai","@stemifyai")</f>
        <v>@stemifyai</v>
      </c>
      <c r="C482" s="14" t="s">
        <v>2366</v>
      </c>
      <c r="D482" s="14" t="s">
        <v>2367</v>
      </c>
      <c r="E482" s="6" t="str">
        <f>HYPERLINK("https://twitter.com/stemifyai/status/1364235894354509826","1364235894354509826")</f>
        <v>1364235894354509826</v>
      </c>
      <c r="F482" s="7" t="s">
        <v>2368</v>
      </c>
      <c r="G482" s="8"/>
      <c r="H482" s="8"/>
      <c r="I482" s="14">
        <v>2</v>
      </c>
      <c r="J482" s="14">
        <v>3</v>
      </c>
      <c r="K482" s="6" t="str">
        <f>HYPERLINK("https://www.hootsuite.com","Hootsuite Inc.")</f>
        <v>Hootsuite Inc.</v>
      </c>
      <c r="L482" s="15">
        <v>22</v>
      </c>
      <c r="M482" s="15">
        <v>35</v>
      </c>
      <c r="N482" s="15">
        <v>0</v>
      </c>
      <c r="O482" s="9"/>
      <c r="P482" s="10">
        <v>43923.87704861111</v>
      </c>
      <c r="Q482" s="8"/>
      <c r="R482" s="8"/>
      <c r="S482" s="7" t="s">
        <v>2369</v>
      </c>
      <c r="T482" s="8"/>
      <c r="U482" s="11" t="str">
        <f>HYPERLINK("https://pbs.twimg.com/profile_images/1245823138321088512/9ScOhiqE.jpg","View")</f>
        <v>View</v>
      </c>
      <c r="V482" s="8"/>
      <c r="W482" s="8"/>
      <c r="X482" s="8"/>
      <c r="Y482" s="8"/>
      <c r="Z482" s="8"/>
    </row>
    <row r="483" spans="1:26" ht="13.2">
      <c r="A483" s="13">
        <v>44250.686851851853</v>
      </c>
      <c r="B483" s="6" t="str">
        <f>HYPERLINK("https://twitter.com/dylanrecon89","@dylanrecon89")</f>
        <v>@dylanrecon89</v>
      </c>
      <c r="C483" s="14" t="s">
        <v>2370</v>
      </c>
      <c r="D483" s="14" t="s">
        <v>2371</v>
      </c>
      <c r="E483" s="6" t="str">
        <f>HYPERLINK("https://twitter.com/dylanrecon89/status/1364235835034501121","1364235835034501121")</f>
        <v>1364235835034501121</v>
      </c>
      <c r="F483" s="7" t="s">
        <v>2372</v>
      </c>
      <c r="G483" s="8"/>
      <c r="H483" s="8"/>
      <c r="I483" s="14">
        <v>1</v>
      </c>
      <c r="J483" s="14">
        <v>0</v>
      </c>
      <c r="K483" s="8"/>
      <c r="L483" s="15">
        <v>106</v>
      </c>
      <c r="M483" s="15">
        <v>783</v>
      </c>
      <c r="N483" s="15">
        <v>0</v>
      </c>
      <c r="O483" s="9"/>
      <c r="P483" s="10">
        <v>44111.399907407409</v>
      </c>
      <c r="Q483" s="8"/>
      <c r="R483" s="14" t="s">
        <v>2373</v>
      </c>
      <c r="S483" s="8"/>
      <c r="T483" s="8"/>
      <c r="U483" s="11" t="str">
        <f>HYPERLINK("https://pbs.twimg.com/profile_images/1313745227925123072/lima9Zmy.png","View")</f>
        <v>View</v>
      </c>
      <c r="V483" s="8"/>
      <c r="W483" s="8"/>
      <c r="X483" s="8"/>
      <c r="Y483" s="8"/>
      <c r="Z483" s="8"/>
    </row>
    <row r="484" spans="1:26" ht="13.2">
      <c r="A484" s="13">
        <v>44250.686805555553</v>
      </c>
      <c r="B484" s="6" t="str">
        <f>HYPERLINK("https://twitter.com/SSI_Innovations","@SSI_Innovations")</f>
        <v>@SSI_Innovations</v>
      </c>
      <c r="C484" s="14" t="s">
        <v>656</v>
      </c>
      <c r="D484" s="14" t="s">
        <v>2374</v>
      </c>
      <c r="E484" s="6" t="str">
        <f>HYPERLINK("https://twitter.com/SSI_Innovations/status/1364235819305865220","1364235819305865220")</f>
        <v>1364235819305865220</v>
      </c>
      <c r="F484" s="7" t="s">
        <v>2375</v>
      </c>
      <c r="G484" s="7" t="s">
        <v>2376</v>
      </c>
      <c r="H484" s="8"/>
      <c r="I484" s="14">
        <v>3</v>
      </c>
      <c r="J484" s="14">
        <v>1</v>
      </c>
      <c r="K484" s="6" t="str">
        <f>HYPERLINK("https://about.twitter.com/products/tweetdeck","TweetDeck")</f>
        <v>TweetDeck</v>
      </c>
      <c r="L484" s="15">
        <v>4449</v>
      </c>
      <c r="M484" s="15">
        <v>5002</v>
      </c>
      <c r="N484" s="15">
        <v>270</v>
      </c>
      <c r="O484" s="9"/>
      <c r="P484" s="10">
        <v>42264.36791666667</v>
      </c>
      <c r="Q484" s="14" t="s">
        <v>660</v>
      </c>
      <c r="R484" s="14" t="s">
        <v>661</v>
      </c>
      <c r="S484" s="7" t="s">
        <v>662</v>
      </c>
      <c r="T484" s="8"/>
      <c r="U484" s="11" t="str">
        <f>HYPERLINK("https://pbs.twimg.com/profile_images/649205321848631296/u39Qrzjg.jpg","View")</f>
        <v>View</v>
      </c>
      <c r="V484" s="8"/>
      <c r="W484" s="8"/>
      <c r="X484" s="8"/>
      <c r="Y484" s="8"/>
      <c r="Z484" s="8"/>
    </row>
    <row r="485" spans="1:26" ht="13.2">
      <c r="A485" s="13">
        <v>44250.685891203699</v>
      </c>
      <c r="B485" s="6" t="str">
        <f>HYPERLINK("https://twitter.com/sallyeaves","@sallyeaves")</f>
        <v>@sallyeaves</v>
      </c>
      <c r="C485" s="14" t="s">
        <v>2377</v>
      </c>
      <c r="D485" s="14" t="s">
        <v>2378</v>
      </c>
      <c r="E485" s="6" t="str">
        <f>HYPERLINK("https://twitter.com/sallyeaves/status/1364235489788768259","1364235489788768259")</f>
        <v>1364235489788768259</v>
      </c>
      <c r="F485" s="14" t="s">
        <v>2379</v>
      </c>
      <c r="G485" s="7" t="s">
        <v>2380</v>
      </c>
      <c r="H485" s="8"/>
      <c r="I485" s="14">
        <v>4</v>
      </c>
      <c r="J485" s="14">
        <v>18</v>
      </c>
      <c r="K485" s="6" t="str">
        <f t="shared" ref="K485:K486" si="78">HYPERLINK("https://mobile.twitter.com","Twitter Web App")</f>
        <v>Twitter Web App</v>
      </c>
      <c r="L485" s="15">
        <v>116435</v>
      </c>
      <c r="M485" s="15">
        <v>99994</v>
      </c>
      <c r="N485" s="15">
        <v>3205</v>
      </c>
      <c r="O485" s="9"/>
      <c r="P485" s="10">
        <v>42096.401041666672</v>
      </c>
      <c r="Q485" s="14" t="s">
        <v>2381</v>
      </c>
      <c r="R485" s="14" t="s">
        <v>2382</v>
      </c>
      <c r="S485" s="8"/>
      <c r="T485" s="8"/>
      <c r="U485" s="11" t="str">
        <f>HYPERLINK("https://pbs.twimg.com/profile_images/1121083861520326656/X6NEB7hZ.jpg","View")</f>
        <v>View</v>
      </c>
      <c r="V485" s="8"/>
      <c r="W485" s="8"/>
      <c r="X485" s="8"/>
      <c r="Y485" s="8"/>
      <c r="Z485" s="8"/>
    </row>
    <row r="486" spans="1:26" ht="13.2">
      <c r="A486" s="13">
        <v>44250.685740740737</v>
      </c>
      <c r="B486" s="6" t="str">
        <f>HYPERLINK("https://twitter.com/zevdatascience","@zevdatascience")</f>
        <v>@zevdatascience</v>
      </c>
      <c r="C486" s="14" t="s">
        <v>2383</v>
      </c>
      <c r="D486" s="14" t="s">
        <v>2384</v>
      </c>
      <c r="E486" s="6" t="str">
        <f>HYPERLINK("https://twitter.com/zevdatascience/status/1364235432603521027","1364235432603521027")</f>
        <v>1364235432603521027</v>
      </c>
      <c r="F486" s="7" t="s">
        <v>2385</v>
      </c>
      <c r="G486" s="8"/>
      <c r="H486" s="8"/>
      <c r="I486" s="14">
        <v>1</v>
      </c>
      <c r="J486" s="14">
        <v>0</v>
      </c>
      <c r="K486" s="6" t="str">
        <f t="shared" si="78"/>
        <v>Twitter Web App</v>
      </c>
      <c r="L486" s="15">
        <v>2178</v>
      </c>
      <c r="M486" s="15">
        <v>941</v>
      </c>
      <c r="N486" s="15">
        <v>180</v>
      </c>
      <c r="O486" s="9"/>
      <c r="P486" s="10">
        <v>40392.295891203699</v>
      </c>
      <c r="Q486" s="14" t="s">
        <v>2386</v>
      </c>
      <c r="R486" s="14" t="s">
        <v>2387</v>
      </c>
      <c r="S486" s="7" t="s">
        <v>2388</v>
      </c>
      <c r="T486" s="8"/>
      <c r="U486" s="11" t="str">
        <f>HYPERLINK("https://pbs.twimg.com/profile_images/1130995446036410370/L0icJ75M.jpg","View")</f>
        <v>View</v>
      </c>
      <c r="V486" s="8"/>
      <c r="W486" s="8"/>
      <c r="X486" s="8"/>
      <c r="Y486" s="8"/>
      <c r="Z486" s="8"/>
    </row>
    <row r="487" spans="1:26" ht="13.2">
      <c r="A487" s="13">
        <v>44250.685486111106</v>
      </c>
      <c r="B487" s="6" t="str">
        <f>HYPERLINK("https://twitter.com/DS_Analytics","@DS_Analytics")</f>
        <v>@DS_Analytics</v>
      </c>
      <c r="C487" s="14" t="s">
        <v>2389</v>
      </c>
      <c r="D487" s="14" t="s">
        <v>2390</v>
      </c>
      <c r="E487" s="6" t="str">
        <f>HYPERLINK("https://twitter.com/DS_Analytics/status/1364235342627414021","1364235342627414021")</f>
        <v>1364235342627414021</v>
      </c>
      <c r="F487" s="7" t="s">
        <v>2391</v>
      </c>
      <c r="G487" s="8"/>
      <c r="H487" s="8"/>
      <c r="I487" s="14">
        <v>4</v>
      </c>
      <c r="J487" s="14">
        <v>0</v>
      </c>
      <c r="K487" s="6" t="str">
        <f>HYPERLINK("https://ifttt.com","IFTTT")</f>
        <v>IFTTT</v>
      </c>
      <c r="L487" s="15">
        <v>4945</v>
      </c>
      <c r="M487" s="15">
        <v>4504</v>
      </c>
      <c r="N487" s="15">
        <v>46</v>
      </c>
      <c r="O487" s="9"/>
      <c r="P487" s="10">
        <v>43019.662314814814</v>
      </c>
      <c r="Q487" s="8"/>
      <c r="R487" s="14" t="s">
        <v>2392</v>
      </c>
      <c r="S487" s="8"/>
      <c r="T487" s="8"/>
      <c r="U487" s="11" t="str">
        <f>HYPERLINK("https://pbs.twimg.com/profile_images/955817556635504640/FflsX454.jpg","View")</f>
        <v>View</v>
      </c>
      <c r="V487" s="8"/>
      <c r="W487" s="8"/>
      <c r="X487" s="8"/>
      <c r="Y487" s="8"/>
      <c r="Z487" s="8"/>
    </row>
    <row r="488" spans="1:26" ht="13.2">
      <c r="A488" s="13">
        <v>44250.685416666667</v>
      </c>
      <c r="B488" s="6" t="str">
        <f>HYPERLINK("https://twitter.com/IEN_UPM","@IEN_UPM")</f>
        <v>@IEN_UPM</v>
      </c>
      <c r="C488" s="14" t="s">
        <v>2393</v>
      </c>
      <c r="D488" s="14" t="s">
        <v>2394</v>
      </c>
      <c r="E488" s="6" t="str">
        <f>HYPERLINK("https://twitter.com/IEN_UPM/status/1364235316039540739","1364235316039540739")</f>
        <v>1364235316039540739</v>
      </c>
      <c r="F488" s="7" t="s">
        <v>2395</v>
      </c>
      <c r="G488" s="8"/>
      <c r="H488" s="8"/>
      <c r="I488" s="14">
        <v>2</v>
      </c>
      <c r="J488" s="14">
        <v>0</v>
      </c>
      <c r="K488" s="6" t="str">
        <f>HYPERLINK("https://mobile.twitter.com","Twitter Web App")</f>
        <v>Twitter Web App</v>
      </c>
      <c r="L488" s="15">
        <v>1377</v>
      </c>
      <c r="M488" s="15">
        <v>1401</v>
      </c>
      <c r="N488" s="15">
        <v>81</v>
      </c>
      <c r="O488" s="9"/>
      <c r="P488" s="10">
        <v>41039.52407407407</v>
      </c>
      <c r="Q488" s="14" t="s">
        <v>2396</v>
      </c>
      <c r="R488" s="14" t="s">
        <v>2397</v>
      </c>
      <c r="S488" s="7" t="s">
        <v>2398</v>
      </c>
      <c r="T488" s="8"/>
      <c r="U488" s="11" t="str">
        <f>HYPERLINK("https://pbs.twimg.com/profile_images/1127937167752421376/OHpYYB-k.png","View")</f>
        <v>View</v>
      </c>
      <c r="V488" s="8"/>
      <c r="W488" s="8"/>
      <c r="X488" s="8"/>
      <c r="Y488" s="8"/>
      <c r="Z488" s="8"/>
    </row>
    <row r="489" spans="1:26" ht="13.2">
      <c r="A489" s="13">
        <v>44250.685266203705</v>
      </c>
      <c r="B489" s="6" t="str">
        <f>HYPERLINK("https://twitter.com/PandhareSidhesh","@PandhareSidhesh")</f>
        <v>@PandhareSidhesh</v>
      </c>
      <c r="C489" s="14" t="s">
        <v>2399</v>
      </c>
      <c r="D489" s="14" t="s">
        <v>2272</v>
      </c>
      <c r="E489" s="6" t="str">
        <f>HYPERLINK("https://twitter.com/PandhareSidhesh/status/1364235263849988096","1364235263849988096")</f>
        <v>1364235263849988096</v>
      </c>
      <c r="F489" s="14" t="s">
        <v>2273</v>
      </c>
      <c r="G489" s="8"/>
      <c r="H489" s="8"/>
      <c r="I489" s="14">
        <v>1</v>
      </c>
      <c r="J489" s="14">
        <v>1</v>
      </c>
      <c r="K489" s="6" t="str">
        <f>HYPERLINK("http://twinybots.com","TwinyBots")</f>
        <v>TwinyBots</v>
      </c>
      <c r="L489" s="15">
        <v>811</v>
      </c>
      <c r="M489" s="15">
        <v>965</v>
      </c>
      <c r="N489" s="15">
        <v>17</v>
      </c>
      <c r="O489" s="9"/>
      <c r="P489" s="10">
        <v>41917.38753472222</v>
      </c>
      <c r="Q489" s="14" t="s">
        <v>2167</v>
      </c>
      <c r="R489" s="14" t="s">
        <v>2400</v>
      </c>
      <c r="S489" s="7" t="s">
        <v>2401</v>
      </c>
      <c r="T489" s="8"/>
      <c r="U489" s="11" t="str">
        <f>HYPERLINK("https://pbs.twimg.com/profile_images/1089412063355637761/6l3zV4bs.jpg","View")</f>
        <v>View</v>
      </c>
      <c r="V489" s="8"/>
      <c r="W489" s="8"/>
      <c r="X489" s="8"/>
      <c r="Y489" s="8"/>
      <c r="Z489" s="8"/>
    </row>
    <row r="490" spans="1:26" ht="13.2">
      <c r="A490" s="13">
        <v>44250.685162037036</v>
      </c>
      <c r="B490" s="6" t="str">
        <f>HYPERLINK("https://twitter.com/DD_Bun_","@DD_Bun_")</f>
        <v>@DD_Bun_</v>
      </c>
      <c r="C490" s="14" t="s">
        <v>2402</v>
      </c>
      <c r="D490" s="14" t="s">
        <v>2403</v>
      </c>
      <c r="E490" s="6" t="str">
        <f>HYPERLINK("https://twitter.com/DD_Bun_/status/1364235223798403083","1364235223798403083")</f>
        <v>1364235223798403083</v>
      </c>
      <c r="F490" s="7" t="s">
        <v>2404</v>
      </c>
      <c r="G490" s="8"/>
      <c r="H490" s="8"/>
      <c r="I490" s="14">
        <v>2</v>
      </c>
      <c r="J490" s="14">
        <v>3</v>
      </c>
      <c r="K490" s="6" t="str">
        <f>HYPERLINK("https://twitter.com/DD_Bun_","dd_bun_")</f>
        <v>dd_bun_</v>
      </c>
      <c r="L490" s="15">
        <v>12463</v>
      </c>
      <c r="M490" s="15">
        <v>6003</v>
      </c>
      <c r="N490" s="15">
        <v>218</v>
      </c>
      <c r="O490" s="9"/>
      <c r="P490" s="10">
        <v>41864.304756944446</v>
      </c>
      <c r="Q490" s="14" t="s">
        <v>2405</v>
      </c>
      <c r="R490" s="14" t="s">
        <v>2406</v>
      </c>
      <c r="S490" s="7" t="s">
        <v>2407</v>
      </c>
      <c r="T490" s="8"/>
      <c r="U490" s="11" t="str">
        <f>HYPERLINK("https://pbs.twimg.com/profile_images/917004717401661440/3gLaVndW.jpg","View")</f>
        <v>View</v>
      </c>
      <c r="V490" s="8"/>
      <c r="W490" s="8"/>
      <c r="X490" s="8"/>
      <c r="Y490" s="8"/>
      <c r="Z490" s="8"/>
    </row>
    <row r="491" spans="1:26" ht="13.2">
      <c r="A491" s="13">
        <v>44250.685081018513</v>
      </c>
      <c r="B491" s="6" t="str">
        <f>HYPERLINK("https://twitter.com/Mlearning_ai","@Mlearning_ai")</f>
        <v>@Mlearning_ai</v>
      </c>
      <c r="C491" s="14" t="s">
        <v>2336</v>
      </c>
      <c r="D491" s="14" t="s">
        <v>2408</v>
      </c>
      <c r="E491" s="6" t="str">
        <f>HYPERLINK("https://twitter.com/Mlearning_ai/status/1364235195092787205","1364235195092787205")</f>
        <v>1364235195092787205</v>
      </c>
      <c r="F491" s="14" t="s">
        <v>2409</v>
      </c>
      <c r="G491" s="8"/>
      <c r="H491" s="8"/>
      <c r="I491" s="14">
        <v>2</v>
      </c>
      <c r="J491" s="14">
        <v>0</v>
      </c>
      <c r="K491" s="6" t="str">
        <f>HYPERLINK("https://ifttt.com","IFTTT")</f>
        <v>IFTTT</v>
      </c>
      <c r="L491" s="15">
        <v>4161</v>
      </c>
      <c r="M491" s="15">
        <v>201</v>
      </c>
      <c r="N491" s="15">
        <v>148</v>
      </c>
      <c r="O491" s="9"/>
      <c r="P491" s="10">
        <v>41120.458391203705</v>
      </c>
      <c r="Q491" s="8"/>
      <c r="R491" s="14" t="s">
        <v>2339</v>
      </c>
      <c r="S491" s="7" t="s">
        <v>2340</v>
      </c>
      <c r="T491" s="8"/>
      <c r="U491" s="11" t="str">
        <f>HYPERLINK("https://pbs.twimg.com/profile_images/1198670629433724928/V-cPfdPX.jpg","View")</f>
        <v>View</v>
      </c>
      <c r="V491" s="8"/>
      <c r="W491" s="8"/>
      <c r="X491" s="8"/>
      <c r="Y491" s="8"/>
      <c r="Z491" s="8"/>
    </row>
    <row r="492" spans="1:26" ht="13.2">
      <c r="A492" s="13">
        <v>44250.684687500005</v>
      </c>
      <c r="B492" s="6" t="str">
        <f>HYPERLINK("https://twitter.com/W3Hidayath","@W3Hidayath")</f>
        <v>@W3Hidayath</v>
      </c>
      <c r="C492" s="14" t="s">
        <v>2410</v>
      </c>
      <c r="D492" s="14" t="s">
        <v>2411</v>
      </c>
      <c r="E492" s="6" t="str">
        <f>HYPERLINK("https://twitter.com/W3Hidayath/status/1364235053056712705","1364235053056712705")</f>
        <v>1364235053056712705</v>
      </c>
      <c r="F492" s="8"/>
      <c r="G492" s="8"/>
      <c r="H492" s="8"/>
      <c r="I492" s="14">
        <v>6</v>
      </c>
      <c r="J492" s="14">
        <v>8</v>
      </c>
      <c r="K492" s="6" t="str">
        <f>HYPERLINK("http://twitter.com/download/iphone","Twitter for iPhone")</f>
        <v>Twitter for iPhone</v>
      </c>
      <c r="L492" s="15">
        <v>923</v>
      </c>
      <c r="M492" s="15">
        <v>172</v>
      </c>
      <c r="N492" s="15">
        <v>5</v>
      </c>
      <c r="O492" s="9"/>
      <c r="P492" s="10">
        <v>39759.32298611111</v>
      </c>
      <c r="Q492" s="14" t="s">
        <v>2412</v>
      </c>
      <c r="R492" s="14" t="s">
        <v>2413</v>
      </c>
      <c r="S492" s="7" t="s">
        <v>2414</v>
      </c>
      <c r="T492" s="8"/>
      <c r="U492" s="11" t="str">
        <f>HYPERLINK("https://pbs.twimg.com/profile_images/1354064916823552001/RRMN_B1s.jpg","View")</f>
        <v>View</v>
      </c>
      <c r="V492" s="8"/>
      <c r="W492" s="8"/>
      <c r="X492" s="8"/>
      <c r="Y492" s="8"/>
      <c r="Z492" s="8"/>
    </row>
    <row r="493" spans="1:26" ht="13.2">
      <c r="A493" s="13">
        <v>44250.684212962966</v>
      </c>
      <c r="B493" s="6" t="str">
        <f>HYPERLINK("https://twitter.com/icloudseven","@icloudseven")</f>
        <v>@icloudseven</v>
      </c>
      <c r="C493" s="14" t="s">
        <v>2415</v>
      </c>
      <c r="D493" s="14" t="s">
        <v>2416</v>
      </c>
      <c r="E493" s="6" t="str">
        <f>HYPERLINK("https://twitter.com/icloudseven/status/1364234881954414600","1364234881954414600")</f>
        <v>1364234881954414600</v>
      </c>
      <c r="F493" s="7" t="s">
        <v>2417</v>
      </c>
      <c r="G493" s="8"/>
      <c r="H493" s="8"/>
      <c r="I493" s="14">
        <v>1</v>
      </c>
      <c r="J493" s="14">
        <v>1</v>
      </c>
      <c r="K493" s="6" t="str">
        <f>HYPERLINK("https://mobile.twitter.com","Twitter Web App")</f>
        <v>Twitter Web App</v>
      </c>
      <c r="L493" s="15">
        <v>185</v>
      </c>
      <c r="M493" s="15">
        <v>667</v>
      </c>
      <c r="N493" s="15">
        <v>82</v>
      </c>
      <c r="O493" s="9"/>
      <c r="P493" s="10">
        <v>41775.969456018516</v>
      </c>
      <c r="Q493" s="14" t="s">
        <v>1159</v>
      </c>
      <c r="R493" s="14" t="s">
        <v>2418</v>
      </c>
      <c r="S493" s="7" t="s">
        <v>2419</v>
      </c>
      <c r="T493" s="8"/>
      <c r="U493" s="11" t="str">
        <f>HYPERLINK("https://pbs.twimg.com/profile_images/1124353404044742656/o4K-FKHi.png","View")</f>
        <v>View</v>
      </c>
      <c r="V493" s="8"/>
      <c r="W493" s="8"/>
      <c r="X493" s="8"/>
      <c r="Y493" s="8"/>
      <c r="Z493" s="8"/>
    </row>
    <row r="494" spans="1:26" ht="13.2">
      <c r="A494" s="13">
        <v>44250.684120370366</v>
      </c>
      <c r="B494" s="6" t="str">
        <f>HYPERLINK("https://twitter.com/SwissCognitive","@SwissCognitive")</f>
        <v>@SwissCognitive</v>
      </c>
      <c r="C494" s="14" t="s">
        <v>2420</v>
      </c>
      <c r="D494" s="14" t="s">
        <v>2421</v>
      </c>
      <c r="E494" s="6" t="str">
        <f>HYPERLINK("https://twitter.com/SwissCognitive/status/1364234847946964994","1364234847946964994")</f>
        <v>1364234847946964994</v>
      </c>
      <c r="F494" s="7" t="s">
        <v>2422</v>
      </c>
      <c r="G494" s="7" t="s">
        <v>2423</v>
      </c>
      <c r="H494" s="8"/>
      <c r="I494" s="14">
        <v>3</v>
      </c>
      <c r="J494" s="14">
        <v>6</v>
      </c>
      <c r="K494" s="6" t="str">
        <f>HYPERLINK("https://www.hootsuite.com","Hootsuite Inc.")</f>
        <v>Hootsuite Inc.</v>
      </c>
      <c r="L494" s="15">
        <v>137757</v>
      </c>
      <c r="M494" s="15">
        <v>68339</v>
      </c>
      <c r="N494" s="15">
        <v>1365</v>
      </c>
      <c r="O494" s="9"/>
      <c r="P494" s="10">
        <v>42715.910520833335</v>
      </c>
      <c r="Q494" s="14" t="s">
        <v>2424</v>
      </c>
      <c r="R494" s="14" t="s">
        <v>2425</v>
      </c>
      <c r="S494" s="7" t="s">
        <v>2426</v>
      </c>
      <c r="T494" s="8"/>
      <c r="U494" s="11" t="str">
        <f>HYPERLINK("https://pbs.twimg.com/profile_images/808057095035752448/7gjlLmVA.jpg","View")</f>
        <v>View</v>
      </c>
      <c r="V494" s="8"/>
      <c r="W494" s="8"/>
      <c r="X494" s="8"/>
      <c r="Y494" s="8"/>
      <c r="Z494" s="8"/>
    </row>
    <row r="495" spans="1:26" ht="13.2">
      <c r="A495" s="13">
        <v>44250.683368055557</v>
      </c>
      <c r="B495" s="6" t="str">
        <f>HYPERLINK("https://twitter.com/OmdenaAI","@OmdenaAI")</f>
        <v>@OmdenaAI</v>
      </c>
      <c r="C495" s="14" t="s">
        <v>2427</v>
      </c>
      <c r="D495" s="14" t="s">
        <v>2428</v>
      </c>
      <c r="E495" s="6" t="str">
        <f>HYPERLINK("https://twitter.com/OmdenaAI/status/1364234573178171394","1364234573178171394")</f>
        <v>1364234573178171394</v>
      </c>
      <c r="F495" s="7" t="s">
        <v>2429</v>
      </c>
      <c r="G495" s="8"/>
      <c r="H495" s="8"/>
      <c r="I495" s="14">
        <v>6</v>
      </c>
      <c r="J495" s="14">
        <v>10</v>
      </c>
      <c r="K495" s="6" t="str">
        <f t="shared" ref="K495:K496" si="79">HYPERLINK("https://mobile.twitter.com","Twitter Web App")</f>
        <v>Twitter Web App</v>
      </c>
      <c r="L495" s="15">
        <v>1861</v>
      </c>
      <c r="M495" s="15">
        <v>597</v>
      </c>
      <c r="N495" s="15">
        <v>19</v>
      </c>
      <c r="O495" s="9"/>
      <c r="P495" s="10">
        <v>43549.067384259259</v>
      </c>
      <c r="Q495" s="14" t="s">
        <v>2430</v>
      </c>
      <c r="R495" s="14" t="s">
        <v>2431</v>
      </c>
      <c r="S495" s="7" t="s">
        <v>2432</v>
      </c>
      <c r="T495" s="8"/>
      <c r="U495" s="11" t="str">
        <f>HYPERLINK("https://pbs.twimg.com/profile_images/1110255510446661637/CoXqr0hG.png","View")</f>
        <v>View</v>
      </c>
      <c r="V495" s="8"/>
      <c r="W495" s="8"/>
      <c r="X495" s="8"/>
      <c r="Y495" s="8"/>
      <c r="Z495" s="8"/>
    </row>
    <row r="496" spans="1:26" ht="13.2">
      <c r="A496" s="13">
        <v>44250.683356481481</v>
      </c>
      <c r="B496" s="6" t="str">
        <f>HYPERLINK("https://twitter.com/Ronald_vanLoon","@Ronald_vanLoon")</f>
        <v>@Ronald_vanLoon</v>
      </c>
      <c r="C496" s="14" t="s">
        <v>2433</v>
      </c>
      <c r="D496" s="14" t="s">
        <v>2434</v>
      </c>
      <c r="E496" s="6" t="str">
        <f>HYPERLINK("https://twitter.com/Ronald_vanLoon/status/1364234571831783425","1364234571831783425")</f>
        <v>1364234571831783425</v>
      </c>
      <c r="F496" s="7" t="s">
        <v>2435</v>
      </c>
      <c r="G496" s="7" t="s">
        <v>2436</v>
      </c>
      <c r="H496" s="8"/>
      <c r="I496" s="14">
        <v>7</v>
      </c>
      <c r="J496" s="14">
        <v>8</v>
      </c>
      <c r="K496" s="6" t="str">
        <f t="shared" si="79"/>
        <v>Twitter Web App</v>
      </c>
      <c r="L496" s="15">
        <v>239361</v>
      </c>
      <c r="M496" s="15">
        <v>180517</v>
      </c>
      <c r="N496" s="15">
        <v>5589</v>
      </c>
      <c r="O496" s="9"/>
      <c r="P496" s="10">
        <v>41015.413553240738</v>
      </c>
      <c r="Q496" s="14" t="s">
        <v>1141</v>
      </c>
      <c r="R496" s="14" t="s">
        <v>2437</v>
      </c>
      <c r="S496" s="7" t="s">
        <v>2438</v>
      </c>
      <c r="T496" s="8"/>
      <c r="U496" s="11" t="str">
        <f>HYPERLINK("https://pbs.twimg.com/profile_images/1107936345769607169/sJKWJd7g.png","View")</f>
        <v>View</v>
      </c>
      <c r="V496" s="8"/>
      <c r="W496" s="8"/>
      <c r="X496" s="8"/>
      <c r="Y496" s="8"/>
      <c r="Z496" s="8"/>
    </row>
    <row r="497" spans="1:26" ht="13.2">
      <c r="A497" s="13">
        <v>44250.683229166665</v>
      </c>
      <c r="B497" s="6" t="str">
        <f>HYPERLINK("https://twitter.com/saqibali_ca","@saqibali_ca")</f>
        <v>@saqibali_ca</v>
      </c>
      <c r="C497" s="14" t="s">
        <v>965</v>
      </c>
      <c r="D497" s="14" t="s">
        <v>2439</v>
      </c>
      <c r="E497" s="6" t="str">
        <f>HYPERLINK("https://twitter.com/saqibali_ca/status/1364234523903369216","1364234523903369216")</f>
        <v>1364234523903369216</v>
      </c>
      <c r="F497" s="7" t="s">
        <v>2440</v>
      </c>
      <c r="G497" s="8"/>
      <c r="H497" s="8"/>
      <c r="I497" s="14">
        <v>0</v>
      </c>
      <c r="J497" s="14">
        <v>0</v>
      </c>
      <c r="K497" s="8"/>
      <c r="L497" s="15">
        <v>270</v>
      </c>
      <c r="M497" s="15">
        <v>0</v>
      </c>
      <c r="N497" s="15">
        <v>3</v>
      </c>
      <c r="O497" s="9"/>
      <c r="P497" s="10">
        <v>43119.848680555559</v>
      </c>
      <c r="Q497" s="14" t="s">
        <v>968</v>
      </c>
      <c r="R497" s="14" t="s">
        <v>969</v>
      </c>
      <c r="S497" s="7" t="s">
        <v>970</v>
      </c>
      <c r="T497" s="8"/>
      <c r="U497" s="11" t="str">
        <f>HYPERLINK("https://pbs.twimg.com/profile_images/1142963749285855233/c6NRGCvi.jpg","View")</f>
        <v>View</v>
      </c>
      <c r="V497" s="8"/>
      <c r="W497" s="8"/>
      <c r="X497" s="8"/>
      <c r="Y497" s="8"/>
      <c r="Z497" s="8"/>
    </row>
    <row r="498" spans="1:26" ht="13.2">
      <c r="A498" s="13">
        <v>44250.682638888888</v>
      </c>
      <c r="B498" s="6" t="str">
        <f>HYPERLINK("https://twitter.com/ZumoLabs","@ZumoLabs")</f>
        <v>@ZumoLabs</v>
      </c>
      <c r="C498" s="14" t="s">
        <v>2441</v>
      </c>
      <c r="D498" s="14" t="s">
        <v>2442</v>
      </c>
      <c r="E498" s="6" t="str">
        <f>HYPERLINK("https://twitter.com/ZumoLabs/status/1364234309331206146","1364234309331206146")</f>
        <v>1364234309331206146</v>
      </c>
      <c r="F498" s="7" t="s">
        <v>2443</v>
      </c>
      <c r="G498" s="8"/>
      <c r="H498" s="8"/>
      <c r="I498" s="14">
        <v>0</v>
      </c>
      <c r="J498" s="14">
        <v>0</v>
      </c>
      <c r="K498" s="6" t="str">
        <f>HYPERLINK("https://about.twitter.com/products/tweetdeck","TweetDeck")</f>
        <v>TweetDeck</v>
      </c>
      <c r="L498" s="15">
        <v>45</v>
      </c>
      <c r="M498" s="15">
        <v>77</v>
      </c>
      <c r="N498" s="15">
        <v>2</v>
      </c>
      <c r="O498" s="9"/>
      <c r="P498" s="10">
        <v>43853.747858796298</v>
      </c>
      <c r="Q498" s="14" t="s">
        <v>390</v>
      </c>
      <c r="R498" s="14" t="s">
        <v>2444</v>
      </c>
      <c r="S498" s="7" t="s">
        <v>2445</v>
      </c>
      <c r="T498" s="8"/>
      <c r="U498" s="11" t="str">
        <f>HYPERLINK("https://pbs.twimg.com/profile_images/1318986015835443200/IzOPahVZ.jpg","View")</f>
        <v>View</v>
      </c>
      <c r="V498" s="8"/>
      <c r="W498" s="8"/>
      <c r="X498" s="8"/>
      <c r="Y498" s="8"/>
      <c r="Z498" s="8"/>
    </row>
    <row r="499" spans="1:26" ht="13.2">
      <c r="A499" s="13">
        <v>44250.68241898148</v>
      </c>
      <c r="B499" s="6" t="str">
        <f>HYPERLINK("https://twitter.com/CatanaCapital","@CatanaCapital")</f>
        <v>@CatanaCapital</v>
      </c>
      <c r="C499" s="14" t="s">
        <v>2446</v>
      </c>
      <c r="D499" s="14" t="s">
        <v>2447</v>
      </c>
      <c r="E499" s="6" t="str">
        <f>HYPERLINK("https://twitter.com/CatanaCapital/status/1364234229370994693","1364234229370994693")</f>
        <v>1364234229370994693</v>
      </c>
      <c r="F499" s="7" t="s">
        <v>2448</v>
      </c>
      <c r="G499" s="8"/>
      <c r="H499" s="8"/>
      <c r="I499" s="14">
        <v>4</v>
      </c>
      <c r="J499" s="14">
        <v>2</v>
      </c>
      <c r="K499" s="6" t="str">
        <f>HYPERLINK("https://mobile.twitter.com","Twitter Web App")</f>
        <v>Twitter Web App</v>
      </c>
      <c r="L499" s="15">
        <v>1102</v>
      </c>
      <c r="M499" s="15">
        <v>113</v>
      </c>
      <c r="N499" s="15">
        <v>27</v>
      </c>
      <c r="O499" s="9"/>
      <c r="P499" s="10">
        <v>42392.570821759262</v>
      </c>
      <c r="Q499" s="14" t="s">
        <v>2449</v>
      </c>
      <c r="R499" s="14" t="s">
        <v>2450</v>
      </c>
      <c r="S499" s="7" t="s">
        <v>2451</v>
      </c>
      <c r="T499" s="8"/>
      <c r="U499" s="11" t="str">
        <f>HYPERLINK("https://pbs.twimg.com/profile_images/1103932362247659521/JbnG1mMS.png","View")</f>
        <v>View</v>
      </c>
      <c r="V499" s="8"/>
      <c r="W499" s="8"/>
      <c r="X499" s="8"/>
      <c r="Y499" s="8"/>
      <c r="Z499" s="8"/>
    </row>
    <row r="500" spans="1:26" ht="13.2">
      <c r="A500" s="13">
        <v>44250.682129629626</v>
      </c>
      <c r="B500" s="6" t="str">
        <f>HYPERLINK("https://twitter.com/HishamB6","@HishamB6")</f>
        <v>@HishamB6</v>
      </c>
      <c r="C500" s="14" t="s">
        <v>2452</v>
      </c>
      <c r="D500" s="14" t="s">
        <v>2453</v>
      </c>
      <c r="E500" s="6" t="str">
        <f>HYPERLINK("https://twitter.com/HishamB6/status/1364234126820319233","1364234126820319233")</f>
        <v>1364234126820319233</v>
      </c>
      <c r="F500" s="7" t="s">
        <v>2454</v>
      </c>
      <c r="G500" s="8"/>
      <c r="H500" s="8"/>
      <c r="I500" s="14">
        <v>5</v>
      </c>
      <c r="J500" s="14">
        <v>0</v>
      </c>
      <c r="K500" s="6" t="str">
        <f>HYPERLINK("https://about.twitter.com/products/tweetdeck","TweetDeck")</f>
        <v>TweetDeck</v>
      </c>
      <c r="L500" s="15">
        <v>119</v>
      </c>
      <c r="M500" s="15">
        <v>2383</v>
      </c>
      <c r="N500" s="15">
        <v>1</v>
      </c>
      <c r="O500" s="9"/>
      <c r="P500" s="10">
        <v>43238.124780092592</v>
      </c>
      <c r="Q500" s="14" t="s">
        <v>2455</v>
      </c>
      <c r="R500" s="14" t="s">
        <v>2456</v>
      </c>
      <c r="S500" s="8"/>
      <c r="T500" s="8"/>
      <c r="U500" s="11" t="str">
        <f>HYPERLINK("https://pbs.twimg.com/profile_images/1347992915327512576/6yeFG7Ij.jpg","View")</f>
        <v>View</v>
      </c>
      <c r="V500" s="8"/>
      <c r="W500" s="8"/>
      <c r="X500" s="8"/>
      <c r="Y500" s="8"/>
      <c r="Z500" s="8"/>
    </row>
    <row r="501" spans="1:26" ht="13.2">
      <c r="A501" s="13">
        <v>44250.68204861111</v>
      </c>
      <c r="B501" s="6" t="str">
        <f>HYPERLINK("https://twitter.com/JsPadoan","@JsPadoan")</f>
        <v>@JsPadoan</v>
      </c>
      <c r="C501" s="14" t="s">
        <v>2457</v>
      </c>
      <c r="D501" s="14" t="s">
        <v>2458</v>
      </c>
      <c r="E501" s="6" t="str">
        <f>HYPERLINK("https://twitter.com/JsPadoan/status/1364234096621289479","1364234096621289479")</f>
        <v>1364234096621289479</v>
      </c>
      <c r="F501" s="14" t="s">
        <v>2459</v>
      </c>
      <c r="G501" s="8"/>
      <c r="H501" s="8"/>
      <c r="I501" s="14">
        <v>0</v>
      </c>
      <c r="J501" s="14">
        <v>0</v>
      </c>
      <c r="K501" s="6" t="str">
        <f>HYPERLINK("http://twinybots.com","TwinyBots")</f>
        <v>TwinyBots</v>
      </c>
      <c r="L501" s="15">
        <v>3038</v>
      </c>
      <c r="M501" s="15">
        <v>1935</v>
      </c>
      <c r="N501" s="15">
        <v>41</v>
      </c>
      <c r="O501" s="9"/>
      <c r="P501" s="10">
        <v>41863.993043981478</v>
      </c>
      <c r="Q501" s="14" t="s">
        <v>2460</v>
      </c>
      <c r="R501" s="14" t="s">
        <v>2461</v>
      </c>
      <c r="S501" s="7" t="s">
        <v>2462</v>
      </c>
      <c r="T501" s="8"/>
      <c r="U501" s="11" t="str">
        <f>HYPERLINK("https://pbs.twimg.com/profile_images/956175041493946368/02C9C1jH.jpg","View")</f>
        <v>View</v>
      </c>
      <c r="V501" s="8"/>
      <c r="W501" s="8"/>
      <c r="X501" s="8"/>
      <c r="Y501" s="8"/>
      <c r="Z501" s="8"/>
    </row>
    <row r="502" spans="1:26" ht="13.2">
      <c r="A502" s="13">
        <v>44250.680752314816</v>
      </c>
      <c r="B502" s="6" t="str">
        <f>HYPERLINK("https://twitter.com/mjcavaretta","@mjcavaretta")</f>
        <v>@mjcavaretta</v>
      </c>
      <c r="C502" s="14" t="s">
        <v>2463</v>
      </c>
      <c r="D502" s="14" t="s">
        <v>2464</v>
      </c>
      <c r="E502" s="6" t="str">
        <f>HYPERLINK("https://twitter.com/mjcavaretta/status/1364233625995259911","1364233625995259911")</f>
        <v>1364233625995259911</v>
      </c>
      <c r="F502" s="7" t="s">
        <v>2465</v>
      </c>
      <c r="G502" s="8"/>
      <c r="H502" s="8"/>
      <c r="I502" s="14">
        <v>4</v>
      </c>
      <c r="J502" s="14">
        <v>1</v>
      </c>
      <c r="K502" s="6" t="str">
        <f>HYPERLINK("https://mobile.twitter.com","Twitter Web App")</f>
        <v>Twitter Web App</v>
      </c>
      <c r="L502" s="15">
        <v>16946</v>
      </c>
      <c r="M502" s="15">
        <v>6570</v>
      </c>
      <c r="N502" s="15">
        <v>1469</v>
      </c>
      <c r="O502" s="9"/>
      <c r="P502" s="10">
        <v>39941.666678240741</v>
      </c>
      <c r="Q502" s="14" t="s">
        <v>2466</v>
      </c>
      <c r="R502" s="14" t="s">
        <v>2467</v>
      </c>
      <c r="S502" s="7" t="s">
        <v>2468</v>
      </c>
      <c r="T502" s="8"/>
      <c r="U502" s="11" t="str">
        <f>HYPERLINK("https://pbs.twimg.com/profile_images/3641511865/06a74914910ecfbcf220979136ba34f8.jpeg","View")</f>
        <v>View</v>
      </c>
      <c r="V502" s="8"/>
      <c r="W502" s="8"/>
      <c r="X502" s="8"/>
      <c r="Y502" s="8"/>
      <c r="Z502" s="8"/>
    </row>
    <row r="503" spans="1:26" ht="13.2">
      <c r="A503" s="13">
        <v>44250.680659722224</v>
      </c>
      <c r="B503" s="6" t="str">
        <f>HYPERLINK("https://twitter.com/andresvilarino","@andresvilarino")</f>
        <v>@andresvilarino</v>
      </c>
      <c r="C503" s="14" t="s">
        <v>72</v>
      </c>
      <c r="D503" s="14" t="s">
        <v>2469</v>
      </c>
      <c r="E503" s="6" t="str">
        <f>HYPERLINK("https://twitter.com/andresvilarino/status/1364233594428915715","1364233594428915715")</f>
        <v>1364233594428915715</v>
      </c>
      <c r="F503" s="7" t="s">
        <v>2470</v>
      </c>
      <c r="G503" s="8"/>
      <c r="H503" s="8"/>
      <c r="I503" s="14">
        <v>3</v>
      </c>
      <c r="J503" s="14">
        <v>1</v>
      </c>
      <c r="K503" s="6" t="str">
        <f>HYPERLINK("https://www.hootsuite.com","Hootsuite Inc.")</f>
        <v>Hootsuite Inc.</v>
      </c>
      <c r="L503" s="15">
        <v>5136</v>
      </c>
      <c r="M503" s="15">
        <v>5043</v>
      </c>
      <c r="N503" s="15">
        <v>79</v>
      </c>
      <c r="O503" s="9"/>
      <c r="P503" s="10">
        <v>40346.43136574074</v>
      </c>
      <c r="Q503" s="14" t="s">
        <v>75</v>
      </c>
      <c r="R503" s="14" t="s">
        <v>76</v>
      </c>
      <c r="S503" s="7" t="s">
        <v>77</v>
      </c>
      <c r="T503" s="8"/>
      <c r="U503" s="11" t="str">
        <f>HYPERLINK("https://pbs.twimg.com/profile_images/1015329397929177088/9OR3sIzf.jpg","View")</f>
        <v>View</v>
      </c>
      <c r="V503" s="8"/>
      <c r="W503" s="8"/>
      <c r="X503" s="8"/>
      <c r="Y503" s="8"/>
      <c r="Z503" s="8"/>
    </row>
    <row r="504" spans="1:26" ht="13.2">
      <c r="A504" s="13">
        <v>44250.679363425923</v>
      </c>
      <c r="B504" s="6" t="str">
        <f>HYPERLINK("https://twitter.com/gp_pulipaka","@gp_pulipaka")</f>
        <v>@gp_pulipaka</v>
      </c>
      <c r="C504" s="14" t="s">
        <v>2230</v>
      </c>
      <c r="D504" s="14" t="s">
        <v>2471</v>
      </c>
      <c r="E504" s="6" t="str">
        <f>HYPERLINK("https://twitter.com/gp_pulipaka/status/1364233121839935488","1364233121839935488")</f>
        <v>1364233121839935488</v>
      </c>
      <c r="F504" s="7" t="s">
        <v>2472</v>
      </c>
      <c r="G504" s="7" t="s">
        <v>2473</v>
      </c>
      <c r="H504" s="8"/>
      <c r="I504" s="14">
        <v>37</v>
      </c>
      <c r="J504" s="14">
        <v>19</v>
      </c>
      <c r="K504" s="6" t="str">
        <f>HYPERLINK("https://buffer.com","Buffer")</f>
        <v>Buffer</v>
      </c>
      <c r="L504" s="15">
        <v>109083</v>
      </c>
      <c r="M504" s="15">
        <v>22723</v>
      </c>
      <c r="N504" s="15">
        <v>3558</v>
      </c>
      <c r="O504" s="9"/>
      <c r="P504" s="10">
        <v>42325.138298611113</v>
      </c>
      <c r="Q504" s="14" t="s">
        <v>2234</v>
      </c>
      <c r="R504" s="14" t="s">
        <v>2235</v>
      </c>
      <c r="S504" s="7" t="s">
        <v>2236</v>
      </c>
      <c r="T504" s="8"/>
      <c r="U504" s="11" t="str">
        <f>HYPERLINK("https://pbs.twimg.com/profile_images/1354974939887988736/P9wzBxgk.jpg","View")</f>
        <v>View</v>
      </c>
      <c r="V504" s="8"/>
      <c r="W504" s="8"/>
      <c r="X504" s="8"/>
      <c r="Y504" s="8"/>
      <c r="Z504" s="8"/>
    </row>
    <row r="505" spans="1:26" ht="13.2">
      <c r="A505" s="13">
        <v>44250.678773148145</v>
      </c>
      <c r="B505" s="6" t="str">
        <f>HYPERLINK("https://twitter.com/m_a_r_t_i_n","@m_a_r_t_i_n")</f>
        <v>@m_a_r_t_i_n</v>
      </c>
      <c r="C505" s="14" t="s">
        <v>2474</v>
      </c>
      <c r="D505" s="14" t="s">
        <v>2475</v>
      </c>
      <c r="E505" s="6" t="str">
        <f>HYPERLINK("https://twitter.com/m_a_r_t_i_n/status/1364232908278489090","1364232908278489090")</f>
        <v>1364232908278489090</v>
      </c>
      <c r="F505" s="14" t="s">
        <v>2476</v>
      </c>
      <c r="G505" s="8"/>
      <c r="H505" s="8"/>
      <c r="I505" s="14">
        <v>3</v>
      </c>
      <c r="J505" s="14">
        <v>5</v>
      </c>
      <c r="K505" s="6" t="str">
        <f>HYPERLINK("http://twitter.com/download/android","Twitter for Android")</f>
        <v>Twitter for Android</v>
      </c>
      <c r="L505" s="15">
        <v>456</v>
      </c>
      <c r="M505" s="15">
        <v>781</v>
      </c>
      <c r="N505" s="15">
        <v>104</v>
      </c>
      <c r="O505" s="9"/>
      <c r="P505" s="10">
        <v>39459.458807870367</v>
      </c>
      <c r="Q505" s="14" t="s">
        <v>2477</v>
      </c>
      <c r="R505" s="14" t="s">
        <v>2478</v>
      </c>
      <c r="S505" s="7" t="s">
        <v>2479</v>
      </c>
      <c r="T505" s="8"/>
      <c r="U505" s="11" t="str">
        <f>HYPERLINK("https://pbs.twimg.com/profile_images/2384033461/vzgbcjmac3dqh5qhvu5b.jpeg","View")</f>
        <v>View</v>
      </c>
      <c r="V505" s="8"/>
      <c r="W505" s="8"/>
      <c r="X505" s="8"/>
      <c r="Y505" s="8"/>
      <c r="Z505" s="8"/>
    </row>
    <row r="506" spans="1:26" ht="13.2">
      <c r="A506" s="13">
        <v>44250.678668981476</v>
      </c>
      <c r="B506" s="6" t="str">
        <f>HYPERLINK("https://twitter.com/_AlexLuciani_","@_AlexLuciani_")</f>
        <v>@_AlexLuciani_</v>
      </c>
      <c r="C506" s="14" t="s">
        <v>2480</v>
      </c>
      <c r="D506" s="14" t="s">
        <v>2481</v>
      </c>
      <c r="E506" s="6" t="str">
        <f>HYPERLINK("https://twitter.com/_AlexLuciani_/status/1364232872828223489","1364232872828223489")</f>
        <v>1364232872828223489</v>
      </c>
      <c r="F506" s="14" t="s">
        <v>2482</v>
      </c>
      <c r="G506" s="8"/>
      <c r="H506" s="8"/>
      <c r="I506" s="14">
        <v>3</v>
      </c>
      <c r="J506" s="14">
        <v>1</v>
      </c>
      <c r="K506" s="6" t="str">
        <f>HYPERLINK("http://twinybots.com","TwinyBots")</f>
        <v>TwinyBots</v>
      </c>
      <c r="L506" s="15">
        <v>362</v>
      </c>
      <c r="M506" s="15">
        <v>290</v>
      </c>
      <c r="N506" s="15">
        <v>4</v>
      </c>
      <c r="O506" s="9"/>
      <c r="P506" s="10">
        <v>40430.911168981482</v>
      </c>
      <c r="Q506" s="14" t="s">
        <v>2483</v>
      </c>
      <c r="R506" s="14" t="s">
        <v>2484</v>
      </c>
      <c r="S506" s="7" t="s">
        <v>2485</v>
      </c>
      <c r="T506" s="8"/>
      <c r="U506" s="11" t="str">
        <f>HYPERLINK("https://pbs.twimg.com/profile_images/1176902203149303810/4WyorLOR.jpg","View")</f>
        <v>View</v>
      </c>
      <c r="V506" s="8"/>
      <c r="W506" s="8"/>
      <c r="X506" s="8"/>
      <c r="Y506" s="8"/>
      <c r="Z506" s="8"/>
    </row>
    <row r="507" spans="1:26" ht="13.2">
      <c r="A507" s="13">
        <v>44250.678645833337</v>
      </c>
      <c r="B507" s="6" t="str">
        <f>HYPERLINK("https://twitter.com/heyco01","@heyco01")</f>
        <v>@heyco01</v>
      </c>
      <c r="C507" s="14" t="s">
        <v>2486</v>
      </c>
      <c r="D507" s="14" t="s">
        <v>2487</v>
      </c>
      <c r="E507" s="6" t="str">
        <f>HYPERLINK("https://twitter.com/heyco01/status/1364232862497730562","1364232862497730562")</f>
        <v>1364232862497730562</v>
      </c>
      <c r="F507" s="14" t="s">
        <v>2488</v>
      </c>
      <c r="G507" s="8"/>
      <c r="H507" s="8"/>
      <c r="I507" s="14">
        <v>4</v>
      </c>
      <c r="J507" s="14">
        <v>3</v>
      </c>
      <c r="K507" s="6" t="str">
        <f>HYPERLINK("https://mobile.twitter.com","Twitter Web App")</f>
        <v>Twitter Web App</v>
      </c>
      <c r="L507" s="15">
        <v>402</v>
      </c>
      <c r="M507" s="15">
        <v>743</v>
      </c>
      <c r="N507" s="15">
        <v>0</v>
      </c>
      <c r="O507" s="9"/>
      <c r="P507" s="10">
        <v>42655.698958333334</v>
      </c>
      <c r="Q507" s="14" t="s">
        <v>1152</v>
      </c>
      <c r="R507" s="14" t="s">
        <v>2489</v>
      </c>
      <c r="S507" s="8"/>
      <c r="T507" s="8"/>
      <c r="U507" s="11" t="str">
        <f>HYPERLINK("https://pbs.twimg.com/profile_images/788367200595939329/fGYkoFDY.jpg","View")</f>
        <v>View</v>
      </c>
      <c r="V507" s="8"/>
      <c r="W507" s="8"/>
      <c r="X507" s="8"/>
      <c r="Y507" s="8"/>
      <c r="Z507" s="8"/>
    </row>
    <row r="508" spans="1:26" ht="13.2">
      <c r="A508" s="13">
        <v>44250.677800925929</v>
      </c>
      <c r="B508" s="6" t="str">
        <f>HYPERLINK("https://twitter.com/JMLMC1","@JMLMC1")</f>
        <v>@JMLMC1</v>
      </c>
      <c r="C508" s="14" t="s">
        <v>2490</v>
      </c>
      <c r="D508" s="14" t="s">
        <v>2491</v>
      </c>
      <c r="E508" s="6" t="str">
        <f>HYPERLINK("https://twitter.com/JMLMC1/status/1364232555701092354","1364232555701092354")</f>
        <v>1364232555701092354</v>
      </c>
      <c r="F508" s="8"/>
      <c r="G508" s="8"/>
      <c r="H508" s="8"/>
      <c r="I508" s="14">
        <v>2</v>
      </c>
      <c r="J508" s="14">
        <v>1</v>
      </c>
      <c r="K508" s="6" t="str">
        <f>HYPERLINK("https://ads-api.twitter.com","Twitter for Advertisers (legacy)")</f>
        <v>Twitter for Advertisers (legacy)</v>
      </c>
      <c r="L508" s="15">
        <v>5</v>
      </c>
      <c r="M508" s="15">
        <v>8</v>
      </c>
      <c r="N508" s="15">
        <v>0</v>
      </c>
      <c r="O508" s="9"/>
      <c r="P508" s="10">
        <v>44119.784259259264</v>
      </c>
      <c r="Q508" s="14" t="s">
        <v>2492</v>
      </c>
      <c r="R508" s="14" t="s">
        <v>2493</v>
      </c>
      <c r="S508" s="7" t="s">
        <v>2494</v>
      </c>
      <c r="T508" s="8"/>
      <c r="U508" s="11" t="str">
        <f>HYPERLINK("https://pbs.twimg.com/profile_images/1316783384530743296/31TsH3RL.jpg","View")</f>
        <v>View</v>
      </c>
      <c r="V508" s="8"/>
      <c r="W508" s="8"/>
      <c r="X508" s="8"/>
      <c r="Y508" s="8"/>
      <c r="Z508" s="8"/>
    </row>
    <row r="509" spans="1:26" ht="13.2">
      <c r="A509" s="13">
        <v>44250.677523148144</v>
      </c>
      <c r="B509" s="6" t="str">
        <f>HYPERLINK("https://twitter.com/MedicaliPhone","@MedicaliPhone")</f>
        <v>@MedicaliPhone</v>
      </c>
      <c r="C509" s="14" t="s">
        <v>269</v>
      </c>
      <c r="D509" s="14" t="s">
        <v>2495</v>
      </c>
      <c r="E509" s="6" t="str">
        <f>HYPERLINK("https://twitter.com/MedicaliPhone/status/1364232456480690180","1364232456480690180")</f>
        <v>1364232456480690180</v>
      </c>
      <c r="F509" s="14" t="s">
        <v>2496</v>
      </c>
      <c r="G509" s="8"/>
      <c r="H509" s="8"/>
      <c r="I509" s="14">
        <v>3</v>
      </c>
      <c r="J509" s="14">
        <v>2</v>
      </c>
      <c r="K509" s="6" t="str">
        <f t="shared" ref="K509:K510" si="80">HYPERLINK("http://twinybots.com","TwinyBots")</f>
        <v>TwinyBots</v>
      </c>
      <c r="L509" s="15">
        <v>18689</v>
      </c>
      <c r="M509" s="15">
        <v>19077</v>
      </c>
      <c r="N509" s="15">
        <v>450</v>
      </c>
      <c r="O509" s="9"/>
      <c r="P509" s="10">
        <v>39978.071932870371</v>
      </c>
      <c r="Q509" s="14" t="s">
        <v>270</v>
      </c>
      <c r="R509" s="14" t="s">
        <v>271</v>
      </c>
      <c r="S509" s="7" t="s">
        <v>272</v>
      </c>
      <c r="T509" s="8"/>
      <c r="U509" s="11" t="str">
        <f>HYPERLINK("https://pbs.twimg.com/profile_images/671869096389021696/Z1Kr3P0K.png","View")</f>
        <v>View</v>
      </c>
      <c r="V509" s="8"/>
      <c r="W509" s="8"/>
      <c r="X509" s="8"/>
      <c r="Y509" s="8"/>
      <c r="Z509" s="8"/>
    </row>
    <row r="510" spans="1:26" ht="13.2">
      <c r="A510" s="13">
        <v>44250.677453703705</v>
      </c>
      <c r="B510" s="6" t="str">
        <f>HYPERLINK("https://twitter.com/aisear_ch","@aisear_ch")</f>
        <v>@aisear_ch</v>
      </c>
      <c r="C510" s="14" t="s">
        <v>739</v>
      </c>
      <c r="D510" s="14" t="s">
        <v>2272</v>
      </c>
      <c r="E510" s="6" t="str">
        <f>HYPERLINK("https://twitter.com/aisear_ch/status/1364232433311301634","1364232433311301634")</f>
        <v>1364232433311301634</v>
      </c>
      <c r="F510" s="14" t="s">
        <v>2273</v>
      </c>
      <c r="G510" s="8"/>
      <c r="H510" s="8"/>
      <c r="I510" s="14">
        <v>3</v>
      </c>
      <c r="J510" s="14">
        <v>1</v>
      </c>
      <c r="K510" s="6" t="str">
        <f t="shared" si="80"/>
        <v>TwinyBots</v>
      </c>
      <c r="L510" s="15">
        <v>200</v>
      </c>
      <c r="M510" s="15">
        <v>27</v>
      </c>
      <c r="N510" s="15">
        <v>6</v>
      </c>
      <c r="O510" s="9"/>
      <c r="P510" s="10">
        <v>43992.386319444442</v>
      </c>
      <c r="Q510" s="8"/>
      <c r="R510" s="14" t="s">
        <v>742</v>
      </c>
      <c r="S510" s="7" t="s">
        <v>743</v>
      </c>
      <c r="T510" s="8"/>
      <c r="U510" s="11" t="str">
        <f>HYPERLINK("https://pbs.twimg.com/profile_images/1271018990178045953/M-vBrs0H.png","View")</f>
        <v>View</v>
      </c>
      <c r="V510" s="8"/>
      <c r="W510" s="8"/>
      <c r="X510" s="8"/>
      <c r="Y510" s="8"/>
      <c r="Z510" s="8"/>
    </row>
    <row r="511" spans="1:26" ht="13.2">
      <c r="A511" s="13">
        <v>44250.677349537036</v>
      </c>
      <c r="B511" s="6" t="str">
        <f>HYPERLINK("https://twitter.com/cwburnstorm","@cwburnstorm")</f>
        <v>@cwburnstorm</v>
      </c>
      <c r="C511" s="14" t="s">
        <v>2497</v>
      </c>
      <c r="D511" s="14" t="s">
        <v>2498</v>
      </c>
      <c r="E511" s="6" t="str">
        <f>HYPERLINK("https://twitter.com/cwburnstorm/status/1364232395067654144","1364232395067654144")</f>
        <v>1364232395067654144</v>
      </c>
      <c r="F511" s="7" t="s">
        <v>2499</v>
      </c>
      <c r="G511" s="7" t="s">
        <v>2500</v>
      </c>
      <c r="H511" s="8"/>
      <c r="I511" s="14">
        <v>2</v>
      </c>
      <c r="J511" s="14">
        <v>2</v>
      </c>
      <c r="K511" s="6" t="str">
        <f>HYPERLINK("https://mobile.twitter.com","Twitter Web App")</f>
        <v>Twitter Web App</v>
      </c>
      <c r="L511" s="15">
        <v>1184</v>
      </c>
      <c r="M511" s="15">
        <v>577</v>
      </c>
      <c r="N511" s="15">
        <v>66</v>
      </c>
      <c r="O511" s="9"/>
      <c r="P511" s="10">
        <v>40590.488310185188</v>
      </c>
      <c r="Q511" s="14" t="s">
        <v>2501</v>
      </c>
      <c r="R511" s="14" t="s">
        <v>2502</v>
      </c>
      <c r="S511" s="7" t="s">
        <v>2503</v>
      </c>
      <c r="T511" s="8"/>
      <c r="U511" s="11" t="str">
        <f>HYPERLINK("https://pbs.twimg.com/profile_images/1246435801459765248/Thkwvtn0.jpg","View")</f>
        <v>View</v>
      </c>
      <c r="V511" s="8"/>
      <c r="W511" s="8"/>
      <c r="X511" s="8"/>
      <c r="Y511" s="8"/>
      <c r="Z511" s="8"/>
    </row>
    <row r="512" spans="1:26" ht="13.2">
      <c r="A512" s="13">
        <v>44250.677175925928</v>
      </c>
      <c r="B512" s="6" t="str">
        <f>HYPERLINK("https://twitter.com/StorageNinja","@StorageNinja")</f>
        <v>@StorageNinja</v>
      </c>
      <c r="C512" s="14" t="s">
        <v>2504</v>
      </c>
      <c r="D512" s="14" t="s">
        <v>1180</v>
      </c>
      <c r="E512" s="6" t="str">
        <f>HYPERLINK("https://twitter.com/StorageNinja/status/1364232329326063618","1364232329326063618")</f>
        <v>1364232329326063618</v>
      </c>
      <c r="F512" s="7" t="s">
        <v>2505</v>
      </c>
      <c r="G512" s="7" t="s">
        <v>2506</v>
      </c>
      <c r="H512" s="8"/>
      <c r="I512" s="14">
        <v>2</v>
      </c>
      <c r="J512" s="14">
        <v>2</v>
      </c>
      <c r="K512" s="6" t="str">
        <f>HYPERLINK("http://dynamicsignal.com/","Dynamic Signal")</f>
        <v>Dynamic Signal</v>
      </c>
      <c r="L512" s="15">
        <v>384</v>
      </c>
      <c r="M512" s="15">
        <v>727</v>
      </c>
      <c r="N512" s="15">
        <v>60</v>
      </c>
      <c r="O512" s="9"/>
      <c r="P512" s="10">
        <v>39668.114537037036</v>
      </c>
      <c r="Q512" s="14" t="s">
        <v>2507</v>
      </c>
      <c r="R512" s="14" t="s">
        <v>2508</v>
      </c>
      <c r="S512" s="8"/>
      <c r="T512" s="8"/>
      <c r="U512" s="11" t="str">
        <f>HYPERLINK("https://pbs.twimg.com/profile_images/903597261/StorageNinja-twitter.png","View")</f>
        <v>View</v>
      </c>
      <c r="V512" s="8"/>
      <c r="W512" s="8"/>
      <c r="X512" s="8"/>
      <c r="Y512" s="8"/>
      <c r="Z512" s="8"/>
    </row>
    <row r="513" spans="1:26" ht="13.2">
      <c r="A513" s="13">
        <v>44250.677141203705</v>
      </c>
      <c r="B513" s="6" t="str">
        <f>HYPERLINK("https://twitter.com/PeerJLife","@PeerJLife")</f>
        <v>@PeerJLife</v>
      </c>
      <c r="C513" s="14" t="s">
        <v>2509</v>
      </c>
      <c r="D513" s="14" t="s">
        <v>2510</v>
      </c>
      <c r="E513" s="6" t="str">
        <f>HYPERLINK("https://twitter.com/PeerJLife/status/1364232316546072579","1364232316546072579")</f>
        <v>1364232316546072579</v>
      </c>
      <c r="F513" s="7" t="s">
        <v>2511</v>
      </c>
      <c r="G513" s="7" t="s">
        <v>2512</v>
      </c>
      <c r="H513" s="8"/>
      <c r="I513" s="14">
        <v>3</v>
      </c>
      <c r="J513" s="14">
        <v>2</v>
      </c>
      <c r="K513" s="6" t="str">
        <f>HYPERLINK("https://www.hootsuite.com","Hootsuite Inc.")</f>
        <v>Hootsuite Inc.</v>
      </c>
      <c r="L513" s="15">
        <v>187</v>
      </c>
      <c r="M513" s="15">
        <v>958</v>
      </c>
      <c r="N513" s="15">
        <v>6</v>
      </c>
      <c r="O513" s="9"/>
      <c r="P513" s="10">
        <v>44204.768321759257</v>
      </c>
      <c r="Q513" s="8"/>
      <c r="R513" s="14" t="s">
        <v>2513</v>
      </c>
      <c r="S513" s="7" t="s">
        <v>2514</v>
      </c>
      <c r="T513" s="8"/>
      <c r="U513" s="11" t="str">
        <f>HYPERLINK("https://pbs.twimg.com/profile_images/1350076635148644354/yYVkZeWK.jpg","View")</f>
        <v>View</v>
      </c>
      <c r="V513" s="8"/>
      <c r="W513" s="8"/>
      <c r="X513" s="8"/>
      <c r="Y513" s="8"/>
      <c r="Z513" s="8"/>
    </row>
    <row r="514" spans="1:26" ht="13.2">
      <c r="A514" s="13">
        <v>44250.677083333328</v>
      </c>
      <c r="B514" s="6" t="str">
        <f>HYPERLINK("https://twitter.com/AujasIRM","@AujasIRM")</f>
        <v>@AujasIRM</v>
      </c>
      <c r="C514" s="14" t="s">
        <v>2515</v>
      </c>
      <c r="D514" s="14" t="s">
        <v>2516</v>
      </c>
      <c r="E514" s="6" t="str">
        <f>HYPERLINK("https://twitter.com/AujasIRM/status/1364232295079698435","1364232295079698435")</f>
        <v>1364232295079698435</v>
      </c>
      <c r="F514" s="7" t="s">
        <v>2517</v>
      </c>
      <c r="G514" s="7" t="s">
        <v>2518</v>
      </c>
      <c r="H514" s="8"/>
      <c r="I514" s="14">
        <v>2</v>
      </c>
      <c r="J514" s="14">
        <v>2</v>
      </c>
      <c r="K514" s="6" t="str">
        <f>HYPERLINK("http://www.hubspot.com/","HubSpot")</f>
        <v>HubSpot</v>
      </c>
      <c r="L514" s="15">
        <v>1210</v>
      </c>
      <c r="M514" s="15">
        <v>4992</v>
      </c>
      <c r="N514" s="15">
        <v>87</v>
      </c>
      <c r="O514" s="9"/>
      <c r="P514" s="10">
        <v>40064.47047453704</v>
      </c>
      <c r="Q514" s="14" t="s">
        <v>138</v>
      </c>
      <c r="R514" s="14" t="s">
        <v>2519</v>
      </c>
      <c r="S514" s="7" t="s">
        <v>2520</v>
      </c>
      <c r="T514" s="8"/>
      <c r="U514" s="11" t="str">
        <f>HYPERLINK("https://pbs.twimg.com/profile_images/1146301249928626176/qqrlB3px.png","View")</f>
        <v>View</v>
      </c>
      <c r="V514" s="8"/>
      <c r="W514" s="8"/>
      <c r="X514" s="8"/>
      <c r="Y514" s="8"/>
      <c r="Z514" s="8"/>
    </row>
    <row r="515" spans="1:26" ht="13.2">
      <c r="A515" s="13">
        <v>44250.676828703705</v>
      </c>
      <c r="B515" s="6" t="str">
        <f>HYPERLINK("https://twitter.com/anujasinha2","@anujasinha2")</f>
        <v>@anujasinha2</v>
      </c>
      <c r="C515" s="14" t="s">
        <v>2521</v>
      </c>
      <c r="D515" s="14" t="s">
        <v>2522</v>
      </c>
      <c r="E515" s="6" t="str">
        <f>HYPERLINK("https://twitter.com/anujasinha2/status/1364232205602459650","1364232205602459650")</f>
        <v>1364232205602459650</v>
      </c>
      <c r="F515" s="8"/>
      <c r="G515" s="7" t="s">
        <v>2523</v>
      </c>
      <c r="H515" s="8"/>
      <c r="I515" s="14">
        <v>4</v>
      </c>
      <c r="J515" s="14">
        <v>7</v>
      </c>
      <c r="K515" s="6" t="str">
        <f>HYPERLINK("http://twitter.com/download/iphone","Twitter for iPhone")</f>
        <v>Twitter for iPhone</v>
      </c>
      <c r="L515" s="15">
        <v>21</v>
      </c>
      <c r="M515" s="15">
        <v>46</v>
      </c>
      <c r="N515" s="15">
        <v>0</v>
      </c>
      <c r="O515" s="9"/>
      <c r="P515" s="10">
        <v>41616.598761574074</v>
      </c>
      <c r="Q515" s="8"/>
      <c r="R515" s="8"/>
      <c r="S515" s="8"/>
      <c r="T515" s="8"/>
      <c r="U515" s="15" t="s">
        <v>1879</v>
      </c>
      <c r="V515" s="8"/>
      <c r="W515" s="8"/>
      <c r="X515" s="8"/>
      <c r="Y515" s="8"/>
      <c r="Z515" s="8"/>
    </row>
    <row r="516" spans="1:26" ht="13.2">
      <c r="A516" s="13">
        <v>44250.676724537036</v>
      </c>
      <c r="B516" s="6" t="str">
        <f>HYPERLINK("https://twitter.com/TripDarlinq","@TripDarlinq")</f>
        <v>@TripDarlinq</v>
      </c>
      <c r="C516" s="14" t="s">
        <v>2524</v>
      </c>
      <c r="D516" s="14" t="s">
        <v>2525</v>
      </c>
      <c r="E516" s="6" t="str">
        <f>HYPERLINK("https://twitter.com/TripDarlinq/status/1364232168071954438","1364232168071954438")</f>
        <v>1364232168071954438</v>
      </c>
      <c r="F516" s="8"/>
      <c r="G516" s="8"/>
      <c r="H516" s="8"/>
      <c r="I516" s="14">
        <v>6</v>
      </c>
      <c r="J516" s="14">
        <v>2</v>
      </c>
      <c r="K516" s="6" t="str">
        <f t="shared" ref="K516:K517" si="81">HYPERLINK("http://twitter.com/download/android","Twitter for Android")</f>
        <v>Twitter for Android</v>
      </c>
      <c r="L516" s="15">
        <v>9317</v>
      </c>
      <c r="M516" s="15">
        <v>3898</v>
      </c>
      <c r="N516" s="15">
        <v>80</v>
      </c>
      <c r="O516" s="9"/>
      <c r="P516" s="10">
        <v>40945.536840277782</v>
      </c>
      <c r="Q516" s="14" t="s">
        <v>2526</v>
      </c>
      <c r="R516" s="14" t="s">
        <v>2527</v>
      </c>
      <c r="S516" s="8"/>
      <c r="T516" s="8"/>
      <c r="U516" s="11" t="str">
        <f>HYPERLINK("https://pbs.twimg.com/profile_images/1252498308968386560/Lq5QphJA.jpg","View")</f>
        <v>View</v>
      </c>
      <c r="V516" s="8"/>
      <c r="W516" s="8"/>
      <c r="X516" s="8"/>
      <c r="Y516" s="8"/>
      <c r="Z516" s="8"/>
    </row>
    <row r="517" spans="1:26" ht="13.2">
      <c r="A517" s="13">
        <v>44250.676620370374</v>
      </c>
      <c r="B517" s="6" t="str">
        <f>HYPERLINK("https://twitter.com/vengerovski","@vengerovski")</f>
        <v>@vengerovski</v>
      </c>
      <c r="C517" s="14" t="s">
        <v>2528</v>
      </c>
      <c r="D517" s="14" t="s">
        <v>2529</v>
      </c>
      <c r="E517" s="6" t="str">
        <f>HYPERLINK("https://twitter.com/vengerovski/status/1364232130381963265","1364232130381963265")</f>
        <v>1364232130381963265</v>
      </c>
      <c r="F517" s="7" t="s">
        <v>2530</v>
      </c>
      <c r="G517" s="8"/>
      <c r="H517" s="8"/>
      <c r="I517" s="14">
        <v>4</v>
      </c>
      <c r="J517" s="14">
        <v>2</v>
      </c>
      <c r="K517" s="6" t="str">
        <f t="shared" si="81"/>
        <v>Twitter for Android</v>
      </c>
      <c r="L517" s="15">
        <v>192</v>
      </c>
      <c r="M517" s="15">
        <v>123</v>
      </c>
      <c r="N517" s="15">
        <v>220</v>
      </c>
      <c r="O517" s="9"/>
      <c r="P517" s="10">
        <v>41041.66170138889</v>
      </c>
      <c r="Q517" s="14" t="s">
        <v>2531</v>
      </c>
      <c r="R517" s="14" t="s">
        <v>2532</v>
      </c>
      <c r="S517" s="7" t="s">
        <v>2533</v>
      </c>
      <c r="T517" s="8"/>
      <c r="U517" s="11" t="str">
        <f>HYPERLINK("https://pbs.twimg.com/profile_images/554134189788762113/LoGry7oN.jpeg","View")</f>
        <v>View</v>
      </c>
      <c r="V517" s="8"/>
      <c r="W517" s="8"/>
      <c r="X517" s="8"/>
      <c r="Y517" s="8"/>
      <c r="Z517" s="8"/>
    </row>
    <row r="518" spans="1:26" ht="13.2">
      <c r="A518" s="13">
        <v>44250.676504629635</v>
      </c>
      <c r="B518" s="6" t="str">
        <f>HYPERLINK("https://twitter.com/BigDataFr_","@BigDataFr_")</f>
        <v>@BigDataFr_</v>
      </c>
      <c r="C518" s="14" t="s">
        <v>2534</v>
      </c>
      <c r="D518" s="14" t="s">
        <v>2535</v>
      </c>
      <c r="E518" s="6" t="str">
        <f>HYPERLINK("https://twitter.com/BigDataFr_/status/1364232088598241290","1364232088598241290")</f>
        <v>1364232088598241290</v>
      </c>
      <c r="F518" s="14" t="s">
        <v>2536</v>
      </c>
      <c r="G518" s="8"/>
      <c r="H518" s="8"/>
      <c r="I518" s="14">
        <v>2</v>
      </c>
      <c r="J518" s="14">
        <v>2</v>
      </c>
      <c r="K518" s="6" t="str">
        <f>HYPERLINK("https://mobile.twitter.com","Twitter Web App")</f>
        <v>Twitter Web App</v>
      </c>
      <c r="L518" s="15">
        <v>3955</v>
      </c>
      <c r="M518" s="15">
        <v>1559</v>
      </c>
      <c r="N518" s="15">
        <v>276</v>
      </c>
      <c r="O518" s="9"/>
      <c r="P518" s="10">
        <v>41684.638692129629</v>
      </c>
      <c r="Q518" s="14" t="s">
        <v>106</v>
      </c>
      <c r="R518" s="14" t="s">
        <v>2537</v>
      </c>
      <c r="S518" s="7" t="s">
        <v>2538</v>
      </c>
      <c r="T518" s="8"/>
      <c r="U518" s="11" t="str">
        <f>HYPERLINK("https://pbs.twimg.com/profile_images/953650301344649217/Mo3JZ22a.jpg","View")</f>
        <v>View</v>
      </c>
      <c r="V518" s="8"/>
      <c r="W518" s="8"/>
      <c r="X518" s="8"/>
      <c r="Y518" s="8"/>
      <c r="Z518" s="8"/>
    </row>
    <row r="519" spans="1:26" ht="13.2">
      <c r="A519" s="13">
        <v>44250.676099537042</v>
      </c>
      <c r="B519" s="6" t="str">
        <f>HYPERLINK("https://twitter.com/Marcos02986036","@Marcos02986036")</f>
        <v>@Marcos02986036</v>
      </c>
      <c r="C519" s="14" t="s">
        <v>2539</v>
      </c>
      <c r="D519" s="14" t="s">
        <v>2540</v>
      </c>
      <c r="E519" s="6" t="str">
        <f>HYPERLINK("https://twitter.com/Marcos02986036/status/1364231941839585282","1364231941839585282")</f>
        <v>1364231941839585282</v>
      </c>
      <c r="F519" s="7" t="s">
        <v>2541</v>
      </c>
      <c r="G519" s="8"/>
      <c r="H519" s="8"/>
      <c r="I519" s="14">
        <v>2</v>
      </c>
      <c r="J519" s="14">
        <v>1</v>
      </c>
      <c r="K519" s="6" t="str">
        <f>HYPERLINK("http://www.influitive.com","Influitive")</f>
        <v>Influitive</v>
      </c>
      <c r="L519" s="15">
        <v>1</v>
      </c>
      <c r="M519" s="15">
        <v>3</v>
      </c>
      <c r="N519" s="15">
        <v>0</v>
      </c>
      <c r="O519" s="9"/>
      <c r="P519" s="10">
        <v>44118.011018518519</v>
      </c>
      <c r="Q519" s="8"/>
      <c r="R519" s="8"/>
      <c r="S519" s="8"/>
      <c r="T519" s="8"/>
      <c r="U519" s="15" t="s">
        <v>1879</v>
      </c>
      <c r="V519" s="8"/>
      <c r="W519" s="8"/>
      <c r="X519" s="8"/>
      <c r="Y519" s="8"/>
      <c r="Z519" s="8"/>
    </row>
    <row r="520" spans="1:26" ht="13.2">
      <c r="A520" s="13">
        <v>44250.676076388889</v>
      </c>
      <c r="B520" s="6" t="str">
        <f>HYPERLINK("https://twitter.com/towards_AI","@towards_AI")</f>
        <v>@towards_AI</v>
      </c>
      <c r="C520" s="14" t="s">
        <v>993</v>
      </c>
      <c r="D520" s="14" t="s">
        <v>2097</v>
      </c>
      <c r="E520" s="6" t="str">
        <f>HYPERLINK("https://twitter.com/towards_AI/status/1364231934084329474","1364231934084329474")</f>
        <v>1364231934084329474</v>
      </c>
      <c r="F520" s="7" t="s">
        <v>2098</v>
      </c>
      <c r="G520" s="8"/>
      <c r="H520" s="8"/>
      <c r="I520" s="14">
        <v>0</v>
      </c>
      <c r="J520" s="14">
        <v>0</v>
      </c>
      <c r="K520" s="6" t="str">
        <f>HYPERLINK("https://ifttt.com","IFTTT")</f>
        <v>IFTTT</v>
      </c>
      <c r="L520" s="15">
        <v>4357</v>
      </c>
      <c r="M520" s="15">
        <v>17</v>
      </c>
      <c r="N520" s="15">
        <v>66</v>
      </c>
      <c r="O520" s="9"/>
      <c r="P520" s="10">
        <v>43565.689467592594</v>
      </c>
      <c r="Q520" s="14" t="s">
        <v>322</v>
      </c>
      <c r="R520" s="14" t="s">
        <v>994</v>
      </c>
      <c r="S520" s="7" t="s">
        <v>995</v>
      </c>
      <c r="T520" s="8"/>
      <c r="U520" s="11" t="str">
        <f>HYPERLINK("https://pbs.twimg.com/profile_images/1289733180468203520/z8oEBpFo.png","View")</f>
        <v>View</v>
      </c>
      <c r="V520" s="8"/>
      <c r="W520" s="8"/>
      <c r="X520" s="8"/>
      <c r="Y520" s="8"/>
      <c r="Z520" s="8"/>
    </row>
    <row r="521" spans="1:26" ht="13.2">
      <c r="A521" s="13">
        <v>44250.67597222222</v>
      </c>
      <c r="B521" s="6" t="str">
        <f>HYPERLINK("https://twitter.com/Stefano_Budoia","@Stefano_Budoia")</f>
        <v>@Stefano_Budoia</v>
      </c>
      <c r="C521" s="14" t="s">
        <v>2542</v>
      </c>
      <c r="D521" s="14" t="s">
        <v>1180</v>
      </c>
      <c r="E521" s="6" t="str">
        <f>HYPERLINK("https://twitter.com/Stefano_Budoia/status/1364231894527696896","1364231894527696896")</f>
        <v>1364231894527696896</v>
      </c>
      <c r="F521" s="7" t="s">
        <v>2543</v>
      </c>
      <c r="G521" s="7" t="s">
        <v>2544</v>
      </c>
      <c r="H521" s="8"/>
      <c r="I521" s="14">
        <v>2</v>
      </c>
      <c r="J521" s="14">
        <v>1</v>
      </c>
      <c r="K521" s="6" t="str">
        <f>HYPERLINK("http://dynamicsignal.com/","Dynamic Signal")</f>
        <v>Dynamic Signal</v>
      </c>
      <c r="L521" s="15">
        <v>380</v>
      </c>
      <c r="M521" s="15">
        <v>1212</v>
      </c>
      <c r="N521" s="15">
        <v>18</v>
      </c>
      <c r="O521" s="9"/>
      <c r="P521" s="10">
        <v>39738.494583333333</v>
      </c>
      <c r="Q521" s="14" t="s">
        <v>2545</v>
      </c>
      <c r="R521" s="14" t="s">
        <v>2546</v>
      </c>
      <c r="S521" s="8"/>
      <c r="T521" s="8"/>
      <c r="U521" s="11" t="str">
        <f>HYPERLINK("https://pbs.twimg.com/profile_images/1118793382468423680/5ZE1lhuB.jpg","View")</f>
        <v>View</v>
      </c>
      <c r="V521" s="8"/>
      <c r="W521" s="8"/>
      <c r="X521" s="8"/>
      <c r="Y521" s="8"/>
      <c r="Z521" s="8"/>
    </row>
    <row r="522" spans="1:26" ht="13.2">
      <c r="A522" s="13">
        <v>44250.67596064815</v>
      </c>
      <c r="B522" s="6" t="str">
        <f>HYPERLINK("https://twitter.com/towards_AI","@towards_AI")</f>
        <v>@towards_AI</v>
      </c>
      <c r="C522" s="14" t="s">
        <v>993</v>
      </c>
      <c r="D522" s="14" t="s">
        <v>2105</v>
      </c>
      <c r="E522" s="6" t="str">
        <f>HYPERLINK("https://twitter.com/towards_AI/status/1364231891830857728","1364231891830857728")</f>
        <v>1364231891830857728</v>
      </c>
      <c r="F522" s="7" t="s">
        <v>2106</v>
      </c>
      <c r="G522" s="8"/>
      <c r="H522" s="8"/>
      <c r="I522" s="14">
        <v>2</v>
      </c>
      <c r="J522" s="14">
        <v>3</v>
      </c>
      <c r="K522" s="6" t="str">
        <f>HYPERLINK("https://ifttt.com","IFTTT")</f>
        <v>IFTTT</v>
      </c>
      <c r="L522" s="15">
        <v>4357</v>
      </c>
      <c r="M522" s="15">
        <v>17</v>
      </c>
      <c r="N522" s="15">
        <v>66</v>
      </c>
      <c r="O522" s="9"/>
      <c r="P522" s="10">
        <v>43565.689467592594</v>
      </c>
      <c r="Q522" s="14" t="s">
        <v>322</v>
      </c>
      <c r="R522" s="14" t="s">
        <v>994</v>
      </c>
      <c r="S522" s="7" t="s">
        <v>995</v>
      </c>
      <c r="T522" s="8"/>
      <c r="U522" s="11" t="str">
        <f>HYPERLINK("https://pbs.twimg.com/profile_images/1289733180468203520/z8oEBpFo.png","View")</f>
        <v>View</v>
      </c>
      <c r="V522" s="8"/>
      <c r="W522" s="8"/>
      <c r="X522" s="8"/>
      <c r="Y522" s="8"/>
      <c r="Z522" s="8"/>
    </row>
    <row r="523" spans="1:26" ht="13.2">
      <c r="A523" s="13">
        <v>44250.675381944442</v>
      </c>
      <c r="B523" s="6" t="str">
        <f>HYPERLINK("https://twitter.com/milocamj","@milocamj")</f>
        <v>@milocamj</v>
      </c>
      <c r="C523" s="14" t="s">
        <v>1805</v>
      </c>
      <c r="D523" s="14" t="s">
        <v>2547</v>
      </c>
      <c r="E523" s="6" t="str">
        <f>HYPERLINK("https://twitter.com/milocamj/status/1364231681071177731","1364231681071177731")</f>
        <v>1364231681071177731</v>
      </c>
      <c r="F523" s="7" t="s">
        <v>2548</v>
      </c>
      <c r="G523" s="7" t="s">
        <v>2549</v>
      </c>
      <c r="H523" s="8"/>
      <c r="I523" s="14">
        <v>3</v>
      </c>
      <c r="J523" s="14">
        <v>0</v>
      </c>
      <c r="K523" s="6" t="str">
        <f>HYPERLINK("https://dlvrit.com/","dlvr.it")</f>
        <v>dlvr.it</v>
      </c>
      <c r="L523" s="15">
        <v>2595</v>
      </c>
      <c r="M523" s="15">
        <v>48</v>
      </c>
      <c r="N523" s="15">
        <v>1282</v>
      </c>
      <c r="O523" s="9"/>
      <c r="P523" s="10">
        <v>39904.699837962966</v>
      </c>
      <c r="Q523" s="14" t="s">
        <v>1809</v>
      </c>
      <c r="R523" s="14" t="s">
        <v>1810</v>
      </c>
      <c r="S523" s="7" t="s">
        <v>1811</v>
      </c>
      <c r="T523" s="8"/>
      <c r="U523" s="11" t="str">
        <f>HYPERLINK("https://pbs.twimg.com/profile_images/1108578778018709505/56I0aOhL.jpg","View")</f>
        <v>View</v>
      </c>
      <c r="V523" s="8"/>
      <c r="W523" s="8"/>
      <c r="X523" s="8"/>
      <c r="Y523" s="8"/>
      <c r="Z523" s="8"/>
    </row>
    <row r="524" spans="1:26" ht="13.2">
      <c r="A524" s="13">
        <v>44250.675173611111</v>
      </c>
      <c r="B524" s="6" t="str">
        <f>HYPERLINK("https://twitter.com/corizance","@corizance")</f>
        <v>@corizance</v>
      </c>
      <c r="C524" s="14" t="s">
        <v>2550</v>
      </c>
      <c r="D524" s="14" t="s">
        <v>740</v>
      </c>
      <c r="E524" s="6" t="str">
        <f>HYPERLINK("https://twitter.com/corizance/status/1364231604906901507","1364231604906901507")</f>
        <v>1364231604906901507</v>
      </c>
      <c r="F524" s="14" t="s">
        <v>741</v>
      </c>
      <c r="G524" s="8"/>
      <c r="H524" s="8"/>
      <c r="I524" s="14">
        <v>2</v>
      </c>
      <c r="J524" s="14">
        <v>0</v>
      </c>
      <c r="K524" s="6" t="str">
        <f>HYPERLINK("http://twinybots.com","TwinyBots")</f>
        <v>TwinyBots</v>
      </c>
      <c r="L524" s="15">
        <v>488</v>
      </c>
      <c r="M524" s="15">
        <v>434</v>
      </c>
      <c r="N524" s="15">
        <v>13</v>
      </c>
      <c r="O524" s="9"/>
      <c r="P524" s="10">
        <v>43789.49145833333</v>
      </c>
      <c r="Q524" s="14" t="s">
        <v>2551</v>
      </c>
      <c r="R524" s="14" t="s">
        <v>2552</v>
      </c>
      <c r="S524" s="7" t="s">
        <v>2553</v>
      </c>
      <c r="T524" s="8"/>
      <c r="U524" s="11" t="str">
        <f>HYPERLINK("https://pbs.twimg.com/profile_images/1223176339697565697/q38i7r9K.jpg","View")</f>
        <v>View</v>
      </c>
      <c r="V524" s="8"/>
      <c r="W524" s="8"/>
      <c r="X524" s="8"/>
      <c r="Y524" s="8"/>
      <c r="Z524" s="8"/>
    </row>
    <row r="525" spans="1:26" ht="13.2">
      <c r="A525" s="13">
        <v>44250.675162037034</v>
      </c>
      <c r="B525" s="6" t="str">
        <f>HYPERLINK("https://twitter.com/AstraeaInc","@AstraeaInc")</f>
        <v>@AstraeaInc</v>
      </c>
      <c r="C525" s="14" t="s">
        <v>2554</v>
      </c>
      <c r="D525" s="14" t="s">
        <v>2555</v>
      </c>
      <c r="E525" s="6" t="str">
        <f>HYPERLINK("https://twitter.com/AstraeaInc/status/1364231602688192517","1364231602688192517")</f>
        <v>1364231602688192517</v>
      </c>
      <c r="F525" s="8"/>
      <c r="G525" s="7" t="s">
        <v>2556</v>
      </c>
      <c r="H525" s="8"/>
      <c r="I525" s="14">
        <v>3</v>
      </c>
      <c r="J525" s="14">
        <v>1</v>
      </c>
      <c r="K525" s="6" t="str">
        <f t="shared" ref="K525:K526" si="82">HYPERLINK("https://mobile.twitter.com","Twitter Web App")</f>
        <v>Twitter Web App</v>
      </c>
      <c r="L525" s="15">
        <v>1765</v>
      </c>
      <c r="M525" s="15">
        <v>258</v>
      </c>
      <c r="N525" s="15">
        <v>19</v>
      </c>
      <c r="O525" s="9"/>
      <c r="P525" s="10">
        <v>43053.826620370368</v>
      </c>
      <c r="Q525" s="14" t="s">
        <v>2557</v>
      </c>
      <c r="R525" s="14" t="s">
        <v>2558</v>
      </c>
      <c r="S525" s="7" t="s">
        <v>2559</v>
      </c>
      <c r="T525" s="8"/>
      <c r="U525" s="11" t="str">
        <f>HYPERLINK("https://pbs.twimg.com/profile_images/930509293891346432/N7bcyHdg.jpg","View")</f>
        <v>View</v>
      </c>
      <c r="V525" s="8"/>
      <c r="W525" s="8"/>
      <c r="X525" s="8"/>
      <c r="Y525" s="8"/>
      <c r="Z525" s="8"/>
    </row>
    <row r="526" spans="1:26" ht="13.2">
      <c r="A526" s="13">
        <v>44250.675127314811</v>
      </c>
      <c r="B526" s="6" t="str">
        <f>HYPERLINK("https://twitter.com/wjb_mattingly","@wjb_mattingly")</f>
        <v>@wjb_mattingly</v>
      </c>
      <c r="C526" s="14" t="s">
        <v>2560</v>
      </c>
      <c r="D526" s="14" t="s">
        <v>2561</v>
      </c>
      <c r="E526" s="6" t="str">
        <f>HYPERLINK("https://twitter.com/wjb_mattingly/status/1364231587861323784","1364231587861323784")</f>
        <v>1364231587861323784</v>
      </c>
      <c r="F526" s="14" t="s">
        <v>2562</v>
      </c>
      <c r="G526" s="8"/>
      <c r="H526" s="8"/>
      <c r="I526" s="14">
        <v>3</v>
      </c>
      <c r="J526" s="14">
        <v>8</v>
      </c>
      <c r="K526" s="6" t="str">
        <f t="shared" si="82"/>
        <v>Twitter Web App</v>
      </c>
      <c r="L526" s="15">
        <v>1024</v>
      </c>
      <c r="M526" s="15">
        <v>3550</v>
      </c>
      <c r="N526" s="15">
        <v>18</v>
      </c>
      <c r="O526" s="9"/>
      <c r="P526" s="10">
        <v>43956.838553240741</v>
      </c>
      <c r="Q526" s="8"/>
      <c r="R526" s="14" t="s">
        <v>2563</v>
      </c>
      <c r="S526" s="7" t="s">
        <v>2564</v>
      </c>
      <c r="T526" s="8"/>
      <c r="U526" s="11" t="str">
        <f>HYPERLINK("https://pbs.twimg.com/profile_images/1257735005624729602/PkxjtGVK.jpg","View")</f>
        <v>View</v>
      </c>
      <c r="V526" s="8"/>
      <c r="W526" s="8"/>
      <c r="X526" s="8"/>
      <c r="Y526" s="8"/>
      <c r="Z526" s="8"/>
    </row>
    <row r="527" spans="1:26" ht="13.2">
      <c r="A527" s="13">
        <v>44250.675115740742</v>
      </c>
      <c r="B527" s="6" t="str">
        <f>HYPERLINK("https://twitter.com/gp_pulipaka","@gp_pulipaka")</f>
        <v>@gp_pulipaka</v>
      </c>
      <c r="C527" s="14" t="s">
        <v>2230</v>
      </c>
      <c r="D527" s="14" t="s">
        <v>2565</v>
      </c>
      <c r="E527" s="6" t="str">
        <f>HYPERLINK("https://twitter.com/gp_pulipaka/status/1364231585969676299","1364231585969676299")</f>
        <v>1364231585969676299</v>
      </c>
      <c r="F527" s="7" t="s">
        <v>2566</v>
      </c>
      <c r="G527" s="7" t="s">
        <v>2567</v>
      </c>
      <c r="H527" s="8"/>
      <c r="I527" s="14">
        <v>46</v>
      </c>
      <c r="J527" s="14">
        <v>27</v>
      </c>
      <c r="K527" s="6" t="str">
        <f>HYPERLINK("https://buffer.com","Buffer")</f>
        <v>Buffer</v>
      </c>
      <c r="L527" s="15">
        <v>109083</v>
      </c>
      <c r="M527" s="15">
        <v>22723</v>
      </c>
      <c r="N527" s="15">
        <v>3558</v>
      </c>
      <c r="O527" s="9"/>
      <c r="P527" s="10">
        <v>42325.138298611113</v>
      </c>
      <c r="Q527" s="14" t="s">
        <v>2234</v>
      </c>
      <c r="R527" s="14" t="s">
        <v>2235</v>
      </c>
      <c r="S527" s="7" t="s">
        <v>2236</v>
      </c>
      <c r="T527" s="8"/>
      <c r="U527" s="11" t="str">
        <f>HYPERLINK("https://pbs.twimg.com/profile_images/1354974939887988736/P9wzBxgk.jpg","View")</f>
        <v>View</v>
      </c>
      <c r="V527" s="8"/>
      <c r="W527" s="8"/>
      <c r="X527" s="8"/>
      <c r="Y527" s="8"/>
      <c r="Z527" s="8"/>
    </row>
    <row r="528" spans="1:26" ht="13.2">
      <c r="A528" s="13">
        <v>44250.675081018519</v>
      </c>
      <c r="B528" s="6" t="str">
        <f>HYPERLINK("https://twitter.com/Experian_B2B","@Experian_B2B")</f>
        <v>@Experian_B2B</v>
      </c>
      <c r="C528" s="14" t="s">
        <v>2568</v>
      </c>
      <c r="D528" s="14" t="s">
        <v>2569</v>
      </c>
      <c r="E528" s="6" t="str">
        <f>HYPERLINK("https://twitter.com/Experian_B2B/status/1364231573583908865","1364231573583908865")</f>
        <v>1364231573583908865</v>
      </c>
      <c r="F528" s="7" t="s">
        <v>2570</v>
      </c>
      <c r="G528" s="7" t="s">
        <v>2571</v>
      </c>
      <c r="H528" s="8"/>
      <c r="I528" s="14">
        <v>3</v>
      </c>
      <c r="J528" s="14">
        <v>0</v>
      </c>
      <c r="K528" s="6" t="str">
        <f>HYPERLINK("https://app.agorapulse.com","AgoraPulse Manager")</f>
        <v>AgoraPulse Manager</v>
      </c>
      <c r="L528" s="15">
        <v>2627</v>
      </c>
      <c r="M528" s="15">
        <v>1603</v>
      </c>
      <c r="N528" s="15">
        <v>147</v>
      </c>
      <c r="O528" s="9"/>
      <c r="P528" s="10">
        <v>40437.042951388888</v>
      </c>
      <c r="Q528" s="14" t="s">
        <v>2572</v>
      </c>
      <c r="R528" s="14" t="s">
        <v>2573</v>
      </c>
      <c r="S528" s="7" t="s">
        <v>2574</v>
      </c>
      <c r="T528" s="8"/>
      <c r="U528" s="11" t="str">
        <f>HYPERLINK("https://pbs.twimg.com/profile_images/1281010683673407489/84sS4jHF.jpg","View")</f>
        <v>View</v>
      </c>
      <c r="V528" s="8"/>
      <c r="W528" s="8"/>
      <c r="X528" s="8"/>
      <c r="Y528" s="8"/>
      <c r="Z528" s="8"/>
    </row>
    <row r="529" spans="1:26" ht="13.2">
      <c r="A529" s="13">
        <v>44250.674849537041</v>
      </c>
      <c r="B529" s="6" t="str">
        <f>HYPERLINK("https://twitter.com/Mlearning_ai","@Mlearning_ai")</f>
        <v>@Mlearning_ai</v>
      </c>
      <c r="C529" s="14" t="s">
        <v>2336</v>
      </c>
      <c r="D529" s="14" t="s">
        <v>2575</v>
      </c>
      <c r="E529" s="6" t="str">
        <f>HYPERLINK("https://twitter.com/Mlearning_ai/status/1364231487076392961","1364231487076392961")</f>
        <v>1364231487076392961</v>
      </c>
      <c r="F529" s="7" t="s">
        <v>2576</v>
      </c>
      <c r="G529" s="8"/>
      <c r="H529" s="8"/>
      <c r="I529" s="14">
        <v>7</v>
      </c>
      <c r="J529" s="14">
        <v>7</v>
      </c>
      <c r="K529" s="6" t="str">
        <f t="shared" ref="K529:K534" si="83">HYPERLINK("https://mobile.twitter.com","Twitter Web App")</f>
        <v>Twitter Web App</v>
      </c>
      <c r="L529" s="15">
        <v>4161</v>
      </c>
      <c r="M529" s="15">
        <v>201</v>
      </c>
      <c r="N529" s="15">
        <v>148</v>
      </c>
      <c r="O529" s="9"/>
      <c r="P529" s="10">
        <v>41120.458391203705</v>
      </c>
      <c r="Q529" s="8"/>
      <c r="R529" s="14" t="s">
        <v>2339</v>
      </c>
      <c r="S529" s="7" t="s">
        <v>2340</v>
      </c>
      <c r="T529" s="8"/>
      <c r="U529" s="11" t="str">
        <f>HYPERLINK("https://pbs.twimg.com/profile_images/1198670629433724928/V-cPfdPX.jpg","View")</f>
        <v>View</v>
      </c>
      <c r="V529" s="8"/>
      <c r="W529" s="8"/>
      <c r="X529" s="8"/>
      <c r="Y529" s="8"/>
      <c r="Z529" s="8"/>
    </row>
    <row r="530" spans="1:26" ht="13.2">
      <c r="A530" s="13">
        <v>44250.674293981487</v>
      </c>
      <c r="B530" s="6" t="str">
        <f>HYPERLINK("https://twitter.com/asuun_info","@asuun_info")</f>
        <v>@asuun_info</v>
      </c>
      <c r="C530" s="14" t="s">
        <v>2577</v>
      </c>
      <c r="D530" s="14" t="s">
        <v>2578</v>
      </c>
      <c r="E530" s="6" t="str">
        <f>HYPERLINK("https://twitter.com/asuun_info/status/1364231284667547651","1364231284667547651")</f>
        <v>1364231284667547651</v>
      </c>
      <c r="F530" s="7" t="s">
        <v>2579</v>
      </c>
      <c r="G530" s="8"/>
      <c r="H530" s="8"/>
      <c r="I530" s="14">
        <v>2</v>
      </c>
      <c r="J530" s="14">
        <v>0</v>
      </c>
      <c r="K530" s="6" t="str">
        <f t="shared" si="83"/>
        <v>Twitter Web App</v>
      </c>
      <c r="L530" s="15">
        <v>51</v>
      </c>
      <c r="M530" s="15">
        <v>32</v>
      </c>
      <c r="N530" s="15">
        <v>4</v>
      </c>
      <c r="O530" s="9"/>
      <c r="P530" s="10">
        <v>42117.110046296293</v>
      </c>
      <c r="Q530" s="14" t="s">
        <v>2580</v>
      </c>
      <c r="R530" s="14" t="s">
        <v>2581</v>
      </c>
      <c r="S530" s="7" t="s">
        <v>2582</v>
      </c>
      <c r="T530" s="8"/>
      <c r="U530" s="11" t="str">
        <f>HYPERLINK("https://pbs.twimg.com/profile_images/591043406685540352/Da_22G8h.jpg","View")</f>
        <v>View</v>
      </c>
      <c r="V530" s="8"/>
      <c r="W530" s="8"/>
      <c r="X530" s="8"/>
      <c r="Y530" s="8"/>
      <c r="Z530" s="8"/>
    </row>
    <row r="531" spans="1:26" ht="13.2">
      <c r="A531" s="13">
        <v>44250.673530092594</v>
      </c>
      <c r="B531" s="6" t="str">
        <f>HYPERLINK("https://twitter.com/LAWarrenburg","@LAWarrenburg")</f>
        <v>@LAWarrenburg</v>
      </c>
      <c r="C531" s="14" t="s">
        <v>2583</v>
      </c>
      <c r="D531" s="14" t="s">
        <v>2584</v>
      </c>
      <c r="E531" s="6" t="str">
        <f>HYPERLINK("https://twitter.com/LAWarrenburg/status/1364231009768734722","1364231009768734722")</f>
        <v>1364231009768734722</v>
      </c>
      <c r="F531" s="7" t="s">
        <v>2585</v>
      </c>
      <c r="G531" s="8"/>
      <c r="H531" s="8"/>
      <c r="I531" s="14">
        <v>4</v>
      </c>
      <c r="J531" s="14">
        <v>3</v>
      </c>
      <c r="K531" s="6" t="str">
        <f t="shared" si="83"/>
        <v>Twitter Web App</v>
      </c>
      <c r="L531" s="15">
        <v>640</v>
      </c>
      <c r="M531" s="15">
        <v>537</v>
      </c>
      <c r="N531" s="15">
        <v>7</v>
      </c>
      <c r="O531" s="9"/>
      <c r="P531" s="10">
        <v>40972.024953703702</v>
      </c>
      <c r="Q531" s="14" t="s">
        <v>221</v>
      </c>
      <c r="R531" s="14" t="s">
        <v>2586</v>
      </c>
      <c r="S531" s="7" t="s">
        <v>2587</v>
      </c>
      <c r="T531" s="8"/>
      <c r="U531" s="11" t="str">
        <f>HYPERLINK("https://pbs.twimg.com/profile_images/1008866884706586624/hzRi06Tp.jpg","View")</f>
        <v>View</v>
      </c>
      <c r="V531" s="8"/>
      <c r="W531" s="8"/>
      <c r="X531" s="8"/>
      <c r="Y531" s="8"/>
      <c r="Z531" s="8"/>
    </row>
    <row r="532" spans="1:26" ht="13.2">
      <c r="A532" s="13">
        <v>44250.67287037037</v>
      </c>
      <c r="B532" s="6" t="str">
        <f>HYPERLINK("https://twitter.com/Call_Me_Kush_","@Call_Me_Kush_")</f>
        <v>@Call_Me_Kush_</v>
      </c>
      <c r="C532" s="14" t="s">
        <v>2588</v>
      </c>
      <c r="D532" s="14" t="s">
        <v>2589</v>
      </c>
      <c r="E532" s="6" t="str">
        <f>HYPERLINK("https://twitter.com/Call_Me_Kush_/status/1364230771519541251","1364230771519541251")</f>
        <v>1364230771519541251</v>
      </c>
      <c r="F532" s="8"/>
      <c r="G532" s="8"/>
      <c r="H532" s="8"/>
      <c r="I532" s="14">
        <v>3</v>
      </c>
      <c r="J532" s="14">
        <v>3</v>
      </c>
      <c r="K532" s="6" t="str">
        <f t="shared" si="83"/>
        <v>Twitter Web App</v>
      </c>
      <c r="L532" s="15">
        <v>1667</v>
      </c>
      <c r="M532" s="15">
        <v>1395</v>
      </c>
      <c r="N532" s="15">
        <v>1</v>
      </c>
      <c r="O532" s="9"/>
      <c r="P532" s="10">
        <v>43511.20784722222</v>
      </c>
      <c r="Q532" s="8"/>
      <c r="R532" s="14" t="s">
        <v>2590</v>
      </c>
      <c r="S532" s="8"/>
      <c r="T532" s="8"/>
      <c r="U532" s="11" t="str">
        <f>HYPERLINK("https://pbs.twimg.com/profile_images/1363412091546136579/7TlIx2C4.jpg","View")</f>
        <v>View</v>
      </c>
      <c r="V532" s="8"/>
      <c r="W532" s="8"/>
      <c r="X532" s="8"/>
      <c r="Y532" s="8"/>
      <c r="Z532" s="8"/>
    </row>
    <row r="533" spans="1:26" ht="13.2">
      <c r="A533" s="13">
        <v>44250.672847222224</v>
      </c>
      <c r="B533" s="6" t="str">
        <f>HYPERLINK("https://twitter.com/GrokStream","@GrokStream")</f>
        <v>@GrokStream</v>
      </c>
      <c r="C533" s="14" t="s">
        <v>2591</v>
      </c>
      <c r="D533" s="14" t="s">
        <v>2592</v>
      </c>
      <c r="E533" s="6" t="str">
        <f>HYPERLINK("https://twitter.com/GrokStream/status/1364230762443202560","1364230762443202560")</f>
        <v>1364230762443202560</v>
      </c>
      <c r="F533" s="7" t="s">
        <v>2593</v>
      </c>
      <c r="G533" s="7" t="s">
        <v>2594</v>
      </c>
      <c r="H533" s="8"/>
      <c r="I533" s="14">
        <v>2</v>
      </c>
      <c r="J533" s="14">
        <v>2</v>
      </c>
      <c r="K533" s="6" t="str">
        <f t="shared" si="83"/>
        <v>Twitter Web App</v>
      </c>
      <c r="L533" s="15">
        <v>556</v>
      </c>
      <c r="M533" s="15">
        <v>1092</v>
      </c>
      <c r="N533" s="15">
        <v>87</v>
      </c>
      <c r="O533" s="9"/>
      <c r="P533" s="10">
        <v>41417.963495370372</v>
      </c>
      <c r="Q533" s="14" t="s">
        <v>56</v>
      </c>
      <c r="R533" s="14" t="s">
        <v>2595</v>
      </c>
      <c r="S533" s="7" t="s">
        <v>2596</v>
      </c>
      <c r="T533" s="8"/>
      <c r="U533" s="11" t="str">
        <f>HYPERLINK("https://pbs.twimg.com/profile_images/1338527130251104262/28GIGXM6.jpg","View")</f>
        <v>View</v>
      </c>
      <c r="V533" s="8"/>
      <c r="W533" s="8"/>
      <c r="X533" s="8"/>
      <c r="Y533" s="8"/>
      <c r="Z533" s="8"/>
    </row>
    <row r="534" spans="1:26" ht="13.2">
      <c r="A534" s="13">
        <v>44250.672824074078</v>
      </c>
      <c r="B534" s="6" t="str">
        <f>HYPERLINK("https://twitter.com/ppxasjsm","@ppxasjsm")</f>
        <v>@ppxasjsm</v>
      </c>
      <c r="C534" s="14" t="s">
        <v>2597</v>
      </c>
      <c r="D534" s="14" t="s">
        <v>2598</v>
      </c>
      <c r="E534" s="6" t="str">
        <f>HYPERLINK("https://twitter.com/ppxasjsm/status/1364230753656176642","1364230753656176642")</f>
        <v>1364230753656176642</v>
      </c>
      <c r="F534" s="8"/>
      <c r="G534" s="8"/>
      <c r="H534" s="8"/>
      <c r="I534" s="14">
        <v>3</v>
      </c>
      <c r="J534" s="14">
        <v>4</v>
      </c>
      <c r="K534" s="6" t="str">
        <f t="shared" si="83"/>
        <v>Twitter Web App</v>
      </c>
      <c r="L534" s="15">
        <v>937</v>
      </c>
      <c r="M534" s="15">
        <v>651</v>
      </c>
      <c r="N534" s="15">
        <v>9</v>
      </c>
      <c r="O534" s="9"/>
      <c r="P534" s="10">
        <v>42439.922777777778</v>
      </c>
      <c r="Q534" s="14" t="s">
        <v>2599</v>
      </c>
      <c r="R534" s="14" t="s">
        <v>2600</v>
      </c>
      <c r="S534" s="7" t="s">
        <v>2601</v>
      </c>
      <c r="T534" s="8"/>
      <c r="U534" s="11" t="str">
        <f>HYPERLINK("https://pbs.twimg.com/profile_images/1339470353219919879/1ty3L4DF.jpg","View")</f>
        <v>View</v>
      </c>
      <c r="V534" s="8"/>
      <c r="W534" s="8"/>
      <c r="X534" s="8"/>
      <c r="Y534" s="8"/>
      <c r="Z534" s="8"/>
    </row>
    <row r="535" spans="1:26" ht="13.2">
      <c r="A535" s="13">
        <v>44250.67255787037</v>
      </c>
      <c r="B535" s="6" t="str">
        <f>HYPERLINK("https://twitter.com/guidaautonoma","@guidaautonoma")</f>
        <v>@guidaautonoma</v>
      </c>
      <c r="C535" s="14" t="s">
        <v>2203</v>
      </c>
      <c r="D535" s="14" t="s">
        <v>2602</v>
      </c>
      <c r="E535" s="6" t="str">
        <f>HYPERLINK("https://twitter.com/guidaautonoma/status/1364230656948068354","1364230656948068354")</f>
        <v>1364230656948068354</v>
      </c>
      <c r="F535" s="7" t="s">
        <v>2603</v>
      </c>
      <c r="G535" s="7" t="s">
        <v>2604</v>
      </c>
      <c r="H535" s="8"/>
      <c r="I535" s="14">
        <v>8</v>
      </c>
      <c r="J535" s="14">
        <v>5</v>
      </c>
      <c r="K535" s="6" t="str">
        <f>HYPERLINK("http://twitter.com/download/android","Twitter for Android")</f>
        <v>Twitter for Android</v>
      </c>
      <c r="L535" s="15">
        <v>7074</v>
      </c>
      <c r="M535" s="15">
        <v>6991</v>
      </c>
      <c r="N535" s="15">
        <v>411</v>
      </c>
      <c r="O535" s="9"/>
      <c r="P535" s="10">
        <v>42496.270833333328</v>
      </c>
      <c r="Q535" s="14" t="s">
        <v>2207</v>
      </c>
      <c r="R535" s="14" t="s">
        <v>2208</v>
      </c>
      <c r="S535" s="7" t="s">
        <v>2209</v>
      </c>
      <c r="T535" s="8"/>
      <c r="U535" s="11" t="str">
        <f>HYPERLINK("https://pbs.twimg.com/profile_images/728675456971583488/AVbaFxlK.jpg","View")</f>
        <v>View</v>
      </c>
      <c r="V535" s="8"/>
      <c r="W535" s="8"/>
      <c r="X535" s="8"/>
      <c r="Y535" s="8"/>
      <c r="Z535" s="8"/>
    </row>
    <row r="536" spans="1:26" ht="13.2">
      <c r="A536" s="13">
        <v>44250.671828703707</v>
      </c>
      <c r="B536" s="6" t="str">
        <f>HYPERLINK("https://twitter.com/couponed_code","@couponed_code")</f>
        <v>@couponed_code</v>
      </c>
      <c r="C536" s="14" t="s">
        <v>2605</v>
      </c>
      <c r="D536" s="14" t="s">
        <v>2606</v>
      </c>
      <c r="E536" s="6" t="str">
        <f>HYPERLINK("https://twitter.com/couponed_code/status/1364230391414939649","1364230391414939649")</f>
        <v>1364230391414939649</v>
      </c>
      <c r="F536" s="7" t="s">
        <v>2607</v>
      </c>
      <c r="G536" s="7" t="s">
        <v>2608</v>
      </c>
      <c r="H536" s="8"/>
      <c r="I536" s="14">
        <v>22</v>
      </c>
      <c r="J536" s="14">
        <v>9</v>
      </c>
      <c r="K536" s="6" t="str">
        <f>HYPERLINK("https://mobile.twitter.com","Twitter Web App")</f>
        <v>Twitter Web App</v>
      </c>
      <c r="L536" s="15">
        <v>411</v>
      </c>
      <c r="M536" s="15">
        <v>189</v>
      </c>
      <c r="N536" s="15">
        <v>12</v>
      </c>
      <c r="O536" s="9"/>
      <c r="P536" s="10">
        <v>43795.697094907402</v>
      </c>
      <c r="Q536" s="8"/>
      <c r="R536" s="14" t="s">
        <v>2609</v>
      </c>
      <c r="S536" s="7" t="s">
        <v>249</v>
      </c>
      <c r="T536" s="8"/>
      <c r="U536" s="11" t="str">
        <f>HYPERLINK("https://pbs.twimg.com/profile_images/1199354488051515392/yHRbpMAp.jpg","View")</f>
        <v>View</v>
      </c>
      <c r="V536" s="8"/>
      <c r="W536" s="8"/>
      <c r="X536" s="8"/>
      <c r="Y536" s="8"/>
      <c r="Z536" s="8"/>
    </row>
    <row r="537" spans="1:26" ht="13.2">
      <c r="A537" s="13">
        <v>44250.671527777777</v>
      </c>
      <c r="B537" s="6" t="str">
        <f>HYPERLINK("https://twitter.com/jamesvgingerich","@jamesvgingerich")</f>
        <v>@jamesvgingerich</v>
      </c>
      <c r="C537" s="14" t="s">
        <v>1087</v>
      </c>
      <c r="D537" s="14" t="s">
        <v>2610</v>
      </c>
      <c r="E537" s="6" t="str">
        <f>HYPERLINK("https://twitter.com/jamesvgingerich/status/1364230282862231559","1364230282862231559")</f>
        <v>1364230282862231559</v>
      </c>
      <c r="F537" s="7" t="s">
        <v>2611</v>
      </c>
      <c r="G537" s="7" t="s">
        <v>2612</v>
      </c>
      <c r="H537" s="8"/>
      <c r="I537" s="14">
        <v>0</v>
      </c>
      <c r="J537" s="14">
        <v>1</v>
      </c>
      <c r="K537" s="6" t="str">
        <f>HYPERLINK("https://about.twitter.com/products/tweetdeck","TweetDeck")</f>
        <v>TweetDeck</v>
      </c>
      <c r="L537" s="15">
        <v>53483</v>
      </c>
      <c r="M537" s="15">
        <v>56072</v>
      </c>
      <c r="N537" s="15">
        <v>1126</v>
      </c>
      <c r="O537" s="9"/>
      <c r="P537" s="10">
        <v>39623.806192129632</v>
      </c>
      <c r="Q537" s="14" t="s">
        <v>1091</v>
      </c>
      <c r="R537" s="14" t="s">
        <v>1092</v>
      </c>
      <c r="S537" s="7" t="s">
        <v>1093</v>
      </c>
      <c r="T537" s="8"/>
      <c r="U537" s="11" t="str">
        <f>HYPERLINK("https://pbs.twimg.com/profile_images/692168521/james_profile.jpg","View")</f>
        <v>View</v>
      </c>
      <c r="V537" s="8"/>
      <c r="W537" s="8"/>
      <c r="X537" s="8"/>
      <c r="Y537" s="8"/>
      <c r="Z537" s="8"/>
    </row>
    <row r="538" spans="1:26" ht="13.2">
      <c r="A538" s="13">
        <v>44250.671006944445</v>
      </c>
      <c r="B538" s="6" t="str">
        <f>HYPERLINK("https://twitter.com/a_jeddab","@a_jeddab")</f>
        <v>@a_jeddab</v>
      </c>
      <c r="C538" s="14" t="s">
        <v>2613</v>
      </c>
      <c r="D538" s="14" t="s">
        <v>2614</v>
      </c>
      <c r="E538" s="6" t="str">
        <f>HYPERLINK("https://twitter.com/a_jeddab/status/1364230095913811974","1364230095913811974")</f>
        <v>1364230095913811974</v>
      </c>
      <c r="F538" s="14" t="s">
        <v>2615</v>
      </c>
      <c r="G538" s="8"/>
      <c r="H538" s="8"/>
      <c r="I538" s="14">
        <v>0</v>
      </c>
      <c r="J538" s="14">
        <v>1</v>
      </c>
      <c r="K538" s="6" t="str">
        <f>HYPERLINK("http://twinybots.com","TwinyBots")</f>
        <v>TwinyBots</v>
      </c>
      <c r="L538" s="15">
        <v>178</v>
      </c>
      <c r="M538" s="15">
        <v>884</v>
      </c>
      <c r="N538" s="15">
        <v>9</v>
      </c>
      <c r="O538" s="9"/>
      <c r="P538" s="10">
        <v>41899.98101851852</v>
      </c>
      <c r="Q538" s="14" t="s">
        <v>2616</v>
      </c>
      <c r="R538" s="14" t="s">
        <v>2617</v>
      </c>
      <c r="S538" s="7" t="s">
        <v>2618</v>
      </c>
      <c r="T538" s="8"/>
      <c r="U538" s="11" t="str">
        <f>HYPERLINK("https://pbs.twimg.com/profile_images/1231964713224998913/nOYVOmUz.jpg","View")</f>
        <v>View</v>
      </c>
      <c r="V538" s="8"/>
      <c r="W538" s="8"/>
      <c r="X538" s="8"/>
      <c r="Y538" s="8"/>
      <c r="Z538" s="8"/>
    </row>
    <row r="539" spans="1:26" ht="13.2">
      <c r="A539" s="13">
        <v>44250.67087962963</v>
      </c>
      <c r="B539" s="6" t="str">
        <f>HYPERLINK("https://twitter.com/WhitehallMedia","@WhitehallMedia")</f>
        <v>@WhitehallMedia</v>
      </c>
      <c r="C539" s="14" t="s">
        <v>2619</v>
      </c>
      <c r="D539" s="14" t="s">
        <v>2620</v>
      </c>
      <c r="E539" s="6" t="str">
        <f>HYPERLINK("https://twitter.com/WhitehallMedia/status/1364230048904011778","1364230048904011778")</f>
        <v>1364230048904011778</v>
      </c>
      <c r="F539" s="7" t="s">
        <v>2621</v>
      </c>
      <c r="G539" s="7" t="s">
        <v>2622</v>
      </c>
      <c r="H539" s="8"/>
      <c r="I539" s="14">
        <v>0</v>
      </c>
      <c r="J539" s="14">
        <v>1</v>
      </c>
      <c r="K539" s="6" t="str">
        <f>HYPERLINK("https://sproutsocial.com","Sprout Social")</f>
        <v>Sprout Social</v>
      </c>
      <c r="L539" s="15">
        <v>4932</v>
      </c>
      <c r="M539" s="15">
        <v>3451</v>
      </c>
      <c r="N539" s="15">
        <v>123</v>
      </c>
      <c r="O539" s="9"/>
      <c r="P539" s="10">
        <v>40585.524768518517</v>
      </c>
      <c r="Q539" s="14" t="s">
        <v>650</v>
      </c>
      <c r="R539" s="14" t="s">
        <v>2623</v>
      </c>
      <c r="S539" s="7" t="s">
        <v>2624</v>
      </c>
      <c r="T539" s="8"/>
      <c r="U539" s="11" t="str">
        <f>HYPERLINK("https://pbs.twimg.com/profile_images/1314583624168214528/DELRc4Vr.jpg","View")</f>
        <v>View</v>
      </c>
      <c r="V539" s="8"/>
      <c r="W539" s="8"/>
      <c r="X539" s="8"/>
      <c r="Y539" s="8"/>
      <c r="Z539" s="8"/>
    </row>
    <row r="540" spans="1:26" ht="13.2">
      <c r="A540" s="13">
        <v>44250.67050925926</v>
      </c>
      <c r="B540" s="6" t="str">
        <f>HYPERLINK("https://twitter.com/willman20","@willman20")</f>
        <v>@willman20</v>
      </c>
      <c r="C540" s="14" t="s">
        <v>1024</v>
      </c>
      <c r="D540" s="14" t="s">
        <v>2625</v>
      </c>
      <c r="E540" s="6" t="str">
        <f>HYPERLINK("https://twitter.com/willman20/status/1364229914518519809","1364229914518519809")</f>
        <v>1364229914518519809</v>
      </c>
      <c r="F540" s="7" t="s">
        <v>2626</v>
      </c>
      <c r="G540" s="7" t="s">
        <v>2627</v>
      </c>
      <c r="H540" s="8"/>
      <c r="I540" s="14">
        <v>0</v>
      </c>
      <c r="J540" s="14">
        <v>1</v>
      </c>
      <c r="K540" s="6" t="str">
        <f>HYPERLINK("http://twibble.io","Twibble.io")</f>
        <v>Twibble.io</v>
      </c>
      <c r="L540" s="15">
        <v>1081</v>
      </c>
      <c r="M540" s="15">
        <v>1113</v>
      </c>
      <c r="N540" s="15">
        <v>524</v>
      </c>
      <c r="O540" s="9"/>
      <c r="P540" s="10">
        <v>40287.780729166669</v>
      </c>
      <c r="Q540" s="14" t="s">
        <v>1028</v>
      </c>
      <c r="R540" s="14" t="s">
        <v>1029</v>
      </c>
      <c r="S540" s="7" t="s">
        <v>1030</v>
      </c>
      <c r="T540" s="8"/>
      <c r="U540" s="11" t="str">
        <f>HYPERLINK("https://pbs.twimg.com/profile_images/1257427465/Photo-010.jpg","View")</f>
        <v>View</v>
      </c>
      <c r="V540" s="8"/>
      <c r="W540" s="8"/>
      <c r="X540" s="8"/>
      <c r="Y540" s="8"/>
      <c r="Z540" s="8"/>
    </row>
    <row r="541" spans="1:26" ht="13.2">
      <c r="A541" s="13">
        <v>44250.670324074075</v>
      </c>
      <c r="B541" s="6" t="str">
        <f>HYPERLINK("https://twitter.com/blindspotadvise","@blindspotadvise")</f>
        <v>@blindspotadvise</v>
      </c>
      <c r="C541" s="14" t="s">
        <v>2628</v>
      </c>
      <c r="D541" s="14" t="s">
        <v>2629</v>
      </c>
      <c r="E541" s="6" t="str">
        <f>HYPERLINK("https://twitter.com/blindspotadvise/status/1364229846658920451","1364229846658920451")</f>
        <v>1364229846658920451</v>
      </c>
      <c r="F541" s="7" t="s">
        <v>2630</v>
      </c>
      <c r="G541" s="8"/>
      <c r="H541" s="8"/>
      <c r="I541" s="14">
        <v>1</v>
      </c>
      <c r="J541" s="14">
        <v>1</v>
      </c>
      <c r="K541" s="6" t="str">
        <f>HYPERLINK("https://www.hootsuite.com","Hootsuite Inc.")</f>
        <v>Hootsuite Inc.</v>
      </c>
      <c r="L541" s="15">
        <v>552</v>
      </c>
      <c r="M541" s="15">
        <v>1033</v>
      </c>
      <c r="N541" s="15">
        <v>82</v>
      </c>
      <c r="O541" s="9"/>
      <c r="P541" s="10">
        <v>40445.848854166667</v>
      </c>
      <c r="Q541" s="14" t="s">
        <v>2631</v>
      </c>
      <c r="R541" s="14" t="s">
        <v>2632</v>
      </c>
      <c r="S541" s="7" t="s">
        <v>2633</v>
      </c>
      <c r="T541" s="8"/>
      <c r="U541" s="11" t="str">
        <f>HYPERLINK("https://pbs.twimg.com/profile_images/1218595431556321281/eG7Bcnoh.png","View")</f>
        <v>View</v>
      </c>
      <c r="V541" s="8"/>
      <c r="W541" s="8"/>
      <c r="X541" s="8"/>
      <c r="Y541" s="8"/>
      <c r="Z541" s="8"/>
    </row>
    <row r="542" spans="1:26" ht="13.2">
      <c r="A542" s="13">
        <v>44250.67024305556</v>
      </c>
      <c r="B542" s="6" t="str">
        <f>HYPERLINK("https://twitter.com/MiriamAsensi","@MiriamAsensi")</f>
        <v>@MiriamAsensi</v>
      </c>
      <c r="C542" s="14" t="s">
        <v>2634</v>
      </c>
      <c r="D542" s="14" t="s">
        <v>2635</v>
      </c>
      <c r="E542" s="6" t="str">
        <f>HYPERLINK("https://twitter.com/MiriamAsensi/status/1364229817873358856","1364229817873358856")</f>
        <v>1364229817873358856</v>
      </c>
      <c r="F542" s="7" t="s">
        <v>2636</v>
      </c>
      <c r="G542" s="8"/>
      <c r="H542" s="8"/>
      <c r="I542" s="14">
        <v>15</v>
      </c>
      <c r="J542" s="14">
        <v>5</v>
      </c>
      <c r="K542" s="6" t="str">
        <f>HYPERLINK("https://socxopte.com/","SocxoPte")</f>
        <v>SocxoPte</v>
      </c>
      <c r="L542" s="15">
        <v>746</v>
      </c>
      <c r="M542" s="15">
        <v>882</v>
      </c>
      <c r="N542" s="15">
        <v>5</v>
      </c>
      <c r="O542" s="9"/>
      <c r="P542" s="10">
        <v>43995.357581018514</v>
      </c>
      <c r="Q542" s="14" t="s">
        <v>599</v>
      </c>
      <c r="R542" s="14" t="s">
        <v>2637</v>
      </c>
      <c r="S542" s="7" t="s">
        <v>2638</v>
      </c>
      <c r="T542" s="8"/>
      <c r="U542" s="11" t="str">
        <f>HYPERLINK("https://pbs.twimg.com/profile_images/1271692933683699712/Y4d_WLK4.jpg","View")</f>
        <v>View</v>
      </c>
      <c r="V542" s="8"/>
      <c r="W542" s="8"/>
      <c r="X542" s="8"/>
      <c r="Y542" s="8"/>
      <c r="Z542" s="8"/>
    </row>
    <row r="543" spans="1:26" ht="13.2">
      <c r="A543" s="13">
        <v>44250.669861111106</v>
      </c>
      <c r="B543" s="6" t="str">
        <f>HYPERLINK("https://twitter.com/pedromdiez","@pedromdiez")</f>
        <v>@pedromdiez</v>
      </c>
      <c r="C543" s="14" t="s">
        <v>1049</v>
      </c>
      <c r="D543" s="14" t="s">
        <v>2639</v>
      </c>
      <c r="E543" s="6" t="str">
        <f>HYPERLINK("https://twitter.com/pedromdiez/status/1364229681894068226","1364229681894068226")</f>
        <v>1364229681894068226</v>
      </c>
      <c r="F543" s="14" t="s">
        <v>1051</v>
      </c>
      <c r="G543" s="7" t="s">
        <v>1052</v>
      </c>
      <c r="H543" s="8"/>
      <c r="I543" s="14">
        <v>2</v>
      </c>
      <c r="J543" s="14">
        <v>1</v>
      </c>
      <c r="K543" s="6" t="str">
        <f>HYPERLINK("https://ifttt.com","IFTTT")</f>
        <v>IFTTT</v>
      </c>
      <c r="L543" s="15">
        <v>705</v>
      </c>
      <c r="M543" s="15">
        <v>576</v>
      </c>
      <c r="N543" s="15">
        <v>36</v>
      </c>
      <c r="O543" s="9"/>
      <c r="P543" s="10">
        <v>40285.443576388891</v>
      </c>
      <c r="Q543" s="14" t="s">
        <v>1053</v>
      </c>
      <c r="R543" s="14" t="s">
        <v>1054</v>
      </c>
      <c r="S543" s="7" t="s">
        <v>1055</v>
      </c>
      <c r="T543" s="8"/>
      <c r="U543" s="11" t="str">
        <f>HYPERLINK("https://pbs.twimg.com/profile_images/926160133352288256/4XU7ZPde.jpg","View")</f>
        <v>View</v>
      </c>
      <c r="V543" s="8"/>
      <c r="W543" s="8"/>
      <c r="X543" s="8"/>
      <c r="Y543" s="8"/>
      <c r="Z543" s="8"/>
    </row>
    <row r="544" spans="1:26" ht="13.2">
      <c r="A544" s="13">
        <v>44250.669814814813</v>
      </c>
      <c r="B544" s="6" t="str">
        <f>HYPERLINK("https://twitter.com/Synapps_it","@Synapps_it")</f>
        <v>@Synapps_it</v>
      </c>
      <c r="C544" s="14" t="s">
        <v>2640</v>
      </c>
      <c r="D544" s="14" t="s">
        <v>2641</v>
      </c>
      <c r="E544" s="6" t="str">
        <f>HYPERLINK("https://twitter.com/Synapps_it/status/1364229663460118528","1364229663460118528")</f>
        <v>1364229663460118528</v>
      </c>
      <c r="F544" s="8"/>
      <c r="G544" s="7" t="s">
        <v>2642</v>
      </c>
      <c r="H544" s="8"/>
      <c r="I544" s="14">
        <v>0</v>
      </c>
      <c r="J544" s="14">
        <v>1</v>
      </c>
      <c r="K544" s="6" t="str">
        <f t="shared" ref="K544:K545" si="84">HYPERLINK("https://mobile.twitter.com","Twitter Web App")</f>
        <v>Twitter Web App</v>
      </c>
      <c r="L544" s="15">
        <v>2</v>
      </c>
      <c r="M544" s="15">
        <v>37</v>
      </c>
      <c r="N544" s="15">
        <v>0</v>
      </c>
      <c r="O544" s="9"/>
      <c r="P544" s="10">
        <v>44230.664375</v>
      </c>
      <c r="Q544" s="14" t="s">
        <v>2643</v>
      </c>
      <c r="R544" s="14" t="s">
        <v>2644</v>
      </c>
      <c r="S544" s="7" t="s">
        <v>2645</v>
      </c>
      <c r="T544" s="8"/>
      <c r="U544" s="11" t="str">
        <f>HYPERLINK("https://pbs.twimg.com/profile_images/1356980160445218818/1vH0J4tV.jpg","View")</f>
        <v>View</v>
      </c>
      <c r="V544" s="8"/>
      <c r="W544" s="8"/>
      <c r="X544" s="8"/>
      <c r="Y544" s="8"/>
      <c r="Z544" s="8"/>
    </row>
    <row r="545" spans="1:26" ht="13.2">
      <c r="A545" s="13">
        <v>44250.669282407413</v>
      </c>
      <c r="B545" s="6" t="str">
        <f>HYPERLINK("https://twitter.com/JBehrmannPhD","@JBehrmannPhD")</f>
        <v>@JBehrmannPhD</v>
      </c>
      <c r="C545" s="14" t="s">
        <v>2646</v>
      </c>
      <c r="D545" s="14" t="s">
        <v>2647</v>
      </c>
      <c r="E545" s="6" t="str">
        <f>HYPERLINK("https://twitter.com/JBehrmannPhD/status/1364229468114591747","1364229468114591747")</f>
        <v>1364229468114591747</v>
      </c>
      <c r="F545" s="7" t="s">
        <v>2648</v>
      </c>
      <c r="G545" s="8"/>
      <c r="H545" s="8"/>
      <c r="I545" s="14">
        <v>0</v>
      </c>
      <c r="J545" s="14">
        <v>3</v>
      </c>
      <c r="K545" s="6" t="str">
        <f t="shared" si="84"/>
        <v>Twitter Web App</v>
      </c>
      <c r="L545" s="15">
        <v>314</v>
      </c>
      <c r="M545" s="15">
        <v>312</v>
      </c>
      <c r="N545" s="15">
        <v>147</v>
      </c>
      <c r="O545" s="9"/>
      <c r="P545" s="10">
        <v>41915.911828703705</v>
      </c>
      <c r="Q545" s="14" t="s">
        <v>2649</v>
      </c>
      <c r="R545" s="14" t="s">
        <v>2650</v>
      </c>
      <c r="S545" s="7" t="s">
        <v>2651</v>
      </c>
      <c r="T545" s="8"/>
      <c r="U545" s="11" t="str">
        <f>HYPERLINK("https://pbs.twimg.com/profile_images/838573976775495684/sbUsoO6-.jpg","View")</f>
        <v>View</v>
      </c>
      <c r="V545" s="8"/>
      <c r="W545" s="8"/>
      <c r="X545" s="8"/>
      <c r="Y545" s="8"/>
      <c r="Z545" s="8"/>
    </row>
    <row r="546" spans="1:26" ht="13.2">
      <c r="A546" s="13">
        <v>44250.669224537036</v>
      </c>
      <c r="B546" s="6" t="str">
        <f>HYPERLINK("https://twitter.com/shashib","@shashib")</f>
        <v>@shashib</v>
      </c>
      <c r="C546" s="14" t="s">
        <v>2652</v>
      </c>
      <c r="D546" s="14" t="s">
        <v>2653</v>
      </c>
      <c r="E546" s="6" t="str">
        <f>HYPERLINK("https://twitter.com/shashib/status/1364229447461851140","1364229447461851140")</f>
        <v>1364229447461851140</v>
      </c>
      <c r="F546" s="7" t="s">
        <v>2654</v>
      </c>
      <c r="G546" s="8"/>
      <c r="H546" s="8"/>
      <c r="I546" s="14">
        <v>1</v>
      </c>
      <c r="J546" s="14">
        <v>2</v>
      </c>
      <c r="K546" s="6" t="str">
        <f>HYPERLINK("https://paper.li","Paper.li")</f>
        <v>Paper.li</v>
      </c>
      <c r="L546" s="15">
        <v>31243</v>
      </c>
      <c r="M546" s="15">
        <v>30251</v>
      </c>
      <c r="N546" s="15">
        <v>3496</v>
      </c>
      <c r="O546" s="15" t="s">
        <v>130</v>
      </c>
      <c r="P546" s="10">
        <v>39156.590844907405</v>
      </c>
      <c r="Q546" s="14" t="s">
        <v>2655</v>
      </c>
      <c r="R546" s="14" t="s">
        <v>2656</v>
      </c>
      <c r="S546" s="7" t="s">
        <v>2657</v>
      </c>
      <c r="T546" s="8"/>
      <c r="U546" s="11" t="str">
        <f>HYPERLINK("https://pbs.twimg.com/profile_images/1348745370323611648/wxUxefvC.jpg","View")</f>
        <v>View</v>
      </c>
      <c r="V546" s="8"/>
      <c r="W546" s="8"/>
      <c r="X546" s="8"/>
      <c r="Y546" s="8"/>
      <c r="Z546" s="8"/>
    </row>
    <row r="547" spans="1:26" ht="13.2">
      <c r="A547" s="13">
        <v>44250.668749999997</v>
      </c>
      <c r="B547" s="6" t="str">
        <f>HYPERLINK("https://twitter.com/HeyladyJami","@HeyladyJami")</f>
        <v>@HeyladyJami</v>
      </c>
      <c r="C547" s="14" t="s">
        <v>2658</v>
      </c>
      <c r="D547" s="14" t="s">
        <v>2659</v>
      </c>
      <c r="E547" s="6" t="str">
        <f>HYPERLINK("https://twitter.com/HeyladyJami/status/1364229277172912129","1364229277172912129")</f>
        <v>1364229277172912129</v>
      </c>
      <c r="F547" s="7" t="s">
        <v>2660</v>
      </c>
      <c r="G547" s="8"/>
      <c r="H547" s="8"/>
      <c r="I547" s="14">
        <v>1</v>
      </c>
      <c r="J547" s="14">
        <v>1</v>
      </c>
      <c r="K547" s="6" t="str">
        <f>HYPERLINK("https://social.zoho.com","Zoho Social")</f>
        <v>Zoho Social</v>
      </c>
      <c r="L547" s="15">
        <v>1999</v>
      </c>
      <c r="M547" s="15">
        <v>4991</v>
      </c>
      <c r="N547" s="15">
        <v>97</v>
      </c>
      <c r="O547" s="9"/>
      <c r="P547" s="10">
        <v>39909.369039351848</v>
      </c>
      <c r="Q547" s="14" t="s">
        <v>2661</v>
      </c>
      <c r="R547" s="14" t="s">
        <v>2662</v>
      </c>
      <c r="S547" s="7" t="s">
        <v>2663</v>
      </c>
      <c r="T547" s="8"/>
      <c r="U547" s="11" t="str">
        <f>HYPERLINK("https://pbs.twimg.com/profile_images/759782885448495104/xgUUak44.jpg","View")</f>
        <v>View</v>
      </c>
      <c r="V547" s="8"/>
      <c r="W547" s="8"/>
      <c r="X547" s="8"/>
      <c r="Y547" s="8"/>
      <c r="Z547" s="8"/>
    </row>
    <row r="548" spans="1:26" ht="13.2">
      <c r="A548" s="13">
        <v>44250.668680555551</v>
      </c>
      <c r="B548" s="6" t="str">
        <f>HYPERLINK("https://twitter.com/realColinMac","@realColinMac")</f>
        <v>@realColinMac</v>
      </c>
      <c r="C548" s="14" t="s">
        <v>2664</v>
      </c>
      <c r="D548" s="14" t="s">
        <v>2665</v>
      </c>
      <c r="E548" s="6" t="str">
        <f>HYPERLINK("https://twitter.com/realColinMac/status/1364229253139599360","1364229253139599360")</f>
        <v>1364229253139599360</v>
      </c>
      <c r="F548" s="7" t="s">
        <v>2666</v>
      </c>
      <c r="G548" s="8"/>
      <c r="H548" s="8"/>
      <c r="I548" s="14">
        <v>8</v>
      </c>
      <c r="J548" s="14">
        <v>1</v>
      </c>
      <c r="K548" s="6" t="str">
        <f>HYPERLINK("http://twitter.com/download/android","Twitter for Android")</f>
        <v>Twitter for Android</v>
      </c>
      <c r="L548" s="15">
        <v>13875</v>
      </c>
      <c r="M548" s="15">
        <v>7889</v>
      </c>
      <c r="N548" s="15">
        <v>183</v>
      </c>
      <c r="O548" s="9"/>
      <c r="P548" s="10">
        <v>42948.196782407409</v>
      </c>
      <c r="Q548" s="14" t="s">
        <v>2667</v>
      </c>
      <c r="R548" s="14" t="s">
        <v>2668</v>
      </c>
      <c r="S548" s="8"/>
      <c r="T548" s="8"/>
      <c r="U548" s="11" t="str">
        <f>HYPERLINK("https://pbs.twimg.com/profile_images/1013521217540837376/3BmkgDBO.jpg","View")</f>
        <v>View</v>
      </c>
      <c r="V548" s="8"/>
      <c r="W548" s="8"/>
      <c r="X548" s="8"/>
      <c r="Y548" s="8"/>
      <c r="Z548" s="8"/>
    </row>
    <row r="549" spans="1:26" ht="13.2">
      <c r="A549" s="13">
        <v>44250.668229166666</v>
      </c>
      <c r="B549" s="6" t="str">
        <f>HYPERLINK("https://twitter.com/ASPNeph","@ASPNeph")</f>
        <v>@ASPNeph</v>
      </c>
      <c r="C549" s="14" t="s">
        <v>2669</v>
      </c>
      <c r="D549" s="14" t="s">
        <v>2670</v>
      </c>
      <c r="E549" s="6" t="str">
        <f>HYPERLINK("https://twitter.com/ASPNeph/status/1364229089150779396","1364229089150779396")</f>
        <v>1364229089150779396</v>
      </c>
      <c r="F549" s="7" t="s">
        <v>2671</v>
      </c>
      <c r="G549" s="7" t="s">
        <v>2672</v>
      </c>
      <c r="H549" s="8"/>
      <c r="I549" s="14">
        <v>0</v>
      </c>
      <c r="J549" s="14">
        <v>0</v>
      </c>
      <c r="K549" s="6" t="str">
        <f>HYPERLINK("https://www.hootsuite.com","Hootsuite Inc.")</f>
        <v>Hootsuite Inc.</v>
      </c>
      <c r="L549" s="15">
        <v>5858</v>
      </c>
      <c r="M549" s="15">
        <v>601</v>
      </c>
      <c r="N549" s="15">
        <v>118</v>
      </c>
      <c r="O549" s="9"/>
      <c r="P549" s="10">
        <v>41394.913124999999</v>
      </c>
      <c r="Q549" s="8"/>
      <c r="R549" s="14" t="s">
        <v>2673</v>
      </c>
      <c r="S549" s="7" t="s">
        <v>2674</v>
      </c>
      <c r="T549" s="8"/>
      <c r="U549" s="11" t="str">
        <f>HYPERLINK("https://pbs.twimg.com/profile_images/585457273931075584/Fsll3LT0.jpg","View")</f>
        <v>View</v>
      </c>
      <c r="V549" s="8"/>
      <c r="W549" s="8"/>
      <c r="X549" s="8"/>
      <c r="Y549" s="8"/>
      <c r="Z549" s="8"/>
    </row>
    <row r="550" spans="1:26" ht="13.2">
      <c r="A550" s="13">
        <v>44250.667662037042</v>
      </c>
      <c r="B550" s="6" t="str">
        <f>HYPERLINK("https://twitter.com/AtlasSystemsInc","@AtlasSystemsInc")</f>
        <v>@AtlasSystemsInc</v>
      </c>
      <c r="C550" s="14" t="s">
        <v>2675</v>
      </c>
      <c r="D550" s="14" t="s">
        <v>2676</v>
      </c>
      <c r="E550" s="6" t="str">
        <f>HYPERLINK("https://twitter.com/AtlasSystemsInc/status/1364228882463936514","1364228882463936514")</f>
        <v>1364228882463936514</v>
      </c>
      <c r="F550" s="7" t="s">
        <v>2677</v>
      </c>
      <c r="G550" s="7" t="s">
        <v>2678</v>
      </c>
      <c r="H550" s="8"/>
      <c r="I550" s="14">
        <v>0</v>
      </c>
      <c r="J550" s="14">
        <v>0</v>
      </c>
      <c r="K550" s="6" t="str">
        <f>HYPERLINK("http://www.hubspot.com/","HubSpot")</f>
        <v>HubSpot</v>
      </c>
      <c r="L550" s="15">
        <v>908</v>
      </c>
      <c r="M550" s="15">
        <v>1051</v>
      </c>
      <c r="N550" s="15">
        <v>41</v>
      </c>
      <c r="O550" s="9"/>
      <c r="P550" s="10">
        <v>41529.553865740745</v>
      </c>
      <c r="Q550" s="14" t="s">
        <v>2679</v>
      </c>
      <c r="R550" s="14" t="s">
        <v>2680</v>
      </c>
      <c r="S550" s="7" t="s">
        <v>2681</v>
      </c>
      <c r="T550" s="8"/>
      <c r="U550" s="11" t="str">
        <f>HYPERLINK("https://pbs.twimg.com/profile_images/378800000570668459/da760f4c27e23971f9f835fb0f554fe4.jpeg","View")</f>
        <v>View</v>
      </c>
      <c r="V550" s="8"/>
      <c r="W550" s="8"/>
      <c r="X550" s="8"/>
      <c r="Y550" s="8"/>
      <c r="Z550" s="8"/>
    </row>
    <row r="551" spans="1:26" ht="13.2">
      <c r="A551" s="13">
        <v>44250.667650462958</v>
      </c>
      <c r="B551" s="6" t="str">
        <f>HYPERLINK("https://twitter.com/TheCancerLetter","@TheCancerLetter")</f>
        <v>@TheCancerLetter</v>
      </c>
      <c r="C551" s="14" t="s">
        <v>2682</v>
      </c>
      <c r="D551" s="14" t="s">
        <v>2683</v>
      </c>
      <c r="E551" s="6" t="str">
        <f>HYPERLINK("https://twitter.com/TheCancerLetter/status/1364228877820825603","1364228877820825603")</f>
        <v>1364228877820825603</v>
      </c>
      <c r="F551" s="7" t="s">
        <v>2684</v>
      </c>
      <c r="G551" s="7" t="s">
        <v>2685</v>
      </c>
      <c r="H551" s="8"/>
      <c r="I551" s="14">
        <v>0</v>
      </c>
      <c r="J551" s="14">
        <v>2</v>
      </c>
      <c r="K551" s="6" t="str">
        <f>HYPERLINK("https://www.hootsuite.com","Hootsuite Inc.")</f>
        <v>Hootsuite Inc.</v>
      </c>
      <c r="L551" s="15">
        <v>20918</v>
      </c>
      <c r="M551" s="15">
        <v>1529</v>
      </c>
      <c r="N551" s="15">
        <v>498</v>
      </c>
      <c r="O551" s="15" t="s">
        <v>130</v>
      </c>
      <c r="P551" s="10">
        <v>39880.772731481484</v>
      </c>
      <c r="Q551" s="14" t="s">
        <v>2686</v>
      </c>
      <c r="R551" s="14" t="s">
        <v>2687</v>
      </c>
      <c r="S551" s="7" t="s">
        <v>2688</v>
      </c>
      <c r="T551" s="8"/>
      <c r="U551" s="11" t="str">
        <f>HYPERLINK("https://pbs.twimg.com/profile_images/813803520969310208/nsbPr5gH.jpg","View")</f>
        <v>View</v>
      </c>
      <c r="V551" s="8"/>
      <c r="W551" s="8"/>
      <c r="X551" s="8"/>
      <c r="Y551" s="8"/>
      <c r="Z551" s="8"/>
    </row>
    <row r="552" spans="1:26" ht="13.2">
      <c r="A552" s="13">
        <v>44250.667384259257</v>
      </c>
      <c r="B552" s="6" t="str">
        <f>HYPERLINK("https://twitter.com/scality","@scality")</f>
        <v>@scality</v>
      </c>
      <c r="C552" s="14" t="s">
        <v>2689</v>
      </c>
      <c r="D552" s="14" t="s">
        <v>2690</v>
      </c>
      <c r="E552" s="6" t="str">
        <f>HYPERLINK("https://twitter.com/scality/status/1364228781787996161","1364228781787996161")</f>
        <v>1364228781787996161</v>
      </c>
      <c r="F552" s="7" t="s">
        <v>2691</v>
      </c>
      <c r="G552" s="8"/>
      <c r="H552" s="8"/>
      <c r="I552" s="14">
        <v>0</v>
      </c>
      <c r="J552" s="14">
        <v>0</v>
      </c>
      <c r="K552" s="6" t="str">
        <f>HYPERLINK("https://coschedule.com","CoSchedule")</f>
        <v>CoSchedule</v>
      </c>
      <c r="L552" s="15">
        <v>7583</v>
      </c>
      <c r="M552" s="15">
        <v>5822</v>
      </c>
      <c r="N552" s="15">
        <v>473</v>
      </c>
      <c r="O552" s="15" t="s">
        <v>130</v>
      </c>
      <c r="P552" s="10">
        <v>40314.798900462964</v>
      </c>
      <c r="Q552" s="14" t="s">
        <v>2692</v>
      </c>
      <c r="R552" s="14" t="s">
        <v>2693</v>
      </c>
      <c r="S552" s="7" t="s">
        <v>2694</v>
      </c>
      <c r="T552" s="8"/>
      <c r="U552" s="11" t="str">
        <f>HYPERLINK("https://pbs.twimg.com/profile_images/890255985767591936/ggeerGZq.jpg","View")</f>
        <v>View</v>
      </c>
      <c r="V552" s="8"/>
      <c r="W552" s="8"/>
      <c r="X552" s="8"/>
      <c r="Y552" s="8"/>
      <c r="Z552" s="8"/>
    </row>
    <row r="553" spans="1:26" ht="13.2">
      <c r="A553" s="13">
        <v>44250.667326388888</v>
      </c>
      <c r="B553" s="6" t="str">
        <f>HYPERLINK("https://twitter.com/EdKwedar","@EdKwedar")</f>
        <v>@EdKwedar</v>
      </c>
      <c r="C553" s="14" t="s">
        <v>2695</v>
      </c>
      <c r="D553" s="14" t="s">
        <v>2696</v>
      </c>
      <c r="E553" s="6" t="str">
        <f>HYPERLINK("https://twitter.com/EdKwedar/status/1364228761185619969","1364228761185619969")</f>
        <v>1364228761185619969</v>
      </c>
      <c r="F553" s="7" t="s">
        <v>2697</v>
      </c>
      <c r="G553" s="7" t="s">
        <v>2698</v>
      </c>
      <c r="H553" s="8"/>
      <c r="I553" s="14">
        <v>12</v>
      </c>
      <c r="J553" s="14">
        <v>7</v>
      </c>
      <c r="K553" s="6" t="str">
        <f>HYPERLINK("https://buffer.com","Buffer")</f>
        <v>Buffer</v>
      </c>
      <c r="L553" s="15">
        <v>23787</v>
      </c>
      <c r="M553" s="15">
        <v>23579</v>
      </c>
      <c r="N553" s="15">
        <v>2291</v>
      </c>
      <c r="O553" s="9"/>
      <c r="P553" s="10">
        <v>41015.00880787037</v>
      </c>
      <c r="Q553" s="14" t="s">
        <v>2699</v>
      </c>
      <c r="R553" s="14" t="s">
        <v>2700</v>
      </c>
      <c r="S553" s="7" t="s">
        <v>2701</v>
      </c>
      <c r="T553" s="8"/>
      <c r="U553" s="11" t="str">
        <f>HYPERLINK("https://pbs.twimg.com/profile_images/1145807576136867850/f2GMtbOG.jpg","View")</f>
        <v>View</v>
      </c>
      <c r="V553" s="8"/>
      <c r="W553" s="8"/>
      <c r="X553" s="8"/>
      <c r="Y553" s="8"/>
      <c r="Z553" s="8"/>
    </row>
    <row r="554" spans="1:26" ht="13.2">
      <c r="A554" s="13">
        <v>44250.667222222226</v>
      </c>
      <c r="B554" s="6" t="str">
        <f>HYPERLINK("https://twitter.com/JourneyHeroTech","@JourneyHeroTech")</f>
        <v>@JourneyHeroTech</v>
      </c>
      <c r="C554" s="14" t="s">
        <v>1061</v>
      </c>
      <c r="D554" s="14" t="s">
        <v>2702</v>
      </c>
      <c r="E554" s="6" t="str">
        <f>HYPERLINK("https://twitter.com/JourneyHeroTech/status/1364228721926791172","1364228721926791172")</f>
        <v>1364228721926791172</v>
      </c>
      <c r="F554" s="14" t="s">
        <v>2703</v>
      </c>
      <c r="G554" s="8"/>
      <c r="H554" s="8"/>
      <c r="I554" s="14">
        <v>18</v>
      </c>
      <c r="J554" s="14">
        <v>6</v>
      </c>
      <c r="K554" s="6" t="str">
        <f>HYPERLINK("http://twitter.com/download/iphone","Twitter for iPhone")</f>
        <v>Twitter for iPhone</v>
      </c>
      <c r="L554" s="15">
        <v>418</v>
      </c>
      <c r="M554" s="15">
        <v>1469</v>
      </c>
      <c r="N554" s="15">
        <v>4</v>
      </c>
      <c r="O554" s="9"/>
      <c r="P554" s="10">
        <v>43958.737557870365</v>
      </c>
      <c r="Q554" s="8"/>
      <c r="R554" s="14" t="s">
        <v>1065</v>
      </c>
      <c r="S554" s="7" t="s">
        <v>1066</v>
      </c>
      <c r="T554" s="8"/>
      <c r="U554" s="11" t="str">
        <f>HYPERLINK("https://pbs.twimg.com/profile_images/1258421949493100544/99J8Ehfn.jpg","View")</f>
        <v>View</v>
      </c>
      <c r="V554" s="8"/>
      <c r="W554" s="8"/>
      <c r="X554" s="8"/>
      <c r="Y554" s="8"/>
      <c r="Z554" s="8"/>
    </row>
    <row r="555" spans="1:26" ht="13.2">
      <c r="A555" s="13">
        <v>44250.667025462964</v>
      </c>
      <c r="B555" s="6" t="str">
        <f>HYPERLINK("https://twitter.com/AWSLatam","@AWSLatam")</f>
        <v>@AWSLatam</v>
      </c>
      <c r="C555" s="14" t="s">
        <v>2704</v>
      </c>
      <c r="D555" s="14" t="s">
        <v>1156</v>
      </c>
      <c r="E555" s="6" t="str">
        <f>HYPERLINK("https://twitter.com/AWSLatam/status/1364228651114496002","1364228651114496002")</f>
        <v>1364228651114496002</v>
      </c>
      <c r="F555" s="7" t="s">
        <v>1157</v>
      </c>
      <c r="G555" s="7" t="s">
        <v>2705</v>
      </c>
      <c r="H555" s="8"/>
      <c r="I555" s="14">
        <v>2</v>
      </c>
      <c r="J555" s="14">
        <v>5</v>
      </c>
      <c r="K555" s="6" t="str">
        <f>HYPERLINK("https://www.sprinklr.com","Sprinklr")</f>
        <v>Sprinklr</v>
      </c>
      <c r="L555" s="15">
        <v>7912</v>
      </c>
      <c r="M555" s="15">
        <v>31</v>
      </c>
      <c r="N555" s="15">
        <v>101</v>
      </c>
      <c r="O555" s="9"/>
      <c r="P555" s="10">
        <v>42462.125</v>
      </c>
      <c r="Q555" s="8"/>
      <c r="R555" s="14" t="s">
        <v>2706</v>
      </c>
      <c r="S555" s="7" t="s">
        <v>2707</v>
      </c>
      <c r="T555" s="8"/>
      <c r="U555" s="11" t="str">
        <f>HYPERLINK("https://pbs.twimg.com/profile_images/1321891545721630720/NgeNTTtd.png","View")</f>
        <v>View</v>
      </c>
      <c r="V555" s="8"/>
      <c r="W555" s="8"/>
      <c r="X555" s="8"/>
      <c r="Y555" s="8"/>
      <c r="Z555" s="8"/>
    </row>
    <row r="556" spans="1:26" ht="13.2">
      <c r="A556" s="13">
        <v>44250.666967592595</v>
      </c>
      <c r="B556" s="6" t="str">
        <f>HYPERLINK("https://twitter.com/Paula_Piccard","@Paula_Piccard")</f>
        <v>@Paula_Piccard</v>
      </c>
      <c r="C556" s="14" t="s">
        <v>1116</v>
      </c>
      <c r="D556" s="14" t="s">
        <v>2708</v>
      </c>
      <c r="E556" s="6" t="str">
        <f>HYPERLINK("https://twitter.com/Paula_Piccard/status/1364228629601783816","1364228629601783816")</f>
        <v>1364228629601783816</v>
      </c>
      <c r="F556" s="7" t="s">
        <v>2709</v>
      </c>
      <c r="G556" s="7" t="s">
        <v>2710</v>
      </c>
      <c r="H556" s="8"/>
      <c r="I556" s="14">
        <v>16</v>
      </c>
      <c r="J556" s="14">
        <v>14</v>
      </c>
      <c r="K556" s="6" t="str">
        <f>HYPERLINK("https://smarterqueue.com","SmarterQueue")</f>
        <v>SmarterQueue</v>
      </c>
      <c r="L556" s="15">
        <v>61067</v>
      </c>
      <c r="M556" s="15">
        <v>9852</v>
      </c>
      <c r="N556" s="15">
        <v>1284</v>
      </c>
      <c r="O556" s="9"/>
      <c r="P556" s="10">
        <v>40665.824629629627</v>
      </c>
      <c r="Q556" s="14" t="s">
        <v>1120</v>
      </c>
      <c r="R556" s="14" t="s">
        <v>1121</v>
      </c>
      <c r="S556" s="7" t="s">
        <v>1122</v>
      </c>
      <c r="T556" s="8"/>
      <c r="U556" s="11" t="str">
        <f>HYPERLINK("https://pbs.twimg.com/profile_images/1307804375981621254/KT6ID8H9.png","View")</f>
        <v>View</v>
      </c>
      <c r="V556" s="8"/>
      <c r="W556" s="8"/>
      <c r="X556" s="8"/>
      <c r="Y556" s="8"/>
      <c r="Z556" s="8"/>
    </row>
    <row r="557" spans="1:26" ht="13.2">
      <c r="A557" s="13">
        <v>44250.666921296295</v>
      </c>
      <c r="B557" s="6" t="str">
        <f>HYPERLINK("https://twitter.com/Bennett_DataSci","@Bennett_DataSci")</f>
        <v>@Bennett_DataSci</v>
      </c>
      <c r="C557" s="14" t="s">
        <v>2711</v>
      </c>
      <c r="D557" s="14" t="s">
        <v>2712</v>
      </c>
      <c r="E557" s="6" t="str">
        <f>HYPERLINK("https://twitter.com/Bennett_DataSci/status/1364228615424995337","1364228615424995337")</f>
        <v>1364228615424995337</v>
      </c>
      <c r="F557" s="7" t="s">
        <v>2713</v>
      </c>
      <c r="G557" s="7" t="s">
        <v>2714</v>
      </c>
      <c r="H557" s="8"/>
      <c r="I557" s="14">
        <v>0</v>
      </c>
      <c r="J557" s="14">
        <v>1</v>
      </c>
      <c r="K557" s="6" t="str">
        <f>HYPERLINK("https://buffer.com","Buffer")</f>
        <v>Buffer</v>
      </c>
      <c r="L557" s="15">
        <v>26</v>
      </c>
      <c r="M557" s="15">
        <v>48</v>
      </c>
      <c r="N557" s="15">
        <v>0</v>
      </c>
      <c r="O557" s="9"/>
      <c r="P557" s="10">
        <v>43483.210543981477</v>
      </c>
      <c r="Q557" s="14" t="s">
        <v>747</v>
      </c>
      <c r="R557" s="14" t="s">
        <v>2715</v>
      </c>
      <c r="S557" s="7" t="s">
        <v>2716</v>
      </c>
      <c r="T557" s="8"/>
      <c r="U557" s="11" t="str">
        <f>HYPERLINK("https://pbs.twimg.com/profile_images/1087093167013355520/gHtun9dc.jpg","View")</f>
        <v>View</v>
      </c>
      <c r="V557" s="8"/>
      <c r="W557" s="8"/>
      <c r="X557" s="8"/>
      <c r="Y557" s="8"/>
      <c r="Z557" s="8"/>
    </row>
    <row r="558" spans="1:26" ht="13.2">
      <c r="A558" s="13">
        <v>44250.666817129633</v>
      </c>
      <c r="B558" s="6" t="str">
        <f>HYPERLINK("https://twitter.com/StephanieHeit","@StephanieHeit")</f>
        <v>@StephanieHeit</v>
      </c>
      <c r="C558" s="14" t="s">
        <v>2717</v>
      </c>
      <c r="D558" s="14" t="s">
        <v>2718</v>
      </c>
      <c r="E558" s="6" t="str">
        <f>HYPERLINK("https://twitter.com/StephanieHeit/status/1364228577277992960","1364228577277992960")</f>
        <v>1364228577277992960</v>
      </c>
      <c r="F558" s="14" t="s">
        <v>2719</v>
      </c>
      <c r="G558" s="7" t="s">
        <v>2720</v>
      </c>
      <c r="H558" s="8"/>
      <c r="I558" s="14">
        <v>27</v>
      </c>
      <c r="J558" s="14">
        <v>13</v>
      </c>
      <c r="K558" s="6" t="str">
        <f>HYPERLINK("https://socxopte.com/","SocxoPte")</f>
        <v>SocxoPte</v>
      </c>
      <c r="L558" s="15">
        <v>700</v>
      </c>
      <c r="M558" s="15">
        <v>935</v>
      </c>
      <c r="N558" s="15">
        <v>20</v>
      </c>
      <c r="O558" s="9"/>
      <c r="P558" s="10">
        <v>41009.426562499997</v>
      </c>
      <c r="Q558" s="14" t="s">
        <v>2721</v>
      </c>
      <c r="R558" s="14" t="s">
        <v>2722</v>
      </c>
      <c r="S558" s="7" t="s">
        <v>2723</v>
      </c>
      <c r="T558" s="8"/>
      <c r="U558" s="11" t="str">
        <f>HYPERLINK("https://pbs.twimg.com/profile_images/1339304118003838977/I4OKP_qh.jpg","View")</f>
        <v>View</v>
      </c>
      <c r="V558" s="8"/>
      <c r="W558" s="8"/>
      <c r="X558" s="8"/>
      <c r="Y558" s="8"/>
      <c r="Z558" s="8"/>
    </row>
    <row r="559" spans="1:26" ht="13.2">
      <c r="A559" s="13">
        <v>44250.666759259257</v>
      </c>
      <c r="B559" s="6" t="str">
        <f>HYPERLINK("https://twitter.com/deepdatacorp","@deepdatacorp")</f>
        <v>@deepdatacorp</v>
      </c>
      <c r="C559" s="14" t="s">
        <v>2724</v>
      </c>
      <c r="D559" s="14" t="s">
        <v>2725</v>
      </c>
      <c r="E559" s="6" t="str">
        <f>HYPERLINK("https://twitter.com/deepdatacorp/status/1364228553835831296","1364228553835831296")</f>
        <v>1364228553835831296</v>
      </c>
      <c r="F559" s="8"/>
      <c r="G559" s="7" t="s">
        <v>2726</v>
      </c>
      <c r="H559" s="8"/>
      <c r="I559" s="14">
        <v>0</v>
      </c>
      <c r="J559" s="14">
        <v>0</v>
      </c>
      <c r="K559" s="6" t="str">
        <f>HYPERLINK("https://www.canva.com","Canva")</f>
        <v>Canva</v>
      </c>
      <c r="L559" s="15">
        <v>27</v>
      </c>
      <c r="M559" s="15">
        <v>73</v>
      </c>
      <c r="N559" s="15">
        <v>2</v>
      </c>
      <c r="O559" s="9"/>
      <c r="P559" s="10">
        <v>41431.890717592592</v>
      </c>
      <c r="Q559" s="8"/>
      <c r="R559" s="14" t="s">
        <v>2727</v>
      </c>
      <c r="S559" s="7" t="s">
        <v>2728</v>
      </c>
      <c r="T559" s="8"/>
      <c r="U559" s="11" t="str">
        <f>HYPERLINK("https://pbs.twimg.com/profile_images/1009607202099757056/kEjNrezC.jpg","View")</f>
        <v>View</v>
      </c>
      <c r="V559" s="8"/>
      <c r="W559" s="8"/>
      <c r="X559" s="8"/>
      <c r="Y559" s="8"/>
      <c r="Z559" s="8"/>
    </row>
    <row r="560" spans="1:26" ht="13.2">
      <c r="A560" s="13">
        <v>44250.666712962964</v>
      </c>
      <c r="B560" s="6" t="str">
        <f>HYPERLINK("https://twitter.com/Radiology_AI","@Radiology_AI")</f>
        <v>@Radiology_AI</v>
      </c>
      <c r="C560" s="14" t="s">
        <v>2729</v>
      </c>
      <c r="D560" s="14" t="s">
        <v>2730</v>
      </c>
      <c r="E560" s="6" t="str">
        <f>HYPERLINK("https://twitter.com/Radiology_AI/status/1364228540846153729","1364228540846153729")</f>
        <v>1364228540846153729</v>
      </c>
      <c r="F560" s="7" t="s">
        <v>2731</v>
      </c>
      <c r="G560" s="7" t="s">
        <v>2732</v>
      </c>
      <c r="H560" s="8"/>
      <c r="I560" s="14">
        <v>2</v>
      </c>
      <c r="J560" s="14">
        <v>9</v>
      </c>
      <c r="K560" s="6" t="str">
        <f>HYPERLINK("https://pubs.rsna.org/journal/ai","Radiology: AI app")</f>
        <v>Radiology: AI app</v>
      </c>
      <c r="L560" s="15">
        <v>7117</v>
      </c>
      <c r="M560" s="15">
        <v>18</v>
      </c>
      <c r="N560" s="15">
        <v>91</v>
      </c>
      <c r="O560" s="9"/>
      <c r="P560" s="10">
        <v>43412.634467592594</v>
      </c>
      <c r="Q560" s="14" t="s">
        <v>2733</v>
      </c>
      <c r="R560" s="14" t="s">
        <v>2734</v>
      </c>
      <c r="S560" s="7" t="s">
        <v>2735</v>
      </c>
      <c r="T560" s="8"/>
      <c r="U560" s="11" t="str">
        <f>HYPERLINK("https://pbs.twimg.com/profile_images/1088215563233579008/a69L4EZB.jpg","View")</f>
        <v>View</v>
      </c>
      <c r="V560" s="8"/>
      <c r="W560" s="8"/>
      <c r="X560" s="8"/>
      <c r="Y560" s="8"/>
      <c r="Z560" s="8"/>
    </row>
    <row r="561" spans="1:26" ht="13.2">
      <c r="A561" s="13">
        <v>44250.666712962964</v>
      </c>
      <c r="B561" s="6" t="str">
        <f>HYPERLINK("https://twitter.com/RVPTJV","@RVPTJV")</f>
        <v>@RVPTJV</v>
      </c>
      <c r="C561" s="14" t="s">
        <v>2736</v>
      </c>
      <c r="D561" s="14" t="s">
        <v>2737</v>
      </c>
      <c r="E561" s="6" t="str">
        <f>HYPERLINK("https://twitter.com/RVPTJV/status/1364228540561051648","1364228540561051648")</f>
        <v>1364228540561051648</v>
      </c>
      <c r="F561" s="7" t="s">
        <v>2738</v>
      </c>
      <c r="G561" s="8"/>
      <c r="H561" s="8"/>
      <c r="I561" s="14">
        <v>1</v>
      </c>
      <c r="J561" s="14">
        <v>0</v>
      </c>
      <c r="K561" s="6" t="str">
        <f>HYPERLINK("https://getbambu.com","Bambu by Sprout Social")</f>
        <v>Bambu by Sprout Social</v>
      </c>
      <c r="L561" s="15">
        <v>6866</v>
      </c>
      <c r="M561" s="15">
        <v>185</v>
      </c>
      <c r="N561" s="15">
        <v>37</v>
      </c>
      <c r="O561" s="9"/>
      <c r="P561" s="10">
        <v>39681.073831018519</v>
      </c>
      <c r="Q561" s="14" t="s">
        <v>2739</v>
      </c>
      <c r="R561" s="14" t="s">
        <v>2740</v>
      </c>
      <c r="S561" s="7" t="s">
        <v>2741</v>
      </c>
      <c r="T561" s="8"/>
      <c r="U561" s="11" t="str">
        <f>HYPERLINK("https://pbs.twimg.com/profile_images/739827321415176192/-FBGz8an.jpg","View")</f>
        <v>View</v>
      </c>
      <c r="V561" s="8"/>
      <c r="W561" s="8"/>
      <c r="X561" s="8"/>
      <c r="Y561" s="8"/>
      <c r="Z561" s="8"/>
    </row>
    <row r="562" spans="1:26" ht="13.2">
      <c r="A562" s="13">
        <v>44250.666689814811</v>
      </c>
      <c r="B562" s="6" t="str">
        <f>HYPERLINK("https://twitter.com/mekatronik_p","@mekatronik_p")</f>
        <v>@mekatronik_p</v>
      </c>
      <c r="C562" s="14" t="s">
        <v>384</v>
      </c>
      <c r="D562" s="14" t="s">
        <v>2742</v>
      </c>
      <c r="E562" s="6" t="str">
        <f>HYPERLINK("https://twitter.com/mekatronik_p/status/1364228532461703184","1364228532461703184")</f>
        <v>1364228532461703184</v>
      </c>
      <c r="F562" s="8"/>
      <c r="G562" s="7" t="s">
        <v>2743</v>
      </c>
      <c r="H562" s="8"/>
      <c r="I562" s="14">
        <v>2</v>
      </c>
      <c r="J562" s="14">
        <v>0</v>
      </c>
      <c r="K562" s="6" t="str">
        <f>HYPERLINK("https://mobile.twitter.com","Twitter Web App")</f>
        <v>Twitter Web App</v>
      </c>
      <c r="L562" s="15">
        <v>67</v>
      </c>
      <c r="M562" s="15">
        <v>1</v>
      </c>
      <c r="N562" s="15">
        <v>0</v>
      </c>
      <c r="O562" s="9"/>
      <c r="P562" s="10">
        <v>44109.854756944449</v>
      </c>
      <c r="Q562" s="8"/>
      <c r="R562" s="14" t="s">
        <v>387</v>
      </c>
      <c r="S562" s="8"/>
      <c r="T562" s="8"/>
      <c r="U562" s="11" t="str">
        <f>HYPERLINK("https://pbs.twimg.com/profile_images/1313188373624958976/SPe0w7x4.jpg","View")</f>
        <v>View</v>
      </c>
      <c r="V562" s="8"/>
      <c r="W562" s="8"/>
      <c r="X562" s="8"/>
      <c r="Y562" s="8"/>
      <c r="Z562" s="8"/>
    </row>
    <row r="563" spans="1:26" ht="13.2">
      <c r="A563" s="13">
        <v>44250.666689814811</v>
      </c>
      <c r="B563" s="6" t="str">
        <f>HYPERLINK("https://twitter.com/reddit_ml","@reddit_ml")</f>
        <v>@reddit_ml</v>
      </c>
      <c r="C563" s="14" t="s">
        <v>2744</v>
      </c>
      <c r="D563" s="14" t="s">
        <v>2745</v>
      </c>
      <c r="E563" s="6" t="str">
        <f>HYPERLINK("https://twitter.com/reddit_ml/status/1364228531564208129","1364228531564208129")</f>
        <v>1364228531564208129</v>
      </c>
      <c r="F563" s="7" t="s">
        <v>781</v>
      </c>
      <c r="G563" s="8"/>
      <c r="H563" s="8"/>
      <c r="I563" s="14">
        <v>1</v>
      </c>
      <c r="J563" s="14">
        <v>1</v>
      </c>
      <c r="K563" s="6" t="str">
        <f>HYPERLINK("https://www.reddit.com/r/MachineLearning/","reddit-ml-bot")</f>
        <v>reddit-ml-bot</v>
      </c>
      <c r="L563" s="15">
        <v>411</v>
      </c>
      <c r="M563" s="15">
        <v>93</v>
      </c>
      <c r="N563" s="15">
        <v>35</v>
      </c>
      <c r="O563" s="9"/>
      <c r="P563" s="10">
        <v>42527.844641203701</v>
      </c>
      <c r="Q563" s="8"/>
      <c r="R563" s="8"/>
      <c r="S563" s="7" t="s">
        <v>2746</v>
      </c>
      <c r="T563" s="8"/>
      <c r="U563" s="11" t="str">
        <f>HYPERLINK("https://pbs.twimg.com/profile_images/739887457206996992/9NUmKQvu.jpg","View")</f>
        <v>View</v>
      </c>
      <c r="V563" s="8"/>
      <c r="W563" s="8"/>
      <c r="X563" s="8"/>
      <c r="Y563" s="8"/>
      <c r="Z563" s="8"/>
    </row>
    <row r="564" spans="1:26" ht="13.2">
      <c r="A564" s="13">
        <v>44250.666122685187</v>
      </c>
      <c r="B564" s="6" t="str">
        <f>HYPERLINK("https://twitter.com/NeurAutomata","@NeurAutomata")</f>
        <v>@NeurAutomata</v>
      </c>
      <c r="C564" s="14" t="s">
        <v>400</v>
      </c>
      <c r="D564" s="14" t="s">
        <v>401</v>
      </c>
      <c r="E564" s="6" t="str">
        <f>HYPERLINK("https://twitter.com/NeurAutomata/status/1364228323816087562","1364228323816087562")</f>
        <v>1364228323816087562</v>
      </c>
      <c r="F564" s="7" t="s">
        <v>2747</v>
      </c>
      <c r="G564" s="8"/>
      <c r="H564" s="8"/>
      <c r="I564" s="14">
        <v>0</v>
      </c>
      <c r="J564" s="14">
        <v>0</v>
      </c>
      <c r="K564" s="6" t="str">
        <f>HYPERLINK("https://ifttt.com","IFTTT")</f>
        <v>IFTTT</v>
      </c>
      <c r="L564" s="15">
        <v>83</v>
      </c>
      <c r="M564" s="15">
        <v>14</v>
      </c>
      <c r="N564" s="15">
        <v>3</v>
      </c>
      <c r="O564" s="9"/>
      <c r="P564" s="10">
        <v>42862.083414351851</v>
      </c>
      <c r="Q564" s="14" t="s">
        <v>403</v>
      </c>
      <c r="R564" s="14" t="s">
        <v>404</v>
      </c>
      <c r="S564" s="8"/>
      <c r="T564" s="8"/>
      <c r="U564" s="11" t="str">
        <f>HYPERLINK("https://pbs.twimg.com/profile_images/861050448672718848/oHUlrvEK.jpg","View")</f>
        <v>View</v>
      </c>
      <c r="V564" s="8"/>
      <c r="W564" s="8"/>
      <c r="X564" s="8"/>
      <c r="Y564" s="8"/>
      <c r="Z564" s="8"/>
    </row>
    <row r="565" spans="1:26" ht="13.2">
      <c r="A565" s="13">
        <v>44250.666099537033</v>
      </c>
      <c r="B565" s="6" t="str">
        <f>HYPERLINK("https://twitter.com/jskalia","@jskalia")</f>
        <v>@jskalia</v>
      </c>
      <c r="C565" s="14" t="s">
        <v>889</v>
      </c>
      <c r="D565" s="14" t="s">
        <v>2748</v>
      </c>
      <c r="E565" s="6" t="str">
        <f>HYPERLINK("https://twitter.com/jskalia/status/1364228314873925633","1364228314873925633")</f>
        <v>1364228314873925633</v>
      </c>
      <c r="F565" s="7" t="s">
        <v>2749</v>
      </c>
      <c r="G565" s="8"/>
      <c r="H565" s="8"/>
      <c r="I565" s="14">
        <v>1</v>
      </c>
      <c r="J565" s="14">
        <v>1</v>
      </c>
      <c r="K565" s="6" t="str">
        <f>HYPERLINK("https://www.hootsuite.com","Hootsuite Inc.")</f>
        <v>Hootsuite Inc.</v>
      </c>
      <c r="L565" s="15">
        <v>133</v>
      </c>
      <c r="M565" s="15">
        <v>380</v>
      </c>
      <c r="N565" s="15">
        <v>1</v>
      </c>
      <c r="O565" s="9"/>
      <c r="P565" s="10">
        <v>39660.655624999999</v>
      </c>
      <c r="Q565" s="14" t="s">
        <v>892</v>
      </c>
      <c r="R565" s="14" t="s">
        <v>893</v>
      </c>
      <c r="S565" s="7" t="s">
        <v>894</v>
      </c>
      <c r="T565" s="8"/>
      <c r="U565" s="11" t="str">
        <f>HYPERLINK("https://pbs.twimg.com/profile_images/1176302763027947525/ZsxrML09.jpg","View")</f>
        <v>View</v>
      </c>
      <c r="V565" s="8"/>
      <c r="W565" s="8"/>
      <c r="X565" s="8"/>
      <c r="Y565" s="8"/>
      <c r="Z565" s="8"/>
    </row>
    <row r="566" spans="1:26" ht="13.2">
      <c r="A566" s="13">
        <v>44250.666041666671</v>
      </c>
      <c r="B566" s="6" t="str">
        <f>HYPERLINK("https://twitter.com/KirkDBorne","@KirkDBorne")</f>
        <v>@KirkDBorne</v>
      </c>
      <c r="C566" s="14" t="s">
        <v>127</v>
      </c>
      <c r="D566" s="14" t="s">
        <v>2750</v>
      </c>
      <c r="E566" s="6" t="str">
        <f>HYPERLINK("https://twitter.com/KirkDBorne/status/1364228297345925120","1364228297345925120")</f>
        <v>1364228297345925120</v>
      </c>
      <c r="F566" s="14" t="s">
        <v>2751</v>
      </c>
      <c r="G566" s="7" t="s">
        <v>2752</v>
      </c>
      <c r="H566" s="8"/>
      <c r="I566" s="14">
        <v>16</v>
      </c>
      <c r="J566" s="14">
        <v>17</v>
      </c>
      <c r="K566" s="6" t="str">
        <f>HYPERLINK("http://twitter.com/download/iphone","Twitter for iPhone")</f>
        <v>Twitter for iPhone</v>
      </c>
      <c r="L566" s="15">
        <v>273892</v>
      </c>
      <c r="M566" s="15">
        <v>8969</v>
      </c>
      <c r="N566" s="15">
        <v>8299</v>
      </c>
      <c r="O566" s="15" t="s">
        <v>130</v>
      </c>
      <c r="P566" s="10">
        <v>40991.732835648145</v>
      </c>
      <c r="Q566" s="14" t="s">
        <v>131</v>
      </c>
      <c r="R566" s="14" t="s">
        <v>132</v>
      </c>
      <c r="S566" s="7" t="s">
        <v>133</v>
      </c>
      <c r="T566" s="8"/>
      <c r="U566" s="11" t="str">
        <f>HYPERLINK("https://pbs.twimg.com/profile_images/1112733580948635648/s-8d1avb.jpg","View")</f>
        <v>View</v>
      </c>
      <c r="V566" s="8"/>
      <c r="W566" s="8"/>
      <c r="X566" s="8"/>
      <c r="Y566" s="8"/>
      <c r="Z566" s="8"/>
    </row>
    <row r="567" spans="1:26" ht="13.2">
      <c r="A567" s="13">
        <v>44250.665277777778</v>
      </c>
      <c r="B567" s="6" t="str">
        <f>HYPERLINK("https://twitter.com/derivedfromdata","@derivedfromdata")</f>
        <v>@derivedfromdata</v>
      </c>
      <c r="C567" s="14" t="s">
        <v>2091</v>
      </c>
      <c r="D567" s="14" t="s">
        <v>2753</v>
      </c>
      <c r="E567" s="6" t="str">
        <f>HYPERLINK("https://twitter.com/derivedfromdata/status/1364228017891930120","1364228017891930120")</f>
        <v>1364228017891930120</v>
      </c>
      <c r="F567" s="7" t="s">
        <v>2754</v>
      </c>
      <c r="G567" s="7" t="s">
        <v>2755</v>
      </c>
      <c r="H567" s="8"/>
      <c r="I567" s="14">
        <v>0</v>
      </c>
      <c r="J567" s="14">
        <v>1</v>
      </c>
      <c r="K567" s="6" t="str">
        <f>HYPERLINK("https://mobile.twitter.com","Twitter Web App")</f>
        <v>Twitter Web App</v>
      </c>
      <c r="L567" s="15">
        <v>227</v>
      </c>
      <c r="M567" s="15">
        <v>233</v>
      </c>
      <c r="N567" s="15">
        <v>10</v>
      </c>
      <c r="O567" s="9"/>
      <c r="P567" s="10">
        <v>43939.131342592591</v>
      </c>
      <c r="Q567" s="8"/>
      <c r="R567" s="14" t="s">
        <v>2095</v>
      </c>
      <c r="S567" s="7" t="s">
        <v>2096</v>
      </c>
      <c r="T567" s="8"/>
      <c r="U567" s="11" t="str">
        <f>HYPERLINK("https://pbs.twimg.com/profile_images/1277710688958525442/1KDd8mtL.jpg","View")</f>
        <v>View</v>
      </c>
      <c r="V567" s="8"/>
      <c r="W567" s="8"/>
      <c r="X567" s="8"/>
      <c r="Y567" s="8"/>
      <c r="Z567" s="8"/>
    </row>
    <row r="568" spans="1:26" ht="13.2">
      <c r="A568" s="13">
        <v>44250.664756944447</v>
      </c>
      <c r="B568" s="6" t="str">
        <f>HYPERLINK("https://twitter.com/Suresh_RJS","@Suresh_RJS")</f>
        <v>@Suresh_RJS</v>
      </c>
      <c r="C568" s="14" t="s">
        <v>2756</v>
      </c>
      <c r="D568" s="14" t="s">
        <v>1180</v>
      </c>
      <c r="E568" s="6" t="str">
        <f>HYPERLINK("https://twitter.com/Suresh_RJS/status/1364227829768970246","1364227829768970246")</f>
        <v>1364227829768970246</v>
      </c>
      <c r="F568" s="7" t="s">
        <v>2757</v>
      </c>
      <c r="G568" s="7" t="s">
        <v>2758</v>
      </c>
      <c r="H568" s="8"/>
      <c r="I568" s="14">
        <v>0</v>
      </c>
      <c r="J568" s="14">
        <v>1</v>
      </c>
      <c r="K568" s="6" t="str">
        <f>HYPERLINK("http://dynamicsignal.com/","Dynamic Signal")</f>
        <v>Dynamic Signal</v>
      </c>
      <c r="L568" s="15">
        <v>111</v>
      </c>
      <c r="M568" s="15">
        <v>550</v>
      </c>
      <c r="N568" s="15">
        <v>0</v>
      </c>
      <c r="O568" s="9"/>
      <c r="P568" s="10">
        <v>40304.62300925926</v>
      </c>
      <c r="Q568" s="14" t="s">
        <v>2759</v>
      </c>
      <c r="R568" s="14" t="s">
        <v>2760</v>
      </c>
      <c r="S568" s="7" t="s">
        <v>2761</v>
      </c>
      <c r="T568" s="8"/>
      <c r="U568" s="11" t="str">
        <f>HYPERLINK("https://pbs.twimg.com/profile_images/1272572773399957504/RdrSzzsc.jpg","View")</f>
        <v>View</v>
      </c>
      <c r="V568" s="8"/>
      <c r="W568" s="8"/>
      <c r="X568" s="8"/>
      <c r="Y568" s="8"/>
      <c r="Z568" s="8"/>
    </row>
    <row r="569" spans="1:26" ht="13.2">
      <c r="A569" s="13">
        <v>44250.66405092593</v>
      </c>
      <c r="B569" s="6" t="str">
        <f>HYPERLINK("https://twitter.com/amasolAG","@amasolAG")</f>
        <v>@amasolAG</v>
      </c>
      <c r="C569" s="14" t="s">
        <v>2762</v>
      </c>
      <c r="D569" s="14" t="s">
        <v>2763</v>
      </c>
      <c r="E569" s="6" t="str">
        <f>HYPERLINK("https://twitter.com/amasolAG/status/1364227575740993543","1364227575740993543")</f>
        <v>1364227575740993543</v>
      </c>
      <c r="F569" s="7" t="s">
        <v>2764</v>
      </c>
      <c r="G569" s="7" t="s">
        <v>2765</v>
      </c>
      <c r="H569" s="8"/>
      <c r="I569" s="14">
        <v>0</v>
      </c>
      <c r="J569" s="14">
        <v>1</v>
      </c>
      <c r="K569" s="6" t="str">
        <f>HYPERLINK("https://mobile.twitter.com","Twitter Web App")</f>
        <v>Twitter Web App</v>
      </c>
      <c r="L569" s="15">
        <v>1387</v>
      </c>
      <c r="M569" s="15">
        <v>3945</v>
      </c>
      <c r="N569" s="15">
        <v>98</v>
      </c>
      <c r="O569" s="9"/>
      <c r="P569" s="10">
        <v>42065.40662037037</v>
      </c>
      <c r="Q569" s="14" t="s">
        <v>2766</v>
      </c>
      <c r="R569" s="14" t="s">
        <v>2767</v>
      </c>
      <c r="S569" s="7" t="s">
        <v>2768</v>
      </c>
      <c r="T569" s="8"/>
      <c r="U569" s="11" t="str">
        <f>HYPERLINK("https://pbs.twimg.com/profile_images/1314580754299576320/l1tjeGjk.jpg","View")</f>
        <v>View</v>
      </c>
      <c r="V569" s="8"/>
      <c r="W569" s="8"/>
      <c r="X569" s="8"/>
      <c r="Y569" s="8"/>
      <c r="Z569" s="8"/>
    </row>
    <row r="570" spans="1:26" ht="13.2">
      <c r="A570" s="13">
        <v>44250.663113425922</v>
      </c>
      <c r="B570" s="6" t="str">
        <f>HYPERLINK("https://twitter.com/ahmadfaizan965","@ahmadfaizan965")</f>
        <v>@ahmadfaizan965</v>
      </c>
      <c r="C570" s="14" t="s">
        <v>2769</v>
      </c>
      <c r="D570" s="14" t="s">
        <v>2770</v>
      </c>
      <c r="E570" s="6" t="str">
        <f>HYPERLINK("https://twitter.com/ahmadfaizan965/status/1364227232885923840","1364227232885923840")</f>
        <v>1364227232885923840</v>
      </c>
      <c r="F570" s="8"/>
      <c r="G570" s="7" t="s">
        <v>2771</v>
      </c>
      <c r="H570" s="8"/>
      <c r="I570" s="14">
        <v>35</v>
      </c>
      <c r="J570" s="14">
        <v>18</v>
      </c>
      <c r="K570" s="6" t="str">
        <f>HYPERLINK("http://twitter.com/download/android","Twitter for Android")</f>
        <v>Twitter for Android</v>
      </c>
      <c r="L570" s="15">
        <v>41</v>
      </c>
      <c r="M570" s="15">
        <v>146</v>
      </c>
      <c r="N570" s="15">
        <v>1</v>
      </c>
      <c r="O570" s="9"/>
      <c r="P570" s="10">
        <v>44084.458368055552</v>
      </c>
      <c r="Q570" s="14" t="s">
        <v>2772</v>
      </c>
      <c r="R570" s="14" t="s">
        <v>2773</v>
      </c>
      <c r="S570" s="8"/>
      <c r="T570" s="8"/>
      <c r="U570" s="11" t="str">
        <f>HYPERLINK("https://pbs.twimg.com/profile_images/1359585260346875904/QI2f1JbZ.jpg","View")</f>
        <v>View</v>
      </c>
      <c r="V570" s="8"/>
      <c r="W570" s="8"/>
      <c r="X570" s="8"/>
      <c r="Y570" s="8"/>
      <c r="Z570" s="8"/>
    </row>
    <row r="571" spans="1:26" ht="13.2">
      <c r="A571" s="13">
        <v>44250.662905092591</v>
      </c>
      <c r="B571" s="6" t="str">
        <f>HYPERLINK("https://twitter.com/machinelearnflx","@machinelearnflx")</f>
        <v>@machinelearnflx</v>
      </c>
      <c r="C571" s="14" t="s">
        <v>279</v>
      </c>
      <c r="D571" s="14" t="s">
        <v>2774</v>
      </c>
      <c r="E571" s="6" t="str">
        <f>HYPERLINK("https://twitter.com/machinelearnflx/status/1364227157661130753","1364227157661130753")</f>
        <v>1364227157661130753</v>
      </c>
      <c r="F571" s="7" t="s">
        <v>2775</v>
      </c>
      <c r="G571" s="8"/>
      <c r="H571" s="8"/>
      <c r="I571" s="14">
        <v>4</v>
      </c>
      <c r="J571" s="14">
        <v>8</v>
      </c>
      <c r="K571" s="6" t="str">
        <f>HYPERLINK("https://twitter.com/pythonbot_","Postmatico")</f>
        <v>Postmatico</v>
      </c>
      <c r="L571" s="15">
        <v>90451</v>
      </c>
      <c r="M571" s="15">
        <v>35464</v>
      </c>
      <c r="N571" s="15">
        <v>2227</v>
      </c>
      <c r="O571" s="9"/>
      <c r="P571" s="10">
        <v>42386.538865740746</v>
      </c>
      <c r="Q571" s="8"/>
      <c r="R571" s="14" t="s">
        <v>282</v>
      </c>
      <c r="S571" s="7" t="s">
        <v>283</v>
      </c>
      <c r="T571" s="8"/>
      <c r="U571" s="11" t="str">
        <f>HYPERLINK("https://pbs.twimg.com/profile_images/688735459892195329/v8sHaWSG.jpg","View")</f>
        <v>View</v>
      </c>
      <c r="V571" s="8"/>
      <c r="W571" s="8"/>
      <c r="X571" s="8"/>
      <c r="Y571" s="8"/>
      <c r="Z571" s="8"/>
    </row>
    <row r="572" spans="1:26" ht="13.2">
      <c r="A572" s="13">
        <v>44250.66207175926</v>
      </c>
      <c r="B572" s="6" t="str">
        <f>HYPERLINK("https://twitter.com/IainLJBrown","@IainLJBrown")</f>
        <v>@IainLJBrown</v>
      </c>
      <c r="C572" s="14" t="s">
        <v>2776</v>
      </c>
      <c r="D572" s="14" t="s">
        <v>2777</v>
      </c>
      <c r="E572" s="6" t="str">
        <f>HYPERLINK("https://twitter.com/IainLJBrown/status/1364226858607255558","1364226858607255558")</f>
        <v>1364226858607255558</v>
      </c>
      <c r="F572" s="7" t="s">
        <v>2778</v>
      </c>
      <c r="G572" s="8"/>
      <c r="H572" s="8"/>
      <c r="I572" s="14">
        <v>29</v>
      </c>
      <c r="J572" s="14">
        <v>15</v>
      </c>
      <c r="K572" s="6" t="str">
        <f>HYPERLINK("https://ifttt.com","IFTTT")</f>
        <v>IFTTT</v>
      </c>
      <c r="L572" s="15">
        <v>115543</v>
      </c>
      <c r="M572" s="15">
        <v>98727</v>
      </c>
      <c r="N572" s="15">
        <v>423</v>
      </c>
      <c r="O572" s="9"/>
      <c r="P572" s="10">
        <v>40926.673900462964</v>
      </c>
      <c r="Q572" s="14" t="s">
        <v>753</v>
      </c>
      <c r="R572" s="14" t="s">
        <v>2779</v>
      </c>
      <c r="S572" s="7" t="s">
        <v>2780</v>
      </c>
      <c r="T572" s="8"/>
      <c r="U572" s="11" t="str">
        <f>HYPERLINK("https://pbs.twimg.com/profile_images/1352606177352364032/jQ7AI0vG.jpg","View")</f>
        <v>View</v>
      </c>
      <c r="V572" s="8"/>
      <c r="W572" s="8"/>
      <c r="X572" s="8"/>
      <c r="Y572" s="8"/>
      <c r="Z572" s="8"/>
    </row>
    <row r="573" spans="1:26" ht="13.2">
      <c r="A573" s="13">
        <v>44250.661504629628</v>
      </c>
      <c r="B573" s="6" t="str">
        <f>HYPERLINK("https://twitter.com/DDNewsOnline","@DDNewsOnline")</f>
        <v>@DDNewsOnline</v>
      </c>
      <c r="C573" s="14" t="s">
        <v>2781</v>
      </c>
      <c r="D573" s="14" t="s">
        <v>2782</v>
      </c>
      <c r="E573" s="6" t="str">
        <f>HYPERLINK("https://twitter.com/DDNewsOnline/status/1364226652121616387","1364226652121616387")</f>
        <v>1364226652121616387</v>
      </c>
      <c r="F573" s="7" t="s">
        <v>2783</v>
      </c>
      <c r="G573" s="7" t="s">
        <v>2784</v>
      </c>
      <c r="H573" s="8"/>
      <c r="I573" s="14">
        <v>1</v>
      </c>
      <c r="J573" s="14">
        <v>2</v>
      </c>
      <c r="K573" s="6" t="str">
        <f>HYPERLINK("https://mobile.twitter.com","Twitter Web App")</f>
        <v>Twitter Web App</v>
      </c>
      <c r="L573" s="15">
        <v>3067</v>
      </c>
      <c r="M573" s="15">
        <v>427</v>
      </c>
      <c r="N573" s="15">
        <v>89</v>
      </c>
      <c r="O573" s="9"/>
      <c r="P573" s="10">
        <v>39792.812025462961</v>
      </c>
      <c r="Q573" s="14" t="s">
        <v>2785</v>
      </c>
      <c r="R573" s="14" t="s">
        <v>2786</v>
      </c>
      <c r="S573" s="7" t="s">
        <v>2787</v>
      </c>
      <c r="T573" s="8"/>
      <c r="U573" s="11" t="str">
        <f>HYPERLINK("https://pbs.twimg.com/profile_images/1286709262287278080/SHRMveT5.jpg","View")</f>
        <v>View</v>
      </c>
      <c r="V573" s="8"/>
      <c r="W573" s="8"/>
      <c r="X573" s="8"/>
      <c r="Y573" s="8"/>
      <c r="Z573" s="8"/>
    </row>
    <row r="574" spans="1:26" ht="13.2">
      <c r="A574" s="13">
        <v>44250.66101851852</v>
      </c>
      <c r="B574" s="6" t="str">
        <f>HYPERLINK("https://twitter.com/bgalan2001","@bgalan2001")</f>
        <v>@bgalan2001</v>
      </c>
      <c r="C574" s="14" t="s">
        <v>2788</v>
      </c>
      <c r="D574" s="14" t="s">
        <v>1180</v>
      </c>
      <c r="E574" s="6" t="str">
        <f>HYPERLINK("https://twitter.com/bgalan2001/status/1364226475168161799","1364226475168161799")</f>
        <v>1364226475168161799</v>
      </c>
      <c r="F574" s="7" t="s">
        <v>2789</v>
      </c>
      <c r="G574" s="7" t="s">
        <v>2790</v>
      </c>
      <c r="H574" s="8"/>
      <c r="I574" s="14">
        <v>0</v>
      </c>
      <c r="J574" s="14">
        <v>2</v>
      </c>
      <c r="K574" s="6" t="str">
        <f>HYPERLINK("http://dynamicsignal.com/","Dynamic Signal")</f>
        <v>Dynamic Signal</v>
      </c>
      <c r="L574" s="15">
        <v>27</v>
      </c>
      <c r="M574" s="15">
        <v>131</v>
      </c>
      <c r="N574" s="15">
        <v>55</v>
      </c>
      <c r="O574" s="9"/>
      <c r="P574" s="10">
        <v>40071.946932870371</v>
      </c>
      <c r="Q574" s="8"/>
      <c r="R574" s="8"/>
      <c r="S574" s="8"/>
      <c r="T574" s="8"/>
      <c r="U574" s="11" t="str">
        <f>HYPERLINK("https://pbs.twimg.com/profile_images/743871392416825345/PDkp5A4G.jpg","View")</f>
        <v>View</v>
      </c>
      <c r="V574" s="8"/>
      <c r="W574" s="8"/>
      <c r="X574" s="8"/>
      <c r="Y574" s="8"/>
      <c r="Z574" s="8"/>
    </row>
    <row r="575" spans="1:26" ht="13.2">
      <c r="A575" s="13">
        <v>44250.660925925928</v>
      </c>
      <c r="B575" s="6" t="str">
        <f>HYPERLINK("https://twitter.com/azuleducation","@azuleducation")</f>
        <v>@azuleducation</v>
      </c>
      <c r="C575" s="14" t="s">
        <v>2791</v>
      </c>
      <c r="D575" s="14" t="s">
        <v>2792</v>
      </c>
      <c r="E575" s="6" t="str">
        <f>HYPERLINK("https://twitter.com/azuleducation/status/1364226440846135301","1364226440846135301")</f>
        <v>1364226440846135301</v>
      </c>
      <c r="F575" s="8"/>
      <c r="G575" s="7" t="s">
        <v>2793</v>
      </c>
      <c r="H575" s="8"/>
      <c r="I575" s="14">
        <v>1</v>
      </c>
      <c r="J575" s="14">
        <v>2</v>
      </c>
      <c r="K575" s="6" t="str">
        <f t="shared" ref="K575:K576" si="85">HYPERLINK("https://mobile.twitter.com","Twitter Web App")</f>
        <v>Twitter Web App</v>
      </c>
      <c r="L575" s="15">
        <v>30</v>
      </c>
      <c r="M575" s="15">
        <v>226</v>
      </c>
      <c r="N575" s="15">
        <v>0</v>
      </c>
      <c r="O575" s="9"/>
      <c r="P575" s="10">
        <v>44186.309351851851</v>
      </c>
      <c r="Q575" s="14" t="s">
        <v>403</v>
      </c>
      <c r="R575" s="14" t="s">
        <v>2794</v>
      </c>
      <c r="S575" s="7" t="s">
        <v>2795</v>
      </c>
      <c r="T575" s="8"/>
      <c r="U575" s="11" t="str">
        <f>HYPERLINK("https://pbs.twimg.com/profile_images/1344318013638660096/OPbO1nfY.jpg","View")</f>
        <v>View</v>
      </c>
      <c r="V575" s="8"/>
      <c r="W575" s="8"/>
      <c r="X575" s="8"/>
      <c r="Y575" s="8"/>
      <c r="Z575" s="8"/>
    </row>
    <row r="576" spans="1:26" ht="13.2">
      <c r="A576" s="13">
        <v>44250.660891203705</v>
      </c>
      <c r="B576" s="6" t="str">
        <f>HYPERLINK("https://twitter.com/PyImageSearch","@PyImageSearch")</f>
        <v>@PyImageSearch</v>
      </c>
      <c r="C576" s="14" t="s">
        <v>2796</v>
      </c>
      <c r="D576" s="14" t="s">
        <v>2797</v>
      </c>
      <c r="E576" s="6" t="str">
        <f>HYPERLINK("https://twitter.com/PyImageSearch/status/1364226427478966278","1364226427478966278")</f>
        <v>1364226427478966278</v>
      </c>
      <c r="F576" s="7" t="s">
        <v>2798</v>
      </c>
      <c r="G576" s="7" t="s">
        <v>2799</v>
      </c>
      <c r="H576" s="8"/>
      <c r="I576" s="14">
        <v>15</v>
      </c>
      <c r="J576" s="14">
        <v>50</v>
      </c>
      <c r="K576" s="6" t="str">
        <f t="shared" si="85"/>
        <v>Twitter Web App</v>
      </c>
      <c r="L576" s="15">
        <v>25764</v>
      </c>
      <c r="M576" s="15">
        <v>822</v>
      </c>
      <c r="N576" s="15">
        <v>565</v>
      </c>
      <c r="O576" s="9"/>
      <c r="P576" s="10">
        <v>41651.905011574076</v>
      </c>
      <c r="Q576" s="14" t="s">
        <v>2800</v>
      </c>
      <c r="R576" s="14" t="s">
        <v>2801</v>
      </c>
      <c r="S576" s="7" t="s">
        <v>2802</v>
      </c>
      <c r="T576" s="8"/>
      <c r="U576" s="11" t="str">
        <f>HYPERLINK("https://pbs.twimg.com/profile_images/1204454922944684036/EoIMiiPP.jpg","View")</f>
        <v>View</v>
      </c>
      <c r="V576" s="8"/>
      <c r="W576" s="8"/>
      <c r="X576" s="8"/>
      <c r="Y576" s="8"/>
      <c r="Z576" s="8"/>
    </row>
    <row r="577" spans="1:26" ht="13.2">
      <c r="A577" s="13">
        <v>44250.660810185189</v>
      </c>
      <c r="B577" s="6" t="str">
        <f>HYPERLINK("https://twitter.com/cornichecorp","@cornichecorp")</f>
        <v>@cornichecorp</v>
      </c>
      <c r="C577" s="14" t="s">
        <v>2271</v>
      </c>
      <c r="D577" s="14" t="s">
        <v>2803</v>
      </c>
      <c r="E577" s="6" t="str">
        <f>HYPERLINK("https://twitter.com/cornichecorp/status/1364226401801408515","1364226401801408515")</f>
        <v>1364226401801408515</v>
      </c>
      <c r="F577" s="14" t="s">
        <v>2804</v>
      </c>
      <c r="G577" s="8"/>
      <c r="H577" s="8"/>
      <c r="I577" s="14">
        <v>1</v>
      </c>
      <c r="J577" s="14">
        <v>1</v>
      </c>
      <c r="K577" s="6" t="str">
        <f>HYPERLINK("http://twinybots.com","TwinyBots")</f>
        <v>TwinyBots</v>
      </c>
      <c r="L577" s="15">
        <v>2349</v>
      </c>
      <c r="M577" s="15">
        <v>2163</v>
      </c>
      <c r="N577" s="15">
        <v>30</v>
      </c>
      <c r="O577" s="9"/>
      <c r="P577" s="10">
        <v>42246.917499999996</v>
      </c>
      <c r="Q577" s="14" t="s">
        <v>2274</v>
      </c>
      <c r="R577" s="14" t="s">
        <v>2275</v>
      </c>
      <c r="S577" s="8"/>
      <c r="T577" s="8"/>
      <c r="U577" s="11" t="str">
        <f>HYPERLINK("https://pbs.twimg.com/profile_images/1135863200396775424/vPe8Htor.png","View")</f>
        <v>View</v>
      </c>
      <c r="V577" s="8"/>
      <c r="W577" s="8"/>
      <c r="X577" s="8"/>
      <c r="Y577" s="8"/>
      <c r="Z577" s="8"/>
    </row>
    <row r="578" spans="1:26" ht="13.2">
      <c r="A578" s="13">
        <v>44250.660752314812</v>
      </c>
      <c r="B578" s="6" t="str">
        <f>HYPERLINK("https://twitter.com/sabrepc","@sabrepc")</f>
        <v>@sabrepc</v>
      </c>
      <c r="C578" s="14" t="s">
        <v>2805</v>
      </c>
      <c r="D578" s="14" t="s">
        <v>2806</v>
      </c>
      <c r="E578" s="6" t="str">
        <f>HYPERLINK("https://twitter.com/sabrepc/status/1364226379953283073","1364226379953283073")</f>
        <v>1364226379953283073</v>
      </c>
      <c r="F578" s="7" t="s">
        <v>2807</v>
      </c>
      <c r="G578" s="7" t="s">
        <v>2808</v>
      </c>
      <c r="H578" s="8"/>
      <c r="I578" s="14">
        <v>7</v>
      </c>
      <c r="J578" s="14">
        <v>4</v>
      </c>
      <c r="K578" s="6" t="str">
        <f>HYPERLINK("https://mobile.twitter.com","Twitter Web App")</f>
        <v>Twitter Web App</v>
      </c>
      <c r="L578" s="15">
        <v>146</v>
      </c>
      <c r="M578" s="15">
        <v>367</v>
      </c>
      <c r="N578" s="15">
        <v>2</v>
      </c>
      <c r="O578" s="9"/>
      <c r="P578" s="10">
        <v>40590.100138888891</v>
      </c>
      <c r="Q578" s="14" t="s">
        <v>2809</v>
      </c>
      <c r="R578" s="14" t="s">
        <v>2810</v>
      </c>
      <c r="S578" s="7" t="s">
        <v>2811</v>
      </c>
      <c r="T578" s="8"/>
      <c r="U578" s="11" t="str">
        <f>HYPERLINK("https://pbs.twimg.com/profile_images/1153718358107279361/vHfK4iDC.png","View")</f>
        <v>View</v>
      </c>
      <c r="V578" s="8"/>
      <c r="W578" s="8"/>
      <c r="X578" s="8"/>
      <c r="Y578" s="8"/>
      <c r="Z578" s="8"/>
    </row>
    <row r="579" spans="1:26" ht="13.2">
      <c r="A579" s="13">
        <v>44250.660752314812</v>
      </c>
      <c r="B579" s="6" t="str">
        <f>HYPERLINK("https://twitter.com/arXiv__ml","@arXiv__ml")</f>
        <v>@arXiv__ml</v>
      </c>
      <c r="C579" s="14" t="s">
        <v>2812</v>
      </c>
      <c r="D579" s="14" t="s">
        <v>2813</v>
      </c>
      <c r="E579" s="6" t="str">
        <f>HYPERLINK("https://twitter.com/arXiv__ml/status/1364226378913128450","1364226378913128450")</f>
        <v>1364226378913128450</v>
      </c>
      <c r="F579" s="7" t="s">
        <v>2814</v>
      </c>
      <c r="G579" s="8"/>
      <c r="H579" s="8"/>
      <c r="I579" s="14">
        <v>0</v>
      </c>
      <c r="J579" s="14">
        <v>2</v>
      </c>
      <c r="K579" s="6" t="str">
        <f>HYPERLINK("https://ifttt.com","IFTTT")</f>
        <v>IFTTT</v>
      </c>
      <c r="L579" s="15">
        <v>2542</v>
      </c>
      <c r="M579" s="15">
        <v>1470</v>
      </c>
      <c r="N579" s="15">
        <v>73</v>
      </c>
      <c r="O579" s="9"/>
      <c r="P579" s="10">
        <v>43387.731759259259</v>
      </c>
      <c r="Q579" s="14" t="s">
        <v>1036</v>
      </c>
      <c r="R579" s="14" t="s">
        <v>2815</v>
      </c>
      <c r="S579" s="7" t="s">
        <v>2816</v>
      </c>
      <c r="T579" s="8"/>
      <c r="U579" s="11" t="str">
        <f>HYPERLINK("https://pbs.twimg.com/profile_images/1067085474131394560/QOHl5dzN.jpg","View")</f>
        <v>View</v>
      </c>
      <c r="V579" s="8"/>
      <c r="W579" s="8"/>
      <c r="X579" s="8"/>
      <c r="Y579" s="8"/>
      <c r="Z579" s="8"/>
    </row>
    <row r="580" spans="1:26" ht="13.2">
      <c r="A580" s="13">
        <v>44250.660358796296</v>
      </c>
      <c r="B580" s="6" t="str">
        <f>HYPERLINK("https://twitter.com/ravi_b_parikh","@ravi_b_parikh")</f>
        <v>@ravi_b_parikh</v>
      </c>
      <c r="C580" s="14" t="s">
        <v>2817</v>
      </c>
      <c r="D580" s="14" t="s">
        <v>2818</v>
      </c>
      <c r="E580" s="6" t="str">
        <f>HYPERLINK("https://twitter.com/ravi_b_parikh/status/1364226237153955845","1364226237153955845")</f>
        <v>1364226237153955845</v>
      </c>
      <c r="F580" s="7" t="s">
        <v>2819</v>
      </c>
      <c r="G580" s="7" t="s">
        <v>2820</v>
      </c>
      <c r="H580" s="8"/>
      <c r="I580" s="14">
        <v>12</v>
      </c>
      <c r="J580" s="14">
        <v>25</v>
      </c>
      <c r="K580" s="6" t="str">
        <f>HYPERLINK("https://mobile.twitter.com","Twitter Web App")</f>
        <v>Twitter Web App</v>
      </c>
      <c r="L580" s="15">
        <v>1534</v>
      </c>
      <c r="M580" s="15">
        <v>977</v>
      </c>
      <c r="N580" s="15">
        <v>43</v>
      </c>
      <c r="O580" s="9"/>
      <c r="P580" s="10">
        <v>41516.110046296293</v>
      </c>
      <c r="Q580" s="14" t="s">
        <v>2800</v>
      </c>
      <c r="R580" s="14" t="s">
        <v>2821</v>
      </c>
      <c r="S580" s="7" t="s">
        <v>2822</v>
      </c>
      <c r="T580" s="8"/>
      <c r="U580" s="11" t="str">
        <f>HYPERLINK("https://pbs.twimg.com/profile_images/1160933433566085122/PUKboqi9.jpg","View")</f>
        <v>View</v>
      </c>
      <c r="V580" s="8"/>
      <c r="W580" s="8"/>
      <c r="X580" s="8"/>
      <c r="Y580" s="8"/>
      <c r="Z580" s="8"/>
    </row>
    <row r="581" spans="1:26" ht="13.2">
      <c r="A581" s="13">
        <v>44250.659432870365</v>
      </c>
      <c r="B581" s="6" t="str">
        <f>HYPERLINK("https://twitter.com/cba_sportspicks","@cba_sportspicks")</f>
        <v>@cba_sportspicks</v>
      </c>
      <c r="C581" s="14" t="s">
        <v>2823</v>
      </c>
      <c r="D581" s="14" t="s">
        <v>2824</v>
      </c>
      <c r="E581" s="6" t="str">
        <f>HYPERLINK("https://twitter.com/cba_sportspicks/status/1364225902591180816","1364225902591180816")</f>
        <v>1364225902591180816</v>
      </c>
      <c r="F581" s="8"/>
      <c r="G581" s="8"/>
      <c r="H581" s="8"/>
      <c r="I581" s="14">
        <v>0</v>
      </c>
      <c r="J581" s="14">
        <v>2</v>
      </c>
      <c r="K581" s="8"/>
      <c r="L581" s="15">
        <v>31</v>
      </c>
      <c r="M581" s="15">
        <v>198</v>
      </c>
      <c r="N581" s="15">
        <v>0</v>
      </c>
      <c r="O581" s="9"/>
      <c r="P581" s="10">
        <v>44236.713229166664</v>
      </c>
      <c r="Q581" s="8"/>
      <c r="R581" s="14" t="s">
        <v>2825</v>
      </c>
      <c r="S581" s="8"/>
      <c r="T581" s="8"/>
      <c r="U581" s="15" t="s">
        <v>1879</v>
      </c>
      <c r="V581" s="8"/>
      <c r="W581" s="8"/>
      <c r="X581" s="8"/>
      <c r="Y581" s="8"/>
      <c r="Z581" s="8"/>
    </row>
    <row r="582" spans="1:26" ht="13.2">
      <c r="A582" s="13">
        <v>44250.659386574072</v>
      </c>
      <c r="B582" s="6" t="str">
        <f>HYPERLINK("https://twitter.com/quantUniversity","@quantUniversity")</f>
        <v>@quantUniversity</v>
      </c>
      <c r="C582" s="14" t="s">
        <v>2826</v>
      </c>
      <c r="D582" s="14" t="s">
        <v>2827</v>
      </c>
      <c r="E582" s="6" t="str">
        <f>HYPERLINK("https://twitter.com/quantUniversity/status/1364225885574991873","1364225885574991873")</f>
        <v>1364225885574991873</v>
      </c>
      <c r="F582" s="7" t="s">
        <v>2828</v>
      </c>
      <c r="G582" s="8"/>
      <c r="H582" s="8"/>
      <c r="I582" s="14">
        <v>1</v>
      </c>
      <c r="J582" s="14">
        <v>1</v>
      </c>
      <c r="K582" s="6" t="str">
        <f t="shared" ref="K582:K588" si="86">HYPERLINK("https://mobile.twitter.com","Twitter Web App")</f>
        <v>Twitter Web App</v>
      </c>
      <c r="L582" s="15">
        <v>52</v>
      </c>
      <c r="M582" s="15">
        <v>37</v>
      </c>
      <c r="N582" s="15">
        <v>1</v>
      </c>
      <c r="O582" s="9"/>
      <c r="P582" s="10">
        <v>40629.58326388889</v>
      </c>
      <c r="Q582" s="14" t="s">
        <v>221</v>
      </c>
      <c r="R582" s="14" t="s">
        <v>2829</v>
      </c>
      <c r="S582" s="7" t="s">
        <v>2830</v>
      </c>
      <c r="T582" s="8"/>
      <c r="U582" s="11" t="str">
        <f>HYPERLINK("https://pbs.twimg.com/profile_images/1318928153151156228/QEkUb1UL.jpg","View")</f>
        <v>View</v>
      </c>
      <c r="V582" s="8"/>
      <c r="W582" s="8"/>
      <c r="X582" s="8"/>
      <c r="Y582" s="8"/>
      <c r="Z582" s="8"/>
    </row>
    <row r="583" spans="1:26" ht="13.2">
      <c r="A583" s="13">
        <v>44250.659305555557</v>
      </c>
      <c r="B583" s="6" t="str">
        <f>HYPERLINK("https://twitter.com/netcarreiras","@netcarreiras")</f>
        <v>@netcarreiras</v>
      </c>
      <c r="C583" s="14" t="s">
        <v>2831</v>
      </c>
      <c r="D583" s="14" t="s">
        <v>2832</v>
      </c>
      <c r="E583" s="6" t="str">
        <f>HYPERLINK("https://twitter.com/netcarreiras/status/1364225854977417218","1364225854977417218")</f>
        <v>1364225854977417218</v>
      </c>
      <c r="F583" s="7" t="s">
        <v>2833</v>
      </c>
      <c r="G583" s="8"/>
      <c r="H583" s="8"/>
      <c r="I583" s="14">
        <v>0</v>
      </c>
      <c r="J583" s="14">
        <v>1</v>
      </c>
      <c r="K583" s="6" t="str">
        <f t="shared" si="86"/>
        <v>Twitter Web App</v>
      </c>
      <c r="L583" s="15">
        <v>1274</v>
      </c>
      <c r="M583" s="15">
        <v>329</v>
      </c>
      <c r="N583" s="15">
        <v>42</v>
      </c>
      <c r="O583" s="9"/>
      <c r="P583" s="10">
        <v>40239.792523148149</v>
      </c>
      <c r="Q583" s="14" t="s">
        <v>2834</v>
      </c>
      <c r="R583" s="14" t="s">
        <v>2835</v>
      </c>
      <c r="S583" s="7" t="s">
        <v>2836</v>
      </c>
      <c r="T583" s="8"/>
      <c r="U583" s="11" t="str">
        <f>HYPERLINK("https://pbs.twimg.com/profile_images/1133795533573820417/dFZjCue4.png","View")</f>
        <v>View</v>
      </c>
      <c r="V583" s="8"/>
      <c r="W583" s="8"/>
      <c r="X583" s="8"/>
      <c r="Y583" s="8"/>
      <c r="Z583" s="8"/>
    </row>
    <row r="584" spans="1:26" ht="13.2">
      <c r="A584" s="13">
        <v>44250.658946759257</v>
      </c>
      <c r="B584" s="6" t="str">
        <f>HYPERLINK("https://twitter.com/HarbRimah","@HarbRimah")</f>
        <v>@HarbRimah</v>
      </c>
      <c r="C584" s="14" t="s">
        <v>2837</v>
      </c>
      <c r="D584" s="14" t="s">
        <v>2028</v>
      </c>
      <c r="E584" s="6" t="str">
        <f>HYPERLINK("https://twitter.com/HarbRimah/status/1364225726283583489","1364225726283583489")</f>
        <v>1364225726283583489</v>
      </c>
      <c r="F584" s="7" t="s">
        <v>2029</v>
      </c>
      <c r="G584" s="8"/>
      <c r="H584" s="8"/>
      <c r="I584" s="14">
        <v>26</v>
      </c>
      <c r="J584" s="14">
        <v>13</v>
      </c>
      <c r="K584" s="6" t="str">
        <f t="shared" si="86"/>
        <v>Twitter Web App</v>
      </c>
      <c r="L584" s="15">
        <v>8983</v>
      </c>
      <c r="M584" s="15">
        <v>4886</v>
      </c>
      <c r="N584" s="15">
        <v>675</v>
      </c>
      <c r="O584" s="9"/>
      <c r="P584" s="10">
        <v>41198.440601851849</v>
      </c>
      <c r="Q584" s="8"/>
      <c r="R584" s="14" t="s">
        <v>2838</v>
      </c>
      <c r="S584" s="8"/>
      <c r="T584" s="8"/>
      <c r="U584" s="11" t="str">
        <f>HYPERLINK("https://pbs.twimg.com/profile_images/909317895355863040/ls7cAjxm.jpg","View")</f>
        <v>View</v>
      </c>
      <c r="V584" s="8"/>
      <c r="W584" s="8"/>
      <c r="X584" s="8"/>
      <c r="Y584" s="8"/>
      <c r="Z584" s="8"/>
    </row>
    <row r="585" spans="1:26" ht="13.2">
      <c r="A585" s="13">
        <v>44250.658912037034</v>
      </c>
      <c r="B585" s="6" t="str">
        <f>HYPERLINK("https://twitter.com/ArgosMultiling","@ArgosMultiling")</f>
        <v>@ArgosMultiling</v>
      </c>
      <c r="C585" s="14" t="s">
        <v>2839</v>
      </c>
      <c r="D585" s="14" t="s">
        <v>2840</v>
      </c>
      <c r="E585" s="6" t="str">
        <f>HYPERLINK("https://twitter.com/ArgosMultiling/status/1364225712568242179","1364225712568242179")</f>
        <v>1364225712568242179</v>
      </c>
      <c r="F585" s="7" t="s">
        <v>2841</v>
      </c>
      <c r="G585" s="8"/>
      <c r="H585" s="8"/>
      <c r="I585" s="14">
        <v>0</v>
      </c>
      <c r="J585" s="14">
        <v>1</v>
      </c>
      <c r="K585" s="6" t="str">
        <f t="shared" si="86"/>
        <v>Twitter Web App</v>
      </c>
      <c r="L585" s="15">
        <v>896</v>
      </c>
      <c r="M585" s="15">
        <v>267</v>
      </c>
      <c r="N585" s="15">
        <v>50</v>
      </c>
      <c r="O585" s="9"/>
      <c r="P585" s="10">
        <v>40240.632858796293</v>
      </c>
      <c r="Q585" s="14" t="s">
        <v>2842</v>
      </c>
      <c r="R585" s="14" t="s">
        <v>2843</v>
      </c>
      <c r="S585" s="7" t="s">
        <v>2844</v>
      </c>
      <c r="T585" s="8"/>
      <c r="U585" s="11" t="str">
        <f>HYPERLINK("https://pbs.twimg.com/profile_images/554646898376581120/8LFzjZs0.png","View")</f>
        <v>View</v>
      </c>
      <c r="V585" s="8"/>
      <c r="W585" s="8"/>
      <c r="X585" s="8"/>
      <c r="Y585" s="8"/>
      <c r="Z585" s="8"/>
    </row>
    <row r="586" spans="1:26" ht="13.2">
      <c r="A586" s="13">
        <v>44250.658842592587</v>
      </c>
      <c r="B586" s="6" t="str">
        <f>HYPERLINK("https://twitter.com/biorankings","@biorankings")</f>
        <v>@biorankings</v>
      </c>
      <c r="C586" s="14" t="s">
        <v>2845</v>
      </c>
      <c r="D586" s="14" t="s">
        <v>2846</v>
      </c>
      <c r="E586" s="6" t="str">
        <f>HYPERLINK("https://twitter.com/biorankings/status/1364225686026682381","1364225686026682381")</f>
        <v>1364225686026682381</v>
      </c>
      <c r="F586" s="7" t="s">
        <v>2847</v>
      </c>
      <c r="G586" s="8"/>
      <c r="H586" s="8"/>
      <c r="I586" s="14">
        <v>0</v>
      </c>
      <c r="J586" s="14">
        <v>1</v>
      </c>
      <c r="K586" s="6" t="str">
        <f t="shared" si="86"/>
        <v>Twitter Web App</v>
      </c>
      <c r="L586" s="15">
        <v>276</v>
      </c>
      <c r="M586" s="15">
        <v>331</v>
      </c>
      <c r="N586" s="15">
        <v>9</v>
      </c>
      <c r="O586" s="9"/>
      <c r="P586" s="10">
        <v>40150.754537037035</v>
      </c>
      <c r="Q586" s="14" t="s">
        <v>514</v>
      </c>
      <c r="R586" s="14" t="s">
        <v>2848</v>
      </c>
      <c r="S586" s="7" t="s">
        <v>2849</v>
      </c>
      <c r="T586" s="8"/>
      <c r="U586" s="11" t="str">
        <f>HYPERLINK("https://pbs.twimg.com/profile_images/712385087677988864/tTVSDcU5.jpg","View")</f>
        <v>View</v>
      </c>
      <c r="V586" s="8"/>
      <c r="W586" s="8"/>
      <c r="X586" s="8"/>
      <c r="Y586" s="8"/>
      <c r="Z586" s="8"/>
    </row>
    <row r="587" spans="1:26" ht="13.2">
      <c r="A587" s="13">
        <v>44250.658495370371</v>
      </c>
      <c r="B587" s="6" t="str">
        <f>HYPERLINK("https://twitter.com/vumcdbmi","@vumcdbmi")</f>
        <v>@vumcdbmi</v>
      </c>
      <c r="C587" s="14" t="s">
        <v>2850</v>
      </c>
      <c r="D587" s="14" t="s">
        <v>2851</v>
      </c>
      <c r="E587" s="6" t="str">
        <f>HYPERLINK("https://twitter.com/vumcdbmi/status/1364225563037208576","1364225563037208576")</f>
        <v>1364225563037208576</v>
      </c>
      <c r="F587" s="8"/>
      <c r="G587" s="7" t="s">
        <v>2852</v>
      </c>
      <c r="H587" s="8"/>
      <c r="I587" s="14">
        <v>7</v>
      </c>
      <c r="J587" s="14">
        <v>5</v>
      </c>
      <c r="K587" s="6" t="str">
        <f t="shared" si="86"/>
        <v>Twitter Web App</v>
      </c>
      <c r="L587" s="15">
        <v>743</v>
      </c>
      <c r="M587" s="15">
        <v>444</v>
      </c>
      <c r="N587" s="15">
        <v>8</v>
      </c>
      <c r="O587" s="9"/>
      <c r="P587" s="10">
        <v>43374.669664351852</v>
      </c>
      <c r="Q587" s="14" t="s">
        <v>2853</v>
      </c>
      <c r="R587" s="14" t="s">
        <v>2854</v>
      </c>
      <c r="S587" s="7" t="s">
        <v>2855</v>
      </c>
      <c r="T587" s="8"/>
      <c r="U587" s="11" t="str">
        <f>HYPERLINK("https://pbs.twimg.com/profile_images/1046769372239466501/9PVsLWJg.jpg","View")</f>
        <v>View</v>
      </c>
      <c r="V587" s="8"/>
      <c r="W587" s="8"/>
      <c r="X587" s="8"/>
      <c r="Y587" s="8"/>
      <c r="Z587" s="8"/>
    </row>
    <row r="588" spans="1:26" ht="13.2">
      <c r="A588" s="13">
        <v>44250.658449074079</v>
      </c>
      <c r="B588" s="6" t="str">
        <f>HYPERLINK("https://twitter.com/HarbRimah","@HarbRimah")</f>
        <v>@HarbRimah</v>
      </c>
      <c r="C588" s="14" t="s">
        <v>2837</v>
      </c>
      <c r="D588" s="14" t="s">
        <v>2856</v>
      </c>
      <c r="E588" s="6" t="str">
        <f>HYPERLINK("https://twitter.com/HarbRimah/status/1364225544720506887","1364225544720506887")</f>
        <v>1364225544720506887</v>
      </c>
      <c r="F588" s="7" t="s">
        <v>2857</v>
      </c>
      <c r="G588" s="8"/>
      <c r="H588" s="8"/>
      <c r="I588" s="14">
        <v>25</v>
      </c>
      <c r="J588" s="14">
        <v>14</v>
      </c>
      <c r="K588" s="6" t="str">
        <f t="shared" si="86"/>
        <v>Twitter Web App</v>
      </c>
      <c r="L588" s="15">
        <v>8983</v>
      </c>
      <c r="M588" s="15">
        <v>4886</v>
      </c>
      <c r="N588" s="15">
        <v>675</v>
      </c>
      <c r="O588" s="9"/>
      <c r="P588" s="10">
        <v>41198.440601851849</v>
      </c>
      <c r="Q588" s="8"/>
      <c r="R588" s="14" t="s">
        <v>2838</v>
      </c>
      <c r="S588" s="8"/>
      <c r="T588" s="8"/>
      <c r="U588" s="11" t="str">
        <f>HYPERLINK("https://pbs.twimg.com/profile_images/909317895355863040/ls7cAjxm.jpg","View")</f>
        <v>View</v>
      </c>
      <c r="V588" s="8"/>
      <c r="W588" s="8"/>
      <c r="X588" s="8"/>
      <c r="Y588" s="8"/>
      <c r="Z588" s="8"/>
    </row>
    <row r="589" spans="1:26" ht="13.2">
      <c r="A589" s="13">
        <v>44250.658356481479</v>
      </c>
      <c r="B589" s="6" t="str">
        <f>HYPERLINK("https://twitter.com/RootsAutomation","@RootsAutomation")</f>
        <v>@RootsAutomation</v>
      </c>
      <c r="C589" s="14" t="s">
        <v>2858</v>
      </c>
      <c r="D589" s="14" t="s">
        <v>2859</v>
      </c>
      <c r="E589" s="6" t="str">
        <f>HYPERLINK("https://twitter.com/RootsAutomation/status/1364225511841558530","1364225511841558530")</f>
        <v>1364225511841558530</v>
      </c>
      <c r="F589" s="7" t="s">
        <v>2860</v>
      </c>
      <c r="G589" s="7" t="s">
        <v>2861</v>
      </c>
      <c r="H589" s="8"/>
      <c r="I589" s="14">
        <v>0</v>
      </c>
      <c r="J589" s="14">
        <v>0</v>
      </c>
      <c r="K589" s="6" t="str">
        <f>HYPERLINK("https://buffer.com","Buffer")</f>
        <v>Buffer</v>
      </c>
      <c r="L589" s="15">
        <v>667</v>
      </c>
      <c r="M589" s="15">
        <v>694</v>
      </c>
      <c r="N589" s="15">
        <v>0</v>
      </c>
      <c r="O589" s="9"/>
      <c r="P589" s="10">
        <v>43888.918229166666</v>
      </c>
      <c r="Q589" s="14" t="s">
        <v>215</v>
      </c>
      <c r="R589" s="14" t="s">
        <v>2862</v>
      </c>
      <c r="S589" s="7" t="s">
        <v>2863</v>
      </c>
      <c r="T589" s="8"/>
      <c r="U589" s="11" t="str">
        <f>HYPERLINK("https://pbs.twimg.com/profile_images/1245012049756852225/_Ne7z4l3.jpg","View")</f>
        <v>View</v>
      </c>
      <c r="V589" s="8"/>
      <c r="W589" s="8"/>
      <c r="X589" s="8"/>
      <c r="Y589" s="8"/>
      <c r="Z589" s="8"/>
    </row>
    <row r="590" spans="1:26" ht="13.2">
      <c r="A590" s="13">
        <v>44250.658333333333</v>
      </c>
      <c r="B590" s="6" t="str">
        <f>HYPERLINK("https://twitter.com/Nicolas2Pinto","@Nicolas2Pinto")</f>
        <v>@Nicolas2Pinto</v>
      </c>
      <c r="C590" s="14" t="s">
        <v>2864</v>
      </c>
      <c r="D590" s="14" t="s">
        <v>2865</v>
      </c>
      <c r="E590" s="6" t="str">
        <f>HYPERLINK("https://twitter.com/Nicolas2Pinto/status/1364225501439479815","1364225501439479815")</f>
        <v>1364225501439479815</v>
      </c>
      <c r="F590" s="7" t="s">
        <v>2866</v>
      </c>
      <c r="G590" s="7" t="s">
        <v>2867</v>
      </c>
      <c r="H590" s="8"/>
      <c r="I590" s="14">
        <v>2</v>
      </c>
      <c r="J590" s="14">
        <v>2</v>
      </c>
      <c r="K590" s="6" t="str">
        <f>HYPERLINK("https://about.twitter.com/products/tweetdeck","TweetDeck")</f>
        <v>TweetDeck</v>
      </c>
      <c r="L590" s="15">
        <v>6358</v>
      </c>
      <c r="M590" s="15">
        <v>4896</v>
      </c>
      <c r="N590" s="15">
        <v>605</v>
      </c>
      <c r="O590" s="9"/>
      <c r="P590" s="10">
        <v>41558.83252314815</v>
      </c>
      <c r="Q590" s="14" t="s">
        <v>106</v>
      </c>
      <c r="R590" s="14" t="s">
        <v>2868</v>
      </c>
      <c r="S590" s="7" t="s">
        <v>2869</v>
      </c>
      <c r="T590" s="8"/>
      <c r="U590" s="11" t="str">
        <f>HYPERLINK("https://pbs.twimg.com/profile_images/798896302276956160/cbW0VBL2.jpg","View")</f>
        <v>View</v>
      </c>
      <c r="V590" s="8"/>
      <c r="W590" s="8"/>
      <c r="X590" s="8"/>
      <c r="Y590" s="8"/>
      <c r="Z590" s="8"/>
    </row>
    <row r="591" spans="1:26" ht="13.2">
      <c r="A591" s="13">
        <v>44250.658148148148</v>
      </c>
      <c r="B591" s="6" t="str">
        <f>HYPERLINK("https://twitter.com/machinelearnflx","@machinelearnflx")</f>
        <v>@machinelearnflx</v>
      </c>
      <c r="C591" s="14" t="s">
        <v>279</v>
      </c>
      <c r="D591" s="14" t="s">
        <v>2870</v>
      </c>
      <c r="E591" s="6" t="str">
        <f>HYPERLINK("https://twitter.com/machinelearnflx/status/1364225436796948493","1364225436796948493")</f>
        <v>1364225436796948493</v>
      </c>
      <c r="F591" s="7" t="s">
        <v>2871</v>
      </c>
      <c r="G591" s="8"/>
      <c r="H591" s="8"/>
      <c r="I591" s="14">
        <v>3</v>
      </c>
      <c r="J591" s="14">
        <v>8</v>
      </c>
      <c r="K591" s="6" t="str">
        <f>HYPERLINK("https://twitter.com/pythonbot_","Postmatico")</f>
        <v>Postmatico</v>
      </c>
      <c r="L591" s="15">
        <v>90451</v>
      </c>
      <c r="M591" s="15">
        <v>35464</v>
      </c>
      <c r="N591" s="15">
        <v>2227</v>
      </c>
      <c r="O591" s="9"/>
      <c r="P591" s="10">
        <v>42386.538865740746</v>
      </c>
      <c r="Q591" s="8"/>
      <c r="R591" s="14" t="s">
        <v>282</v>
      </c>
      <c r="S591" s="7" t="s">
        <v>283</v>
      </c>
      <c r="T591" s="8"/>
      <c r="U591" s="11" t="str">
        <f>HYPERLINK("https://pbs.twimg.com/profile_images/688735459892195329/v8sHaWSG.jpg","View")</f>
        <v>View</v>
      </c>
      <c r="V591" s="8"/>
      <c r="W591" s="8"/>
      <c r="X591" s="8"/>
      <c r="Y591" s="8"/>
      <c r="Z591" s="8"/>
    </row>
    <row r="592" spans="1:26" ht="13.2">
      <c r="A592" s="13">
        <v>44250.657673611116</v>
      </c>
      <c r="B592" s="6" t="str">
        <f>HYPERLINK("https://twitter.com/Bahafis","@Bahafis")</f>
        <v>@Bahafis</v>
      </c>
      <c r="C592" s="14" t="s">
        <v>2872</v>
      </c>
      <c r="D592" s="14" t="s">
        <v>2873</v>
      </c>
      <c r="E592" s="6" t="str">
        <f>HYPERLINK("https://twitter.com/Bahafis/status/1364225264385884163","1364225264385884163")</f>
        <v>1364225264385884163</v>
      </c>
      <c r="F592" s="7" t="s">
        <v>2874</v>
      </c>
      <c r="G592" s="8"/>
      <c r="H592" s="8"/>
      <c r="I592" s="14">
        <v>0</v>
      </c>
      <c r="J592" s="14">
        <v>2</v>
      </c>
      <c r="K592" s="6" t="str">
        <f>HYPERLINK("http://twitter.com/download/iphone","Twitter for iPhone")</f>
        <v>Twitter for iPhone</v>
      </c>
      <c r="L592" s="15">
        <v>429</v>
      </c>
      <c r="M592" s="15">
        <v>1684</v>
      </c>
      <c r="N592" s="15">
        <v>27</v>
      </c>
      <c r="O592" s="9"/>
      <c r="P592" s="10">
        <v>40674.564942129626</v>
      </c>
      <c r="Q592" s="14" t="s">
        <v>2875</v>
      </c>
      <c r="R592" s="14" t="s">
        <v>2876</v>
      </c>
      <c r="S592" s="7" t="s">
        <v>2877</v>
      </c>
      <c r="T592" s="8"/>
      <c r="U592" s="11" t="str">
        <f>HYPERLINK("https://pbs.twimg.com/profile_images/466634968651665408/fe-kV2lX.jpeg","View")</f>
        <v>View</v>
      </c>
      <c r="V592" s="8"/>
      <c r="W592" s="8"/>
      <c r="X592" s="8"/>
      <c r="Y592" s="8"/>
      <c r="Z592" s="8"/>
    </row>
    <row r="593" spans="1:26" ht="13.2">
      <c r="A593" s="13">
        <v>44250.657673611116</v>
      </c>
      <c r="B593" s="6" t="str">
        <f t="shared" ref="B593:B594" si="87">HYPERLINK("https://twitter.com/HarbRimah","@HarbRimah")</f>
        <v>@HarbRimah</v>
      </c>
      <c r="C593" s="14" t="s">
        <v>2837</v>
      </c>
      <c r="D593" s="14" t="s">
        <v>2878</v>
      </c>
      <c r="E593" s="6" t="str">
        <f>HYPERLINK("https://twitter.com/HarbRimah/status/1364225262477406220","1364225262477406220")</f>
        <v>1364225262477406220</v>
      </c>
      <c r="F593" s="7" t="s">
        <v>2879</v>
      </c>
      <c r="G593" s="8"/>
      <c r="H593" s="8"/>
      <c r="I593" s="14">
        <v>16</v>
      </c>
      <c r="J593" s="14">
        <v>9</v>
      </c>
      <c r="K593" s="6" t="str">
        <f t="shared" ref="K593:K594" si="88">HYPERLINK("https://mobile.twitter.com","Twitter Web App")</f>
        <v>Twitter Web App</v>
      </c>
      <c r="L593" s="15">
        <v>8983</v>
      </c>
      <c r="M593" s="15">
        <v>4886</v>
      </c>
      <c r="N593" s="15">
        <v>675</v>
      </c>
      <c r="O593" s="9"/>
      <c r="P593" s="10">
        <v>41198.440601851849</v>
      </c>
      <c r="Q593" s="8"/>
      <c r="R593" s="14" t="s">
        <v>2838</v>
      </c>
      <c r="S593" s="8"/>
      <c r="T593" s="8"/>
      <c r="U593" s="11" t="str">
        <f t="shared" ref="U593:U594" si="89">HYPERLINK("https://pbs.twimg.com/profile_images/909317895355863040/ls7cAjxm.jpg","View")</f>
        <v>View</v>
      </c>
      <c r="V593" s="8"/>
      <c r="W593" s="8"/>
      <c r="X593" s="8"/>
      <c r="Y593" s="8"/>
      <c r="Z593" s="8"/>
    </row>
    <row r="594" spans="1:26" ht="13.2">
      <c r="A594" s="13">
        <v>44250.656817129631</v>
      </c>
      <c r="B594" s="6" t="str">
        <f t="shared" si="87"/>
        <v>@HarbRimah</v>
      </c>
      <c r="C594" s="14" t="s">
        <v>2837</v>
      </c>
      <c r="D594" s="14" t="s">
        <v>2880</v>
      </c>
      <c r="E594" s="6" t="str">
        <f>HYPERLINK("https://twitter.com/HarbRimah/status/1364224954280017920","1364224954280017920")</f>
        <v>1364224954280017920</v>
      </c>
      <c r="F594" s="7" t="s">
        <v>2881</v>
      </c>
      <c r="G594" s="8"/>
      <c r="H594" s="8"/>
      <c r="I594" s="14">
        <v>22</v>
      </c>
      <c r="J594" s="14">
        <v>12</v>
      </c>
      <c r="K594" s="6" t="str">
        <f t="shared" si="88"/>
        <v>Twitter Web App</v>
      </c>
      <c r="L594" s="15">
        <v>8983</v>
      </c>
      <c r="M594" s="15">
        <v>4886</v>
      </c>
      <c r="N594" s="15">
        <v>675</v>
      </c>
      <c r="O594" s="9"/>
      <c r="P594" s="10">
        <v>41198.440601851849</v>
      </c>
      <c r="Q594" s="8"/>
      <c r="R594" s="14" t="s">
        <v>2838</v>
      </c>
      <c r="S594" s="8"/>
      <c r="T594" s="8"/>
      <c r="U594" s="11" t="str">
        <f t="shared" si="89"/>
        <v>View</v>
      </c>
      <c r="V594" s="8"/>
      <c r="W594" s="8"/>
      <c r="X594" s="8"/>
      <c r="Y594" s="8"/>
      <c r="Z594" s="8"/>
    </row>
    <row r="595" spans="1:26" ht="13.2">
      <c r="A595" s="13">
        <v>44250.656712962962</v>
      </c>
      <c r="B595" s="6" t="str">
        <f>HYPERLINK("https://twitter.com/ai_summary","@ai_summary")</f>
        <v>@ai_summary</v>
      </c>
      <c r="C595" s="14" t="s">
        <v>528</v>
      </c>
      <c r="D595" s="14" t="s">
        <v>2882</v>
      </c>
      <c r="E595" s="6" t="str">
        <f>HYPERLINK("https://twitter.com/ai_summary/status/1364224916791259143","1364224916791259143")</f>
        <v>1364224916791259143</v>
      </c>
      <c r="F595" s="7" t="s">
        <v>2883</v>
      </c>
      <c r="G595" s="8"/>
      <c r="H595" s="8"/>
      <c r="I595" s="14">
        <v>1</v>
      </c>
      <c r="J595" s="14">
        <v>0</v>
      </c>
      <c r="K595" s="8"/>
      <c r="L595" s="15">
        <v>47</v>
      </c>
      <c r="M595" s="15">
        <v>7</v>
      </c>
      <c r="N595" s="15">
        <v>2</v>
      </c>
      <c r="O595" s="9"/>
      <c r="P595" s="10">
        <v>44039.504699074074</v>
      </c>
      <c r="Q595" s="8"/>
      <c r="R595" s="14" t="s">
        <v>531</v>
      </c>
      <c r="S595" s="8"/>
      <c r="T595" s="8"/>
      <c r="U595" s="11" t="str">
        <f>HYPERLINK("https://pbs.twimg.com/profile_images/1315240281206382592/-i10o6Yg.jpg","View")</f>
        <v>View</v>
      </c>
      <c r="V595" s="8"/>
      <c r="W595" s="8"/>
      <c r="X595" s="8"/>
      <c r="Y595" s="8"/>
      <c r="Z595" s="8"/>
    </row>
    <row r="596" spans="1:26" ht="13.2">
      <c r="A596" s="13">
        <v>44250.656666666662</v>
      </c>
      <c r="B596" s="6" t="str">
        <f>HYPERLINK("https://twitter.com/HySpeedGeo","@HySpeedGeo")</f>
        <v>@HySpeedGeo</v>
      </c>
      <c r="C596" s="14" t="s">
        <v>2884</v>
      </c>
      <c r="D596" s="14" t="s">
        <v>2885</v>
      </c>
      <c r="E596" s="6" t="str">
        <f>HYPERLINK("https://twitter.com/HySpeedGeo/status/1364224898130870279","1364224898130870279")</f>
        <v>1364224898130870279</v>
      </c>
      <c r="F596" s="7" t="s">
        <v>2886</v>
      </c>
      <c r="G596" s="7" t="s">
        <v>2887</v>
      </c>
      <c r="H596" s="8"/>
      <c r="I596" s="14">
        <v>0</v>
      </c>
      <c r="J596" s="14">
        <v>0</v>
      </c>
      <c r="K596" s="6" t="str">
        <f>HYPERLINK("https://mobile.twitter.com","Twitter Web App")</f>
        <v>Twitter Web App</v>
      </c>
      <c r="L596" s="15">
        <v>62</v>
      </c>
      <c r="M596" s="15">
        <v>0</v>
      </c>
      <c r="N596" s="15">
        <v>2</v>
      </c>
      <c r="O596" s="9"/>
      <c r="P596" s="10">
        <v>43654.688657407409</v>
      </c>
      <c r="Q596" s="8"/>
      <c r="R596" s="14" t="s">
        <v>2888</v>
      </c>
      <c r="S596" s="7" t="s">
        <v>2889</v>
      </c>
      <c r="T596" s="8"/>
      <c r="U596" s="11" t="str">
        <f>HYPERLINK("https://pbs.twimg.com/profile_images/1148242877207711745/ARtY8dZE.png","View")</f>
        <v>View</v>
      </c>
      <c r="V596" s="8"/>
      <c r="W596" s="8"/>
      <c r="X596" s="8"/>
      <c r="Y596" s="8"/>
      <c r="Z596" s="8"/>
    </row>
    <row r="597" spans="1:26" ht="13.2">
      <c r="A597" s="13">
        <v>44250.656342592592</v>
      </c>
      <c r="B597" s="6" t="str">
        <f>HYPERLINK("https://twitter.com/ipfconline1","@ipfconline1")</f>
        <v>@ipfconline1</v>
      </c>
      <c r="C597" s="14" t="s">
        <v>65</v>
      </c>
      <c r="D597" s="14" t="s">
        <v>2890</v>
      </c>
      <c r="E597" s="6" t="str">
        <f>HYPERLINK("https://twitter.com/ipfconline1/status/1364224780778360842","1364224780778360842")</f>
        <v>1364224780778360842</v>
      </c>
      <c r="F597" s="7" t="s">
        <v>2891</v>
      </c>
      <c r="G597" s="7" t="s">
        <v>2892</v>
      </c>
      <c r="H597" s="8"/>
      <c r="I597" s="14">
        <v>11</v>
      </c>
      <c r="J597" s="14">
        <v>12</v>
      </c>
      <c r="K597" s="6" t="str">
        <f>HYPERLINK("https://twittimer.com","Twittimer")</f>
        <v>Twittimer</v>
      </c>
      <c r="L597" s="15">
        <v>112675</v>
      </c>
      <c r="M597" s="15">
        <v>107162</v>
      </c>
      <c r="N597" s="15">
        <v>7806</v>
      </c>
      <c r="O597" s="9"/>
      <c r="P597" s="10">
        <v>42433.031967592593</v>
      </c>
      <c r="Q597" s="14" t="s">
        <v>69</v>
      </c>
      <c r="R597" s="14" t="s">
        <v>70</v>
      </c>
      <c r="S597" s="7" t="s">
        <v>71</v>
      </c>
      <c r="T597" s="8"/>
      <c r="U597" s="11" t="str">
        <f>HYPERLINK("https://pbs.twimg.com/profile_images/729065804004769793/St2_Pum9.jpg","View")</f>
        <v>View</v>
      </c>
      <c r="V597" s="8"/>
      <c r="W597" s="8"/>
      <c r="X597" s="8"/>
      <c r="Y597" s="8"/>
      <c r="Z597" s="8"/>
    </row>
    <row r="598" spans="1:26" ht="13.2">
      <c r="A598" s="13">
        <v>44250.655856481477</v>
      </c>
      <c r="B598" s="6" t="str">
        <f>HYPERLINK("https://twitter.com/benrozemberczki","@benrozemberczki")</f>
        <v>@benrozemberczki</v>
      </c>
      <c r="C598" s="14" t="s">
        <v>2893</v>
      </c>
      <c r="D598" s="14" t="s">
        <v>2894</v>
      </c>
      <c r="E598" s="6" t="str">
        <f>HYPERLINK("https://twitter.com/benrozemberczki/status/1364224606123401219","1364224606123401219")</f>
        <v>1364224606123401219</v>
      </c>
      <c r="F598" s="7" t="s">
        <v>2895</v>
      </c>
      <c r="G598" s="7" t="s">
        <v>2896</v>
      </c>
      <c r="H598" s="8"/>
      <c r="I598" s="14">
        <v>1</v>
      </c>
      <c r="J598" s="14">
        <v>7</v>
      </c>
      <c r="K598" s="6" t="str">
        <f t="shared" ref="K598:K599" si="90">HYPERLINK("https://mobile.twitter.com","Twitter Web App")</f>
        <v>Twitter Web App</v>
      </c>
      <c r="L598" s="15">
        <v>671</v>
      </c>
      <c r="M598" s="15">
        <v>323</v>
      </c>
      <c r="N598" s="15">
        <v>11</v>
      </c>
      <c r="O598" s="9"/>
      <c r="P598" s="10">
        <v>43503.018807870365</v>
      </c>
      <c r="Q598" s="14" t="s">
        <v>2599</v>
      </c>
      <c r="R598" s="14" t="s">
        <v>2897</v>
      </c>
      <c r="S598" s="7" t="s">
        <v>2898</v>
      </c>
      <c r="T598" s="8"/>
      <c r="U598" s="11" t="str">
        <f>HYPERLINK("https://pbs.twimg.com/profile_images/1093292801511563269/PEZLZ0eJ.jpg","View")</f>
        <v>View</v>
      </c>
      <c r="V598" s="8"/>
      <c r="W598" s="8"/>
      <c r="X598" s="8"/>
      <c r="Y598" s="8"/>
      <c r="Z598" s="8"/>
    </row>
    <row r="599" spans="1:26" ht="13.2">
      <c r="A599" s="13">
        <v>44250.655833333338</v>
      </c>
      <c r="B599" s="6" t="str">
        <f>HYPERLINK("https://twitter.com/HarbRimah","@HarbRimah")</f>
        <v>@HarbRimah</v>
      </c>
      <c r="C599" s="14" t="s">
        <v>2837</v>
      </c>
      <c r="D599" s="14" t="s">
        <v>2899</v>
      </c>
      <c r="E599" s="6" t="str">
        <f>HYPERLINK("https://twitter.com/HarbRimah/status/1364224594912059392","1364224594912059392")</f>
        <v>1364224594912059392</v>
      </c>
      <c r="F599" s="7" t="s">
        <v>2900</v>
      </c>
      <c r="G599" s="8"/>
      <c r="H599" s="8"/>
      <c r="I599" s="14">
        <v>19</v>
      </c>
      <c r="J599" s="14">
        <v>7</v>
      </c>
      <c r="K599" s="6" t="str">
        <f t="shared" si="90"/>
        <v>Twitter Web App</v>
      </c>
      <c r="L599" s="15">
        <v>8983</v>
      </c>
      <c r="M599" s="15">
        <v>4886</v>
      </c>
      <c r="N599" s="15">
        <v>675</v>
      </c>
      <c r="O599" s="9"/>
      <c r="P599" s="10">
        <v>41198.440601851849</v>
      </c>
      <c r="Q599" s="8"/>
      <c r="R599" s="14" t="s">
        <v>2838</v>
      </c>
      <c r="S599" s="8"/>
      <c r="T599" s="8"/>
      <c r="U599" s="11" t="str">
        <f>HYPERLINK("https://pbs.twimg.com/profile_images/909317895355863040/ls7cAjxm.jpg","View")</f>
        <v>View</v>
      </c>
      <c r="V599" s="8"/>
      <c r="W599" s="8"/>
      <c r="X599" s="8"/>
      <c r="Y599" s="8"/>
      <c r="Z599" s="8"/>
    </row>
    <row r="600" spans="1:26" ht="13.2">
      <c r="A600" s="13">
        <v>44250.655717592592</v>
      </c>
      <c r="B600" s="6" t="str">
        <f>HYPERLINK("https://twitter.com/TECKpert","@TECKpert")</f>
        <v>@TECKpert</v>
      </c>
      <c r="C600" s="14" t="s">
        <v>2901</v>
      </c>
      <c r="D600" s="14" t="s">
        <v>2902</v>
      </c>
      <c r="E600" s="6" t="str">
        <f>HYPERLINK("https://twitter.com/TECKpert/status/1364224556140023814","1364224556140023814")</f>
        <v>1364224556140023814</v>
      </c>
      <c r="F600" s="7" t="s">
        <v>2903</v>
      </c>
      <c r="G600" s="8"/>
      <c r="H600" s="8"/>
      <c r="I600" s="14">
        <v>0</v>
      </c>
      <c r="J600" s="14">
        <v>0</v>
      </c>
      <c r="K600" s="6" t="str">
        <f>HYPERLINK("https://www.hootsuite.com","Hootsuite Inc.")</f>
        <v>Hootsuite Inc.</v>
      </c>
      <c r="L600" s="15">
        <v>485</v>
      </c>
      <c r="M600" s="15">
        <v>371</v>
      </c>
      <c r="N600" s="15">
        <v>54</v>
      </c>
      <c r="O600" s="9"/>
      <c r="P600" s="10">
        <v>39882.761030092595</v>
      </c>
      <c r="Q600" s="14" t="s">
        <v>2904</v>
      </c>
      <c r="R600" s="14" t="s">
        <v>2905</v>
      </c>
      <c r="S600" s="7" t="s">
        <v>2906</v>
      </c>
      <c r="T600" s="8"/>
      <c r="U600" s="11" t="str">
        <f>HYPERLINK("https://pbs.twimg.com/profile_images/1103741788366561280/8DNn7eyF.png","View")</f>
        <v>View</v>
      </c>
      <c r="V600" s="8"/>
      <c r="W600" s="8"/>
      <c r="X600" s="8"/>
      <c r="Y600" s="8"/>
      <c r="Z600" s="8"/>
    </row>
    <row r="601" spans="1:26" ht="13.2">
      <c r="A601" s="13">
        <v>44250.655127314814</v>
      </c>
      <c r="B601" s="6" t="str">
        <f>HYPERLINK("https://twitter.com/PHRIresearch","@PHRIresearch")</f>
        <v>@PHRIresearch</v>
      </c>
      <c r="C601" s="14" t="s">
        <v>2907</v>
      </c>
      <c r="D601" s="14" t="s">
        <v>2908</v>
      </c>
      <c r="E601" s="6" t="str">
        <f>HYPERLINK("https://twitter.com/PHRIresearch/status/1364224340774952962","1364224340774952962")</f>
        <v>1364224340774952962</v>
      </c>
      <c r="F601" s="7" t="s">
        <v>2909</v>
      </c>
      <c r="G601" s="8"/>
      <c r="H601" s="8"/>
      <c r="I601" s="14">
        <v>2</v>
      </c>
      <c r="J601" s="14">
        <v>1</v>
      </c>
      <c r="K601" s="6" t="str">
        <f>HYPERLINK("http://twitter.com/download/iphone","Twitter for iPhone")</f>
        <v>Twitter for iPhone</v>
      </c>
      <c r="L601" s="15">
        <v>2822</v>
      </c>
      <c r="M601" s="15">
        <v>5001</v>
      </c>
      <c r="N601" s="15">
        <v>13</v>
      </c>
      <c r="O601" s="9"/>
      <c r="P601" s="10">
        <v>43437.783761574072</v>
      </c>
      <c r="Q601" s="14" t="s">
        <v>2910</v>
      </c>
      <c r="R601" s="14" t="s">
        <v>2911</v>
      </c>
      <c r="S601" s="7" t="s">
        <v>2912</v>
      </c>
      <c r="T601" s="8"/>
      <c r="U601" s="11" t="str">
        <f>HYPERLINK("https://pbs.twimg.com/profile_images/1343928676971409410/_jYgDBZS.png","View")</f>
        <v>View</v>
      </c>
      <c r="V601" s="8"/>
      <c r="W601" s="8"/>
      <c r="X601" s="8"/>
      <c r="Y601" s="8"/>
      <c r="Z601" s="8"/>
    </row>
    <row r="602" spans="1:26" ht="13.2">
      <c r="A602" s="13">
        <v>44250.655127314814</v>
      </c>
      <c r="B602" s="6" t="str">
        <f>HYPERLINK("https://twitter.com/HarbRimah","@HarbRimah")</f>
        <v>@HarbRimah</v>
      </c>
      <c r="C602" s="14" t="s">
        <v>2837</v>
      </c>
      <c r="D602" s="14" t="s">
        <v>2913</v>
      </c>
      <c r="E602" s="6" t="str">
        <f>HYPERLINK("https://twitter.com/HarbRimah/status/1364224339831263240","1364224339831263240")</f>
        <v>1364224339831263240</v>
      </c>
      <c r="F602" s="7" t="s">
        <v>2914</v>
      </c>
      <c r="G602" s="8"/>
      <c r="H602" s="8"/>
      <c r="I602" s="14">
        <v>27</v>
      </c>
      <c r="J602" s="14">
        <v>17</v>
      </c>
      <c r="K602" s="6" t="str">
        <f>HYPERLINK("https://mobile.twitter.com","Twitter Web App")</f>
        <v>Twitter Web App</v>
      </c>
      <c r="L602" s="15">
        <v>8983</v>
      </c>
      <c r="M602" s="15">
        <v>4886</v>
      </c>
      <c r="N602" s="15">
        <v>675</v>
      </c>
      <c r="O602" s="9"/>
      <c r="P602" s="10">
        <v>41198.440601851849</v>
      </c>
      <c r="Q602" s="8"/>
      <c r="R602" s="14" t="s">
        <v>2838</v>
      </c>
      <c r="S602" s="8"/>
      <c r="T602" s="8"/>
      <c r="U602" s="11" t="str">
        <f>HYPERLINK("https://pbs.twimg.com/profile_images/909317895355863040/ls7cAjxm.jpg","View")</f>
        <v>View</v>
      </c>
      <c r="V602" s="8"/>
      <c r="W602" s="8"/>
      <c r="X602" s="8"/>
      <c r="Y602" s="8"/>
      <c r="Z602" s="8"/>
    </row>
    <row r="603" spans="1:26" ht="13.2">
      <c r="A603" s="13">
        <v>44250.654861111107</v>
      </c>
      <c r="B603" s="6" t="str">
        <f>HYPERLINK("https://twitter.com/readyforthenet","@readyforthenet")</f>
        <v>@readyforthenet</v>
      </c>
      <c r="C603" s="14" t="s">
        <v>2915</v>
      </c>
      <c r="D603" s="14" t="s">
        <v>1180</v>
      </c>
      <c r="E603" s="6" t="str">
        <f>HYPERLINK("https://twitter.com/readyforthenet/status/1364224242707927058","1364224242707927058")</f>
        <v>1364224242707927058</v>
      </c>
      <c r="F603" s="7" t="s">
        <v>2916</v>
      </c>
      <c r="G603" s="7" t="s">
        <v>2917</v>
      </c>
      <c r="H603" s="8"/>
      <c r="I603" s="14">
        <v>7</v>
      </c>
      <c r="J603" s="14">
        <v>4</v>
      </c>
      <c r="K603" s="6" t="str">
        <f>HYPERLINK("http://dynamicsignal.com/","Dynamic Signal")</f>
        <v>Dynamic Signal</v>
      </c>
      <c r="L603" s="15">
        <v>1572</v>
      </c>
      <c r="M603" s="15">
        <v>1654</v>
      </c>
      <c r="N603" s="15">
        <v>47</v>
      </c>
      <c r="O603" s="9"/>
      <c r="P603" s="10">
        <v>39827.175717592589</v>
      </c>
      <c r="Q603" s="14" t="s">
        <v>2918</v>
      </c>
      <c r="R603" s="14" t="s">
        <v>2919</v>
      </c>
      <c r="S603" s="7" t="s">
        <v>2920</v>
      </c>
      <c r="T603" s="8"/>
      <c r="U603" s="11" t="str">
        <f>HYPERLINK("https://pbs.twimg.com/profile_images/1108199555391283201/2R5718mq.png","View")</f>
        <v>View</v>
      </c>
      <c r="V603" s="8"/>
      <c r="W603" s="8"/>
      <c r="X603" s="8"/>
      <c r="Y603" s="8"/>
      <c r="Z603" s="8"/>
    </row>
    <row r="604" spans="1:26" ht="13.2">
      <c r="A604" s="13">
        <v>44250.654733796298</v>
      </c>
      <c r="B604" s="6" t="str">
        <f>HYPERLINK("https://twitter.com/gk_spain","@gk_spain")</f>
        <v>@gk_spain</v>
      </c>
      <c r="C604" s="14" t="s">
        <v>2921</v>
      </c>
      <c r="D604" s="14" t="s">
        <v>2922</v>
      </c>
      <c r="E604" s="6" t="str">
        <f>HYPERLINK("https://twitter.com/gk_spain/status/1364224197560467456","1364224197560467456")</f>
        <v>1364224197560467456</v>
      </c>
      <c r="F604" s="7" t="s">
        <v>2923</v>
      </c>
      <c r="G604" s="7" t="s">
        <v>2924</v>
      </c>
      <c r="H604" s="8"/>
      <c r="I604" s="14">
        <v>0</v>
      </c>
      <c r="J604" s="14">
        <v>0</v>
      </c>
      <c r="K604" s="6" t="str">
        <f t="shared" ref="K604:K605" si="91">HYPERLINK("https://mobile.twitter.com","Twitter Web App")</f>
        <v>Twitter Web App</v>
      </c>
      <c r="L604" s="15">
        <v>632</v>
      </c>
      <c r="M604" s="15">
        <v>678</v>
      </c>
      <c r="N604" s="15">
        <v>80</v>
      </c>
      <c r="O604" s="9"/>
      <c r="P604" s="10">
        <v>40164.84510416667</v>
      </c>
      <c r="Q604" s="14" t="s">
        <v>1053</v>
      </c>
      <c r="R604" s="14" t="s">
        <v>2925</v>
      </c>
      <c r="S604" s="7" t="s">
        <v>2926</v>
      </c>
      <c r="T604" s="8"/>
      <c r="U604" s="11" t="str">
        <f>HYPERLINK("https://pbs.twimg.com/profile_images/1141017300356804608/Sn70CI5J.jpg","View")</f>
        <v>View</v>
      </c>
      <c r="V604" s="8"/>
      <c r="W604" s="8"/>
      <c r="X604" s="8"/>
      <c r="Y604" s="8"/>
      <c r="Z604" s="8"/>
    </row>
    <row r="605" spans="1:26" ht="13.2">
      <c r="A605" s="13">
        <v>44250.654479166667</v>
      </c>
      <c r="B605" s="6" t="str">
        <f>HYPERLINK("https://twitter.com/VeronicaBlancoR","@VeronicaBlancoR")</f>
        <v>@VeronicaBlancoR</v>
      </c>
      <c r="C605" s="14" t="s">
        <v>2927</v>
      </c>
      <c r="D605" s="14" t="s">
        <v>2928</v>
      </c>
      <c r="E605" s="6" t="str">
        <f>HYPERLINK("https://twitter.com/VeronicaBlancoR/status/1364224106535641092","1364224106535641092")</f>
        <v>1364224106535641092</v>
      </c>
      <c r="F605" s="7" t="s">
        <v>2929</v>
      </c>
      <c r="G605" s="7" t="s">
        <v>2930</v>
      </c>
      <c r="H605" s="8"/>
      <c r="I605" s="14">
        <v>36</v>
      </c>
      <c r="J605" s="14">
        <v>23</v>
      </c>
      <c r="K605" s="6" t="str">
        <f t="shared" si="91"/>
        <v>Twitter Web App</v>
      </c>
      <c r="L605" s="15">
        <v>835</v>
      </c>
      <c r="M605" s="15">
        <v>1071</v>
      </c>
      <c r="N605" s="15">
        <v>10</v>
      </c>
      <c r="O605" s="9"/>
      <c r="P605" s="10">
        <v>41412.500925925924</v>
      </c>
      <c r="Q605" s="14" t="s">
        <v>2931</v>
      </c>
      <c r="R605" s="14" t="s">
        <v>2932</v>
      </c>
      <c r="S605" s="7" t="s">
        <v>2933</v>
      </c>
      <c r="T605" s="8"/>
      <c r="U605" s="11" t="str">
        <f>HYPERLINK("https://pbs.twimg.com/profile_images/1176865274991206400/GGKw6c5H.jpg","View")</f>
        <v>View</v>
      </c>
      <c r="V605" s="8"/>
      <c r="W605" s="8"/>
      <c r="X605" s="8"/>
      <c r="Y605" s="8"/>
      <c r="Z605" s="8"/>
    </row>
    <row r="606" spans="1:26" ht="13.2">
      <c r="A606" s="13">
        <v>44250.654456018514</v>
      </c>
      <c r="B606" s="6" t="str">
        <f>HYPERLINK("https://twitter.com/titangilroy","@titangilroy")</f>
        <v>@titangilroy</v>
      </c>
      <c r="C606" s="14" t="s">
        <v>2934</v>
      </c>
      <c r="D606" s="14" t="s">
        <v>2935</v>
      </c>
      <c r="E606" s="6" t="str">
        <f>HYPERLINK("https://twitter.com/titangilroy/status/1364224096863588353","1364224096863588353")</f>
        <v>1364224096863588353</v>
      </c>
      <c r="F606" s="8"/>
      <c r="G606" s="7" t="s">
        <v>2936</v>
      </c>
      <c r="H606" s="8"/>
      <c r="I606" s="14">
        <v>2</v>
      </c>
      <c r="J606" s="14">
        <v>6</v>
      </c>
      <c r="K606" s="6" t="str">
        <f>HYPERLINK("http://twitter.com/download/iphone","Twitter for iPhone")</f>
        <v>Twitter for iPhone</v>
      </c>
      <c r="L606" s="15">
        <v>1945</v>
      </c>
      <c r="M606" s="15">
        <v>237</v>
      </c>
      <c r="N606" s="15">
        <v>14</v>
      </c>
      <c r="O606" s="9"/>
      <c r="P606" s="10">
        <v>43119.818807870368</v>
      </c>
      <c r="Q606" s="14" t="s">
        <v>2937</v>
      </c>
      <c r="R606" s="14" t="s">
        <v>2938</v>
      </c>
      <c r="S606" s="7" t="s">
        <v>2939</v>
      </c>
      <c r="T606" s="8"/>
      <c r="U606" s="11" t="str">
        <f>HYPERLINK("https://pbs.twimg.com/profile_images/1364224765364301829/BTfITJ0f.jpg","View")</f>
        <v>View</v>
      </c>
      <c r="V606" s="8"/>
      <c r="W606" s="8"/>
      <c r="X606" s="8"/>
      <c r="Y606" s="8"/>
      <c r="Z606" s="8"/>
    </row>
    <row r="607" spans="1:26" ht="13.2">
      <c r="A607" s="13">
        <v>44250.654328703706</v>
      </c>
      <c r="B607" s="6" t="str">
        <f>HYPERLINK("https://twitter.com/ailab_mtitech","@ailab_mtitech")</f>
        <v>@ailab_mtitech</v>
      </c>
      <c r="C607" s="14" t="s">
        <v>1733</v>
      </c>
      <c r="D607" s="14" t="s">
        <v>2940</v>
      </c>
      <c r="E607" s="6" t="str">
        <f>HYPERLINK("https://twitter.com/ailab_mtitech/status/1364224049719611400","1364224049719611400")</f>
        <v>1364224049719611400</v>
      </c>
      <c r="F607" s="7" t="s">
        <v>2941</v>
      </c>
      <c r="G607" s="8"/>
      <c r="H607" s="8"/>
      <c r="I607" s="14">
        <v>2</v>
      </c>
      <c r="J607" s="14">
        <v>0</v>
      </c>
      <c r="K607" s="6" t="str">
        <f t="shared" ref="K607:K609" si="92">HYPERLINK("https://mobile.twitter.com","Twitter Web App")</f>
        <v>Twitter Web App</v>
      </c>
      <c r="L607" s="15">
        <v>112</v>
      </c>
      <c r="M607" s="15">
        <v>446</v>
      </c>
      <c r="N607" s="15">
        <v>0</v>
      </c>
      <c r="O607" s="9"/>
      <c r="P607" s="10">
        <v>44093.297337962962</v>
      </c>
      <c r="Q607" s="14" t="s">
        <v>1736</v>
      </c>
      <c r="R607" s="14" t="s">
        <v>1737</v>
      </c>
      <c r="S607" s="7" t="s">
        <v>1738</v>
      </c>
      <c r="T607" s="8"/>
      <c r="U607" s="11" t="str">
        <f>HYPERLINK("https://pbs.twimg.com/profile_images/1307186254539182082/Jz3kK0vE.jpg","View")</f>
        <v>View</v>
      </c>
      <c r="V607" s="8"/>
      <c r="W607" s="8"/>
      <c r="X607" s="8"/>
      <c r="Y607" s="8"/>
      <c r="Z607" s="8"/>
    </row>
    <row r="608" spans="1:26" ht="13.2">
      <c r="A608" s="13">
        <v>44250.654270833329</v>
      </c>
      <c r="B608" s="6" t="str">
        <f>HYPERLINK("https://twitter.com/Synced_Global","@Synced_Global")</f>
        <v>@Synced_Global</v>
      </c>
      <c r="C608" s="14" t="s">
        <v>1339</v>
      </c>
      <c r="D608" s="14" t="s">
        <v>2942</v>
      </c>
      <c r="E608" s="6" t="str">
        <f>HYPERLINK("https://twitter.com/Synced_Global/status/1364224030857781259","1364224030857781259")</f>
        <v>1364224030857781259</v>
      </c>
      <c r="F608" s="7" t="s">
        <v>2943</v>
      </c>
      <c r="G608" s="8"/>
      <c r="H608" s="8"/>
      <c r="I608" s="14">
        <v>0</v>
      </c>
      <c r="J608" s="14">
        <v>0</v>
      </c>
      <c r="K608" s="6" t="str">
        <f t="shared" si="92"/>
        <v>Twitter Web App</v>
      </c>
      <c r="L608" s="15">
        <v>3608</v>
      </c>
      <c r="M608" s="15">
        <v>251</v>
      </c>
      <c r="N608" s="15">
        <v>118</v>
      </c>
      <c r="O608" s="9"/>
      <c r="P608" s="10">
        <v>42748.499421296292</v>
      </c>
      <c r="Q608" s="14" t="s">
        <v>696</v>
      </c>
      <c r="R608" s="14" t="s">
        <v>1343</v>
      </c>
      <c r="S608" s="7" t="s">
        <v>1344</v>
      </c>
      <c r="T608" s="8"/>
      <c r="U608" s="11" t="str">
        <f>HYPERLINK("https://pbs.twimg.com/profile_images/895029477192851456/7dh0KKva.jpg","View")</f>
        <v>View</v>
      </c>
      <c r="V608" s="8"/>
      <c r="W608" s="8"/>
      <c r="X608" s="8"/>
      <c r="Y608" s="8"/>
      <c r="Z608" s="8"/>
    </row>
    <row r="609" spans="1:26" ht="13.2">
      <c r="A609" s="13">
        <v>44250.654224537036</v>
      </c>
      <c r="B609" s="6" t="str">
        <f>HYPERLINK("https://twitter.com/labszarpgmailc1","@labszarpgmailc1")</f>
        <v>@labszarpgmailc1</v>
      </c>
      <c r="C609" s="14" t="s">
        <v>2944</v>
      </c>
      <c r="D609" s="14" t="s">
        <v>2945</v>
      </c>
      <c r="E609" s="6" t="str">
        <f>HYPERLINK("https://twitter.com/labszarpgmailc1/status/1364224013539500044","1364224013539500044")</f>
        <v>1364224013539500044</v>
      </c>
      <c r="F609" s="8"/>
      <c r="G609" s="7" t="s">
        <v>2946</v>
      </c>
      <c r="H609" s="8"/>
      <c r="I609" s="14">
        <v>0</v>
      </c>
      <c r="J609" s="14">
        <v>0</v>
      </c>
      <c r="K609" s="6" t="str">
        <f t="shared" si="92"/>
        <v>Twitter Web App</v>
      </c>
      <c r="L609" s="15">
        <v>3</v>
      </c>
      <c r="M609" s="15">
        <v>1</v>
      </c>
      <c r="N609" s="15">
        <v>0</v>
      </c>
      <c r="O609" s="9"/>
      <c r="P609" s="10">
        <v>44218.678136574075</v>
      </c>
      <c r="Q609" s="8"/>
      <c r="R609" s="14" t="s">
        <v>2947</v>
      </c>
      <c r="S609" s="7" t="s">
        <v>2948</v>
      </c>
      <c r="T609" s="8"/>
      <c r="U609" s="11" t="str">
        <f>HYPERLINK("https://pbs.twimg.com/profile_images/1352636729379852289/a9nigYeV.jpg","View")</f>
        <v>View</v>
      </c>
      <c r="V609" s="8"/>
      <c r="W609" s="8"/>
      <c r="X609" s="8"/>
      <c r="Y609" s="8"/>
      <c r="Z609" s="8"/>
    </row>
    <row r="610" spans="1:26" ht="13.2">
      <c r="A610" s="13">
        <v>44250.653842592597</v>
      </c>
      <c r="B610" s="6" t="str">
        <f>HYPERLINK("https://twitter.com/Philip_Paisnel","@Philip_Paisnel")</f>
        <v>@Philip_Paisnel</v>
      </c>
      <c r="C610" s="14" t="s">
        <v>2949</v>
      </c>
      <c r="D610" s="14" t="s">
        <v>2950</v>
      </c>
      <c r="E610" s="6" t="str">
        <f>HYPERLINK("https://twitter.com/Philip_Paisnel/status/1364223875861540869","1364223875861540869")</f>
        <v>1364223875861540869</v>
      </c>
      <c r="F610" s="7" t="s">
        <v>2951</v>
      </c>
      <c r="G610" s="8"/>
      <c r="H610" s="8"/>
      <c r="I610" s="14">
        <v>1</v>
      </c>
      <c r="J610" s="14">
        <v>1</v>
      </c>
      <c r="K610" s="6" t="str">
        <f>HYPERLINK("https://paper.li","Paper.li")</f>
        <v>Paper.li</v>
      </c>
      <c r="L610" s="15">
        <v>3107</v>
      </c>
      <c r="M610" s="15">
        <v>4525</v>
      </c>
      <c r="N610" s="15">
        <v>47</v>
      </c>
      <c r="O610" s="9"/>
      <c r="P610" s="10">
        <v>40871.233587962961</v>
      </c>
      <c r="Q610" s="14" t="s">
        <v>2952</v>
      </c>
      <c r="R610" s="14" t="s">
        <v>2953</v>
      </c>
      <c r="S610" s="7" t="s">
        <v>2954</v>
      </c>
      <c r="T610" s="8"/>
      <c r="U610" s="11" t="str">
        <f>HYPERLINK("https://pbs.twimg.com/profile_images/1359902709823004676/Fe0ph6kf.jpg","View")</f>
        <v>View</v>
      </c>
      <c r="V610" s="8"/>
      <c r="W610" s="8"/>
      <c r="X610" s="8"/>
      <c r="Y610" s="8"/>
      <c r="Z610" s="8"/>
    </row>
    <row r="611" spans="1:26" ht="13.2">
      <c r="A611" s="13">
        <v>44250.653657407413</v>
      </c>
      <c r="B611" s="6" t="str">
        <f>HYPERLINK("https://twitter.com/HarbRimah","@HarbRimah")</f>
        <v>@HarbRimah</v>
      </c>
      <c r="C611" s="14" t="s">
        <v>2837</v>
      </c>
      <c r="D611" s="14" t="s">
        <v>2955</v>
      </c>
      <c r="E611" s="6" t="str">
        <f>HYPERLINK("https://twitter.com/HarbRimah/status/1364223807490117634","1364223807490117634")</f>
        <v>1364223807490117634</v>
      </c>
      <c r="F611" s="7" t="s">
        <v>2956</v>
      </c>
      <c r="G611" s="8"/>
      <c r="H611" s="8"/>
      <c r="I611" s="14">
        <v>22</v>
      </c>
      <c r="J611" s="14">
        <v>9</v>
      </c>
      <c r="K611" s="6" t="str">
        <f t="shared" ref="K611:K616" si="93">HYPERLINK("https://mobile.twitter.com","Twitter Web App")</f>
        <v>Twitter Web App</v>
      </c>
      <c r="L611" s="15">
        <v>8983</v>
      </c>
      <c r="M611" s="15">
        <v>4886</v>
      </c>
      <c r="N611" s="15">
        <v>675</v>
      </c>
      <c r="O611" s="9"/>
      <c r="P611" s="10">
        <v>41198.440601851849</v>
      </c>
      <c r="Q611" s="8"/>
      <c r="R611" s="14" t="s">
        <v>2838</v>
      </c>
      <c r="S611" s="8"/>
      <c r="T611" s="8"/>
      <c r="U611" s="11" t="str">
        <f>HYPERLINK("https://pbs.twimg.com/profile_images/909317895355863040/ls7cAjxm.jpg","View")</f>
        <v>View</v>
      </c>
      <c r="V611" s="8"/>
      <c r="W611" s="8"/>
      <c r="X611" s="8"/>
      <c r="Y611" s="8"/>
      <c r="Z611" s="8"/>
    </row>
    <row r="612" spans="1:26" ht="13.2">
      <c r="A612" s="13">
        <v>44250.653587962966</v>
      </c>
      <c r="B612" s="6" t="str">
        <f>HYPERLINK("https://twitter.com/TheNisargDave","@TheNisargDave")</f>
        <v>@TheNisargDave</v>
      </c>
      <c r="C612" s="14" t="s">
        <v>2957</v>
      </c>
      <c r="D612" s="14" t="s">
        <v>2958</v>
      </c>
      <c r="E612" s="6" t="str">
        <f>HYPERLINK("https://twitter.com/TheNisargDave/status/1364223784367124480","1364223784367124480")</f>
        <v>1364223784367124480</v>
      </c>
      <c r="F612" s="7" t="s">
        <v>2959</v>
      </c>
      <c r="G612" s="8"/>
      <c r="H612" s="8"/>
      <c r="I612" s="14">
        <v>0</v>
      </c>
      <c r="J612" s="14">
        <v>0</v>
      </c>
      <c r="K612" s="6" t="str">
        <f t="shared" si="93"/>
        <v>Twitter Web App</v>
      </c>
      <c r="L612" s="15">
        <v>217</v>
      </c>
      <c r="M612" s="15">
        <v>728</v>
      </c>
      <c r="N612" s="15">
        <v>1</v>
      </c>
      <c r="O612" s="9"/>
      <c r="P612" s="10">
        <v>43350.832453703704</v>
      </c>
      <c r="Q612" s="14" t="s">
        <v>2800</v>
      </c>
      <c r="R612" s="14" t="s">
        <v>2960</v>
      </c>
      <c r="S612" s="7" t="s">
        <v>2961</v>
      </c>
      <c r="T612" s="8"/>
      <c r="U612" s="11" t="str">
        <f>HYPERLINK("https://pbs.twimg.com/profile_images/1276237104318754817/bnKtmrgI.jpg","View")</f>
        <v>View</v>
      </c>
      <c r="V612" s="8"/>
      <c r="W612" s="8"/>
      <c r="X612" s="8"/>
      <c r="Y612" s="8"/>
      <c r="Z612" s="8"/>
    </row>
    <row r="613" spans="1:26" ht="13.2">
      <c r="A613" s="13">
        <v>44250.653541666667</v>
      </c>
      <c r="B613" s="6" t="str">
        <f>HYPERLINK("https://twitter.com/k_anusha7","@k_anusha7")</f>
        <v>@k_anusha7</v>
      </c>
      <c r="C613" s="14" t="s">
        <v>2962</v>
      </c>
      <c r="D613" s="14" t="s">
        <v>2963</v>
      </c>
      <c r="E613" s="6" t="str">
        <f>HYPERLINK("https://twitter.com/k_anusha7/status/1364223765668761606","1364223765668761606")</f>
        <v>1364223765668761606</v>
      </c>
      <c r="F613" s="8"/>
      <c r="G613" s="7" t="s">
        <v>2964</v>
      </c>
      <c r="H613" s="8"/>
      <c r="I613" s="14">
        <v>8</v>
      </c>
      <c r="J613" s="14">
        <v>5</v>
      </c>
      <c r="K613" s="6" t="str">
        <f t="shared" si="93"/>
        <v>Twitter Web App</v>
      </c>
      <c r="L613" s="15">
        <v>1</v>
      </c>
      <c r="M613" s="15">
        <v>2</v>
      </c>
      <c r="N613" s="15">
        <v>0</v>
      </c>
      <c r="O613" s="9"/>
      <c r="P613" s="10">
        <v>44238.789317129631</v>
      </c>
      <c r="Q613" s="8"/>
      <c r="R613" s="8"/>
      <c r="S613" s="8"/>
      <c r="T613" s="8"/>
      <c r="U613" s="11" t="str">
        <f>HYPERLINK("https://pbs.twimg.com/profile_images/1359924745873936384/qFkppl9n.jpg","View")</f>
        <v>View</v>
      </c>
      <c r="V613" s="8"/>
      <c r="W613" s="8"/>
      <c r="X613" s="8"/>
      <c r="Y613" s="8"/>
      <c r="Z613" s="8"/>
    </row>
    <row r="614" spans="1:26" ht="13.2">
      <c r="A614" s="13">
        <v>44250.65347222222</v>
      </c>
      <c r="B614" s="6" t="str">
        <f>HYPERLINK("https://twitter.com/SourabhSKatoch","@SourabhSKatoch")</f>
        <v>@SourabhSKatoch</v>
      </c>
      <c r="C614" s="14" t="s">
        <v>2965</v>
      </c>
      <c r="D614" s="14" t="s">
        <v>2966</v>
      </c>
      <c r="E614" s="6" t="str">
        <f>HYPERLINK("https://twitter.com/SourabhSKatoch/status/1364223739555164162","1364223739555164162")</f>
        <v>1364223739555164162</v>
      </c>
      <c r="F614" s="7" t="s">
        <v>2967</v>
      </c>
      <c r="G614" s="7" t="s">
        <v>2968</v>
      </c>
      <c r="H614" s="8"/>
      <c r="I614" s="14">
        <v>21</v>
      </c>
      <c r="J614" s="14">
        <v>13</v>
      </c>
      <c r="K614" s="6" t="str">
        <f t="shared" si="93"/>
        <v>Twitter Web App</v>
      </c>
      <c r="L614" s="15">
        <v>12277</v>
      </c>
      <c r="M614" s="15">
        <v>11846</v>
      </c>
      <c r="N614" s="15">
        <v>59</v>
      </c>
      <c r="O614" s="9"/>
      <c r="P614" s="10">
        <v>42623.507314814815</v>
      </c>
      <c r="Q614" s="14" t="s">
        <v>2969</v>
      </c>
      <c r="R614" s="14" t="s">
        <v>2970</v>
      </c>
      <c r="S614" s="8"/>
      <c r="T614" s="8"/>
      <c r="U614" s="11" t="str">
        <f>HYPERLINK("https://pbs.twimg.com/profile_images/1250501846709334017/WU0jzEqi.jpg","View")</f>
        <v>View</v>
      </c>
      <c r="V614" s="8"/>
      <c r="W614" s="8"/>
      <c r="X614" s="8"/>
      <c r="Y614" s="8"/>
      <c r="Z614" s="8"/>
    </row>
    <row r="615" spans="1:26" ht="13.2">
      <c r="A615" s="13">
        <v>44250.653240740736</v>
      </c>
      <c r="B615" s="6" t="str">
        <f>HYPERLINK("https://twitter.com/HarbRimah","@HarbRimah")</f>
        <v>@HarbRimah</v>
      </c>
      <c r="C615" s="14" t="s">
        <v>2837</v>
      </c>
      <c r="D615" s="14" t="s">
        <v>2971</v>
      </c>
      <c r="E615" s="6" t="str">
        <f>HYPERLINK("https://twitter.com/HarbRimah/status/1364223656050659337","1364223656050659337")</f>
        <v>1364223656050659337</v>
      </c>
      <c r="F615" s="7" t="s">
        <v>2972</v>
      </c>
      <c r="G615" s="8"/>
      <c r="H615" s="8"/>
      <c r="I615" s="14">
        <v>16</v>
      </c>
      <c r="J615" s="14">
        <v>5</v>
      </c>
      <c r="K615" s="6" t="str">
        <f t="shared" si="93"/>
        <v>Twitter Web App</v>
      </c>
      <c r="L615" s="15">
        <v>8983</v>
      </c>
      <c r="M615" s="15">
        <v>4886</v>
      </c>
      <c r="N615" s="15">
        <v>675</v>
      </c>
      <c r="O615" s="9"/>
      <c r="P615" s="10">
        <v>41198.440601851849</v>
      </c>
      <c r="Q615" s="8"/>
      <c r="R615" s="14" t="s">
        <v>2838</v>
      </c>
      <c r="S615" s="8"/>
      <c r="T615" s="8"/>
      <c r="U615" s="11" t="str">
        <f>HYPERLINK("https://pbs.twimg.com/profile_images/909317895355863040/ls7cAjxm.jpg","View")</f>
        <v>View</v>
      </c>
      <c r="V615" s="8"/>
      <c r="W615" s="8"/>
      <c r="X615" s="8"/>
      <c r="Y615" s="8"/>
      <c r="Z615" s="8"/>
    </row>
    <row r="616" spans="1:26" ht="13.2">
      <c r="A616" s="13">
        <v>44250.652442129634</v>
      </c>
      <c r="B616" s="6" t="str">
        <f>HYPERLINK("https://twitter.com/TheEcoPreneurs","@TheEcoPreneurs")</f>
        <v>@TheEcoPreneurs</v>
      </c>
      <c r="C616" s="14" t="s">
        <v>2973</v>
      </c>
      <c r="D616" s="14" t="s">
        <v>2974</v>
      </c>
      <c r="E616" s="6" t="str">
        <f>HYPERLINK("https://twitter.com/TheEcoPreneurs/status/1364223365666336772","1364223365666336772")</f>
        <v>1364223365666336772</v>
      </c>
      <c r="F616" s="7" t="s">
        <v>2975</v>
      </c>
      <c r="G616" s="7" t="s">
        <v>2976</v>
      </c>
      <c r="H616" s="8"/>
      <c r="I616" s="14">
        <v>6</v>
      </c>
      <c r="J616" s="14">
        <v>6</v>
      </c>
      <c r="K616" s="6" t="str">
        <f t="shared" si="93"/>
        <v>Twitter Web App</v>
      </c>
      <c r="L616" s="15">
        <v>109</v>
      </c>
      <c r="M616" s="15">
        <v>11</v>
      </c>
      <c r="N616" s="15">
        <v>1</v>
      </c>
      <c r="O616" s="9"/>
      <c r="P616" s="10">
        <v>41969.313090277778</v>
      </c>
      <c r="Q616" s="14" t="s">
        <v>2977</v>
      </c>
      <c r="R616" s="14" t="s">
        <v>2978</v>
      </c>
      <c r="S616" s="7" t="s">
        <v>2979</v>
      </c>
      <c r="T616" s="8"/>
      <c r="U616" s="11" t="str">
        <f>HYPERLINK("https://pbs.twimg.com/profile_images/574247870347415552/mdFe5izN.png","View")</f>
        <v>View</v>
      </c>
      <c r="V616" s="8"/>
      <c r="W616" s="8"/>
      <c r="X616" s="8"/>
      <c r="Y616" s="8"/>
      <c r="Z616" s="8"/>
    </row>
    <row r="617" spans="1:26" ht="13.2">
      <c r="A617" s="13">
        <v>44250.65215277778</v>
      </c>
      <c r="B617" s="6" t="str">
        <f>HYPERLINK("https://twitter.com/philiprang","@philiprang")</f>
        <v>@philiprang</v>
      </c>
      <c r="C617" s="14" t="s">
        <v>2980</v>
      </c>
      <c r="D617" s="14" t="s">
        <v>1180</v>
      </c>
      <c r="E617" s="6" t="str">
        <f>HYPERLINK("https://twitter.com/philiprang/status/1364223262461337609","1364223262461337609")</f>
        <v>1364223262461337609</v>
      </c>
      <c r="F617" s="7" t="s">
        <v>2981</v>
      </c>
      <c r="G617" s="7" t="s">
        <v>2982</v>
      </c>
      <c r="H617" s="8"/>
      <c r="I617" s="14">
        <v>2</v>
      </c>
      <c r="J617" s="14">
        <v>1</v>
      </c>
      <c r="K617" s="6" t="str">
        <f>HYPERLINK("http://dynamicsignal.com/","Dynamic Signal")</f>
        <v>Dynamic Signal</v>
      </c>
      <c r="L617" s="15">
        <v>705</v>
      </c>
      <c r="M617" s="15">
        <v>2757</v>
      </c>
      <c r="N617" s="15">
        <v>78</v>
      </c>
      <c r="O617" s="9"/>
      <c r="P617" s="10">
        <v>39750.64916666667</v>
      </c>
      <c r="Q617" s="8"/>
      <c r="R617" s="14" t="s">
        <v>2983</v>
      </c>
      <c r="S617" s="8"/>
      <c r="T617" s="8"/>
      <c r="U617" s="11" t="str">
        <f>HYPERLINK("https://pbs.twimg.com/profile_images/118073293/phil_out.JPG","View")</f>
        <v>View</v>
      </c>
      <c r="V617" s="8"/>
      <c r="W617" s="8"/>
      <c r="X617" s="8"/>
      <c r="Y617" s="8"/>
      <c r="Z617" s="8"/>
    </row>
    <row r="618" spans="1:26" ht="13.2">
      <c r="A618" s="13">
        <v>44250.651689814811</v>
      </c>
      <c r="B618" s="6" t="str">
        <f>HYPERLINK("https://twitter.com/HITLABnyc","@HITLABnyc")</f>
        <v>@HITLABnyc</v>
      </c>
      <c r="C618" s="14" t="s">
        <v>2984</v>
      </c>
      <c r="D618" s="14" t="s">
        <v>2985</v>
      </c>
      <c r="E618" s="6" t="str">
        <f>HYPERLINK("https://twitter.com/HITLABnyc/status/1364223096312446976","1364223096312446976")</f>
        <v>1364223096312446976</v>
      </c>
      <c r="F618" s="7" t="s">
        <v>2986</v>
      </c>
      <c r="G618" s="8"/>
      <c r="H618" s="8"/>
      <c r="I618" s="14">
        <v>0</v>
      </c>
      <c r="J618" s="14">
        <v>1</v>
      </c>
      <c r="K618" s="6" t="str">
        <f>HYPERLINK("https://mobile.twitter.com","Twitter Web App")</f>
        <v>Twitter Web App</v>
      </c>
      <c r="L618" s="15">
        <v>3784</v>
      </c>
      <c r="M618" s="15">
        <v>3749</v>
      </c>
      <c r="N618" s="15">
        <v>327</v>
      </c>
      <c r="O618" s="9"/>
      <c r="P618" s="10">
        <v>40361.946331018517</v>
      </c>
      <c r="Q618" s="14" t="s">
        <v>215</v>
      </c>
      <c r="R618" s="14" t="s">
        <v>2987</v>
      </c>
      <c r="S618" s="7" t="s">
        <v>2988</v>
      </c>
      <c r="T618" s="8"/>
      <c r="U618" s="11" t="str">
        <f>HYPERLINK("https://pbs.twimg.com/profile_images/1258836017353654273/be8KZSQt.jpg","View")</f>
        <v>View</v>
      </c>
      <c r="V618" s="8"/>
      <c r="W618" s="8"/>
      <c r="X618" s="8"/>
      <c r="Y618" s="8"/>
      <c r="Z618" s="8"/>
    </row>
    <row r="619" spans="1:26" ht="13.2">
      <c r="A619" s="13">
        <v>44250.651689814811</v>
      </c>
      <c r="B619" s="6" t="str">
        <f>HYPERLINK("https://twitter.com/reliyant","@reliyant")</f>
        <v>@reliyant</v>
      </c>
      <c r="C619" s="14" t="s">
        <v>2989</v>
      </c>
      <c r="D619" s="14" t="s">
        <v>2990</v>
      </c>
      <c r="E619" s="6" t="str">
        <f>HYPERLINK("https://twitter.com/reliyant/status/1364223094710284290","1364223094710284290")</f>
        <v>1364223094710284290</v>
      </c>
      <c r="F619" s="7" t="s">
        <v>2991</v>
      </c>
      <c r="G619" s="8"/>
      <c r="H619" s="8"/>
      <c r="I619" s="14">
        <v>1</v>
      </c>
      <c r="J619" s="14">
        <v>0</v>
      </c>
      <c r="K619" s="6" t="str">
        <f>HYPERLINK("https://www.hootsuite.com","Hootsuite Inc.")</f>
        <v>Hootsuite Inc.</v>
      </c>
      <c r="L619" s="15">
        <v>107</v>
      </c>
      <c r="M619" s="15">
        <v>78</v>
      </c>
      <c r="N619" s="15">
        <v>1</v>
      </c>
      <c r="O619" s="9"/>
      <c r="P619" s="10">
        <v>43355.560173611113</v>
      </c>
      <c r="Q619" s="8"/>
      <c r="R619" s="14" t="s">
        <v>2992</v>
      </c>
      <c r="S619" s="8"/>
      <c r="T619" s="8"/>
      <c r="U619" s="11" t="str">
        <f>HYPERLINK("https://pbs.twimg.com/profile_images/1040214787815342080/O1xcX-g2.jpg","View")</f>
        <v>View</v>
      </c>
      <c r="V619" s="8"/>
      <c r="W619" s="8"/>
      <c r="X619" s="8"/>
      <c r="Y619" s="8"/>
      <c r="Z619" s="8"/>
    </row>
    <row r="620" spans="1:26" ht="13.2">
      <c r="A620" s="13">
        <v>44250.651412037041</v>
      </c>
      <c r="B620" s="6" t="str">
        <f>HYPERLINK("https://twitter.com/VicenteGilPalop","@VicenteGilPalop")</f>
        <v>@VicenteGilPalop</v>
      </c>
      <c r="C620" s="14" t="s">
        <v>2993</v>
      </c>
      <c r="D620" s="14" t="s">
        <v>2994</v>
      </c>
      <c r="E620" s="6" t="str">
        <f>HYPERLINK("https://twitter.com/VicenteGilPalop/status/1364222994369966080","1364222994369966080")</f>
        <v>1364222994369966080</v>
      </c>
      <c r="F620" s="7" t="s">
        <v>2995</v>
      </c>
      <c r="G620" s="7" t="s">
        <v>2996</v>
      </c>
      <c r="H620" s="8"/>
      <c r="I620" s="14">
        <v>0</v>
      </c>
      <c r="J620" s="14">
        <v>0</v>
      </c>
      <c r="K620" s="6" t="str">
        <f>HYPERLINK("https://buffer.com","Buffer")</f>
        <v>Buffer</v>
      </c>
      <c r="L620" s="15">
        <v>1236</v>
      </c>
      <c r="M620" s="15">
        <v>446</v>
      </c>
      <c r="N620" s="15">
        <v>34</v>
      </c>
      <c r="O620" s="9"/>
      <c r="P620" s="10">
        <v>41938.757337962961</v>
      </c>
      <c r="Q620" s="8"/>
      <c r="R620" s="14" t="s">
        <v>2997</v>
      </c>
      <c r="S620" s="7" t="s">
        <v>2998</v>
      </c>
      <c r="T620" s="8"/>
      <c r="U620" s="11" t="str">
        <f>HYPERLINK("https://pbs.twimg.com/profile_images/1197120524784144384/JSObV2ye.jpg","View")</f>
        <v>View</v>
      </c>
      <c r="V620" s="8"/>
      <c r="W620" s="8"/>
      <c r="X620" s="8"/>
      <c r="Y620" s="8"/>
      <c r="Z620" s="8"/>
    </row>
    <row r="621" spans="1:26" ht="13.2">
      <c r="A621" s="13">
        <v>44250.651388888888</v>
      </c>
      <c r="B621" s="6" t="str">
        <f>HYPERLINK("https://twitter.com/AKM_Intisar","@AKM_Intisar")</f>
        <v>@AKM_Intisar</v>
      </c>
      <c r="C621" s="14" t="s">
        <v>1409</v>
      </c>
      <c r="D621" s="14" t="s">
        <v>2999</v>
      </c>
      <c r="E621" s="6" t="str">
        <f>HYPERLINK("https://twitter.com/AKM_Intisar/status/1364222984840384515","1364222984840384515")</f>
        <v>1364222984840384515</v>
      </c>
      <c r="F621" s="8"/>
      <c r="G621" s="8"/>
      <c r="H621" s="8"/>
      <c r="I621" s="14">
        <v>14</v>
      </c>
      <c r="J621" s="14">
        <v>9</v>
      </c>
      <c r="K621" s="6" t="str">
        <f t="shared" ref="K621:K623" si="94">HYPERLINK("https://mobile.twitter.com","Twitter Web App")</f>
        <v>Twitter Web App</v>
      </c>
      <c r="L621" s="15">
        <v>656</v>
      </c>
      <c r="M621" s="15">
        <v>3183</v>
      </c>
      <c r="N621" s="15">
        <v>1</v>
      </c>
      <c r="O621" s="9"/>
      <c r="P621" s="10">
        <v>40237.325590277775</v>
      </c>
      <c r="Q621" s="14" t="s">
        <v>1411</v>
      </c>
      <c r="R621" s="14" t="s">
        <v>1412</v>
      </c>
      <c r="S621" s="7" t="s">
        <v>1223</v>
      </c>
      <c r="T621" s="8"/>
      <c r="U621" s="11" t="str">
        <f>HYPERLINK("https://pbs.twimg.com/profile_images/1340328446858170369/PHJ_TWVH.jpg","View")</f>
        <v>View</v>
      </c>
      <c r="V621" s="8"/>
      <c r="W621" s="8"/>
      <c r="X621" s="8"/>
      <c r="Y621" s="8"/>
      <c r="Z621" s="8"/>
    </row>
    <row r="622" spans="1:26" ht="13.2">
      <c r="A622" s="13">
        <v>44250.650752314818</v>
      </c>
      <c r="B622" s="6" t="str">
        <f>HYPERLINK("https://twitter.com/GlobalFloodNews","@GlobalFloodNews")</f>
        <v>@GlobalFloodNews</v>
      </c>
      <c r="C622" s="14" t="s">
        <v>3000</v>
      </c>
      <c r="D622" s="14" t="s">
        <v>3001</v>
      </c>
      <c r="E622" s="6" t="str">
        <f>HYPERLINK("https://twitter.com/GlobalFloodNews/status/1364222754392707079","1364222754392707079")</f>
        <v>1364222754392707079</v>
      </c>
      <c r="F622" s="8"/>
      <c r="G622" s="7" t="s">
        <v>3002</v>
      </c>
      <c r="H622" s="8"/>
      <c r="I622" s="14">
        <v>2</v>
      </c>
      <c r="J622" s="14">
        <v>3</v>
      </c>
      <c r="K622" s="6" t="str">
        <f t="shared" si="94"/>
        <v>Twitter Web App</v>
      </c>
      <c r="L622" s="15">
        <v>1324</v>
      </c>
      <c r="M622" s="15">
        <v>309</v>
      </c>
      <c r="N622" s="15">
        <v>79</v>
      </c>
      <c r="O622" s="9"/>
      <c r="P622" s="10">
        <v>41446.599907407406</v>
      </c>
      <c r="Q622" s="14" t="s">
        <v>3003</v>
      </c>
      <c r="R622" s="14" t="s">
        <v>3004</v>
      </c>
      <c r="S622" s="7" t="s">
        <v>3005</v>
      </c>
      <c r="T622" s="8"/>
      <c r="U622" s="11" t="str">
        <f>HYPERLINK("https://pbs.twimg.com/profile_images/378800000139025862/fba2c4be03a7e8f6f403939922ae5500.jpeg","View")</f>
        <v>View</v>
      </c>
      <c r="V622" s="8"/>
      <c r="W622" s="8"/>
      <c r="X622" s="8"/>
      <c r="Y622" s="8"/>
      <c r="Z622" s="8"/>
    </row>
    <row r="623" spans="1:26" ht="13.2">
      <c r="A623" s="13">
        <v>44250.650694444441</v>
      </c>
      <c r="B623" s="6" t="str">
        <f>HYPERLINK("https://twitter.com/SKlausDev","@SKlausDev")</f>
        <v>@SKlausDev</v>
      </c>
      <c r="C623" s="14" t="s">
        <v>1404</v>
      </c>
      <c r="D623" s="14" t="s">
        <v>3006</v>
      </c>
      <c r="E623" s="6" t="str">
        <f>HYPERLINK("https://twitter.com/SKlausDev/status/1364222733165367297","1364222733165367297")</f>
        <v>1364222733165367297</v>
      </c>
      <c r="F623" s="7" t="s">
        <v>3007</v>
      </c>
      <c r="G623" s="8"/>
      <c r="H623" s="8"/>
      <c r="I623" s="14">
        <v>1</v>
      </c>
      <c r="J623" s="14">
        <v>1</v>
      </c>
      <c r="K623" s="6" t="str">
        <f t="shared" si="94"/>
        <v>Twitter Web App</v>
      </c>
      <c r="L623" s="15">
        <v>1288</v>
      </c>
      <c r="M623" s="15">
        <v>910</v>
      </c>
      <c r="N623" s="15">
        <v>505</v>
      </c>
      <c r="O623" s="9"/>
      <c r="P623" s="10">
        <v>42492.59207175926</v>
      </c>
      <c r="Q623" s="14" t="s">
        <v>1407</v>
      </c>
      <c r="R623" s="14" t="s">
        <v>1408</v>
      </c>
      <c r="S623" s="8"/>
      <c r="T623" s="8"/>
      <c r="U623" s="11" t="str">
        <f>HYPERLINK("https://pbs.twimg.com/profile_images/727109083283726336/pMHGSHGB.jpg","View")</f>
        <v>View</v>
      </c>
      <c r="V623" s="8"/>
      <c r="W623" s="8"/>
      <c r="X623" s="8"/>
      <c r="Y623" s="8"/>
      <c r="Z623" s="8"/>
    </row>
    <row r="624" spans="1:26" ht="13.2">
      <c r="A624" s="13">
        <v>44250.650555555556</v>
      </c>
      <c r="B624" s="6" t="str">
        <f>HYPERLINK("https://twitter.com/KyleGibbs44","@KyleGibbs44")</f>
        <v>@KyleGibbs44</v>
      </c>
      <c r="C624" s="14" t="s">
        <v>3008</v>
      </c>
      <c r="D624" s="14" t="s">
        <v>3009</v>
      </c>
      <c r="E624" s="6" t="str">
        <f>HYPERLINK("https://twitter.com/KyleGibbs44/status/1364222682103828485","1364222682103828485")</f>
        <v>1364222682103828485</v>
      </c>
      <c r="F624" s="7" t="s">
        <v>3010</v>
      </c>
      <c r="G624" s="8"/>
      <c r="H624" s="8"/>
      <c r="I624" s="14">
        <v>1</v>
      </c>
      <c r="J624" s="14">
        <v>1</v>
      </c>
      <c r="K624" s="6" t="str">
        <f>HYPERLINK("http://www.linkedin.com/","LinkedIn")</f>
        <v>LinkedIn</v>
      </c>
      <c r="L624" s="15">
        <v>358</v>
      </c>
      <c r="M624" s="15">
        <v>718</v>
      </c>
      <c r="N624" s="15">
        <v>26</v>
      </c>
      <c r="O624" s="9"/>
      <c r="P624" s="10">
        <v>40591.702013888891</v>
      </c>
      <c r="Q624" s="14" t="s">
        <v>599</v>
      </c>
      <c r="R624" s="14" t="s">
        <v>3011</v>
      </c>
      <c r="S624" s="8"/>
      <c r="T624" s="8"/>
      <c r="U624" s="11" t="str">
        <f>HYPERLINK("https://pbs.twimg.com/profile_images/1577158782/eng-paris_july_08_263.jpg","View")</f>
        <v>View</v>
      </c>
      <c r="V624" s="8"/>
      <c r="W624" s="8"/>
      <c r="X624" s="8"/>
      <c r="Y624" s="8"/>
      <c r="Z624" s="8"/>
    </row>
    <row r="625" spans="1:26" ht="13.2">
      <c r="A625" s="13">
        <v>44250.65042824074</v>
      </c>
      <c r="B625" s="6" t="str">
        <f>HYPERLINK("https://twitter.com/ThirdEyeMedia_","@ThirdEyeMedia_")</f>
        <v>@ThirdEyeMedia_</v>
      </c>
      <c r="C625" s="14" t="s">
        <v>3012</v>
      </c>
      <c r="D625" s="14" t="s">
        <v>3013</v>
      </c>
      <c r="E625" s="6" t="str">
        <f>HYPERLINK("https://twitter.com/ThirdEyeMedia_/status/1364222635719020554","1364222635719020554")</f>
        <v>1364222635719020554</v>
      </c>
      <c r="F625" s="7" t="s">
        <v>3014</v>
      </c>
      <c r="G625" s="8"/>
      <c r="H625" s="8"/>
      <c r="I625" s="14">
        <v>1</v>
      </c>
      <c r="J625" s="14">
        <v>1</v>
      </c>
      <c r="K625" s="6" t="str">
        <f>HYPERLINK("http://twitter.com/download/iphone","Twitter for iPhone")</f>
        <v>Twitter for iPhone</v>
      </c>
      <c r="L625" s="15">
        <v>492</v>
      </c>
      <c r="M625" s="15">
        <v>1322</v>
      </c>
      <c r="N625" s="15">
        <v>68</v>
      </c>
      <c r="O625" s="9"/>
      <c r="P625" s="10">
        <v>42660.817557870367</v>
      </c>
      <c r="Q625" s="14" t="s">
        <v>3015</v>
      </c>
      <c r="R625" s="14" t="s">
        <v>3016</v>
      </c>
      <c r="S625" s="7" t="s">
        <v>3017</v>
      </c>
      <c r="T625" s="8"/>
      <c r="U625" s="11" t="str">
        <f>HYPERLINK("https://pbs.twimg.com/profile_images/1356656691530633220/ZUTW8SNf.jpg","View")</f>
        <v>View</v>
      </c>
      <c r="V625" s="8"/>
      <c r="W625" s="8"/>
      <c r="X625" s="8"/>
      <c r="Y625" s="8"/>
      <c r="Z625" s="8"/>
    </row>
    <row r="626" spans="1:26" ht="13.2">
      <c r="A626" s="13">
        <v>44250.649305555555</v>
      </c>
      <c r="B626" s="6" t="str">
        <f>HYPERLINK("https://twitter.com/Data_4_People","@Data_4_People")</f>
        <v>@Data_4_People</v>
      </c>
      <c r="C626" s="14" t="s">
        <v>3018</v>
      </c>
      <c r="D626" s="14" t="s">
        <v>2659</v>
      </c>
      <c r="E626" s="6" t="str">
        <f>HYPERLINK("https://twitter.com/Data_4_People/status/1364222229584642057","1364222229584642057")</f>
        <v>1364222229584642057</v>
      </c>
      <c r="F626" s="7" t="s">
        <v>2660</v>
      </c>
      <c r="G626" s="8"/>
      <c r="H626" s="8"/>
      <c r="I626" s="14">
        <v>2</v>
      </c>
      <c r="J626" s="14">
        <v>1</v>
      </c>
      <c r="K626" s="6" t="str">
        <f>HYPERLINK("https://social.zoho.com","Zoho Social")</f>
        <v>Zoho Social</v>
      </c>
      <c r="L626" s="15">
        <v>270</v>
      </c>
      <c r="M626" s="15">
        <v>881</v>
      </c>
      <c r="N626" s="15">
        <v>2</v>
      </c>
      <c r="O626" s="9"/>
      <c r="P626" s="10">
        <v>43354.771331018521</v>
      </c>
      <c r="Q626" s="14" t="s">
        <v>2661</v>
      </c>
      <c r="R626" s="14" t="s">
        <v>3019</v>
      </c>
      <c r="S626" s="7" t="s">
        <v>2663</v>
      </c>
      <c r="T626" s="8"/>
      <c r="U626" s="11" t="str">
        <f>HYPERLINK("https://pbs.twimg.com/profile_images/1040422465506295808/4j5vdpz0.jpg","View")</f>
        <v>View</v>
      </c>
      <c r="V626" s="8"/>
      <c r="W626" s="8"/>
      <c r="X626" s="8"/>
      <c r="Y626" s="8"/>
      <c r="Z626" s="8"/>
    </row>
    <row r="627" spans="1:26" ht="13.2">
      <c r="A627" s="13">
        <v>44250.64875</v>
      </c>
      <c r="B627" s="6" t="str">
        <f>HYPERLINK("https://twitter.com/TFI_Canada","@TFI_Canada")</f>
        <v>@TFI_Canada</v>
      </c>
      <c r="C627" s="14" t="s">
        <v>3020</v>
      </c>
      <c r="D627" s="14" t="s">
        <v>3021</v>
      </c>
      <c r="E627" s="6" t="str">
        <f>HYPERLINK("https://twitter.com/TFI_Canada/status/1364222027519971333","1364222027519971333")</f>
        <v>1364222027519971333</v>
      </c>
      <c r="F627" s="7" t="s">
        <v>3022</v>
      </c>
      <c r="G627" s="8"/>
      <c r="H627" s="8"/>
      <c r="I627" s="14">
        <v>1</v>
      </c>
      <c r="J627" s="14">
        <v>1</v>
      </c>
      <c r="K627" s="6" t="str">
        <f>HYPERLINK("https://mobile.twitter.com","Twitter Web App")</f>
        <v>Twitter Web App</v>
      </c>
      <c r="L627" s="15">
        <v>1743</v>
      </c>
      <c r="M627" s="15">
        <v>742</v>
      </c>
      <c r="N627" s="15">
        <v>94</v>
      </c>
      <c r="O627" s="9"/>
      <c r="P627" s="10">
        <v>41136.853356481479</v>
      </c>
      <c r="Q627" s="14" t="s">
        <v>1505</v>
      </c>
      <c r="R627" s="14" t="s">
        <v>3023</v>
      </c>
      <c r="S627" s="7" t="s">
        <v>3024</v>
      </c>
      <c r="T627" s="8"/>
      <c r="U627" s="11" t="str">
        <f>HYPERLINK("https://pbs.twimg.com/profile_images/1111677110513528833/ZkOIcKkP.png","View")</f>
        <v>View</v>
      </c>
      <c r="V627" s="8"/>
      <c r="W627" s="8"/>
      <c r="X627" s="8"/>
      <c r="Y627" s="8"/>
      <c r="Z627" s="8"/>
    </row>
    <row r="628" spans="1:26" ht="13.2">
      <c r="A628" s="13">
        <v>44250.648148148146</v>
      </c>
      <c r="B628" s="6" t="str">
        <f>HYPERLINK("https://twitter.com/KakaniKatija","@KakaniKatija")</f>
        <v>@KakaniKatija</v>
      </c>
      <c r="C628" s="14" t="s">
        <v>3025</v>
      </c>
      <c r="D628" s="14" t="s">
        <v>3026</v>
      </c>
      <c r="E628" s="6" t="str">
        <f>HYPERLINK("https://twitter.com/KakaniKatija/status/1364221809994817545","1364221809994817545")</f>
        <v>1364221809994817545</v>
      </c>
      <c r="F628" s="7" t="s">
        <v>3027</v>
      </c>
      <c r="G628" s="8"/>
      <c r="H628" s="8"/>
      <c r="I628" s="14">
        <v>8</v>
      </c>
      <c r="J628" s="14">
        <v>12</v>
      </c>
      <c r="K628" s="6" t="str">
        <f t="shared" ref="K628:K629" si="95">HYPERLINK("http://twitter.com/download/iphone","Twitter for iPhone")</f>
        <v>Twitter for iPhone</v>
      </c>
      <c r="L628" s="15">
        <v>4595</v>
      </c>
      <c r="M628" s="15">
        <v>703</v>
      </c>
      <c r="N628" s="15">
        <v>51</v>
      </c>
      <c r="O628" s="9"/>
      <c r="P628" s="10">
        <v>40719.848935185189</v>
      </c>
      <c r="Q628" s="14" t="s">
        <v>3028</v>
      </c>
      <c r="R628" s="14" t="s">
        <v>3029</v>
      </c>
      <c r="S628" s="7" t="s">
        <v>3030</v>
      </c>
      <c r="T628" s="8"/>
      <c r="U628" s="11" t="str">
        <f>HYPERLINK("https://pbs.twimg.com/profile_images/499991724521832448/tAkWR94U.jpeg","View")</f>
        <v>View</v>
      </c>
      <c r="V628" s="8"/>
      <c r="W628" s="8"/>
      <c r="X628" s="8"/>
      <c r="Y628" s="8"/>
      <c r="Z628" s="8"/>
    </row>
    <row r="629" spans="1:26" ht="13.2">
      <c r="A629" s="13">
        <v>44250.647789351853</v>
      </c>
      <c r="B629" s="6" t="str">
        <f>HYPERLINK("https://twitter.com/wissenakademie","@wissenakademie")</f>
        <v>@wissenakademie</v>
      </c>
      <c r="C629" s="14" t="s">
        <v>3031</v>
      </c>
      <c r="D629" s="14" t="s">
        <v>3032</v>
      </c>
      <c r="E629" s="6" t="str">
        <f>HYPERLINK("https://twitter.com/wissenakademie/status/1364221681183518727","1364221681183518727")</f>
        <v>1364221681183518727</v>
      </c>
      <c r="F629" s="8"/>
      <c r="G629" s="7" t="s">
        <v>3033</v>
      </c>
      <c r="H629" s="8"/>
      <c r="I629" s="14">
        <v>1</v>
      </c>
      <c r="J629" s="14">
        <v>0</v>
      </c>
      <c r="K629" s="6" t="str">
        <f t="shared" si="95"/>
        <v>Twitter for iPhone</v>
      </c>
      <c r="L629" s="15">
        <v>1450</v>
      </c>
      <c r="M629" s="15">
        <v>20</v>
      </c>
      <c r="N629" s="15">
        <v>12</v>
      </c>
      <c r="O629" s="9"/>
      <c r="P629" s="10">
        <v>40522.513692129629</v>
      </c>
      <c r="Q629" s="14" t="s">
        <v>3034</v>
      </c>
      <c r="R629" s="14" t="s">
        <v>3035</v>
      </c>
      <c r="S629" s="7" t="s">
        <v>3036</v>
      </c>
      <c r="T629" s="8"/>
      <c r="U629" s="11" t="str">
        <f>HYPERLINK("https://pbs.twimg.com/profile_images/1272872741843226624/W0wdKtWv.jpg","View")</f>
        <v>View</v>
      </c>
      <c r="V629" s="8"/>
      <c r="W629" s="8"/>
      <c r="X629" s="8"/>
      <c r="Y629" s="8"/>
      <c r="Z629" s="8"/>
    </row>
    <row r="630" spans="1:26" ht="13.2">
      <c r="A630" s="13">
        <v>44250.646851851852</v>
      </c>
      <c r="B630" s="6" t="str">
        <f>HYPERLINK("https://twitter.com/DiegoNogare","@DiegoNogare")</f>
        <v>@DiegoNogare</v>
      </c>
      <c r="C630" s="14" t="s">
        <v>3037</v>
      </c>
      <c r="D630" s="14" t="s">
        <v>3038</v>
      </c>
      <c r="E630" s="6" t="str">
        <f>HYPERLINK("https://twitter.com/DiegoNogare/status/1364221341000327188","1364221341000327188")</f>
        <v>1364221341000327188</v>
      </c>
      <c r="F630" s="8"/>
      <c r="G630" s="7" t="s">
        <v>3039</v>
      </c>
      <c r="H630" s="8"/>
      <c r="I630" s="14">
        <v>3</v>
      </c>
      <c r="J630" s="14">
        <v>11</v>
      </c>
      <c r="K630" s="6" t="str">
        <f t="shared" ref="K630:K631" si="96">HYPERLINK("https://mobile.twitter.com","Twitter Web App")</f>
        <v>Twitter Web App</v>
      </c>
      <c r="L630" s="15">
        <v>3833</v>
      </c>
      <c r="M630" s="15">
        <v>681</v>
      </c>
      <c r="N630" s="15">
        <v>174</v>
      </c>
      <c r="O630" s="9"/>
      <c r="P630" s="10">
        <v>39987.064305555556</v>
      </c>
      <c r="Q630" s="14" t="s">
        <v>3040</v>
      </c>
      <c r="R630" s="14" t="s">
        <v>3041</v>
      </c>
      <c r="S630" s="7" t="s">
        <v>3042</v>
      </c>
      <c r="T630" s="8"/>
      <c r="U630" s="11" t="str">
        <f>HYPERLINK("https://pbs.twimg.com/profile_images/1277653184455094273/nxGoGgtm.jpg","View")</f>
        <v>View</v>
      </c>
      <c r="V630" s="8"/>
      <c r="W630" s="8"/>
      <c r="X630" s="8"/>
      <c r="Y630" s="8"/>
      <c r="Z630" s="8"/>
    </row>
    <row r="631" spans="1:26" ht="13.2">
      <c r="A631" s="13">
        <v>44250.645949074074</v>
      </c>
      <c r="B631" s="6" t="str">
        <f>HYPERLINK("https://twitter.com/derivedfromdata","@derivedfromdata")</f>
        <v>@derivedfromdata</v>
      </c>
      <c r="C631" s="14" t="s">
        <v>2091</v>
      </c>
      <c r="D631" s="14" t="s">
        <v>3043</v>
      </c>
      <c r="E631" s="6" t="str">
        <f>HYPERLINK("https://twitter.com/derivedfromdata/status/1364221016126476288","1364221016126476288")</f>
        <v>1364221016126476288</v>
      </c>
      <c r="F631" s="7" t="s">
        <v>3044</v>
      </c>
      <c r="G631" s="7" t="s">
        <v>3045</v>
      </c>
      <c r="H631" s="8"/>
      <c r="I631" s="14">
        <v>0</v>
      </c>
      <c r="J631" s="14">
        <v>0</v>
      </c>
      <c r="K631" s="6" t="str">
        <f t="shared" si="96"/>
        <v>Twitter Web App</v>
      </c>
      <c r="L631" s="15">
        <v>227</v>
      </c>
      <c r="M631" s="15">
        <v>233</v>
      </c>
      <c r="N631" s="15">
        <v>10</v>
      </c>
      <c r="O631" s="9"/>
      <c r="P631" s="10">
        <v>43939.131342592591</v>
      </c>
      <c r="Q631" s="8"/>
      <c r="R631" s="14" t="s">
        <v>2095</v>
      </c>
      <c r="S631" s="7" t="s">
        <v>2096</v>
      </c>
      <c r="T631" s="8"/>
      <c r="U631" s="11" t="str">
        <f>HYPERLINK("https://pbs.twimg.com/profile_images/1277710688958525442/1KDd8mtL.jpg","View")</f>
        <v>View</v>
      </c>
      <c r="V631" s="8"/>
      <c r="W631" s="8"/>
      <c r="X631" s="8"/>
      <c r="Y631" s="8"/>
      <c r="Z631" s="8"/>
    </row>
    <row r="632" spans="1:26" ht="13.2">
      <c r="A632" s="13">
        <v>44250.645856481482</v>
      </c>
      <c r="B632" s="6" t="str">
        <f>HYPERLINK("https://twitter.com/LaForge_AI","@LaForge_AI")</f>
        <v>@LaForge_AI</v>
      </c>
      <c r="C632" s="14" t="s">
        <v>102</v>
      </c>
      <c r="D632" s="14" t="s">
        <v>3046</v>
      </c>
      <c r="E632" s="6" t="str">
        <f>HYPERLINK("https://twitter.com/LaForge_AI/status/1364220981569458181","1364220981569458181")</f>
        <v>1364220981569458181</v>
      </c>
      <c r="F632" s="7" t="s">
        <v>2603</v>
      </c>
      <c r="G632" s="7" t="s">
        <v>3047</v>
      </c>
      <c r="H632" s="8"/>
      <c r="I632" s="14">
        <v>4</v>
      </c>
      <c r="J632" s="14">
        <v>4</v>
      </c>
      <c r="K632" s="6" t="str">
        <f>HYPERLINK("https://www.la-forge.ai","Rss2Twitter for La Forge")</f>
        <v>Rss2Twitter for La Forge</v>
      </c>
      <c r="L632" s="15">
        <v>9854</v>
      </c>
      <c r="M632" s="15">
        <v>10507</v>
      </c>
      <c r="N632" s="15">
        <v>126</v>
      </c>
      <c r="O632" s="9"/>
      <c r="P632" s="10">
        <v>43660.755891203706</v>
      </c>
      <c r="Q632" s="14" t="s">
        <v>106</v>
      </c>
      <c r="R632" s="14" t="s">
        <v>107</v>
      </c>
      <c r="S632" s="7" t="s">
        <v>108</v>
      </c>
      <c r="T632" s="8"/>
      <c r="U632" s="11" t="str">
        <f>HYPERLINK("https://pbs.twimg.com/profile_images/1261961910020423681/fC-WUmbt.jpg","View")</f>
        <v>View</v>
      </c>
      <c r="V632" s="8"/>
      <c r="W632" s="8"/>
      <c r="X632" s="8"/>
      <c r="Y632" s="8"/>
      <c r="Z632" s="8"/>
    </row>
    <row r="633" spans="1:26" ht="13.2">
      <c r="A633" s="13">
        <v>44250.645833333328</v>
      </c>
      <c r="B633" s="6" t="str">
        <f>HYPERLINK("https://twitter.com/Bukmedianet1","@Bukmedianet1")</f>
        <v>@Bukmedianet1</v>
      </c>
      <c r="C633" s="14" t="s">
        <v>3048</v>
      </c>
      <c r="D633" s="14" t="s">
        <v>3049</v>
      </c>
      <c r="E633" s="6" t="str">
        <f>HYPERLINK("https://twitter.com/Bukmedianet1/status/1364220973990375424","1364220973990375424")</f>
        <v>1364220973990375424</v>
      </c>
      <c r="F633" s="7" t="s">
        <v>3050</v>
      </c>
      <c r="G633" s="8"/>
      <c r="H633" s="8"/>
      <c r="I633" s="14">
        <v>11</v>
      </c>
      <c r="J633" s="14">
        <v>6</v>
      </c>
      <c r="K633" s="6" t="str">
        <f t="shared" ref="K633:K635" si="97">HYPERLINK("https://about.twitter.com/products/tweetdeck","TweetDeck")</f>
        <v>TweetDeck</v>
      </c>
      <c r="L633" s="15">
        <v>88</v>
      </c>
      <c r="M633" s="15">
        <v>0</v>
      </c>
      <c r="N633" s="15">
        <v>4</v>
      </c>
      <c r="O633" s="9"/>
      <c r="P633" s="10">
        <v>43880.605243055557</v>
      </c>
      <c r="Q633" s="8"/>
      <c r="R633" s="8"/>
      <c r="S633" s="8"/>
      <c r="T633" s="8"/>
      <c r="U633" s="11" t="str">
        <f>HYPERLINK("https://pbs.twimg.com/profile_images/1230123219446689793/fuRvDRX2.jpg","View")</f>
        <v>View</v>
      </c>
      <c r="V633" s="8"/>
      <c r="W633" s="8"/>
      <c r="X633" s="8"/>
      <c r="Y633" s="8"/>
      <c r="Z633" s="8"/>
    </row>
    <row r="634" spans="1:26" ht="13.2">
      <c r="A634" s="13">
        <v>44250.645833333328</v>
      </c>
      <c r="B634" s="6" t="str">
        <f>HYPERLINK("https://twitter.com/scanta_io","@scanta_io")</f>
        <v>@scanta_io</v>
      </c>
      <c r="C634" s="14" t="s">
        <v>388</v>
      </c>
      <c r="D634" s="14" t="s">
        <v>3051</v>
      </c>
      <c r="E634" s="6" t="str">
        <f>HYPERLINK("https://twitter.com/scanta_io/status/1364220971465338891","1364220971465338891")</f>
        <v>1364220971465338891</v>
      </c>
      <c r="F634" s="8"/>
      <c r="G634" s="8"/>
      <c r="H634" s="8"/>
      <c r="I634" s="14">
        <v>12</v>
      </c>
      <c r="J634" s="14">
        <v>6</v>
      </c>
      <c r="K634" s="6" t="str">
        <f t="shared" si="97"/>
        <v>TweetDeck</v>
      </c>
      <c r="L634" s="15">
        <v>307</v>
      </c>
      <c r="M634" s="15">
        <v>474</v>
      </c>
      <c r="N634" s="15">
        <v>6</v>
      </c>
      <c r="O634" s="9"/>
      <c r="P634" s="10">
        <v>42927.621400462958</v>
      </c>
      <c r="Q634" s="14" t="s">
        <v>390</v>
      </c>
      <c r="R634" s="14" t="s">
        <v>391</v>
      </c>
      <c r="S634" s="7" t="s">
        <v>392</v>
      </c>
      <c r="T634" s="8"/>
      <c r="U634" s="11" t="str">
        <f>HYPERLINK("https://pbs.twimg.com/profile_images/884759857240227841/TPVpzh1Z.jpg","View")</f>
        <v>View</v>
      </c>
      <c r="V634" s="8"/>
      <c r="W634" s="8"/>
      <c r="X634" s="8"/>
      <c r="Y634" s="8"/>
      <c r="Z634" s="8"/>
    </row>
    <row r="635" spans="1:26" ht="13.2">
      <c r="A635" s="13">
        <v>44250.645833333328</v>
      </c>
      <c r="B635" s="6" t="str">
        <f>HYPERLINK("https://twitter.com/ThinkLBC","@ThinkLBC")</f>
        <v>@ThinkLBC</v>
      </c>
      <c r="C635" s="14" t="s">
        <v>3052</v>
      </c>
      <c r="D635" s="14" t="s">
        <v>3053</v>
      </c>
      <c r="E635" s="6" t="str">
        <f>HYPERLINK("https://twitter.com/ThinkLBC/status/1364220971314532353","1364220971314532353")</f>
        <v>1364220971314532353</v>
      </c>
      <c r="F635" s="8"/>
      <c r="G635" s="7" t="s">
        <v>3054</v>
      </c>
      <c r="H635" s="8"/>
      <c r="I635" s="14">
        <v>20</v>
      </c>
      <c r="J635" s="14">
        <v>16</v>
      </c>
      <c r="K635" s="6" t="str">
        <f t="shared" si="97"/>
        <v>TweetDeck</v>
      </c>
      <c r="L635" s="15">
        <v>587</v>
      </c>
      <c r="M635" s="15">
        <v>637</v>
      </c>
      <c r="N635" s="15">
        <v>5</v>
      </c>
      <c r="O635" s="9"/>
      <c r="P635" s="10">
        <v>43969.237442129626</v>
      </c>
      <c r="Q635" s="8"/>
      <c r="R635" s="14" t="s">
        <v>3055</v>
      </c>
      <c r="S635" s="7" t="s">
        <v>3056</v>
      </c>
      <c r="T635" s="8"/>
      <c r="U635" s="11" t="str">
        <f>HYPERLINK("https://pbs.twimg.com/profile_images/1262226985264328704/zybINi_P.jpg","View")</f>
        <v>View</v>
      </c>
      <c r="V635" s="8"/>
      <c r="W635" s="8"/>
      <c r="X635" s="8"/>
      <c r="Y635" s="8"/>
      <c r="Z635" s="8"/>
    </row>
    <row r="636" spans="1:26" ht="13.2">
      <c r="A636" s="13">
        <v>44250.645740740743</v>
      </c>
      <c r="B636" s="6" t="str">
        <f>HYPERLINK("https://twitter.com/NIKHILK79711688","@NIKHILK79711688")</f>
        <v>@NIKHILK79711688</v>
      </c>
      <c r="C636" s="14" t="s">
        <v>3057</v>
      </c>
      <c r="D636" s="14" t="s">
        <v>3058</v>
      </c>
      <c r="E636" s="6" t="str">
        <f>HYPERLINK("https://twitter.com/NIKHILK79711688/status/1364220937449578497","1364220937449578497")</f>
        <v>1364220937449578497</v>
      </c>
      <c r="F636" s="8"/>
      <c r="G636" s="8"/>
      <c r="H636" s="8"/>
      <c r="I636" s="14">
        <v>1</v>
      </c>
      <c r="J636" s="14">
        <v>0</v>
      </c>
      <c r="K636" s="6" t="str">
        <f t="shared" ref="K636:K637" si="98">HYPERLINK("http://twitter.com/download/android","Twitter for Android")</f>
        <v>Twitter for Android</v>
      </c>
      <c r="L636" s="15">
        <v>9</v>
      </c>
      <c r="M636" s="15">
        <v>17</v>
      </c>
      <c r="N636" s="15">
        <v>0</v>
      </c>
      <c r="O636" s="9"/>
      <c r="P636" s="10">
        <v>44035.428541666668</v>
      </c>
      <c r="Q636" s="8"/>
      <c r="R636" s="14" t="s">
        <v>3059</v>
      </c>
      <c r="S636" s="8"/>
      <c r="T636" s="8"/>
      <c r="U636" s="11" t="str">
        <f>HYPERLINK("https://pbs.twimg.com/profile_images/1352464789054738432/oIfSpDMg.jpg","View")</f>
        <v>View</v>
      </c>
      <c r="V636" s="8"/>
      <c r="W636" s="8"/>
      <c r="X636" s="8"/>
      <c r="Y636" s="8"/>
      <c r="Z636" s="8"/>
    </row>
    <row r="637" spans="1:26" ht="13.2">
      <c r="A637" s="13">
        <v>44250.645057870366</v>
      </c>
      <c r="B637" s="6" t="str">
        <f>HYPERLINK("https://twitter.com/YuganshJ","@YuganshJ")</f>
        <v>@YuganshJ</v>
      </c>
      <c r="C637" s="14" t="s">
        <v>828</v>
      </c>
      <c r="D637" s="14" t="s">
        <v>3060</v>
      </c>
      <c r="E637" s="6" t="str">
        <f>HYPERLINK("https://twitter.com/YuganshJ/status/1364220693265616899","1364220693265616899")</f>
        <v>1364220693265616899</v>
      </c>
      <c r="F637" s="7" t="s">
        <v>830</v>
      </c>
      <c r="G637" s="8"/>
      <c r="H637" s="8"/>
      <c r="I637" s="14">
        <v>13</v>
      </c>
      <c r="J637" s="14">
        <v>8</v>
      </c>
      <c r="K637" s="6" t="str">
        <f t="shared" si="98"/>
        <v>Twitter for Android</v>
      </c>
      <c r="L637" s="15">
        <v>928</v>
      </c>
      <c r="M637" s="15">
        <v>4637</v>
      </c>
      <c r="N637" s="15">
        <v>9</v>
      </c>
      <c r="O637" s="9"/>
      <c r="P637" s="10">
        <v>42502.662465277783</v>
      </c>
      <c r="Q637" s="14" t="s">
        <v>831</v>
      </c>
      <c r="R637" s="14" t="s">
        <v>832</v>
      </c>
      <c r="S637" s="7" t="s">
        <v>833</v>
      </c>
      <c r="T637" s="8"/>
      <c r="U637" s="11" t="str">
        <f>HYPERLINK("https://pbs.twimg.com/profile_images/1353939554659520512/bvr0rSct.jpg","View")</f>
        <v>View</v>
      </c>
      <c r="V637" s="8"/>
      <c r="W637" s="8"/>
      <c r="X637" s="8"/>
      <c r="Y637" s="8"/>
      <c r="Z637" s="8"/>
    </row>
    <row r="638" spans="1:26" ht="13.2">
      <c r="A638" s="13">
        <v>44250.644768518519</v>
      </c>
      <c r="B638" s="6" t="str">
        <f>HYPERLINK("https://twitter.com/HarbRimah","@HarbRimah")</f>
        <v>@HarbRimah</v>
      </c>
      <c r="C638" s="14" t="s">
        <v>2837</v>
      </c>
      <c r="D638" s="14" t="s">
        <v>3061</v>
      </c>
      <c r="E638" s="6" t="str">
        <f>HYPERLINK("https://twitter.com/HarbRimah/status/1364220587044859907","1364220587044859907")</f>
        <v>1364220587044859907</v>
      </c>
      <c r="F638" s="7" t="s">
        <v>3062</v>
      </c>
      <c r="G638" s="8"/>
      <c r="H638" s="8"/>
      <c r="I638" s="14">
        <v>20</v>
      </c>
      <c r="J638" s="14">
        <v>13</v>
      </c>
      <c r="K638" s="6" t="str">
        <f t="shared" ref="K638:K639" si="99">HYPERLINK("https://mobile.twitter.com","Twitter Web App")</f>
        <v>Twitter Web App</v>
      </c>
      <c r="L638" s="15">
        <v>8983</v>
      </c>
      <c r="M638" s="15">
        <v>4886</v>
      </c>
      <c r="N638" s="15">
        <v>675</v>
      </c>
      <c r="O638" s="9"/>
      <c r="P638" s="10">
        <v>41198.440601851849</v>
      </c>
      <c r="Q638" s="8"/>
      <c r="R638" s="14" t="s">
        <v>2838</v>
      </c>
      <c r="S638" s="8"/>
      <c r="T638" s="8"/>
      <c r="U638" s="11" t="str">
        <f>HYPERLINK("https://pbs.twimg.com/profile_images/909317895355863040/ls7cAjxm.jpg","View")</f>
        <v>View</v>
      </c>
      <c r="V638" s="8"/>
      <c r="W638" s="8"/>
      <c r="X638" s="8"/>
      <c r="Y638" s="8"/>
      <c r="Z638" s="8"/>
    </row>
    <row r="639" spans="1:26" ht="13.2">
      <c r="A639" s="13">
        <v>44250.643842592588</v>
      </c>
      <c r="B639" s="6" t="str">
        <f>HYPERLINK("https://twitter.com/MrYelameli","@MrYelameli")</f>
        <v>@MrYelameli</v>
      </c>
      <c r="C639" s="14" t="s">
        <v>3063</v>
      </c>
      <c r="D639" s="14" t="s">
        <v>3064</v>
      </c>
      <c r="E639" s="6" t="str">
        <f>HYPERLINK("https://twitter.com/MrYelameli/status/1364220249990565891","1364220249990565891")</f>
        <v>1364220249990565891</v>
      </c>
      <c r="F639" s="7" t="s">
        <v>3065</v>
      </c>
      <c r="G639" s="8"/>
      <c r="H639" s="8"/>
      <c r="I639" s="14">
        <v>1</v>
      </c>
      <c r="J639" s="14">
        <v>2</v>
      </c>
      <c r="K639" s="6" t="str">
        <f t="shared" si="99"/>
        <v>Twitter Web App</v>
      </c>
      <c r="L639" s="15">
        <v>159</v>
      </c>
      <c r="M639" s="15">
        <v>321</v>
      </c>
      <c r="N639" s="15">
        <v>58</v>
      </c>
      <c r="O639" s="9"/>
      <c r="P639" s="10">
        <v>42185.712222222224</v>
      </c>
      <c r="Q639" s="14" t="s">
        <v>3066</v>
      </c>
      <c r="R639" s="14" t="s">
        <v>3067</v>
      </c>
      <c r="S639" s="7" t="s">
        <v>3068</v>
      </c>
      <c r="T639" s="8"/>
      <c r="U639" s="11" t="str">
        <f>HYPERLINK("https://pbs.twimg.com/profile_images/1168486750949232640/oaTKEoLW.jpg","View")</f>
        <v>View</v>
      </c>
      <c r="V639" s="8"/>
      <c r="W639" s="8"/>
      <c r="X639" s="8"/>
      <c r="Y639" s="8"/>
      <c r="Z639" s="8"/>
    </row>
    <row r="640" spans="1:26" ht="13.2">
      <c r="A640" s="13">
        <v>44250.643750000003</v>
      </c>
      <c r="B640" s="6" t="str">
        <f>HYPERLINK("https://twitter.com/SSI_Innovations","@SSI_Innovations")</f>
        <v>@SSI_Innovations</v>
      </c>
      <c r="C640" s="14" t="s">
        <v>656</v>
      </c>
      <c r="D640" s="14" t="s">
        <v>3069</v>
      </c>
      <c r="E640" s="6" t="str">
        <f>HYPERLINK("https://twitter.com/SSI_Innovations/status/1364220216478216192","1364220216478216192")</f>
        <v>1364220216478216192</v>
      </c>
      <c r="F640" s="8"/>
      <c r="G640" s="7" t="s">
        <v>3070</v>
      </c>
      <c r="H640" s="8"/>
      <c r="I640" s="14">
        <v>37</v>
      </c>
      <c r="J640" s="14">
        <v>23</v>
      </c>
      <c r="K640" s="6" t="str">
        <f>HYPERLINK("https://about.twitter.com/products/tweetdeck","TweetDeck")</f>
        <v>TweetDeck</v>
      </c>
      <c r="L640" s="15">
        <v>4449</v>
      </c>
      <c r="M640" s="15">
        <v>5002</v>
      </c>
      <c r="N640" s="15">
        <v>270</v>
      </c>
      <c r="O640" s="9"/>
      <c r="P640" s="10">
        <v>42264.36791666667</v>
      </c>
      <c r="Q640" s="14" t="s">
        <v>660</v>
      </c>
      <c r="R640" s="14" t="s">
        <v>661</v>
      </c>
      <c r="S640" s="7" t="s">
        <v>662</v>
      </c>
      <c r="T640" s="8"/>
      <c r="U640" s="11" t="str">
        <f>HYPERLINK("https://pbs.twimg.com/profile_images/649205321848631296/u39Qrzjg.jpg","View")</f>
        <v>View</v>
      </c>
      <c r="V640" s="8"/>
      <c r="W640" s="8"/>
      <c r="X640" s="8"/>
      <c r="Y640" s="8"/>
      <c r="Z640" s="8"/>
    </row>
    <row r="641" spans="1:26" ht="13.2">
      <c r="A641" s="13">
        <v>44250.642418981486</v>
      </c>
      <c r="B641" s="6" t="str">
        <f>HYPERLINK("https://twitter.com/andresvilarino","@andresvilarino")</f>
        <v>@andresvilarino</v>
      </c>
      <c r="C641" s="14" t="s">
        <v>72</v>
      </c>
      <c r="D641" s="14" t="s">
        <v>3071</v>
      </c>
      <c r="E641" s="6" t="str">
        <f>HYPERLINK("https://twitter.com/andresvilarino/status/1364219735173459971","1364219735173459971")</f>
        <v>1364219735173459971</v>
      </c>
      <c r="F641" s="7" t="s">
        <v>3072</v>
      </c>
      <c r="G641" s="7" t="s">
        <v>3073</v>
      </c>
      <c r="H641" s="8"/>
      <c r="I641" s="14">
        <v>3</v>
      </c>
      <c r="J641" s="14">
        <v>2</v>
      </c>
      <c r="K641" s="6" t="str">
        <f>HYPERLINK("https://www.hootsuite.com","Hootsuite Inc.")</f>
        <v>Hootsuite Inc.</v>
      </c>
      <c r="L641" s="15">
        <v>5136</v>
      </c>
      <c r="M641" s="15">
        <v>5043</v>
      </c>
      <c r="N641" s="15">
        <v>79</v>
      </c>
      <c r="O641" s="9"/>
      <c r="P641" s="10">
        <v>40346.43136574074</v>
      </c>
      <c r="Q641" s="14" t="s">
        <v>75</v>
      </c>
      <c r="R641" s="14" t="s">
        <v>76</v>
      </c>
      <c r="S641" s="7" t="s">
        <v>77</v>
      </c>
      <c r="T641" s="8"/>
      <c r="U641" s="11" t="str">
        <f>HYPERLINK("https://pbs.twimg.com/profile_images/1015329397929177088/9OR3sIzf.jpg","View")</f>
        <v>View</v>
      </c>
      <c r="V641" s="8"/>
      <c r="W641" s="8"/>
      <c r="X641" s="8"/>
      <c r="Y641" s="8"/>
      <c r="Z641" s="8"/>
    </row>
    <row r="642" spans="1:26" ht="13.2">
      <c r="A642" s="13">
        <v>44250.642361111109</v>
      </c>
      <c r="B642" s="6" t="str">
        <f>HYPERLINK("https://twitter.com/couponfree01","@couponfree01")</f>
        <v>@couponfree01</v>
      </c>
      <c r="C642" s="14" t="s">
        <v>3074</v>
      </c>
      <c r="D642" s="14" t="s">
        <v>3075</v>
      </c>
      <c r="E642" s="6" t="str">
        <f>HYPERLINK("https://twitter.com/couponfree01/status/1364219713140764679","1364219713140764679")</f>
        <v>1364219713140764679</v>
      </c>
      <c r="F642" s="7" t="s">
        <v>3076</v>
      </c>
      <c r="G642" s="8"/>
      <c r="H642" s="8"/>
      <c r="I642" s="14">
        <v>12</v>
      </c>
      <c r="J642" s="14">
        <v>5</v>
      </c>
      <c r="K642" s="6" t="str">
        <f>HYPERLINK("https://about.twitter.com/products/tweetdeck","TweetDeck")</f>
        <v>TweetDeck</v>
      </c>
      <c r="L642" s="15">
        <v>2207</v>
      </c>
      <c r="M642" s="15">
        <v>4235</v>
      </c>
      <c r="N642" s="15">
        <v>28</v>
      </c>
      <c r="O642" s="9"/>
      <c r="P642" s="10">
        <v>43164.382303240738</v>
      </c>
      <c r="Q642" s="14" t="s">
        <v>3077</v>
      </c>
      <c r="R642" s="14" t="s">
        <v>3078</v>
      </c>
      <c r="S642" s="8"/>
      <c r="T642" s="8"/>
      <c r="U642" s="11" t="str">
        <f>HYPERLINK("https://pbs.twimg.com/profile_images/970573416821547009/oDkr4BWt.jpg","View")</f>
        <v>View</v>
      </c>
      <c r="V642" s="8"/>
      <c r="W642" s="8"/>
      <c r="X642" s="8"/>
      <c r="Y642" s="8"/>
      <c r="Z642" s="8"/>
    </row>
    <row r="643" spans="1:26" ht="13.2">
      <c r="A643" s="13">
        <v>44250.64230324074</v>
      </c>
      <c r="B643" s="6" t="str">
        <f>HYPERLINK("https://twitter.com/CyberseerNet","@CyberseerNet")</f>
        <v>@CyberseerNet</v>
      </c>
      <c r="C643" s="14" t="s">
        <v>3079</v>
      </c>
      <c r="D643" s="14" t="s">
        <v>3080</v>
      </c>
      <c r="E643" s="6" t="str">
        <f>HYPERLINK("https://twitter.com/CyberseerNet/status/1364219695281430530","1364219695281430530")</f>
        <v>1364219695281430530</v>
      </c>
      <c r="F643" s="8"/>
      <c r="G643" s="7" t="s">
        <v>3081</v>
      </c>
      <c r="H643" s="8"/>
      <c r="I643" s="14">
        <v>3</v>
      </c>
      <c r="J643" s="14">
        <v>7</v>
      </c>
      <c r="K643" s="6" t="str">
        <f>HYPERLINK("https://sproutsocial.com","Sprout Social")</f>
        <v>Sprout Social</v>
      </c>
      <c r="L643" s="15">
        <v>700</v>
      </c>
      <c r="M643" s="15">
        <v>946</v>
      </c>
      <c r="N643" s="15">
        <v>112</v>
      </c>
      <c r="O643" s="9"/>
      <c r="P643" s="10">
        <v>41662.580069444448</v>
      </c>
      <c r="Q643" s="14" t="s">
        <v>2551</v>
      </c>
      <c r="R643" s="14" t="s">
        <v>3082</v>
      </c>
      <c r="S643" s="7" t="s">
        <v>3083</v>
      </c>
      <c r="T643" s="8"/>
      <c r="U643" s="11" t="str">
        <f>HYPERLINK("https://pbs.twimg.com/profile_images/1199288707616034818/CF0pIxoq.jpg","View")</f>
        <v>View</v>
      </c>
      <c r="V643" s="8"/>
      <c r="W643" s="8"/>
      <c r="X643" s="8"/>
      <c r="Y643" s="8"/>
      <c r="Z643" s="8"/>
    </row>
    <row r="644" spans="1:26" ht="13.2">
      <c r="A644" s="13">
        <v>44250.641875000001</v>
      </c>
      <c r="B644" s="6" t="str">
        <f>HYPERLINK("https://twitter.com/HarbRimah","@HarbRimah")</f>
        <v>@HarbRimah</v>
      </c>
      <c r="C644" s="14" t="s">
        <v>2837</v>
      </c>
      <c r="D644" s="14" t="s">
        <v>3084</v>
      </c>
      <c r="E644" s="6" t="str">
        <f>HYPERLINK("https://twitter.com/HarbRimah/status/1364219537093103616","1364219537093103616")</f>
        <v>1364219537093103616</v>
      </c>
      <c r="F644" s="7" t="s">
        <v>791</v>
      </c>
      <c r="G644" s="8"/>
      <c r="H644" s="8"/>
      <c r="I644" s="14">
        <v>29</v>
      </c>
      <c r="J644" s="14">
        <v>22</v>
      </c>
      <c r="K644" s="6" t="str">
        <f>HYPERLINK("https://mobile.twitter.com","Twitter Web App")</f>
        <v>Twitter Web App</v>
      </c>
      <c r="L644" s="15">
        <v>8983</v>
      </c>
      <c r="M644" s="15">
        <v>4886</v>
      </c>
      <c r="N644" s="15">
        <v>675</v>
      </c>
      <c r="O644" s="9"/>
      <c r="P644" s="10">
        <v>41198.440601851849</v>
      </c>
      <c r="Q644" s="8"/>
      <c r="R644" s="14" t="s">
        <v>2838</v>
      </c>
      <c r="S644" s="8"/>
      <c r="T644" s="8"/>
      <c r="U644" s="11" t="str">
        <f>HYPERLINK("https://pbs.twimg.com/profile_images/909317895355863040/ls7cAjxm.jpg","View")</f>
        <v>View</v>
      </c>
      <c r="V644" s="8"/>
      <c r="W644" s="8"/>
      <c r="X644" s="8"/>
      <c r="Y644" s="8"/>
      <c r="Z644" s="8"/>
    </row>
    <row r="645" spans="1:26" ht="13.2">
      <c r="A645" s="13">
        <v>44250.64167824074</v>
      </c>
      <c r="B645" s="6" t="str">
        <f>HYPERLINK("https://twitter.com/hacking_future","@hacking_future")</f>
        <v>@hacking_future</v>
      </c>
      <c r="C645" s="14" t="s">
        <v>3085</v>
      </c>
      <c r="D645" s="14" t="s">
        <v>669</v>
      </c>
      <c r="E645" s="6" t="str">
        <f>HYPERLINK("https://twitter.com/hacking_future/status/1364219467190910977","1364219467190910977")</f>
        <v>1364219467190910977</v>
      </c>
      <c r="F645" s="7" t="s">
        <v>3086</v>
      </c>
      <c r="G645" s="8"/>
      <c r="H645" s="8"/>
      <c r="I645" s="14">
        <v>3</v>
      </c>
      <c r="J645" s="14">
        <v>3</v>
      </c>
      <c r="K645" s="6" t="str">
        <f>HYPERLINK("https://buffer.com","Buffer")</f>
        <v>Buffer</v>
      </c>
      <c r="L645" s="15">
        <v>1502</v>
      </c>
      <c r="M645" s="15">
        <v>1987</v>
      </c>
      <c r="N645" s="15">
        <v>48</v>
      </c>
      <c r="O645" s="9"/>
      <c r="P645" s="10">
        <v>42822.824421296296</v>
      </c>
      <c r="Q645" s="14" t="s">
        <v>1815</v>
      </c>
      <c r="R645" s="14" t="s">
        <v>3087</v>
      </c>
      <c r="S645" s="7" t="s">
        <v>3088</v>
      </c>
      <c r="T645" s="8"/>
      <c r="U645" s="11" t="str">
        <f>HYPERLINK("https://pbs.twimg.com/profile_images/859699037385232385/aq_sLibI.jpg","View")</f>
        <v>View</v>
      </c>
      <c r="V645" s="8"/>
      <c r="W645" s="8"/>
      <c r="X645" s="8"/>
      <c r="Y645" s="8"/>
      <c r="Z645" s="8"/>
    </row>
    <row r="646" spans="1:26" ht="13.2">
      <c r="A646" s="13">
        <v>44250.641377314816</v>
      </c>
      <c r="B646" s="6" t="str">
        <f>HYPERLINK("https://twitter.com/sayantan_world","@sayantan_world")</f>
        <v>@sayantan_world</v>
      </c>
      <c r="C646" s="14" t="s">
        <v>3089</v>
      </c>
      <c r="D646" s="14" t="s">
        <v>3090</v>
      </c>
      <c r="E646" s="6" t="str">
        <f>HYPERLINK("https://twitter.com/sayantan_world/status/1364219357304299520","1364219357304299520")</f>
        <v>1364219357304299520</v>
      </c>
      <c r="F646" s="8"/>
      <c r="G646" s="7" t="s">
        <v>3091</v>
      </c>
      <c r="H646" s="8"/>
      <c r="I646" s="14">
        <v>2</v>
      </c>
      <c r="J646" s="14">
        <v>9</v>
      </c>
      <c r="K646" s="6" t="str">
        <f t="shared" ref="K646:K647" si="100">HYPERLINK("https://mobile.twitter.com","Twitter Web App")</f>
        <v>Twitter Web App</v>
      </c>
      <c r="L646" s="15">
        <v>207</v>
      </c>
      <c r="M646" s="15">
        <v>341</v>
      </c>
      <c r="N646" s="15">
        <v>0</v>
      </c>
      <c r="O646" s="9"/>
      <c r="P646" s="10">
        <v>43449.658599537041</v>
      </c>
      <c r="Q646" s="14" t="s">
        <v>3092</v>
      </c>
      <c r="R646" s="14" t="s">
        <v>3093</v>
      </c>
      <c r="S646" s="7" t="s">
        <v>3094</v>
      </c>
      <c r="T646" s="8"/>
      <c r="U646" s="11" t="str">
        <f>HYPERLINK("https://pbs.twimg.com/profile_images/1102138220395945984/tUxde2ZL.png","View")</f>
        <v>View</v>
      </c>
      <c r="V646" s="8"/>
      <c r="W646" s="8"/>
      <c r="X646" s="8"/>
      <c r="Y646" s="8"/>
      <c r="Z646" s="8"/>
    </row>
    <row r="647" spans="1:26" ht="13.2">
      <c r="A647" s="13">
        <v>44250.641238425931</v>
      </c>
      <c r="B647" s="6" t="str">
        <f>HYPERLINK("https://twitter.com/bbva_argentina","@bbva_argentina")</f>
        <v>@bbva_argentina</v>
      </c>
      <c r="C647" s="14" t="s">
        <v>3095</v>
      </c>
      <c r="D647" s="14" t="s">
        <v>3096</v>
      </c>
      <c r="E647" s="6" t="str">
        <f>HYPERLINK("https://twitter.com/bbva_argentina/status/1364219307828330496","1364219307828330496")</f>
        <v>1364219307828330496</v>
      </c>
      <c r="F647" s="7" t="s">
        <v>3097</v>
      </c>
      <c r="G647" s="8"/>
      <c r="H647" s="8"/>
      <c r="I647" s="14">
        <v>0</v>
      </c>
      <c r="J647" s="14">
        <v>4</v>
      </c>
      <c r="K647" s="6" t="str">
        <f t="shared" si="100"/>
        <v>Twitter Web App</v>
      </c>
      <c r="L647" s="15">
        <v>155161</v>
      </c>
      <c r="M647" s="15">
        <v>13866</v>
      </c>
      <c r="N647" s="15">
        <v>199</v>
      </c>
      <c r="O647" s="15" t="s">
        <v>130</v>
      </c>
      <c r="P647" s="10">
        <v>40289.910312499997</v>
      </c>
      <c r="Q647" s="14" t="s">
        <v>882</v>
      </c>
      <c r="R647" s="14" t="s">
        <v>3098</v>
      </c>
      <c r="S647" s="7" t="s">
        <v>3099</v>
      </c>
      <c r="T647" s="8"/>
      <c r="U647" s="11" t="str">
        <f>HYPERLINK("https://pbs.twimg.com/profile_images/1267936834568491011/sMmbxG1l.jpg","View")</f>
        <v>View</v>
      </c>
      <c r="V647" s="8"/>
      <c r="W647" s="8"/>
      <c r="X647" s="8"/>
      <c r="Y647" s="8"/>
      <c r="Z647" s="8"/>
    </row>
    <row r="648" spans="1:26" ht="13.2">
      <c r="A648" s="13">
        <v>44250.641134259262</v>
      </c>
      <c r="B648" s="6" t="str">
        <f t="shared" ref="B648:B651" si="101">HYPERLINK("https://twitter.com/into_AI","@into_AI")</f>
        <v>@into_AI</v>
      </c>
      <c r="C648" s="14" t="s">
        <v>2021</v>
      </c>
      <c r="D648" s="14" t="s">
        <v>3100</v>
      </c>
      <c r="E648" s="6" t="str">
        <f>HYPERLINK("https://twitter.com/into_AI/status/1364219270427738114","1364219270427738114")</f>
        <v>1364219270427738114</v>
      </c>
      <c r="F648" s="7" t="s">
        <v>3101</v>
      </c>
      <c r="G648" s="8"/>
      <c r="H648" s="8"/>
      <c r="I648" s="14">
        <v>1</v>
      </c>
      <c r="J648" s="14">
        <v>2</v>
      </c>
      <c r="K648" s="6" t="str">
        <f t="shared" ref="K648:K651" si="102">HYPERLINK("http://into.AI","into.AI")</f>
        <v>into.AI</v>
      </c>
      <c r="L648" s="15">
        <v>19374</v>
      </c>
      <c r="M648" s="15">
        <v>1707</v>
      </c>
      <c r="N648" s="15">
        <v>3164</v>
      </c>
      <c r="O648" s="9"/>
      <c r="P648" s="10">
        <v>42133.721620370372</v>
      </c>
      <c r="Q648" s="14" t="s">
        <v>2024</v>
      </c>
      <c r="R648" s="14" t="s">
        <v>2025</v>
      </c>
      <c r="S648" s="7" t="s">
        <v>2026</v>
      </c>
      <c r="T648" s="8"/>
      <c r="U648" s="11" t="str">
        <f t="shared" ref="U648:U651" si="103">HYPERLINK("https://pbs.twimg.com/profile_images/967341160124608512/LM2Y5Q5m.jpg","View")</f>
        <v>View</v>
      </c>
      <c r="V648" s="8"/>
      <c r="W648" s="8"/>
      <c r="X648" s="8"/>
      <c r="Y648" s="8"/>
      <c r="Z648" s="8"/>
    </row>
    <row r="649" spans="1:26" ht="13.2">
      <c r="A649" s="13">
        <v>44250.641076388885</v>
      </c>
      <c r="B649" s="6" t="str">
        <f t="shared" si="101"/>
        <v>@into_AI</v>
      </c>
      <c r="C649" s="14" t="s">
        <v>2021</v>
      </c>
      <c r="D649" s="14" t="s">
        <v>3102</v>
      </c>
      <c r="E649" s="6" t="str">
        <f>HYPERLINK("https://twitter.com/into_AI/status/1364219248961282049","1364219248961282049")</f>
        <v>1364219248961282049</v>
      </c>
      <c r="F649" s="7" t="s">
        <v>3103</v>
      </c>
      <c r="G649" s="8"/>
      <c r="H649" s="8"/>
      <c r="I649" s="14">
        <v>1</v>
      </c>
      <c r="J649" s="14">
        <v>2</v>
      </c>
      <c r="K649" s="6" t="str">
        <f t="shared" si="102"/>
        <v>into.AI</v>
      </c>
      <c r="L649" s="15">
        <v>19374</v>
      </c>
      <c r="M649" s="15">
        <v>1707</v>
      </c>
      <c r="N649" s="15">
        <v>3164</v>
      </c>
      <c r="O649" s="9"/>
      <c r="P649" s="10">
        <v>42133.721620370372</v>
      </c>
      <c r="Q649" s="14" t="s">
        <v>2024</v>
      </c>
      <c r="R649" s="14" t="s">
        <v>2025</v>
      </c>
      <c r="S649" s="7" t="s">
        <v>2026</v>
      </c>
      <c r="T649" s="8"/>
      <c r="U649" s="11" t="str">
        <f t="shared" si="103"/>
        <v>View</v>
      </c>
      <c r="V649" s="8"/>
      <c r="W649" s="8"/>
      <c r="X649" s="8"/>
      <c r="Y649" s="8"/>
      <c r="Z649" s="8"/>
    </row>
    <row r="650" spans="1:26" ht="13.2">
      <c r="A650" s="13">
        <v>44250.64099537037</v>
      </c>
      <c r="B650" s="6" t="str">
        <f t="shared" si="101"/>
        <v>@into_AI</v>
      </c>
      <c r="C650" s="14" t="s">
        <v>2021</v>
      </c>
      <c r="D650" s="14" t="s">
        <v>3104</v>
      </c>
      <c r="E650" s="6" t="str">
        <f>HYPERLINK("https://twitter.com/into_AI/status/1364219218007379973","1364219218007379973")</f>
        <v>1364219218007379973</v>
      </c>
      <c r="F650" s="7" t="s">
        <v>3105</v>
      </c>
      <c r="G650" s="8"/>
      <c r="H650" s="8"/>
      <c r="I650" s="14">
        <v>1</v>
      </c>
      <c r="J650" s="14">
        <v>2</v>
      </c>
      <c r="K650" s="6" t="str">
        <f t="shared" si="102"/>
        <v>into.AI</v>
      </c>
      <c r="L650" s="15">
        <v>19374</v>
      </c>
      <c r="M650" s="15">
        <v>1707</v>
      </c>
      <c r="N650" s="15">
        <v>3164</v>
      </c>
      <c r="O650" s="9"/>
      <c r="P650" s="10">
        <v>42133.721620370372</v>
      </c>
      <c r="Q650" s="14" t="s">
        <v>2024</v>
      </c>
      <c r="R650" s="14" t="s">
        <v>2025</v>
      </c>
      <c r="S650" s="7" t="s">
        <v>2026</v>
      </c>
      <c r="T650" s="8"/>
      <c r="U650" s="11" t="str">
        <f t="shared" si="103"/>
        <v>View</v>
      </c>
      <c r="V650" s="8"/>
      <c r="W650" s="8"/>
      <c r="X650" s="8"/>
      <c r="Y650" s="8"/>
      <c r="Z650" s="8"/>
    </row>
    <row r="651" spans="1:26" ht="13.2">
      <c r="A651" s="13">
        <v>44250.640925925924</v>
      </c>
      <c r="B651" s="6" t="str">
        <f t="shared" si="101"/>
        <v>@into_AI</v>
      </c>
      <c r="C651" s="14" t="s">
        <v>2021</v>
      </c>
      <c r="D651" s="14" t="s">
        <v>3106</v>
      </c>
      <c r="E651" s="6" t="str">
        <f>HYPERLINK("https://twitter.com/into_AI/status/1364219194187866120","1364219194187866120")</f>
        <v>1364219194187866120</v>
      </c>
      <c r="F651" s="7" t="s">
        <v>3107</v>
      </c>
      <c r="G651" s="8"/>
      <c r="H651" s="8"/>
      <c r="I651" s="14">
        <v>1</v>
      </c>
      <c r="J651" s="14">
        <v>2</v>
      </c>
      <c r="K651" s="6" t="str">
        <f t="shared" si="102"/>
        <v>into.AI</v>
      </c>
      <c r="L651" s="15">
        <v>19374</v>
      </c>
      <c r="M651" s="15">
        <v>1707</v>
      </c>
      <c r="N651" s="15">
        <v>3164</v>
      </c>
      <c r="O651" s="9"/>
      <c r="P651" s="10">
        <v>42133.721620370372</v>
      </c>
      <c r="Q651" s="14" t="s">
        <v>2024</v>
      </c>
      <c r="R651" s="14" t="s">
        <v>2025</v>
      </c>
      <c r="S651" s="7" t="s">
        <v>2026</v>
      </c>
      <c r="T651" s="8"/>
      <c r="U651" s="11" t="str">
        <f t="shared" si="103"/>
        <v>View</v>
      </c>
      <c r="V651" s="8"/>
      <c r="W651" s="8"/>
      <c r="X651" s="8"/>
      <c r="Y651" s="8"/>
      <c r="Z651" s="8"/>
    </row>
    <row r="652" spans="1:26" ht="13.2">
      <c r="A652" s="13">
        <v>44250.640706018516</v>
      </c>
      <c r="B652" s="6" t="str">
        <f>HYPERLINK("https://twitter.com/MariaAndreinaFr","@MariaAndreinaFr")</f>
        <v>@MariaAndreinaFr</v>
      </c>
      <c r="C652" s="14" t="s">
        <v>3108</v>
      </c>
      <c r="D652" s="14" t="s">
        <v>3109</v>
      </c>
      <c r="E652" s="6" t="str">
        <f>HYPERLINK("https://twitter.com/MariaAndreinaFr/status/1364219115083354113","1364219115083354113")</f>
        <v>1364219115083354113</v>
      </c>
      <c r="F652" s="7" t="s">
        <v>3110</v>
      </c>
      <c r="G652" s="8"/>
      <c r="H652" s="8"/>
      <c r="I652" s="14">
        <v>7</v>
      </c>
      <c r="J652" s="14">
        <v>5</v>
      </c>
      <c r="K652" s="6" t="str">
        <f t="shared" ref="K652:K654" si="104">HYPERLINK("https://mobile.twitter.com","Twitter Web App")</f>
        <v>Twitter Web App</v>
      </c>
      <c r="L652" s="15">
        <v>159</v>
      </c>
      <c r="M652" s="15">
        <v>269</v>
      </c>
      <c r="N652" s="15">
        <v>5</v>
      </c>
      <c r="O652" s="9"/>
      <c r="P652" s="10">
        <v>40033.908634259264</v>
      </c>
      <c r="Q652" s="14" t="s">
        <v>3111</v>
      </c>
      <c r="R652" s="14" t="s">
        <v>3112</v>
      </c>
      <c r="S652" s="7" t="s">
        <v>3113</v>
      </c>
      <c r="T652" s="8"/>
      <c r="U652" s="11" t="str">
        <f>HYPERLINK("https://pbs.twimg.com/profile_images/1283429761084198912/yHurFmO7.jpg","View")</f>
        <v>View</v>
      </c>
      <c r="V652" s="8"/>
      <c r="W652" s="8"/>
      <c r="X652" s="8"/>
      <c r="Y652" s="8"/>
      <c r="Z652" s="8"/>
    </row>
    <row r="653" spans="1:26" ht="13.2">
      <c r="A653" s="13">
        <v>44250.640208333338</v>
      </c>
      <c r="B653" s="6" t="str">
        <f>HYPERLINK("https://twitter.com/HarbRimah","@HarbRimah")</f>
        <v>@HarbRimah</v>
      </c>
      <c r="C653" s="14" t="s">
        <v>2837</v>
      </c>
      <c r="D653" s="14" t="s">
        <v>3114</v>
      </c>
      <c r="E653" s="6" t="str">
        <f>HYPERLINK("https://twitter.com/HarbRimah/status/1364218932429795329","1364218932429795329")</f>
        <v>1364218932429795329</v>
      </c>
      <c r="F653" s="7" t="s">
        <v>3115</v>
      </c>
      <c r="G653" s="8"/>
      <c r="H653" s="8"/>
      <c r="I653" s="14">
        <v>36</v>
      </c>
      <c r="J653" s="14">
        <v>22</v>
      </c>
      <c r="K653" s="6" t="str">
        <f t="shared" si="104"/>
        <v>Twitter Web App</v>
      </c>
      <c r="L653" s="15">
        <v>8983</v>
      </c>
      <c r="M653" s="15">
        <v>4886</v>
      </c>
      <c r="N653" s="15">
        <v>675</v>
      </c>
      <c r="O653" s="9"/>
      <c r="P653" s="10">
        <v>41198.440601851849</v>
      </c>
      <c r="Q653" s="8"/>
      <c r="R653" s="14" t="s">
        <v>2838</v>
      </c>
      <c r="S653" s="8"/>
      <c r="T653" s="8"/>
      <c r="U653" s="11" t="str">
        <f>HYPERLINK("https://pbs.twimg.com/profile_images/909317895355863040/ls7cAjxm.jpg","View")</f>
        <v>View</v>
      </c>
      <c r="V653" s="8"/>
      <c r="W653" s="8"/>
      <c r="X653" s="8"/>
      <c r="Y653" s="8"/>
      <c r="Z653" s="8"/>
    </row>
    <row r="654" spans="1:26" ht="13.2">
      <c r="A654" s="13">
        <v>44250.639872685184</v>
      </c>
      <c r="B654" s="6" t="str">
        <f>HYPERLINK("https://twitter.com/love12utakata","@love12utakata")</f>
        <v>@love12utakata</v>
      </c>
      <c r="C654" s="14" t="s">
        <v>3116</v>
      </c>
      <c r="D654" s="14" t="s">
        <v>3117</v>
      </c>
      <c r="E654" s="6" t="str">
        <f>HYPERLINK("https://twitter.com/love12utakata/status/1364218810937434114","1364218810937434114")</f>
        <v>1364218810937434114</v>
      </c>
      <c r="F654" s="8"/>
      <c r="G654" s="7" t="s">
        <v>3118</v>
      </c>
      <c r="H654" s="8"/>
      <c r="I654" s="14">
        <v>0</v>
      </c>
      <c r="J654" s="14">
        <v>1</v>
      </c>
      <c r="K654" s="6" t="str">
        <f t="shared" si="104"/>
        <v>Twitter Web App</v>
      </c>
      <c r="L654" s="15">
        <v>33</v>
      </c>
      <c r="M654" s="15">
        <v>192</v>
      </c>
      <c r="N654" s="15">
        <v>0</v>
      </c>
      <c r="O654" s="9"/>
      <c r="P654" s="10">
        <v>44207.984849537039</v>
      </c>
      <c r="Q654" s="14" t="s">
        <v>3119</v>
      </c>
      <c r="R654" s="14" t="s">
        <v>3120</v>
      </c>
      <c r="S654" s="8"/>
      <c r="T654" s="8"/>
      <c r="U654" s="11" t="str">
        <f>HYPERLINK("https://pbs.twimg.com/profile_images/1364058211930701826/rwkqHlru.jpg","View")</f>
        <v>View</v>
      </c>
      <c r="V654" s="8"/>
      <c r="W654" s="8"/>
      <c r="X654" s="8"/>
      <c r="Y654" s="8"/>
      <c r="Z654" s="8"/>
    </row>
    <row r="655" spans="1:26" ht="13.2">
      <c r="A655" s="13">
        <v>44250.63961805556</v>
      </c>
      <c r="B655" s="6" t="str">
        <f>HYPERLINK("https://twitter.com/me_thepast","@me_thepast")</f>
        <v>@me_thepast</v>
      </c>
      <c r="C655" s="14" t="s">
        <v>3121</v>
      </c>
      <c r="D655" s="14" t="s">
        <v>3122</v>
      </c>
      <c r="E655" s="6" t="str">
        <f>HYPERLINK("https://twitter.com/me_thepast/status/1364218720118317061","1364218720118317061")</f>
        <v>1364218720118317061</v>
      </c>
      <c r="F655" s="8"/>
      <c r="G655" s="8"/>
      <c r="H655" s="8"/>
      <c r="I655" s="14">
        <v>2</v>
      </c>
      <c r="J655" s="14">
        <v>1</v>
      </c>
      <c r="K655" s="6" t="str">
        <f>HYPERLINK("http://twitter.com/download/android","Twitter for Android")</f>
        <v>Twitter for Android</v>
      </c>
      <c r="L655" s="15">
        <v>58</v>
      </c>
      <c r="M655" s="15">
        <v>167</v>
      </c>
      <c r="N655" s="15">
        <v>0</v>
      </c>
      <c r="O655" s="9"/>
      <c r="P655" s="10">
        <v>44146.377210648148</v>
      </c>
      <c r="Q655" s="8"/>
      <c r="R655" s="14" t="s">
        <v>3123</v>
      </c>
      <c r="S655" s="8"/>
      <c r="T655" s="8"/>
      <c r="U655" s="11" t="str">
        <f>HYPERLINK("https://pbs.twimg.com/profile_images/1340011304329867264/foeZJ5ZL.jpg","View")</f>
        <v>View</v>
      </c>
      <c r="V655" s="8"/>
      <c r="W655" s="8"/>
      <c r="X655" s="8"/>
      <c r="Y655" s="8"/>
      <c r="Z655" s="8"/>
    </row>
    <row r="656" spans="1:26" ht="13.2">
      <c r="A656" s="13">
        <v>44250.638888888891</v>
      </c>
      <c r="B656" s="6" t="str">
        <f>HYPERLINK("https://twitter.com/couponfree01","@couponfree01")</f>
        <v>@couponfree01</v>
      </c>
      <c r="C656" s="14" t="s">
        <v>3074</v>
      </c>
      <c r="D656" s="14" t="s">
        <v>3124</v>
      </c>
      <c r="E656" s="6" t="str">
        <f>HYPERLINK("https://twitter.com/couponfree01/status/1364218454996258818","1364218454996258818")</f>
        <v>1364218454996258818</v>
      </c>
      <c r="F656" s="7" t="s">
        <v>3125</v>
      </c>
      <c r="G656" s="8"/>
      <c r="H656" s="8"/>
      <c r="I656" s="14">
        <v>7</v>
      </c>
      <c r="J656" s="14">
        <v>5</v>
      </c>
      <c r="K656" s="6" t="str">
        <f>HYPERLINK("https://about.twitter.com/products/tweetdeck","TweetDeck")</f>
        <v>TweetDeck</v>
      </c>
      <c r="L656" s="15">
        <v>2207</v>
      </c>
      <c r="M656" s="15">
        <v>4235</v>
      </c>
      <c r="N656" s="15">
        <v>28</v>
      </c>
      <c r="O656" s="9"/>
      <c r="P656" s="10">
        <v>43164.382303240738</v>
      </c>
      <c r="Q656" s="14" t="s">
        <v>3077</v>
      </c>
      <c r="R656" s="14" t="s">
        <v>3078</v>
      </c>
      <c r="S656" s="8"/>
      <c r="T656" s="8"/>
      <c r="U656" s="11" t="str">
        <f>HYPERLINK("https://pbs.twimg.com/profile_images/970573416821547009/oDkr4BWt.jpg","View")</f>
        <v>View</v>
      </c>
      <c r="V656" s="8"/>
      <c r="W656" s="8"/>
      <c r="X656" s="8"/>
      <c r="Y656" s="8"/>
      <c r="Z656" s="8"/>
    </row>
    <row r="657" spans="1:26" ht="13.2">
      <c r="A657" s="13">
        <v>44250.638726851852</v>
      </c>
      <c r="B657" s="6" t="str">
        <f>HYPERLINK("https://twitter.com/AWSBrasil","@AWSBrasil")</f>
        <v>@AWSBrasil</v>
      </c>
      <c r="C657" s="14" t="s">
        <v>3126</v>
      </c>
      <c r="D657" s="14" t="s">
        <v>3127</v>
      </c>
      <c r="E657" s="6" t="str">
        <f>HYPERLINK("https://twitter.com/AWSBrasil/status/1364218396494200832","1364218396494200832")</f>
        <v>1364218396494200832</v>
      </c>
      <c r="F657" s="7" t="s">
        <v>3128</v>
      </c>
      <c r="G657" s="7" t="s">
        <v>3129</v>
      </c>
      <c r="H657" s="8"/>
      <c r="I657" s="14">
        <v>0</v>
      </c>
      <c r="J657" s="14">
        <v>0</v>
      </c>
      <c r="K657" s="6" t="str">
        <f>HYPERLINK("https://www.sprinklr.com","Sprinklr")</f>
        <v>Sprinklr</v>
      </c>
      <c r="L657" s="15">
        <v>4510</v>
      </c>
      <c r="M657" s="15">
        <v>41</v>
      </c>
      <c r="N657" s="15">
        <v>93</v>
      </c>
      <c r="O657" s="9"/>
      <c r="P657" s="10">
        <v>41814.973310185189</v>
      </c>
      <c r="Q657" s="8"/>
      <c r="R657" s="14" t="s">
        <v>3130</v>
      </c>
      <c r="S657" s="7" t="s">
        <v>3131</v>
      </c>
      <c r="T657" s="8"/>
      <c r="U657" s="11" t="str">
        <f>HYPERLINK("https://pbs.twimg.com/profile_images/1321887032260505600/UHC9ZjPt.png","View")</f>
        <v>View</v>
      </c>
      <c r="V657" s="8"/>
      <c r="W657" s="8"/>
      <c r="X657" s="8"/>
      <c r="Y657" s="8"/>
      <c r="Z657" s="8"/>
    </row>
    <row r="658" spans="1:26" ht="13.2">
      <c r="A658" s="13">
        <v>44250.638182870374</v>
      </c>
      <c r="B658" s="6" t="str">
        <f>HYPERLINK("https://twitter.com/couponed_code","@couponed_code")</f>
        <v>@couponed_code</v>
      </c>
      <c r="C658" s="14" t="s">
        <v>2605</v>
      </c>
      <c r="D658" s="14" t="s">
        <v>3132</v>
      </c>
      <c r="E658" s="6" t="str">
        <f>HYPERLINK("https://twitter.com/couponed_code/status/1364218199554748417","1364218199554748417")</f>
        <v>1364218199554748417</v>
      </c>
      <c r="F658" s="7" t="s">
        <v>3133</v>
      </c>
      <c r="G658" s="7" t="s">
        <v>3134</v>
      </c>
      <c r="H658" s="8"/>
      <c r="I658" s="14">
        <v>15</v>
      </c>
      <c r="J658" s="14">
        <v>7</v>
      </c>
      <c r="K658" s="6" t="str">
        <f t="shared" ref="K658:K660" si="105">HYPERLINK("https://mobile.twitter.com","Twitter Web App")</f>
        <v>Twitter Web App</v>
      </c>
      <c r="L658" s="15">
        <v>411</v>
      </c>
      <c r="M658" s="15">
        <v>189</v>
      </c>
      <c r="N658" s="15">
        <v>12</v>
      </c>
      <c r="O658" s="9"/>
      <c r="P658" s="10">
        <v>43795.697094907402</v>
      </c>
      <c r="Q658" s="8"/>
      <c r="R658" s="14" t="s">
        <v>2609</v>
      </c>
      <c r="S658" s="7" t="s">
        <v>249</v>
      </c>
      <c r="T658" s="8"/>
      <c r="U658" s="11" t="str">
        <f>HYPERLINK("https://pbs.twimg.com/profile_images/1199354488051515392/yHRbpMAp.jpg","View")</f>
        <v>View</v>
      </c>
      <c r="V658" s="8"/>
      <c r="W658" s="8"/>
      <c r="X658" s="8"/>
      <c r="Y658" s="8"/>
      <c r="Z658" s="8"/>
    </row>
    <row r="659" spans="1:26" ht="13.2">
      <c r="A659" s="13">
        <v>44250.637719907405</v>
      </c>
      <c r="B659" s="6" t="str">
        <f>HYPERLINK("https://twitter.com/jrdothoughts","@jrdothoughts")</f>
        <v>@jrdothoughts</v>
      </c>
      <c r="C659" s="14" t="s">
        <v>3135</v>
      </c>
      <c r="D659" s="14" t="s">
        <v>3136</v>
      </c>
      <c r="E659" s="6" t="str">
        <f>HYPERLINK("https://twitter.com/jrdothoughts/status/1364218030293741569","1364218030293741569")</f>
        <v>1364218030293741569</v>
      </c>
      <c r="F659" s="7" t="s">
        <v>3137</v>
      </c>
      <c r="G659" s="8"/>
      <c r="H659" s="8"/>
      <c r="I659" s="14">
        <v>3</v>
      </c>
      <c r="J659" s="14">
        <v>3</v>
      </c>
      <c r="K659" s="6" t="str">
        <f t="shared" si="105"/>
        <v>Twitter Web App</v>
      </c>
      <c r="L659" s="15">
        <v>2618</v>
      </c>
      <c r="M659" s="15">
        <v>1218</v>
      </c>
      <c r="N659" s="15">
        <v>438</v>
      </c>
      <c r="O659" s="9"/>
      <c r="P659" s="10">
        <v>40804.714363425926</v>
      </c>
      <c r="Q659" s="8"/>
      <c r="R659" s="14" t="s">
        <v>3138</v>
      </c>
      <c r="S659" s="7" t="s">
        <v>3139</v>
      </c>
      <c r="T659" s="8"/>
      <c r="U659" s="11" t="str">
        <f>HYPERLINK("https://pbs.twimg.com/profile_images/1011600856494505986/nm2klZ1_.jpg","View")</f>
        <v>View</v>
      </c>
      <c r="V659" s="8"/>
      <c r="W659" s="8"/>
      <c r="X659" s="8"/>
      <c r="Y659" s="8"/>
      <c r="Z659" s="8"/>
    </row>
    <row r="660" spans="1:26" ht="13.2">
      <c r="A660" s="13">
        <v>44250.63762731482</v>
      </c>
      <c r="B660" s="6" t="str">
        <f>HYPERLINK("https://twitter.com/reconshell","@reconshell")</f>
        <v>@reconshell</v>
      </c>
      <c r="C660" s="14" t="s">
        <v>3140</v>
      </c>
      <c r="D660" s="14" t="s">
        <v>3141</v>
      </c>
      <c r="E660" s="6" t="str">
        <f>HYPERLINK("https://twitter.com/reconshell/status/1364218000006516738","1364218000006516738")</f>
        <v>1364218000006516738</v>
      </c>
      <c r="F660" s="7" t="s">
        <v>3142</v>
      </c>
      <c r="G660" s="8"/>
      <c r="H660" s="8"/>
      <c r="I660" s="14">
        <v>7</v>
      </c>
      <c r="J660" s="14">
        <v>5</v>
      </c>
      <c r="K660" s="6" t="str">
        <f t="shared" si="105"/>
        <v>Twitter Web App</v>
      </c>
      <c r="L660" s="15">
        <v>462</v>
      </c>
      <c r="M660" s="15">
        <v>348</v>
      </c>
      <c r="N660" s="15">
        <v>8</v>
      </c>
      <c r="O660" s="9"/>
      <c r="P660" s="10">
        <v>44070.744930555556</v>
      </c>
      <c r="Q660" s="7" t="s">
        <v>3143</v>
      </c>
      <c r="R660" s="14" t="s">
        <v>3144</v>
      </c>
      <c r="S660" s="7" t="s">
        <v>3145</v>
      </c>
      <c r="T660" s="8"/>
      <c r="U660" s="11" t="str">
        <f>HYPERLINK("https://pbs.twimg.com/profile_images/1343105217219289088/z1MkqnKr.jpg","View")</f>
        <v>View</v>
      </c>
      <c r="V660" s="8"/>
      <c r="W660" s="8"/>
      <c r="X660" s="8"/>
      <c r="Y660" s="8"/>
      <c r="Z660" s="8"/>
    </row>
    <row r="661" spans="1:26" ht="13.2">
      <c r="A661" s="13">
        <v>44250.637048611112</v>
      </c>
      <c r="B661" s="6" t="str">
        <f>HYPERLINK("https://twitter.com/BrankoBoro","@BrankoBoro")</f>
        <v>@BrankoBoro</v>
      </c>
      <c r="C661" s="14" t="s">
        <v>3146</v>
      </c>
      <c r="D661" s="14" t="s">
        <v>3147</v>
      </c>
      <c r="E661" s="6" t="str">
        <f>HYPERLINK("https://twitter.com/BrankoBoro/status/1364217788324274182","1364217788324274182")</f>
        <v>1364217788324274182</v>
      </c>
      <c r="F661" s="14" t="s">
        <v>3148</v>
      </c>
      <c r="G661" s="8"/>
      <c r="H661" s="8"/>
      <c r="I661" s="14">
        <v>1</v>
      </c>
      <c r="J661" s="14">
        <v>3</v>
      </c>
      <c r="K661" s="6" t="str">
        <f t="shared" ref="K661:K662" si="106">HYPERLINK("http://twinybots.com","TwinyBots")</f>
        <v>TwinyBots</v>
      </c>
      <c r="L661" s="15">
        <v>1564</v>
      </c>
      <c r="M661" s="15">
        <v>1414</v>
      </c>
      <c r="N661" s="15">
        <v>16</v>
      </c>
      <c r="O661" s="9"/>
      <c r="P661" s="10">
        <v>41758.65792824074</v>
      </c>
      <c r="Q661" s="14" t="s">
        <v>3149</v>
      </c>
      <c r="R661" s="14" t="s">
        <v>3150</v>
      </c>
      <c r="S661" s="7" t="s">
        <v>3151</v>
      </c>
      <c r="T661" s="8"/>
      <c r="U661" s="11" t="str">
        <f>HYPERLINK("https://pbs.twimg.com/profile_images/1137048121459060739/c9tNcG8J.png","View")</f>
        <v>View</v>
      </c>
      <c r="V661" s="8"/>
      <c r="W661" s="8"/>
      <c r="X661" s="8"/>
      <c r="Y661" s="8"/>
      <c r="Z661" s="8"/>
    </row>
    <row r="662" spans="1:26" ht="13.2">
      <c r="A662" s="13">
        <v>44250.637002314819</v>
      </c>
      <c r="B662" s="6" t="str">
        <f>HYPERLINK("https://twitter.com/naikrd","@naikrd")</f>
        <v>@naikrd</v>
      </c>
      <c r="C662" s="14" t="s">
        <v>3152</v>
      </c>
      <c r="D662" s="14" t="s">
        <v>3153</v>
      </c>
      <c r="E662" s="6" t="str">
        <f>HYPERLINK("https://twitter.com/naikrd/status/1364217771039547394","1364217771039547394")</f>
        <v>1364217771039547394</v>
      </c>
      <c r="F662" s="14" t="s">
        <v>3154</v>
      </c>
      <c r="G662" s="8"/>
      <c r="H662" s="8"/>
      <c r="I662" s="14">
        <v>1</v>
      </c>
      <c r="J662" s="14">
        <v>2</v>
      </c>
      <c r="K662" s="6" t="str">
        <f t="shared" si="106"/>
        <v>TwinyBots</v>
      </c>
      <c r="L662" s="15">
        <v>525</v>
      </c>
      <c r="M662" s="15">
        <v>297</v>
      </c>
      <c r="N662" s="15">
        <v>25</v>
      </c>
      <c r="O662" s="9"/>
      <c r="P662" s="10">
        <v>39946.865474537037</v>
      </c>
      <c r="Q662" s="14" t="s">
        <v>914</v>
      </c>
      <c r="R662" s="14" t="s">
        <v>3155</v>
      </c>
      <c r="S662" s="8"/>
      <c r="T662" s="8"/>
      <c r="U662" s="11" t="str">
        <f>HYPERLINK("https://pbs.twimg.com/profile_images/1185037441696174080/kw-QxCdn.jpg","View")</f>
        <v>View</v>
      </c>
      <c r="V662" s="8"/>
      <c r="W662" s="8"/>
      <c r="X662" s="8"/>
      <c r="Y662" s="8"/>
      <c r="Z662" s="8"/>
    </row>
    <row r="663" spans="1:26" ht="13.2">
      <c r="A663" s="13">
        <v>44250.636967592596</v>
      </c>
      <c r="B663" s="6" t="str">
        <f>HYPERLINK("https://twitter.com/_Harinivas_","@_Harinivas_")</f>
        <v>@_Harinivas_</v>
      </c>
      <c r="C663" s="14" t="s">
        <v>3156</v>
      </c>
      <c r="D663" s="14" t="s">
        <v>3157</v>
      </c>
      <c r="E663" s="6" t="str">
        <f>HYPERLINK("https://twitter.com/_Harinivas_/status/1364217757856714755","1364217757856714755")</f>
        <v>1364217757856714755</v>
      </c>
      <c r="F663" s="8"/>
      <c r="G663" s="7" t="s">
        <v>3158</v>
      </c>
      <c r="H663" s="8"/>
      <c r="I663" s="14">
        <v>1</v>
      </c>
      <c r="J663" s="14">
        <v>3</v>
      </c>
      <c r="K663" s="6" t="str">
        <f>HYPERLINK("http://twitter.com/download/android","Twitter for Android")</f>
        <v>Twitter for Android</v>
      </c>
      <c r="L663" s="15">
        <v>16</v>
      </c>
      <c r="M663" s="15">
        <v>85</v>
      </c>
      <c r="N663" s="15">
        <v>0</v>
      </c>
      <c r="O663" s="9"/>
      <c r="P663" s="10">
        <v>44245.6091087963</v>
      </c>
      <c r="Q663" s="8"/>
      <c r="R663" s="14" t="s">
        <v>3159</v>
      </c>
      <c r="S663" s="8"/>
      <c r="T663" s="8"/>
      <c r="U663" s="11" t="str">
        <f>HYPERLINK("https://pbs.twimg.com/profile_images/1363061419797716994/2Yn7O2fH.jpg","View")</f>
        <v>View</v>
      </c>
      <c r="V663" s="8"/>
      <c r="W663" s="8"/>
      <c r="X663" s="8"/>
      <c r="Y663" s="8"/>
      <c r="Z663" s="8"/>
    </row>
    <row r="664" spans="1:26" ht="13.2">
      <c r="A664" s="13">
        <v>44250.636504629627</v>
      </c>
      <c r="B664" s="6" t="str">
        <f>HYPERLINK("https://twitter.com/machinelearnflx","@machinelearnflx")</f>
        <v>@machinelearnflx</v>
      </c>
      <c r="C664" s="14" t="s">
        <v>279</v>
      </c>
      <c r="D664" s="14" t="s">
        <v>3160</v>
      </c>
      <c r="E664" s="6" t="str">
        <f>HYPERLINK("https://twitter.com/machinelearnflx/status/1364217592655839237","1364217592655839237")</f>
        <v>1364217592655839237</v>
      </c>
      <c r="F664" s="7" t="s">
        <v>3161</v>
      </c>
      <c r="G664" s="8"/>
      <c r="H664" s="8"/>
      <c r="I664" s="14">
        <v>2</v>
      </c>
      <c r="J664" s="14">
        <v>9</v>
      </c>
      <c r="K664" s="6" t="str">
        <f>HYPERLINK("https://twitter.com/pythonbot_","Postmatico")</f>
        <v>Postmatico</v>
      </c>
      <c r="L664" s="15">
        <v>90451</v>
      </c>
      <c r="M664" s="15">
        <v>35464</v>
      </c>
      <c r="N664" s="15">
        <v>2227</v>
      </c>
      <c r="O664" s="9"/>
      <c r="P664" s="10">
        <v>42386.538865740746</v>
      </c>
      <c r="Q664" s="8"/>
      <c r="R664" s="14" t="s">
        <v>282</v>
      </c>
      <c r="S664" s="7" t="s">
        <v>283</v>
      </c>
      <c r="T664" s="8"/>
      <c r="U664" s="11" t="str">
        <f>HYPERLINK("https://pbs.twimg.com/profile_images/688735459892195329/v8sHaWSG.jpg","View")</f>
        <v>View</v>
      </c>
      <c r="V664" s="8"/>
      <c r="W664" s="8"/>
      <c r="X664" s="8"/>
      <c r="Y664" s="8"/>
      <c r="Z664" s="8"/>
    </row>
    <row r="665" spans="1:26" ht="13.2">
      <c r="A665" s="13">
        <v>44250.636446759258</v>
      </c>
      <c r="B665" s="6" t="str">
        <f>HYPERLINK("https://twitter.com/HarbRimah","@HarbRimah")</f>
        <v>@HarbRimah</v>
      </c>
      <c r="C665" s="14" t="s">
        <v>2837</v>
      </c>
      <c r="D665" s="14" t="s">
        <v>3162</v>
      </c>
      <c r="E665" s="6" t="str">
        <f>HYPERLINK("https://twitter.com/HarbRimah/status/1364217571122282496","1364217571122282496")</f>
        <v>1364217571122282496</v>
      </c>
      <c r="F665" s="7" t="s">
        <v>3163</v>
      </c>
      <c r="G665" s="8"/>
      <c r="H665" s="8"/>
      <c r="I665" s="14">
        <v>38</v>
      </c>
      <c r="J665" s="14">
        <v>20</v>
      </c>
      <c r="K665" s="6" t="str">
        <f>HYPERLINK("https://mobile.twitter.com","Twitter Web App")</f>
        <v>Twitter Web App</v>
      </c>
      <c r="L665" s="15">
        <v>8983</v>
      </c>
      <c r="M665" s="15">
        <v>4886</v>
      </c>
      <c r="N665" s="15">
        <v>675</v>
      </c>
      <c r="O665" s="9"/>
      <c r="P665" s="10">
        <v>41198.440601851849</v>
      </c>
      <c r="Q665" s="8"/>
      <c r="R665" s="14" t="s">
        <v>2838</v>
      </c>
      <c r="S665" s="8"/>
      <c r="T665" s="8"/>
      <c r="U665" s="11" t="str">
        <f>HYPERLINK("https://pbs.twimg.com/profile_images/909317895355863040/ls7cAjxm.jpg","View")</f>
        <v>View</v>
      </c>
      <c r="V665" s="8"/>
      <c r="W665" s="8"/>
      <c r="X665" s="8"/>
      <c r="Y665" s="8"/>
      <c r="Z665" s="8"/>
    </row>
    <row r="666" spans="1:26" ht="13.2">
      <c r="A666" s="13">
        <v>44250.636226851857</v>
      </c>
      <c r="B666" s="6" t="str">
        <f>HYPERLINK("https://twitter.com/hashem25","@hashem25")</f>
        <v>@hashem25</v>
      </c>
      <c r="C666" s="14" t="s">
        <v>3164</v>
      </c>
      <c r="D666" s="14" t="s">
        <v>3165</v>
      </c>
      <c r="E666" s="6" t="str">
        <f>HYPERLINK("https://twitter.com/hashem25/status/1364217489274601480","1364217489274601480")</f>
        <v>1364217489274601480</v>
      </c>
      <c r="F666" s="7" t="s">
        <v>3166</v>
      </c>
      <c r="G666" s="8"/>
      <c r="H666" s="8"/>
      <c r="I666" s="14">
        <v>1</v>
      </c>
      <c r="J666" s="14">
        <v>2</v>
      </c>
      <c r="K666" s="6" t="str">
        <f>HYPERLINK("http://twinybots.com","TwinyBots")</f>
        <v>TwinyBots</v>
      </c>
      <c r="L666" s="15">
        <v>2283</v>
      </c>
      <c r="M666" s="15">
        <v>2047</v>
      </c>
      <c r="N666" s="15">
        <v>93</v>
      </c>
      <c r="O666" s="9"/>
      <c r="P666" s="10">
        <v>39985.529166666667</v>
      </c>
      <c r="Q666" s="14" t="s">
        <v>3167</v>
      </c>
      <c r="R666" s="14" t="s">
        <v>3168</v>
      </c>
      <c r="S666" s="8"/>
      <c r="T666" s="8"/>
      <c r="U666" s="11" t="str">
        <f>HYPERLINK("https://pbs.twimg.com/profile_images/605251240675573761/Ldc2HXa7.jpg","View")</f>
        <v>View</v>
      </c>
      <c r="V666" s="8"/>
      <c r="W666" s="8"/>
      <c r="X666" s="8"/>
      <c r="Y666" s="8"/>
      <c r="Z666" s="8"/>
    </row>
    <row r="667" spans="1:26" ht="13.2">
      <c r="A667" s="13">
        <v>44250.636122685188</v>
      </c>
      <c r="B667" s="6" t="str">
        <f>HYPERLINK("https://twitter.com/BirisIlias","@BirisIlias")</f>
        <v>@BirisIlias</v>
      </c>
      <c r="C667" s="14" t="s">
        <v>3169</v>
      </c>
      <c r="D667" s="14" t="s">
        <v>3170</v>
      </c>
      <c r="E667" s="6" t="str">
        <f>HYPERLINK("https://twitter.com/BirisIlias/status/1364217452658380803","1364217452658380803")</f>
        <v>1364217452658380803</v>
      </c>
      <c r="F667" s="7" t="s">
        <v>3171</v>
      </c>
      <c r="G667" s="8"/>
      <c r="H667" s="8"/>
      <c r="I667" s="14">
        <v>1</v>
      </c>
      <c r="J667" s="14">
        <v>2</v>
      </c>
      <c r="K667" s="6" t="str">
        <f>HYPERLINK("https://buffer.com","Buffer")</f>
        <v>Buffer</v>
      </c>
      <c r="L667" s="15">
        <v>150</v>
      </c>
      <c r="M667" s="15">
        <v>629</v>
      </c>
      <c r="N667" s="15">
        <v>6</v>
      </c>
      <c r="O667" s="9"/>
      <c r="P667" s="10">
        <v>43313.706608796296</v>
      </c>
      <c r="Q667" s="8"/>
      <c r="R667" s="14" t="s">
        <v>3172</v>
      </c>
      <c r="S667" s="8"/>
      <c r="T667" s="8"/>
      <c r="U667" s="11" t="str">
        <f>HYPERLINK("https://pbs.twimg.com/profile_images/1030029486430011393/qhP6lzgT.jpg","View")</f>
        <v>View</v>
      </c>
      <c r="V667" s="8"/>
      <c r="W667" s="8"/>
      <c r="X667" s="8"/>
      <c r="Y667" s="8"/>
      <c r="Z667" s="8"/>
    </row>
    <row r="668" spans="1:26" ht="13.2">
      <c r="A668" s="13">
        <v>44250.635844907403</v>
      </c>
      <c r="B668" s="6" t="str">
        <f>HYPERLINK("https://twitter.com/MedicaliPhone","@MedicaliPhone")</f>
        <v>@MedicaliPhone</v>
      </c>
      <c r="C668" s="14" t="s">
        <v>269</v>
      </c>
      <c r="D668" s="14" t="s">
        <v>2481</v>
      </c>
      <c r="E668" s="6" t="str">
        <f>HYPERLINK("https://twitter.com/MedicaliPhone/status/1364217354037719040","1364217354037719040")</f>
        <v>1364217354037719040</v>
      </c>
      <c r="F668" s="14" t="s">
        <v>2482</v>
      </c>
      <c r="G668" s="8"/>
      <c r="H668" s="8"/>
      <c r="I668" s="14">
        <v>1</v>
      </c>
      <c r="J668" s="14">
        <v>2</v>
      </c>
      <c r="K668" s="6" t="str">
        <f>HYPERLINK("http://twinybots.com","TwinyBots")</f>
        <v>TwinyBots</v>
      </c>
      <c r="L668" s="15">
        <v>18689</v>
      </c>
      <c r="M668" s="15">
        <v>19077</v>
      </c>
      <c r="N668" s="15">
        <v>450</v>
      </c>
      <c r="O668" s="9"/>
      <c r="P668" s="10">
        <v>39978.071932870371</v>
      </c>
      <c r="Q668" s="14" t="s">
        <v>270</v>
      </c>
      <c r="R668" s="14" t="s">
        <v>271</v>
      </c>
      <c r="S668" s="7" t="s">
        <v>272</v>
      </c>
      <c r="T668" s="8"/>
      <c r="U668" s="11" t="str">
        <f>HYPERLINK("https://pbs.twimg.com/profile_images/671869096389021696/Z1Kr3P0K.png","View")</f>
        <v>View</v>
      </c>
      <c r="V668" s="8"/>
      <c r="W668" s="8"/>
      <c r="X668" s="8"/>
      <c r="Y668" s="8"/>
      <c r="Z668" s="8"/>
    </row>
    <row r="669" spans="1:26" ht="13.2">
      <c r="A669" s="13">
        <v>44250.635763888888</v>
      </c>
      <c r="B669" s="6" t="str">
        <f>HYPERLINK("https://twitter.com/JyotiSahai","@JyotiSahai")</f>
        <v>@JyotiSahai</v>
      </c>
      <c r="C669" s="14" t="s">
        <v>3173</v>
      </c>
      <c r="D669" s="14" t="s">
        <v>3174</v>
      </c>
      <c r="E669" s="6" t="str">
        <f>HYPERLINK("https://twitter.com/JyotiSahai/status/1364217322458673156","1364217322458673156")</f>
        <v>1364217322458673156</v>
      </c>
      <c r="F669" s="7" t="s">
        <v>3175</v>
      </c>
      <c r="G669" s="8"/>
      <c r="H669" s="8"/>
      <c r="I669" s="14">
        <v>4</v>
      </c>
      <c r="J669" s="14">
        <v>3</v>
      </c>
      <c r="K669" s="6" t="str">
        <f t="shared" ref="K669:K670" si="107">HYPERLINK("https://mobile.twitter.com","Twitter Web App")</f>
        <v>Twitter Web App</v>
      </c>
      <c r="L669" s="15">
        <v>426</v>
      </c>
      <c r="M669" s="15">
        <v>595</v>
      </c>
      <c r="N669" s="15">
        <v>12</v>
      </c>
      <c r="O669" s="9"/>
      <c r="P669" s="10">
        <v>41622.584618055553</v>
      </c>
      <c r="Q669" s="14" t="s">
        <v>3176</v>
      </c>
      <c r="R669" s="14" t="s">
        <v>3177</v>
      </c>
      <c r="S669" s="7" t="s">
        <v>3178</v>
      </c>
      <c r="T669" s="8"/>
      <c r="U669" s="11" t="str">
        <f>HYPERLINK("https://pbs.twimg.com/profile_images/414052426824421376/3G4eYsXQ.jpeg","View")</f>
        <v>View</v>
      </c>
      <c r="V669" s="8"/>
      <c r="W669" s="8"/>
      <c r="X669" s="8"/>
      <c r="Y669" s="8"/>
      <c r="Z669" s="8"/>
    </row>
    <row r="670" spans="1:26" ht="13.2">
      <c r="A670" s="13">
        <v>44250.635624999995</v>
      </c>
      <c r="B670" s="6" t="str">
        <f>HYPERLINK("https://twitter.com/HarbRimah","@HarbRimah")</f>
        <v>@HarbRimah</v>
      </c>
      <c r="C670" s="14" t="s">
        <v>2837</v>
      </c>
      <c r="D670" s="14" t="s">
        <v>3179</v>
      </c>
      <c r="E670" s="6" t="str">
        <f>HYPERLINK("https://twitter.com/HarbRimah/status/1364217271699259396","1364217271699259396")</f>
        <v>1364217271699259396</v>
      </c>
      <c r="F670" s="7" t="s">
        <v>3180</v>
      </c>
      <c r="G670" s="8"/>
      <c r="H670" s="8"/>
      <c r="I670" s="14">
        <v>27</v>
      </c>
      <c r="J670" s="14">
        <v>19</v>
      </c>
      <c r="K670" s="6" t="str">
        <f t="shared" si="107"/>
        <v>Twitter Web App</v>
      </c>
      <c r="L670" s="15">
        <v>8983</v>
      </c>
      <c r="M670" s="15">
        <v>4886</v>
      </c>
      <c r="N670" s="15">
        <v>675</v>
      </c>
      <c r="O670" s="9"/>
      <c r="P670" s="10">
        <v>41198.440601851849</v>
      </c>
      <c r="Q670" s="8"/>
      <c r="R670" s="14" t="s">
        <v>2838</v>
      </c>
      <c r="S670" s="8"/>
      <c r="T670" s="8"/>
      <c r="U670" s="11" t="str">
        <f>HYPERLINK("https://pbs.twimg.com/profile_images/909317895355863040/ls7cAjxm.jpg","View")</f>
        <v>View</v>
      </c>
      <c r="V670" s="8"/>
      <c r="W670" s="8"/>
      <c r="X670" s="8"/>
      <c r="Y670" s="8"/>
      <c r="Z670" s="8"/>
    </row>
    <row r="671" spans="1:26" ht="13.2">
      <c r="A671" s="13">
        <v>44250.635601851856</v>
      </c>
      <c r="B671" s="6" t="str">
        <f>HYPERLINK("https://twitter.com/linguica_trader","@linguica_trader")</f>
        <v>@linguica_trader</v>
      </c>
      <c r="C671" s="14" t="s">
        <v>3181</v>
      </c>
      <c r="D671" s="14" t="s">
        <v>3182</v>
      </c>
      <c r="E671" s="6" t="str">
        <f>HYPERLINK("https://twitter.com/linguica_trader/status/1364217264594124806","1364217264594124806")</f>
        <v>1364217264594124806</v>
      </c>
      <c r="F671" s="8"/>
      <c r="G671" s="8"/>
      <c r="H671" s="8"/>
      <c r="I671" s="14">
        <v>0</v>
      </c>
      <c r="J671" s="14">
        <v>1</v>
      </c>
      <c r="K671" s="6" t="str">
        <f>HYPERLINK("http://twitter.com/download/android","Twitter for Android")</f>
        <v>Twitter for Android</v>
      </c>
      <c r="L671" s="15">
        <v>20</v>
      </c>
      <c r="M671" s="15">
        <v>106</v>
      </c>
      <c r="N671" s="15">
        <v>0</v>
      </c>
      <c r="O671" s="9"/>
      <c r="P671" s="10">
        <v>43944.152546296296</v>
      </c>
      <c r="Q671" s="14" t="s">
        <v>3183</v>
      </c>
      <c r="R671" s="14" t="s">
        <v>3184</v>
      </c>
      <c r="S671" s="7" t="s">
        <v>3185</v>
      </c>
      <c r="T671" s="8"/>
      <c r="U671" s="11" t="str">
        <f>HYPERLINK("https://pbs.twimg.com/profile_images/1335248549341179905/fbVSeN65.jpg","View")</f>
        <v>View</v>
      </c>
      <c r="V671" s="8"/>
      <c r="W671" s="8"/>
      <c r="X671" s="8"/>
      <c r="Y671" s="8"/>
      <c r="Z671" s="8"/>
    </row>
    <row r="672" spans="1:26" ht="13.2">
      <c r="A672" s="13">
        <v>44250.635416666672</v>
      </c>
      <c r="B672" s="6" t="str">
        <f>HYPERLINK("https://twitter.com/couponfree01","@couponfree01")</f>
        <v>@couponfree01</v>
      </c>
      <c r="C672" s="14" t="s">
        <v>3074</v>
      </c>
      <c r="D672" s="14" t="s">
        <v>3186</v>
      </c>
      <c r="E672" s="6" t="str">
        <f>HYPERLINK("https://twitter.com/couponfree01/status/1364217197195915268","1364217197195915268")</f>
        <v>1364217197195915268</v>
      </c>
      <c r="F672" s="7" t="s">
        <v>3187</v>
      </c>
      <c r="G672" s="8"/>
      <c r="H672" s="8"/>
      <c r="I672" s="14">
        <v>10</v>
      </c>
      <c r="J672" s="14">
        <v>3</v>
      </c>
      <c r="K672" s="6" t="str">
        <f>HYPERLINK("https://about.twitter.com/products/tweetdeck","TweetDeck")</f>
        <v>TweetDeck</v>
      </c>
      <c r="L672" s="15">
        <v>2207</v>
      </c>
      <c r="M672" s="15">
        <v>4235</v>
      </c>
      <c r="N672" s="15">
        <v>28</v>
      </c>
      <c r="O672" s="9"/>
      <c r="P672" s="10">
        <v>43164.382303240738</v>
      </c>
      <c r="Q672" s="14" t="s">
        <v>3077</v>
      </c>
      <c r="R672" s="14" t="s">
        <v>3078</v>
      </c>
      <c r="S672" s="8"/>
      <c r="T672" s="8"/>
      <c r="U672" s="11" t="str">
        <f>HYPERLINK("https://pbs.twimg.com/profile_images/970573416821547009/oDkr4BWt.jpg","View")</f>
        <v>View</v>
      </c>
      <c r="V672" s="8"/>
      <c r="W672" s="8"/>
      <c r="X672" s="8"/>
      <c r="Y672" s="8"/>
      <c r="Z672" s="8"/>
    </row>
    <row r="673" spans="1:26" ht="13.2">
      <c r="A673" s="13">
        <v>44250.635405092587</v>
      </c>
      <c r="B673" s="6" t="str">
        <f>HYPERLINK("https://twitter.com/TeldatCorp","@TeldatCorp")</f>
        <v>@TeldatCorp</v>
      </c>
      <c r="C673" s="14" t="s">
        <v>3188</v>
      </c>
      <c r="D673" s="14" t="s">
        <v>3189</v>
      </c>
      <c r="E673" s="6" t="str">
        <f>HYPERLINK("https://twitter.com/TeldatCorp/status/1364217192783503362","1364217192783503362")</f>
        <v>1364217192783503362</v>
      </c>
      <c r="F673" s="7" t="s">
        <v>3190</v>
      </c>
      <c r="G673" s="7" t="s">
        <v>3191</v>
      </c>
      <c r="H673" s="8"/>
      <c r="I673" s="14">
        <v>5</v>
      </c>
      <c r="J673" s="14">
        <v>4</v>
      </c>
      <c r="K673" s="6" t="str">
        <f t="shared" ref="K673:K679" si="108">HYPERLINK("https://mobile.twitter.com","Twitter Web App")</f>
        <v>Twitter Web App</v>
      </c>
      <c r="L673" s="15">
        <v>2037</v>
      </c>
      <c r="M673" s="15">
        <v>1491</v>
      </c>
      <c r="N673" s="15">
        <v>321</v>
      </c>
      <c r="O673" s="9"/>
      <c r="P673" s="10">
        <v>41457.489386574074</v>
      </c>
      <c r="Q673" s="14" t="s">
        <v>75</v>
      </c>
      <c r="R673" s="14" t="s">
        <v>3192</v>
      </c>
      <c r="S673" s="7" t="s">
        <v>3193</v>
      </c>
      <c r="T673" s="8"/>
      <c r="U673" s="11" t="str">
        <f>HYPERLINK("https://pbs.twimg.com/profile_images/976387744422416384/ECvPSB0l.jpg","View")</f>
        <v>View</v>
      </c>
      <c r="V673" s="8"/>
      <c r="W673" s="8"/>
      <c r="X673" s="8"/>
      <c r="Y673" s="8"/>
      <c r="Z673" s="8"/>
    </row>
    <row r="674" spans="1:26" ht="13.2">
      <c r="A674" s="13">
        <v>44250.635393518518</v>
      </c>
      <c r="B674" s="6" t="str">
        <f>HYPERLINK("https://twitter.com/darkwolfsolves","@darkwolfsolves")</f>
        <v>@darkwolfsolves</v>
      </c>
      <c r="C674" s="14" t="s">
        <v>3194</v>
      </c>
      <c r="D674" s="14" t="s">
        <v>3195</v>
      </c>
      <c r="E674" s="6" t="str">
        <f>HYPERLINK("https://twitter.com/darkwolfsolves/status/1364217188081688576","1364217188081688576")</f>
        <v>1364217188081688576</v>
      </c>
      <c r="F674" s="7" t="s">
        <v>3196</v>
      </c>
      <c r="G674" s="8"/>
      <c r="H674" s="8"/>
      <c r="I674" s="14">
        <v>3</v>
      </c>
      <c r="J674" s="14">
        <v>3</v>
      </c>
      <c r="K674" s="6" t="str">
        <f t="shared" si="108"/>
        <v>Twitter Web App</v>
      </c>
      <c r="L674" s="15">
        <v>51</v>
      </c>
      <c r="M674" s="15">
        <v>30</v>
      </c>
      <c r="N674" s="15">
        <v>1</v>
      </c>
      <c r="O674" s="9"/>
      <c r="P674" s="10">
        <v>43484.070844907408</v>
      </c>
      <c r="Q674" s="14" t="s">
        <v>3197</v>
      </c>
      <c r="R674" s="14" t="s">
        <v>3198</v>
      </c>
      <c r="S674" s="7" t="s">
        <v>3199</v>
      </c>
      <c r="T674" s="8"/>
      <c r="U674" s="11" t="str">
        <f>HYPERLINK("https://pbs.twimg.com/profile_images/1087725281958232064/3gijNeI5.jpg","View")</f>
        <v>View</v>
      </c>
      <c r="V674" s="8"/>
      <c r="W674" s="8"/>
      <c r="X674" s="8"/>
      <c r="Y674" s="8"/>
      <c r="Z674" s="8"/>
    </row>
    <row r="675" spans="1:26" ht="13.2">
      <c r="A675" s="13">
        <v>44250.635347222225</v>
      </c>
      <c r="B675" s="6" t="str">
        <f>HYPERLINK("https://twitter.com/Ronald_vanLoon","@Ronald_vanLoon")</f>
        <v>@Ronald_vanLoon</v>
      </c>
      <c r="C675" s="14" t="s">
        <v>2433</v>
      </c>
      <c r="D675" s="14" t="s">
        <v>3200</v>
      </c>
      <c r="E675" s="6" t="str">
        <f>HYPERLINK("https://twitter.com/Ronald_vanLoon/status/1364217174496264192","1364217174496264192")</f>
        <v>1364217174496264192</v>
      </c>
      <c r="F675" s="7" t="s">
        <v>3201</v>
      </c>
      <c r="G675" s="7" t="s">
        <v>3202</v>
      </c>
      <c r="H675" s="8"/>
      <c r="I675" s="14">
        <v>9</v>
      </c>
      <c r="J675" s="14">
        <v>6</v>
      </c>
      <c r="K675" s="6" t="str">
        <f t="shared" si="108"/>
        <v>Twitter Web App</v>
      </c>
      <c r="L675" s="15">
        <v>239362</v>
      </c>
      <c r="M675" s="15">
        <v>180517</v>
      </c>
      <c r="N675" s="15">
        <v>5589</v>
      </c>
      <c r="O675" s="9"/>
      <c r="P675" s="10">
        <v>41015.413553240738</v>
      </c>
      <c r="Q675" s="14" t="s">
        <v>1141</v>
      </c>
      <c r="R675" s="14" t="s">
        <v>2437</v>
      </c>
      <c r="S675" s="7" t="s">
        <v>2438</v>
      </c>
      <c r="T675" s="8"/>
      <c r="U675" s="11" t="str">
        <f>HYPERLINK("https://pbs.twimg.com/profile_images/1107936345769607169/sJKWJd7g.png","View")</f>
        <v>View</v>
      </c>
      <c r="V675" s="8"/>
      <c r="W675" s="8"/>
      <c r="X675" s="8"/>
      <c r="Y675" s="8"/>
      <c r="Z675" s="8"/>
    </row>
    <row r="676" spans="1:26" ht="13.2">
      <c r="A676" s="13">
        <v>44250.635300925926</v>
      </c>
      <c r="B676" s="6" t="str">
        <f>HYPERLINK("https://twitter.com/GlobaltechO","@GlobaltechO")</f>
        <v>@GlobaltechO</v>
      </c>
      <c r="C676" s="14" t="s">
        <v>3203</v>
      </c>
      <c r="D676" s="14" t="s">
        <v>3204</v>
      </c>
      <c r="E676" s="6" t="str">
        <f>HYPERLINK("https://twitter.com/GlobaltechO/status/1364217157328887809","1364217157328887809")</f>
        <v>1364217157328887809</v>
      </c>
      <c r="F676" s="7" t="s">
        <v>3205</v>
      </c>
      <c r="G676" s="8"/>
      <c r="H676" s="8"/>
      <c r="I676" s="14">
        <v>1</v>
      </c>
      <c r="J676" s="14">
        <v>2</v>
      </c>
      <c r="K676" s="6" t="str">
        <f t="shared" si="108"/>
        <v>Twitter Web App</v>
      </c>
      <c r="L676" s="15">
        <v>646</v>
      </c>
      <c r="M676" s="15">
        <v>41</v>
      </c>
      <c r="N676" s="15">
        <v>0</v>
      </c>
      <c r="O676" s="9"/>
      <c r="P676" s="10">
        <v>43960.528680555552</v>
      </c>
      <c r="Q676" s="14" t="s">
        <v>364</v>
      </c>
      <c r="R676" s="14" t="s">
        <v>3206</v>
      </c>
      <c r="S676" s="7" t="s">
        <v>3207</v>
      </c>
      <c r="T676" s="8"/>
      <c r="U676" s="11" t="str">
        <f>HYPERLINK("https://pbs.twimg.com/profile_images/1259072981675806720/Vj3Qqifz.jpg","View")</f>
        <v>View</v>
      </c>
      <c r="V676" s="8"/>
      <c r="W676" s="8"/>
      <c r="X676" s="8"/>
      <c r="Y676" s="8"/>
      <c r="Z676" s="8"/>
    </row>
    <row r="677" spans="1:26" ht="13.2">
      <c r="A677" s="13">
        <v>44250.635266203702</v>
      </c>
      <c r="B677" s="6" t="str">
        <f>HYPERLINK("https://twitter.com/Raghadalkhati14","@Raghadalkhati14")</f>
        <v>@Raghadalkhati14</v>
      </c>
      <c r="C677" s="14" t="s">
        <v>3208</v>
      </c>
      <c r="D677" s="14" t="s">
        <v>3209</v>
      </c>
      <c r="E677" s="6" t="str">
        <f>HYPERLINK("https://twitter.com/Raghadalkhati14/status/1364217141755576322","1364217141755576322")</f>
        <v>1364217141755576322</v>
      </c>
      <c r="F677" s="8"/>
      <c r="G677" s="7" t="s">
        <v>3210</v>
      </c>
      <c r="H677" s="8"/>
      <c r="I677" s="14">
        <v>4</v>
      </c>
      <c r="J677" s="14">
        <v>3</v>
      </c>
      <c r="K677" s="6" t="str">
        <f t="shared" si="108"/>
        <v>Twitter Web App</v>
      </c>
      <c r="L677" s="15">
        <v>1</v>
      </c>
      <c r="M677" s="15">
        <v>23</v>
      </c>
      <c r="N677" s="15">
        <v>0</v>
      </c>
      <c r="O677" s="9"/>
      <c r="P677" s="10">
        <v>44206.480474537035</v>
      </c>
      <c r="Q677" s="8"/>
      <c r="R677" s="14" t="s">
        <v>3211</v>
      </c>
      <c r="S677" s="8"/>
      <c r="T677" s="8"/>
      <c r="U677" s="11" t="str">
        <f>HYPERLINK("https://pbs.twimg.com/profile_images/1348223918897819649/bzpLmDi2.jpg","View")</f>
        <v>View</v>
      </c>
      <c r="V677" s="8"/>
      <c r="W677" s="8"/>
      <c r="X677" s="8"/>
      <c r="Y677" s="8"/>
      <c r="Z677" s="8"/>
    </row>
    <row r="678" spans="1:26" ht="13.2">
      <c r="A678" s="13">
        <v>44250.634884259256</v>
      </c>
      <c r="B678" s="6" t="str">
        <f>HYPERLINK("https://twitter.com/HySpeedGeo","@HySpeedGeo")</f>
        <v>@HySpeedGeo</v>
      </c>
      <c r="C678" s="14" t="s">
        <v>2884</v>
      </c>
      <c r="D678" s="14" t="s">
        <v>3212</v>
      </c>
      <c r="E678" s="6" t="str">
        <f>HYPERLINK("https://twitter.com/HySpeedGeo/status/1364217005344251913","1364217005344251913")</f>
        <v>1364217005344251913</v>
      </c>
      <c r="F678" s="7" t="s">
        <v>3213</v>
      </c>
      <c r="G678" s="8"/>
      <c r="H678" s="8"/>
      <c r="I678" s="14">
        <v>2</v>
      </c>
      <c r="J678" s="14">
        <v>3</v>
      </c>
      <c r="K678" s="6" t="str">
        <f t="shared" si="108"/>
        <v>Twitter Web App</v>
      </c>
      <c r="L678" s="15">
        <v>62</v>
      </c>
      <c r="M678" s="15">
        <v>0</v>
      </c>
      <c r="N678" s="15">
        <v>2</v>
      </c>
      <c r="O678" s="9"/>
      <c r="P678" s="10">
        <v>43654.688657407409</v>
      </c>
      <c r="Q678" s="8"/>
      <c r="R678" s="14" t="s">
        <v>2888</v>
      </c>
      <c r="S678" s="7" t="s">
        <v>2889</v>
      </c>
      <c r="T678" s="8"/>
      <c r="U678" s="11" t="str">
        <f>HYPERLINK("https://pbs.twimg.com/profile_images/1148242877207711745/ARtY8dZE.png","View")</f>
        <v>View</v>
      </c>
      <c r="V678" s="8"/>
      <c r="W678" s="8"/>
      <c r="X678" s="8"/>
      <c r="Y678" s="8"/>
      <c r="Z678" s="8"/>
    </row>
    <row r="679" spans="1:26" ht="13.2">
      <c r="A679" s="13">
        <v>44250.633750000001</v>
      </c>
      <c r="B679" s="6" t="str">
        <f>HYPERLINK("https://twitter.com/TheEcoPreneurs","@TheEcoPreneurs")</f>
        <v>@TheEcoPreneurs</v>
      </c>
      <c r="C679" s="14" t="s">
        <v>2973</v>
      </c>
      <c r="D679" s="14" t="s">
        <v>3214</v>
      </c>
      <c r="E679" s="6" t="str">
        <f>HYPERLINK("https://twitter.com/TheEcoPreneurs/status/1364216593387986950","1364216593387986950")</f>
        <v>1364216593387986950</v>
      </c>
      <c r="F679" s="7" t="s">
        <v>3215</v>
      </c>
      <c r="G679" s="7" t="s">
        <v>3216</v>
      </c>
      <c r="H679" s="8"/>
      <c r="I679" s="14">
        <v>7</v>
      </c>
      <c r="J679" s="14">
        <v>6</v>
      </c>
      <c r="K679" s="6" t="str">
        <f t="shared" si="108"/>
        <v>Twitter Web App</v>
      </c>
      <c r="L679" s="15">
        <v>109</v>
      </c>
      <c r="M679" s="15">
        <v>11</v>
      </c>
      <c r="N679" s="15">
        <v>1</v>
      </c>
      <c r="O679" s="9"/>
      <c r="P679" s="10">
        <v>41969.313090277778</v>
      </c>
      <c r="Q679" s="14" t="s">
        <v>2977</v>
      </c>
      <c r="R679" s="14" t="s">
        <v>2978</v>
      </c>
      <c r="S679" s="7" t="s">
        <v>2979</v>
      </c>
      <c r="T679" s="8"/>
      <c r="U679" s="11" t="str">
        <f>HYPERLINK("https://pbs.twimg.com/profile_images/574247870347415552/mdFe5izN.png","View")</f>
        <v>View</v>
      </c>
      <c r="V679" s="8"/>
      <c r="W679" s="8"/>
      <c r="X679" s="8"/>
      <c r="Y679" s="8"/>
      <c r="Z679" s="8"/>
    </row>
    <row r="680" spans="1:26" ht="13.2">
      <c r="A680" s="13">
        <v>44250.633703703701</v>
      </c>
      <c r="B680" s="6" t="str">
        <f>HYPERLINK("https://twitter.com/milocamj","@milocamj")</f>
        <v>@milocamj</v>
      </c>
      <c r="C680" s="14" t="s">
        <v>1805</v>
      </c>
      <c r="D680" s="14" t="s">
        <v>3217</v>
      </c>
      <c r="E680" s="6" t="str">
        <f>HYPERLINK("https://twitter.com/milocamj/status/1364216575373418496","1364216575373418496")</f>
        <v>1364216575373418496</v>
      </c>
      <c r="F680" s="7" t="s">
        <v>3218</v>
      </c>
      <c r="G680" s="8"/>
      <c r="H680" s="8"/>
      <c r="I680" s="14">
        <v>1</v>
      </c>
      <c r="J680" s="14">
        <v>2</v>
      </c>
      <c r="K680" s="6" t="str">
        <f>HYPERLINK("https://dlvrit.com/","dlvr.it")</f>
        <v>dlvr.it</v>
      </c>
      <c r="L680" s="15">
        <v>2595</v>
      </c>
      <c r="M680" s="15">
        <v>48</v>
      </c>
      <c r="N680" s="15">
        <v>1282</v>
      </c>
      <c r="O680" s="9"/>
      <c r="P680" s="10">
        <v>39904.699837962966</v>
      </c>
      <c r="Q680" s="14" t="s">
        <v>1809</v>
      </c>
      <c r="R680" s="14" t="s">
        <v>1810</v>
      </c>
      <c r="S680" s="7" t="s">
        <v>1811</v>
      </c>
      <c r="T680" s="8"/>
      <c r="U680" s="11" t="str">
        <f>HYPERLINK("https://pbs.twimg.com/profile_images/1108578778018709505/56I0aOhL.jpg","View")</f>
        <v>View</v>
      </c>
      <c r="V680" s="8"/>
      <c r="W680" s="8"/>
      <c r="X680" s="8"/>
      <c r="Y680" s="8"/>
      <c r="Z680" s="8"/>
    </row>
    <row r="681" spans="1:26" ht="13.2">
      <c r="A681" s="13">
        <v>44250.633657407408</v>
      </c>
      <c r="B681" s="6" t="str">
        <f>HYPERLINK("https://twitter.com/HarbRimah","@HarbRimah")</f>
        <v>@HarbRimah</v>
      </c>
      <c r="C681" s="14" t="s">
        <v>2837</v>
      </c>
      <c r="D681" s="14" t="s">
        <v>3219</v>
      </c>
      <c r="E681" s="6" t="str">
        <f>HYPERLINK("https://twitter.com/HarbRimah/status/1364216558092967941","1364216558092967941")</f>
        <v>1364216558092967941</v>
      </c>
      <c r="F681" s="7" t="s">
        <v>3220</v>
      </c>
      <c r="G681" s="8"/>
      <c r="H681" s="8"/>
      <c r="I681" s="14">
        <v>26</v>
      </c>
      <c r="J681" s="14">
        <v>15</v>
      </c>
      <c r="K681" s="6" t="str">
        <f t="shared" ref="K681:K682" si="109">HYPERLINK("https://mobile.twitter.com","Twitter Web App")</f>
        <v>Twitter Web App</v>
      </c>
      <c r="L681" s="15">
        <v>8983</v>
      </c>
      <c r="M681" s="15">
        <v>4886</v>
      </c>
      <c r="N681" s="15">
        <v>675</v>
      </c>
      <c r="O681" s="9"/>
      <c r="P681" s="10">
        <v>41198.440601851849</v>
      </c>
      <c r="Q681" s="8"/>
      <c r="R681" s="14" t="s">
        <v>2838</v>
      </c>
      <c r="S681" s="8"/>
      <c r="T681" s="8"/>
      <c r="U681" s="11" t="str">
        <f>HYPERLINK("https://pbs.twimg.com/profile_images/909317895355863040/ls7cAjxm.jpg","View")</f>
        <v>View</v>
      </c>
      <c r="V681" s="8"/>
      <c r="W681" s="8"/>
      <c r="X681" s="8"/>
      <c r="Y681" s="8"/>
      <c r="Z681" s="8"/>
    </row>
    <row r="682" spans="1:26" ht="13.2">
      <c r="A682" s="13">
        <v>44250.633414351847</v>
      </c>
      <c r="B682" s="6" t="str">
        <f>HYPERLINK("https://twitter.com/narrasoft","@narrasoft")</f>
        <v>@narrasoft</v>
      </c>
      <c r="C682" s="14" t="s">
        <v>3221</v>
      </c>
      <c r="D682" s="14" t="s">
        <v>3222</v>
      </c>
      <c r="E682" s="6" t="str">
        <f>HYPERLINK("https://twitter.com/narrasoft/status/1364216470889136130","1364216470889136130")</f>
        <v>1364216470889136130</v>
      </c>
      <c r="F682" s="7" t="s">
        <v>3223</v>
      </c>
      <c r="G682" s="7" t="s">
        <v>3224</v>
      </c>
      <c r="H682" s="8"/>
      <c r="I682" s="14">
        <v>8</v>
      </c>
      <c r="J682" s="14">
        <v>8</v>
      </c>
      <c r="K682" s="6" t="str">
        <f t="shared" si="109"/>
        <v>Twitter Web App</v>
      </c>
      <c r="L682" s="15">
        <v>754</v>
      </c>
      <c r="M682" s="15">
        <v>615</v>
      </c>
      <c r="N682" s="15">
        <v>14</v>
      </c>
      <c r="O682" s="9"/>
      <c r="P682" s="10">
        <v>40107.669409722221</v>
      </c>
      <c r="Q682" s="14" t="s">
        <v>3225</v>
      </c>
      <c r="R682" s="14" t="s">
        <v>3226</v>
      </c>
      <c r="S682" s="7" t="s">
        <v>3227</v>
      </c>
      <c r="T682" s="8"/>
      <c r="U682" s="11" t="str">
        <f>HYPERLINK("https://pbs.twimg.com/profile_images/1313855645905416192/6z2DTzp3.jpg","View")</f>
        <v>View</v>
      </c>
      <c r="V682" s="8"/>
      <c r="W682" s="8"/>
      <c r="X682" s="8"/>
      <c r="Y682" s="8"/>
      <c r="Z682" s="8"/>
    </row>
    <row r="683" spans="1:26" ht="13.2">
      <c r="A683" s="13">
        <v>44250.632662037038</v>
      </c>
      <c r="B683" s="6" t="str">
        <f>HYPERLINK("https://twitter.com/danieluriol","@danieluriol")</f>
        <v>@danieluriol</v>
      </c>
      <c r="C683" s="14" t="s">
        <v>517</v>
      </c>
      <c r="D683" s="14" t="s">
        <v>3228</v>
      </c>
      <c r="E683" s="6" t="str">
        <f>HYPERLINK("https://twitter.com/danieluriol/status/1364216197991059460","1364216197991059460")</f>
        <v>1364216197991059460</v>
      </c>
      <c r="F683" s="7" t="s">
        <v>3229</v>
      </c>
      <c r="G683" s="7" t="s">
        <v>3230</v>
      </c>
      <c r="H683" s="8"/>
      <c r="I683" s="14">
        <v>3</v>
      </c>
      <c r="J683" s="14">
        <v>1</v>
      </c>
      <c r="K683" s="6" t="str">
        <f>HYPERLINK("https://buffer.com","Buffer")</f>
        <v>Buffer</v>
      </c>
      <c r="L683" s="15">
        <v>3441</v>
      </c>
      <c r="M683" s="15">
        <v>455</v>
      </c>
      <c r="N683" s="15">
        <v>8</v>
      </c>
      <c r="O683" s="9"/>
      <c r="P683" s="10">
        <v>39707.014618055553</v>
      </c>
      <c r="Q683" s="8"/>
      <c r="R683" s="14" t="s">
        <v>521</v>
      </c>
      <c r="S683" s="7" t="s">
        <v>522</v>
      </c>
      <c r="T683" s="8"/>
      <c r="U683" s="11" t="str">
        <f>HYPERLINK("https://pbs.twimg.com/profile_images/1284935813604814848/mVDJVdEi.jpg","View")</f>
        <v>View</v>
      </c>
      <c r="V683" s="8"/>
      <c r="W683" s="8"/>
      <c r="X683" s="8"/>
      <c r="Y683" s="8"/>
      <c r="Z683" s="8"/>
    </row>
    <row r="684" spans="1:26" ht="13.2">
      <c r="A684" s="13">
        <v>44250.632476851853</v>
      </c>
      <c r="B684" s="6" t="str">
        <f>HYPERLINK("https://twitter.com/AlexanderNet","@AlexanderNet")</f>
        <v>@AlexanderNet</v>
      </c>
      <c r="C684" s="14" t="s">
        <v>3231</v>
      </c>
      <c r="D684" s="14" t="s">
        <v>3232</v>
      </c>
      <c r="E684" s="6" t="str">
        <f>HYPERLINK("https://twitter.com/AlexanderNet/status/1364216132295655424","1364216132295655424")</f>
        <v>1364216132295655424</v>
      </c>
      <c r="F684" s="7" t="s">
        <v>3233</v>
      </c>
      <c r="G684" s="8"/>
      <c r="H684" s="8"/>
      <c r="I684" s="14">
        <v>0</v>
      </c>
      <c r="J684" s="14">
        <v>0</v>
      </c>
      <c r="K684" s="6" t="str">
        <f>HYPERLINK("https://paper.li","Paper.li")</f>
        <v>Paper.li</v>
      </c>
      <c r="L684" s="15">
        <v>10567</v>
      </c>
      <c r="M684" s="15">
        <v>4338</v>
      </c>
      <c r="N684" s="15">
        <v>162</v>
      </c>
      <c r="O684" s="9"/>
      <c r="P684" s="10">
        <v>39818.857222222221</v>
      </c>
      <c r="Q684" s="14" t="s">
        <v>322</v>
      </c>
      <c r="R684" s="14" t="s">
        <v>3234</v>
      </c>
      <c r="S684" s="7" t="s">
        <v>3235</v>
      </c>
      <c r="T684" s="8"/>
      <c r="U684" s="11" t="str">
        <f>HYPERLINK("https://pbs.twimg.com/profile_images/485171095545196544/bZZkTjT0.png","View")</f>
        <v>View</v>
      </c>
      <c r="V684" s="8"/>
      <c r="W684" s="8"/>
      <c r="X684" s="8"/>
      <c r="Y684" s="8"/>
      <c r="Z684" s="8"/>
    </row>
    <row r="685" spans="1:26" ht="13.2">
      <c r="A685" s="13">
        <v>44250.632395833338</v>
      </c>
      <c r="B685" s="6" t="str">
        <f>HYPERLINK("https://twitter.com/flowrax_x","@flowrax_x")</f>
        <v>@flowrax_x</v>
      </c>
      <c r="C685" s="14" t="s">
        <v>250</v>
      </c>
      <c r="D685" s="14" t="s">
        <v>3236</v>
      </c>
      <c r="E685" s="6" t="str">
        <f>HYPERLINK("https://twitter.com/flowrax_x/status/1364216104793608197","1364216104793608197")</f>
        <v>1364216104793608197</v>
      </c>
      <c r="F685" s="8"/>
      <c r="G685" s="7" t="s">
        <v>3237</v>
      </c>
      <c r="H685" s="8"/>
      <c r="I685" s="14">
        <v>13</v>
      </c>
      <c r="J685" s="14">
        <v>5</v>
      </c>
      <c r="K685" s="6" t="str">
        <f>HYPERLINK("https://www.later.com","LaterMedia")</f>
        <v>LaterMedia</v>
      </c>
      <c r="L685" s="15">
        <v>18</v>
      </c>
      <c r="M685" s="15">
        <v>78</v>
      </c>
      <c r="N685" s="15">
        <v>0</v>
      </c>
      <c r="O685" s="9"/>
      <c r="P685" s="10">
        <v>44238.855486111112</v>
      </c>
      <c r="Q685" s="8"/>
      <c r="R685" s="14" t="s">
        <v>253</v>
      </c>
      <c r="S685" s="7" t="s">
        <v>254</v>
      </c>
      <c r="T685" s="8"/>
      <c r="U685" s="11" t="str">
        <f>HYPERLINK("https://pbs.twimg.com/profile_images/1359948560158978050/uGqG2sUw.jpg","View")</f>
        <v>View</v>
      </c>
      <c r="V685" s="8"/>
      <c r="W685" s="8"/>
      <c r="X685" s="8"/>
      <c r="Y685" s="8"/>
      <c r="Z685" s="8"/>
    </row>
    <row r="686" spans="1:26" ht="13.2">
      <c r="A686" s="13">
        <v>44250.632337962961</v>
      </c>
      <c r="B686" s="6" t="str">
        <f>HYPERLINK("https://twitter.com/guidaautonoma","@guidaautonoma")</f>
        <v>@guidaautonoma</v>
      </c>
      <c r="C686" s="14" t="s">
        <v>2203</v>
      </c>
      <c r="D686" s="14" t="s">
        <v>3238</v>
      </c>
      <c r="E686" s="6" t="str">
        <f>HYPERLINK("https://twitter.com/guidaautonoma/status/1364216082316333056","1364216082316333056")</f>
        <v>1364216082316333056</v>
      </c>
      <c r="F686" s="7" t="s">
        <v>3239</v>
      </c>
      <c r="G686" s="8"/>
      <c r="H686" s="8"/>
      <c r="I686" s="14">
        <v>1</v>
      </c>
      <c r="J686" s="14">
        <v>1</v>
      </c>
      <c r="K686" s="6" t="str">
        <f>HYPERLINK("http://twitter.com/download/android","Twitter for Android")</f>
        <v>Twitter for Android</v>
      </c>
      <c r="L686" s="15">
        <v>7074</v>
      </c>
      <c r="M686" s="15">
        <v>6991</v>
      </c>
      <c r="N686" s="15">
        <v>411</v>
      </c>
      <c r="O686" s="9"/>
      <c r="P686" s="10">
        <v>42496.270833333328</v>
      </c>
      <c r="Q686" s="14" t="s">
        <v>2207</v>
      </c>
      <c r="R686" s="14" t="s">
        <v>2208</v>
      </c>
      <c r="S686" s="7" t="s">
        <v>2209</v>
      </c>
      <c r="T686" s="8"/>
      <c r="U686" s="11" t="str">
        <f>HYPERLINK("https://pbs.twimg.com/profile_images/728675456971583488/AVbaFxlK.jpg","View")</f>
        <v>View</v>
      </c>
      <c r="V686" s="8"/>
      <c r="W686" s="8"/>
      <c r="X686" s="8"/>
      <c r="Y686" s="8"/>
      <c r="Z686" s="8"/>
    </row>
    <row r="687" spans="1:26" ht="13.2">
      <c r="A687" s="13">
        <v>44250.631944444445</v>
      </c>
      <c r="B687" s="6" t="str">
        <f>HYPERLINK("https://twitter.com/couponfree01","@couponfree01")</f>
        <v>@couponfree01</v>
      </c>
      <c r="C687" s="14" t="s">
        <v>3074</v>
      </c>
      <c r="D687" s="14" t="s">
        <v>3240</v>
      </c>
      <c r="E687" s="6" t="str">
        <f>HYPERLINK("https://twitter.com/couponfree01/status/1364215938258591744","1364215938258591744")</f>
        <v>1364215938258591744</v>
      </c>
      <c r="F687" s="7" t="s">
        <v>3241</v>
      </c>
      <c r="G687" s="8"/>
      <c r="H687" s="8"/>
      <c r="I687" s="14">
        <v>12</v>
      </c>
      <c r="J687" s="14">
        <v>3</v>
      </c>
      <c r="K687" s="6" t="str">
        <f>HYPERLINK("https://about.twitter.com/products/tweetdeck","TweetDeck")</f>
        <v>TweetDeck</v>
      </c>
      <c r="L687" s="15">
        <v>2207</v>
      </c>
      <c r="M687" s="15">
        <v>4235</v>
      </c>
      <c r="N687" s="15">
        <v>28</v>
      </c>
      <c r="O687" s="9"/>
      <c r="P687" s="10">
        <v>43164.382303240738</v>
      </c>
      <c r="Q687" s="14" t="s">
        <v>3077</v>
      </c>
      <c r="R687" s="14" t="s">
        <v>3078</v>
      </c>
      <c r="S687" s="8"/>
      <c r="T687" s="8"/>
      <c r="U687" s="11" t="str">
        <f>HYPERLINK("https://pbs.twimg.com/profile_images/970573416821547009/oDkr4BWt.jpg","View")</f>
        <v>View</v>
      </c>
      <c r="V687" s="8"/>
      <c r="W687" s="8"/>
      <c r="X687" s="8"/>
      <c r="Y687" s="8"/>
      <c r="Z687" s="8"/>
    </row>
    <row r="688" spans="1:26" ht="13.2">
      <c r="A688" s="13">
        <v>44250.631712962961</v>
      </c>
      <c r="B688" s="6" t="str">
        <f>HYPERLINK("https://twitter.com/HarbRimah","@HarbRimah")</f>
        <v>@HarbRimah</v>
      </c>
      <c r="C688" s="14" t="s">
        <v>2837</v>
      </c>
      <c r="D688" s="14" t="s">
        <v>3242</v>
      </c>
      <c r="E688" s="6" t="str">
        <f>HYPERLINK("https://twitter.com/HarbRimah/status/1364215856088178689","1364215856088178689")</f>
        <v>1364215856088178689</v>
      </c>
      <c r="F688" s="7" t="s">
        <v>543</v>
      </c>
      <c r="G688" s="8"/>
      <c r="H688" s="8"/>
      <c r="I688" s="14">
        <v>14</v>
      </c>
      <c r="J688" s="14">
        <v>3</v>
      </c>
      <c r="K688" s="6" t="str">
        <f>HYPERLINK("https://mobile.twitter.com","Twitter Web App")</f>
        <v>Twitter Web App</v>
      </c>
      <c r="L688" s="15">
        <v>8983</v>
      </c>
      <c r="M688" s="15">
        <v>4886</v>
      </c>
      <c r="N688" s="15">
        <v>675</v>
      </c>
      <c r="O688" s="9"/>
      <c r="P688" s="10">
        <v>41198.440601851849</v>
      </c>
      <c r="Q688" s="8"/>
      <c r="R688" s="14" t="s">
        <v>2838</v>
      </c>
      <c r="S688" s="8"/>
      <c r="T688" s="8"/>
      <c r="U688" s="11" t="str">
        <f>HYPERLINK("https://pbs.twimg.com/profile_images/909317895355863040/ls7cAjxm.jpg","View")</f>
        <v>View</v>
      </c>
      <c r="V688" s="8"/>
      <c r="W688" s="8"/>
      <c r="X688" s="8"/>
      <c r="Y688" s="8"/>
      <c r="Z688" s="8"/>
    </row>
    <row r="689" spans="1:26" ht="13.2">
      <c r="A689" s="13">
        <v>44250.631504629629</v>
      </c>
      <c r="B689" s="6" t="str">
        <f>HYPERLINK("https://twitter.com/MarkDHeiLong","@MarkDHeiLong")</f>
        <v>@MarkDHeiLong</v>
      </c>
      <c r="C689" s="14" t="s">
        <v>3243</v>
      </c>
      <c r="D689" s="14" t="s">
        <v>3244</v>
      </c>
      <c r="E689" s="6" t="str">
        <f>HYPERLINK("https://twitter.com/MarkDHeiLong/status/1364215780980776962","1364215780980776962")</f>
        <v>1364215780980776962</v>
      </c>
      <c r="F689" s="8"/>
      <c r="G689" s="7" t="s">
        <v>3245</v>
      </c>
      <c r="H689" s="8"/>
      <c r="I689" s="14">
        <v>3</v>
      </c>
      <c r="J689" s="14">
        <v>15</v>
      </c>
      <c r="K689" s="6" t="str">
        <f>HYPERLINK("http://twitter.com/download/iphone","Twitter for iPhone")</f>
        <v>Twitter for iPhone</v>
      </c>
      <c r="L689" s="15">
        <v>479</v>
      </c>
      <c r="M689" s="15">
        <v>3750</v>
      </c>
      <c r="N689" s="15">
        <v>6</v>
      </c>
      <c r="O689" s="9"/>
      <c r="P689" s="10">
        <v>42759.867523148147</v>
      </c>
      <c r="Q689" s="14" t="s">
        <v>3246</v>
      </c>
      <c r="R689" s="14" t="s">
        <v>3247</v>
      </c>
      <c r="S689" s="7" t="s">
        <v>3248</v>
      </c>
      <c r="T689" s="8"/>
      <c r="U689" s="11" t="str">
        <f>HYPERLINK("https://pbs.twimg.com/profile_images/1315669952687484929/3vTeTpt0.jpg","View")</f>
        <v>View</v>
      </c>
      <c r="V689" s="8"/>
      <c r="W689" s="8"/>
      <c r="X689" s="8"/>
      <c r="Y689" s="8"/>
      <c r="Z689" s="8"/>
    </row>
    <row r="690" spans="1:26" ht="13.2">
      <c r="A690" s="13">
        <v>44250.631342592591</v>
      </c>
      <c r="B690" s="6" t="str">
        <f>HYPERLINK("https://twitter.com/Treadstone71LLC","@Treadstone71LLC")</f>
        <v>@Treadstone71LLC</v>
      </c>
      <c r="C690" s="14" t="s">
        <v>3249</v>
      </c>
      <c r="D690" s="14" t="s">
        <v>3250</v>
      </c>
      <c r="E690" s="6" t="str">
        <f>HYPERLINK("https://twitter.com/Treadstone71LLC/status/1364215719735533570","1364215719735533570")</f>
        <v>1364215719735533570</v>
      </c>
      <c r="F690" s="7" t="s">
        <v>3251</v>
      </c>
      <c r="G690" s="8"/>
      <c r="H690" s="8"/>
      <c r="I690" s="14">
        <v>0</v>
      </c>
      <c r="J690" s="14">
        <v>0</v>
      </c>
      <c r="K690" s="6" t="str">
        <f>HYPERLINK("https://paper.li","Paper.li")</f>
        <v>Paper.li</v>
      </c>
      <c r="L690" s="15">
        <v>302717</v>
      </c>
      <c r="M690" s="15">
        <v>5629</v>
      </c>
      <c r="N690" s="15">
        <v>1111</v>
      </c>
      <c r="O690" s="9"/>
      <c r="P690" s="10">
        <v>39865.603807870371</v>
      </c>
      <c r="Q690" s="14" t="s">
        <v>3252</v>
      </c>
      <c r="R690" s="14" t="s">
        <v>3253</v>
      </c>
      <c r="S690" s="7" t="s">
        <v>3254</v>
      </c>
      <c r="T690" s="8"/>
      <c r="U690" s="11" t="str">
        <f>HYPERLINK("https://pbs.twimg.com/profile_images/1257042147649433601/e0gUgrlv.jpg","View")</f>
        <v>View</v>
      </c>
      <c r="V690" s="8"/>
      <c r="W690" s="8"/>
      <c r="X690" s="8"/>
      <c r="Y690" s="8"/>
      <c r="Z690" s="8"/>
    </row>
    <row r="691" spans="1:26" ht="13.2">
      <c r="A691" s="13">
        <v>44250.630856481483</v>
      </c>
      <c r="B691" s="6" t="str">
        <f>HYPERLINK("https://twitter.com/Edge__Tech","@Edge__Tech")</f>
        <v>@Edge__Tech</v>
      </c>
      <c r="C691" s="14" t="s">
        <v>3255</v>
      </c>
      <c r="D691" s="14" t="s">
        <v>3256</v>
      </c>
      <c r="E691" s="6" t="str">
        <f>HYPERLINK("https://twitter.com/Edge__Tech/status/1364215546498207748","1364215546498207748")</f>
        <v>1364215546498207748</v>
      </c>
      <c r="F691" s="7" t="s">
        <v>3257</v>
      </c>
      <c r="G691" s="7" t="s">
        <v>3258</v>
      </c>
      <c r="H691" s="8"/>
      <c r="I691" s="14">
        <v>2</v>
      </c>
      <c r="J691" s="14">
        <v>1</v>
      </c>
      <c r="K691" s="6" t="str">
        <f>HYPERLINK("http://www.mailchimp.com","Mailchimp")</f>
        <v>Mailchimp</v>
      </c>
      <c r="L691" s="15">
        <v>654</v>
      </c>
      <c r="M691" s="15">
        <v>2044</v>
      </c>
      <c r="N691" s="15">
        <v>11</v>
      </c>
      <c r="O691" s="9"/>
      <c r="P691" s="10">
        <v>43346.569756944446</v>
      </c>
      <c r="Q691" s="14" t="s">
        <v>3259</v>
      </c>
      <c r="R691" s="14" t="s">
        <v>3260</v>
      </c>
      <c r="S691" s="7" t="s">
        <v>3261</v>
      </c>
      <c r="T691" s="8"/>
      <c r="U691" s="11" t="str">
        <f>HYPERLINK("https://pbs.twimg.com/profile_images/1036581832928776192/qcEpZsUv.jpg","View")</f>
        <v>View</v>
      </c>
      <c r="V691" s="8"/>
      <c r="W691" s="8"/>
      <c r="X691" s="8"/>
      <c r="Y691" s="8"/>
      <c r="Z691" s="8"/>
    </row>
    <row r="692" spans="1:26" ht="13.2">
      <c r="A692" s="13">
        <v>44250.630775462967</v>
      </c>
      <c r="B692" s="6" t="str">
        <f>HYPERLINK("https://twitter.com/arXiv_Daily","@arXiv_Daily")</f>
        <v>@arXiv_Daily</v>
      </c>
      <c r="C692" s="14" t="s">
        <v>3262</v>
      </c>
      <c r="D692" s="14" t="s">
        <v>3263</v>
      </c>
      <c r="E692" s="6" t="str">
        <f>HYPERLINK("https://twitter.com/arXiv_Daily/status/1364215517058191370","1364215517058191370")</f>
        <v>1364215517058191370</v>
      </c>
      <c r="F692" s="7" t="s">
        <v>3264</v>
      </c>
      <c r="G692" s="8"/>
      <c r="H692" s="8"/>
      <c r="I692" s="14">
        <v>0</v>
      </c>
      <c r="J692" s="14">
        <v>2</v>
      </c>
      <c r="K692" s="6" t="str">
        <f>HYPERLINK("https://deepai.org/","ArXiv Daily")</f>
        <v>ArXiv Daily</v>
      </c>
      <c r="L692" s="15">
        <v>31503</v>
      </c>
      <c r="M692" s="15">
        <v>2032</v>
      </c>
      <c r="N692" s="15">
        <v>444</v>
      </c>
      <c r="O692" s="9"/>
      <c r="P692" s="10">
        <v>43095.185717592598</v>
      </c>
      <c r="Q692" s="14" t="s">
        <v>3265</v>
      </c>
      <c r="R692" s="14" t="s">
        <v>3266</v>
      </c>
      <c r="S692" s="7" t="s">
        <v>3267</v>
      </c>
      <c r="T692" s="8"/>
      <c r="U692" s="11" t="str">
        <f>HYPERLINK("https://pbs.twimg.com/profile_images/945497303036526593/s9LSNZ9p.jpg","View")</f>
        <v>View</v>
      </c>
      <c r="V692" s="8"/>
      <c r="W692" s="8"/>
      <c r="X692" s="8"/>
      <c r="Y692" s="8"/>
      <c r="Z692" s="8"/>
    </row>
    <row r="693" spans="1:26" ht="13.2">
      <c r="A693" s="13">
        <v>44250.630555555559</v>
      </c>
      <c r="B693" s="6" t="str">
        <f>HYPERLINK("https://twitter.com/StrathclydeOA","@StrathclydeOA")</f>
        <v>@StrathclydeOA</v>
      </c>
      <c r="C693" s="14" t="s">
        <v>3268</v>
      </c>
      <c r="D693" s="14" t="s">
        <v>3269</v>
      </c>
      <c r="E693" s="6" t="str">
        <f>HYPERLINK("https://twitter.com/StrathclydeOA/status/1364215435034468355","1364215435034468355")</f>
        <v>1364215435034468355</v>
      </c>
      <c r="F693" s="7" t="s">
        <v>3270</v>
      </c>
      <c r="G693" s="7" t="s">
        <v>3271</v>
      </c>
      <c r="H693" s="8"/>
      <c r="I693" s="14">
        <v>3</v>
      </c>
      <c r="J693" s="14">
        <v>2</v>
      </c>
      <c r="K693" s="6" t="str">
        <f>HYPERLINK("https://about.twitter.com/products/tweetdeck","TweetDeck")</f>
        <v>TweetDeck</v>
      </c>
      <c r="L693" s="15">
        <v>1706</v>
      </c>
      <c r="M693" s="15">
        <v>1462</v>
      </c>
      <c r="N693" s="15">
        <v>144</v>
      </c>
      <c r="O693" s="9"/>
      <c r="P693" s="10">
        <v>42187.557083333333</v>
      </c>
      <c r="Q693" s="14" t="s">
        <v>3272</v>
      </c>
      <c r="R693" s="14" t="s">
        <v>3273</v>
      </c>
      <c r="S693" s="7" t="s">
        <v>3274</v>
      </c>
      <c r="T693" s="8"/>
      <c r="U693" s="11" t="str">
        <f>HYPERLINK("https://pbs.twimg.com/profile_images/843865451650318336/LvZ-l1Rp.jpg","View")</f>
        <v>View</v>
      </c>
      <c r="V693" s="8"/>
      <c r="W693" s="8"/>
      <c r="X693" s="8"/>
      <c r="Y693" s="8"/>
      <c r="Z693" s="8"/>
    </row>
    <row r="694" spans="1:26" ht="13.2">
      <c r="A694" s="13">
        <v>44250.629733796297</v>
      </c>
      <c r="B694" s="6" t="str">
        <f>HYPERLINK("https://twitter.com/CambConsultants","@CambConsultants")</f>
        <v>@CambConsultants</v>
      </c>
      <c r="C694" s="14" t="s">
        <v>3275</v>
      </c>
      <c r="D694" s="14" t="s">
        <v>3276</v>
      </c>
      <c r="E694" s="6" t="str">
        <f>HYPERLINK("https://twitter.com/CambConsultants/status/1364215140300840971","1364215140300840971")</f>
        <v>1364215140300840971</v>
      </c>
      <c r="F694" s="7" t="s">
        <v>3277</v>
      </c>
      <c r="G694" s="8"/>
      <c r="H694" s="8"/>
      <c r="I694" s="14">
        <v>1</v>
      </c>
      <c r="J694" s="14">
        <v>1</v>
      </c>
      <c r="K694" s="6" t="str">
        <f>HYPERLINK("http://www.hubspot.com/","HubSpot")</f>
        <v>HubSpot</v>
      </c>
      <c r="L694" s="15">
        <v>4627</v>
      </c>
      <c r="M694" s="15">
        <v>759</v>
      </c>
      <c r="N694" s="15">
        <v>162</v>
      </c>
      <c r="O694" s="9"/>
      <c r="P694" s="10">
        <v>40098.716168981482</v>
      </c>
      <c r="Q694" s="14" t="s">
        <v>3278</v>
      </c>
      <c r="R694" s="14" t="s">
        <v>3279</v>
      </c>
      <c r="S694" s="7" t="s">
        <v>3280</v>
      </c>
      <c r="T694" s="8"/>
      <c r="U694" s="11" t="str">
        <f>HYPERLINK("https://pbs.twimg.com/profile_images/1278200695280340992/302DQWRJ.jpg","View")</f>
        <v>View</v>
      </c>
      <c r="V694" s="8"/>
      <c r="W694" s="8"/>
      <c r="X694" s="8"/>
      <c r="Y694" s="8"/>
      <c r="Z694" s="8"/>
    </row>
    <row r="695" spans="1:26" ht="13.2">
      <c r="A695" s="13">
        <v>44250.629618055551</v>
      </c>
      <c r="B695" s="6" t="str">
        <f>HYPERLINK("https://twitter.com/flyingeze","@flyingeze")</f>
        <v>@flyingeze</v>
      </c>
      <c r="C695" s="14" t="s">
        <v>3281</v>
      </c>
      <c r="D695" s="14" t="s">
        <v>3282</v>
      </c>
      <c r="E695" s="6" t="str">
        <f>HYPERLINK("https://twitter.com/flyingeze/status/1364215094561808387","1364215094561808387")</f>
        <v>1364215094561808387</v>
      </c>
      <c r="F695" s="7" t="s">
        <v>3283</v>
      </c>
      <c r="G695" s="8"/>
      <c r="H695" s="8"/>
      <c r="I695" s="14">
        <v>1</v>
      </c>
      <c r="J695" s="14">
        <v>1</v>
      </c>
      <c r="K695" s="6" t="str">
        <f>HYPERLINK("https://www.flyingeze.com/","Flying Eze")</f>
        <v>Flying Eze</v>
      </c>
      <c r="L695" s="15">
        <v>1433</v>
      </c>
      <c r="M695" s="15">
        <v>1634</v>
      </c>
      <c r="N695" s="15">
        <v>8</v>
      </c>
      <c r="O695" s="9"/>
      <c r="P695" s="10">
        <v>42072.599085648151</v>
      </c>
      <c r="Q695" s="8"/>
      <c r="R695" s="14" t="s">
        <v>3284</v>
      </c>
      <c r="S695" s="7" t="s">
        <v>3285</v>
      </c>
      <c r="T695" s="8"/>
      <c r="U695" s="11" t="str">
        <f>HYPERLINK("https://pbs.twimg.com/profile_images/1358232226899648515/b752yw6d.jpg","View")</f>
        <v>View</v>
      </c>
      <c r="V695" s="8"/>
      <c r="W695" s="8"/>
      <c r="X695" s="8"/>
      <c r="Y695" s="8"/>
      <c r="Z695" s="8"/>
    </row>
    <row r="696" spans="1:26" ht="13.2">
      <c r="A696" s="13">
        <v>44250.629293981481</v>
      </c>
      <c r="B696" s="6" t="str">
        <f>HYPERLINK("https://twitter.com/BarthsSt","@BarthsSt")</f>
        <v>@BarthsSt</v>
      </c>
      <c r="C696" s="14" t="s">
        <v>3286</v>
      </c>
      <c r="D696" s="14" t="s">
        <v>3287</v>
      </c>
      <c r="E696" s="6" t="str">
        <f>HYPERLINK("https://twitter.com/BarthsSt/status/1364214977666502658","1364214977666502658")</f>
        <v>1364214977666502658</v>
      </c>
      <c r="F696" s="8"/>
      <c r="G696" s="7" t="s">
        <v>3288</v>
      </c>
      <c r="H696" s="8"/>
      <c r="I696" s="14">
        <v>1</v>
      </c>
      <c r="J696" s="14">
        <v>1</v>
      </c>
      <c r="K696" s="6" t="str">
        <f>HYPERLINK("https://mobile.twitter.com","Twitter Web App")</f>
        <v>Twitter Web App</v>
      </c>
      <c r="L696" s="15">
        <v>1</v>
      </c>
      <c r="M696" s="15">
        <v>1</v>
      </c>
      <c r="N696" s="15">
        <v>0</v>
      </c>
      <c r="O696" s="9"/>
      <c r="P696" s="10">
        <v>43983.67050925926</v>
      </c>
      <c r="Q696" s="8"/>
      <c r="R696" s="14" t="s">
        <v>3289</v>
      </c>
      <c r="S696" s="8"/>
      <c r="T696" s="8"/>
      <c r="U696" s="11" t="str">
        <f>HYPERLINK("https://pbs.twimg.com/profile_images/1273641625709711362/yS8GgBL1.jpg","View")</f>
        <v>View</v>
      </c>
      <c r="V696" s="8"/>
      <c r="W696" s="8"/>
      <c r="X696" s="8"/>
      <c r="Y696" s="8"/>
      <c r="Z696" s="8"/>
    </row>
    <row r="697" spans="1:26" ht="13.2">
      <c r="A697" s="13">
        <v>44250.629166666666</v>
      </c>
      <c r="B697" s="6" t="str">
        <f>HYPERLINK("https://twitter.com/LearnEngineeri2","@LearnEngineeri2")</f>
        <v>@LearnEngineeri2</v>
      </c>
      <c r="C697" s="14" t="s">
        <v>3290</v>
      </c>
      <c r="D697" s="14" t="s">
        <v>3291</v>
      </c>
      <c r="E697" s="6" t="str">
        <f>HYPERLINK("https://twitter.com/LearnEngineeri2/status/1364214932091392002","1364214932091392002")</f>
        <v>1364214932091392002</v>
      </c>
      <c r="F697" s="14" t="s">
        <v>3292</v>
      </c>
      <c r="G697" s="7" t="s">
        <v>3293</v>
      </c>
      <c r="H697" s="8"/>
      <c r="I697" s="14">
        <v>6</v>
      </c>
      <c r="J697" s="14">
        <v>3</v>
      </c>
      <c r="K697" s="6" t="str">
        <f>HYPERLINK("https://www.semrush.com/","SEMrush Social Media Tool")</f>
        <v>SEMrush Social Media Tool</v>
      </c>
      <c r="L697" s="15">
        <v>0</v>
      </c>
      <c r="M697" s="15">
        <v>5</v>
      </c>
      <c r="N697" s="15">
        <v>0</v>
      </c>
      <c r="O697" s="9"/>
      <c r="P697" s="10">
        <v>44220.853738425925</v>
      </c>
      <c r="Q697" s="8"/>
      <c r="R697" s="14" t="s">
        <v>3294</v>
      </c>
      <c r="S697" s="8"/>
      <c r="T697" s="8"/>
      <c r="U697" s="11" t="str">
        <f>HYPERLINK("https://pbs.twimg.com/profile_images/1353424777806016514/UEUVkmzY.png","View")</f>
        <v>View</v>
      </c>
      <c r="V697" s="8"/>
      <c r="W697" s="8"/>
      <c r="X697" s="8"/>
      <c r="Y697" s="8"/>
      <c r="Z697" s="8"/>
    </row>
    <row r="698" spans="1:26" ht="13.2">
      <c r="A698" s="13">
        <v>44250.628518518519</v>
      </c>
      <c r="B698" s="6" t="str">
        <f>HYPERLINK("https://twitter.com/machines_data","@machines_data")</f>
        <v>@machines_data</v>
      </c>
      <c r="C698" s="14" t="s">
        <v>3295</v>
      </c>
      <c r="D698" s="14" t="s">
        <v>3296</v>
      </c>
      <c r="E698" s="6" t="str">
        <f>HYPERLINK("https://twitter.com/machines_data/status/1364214697948557313","1364214697948557313")</f>
        <v>1364214697948557313</v>
      </c>
      <c r="F698" s="7" t="s">
        <v>3297</v>
      </c>
      <c r="G698" s="7" t="s">
        <v>3298</v>
      </c>
      <c r="H698" s="8"/>
      <c r="I698" s="14">
        <v>1</v>
      </c>
      <c r="J698" s="14">
        <v>1</v>
      </c>
      <c r="K698" s="6" t="str">
        <f>HYPERLINK("https://buffer.com","Buffer")</f>
        <v>Buffer</v>
      </c>
      <c r="L698" s="15">
        <v>57</v>
      </c>
      <c r="M698" s="15">
        <v>132</v>
      </c>
      <c r="N698" s="15">
        <v>0</v>
      </c>
      <c r="O698" s="9"/>
      <c r="P698" s="10">
        <v>44083.50680555556</v>
      </c>
      <c r="Q698" s="8"/>
      <c r="R698" s="14" t="s">
        <v>3299</v>
      </c>
      <c r="S698" s="7" t="s">
        <v>3300</v>
      </c>
      <c r="T698" s="8"/>
      <c r="U698" s="11" t="str">
        <f>HYPERLINK("https://pbs.twimg.com/profile_images/1314553091618869249/U1eR1q5k.jpg","View")</f>
        <v>View</v>
      </c>
      <c r="V698" s="8"/>
      <c r="W698" s="8"/>
      <c r="X698" s="8"/>
      <c r="Y698" s="8"/>
      <c r="Z698" s="8"/>
    </row>
    <row r="699" spans="1:26" ht="13.2">
      <c r="A699" s="13">
        <v>44250.627546296295</v>
      </c>
      <c r="B699" s="6" t="str">
        <f>HYPERLINK("https://twitter.com/Smartlogic_com","@Smartlogic_com")</f>
        <v>@Smartlogic_com</v>
      </c>
      <c r="C699" s="7" t="s">
        <v>3301</v>
      </c>
      <c r="D699" s="14" t="s">
        <v>3302</v>
      </c>
      <c r="E699" s="6" t="str">
        <f>HYPERLINK("https://twitter.com/Smartlogic_com/status/1364214346843381761","1364214346843381761")</f>
        <v>1364214346843381761</v>
      </c>
      <c r="F699" s="14" t="s">
        <v>3303</v>
      </c>
      <c r="G699" s="7" t="s">
        <v>3304</v>
      </c>
      <c r="H699" s="8"/>
      <c r="I699" s="14">
        <v>3</v>
      </c>
      <c r="J699" s="14">
        <v>2</v>
      </c>
      <c r="K699" s="6" t="str">
        <f t="shared" ref="K699:K700" si="110">HYPERLINK("https://mobile.twitter.com","Twitter Web App")</f>
        <v>Twitter Web App</v>
      </c>
      <c r="L699" s="15">
        <v>3182</v>
      </c>
      <c r="M699" s="15">
        <v>1924</v>
      </c>
      <c r="N699" s="15">
        <v>67</v>
      </c>
      <c r="O699" s="9"/>
      <c r="P699" s="10">
        <v>40302.504699074074</v>
      </c>
      <c r="Q699" s="14" t="s">
        <v>3305</v>
      </c>
      <c r="R699" s="14" t="s">
        <v>3306</v>
      </c>
      <c r="S699" s="7" t="s">
        <v>3307</v>
      </c>
      <c r="T699" s="8"/>
      <c r="U699" s="11" t="str">
        <f>HYPERLINK("https://pbs.twimg.com/profile_images/860131151322767360/v9pF9jYi.jpg","View")</f>
        <v>View</v>
      </c>
      <c r="V699" s="8"/>
      <c r="W699" s="8"/>
      <c r="X699" s="8"/>
      <c r="Y699" s="8"/>
      <c r="Z699" s="8"/>
    </row>
    <row r="700" spans="1:26" ht="13.2">
      <c r="A700" s="13">
        <v>44250.627430555556</v>
      </c>
      <c r="B700" s="6" t="str">
        <f>HYPERLINK("https://twitter.com/nexsoftsys","@nexsoftsys")</f>
        <v>@nexsoftsys</v>
      </c>
      <c r="C700" s="14" t="s">
        <v>3308</v>
      </c>
      <c r="D700" s="14" t="s">
        <v>3309</v>
      </c>
      <c r="E700" s="6" t="str">
        <f>HYPERLINK("https://twitter.com/nexsoftsys/status/1364214301897019392","1364214301897019392")</f>
        <v>1364214301897019392</v>
      </c>
      <c r="F700" s="7" t="s">
        <v>3310</v>
      </c>
      <c r="G700" s="8"/>
      <c r="H700" s="8"/>
      <c r="I700" s="14">
        <v>2</v>
      </c>
      <c r="J700" s="14">
        <v>1</v>
      </c>
      <c r="K700" s="6" t="str">
        <f t="shared" si="110"/>
        <v>Twitter Web App</v>
      </c>
      <c r="L700" s="15">
        <v>618</v>
      </c>
      <c r="M700" s="15">
        <v>427</v>
      </c>
      <c r="N700" s="15">
        <v>0</v>
      </c>
      <c r="O700" s="9"/>
      <c r="P700" s="10">
        <v>42202.36237268518</v>
      </c>
      <c r="Q700" s="14" t="s">
        <v>914</v>
      </c>
      <c r="R700" s="14" t="s">
        <v>3311</v>
      </c>
      <c r="S700" s="7" t="s">
        <v>3312</v>
      </c>
      <c r="T700" s="8"/>
      <c r="U700" s="11" t="str">
        <f>HYPERLINK("https://pbs.twimg.com/profile_images/1029329923519983616/lX9bmiGZ.jpg","View")</f>
        <v>View</v>
      </c>
      <c r="V700" s="8"/>
      <c r="W700" s="8"/>
      <c r="X700" s="8"/>
      <c r="Y700" s="8"/>
      <c r="Z700" s="8"/>
    </row>
    <row r="701" spans="1:26" ht="13.2">
      <c r="A701" s="13">
        <v>44250.627372685187</v>
      </c>
      <c r="B701" s="6" t="str">
        <f>HYPERLINK("https://twitter.com/SureshRukman","@SureshRukman")</f>
        <v>@SureshRukman</v>
      </c>
      <c r="C701" s="14" t="s">
        <v>3313</v>
      </c>
      <c r="D701" s="14" t="s">
        <v>2458</v>
      </c>
      <c r="E701" s="6" t="str">
        <f>HYPERLINK("https://twitter.com/SureshRukman/status/1364214280619503616","1364214280619503616")</f>
        <v>1364214280619503616</v>
      </c>
      <c r="F701" s="14" t="s">
        <v>2459</v>
      </c>
      <c r="G701" s="8"/>
      <c r="H701" s="8"/>
      <c r="I701" s="14">
        <v>1</v>
      </c>
      <c r="J701" s="14">
        <v>1</v>
      </c>
      <c r="K701" s="6" t="str">
        <f>HYPERLINK("http://twinybots.com","TwinyBots")</f>
        <v>TwinyBots</v>
      </c>
      <c r="L701" s="15">
        <v>2176</v>
      </c>
      <c r="M701" s="15">
        <v>2281</v>
      </c>
      <c r="N701" s="15">
        <v>293</v>
      </c>
      <c r="O701" s="9"/>
      <c r="P701" s="10">
        <v>41359.54041666667</v>
      </c>
      <c r="Q701" s="14" t="s">
        <v>2551</v>
      </c>
      <c r="R701" s="14" t="s">
        <v>3314</v>
      </c>
      <c r="S701" s="7" t="s">
        <v>2553</v>
      </c>
      <c r="T701" s="8"/>
      <c r="U701" s="11" t="str">
        <f>HYPERLINK("https://pbs.twimg.com/profile_images/1038762339368087554/JICJ5viP.jpg","View")</f>
        <v>View</v>
      </c>
      <c r="V701" s="8"/>
      <c r="W701" s="8"/>
      <c r="X701" s="8"/>
      <c r="Y701" s="8"/>
      <c r="Z701" s="8"/>
    </row>
    <row r="702" spans="1:26" ht="13.2">
      <c r="A702" s="13">
        <v>44250.627222222218</v>
      </c>
      <c r="B702" s="6" t="str">
        <f>HYPERLINK("https://twitter.com/WhiteheartVic","@WhiteheartVic")</f>
        <v>@WhiteheartVic</v>
      </c>
      <c r="C702" s="14" t="s">
        <v>114</v>
      </c>
      <c r="D702" s="14" t="s">
        <v>3315</v>
      </c>
      <c r="E702" s="6" t="str">
        <f>HYPERLINK("https://twitter.com/WhiteheartVic/status/1364214226361978880","1364214226361978880")</f>
        <v>1364214226361978880</v>
      </c>
      <c r="F702" s="14" t="s">
        <v>3316</v>
      </c>
      <c r="G702" s="8"/>
      <c r="H702" s="8"/>
      <c r="I702" s="14">
        <v>3</v>
      </c>
      <c r="J702" s="14">
        <v>3</v>
      </c>
      <c r="K702" s="6" t="str">
        <f>HYPERLINK("https://mobile.twitter.com","Twitter Web App")</f>
        <v>Twitter Web App</v>
      </c>
      <c r="L702" s="15">
        <v>3146</v>
      </c>
      <c r="M702" s="15">
        <v>4964</v>
      </c>
      <c r="N702" s="15">
        <v>35</v>
      </c>
      <c r="O702" s="9"/>
      <c r="P702" s="10">
        <v>43986.105486111112</v>
      </c>
      <c r="Q702" s="14" t="s">
        <v>118</v>
      </c>
      <c r="R702" s="14" t="s">
        <v>119</v>
      </c>
      <c r="S702" s="8"/>
      <c r="T702" s="8"/>
      <c r="U702" s="11" t="str">
        <f>HYPERLINK("https://pbs.twimg.com/profile_images/1268347384511201283/CHCU-bga.jpg","View")</f>
        <v>View</v>
      </c>
      <c r="V702" s="8"/>
      <c r="W702" s="8"/>
      <c r="X702" s="8"/>
      <c r="Y702" s="8"/>
      <c r="Z702" s="8"/>
    </row>
    <row r="703" spans="1:26" ht="13.2">
      <c r="A703" s="13">
        <v>44250.627152777779</v>
      </c>
      <c r="B703" s="6" t="str">
        <f>HYPERLINK("https://twitter.com/lopezunwired","@lopezunwired")</f>
        <v>@lopezunwired</v>
      </c>
      <c r="C703" s="14" t="s">
        <v>224</v>
      </c>
      <c r="D703" s="14" t="s">
        <v>3317</v>
      </c>
      <c r="E703" s="6" t="str">
        <f>HYPERLINK("https://twitter.com/lopezunwired/status/1364214202190106624","1364214202190106624")</f>
        <v>1364214202190106624</v>
      </c>
      <c r="F703" s="7" t="s">
        <v>3318</v>
      </c>
      <c r="G703" s="7" t="s">
        <v>3319</v>
      </c>
      <c r="H703" s="8"/>
      <c r="I703" s="14">
        <v>3</v>
      </c>
      <c r="J703" s="14">
        <v>2</v>
      </c>
      <c r="K703" s="6" t="str">
        <f>HYPERLINK("https://dlvrit.com/","dlvr.it")</f>
        <v>dlvr.it</v>
      </c>
      <c r="L703" s="15">
        <v>1803</v>
      </c>
      <c r="M703" s="15">
        <v>800</v>
      </c>
      <c r="N703" s="15">
        <v>586</v>
      </c>
      <c r="O703" s="9"/>
      <c r="P703" s="10">
        <v>39831.947152777779</v>
      </c>
      <c r="Q703" s="14" t="s">
        <v>228</v>
      </c>
      <c r="R703" s="14" t="s">
        <v>229</v>
      </c>
      <c r="S703" s="7" t="s">
        <v>230</v>
      </c>
      <c r="T703" s="8"/>
      <c r="U703" s="11" t="str">
        <f>HYPERLINK("https://pbs.twimg.com/profile_images/3326137784/c6c1c2570fc7b9711dd8de812b996a66.jpeg","View")</f>
        <v>View</v>
      </c>
      <c r="V703" s="8"/>
      <c r="W703" s="8"/>
      <c r="X703" s="8"/>
      <c r="Y703" s="8"/>
      <c r="Z703" s="8"/>
    </row>
    <row r="704" spans="1:26" ht="13.2">
      <c r="A704" s="13">
        <v>44250.626793981486</v>
      </c>
      <c r="B704" s="6" t="str">
        <f>HYPERLINK("https://twitter.com/Psik_Network","@Psik_Network")</f>
        <v>@Psik_Network</v>
      </c>
      <c r="C704" s="14" t="s">
        <v>3320</v>
      </c>
      <c r="D704" s="14" t="s">
        <v>3321</v>
      </c>
      <c r="E704" s="6" t="str">
        <f>HYPERLINK("https://twitter.com/Psik_Network/status/1364214073974546434","1364214073974546434")</f>
        <v>1364214073974546434</v>
      </c>
      <c r="F704" s="7" t="s">
        <v>3322</v>
      </c>
      <c r="G704" s="7" t="s">
        <v>3323</v>
      </c>
      <c r="H704" s="8"/>
      <c r="I704" s="14">
        <v>2</v>
      </c>
      <c r="J704" s="14">
        <v>2</v>
      </c>
      <c r="K704" s="6" t="str">
        <f>HYPERLINK("https://mobile.twitter.com","Twitter Web App")</f>
        <v>Twitter Web App</v>
      </c>
      <c r="L704" s="15">
        <v>1715</v>
      </c>
      <c r="M704" s="15">
        <v>1565</v>
      </c>
      <c r="N704" s="15">
        <v>15</v>
      </c>
      <c r="O704" s="9"/>
      <c r="P704" s="10">
        <v>41473.466296296298</v>
      </c>
      <c r="Q704" s="14" t="s">
        <v>3324</v>
      </c>
      <c r="R704" s="14" t="s">
        <v>3325</v>
      </c>
      <c r="S704" s="7" t="s">
        <v>3326</v>
      </c>
      <c r="T704" s="8"/>
      <c r="U704" s="11" t="str">
        <f>HYPERLINK("https://pbs.twimg.com/profile_images/981195067347079170/CaycnmyF.jpg","View")</f>
        <v>View</v>
      </c>
      <c r="V704" s="8"/>
      <c r="W704" s="8"/>
      <c r="X704" s="8"/>
      <c r="Y704" s="8"/>
      <c r="Z704" s="8"/>
    </row>
    <row r="705" spans="1:26" ht="13.2">
      <c r="A705" s="13">
        <v>44250.626516203702</v>
      </c>
      <c r="B705" s="6" t="str">
        <f>HYPERLINK("https://twitter.com/lmacvittie","@lmacvittie")</f>
        <v>@lmacvittie</v>
      </c>
      <c r="C705" s="14" t="s">
        <v>3327</v>
      </c>
      <c r="D705" s="14" t="s">
        <v>3328</v>
      </c>
      <c r="E705" s="6" t="str">
        <f>HYPERLINK("https://twitter.com/lmacvittie/status/1364213972531089408","1364213972531089408")</f>
        <v>1364213972531089408</v>
      </c>
      <c r="F705" s="8"/>
      <c r="G705" s="8"/>
      <c r="H705" s="8"/>
      <c r="I705" s="14">
        <v>1</v>
      </c>
      <c r="J705" s="14">
        <v>5</v>
      </c>
      <c r="K705" s="6" t="str">
        <f>HYPERLINK("https://about.twitter.com/products/tweetdeck","TweetDeck")</f>
        <v>TweetDeck</v>
      </c>
      <c r="L705" s="15">
        <v>8426</v>
      </c>
      <c r="M705" s="15">
        <v>3549</v>
      </c>
      <c r="N705" s="15">
        <v>783</v>
      </c>
      <c r="O705" s="9"/>
      <c r="P705" s="10">
        <v>39321.9377662037</v>
      </c>
      <c r="Q705" s="8"/>
      <c r="R705" s="14" t="s">
        <v>3329</v>
      </c>
      <c r="S705" s="8"/>
      <c r="T705" s="8"/>
      <c r="U705" s="11" t="str">
        <f>HYPERLINK("https://pbs.twimg.com/profile_images/1314175921348399104/2z91Jlmi.jpg","View")</f>
        <v>View</v>
      </c>
      <c r="V705" s="8"/>
      <c r="W705" s="8"/>
      <c r="X705" s="8"/>
      <c r="Y705" s="8"/>
      <c r="Z705" s="8"/>
    </row>
    <row r="706" spans="1:26" ht="13.2">
      <c r="A706" s="13">
        <v>44250.626423611116</v>
      </c>
      <c r="B706" s="6" t="str">
        <f>HYPERLINK("https://twitter.com/Kaam_De","@Kaam_De")</f>
        <v>@Kaam_De</v>
      </c>
      <c r="C706" s="14" t="s">
        <v>3330</v>
      </c>
      <c r="D706" s="14" t="s">
        <v>3331</v>
      </c>
      <c r="E706" s="6" t="str">
        <f>HYPERLINK("https://twitter.com/Kaam_De/status/1364213937294688256","1364213937294688256")</f>
        <v>1364213937294688256</v>
      </c>
      <c r="F706" s="14" t="s">
        <v>3332</v>
      </c>
      <c r="G706" s="7" t="s">
        <v>3333</v>
      </c>
      <c r="H706" s="8"/>
      <c r="I706" s="14">
        <v>1</v>
      </c>
      <c r="J706" s="14">
        <v>1</v>
      </c>
      <c r="K706" s="6" t="str">
        <f>HYPERLINK("https://buffer.com","Buffer")</f>
        <v>Buffer</v>
      </c>
      <c r="L706" s="15">
        <v>298</v>
      </c>
      <c r="M706" s="15">
        <v>137</v>
      </c>
      <c r="N706" s="15">
        <v>1</v>
      </c>
      <c r="O706" s="9"/>
      <c r="P706" s="10">
        <v>41624.102361111109</v>
      </c>
      <c r="Q706" s="14" t="s">
        <v>364</v>
      </c>
      <c r="R706" s="14" t="s">
        <v>3334</v>
      </c>
      <c r="S706" s="7" t="s">
        <v>3335</v>
      </c>
      <c r="T706" s="8"/>
      <c r="U706" s="11" t="str">
        <f>HYPERLINK("https://pbs.twimg.com/profile_images/1276400300312559616/SXMt7V1k.jpg","View")</f>
        <v>View</v>
      </c>
      <c r="V706" s="8"/>
      <c r="W706" s="8"/>
      <c r="X706" s="8"/>
      <c r="Y706" s="8"/>
      <c r="Z706" s="8"/>
    </row>
    <row r="707" spans="1:26" ht="13.2">
      <c r="A707" s="13">
        <v>44250.626111111109</v>
      </c>
      <c r="B707" s="6" t="str">
        <f>HYPERLINK("https://twitter.com/NotRealAI","@NotRealAI")</f>
        <v>@NotRealAI</v>
      </c>
      <c r="C707" s="7" t="s">
        <v>3336</v>
      </c>
      <c r="D707" s="14" t="s">
        <v>3337</v>
      </c>
      <c r="E707" s="6" t="str">
        <f>HYPERLINK("https://twitter.com/NotRealAI/status/1364213825487126535","1364213825487126535")</f>
        <v>1364213825487126535</v>
      </c>
      <c r="F707" s="8"/>
      <c r="G707" s="7" t="s">
        <v>3338</v>
      </c>
      <c r="H707" s="8"/>
      <c r="I707" s="14">
        <v>0</v>
      </c>
      <c r="J707" s="14">
        <v>1</v>
      </c>
      <c r="K707" s="6" t="str">
        <f>HYPERLINK("https://www.later.com","LaterMedia")</f>
        <v>LaterMedia</v>
      </c>
      <c r="L707" s="15">
        <v>784</v>
      </c>
      <c r="M707" s="15">
        <v>3224</v>
      </c>
      <c r="N707" s="15">
        <v>4</v>
      </c>
      <c r="O707" s="9"/>
      <c r="P707" s="10">
        <v>44030.424942129626</v>
      </c>
      <c r="Q707" s="8"/>
      <c r="R707" s="14" t="s">
        <v>3339</v>
      </c>
      <c r="S707" s="7" t="s">
        <v>3340</v>
      </c>
      <c r="T707" s="8"/>
      <c r="U707" s="11" t="str">
        <f>HYPERLINK("https://pbs.twimg.com/profile_images/1364243567154143235/9Zb3NUjd.jpg","View")</f>
        <v>View</v>
      </c>
      <c r="V707" s="8"/>
      <c r="W707" s="8"/>
      <c r="X707" s="8"/>
      <c r="Y707" s="8"/>
      <c r="Z707" s="8"/>
    </row>
    <row r="708" spans="1:26" ht="13.2">
      <c r="A708" s="13">
        <v>44250.625833333332</v>
      </c>
      <c r="B708" s="6" t="str">
        <f>HYPERLINK("https://twitter.com/globaliqx","@globaliqx")</f>
        <v>@globaliqx</v>
      </c>
      <c r="C708" s="14" t="s">
        <v>305</v>
      </c>
      <c r="D708" s="14" t="s">
        <v>3341</v>
      </c>
      <c r="E708" s="6" t="str">
        <f>HYPERLINK("https://twitter.com/globaliqx/status/1364213725822136324","1364213725822136324")</f>
        <v>1364213725822136324</v>
      </c>
      <c r="F708" s="7" t="s">
        <v>3342</v>
      </c>
      <c r="G708" s="7" t="s">
        <v>3343</v>
      </c>
      <c r="H708" s="8"/>
      <c r="I708" s="14">
        <v>7</v>
      </c>
      <c r="J708" s="14">
        <v>7</v>
      </c>
      <c r="K708" s="6" t="str">
        <f t="shared" ref="K708:K710" si="111">HYPERLINK("https://buffer.com","Buffer")</f>
        <v>Buffer</v>
      </c>
      <c r="L708" s="15">
        <v>10339</v>
      </c>
      <c r="M708" s="15">
        <v>7808</v>
      </c>
      <c r="N708" s="15">
        <v>868</v>
      </c>
      <c r="O708" s="9"/>
      <c r="P708" s="10">
        <v>41565.721296296295</v>
      </c>
      <c r="Q708" s="14" t="s">
        <v>309</v>
      </c>
      <c r="R708" s="14" t="s">
        <v>310</v>
      </c>
      <c r="S708" s="7" t="s">
        <v>311</v>
      </c>
      <c r="T708" s="8"/>
      <c r="U708" s="11" t="str">
        <f>HYPERLINK("https://pbs.twimg.com/profile_images/695005663492247556/v0EQSRal.jpg","View")</f>
        <v>View</v>
      </c>
      <c r="V708" s="8"/>
      <c r="W708" s="8"/>
      <c r="X708" s="8"/>
      <c r="Y708" s="8"/>
      <c r="Z708" s="8"/>
    </row>
    <row r="709" spans="1:26" ht="13.2">
      <c r="A709" s="13">
        <v>44250.625798611116</v>
      </c>
      <c r="B709" s="6" t="str">
        <f>HYPERLINK("https://twitter.com/RichardEudes","@RichardEudes")</f>
        <v>@RichardEudes</v>
      </c>
      <c r="C709" s="14" t="s">
        <v>341</v>
      </c>
      <c r="D709" s="14" t="s">
        <v>3344</v>
      </c>
      <c r="E709" s="6" t="str">
        <f>HYPERLINK("https://twitter.com/RichardEudes/status/1364213710340947968","1364213710340947968")</f>
        <v>1364213710340947968</v>
      </c>
      <c r="F709" s="7" t="s">
        <v>3345</v>
      </c>
      <c r="G709" s="8"/>
      <c r="H709" s="8"/>
      <c r="I709" s="14">
        <v>1</v>
      </c>
      <c r="J709" s="14">
        <v>1</v>
      </c>
      <c r="K709" s="6" t="str">
        <f t="shared" si="111"/>
        <v>Buffer</v>
      </c>
      <c r="L709" s="15">
        <v>16960</v>
      </c>
      <c r="M709" s="15">
        <v>1979</v>
      </c>
      <c r="N709" s="15">
        <v>668</v>
      </c>
      <c r="O709" s="9"/>
      <c r="P709" s="10">
        <v>39985.961481481485</v>
      </c>
      <c r="Q709" s="14" t="s">
        <v>106</v>
      </c>
      <c r="R709" s="14" t="s">
        <v>344</v>
      </c>
      <c r="S709" s="7" t="s">
        <v>345</v>
      </c>
      <c r="T709" s="8"/>
      <c r="U709" s="11" t="str">
        <f>HYPERLINK("https://pbs.twimg.com/profile_images/1332753391886491648/I9fBm3kf.jpg","View")</f>
        <v>View</v>
      </c>
      <c r="V709" s="8"/>
      <c r="W709" s="8"/>
      <c r="X709" s="8"/>
      <c r="Y709" s="8"/>
      <c r="Z709" s="8"/>
    </row>
    <row r="710" spans="1:26" ht="13.2">
      <c r="A710" s="13">
        <v>44250.625648148147</v>
      </c>
      <c r="B710" s="6" t="str">
        <f>HYPERLINK("https://twitter.com/ProgrammerWkly","@ProgrammerWkly")</f>
        <v>@ProgrammerWkly</v>
      </c>
      <c r="C710" s="14" t="s">
        <v>1123</v>
      </c>
      <c r="D710" s="14" t="s">
        <v>3346</v>
      </c>
      <c r="E710" s="6" t="str">
        <f>HYPERLINK("https://twitter.com/ProgrammerWkly/status/1364213657442406407","1364213657442406407")</f>
        <v>1364213657442406407</v>
      </c>
      <c r="F710" s="7" t="s">
        <v>3347</v>
      </c>
      <c r="G710" s="7" t="s">
        <v>3348</v>
      </c>
      <c r="H710" s="8"/>
      <c r="I710" s="14">
        <v>2</v>
      </c>
      <c r="J710" s="14">
        <v>1</v>
      </c>
      <c r="K710" s="6" t="str">
        <f t="shared" si="111"/>
        <v>Buffer</v>
      </c>
      <c r="L710" s="15">
        <v>2824</v>
      </c>
      <c r="M710" s="15">
        <v>0</v>
      </c>
      <c r="N710" s="15">
        <v>223</v>
      </c>
      <c r="O710" s="9"/>
      <c r="P710" s="10">
        <v>40501.003148148149</v>
      </c>
      <c r="Q710" s="8"/>
      <c r="R710" s="14" t="s">
        <v>1126</v>
      </c>
      <c r="S710" s="7" t="s">
        <v>1127</v>
      </c>
      <c r="T710" s="8"/>
      <c r="U710" s="11" t="str">
        <f>HYPERLINK("https://pbs.twimg.com/profile_images/1253166237955342336/gol4c3MZ.jpg","View")</f>
        <v>View</v>
      </c>
      <c r="V710" s="8"/>
      <c r="W710" s="8"/>
      <c r="X710" s="8"/>
      <c r="Y710" s="8"/>
      <c r="Z710" s="8"/>
    </row>
    <row r="711" spans="1:26" ht="13.2">
      <c r="A711" s="13">
        <v>44250.625474537039</v>
      </c>
      <c r="B711" s="6" t="str">
        <f>HYPERLINK("https://twitter.com/efipm","@efipm")</f>
        <v>@efipm</v>
      </c>
      <c r="C711" s="14" t="s">
        <v>3349</v>
      </c>
      <c r="D711" s="14" t="s">
        <v>3350</v>
      </c>
      <c r="E711" s="6" t="str">
        <f>HYPERLINK("https://twitter.com/efipm/status/1364213593810624516","1364213593810624516")</f>
        <v>1364213593810624516</v>
      </c>
      <c r="F711" s="7" t="s">
        <v>3351</v>
      </c>
      <c r="G711" s="8"/>
      <c r="H711" s="8"/>
      <c r="I711" s="14">
        <v>2</v>
      </c>
      <c r="J711" s="14">
        <v>3</v>
      </c>
      <c r="K711" s="6" t="str">
        <f>HYPERLINK("https://www.hootsuite.com","Hootsuite Inc.")</f>
        <v>Hootsuite Inc.</v>
      </c>
      <c r="L711" s="15">
        <v>12334</v>
      </c>
      <c r="M711" s="15">
        <v>6500</v>
      </c>
      <c r="N711" s="15">
        <v>653</v>
      </c>
      <c r="O711" s="9"/>
      <c r="P711" s="10">
        <v>40235.705381944441</v>
      </c>
      <c r="Q711" s="14" t="s">
        <v>2424</v>
      </c>
      <c r="R711" s="14" t="s">
        <v>3352</v>
      </c>
      <c r="S711" s="7" t="s">
        <v>3353</v>
      </c>
      <c r="T711" s="8"/>
      <c r="U711" s="11" t="str">
        <f>HYPERLINK("https://pbs.twimg.com/profile_images/1195282385652396033/axe-vhwN.png","View")</f>
        <v>View</v>
      </c>
      <c r="V711" s="8"/>
      <c r="W711" s="8"/>
      <c r="X711" s="8"/>
      <c r="Y711" s="8"/>
      <c r="Z711" s="8"/>
    </row>
    <row r="712" spans="1:26" ht="13.2">
      <c r="A712" s="13">
        <v>44250.625347222223</v>
      </c>
      <c r="B712" s="6" t="str">
        <f>HYPERLINK("https://twitter.com/Deep_In_Depth","@Deep_In_Depth")</f>
        <v>@Deep_In_Depth</v>
      </c>
      <c r="C712" s="14" t="s">
        <v>312</v>
      </c>
      <c r="D712" s="14" t="s">
        <v>3354</v>
      </c>
      <c r="E712" s="6" t="str">
        <f>HYPERLINK("https://twitter.com/Deep_In_Depth/status/1364213548201750530","1364213548201750530")</f>
        <v>1364213548201750530</v>
      </c>
      <c r="F712" s="7" t="s">
        <v>3355</v>
      </c>
      <c r="G712" s="8"/>
      <c r="H712" s="8"/>
      <c r="I712" s="14">
        <v>1</v>
      </c>
      <c r="J712" s="14">
        <v>2</v>
      </c>
      <c r="K712" s="6" t="str">
        <f>HYPERLINK("https://buffer.com","Buffer")</f>
        <v>Buffer</v>
      </c>
      <c r="L712" s="15">
        <v>10954</v>
      </c>
      <c r="M712" s="15">
        <v>9176</v>
      </c>
      <c r="N712" s="15">
        <v>159</v>
      </c>
      <c r="O712" s="9"/>
      <c r="P712" s="10">
        <v>42864.439525462964</v>
      </c>
      <c r="Q712" s="14" t="s">
        <v>315</v>
      </c>
      <c r="R712" s="14" t="s">
        <v>316</v>
      </c>
      <c r="S712" s="7" t="s">
        <v>317</v>
      </c>
      <c r="T712" s="8"/>
      <c r="U712" s="11" t="str">
        <f>HYPERLINK("https://pbs.twimg.com/profile_images/861866967493431296/PIjaSD4g.jpg","View")</f>
        <v>View</v>
      </c>
      <c r="V712" s="8"/>
      <c r="W712" s="8"/>
      <c r="X712" s="8"/>
      <c r="Y712" s="8"/>
      <c r="Z712" s="8"/>
    </row>
    <row r="713" spans="1:26" ht="13.2">
      <c r="A713" s="13">
        <v>44250.6252662037</v>
      </c>
      <c r="B713" s="6" t="str">
        <f>HYPERLINK("https://twitter.com/Diyotta","@Diyotta")</f>
        <v>@Diyotta</v>
      </c>
      <c r="C713" s="14" t="s">
        <v>3356</v>
      </c>
      <c r="D713" s="14" t="s">
        <v>3357</v>
      </c>
      <c r="E713" s="6" t="str">
        <f>HYPERLINK("https://twitter.com/Diyotta/status/1364213517402791936","1364213517402791936")</f>
        <v>1364213517402791936</v>
      </c>
      <c r="F713" s="7" t="s">
        <v>3358</v>
      </c>
      <c r="G713" s="7" t="s">
        <v>3359</v>
      </c>
      <c r="H713" s="8"/>
      <c r="I713" s="14">
        <v>2</v>
      </c>
      <c r="J713" s="14">
        <v>1</v>
      </c>
      <c r="K713" s="6" t="str">
        <f>HYPERLINK("https://social.zoho.com","Zoho Social")</f>
        <v>Zoho Social</v>
      </c>
      <c r="L713" s="15">
        <v>1006</v>
      </c>
      <c r="M713" s="15">
        <v>4747</v>
      </c>
      <c r="N713" s="15">
        <v>74</v>
      </c>
      <c r="O713" s="9"/>
      <c r="P713" s="10">
        <v>41136.208333333336</v>
      </c>
      <c r="Q713" s="14" t="s">
        <v>138</v>
      </c>
      <c r="R713" s="14" t="s">
        <v>3360</v>
      </c>
      <c r="S713" s="7" t="s">
        <v>3361</v>
      </c>
      <c r="T713" s="8"/>
      <c r="U713" s="11" t="str">
        <f>HYPERLINK("https://pbs.twimg.com/profile_images/1308042740811390980/BjL_Kmrj.jpg","View")</f>
        <v>View</v>
      </c>
      <c r="V713" s="8"/>
      <c r="W713" s="8"/>
      <c r="X713" s="8"/>
      <c r="Y713" s="8"/>
      <c r="Z713" s="8"/>
    </row>
    <row r="714" spans="1:26" ht="13.2">
      <c r="A714" s="13">
        <v>44250.625138888892</v>
      </c>
      <c r="B714" s="6" t="str">
        <f>HYPERLINK("https://twitter.com/Geiselsoftware","@Geiselsoftware")</f>
        <v>@Geiselsoftware</v>
      </c>
      <c r="C714" s="14" t="s">
        <v>3362</v>
      </c>
      <c r="D714" s="14" t="s">
        <v>3363</v>
      </c>
      <c r="E714" s="6" t="str">
        <f>HYPERLINK("https://twitter.com/Geiselsoftware/status/1364213471898984462","1364213471898984462")</f>
        <v>1364213471898984462</v>
      </c>
      <c r="F714" s="7" t="s">
        <v>3364</v>
      </c>
      <c r="G714" s="7" t="s">
        <v>3365</v>
      </c>
      <c r="H714" s="8"/>
      <c r="I714" s="14">
        <v>1</v>
      </c>
      <c r="J714" s="14">
        <v>2</v>
      </c>
      <c r="K714" s="6" t="str">
        <f>HYPERLINK("https://buffer.com","Buffer")</f>
        <v>Buffer</v>
      </c>
      <c r="L714" s="15">
        <v>665</v>
      </c>
      <c r="M714" s="15">
        <v>1233</v>
      </c>
      <c r="N714" s="15">
        <v>18</v>
      </c>
      <c r="O714" s="9"/>
      <c r="P714" s="10">
        <v>41358.972581018519</v>
      </c>
      <c r="Q714" s="14" t="s">
        <v>3366</v>
      </c>
      <c r="R714" s="14" t="s">
        <v>3367</v>
      </c>
      <c r="S714" s="7" t="s">
        <v>3368</v>
      </c>
      <c r="T714" s="8"/>
      <c r="U714" s="11" t="str">
        <f>HYPERLINK("https://pbs.twimg.com/profile_images/980804796968992768/6XhT7C3Z.jpg","View")</f>
        <v>View</v>
      </c>
      <c r="V714" s="8"/>
      <c r="W714" s="8"/>
      <c r="X714" s="8"/>
      <c r="Y714" s="8"/>
      <c r="Z714" s="8"/>
    </row>
    <row r="715" spans="1:26" ht="13.2">
      <c r="A715" s="13">
        <v>44250.625104166669</v>
      </c>
      <c r="B715" s="6" t="str">
        <f>HYPERLINK("https://twitter.com/StephanieHeit","@StephanieHeit")</f>
        <v>@StephanieHeit</v>
      </c>
      <c r="C715" s="14" t="s">
        <v>2717</v>
      </c>
      <c r="D715" s="14" t="s">
        <v>3369</v>
      </c>
      <c r="E715" s="6" t="str">
        <f>HYPERLINK("https://twitter.com/StephanieHeit/status/1364213461002035200","1364213461002035200")</f>
        <v>1364213461002035200</v>
      </c>
      <c r="F715" s="14" t="s">
        <v>3370</v>
      </c>
      <c r="G715" s="7" t="s">
        <v>736</v>
      </c>
      <c r="H715" s="8"/>
      <c r="I715" s="14">
        <v>23</v>
      </c>
      <c r="J715" s="14">
        <v>10</v>
      </c>
      <c r="K715" s="6" t="str">
        <f>HYPERLINK("https://socxopte.com/","SocxoPte")</f>
        <v>SocxoPte</v>
      </c>
      <c r="L715" s="15">
        <v>700</v>
      </c>
      <c r="M715" s="15">
        <v>935</v>
      </c>
      <c r="N715" s="15">
        <v>20</v>
      </c>
      <c r="O715" s="9"/>
      <c r="P715" s="10">
        <v>41009.426562499997</v>
      </c>
      <c r="Q715" s="14" t="s">
        <v>2721</v>
      </c>
      <c r="R715" s="14" t="s">
        <v>2722</v>
      </c>
      <c r="S715" s="7" t="s">
        <v>2723</v>
      </c>
      <c r="T715" s="8"/>
      <c r="U715" s="11" t="str">
        <f>HYPERLINK("https://pbs.twimg.com/profile_images/1339304118003838977/I4OKP_qh.jpg","View")</f>
        <v>View</v>
      </c>
      <c r="V715" s="8"/>
      <c r="W715" s="8"/>
      <c r="X715" s="8"/>
      <c r="Y715" s="8"/>
      <c r="Z715" s="8"/>
    </row>
    <row r="716" spans="1:26" ht="13.2">
      <c r="A716" s="13">
        <v>44250.625081018516</v>
      </c>
      <c r="B716" s="6" t="str">
        <f>HYPERLINK("https://twitter.com/ipfconline1","@ipfconline1")</f>
        <v>@ipfconline1</v>
      </c>
      <c r="C716" s="14" t="s">
        <v>65</v>
      </c>
      <c r="D716" s="14" t="s">
        <v>3371</v>
      </c>
      <c r="E716" s="6" t="str">
        <f>HYPERLINK("https://twitter.com/ipfconline1/status/1364213453574074371","1364213453574074371")</f>
        <v>1364213453574074371</v>
      </c>
      <c r="F716" s="7" t="s">
        <v>3372</v>
      </c>
      <c r="G716" s="7" t="s">
        <v>3373</v>
      </c>
      <c r="H716" s="8"/>
      <c r="I716" s="14">
        <v>15</v>
      </c>
      <c r="J716" s="14">
        <v>15</v>
      </c>
      <c r="K716" s="6" t="str">
        <f>HYPERLINK("https://twittimer.com","Twittimer")</f>
        <v>Twittimer</v>
      </c>
      <c r="L716" s="15">
        <v>112675</v>
      </c>
      <c r="M716" s="15">
        <v>107162</v>
      </c>
      <c r="N716" s="15">
        <v>7806</v>
      </c>
      <c r="O716" s="9"/>
      <c r="P716" s="10">
        <v>42433.031967592593</v>
      </c>
      <c r="Q716" s="14" t="s">
        <v>69</v>
      </c>
      <c r="R716" s="14" t="s">
        <v>70</v>
      </c>
      <c r="S716" s="7" t="s">
        <v>71</v>
      </c>
      <c r="T716" s="8"/>
      <c r="U716" s="11" t="str">
        <f>HYPERLINK("https://pbs.twimg.com/profile_images/729065804004769793/St2_Pum9.jpg","View")</f>
        <v>View</v>
      </c>
      <c r="V716" s="8"/>
      <c r="W716" s="8"/>
      <c r="X716" s="8"/>
      <c r="Y716" s="8"/>
      <c r="Z716" s="8"/>
    </row>
    <row r="717" spans="1:26" ht="13.2">
      <c r="A717" s="13">
        <v>44250.625069444446</v>
      </c>
      <c r="B717" s="6" t="str">
        <f>HYPERLINK("https://twitter.com/aitwos","@aitwos")</f>
        <v>@aitwos</v>
      </c>
      <c r="C717" s="14" t="s">
        <v>3374</v>
      </c>
      <c r="D717" s="14" t="s">
        <v>3375</v>
      </c>
      <c r="E717" s="6" t="str">
        <f>HYPERLINK("https://twitter.com/aitwos/status/1364213448587038720","1364213448587038720")</f>
        <v>1364213448587038720</v>
      </c>
      <c r="F717" s="8"/>
      <c r="G717" s="7" t="s">
        <v>3376</v>
      </c>
      <c r="H717" s="8"/>
      <c r="I717" s="14">
        <v>1</v>
      </c>
      <c r="J717" s="14">
        <v>5</v>
      </c>
      <c r="K717" s="6" t="str">
        <f>HYPERLINK("https://mobile.twitter.com","Twitter Web App")</f>
        <v>Twitter Web App</v>
      </c>
      <c r="L717" s="15">
        <v>62</v>
      </c>
      <c r="M717" s="15">
        <v>34</v>
      </c>
      <c r="N717" s="15">
        <v>0</v>
      </c>
      <c r="O717" s="9"/>
      <c r="P717" s="10">
        <v>43896.621203703704</v>
      </c>
      <c r="Q717" s="8"/>
      <c r="R717" s="14" t="s">
        <v>3377</v>
      </c>
      <c r="S717" s="7" t="s">
        <v>3378</v>
      </c>
      <c r="T717" s="8"/>
      <c r="U717" s="11" t="str">
        <f>HYPERLINK("https://pbs.twimg.com/profile_images/1235926843200593920/rBIANcvb.jpg","View")</f>
        <v>View</v>
      </c>
      <c r="V717" s="8"/>
      <c r="W717" s="8"/>
      <c r="X717" s="8"/>
      <c r="Y717" s="8"/>
      <c r="Z717" s="8"/>
    </row>
    <row r="718" spans="1:26" ht="13.2">
      <c r="A718" s="13">
        <v>44250.62501157407</v>
      </c>
      <c r="B718" s="6" t="str">
        <f>HYPERLINK("https://twitter.com/ManningBooks","@ManningBooks")</f>
        <v>@ManningBooks</v>
      </c>
      <c r="C718" s="14" t="s">
        <v>3379</v>
      </c>
      <c r="D718" s="14" t="s">
        <v>3380</v>
      </c>
      <c r="E718" s="6" t="str">
        <f>HYPERLINK("https://twitter.com/ManningBooks/status/1364213427976036355","1364213427976036355")</f>
        <v>1364213427976036355</v>
      </c>
      <c r="F718" s="14" t="s">
        <v>3381</v>
      </c>
      <c r="G718" s="7" t="s">
        <v>3382</v>
      </c>
      <c r="H718" s="8"/>
      <c r="I718" s="14">
        <v>4</v>
      </c>
      <c r="J718" s="14">
        <v>3</v>
      </c>
      <c r="K718" s="6" t="str">
        <f>HYPERLINK("https://about.twitter.com/products/tweetdeck","TweetDeck")</f>
        <v>TweetDeck</v>
      </c>
      <c r="L718" s="15">
        <v>24634</v>
      </c>
      <c r="M718" s="15">
        <v>1409</v>
      </c>
      <c r="N718" s="15">
        <v>1641</v>
      </c>
      <c r="O718" s="9"/>
      <c r="P718" s="10">
        <v>39889.759317129632</v>
      </c>
      <c r="Q718" s="14" t="s">
        <v>3383</v>
      </c>
      <c r="R718" s="14" t="s">
        <v>3384</v>
      </c>
      <c r="S718" s="7" t="s">
        <v>3385</v>
      </c>
      <c r="T718" s="8"/>
      <c r="U718" s="11" t="str">
        <f>HYPERLINK("https://pbs.twimg.com/profile_images/1256298824773050370/j6NVJrcf.jpg","View")</f>
        <v>View</v>
      </c>
      <c r="V718" s="8"/>
      <c r="W718" s="8"/>
      <c r="X718" s="8"/>
      <c r="Y718" s="8"/>
      <c r="Z718" s="8"/>
    </row>
    <row r="719" spans="1:26" ht="13.2">
      <c r="A719" s="13">
        <v>44250.62501157407</v>
      </c>
      <c r="B719" s="6" t="str">
        <f>HYPERLINK("https://twitter.com/therealjpittman","@therealjpittman")</f>
        <v>@therealjpittman</v>
      </c>
      <c r="C719" s="14" t="s">
        <v>3386</v>
      </c>
      <c r="D719" s="14" t="s">
        <v>3387</v>
      </c>
      <c r="E719" s="6" t="str">
        <f>HYPERLINK("https://twitter.com/therealjpittman/status/1364213427670024199","1364213427670024199")</f>
        <v>1364213427670024199</v>
      </c>
      <c r="F719" s="7" t="s">
        <v>3388</v>
      </c>
      <c r="G719" s="8"/>
      <c r="H719" s="8"/>
      <c r="I719" s="14">
        <v>1</v>
      </c>
      <c r="J719" s="14">
        <v>1</v>
      </c>
      <c r="K719" s="6" t="str">
        <f>HYPERLINK("https://github.com/jasonmpittman/retweet-bot-ng","retweet-bot-ng")</f>
        <v>retweet-bot-ng</v>
      </c>
      <c r="L719" s="15">
        <v>776</v>
      </c>
      <c r="M719" s="15">
        <v>749</v>
      </c>
      <c r="N719" s="15">
        <v>106</v>
      </c>
      <c r="O719" s="9"/>
      <c r="P719" s="10">
        <v>41837.757106481484</v>
      </c>
      <c r="Q719" s="14" t="s">
        <v>3389</v>
      </c>
      <c r="R719" s="14" t="s">
        <v>3390</v>
      </c>
      <c r="S719" s="7" t="s">
        <v>3391</v>
      </c>
      <c r="T719" s="8"/>
      <c r="U719" s="11" t="str">
        <f>HYPERLINK("https://pbs.twimg.com/profile_images/1175408228978626561/xVOYMpZ3.jpg","View")</f>
        <v>View</v>
      </c>
      <c r="V719" s="8"/>
      <c r="W719" s="8"/>
      <c r="X719" s="8"/>
      <c r="Y719" s="8"/>
      <c r="Z719" s="8"/>
    </row>
    <row r="720" spans="1:26" ht="13.2">
      <c r="A720" s="13">
        <v>44250.62501157407</v>
      </c>
      <c r="B720" s="6" t="str">
        <f>HYPERLINK("https://twitter.com/SSuccess_data","@SSuccess_data")</f>
        <v>@SSuccess_data</v>
      </c>
      <c r="C720" s="14" t="s">
        <v>1797</v>
      </c>
      <c r="D720" s="14" t="s">
        <v>3392</v>
      </c>
      <c r="E720" s="6" t="str">
        <f>HYPERLINK("https://twitter.com/SSuccess_data/status/1364213425312792584","1364213425312792584")</f>
        <v>1364213425312792584</v>
      </c>
      <c r="F720" s="7" t="s">
        <v>3393</v>
      </c>
      <c r="G720" s="7" t="s">
        <v>3394</v>
      </c>
      <c r="H720" s="8"/>
      <c r="I720" s="14">
        <v>0</v>
      </c>
      <c r="J720" s="14">
        <v>0</v>
      </c>
      <c r="K720" s="6" t="str">
        <f>HYPERLINK("https://social.zoho.com","Zoho Social")</f>
        <v>Zoho Social</v>
      </c>
      <c r="L720" s="15">
        <v>42</v>
      </c>
      <c r="M720" s="15">
        <v>79</v>
      </c>
      <c r="N720" s="15">
        <v>1</v>
      </c>
      <c r="O720" s="9"/>
      <c r="P720" s="10">
        <v>44151.822534722218</v>
      </c>
      <c r="Q720" s="14" t="s">
        <v>1799</v>
      </c>
      <c r="R720" s="14" t="s">
        <v>1800</v>
      </c>
      <c r="S720" s="7" t="s">
        <v>1801</v>
      </c>
      <c r="T720" s="8"/>
      <c r="U720" s="11" t="str">
        <f>HYPERLINK("https://pbs.twimg.com/profile_images/1328414764675063817/b7xikCPd.jpg","View")</f>
        <v>View</v>
      </c>
      <c r="V720" s="8"/>
      <c r="W720" s="8"/>
      <c r="X720" s="8"/>
      <c r="Y720" s="8"/>
      <c r="Z720" s="8"/>
    </row>
    <row r="721" spans="1:26" ht="13.2">
      <c r="A721" s="13">
        <v>44250.624583333338</v>
      </c>
      <c r="B721" s="6" t="str">
        <f>HYPERLINK("https://twitter.com/model_zoo","@model_zoo")</f>
        <v>@model_zoo</v>
      </c>
      <c r="C721" s="14" t="s">
        <v>3395</v>
      </c>
      <c r="D721" s="14" t="s">
        <v>3396</v>
      </c>
      <c r="E721" s="6" t="str">
        <f>HYPERLINK("https://twitter.com/model_zoo/status/1364213271553794052","1364213271553794052")</f>
        <v>1364213271553794052</v>
      </c>
      <c r="F721" s="7" t="s">
        <v>3397</v>
      </c>
      <c r="G721" s="8"/>
      <c r="H721" s="8"/>
      <c r="I721" s="14">
        <v>1</v>
      </c>
      <c r="J721" s="14">
        <v>1</v>
      </c>
      <c r="K721" s="6" t="str">
        <f>HYPERLINK("https://modelzoo.co","Model Zoo")</f>
        <v>Model Zoo</v>
      </c>
      <c r="L721" s="15">
        <v>188</v>
      </c>
      <c r="M721" s="15">
        <v>211</v>
      </c>
      <c r="N721" s="15">
        <v>5</v>
      </c>
      <c r="O721" s="9"/>
      <c r="P721" s="10">
        <v>43255.714965277773</v>
      </c>
      <c r="Q721" s="8"/>
      <c r="R721" s="14" t="s">
        <v>3398</v>
      </c>
      <c r="S721" s="7" t="s">
        <v>3399</v>
      </c>
      <c r="T721" s="8"/>
      <c r="U721" s="11" t="str">
        <f>HYPERLINK("https://pbs.twimg.com/profile_images/1008002124699992065/Vg4hNScn.jpg","View")</f>
        <v>View</v>
      </c>
      <c r="V721" s="8"/>
      <c r="W721" s="8"/>
      <c r="X721" s="8"/>
      <c r="Y721" s="8"/>
      <c r="Z721" s="8"/>
    </row>
    <row r="722" spans="1:26" ht="13.2">
      <c r="A722" s="13">
        <v>44250.624548611115</v>
      </c>
      <c r="B722" s="6" t="str">
        <f t="shared" ref="B722:B723" si="112">HYPERLINK("https://twitter.com/NeurAutomata","@NeurAutomata")</f>
        <v>@NeurAutomata</v>
      </c>
      <c r="C722" s="14" t="s">
        <v>400</v>
      </c>
      <c r="D722" s="14" t="s">
        <v>401</v>
      </c>
      <c r="E722" s="6" t="str">
        <f>HYPERLINK("https://twitter.com/NeurAutomata/status/1364213259205804032","1364213259205804032")</f>
        <v>1364213259205804032</v>
      </c>
      <c r="F722" s="7" t="s">
        <v>3400</v>
      </c>
      <c r="G722" s="8"/>
      <c r="H722" s="8"/>
      <c r="I722" s="14">
        <v>1</v>
      </c>
      <c r="J722" s="14">
        <v>1</v>
      </c>
      <c r="K722" s="6" t="str">
        <f t="shared" ref="K722:K723" si="113">HYPERLINK("https://ifttt.com","IFTTT")</f>
        <v>IFTTT</v>
      </c>
      <c r="L722" s="15">
        <v>83</v>
      </c>
      <c r="M722" s="15">
        <v>14</v>
      </c>
      <c r="N722" s="15">
        <v>3</v>
      </c>
      <c r="O722" s="9"/>
      <c r="P722" s="10">
        <v>42862.083414351851</v>
      </c>
      <c r="Q722" s="14" t="s">
        <v>403</v>
      </c>
      <c r="R722" s="14" t="s">
        <v>404</v>
      </c>
      <c r="S722" s="8"/>
      <c r="T722" s="8"/>
      <c r="U722" s="11" t="str">
        <f t="shared" ref="U722:U723" si="114">HYPERLINK("https://pbs.twimg.com/profile_images/861050448672718848/oHUlrvEK.jpg","View")</f>
        <v>View</v>
      </c>
      <c r="V722" s="8"/>
      <c r="W722" s="8"/>
      <c r="X722" s="8"/>
      <c r="Y722" s="8"/>
      <c r="Z722" s="8"/>
    </row>
    <row r="723" spans="1:26" ht="13.2">
      <c r="A723" s="13">
        <v>44250.624548611115</v>
      </c>
      <c r="B723" s="6" t="str">
        <f t="shared" si="112"/>
        <v>@NeurAutomata</v>
      </c>
      <c r="C723" s="14" t="s">
        <v>400</v>
      </c>
      <c r="D723" s="14" t="s">
        <v>401</v>
      </c>
      <c r="E723" s="6" t="str">
        <f>HYPERLINK("https://twitter.com/NeurAutomata/status/1364213257402265600","1364213257402265600")</f>
        <v>1364213257402265600</v>
      </c>
      <c r="F723" s="7" t="s">
        <v>3401</v>
      </c>
      <c r="G723" s="8"/>
      <c r="H723" s="8"/>
      <c r="I723" s="14">
        <v>1</v>
      </c>
      <c r="J723" s="14">
        <v>1</v>
      </c>
      <c r="K723" s="6" t="str">
        <f t="shared" si="113"/>
        <v>IFTTT</v>
      </c>
      <c r="L723" s="15">
        <v>83</v>
      </c>
      <c r="M723" s="15">
        <v>14</v>
      </c>
      <c r="N723" s="15">
        <v>3</v>
      </c>
      <c r="O723" s="9"/>
      <c r="P723" s="10">
        <v>42862.083414351851</v>
      </c>
      <c r="Q723" s="14" t="s">
        <v>403</v>
      </c>
      <c r="R723" s="14" t="s">
        <v>404</v>
      </c>
      <c r="S723" s="8"/>
      <c r="T723" s="8"/>
      <c r="U723" s="11" t="str">
        <f t="shared" si="114"/>
        <v>View</v>
      </c>
      <c r="V723" s="8"/>
      <c r="W723" s="8"/>
      <c r="X723" s="8"/>
      <c r="Y723" s="8"/>
      <c r="Z723" s="8"/>
    </row>
    <row r="724" spans="1:26" ht="13.2">
      <c r="A724" s="13">
        <v>44250.624502314815</v>
      </c>
      <c r="B724" s="6" t="str">
        <f>HYPERLINK("https://twitter.com/TheSandyCoder","@TheSandyCoder")</f>
        <v>@TheSandyCoder</v>
      </c>
      <c r="C724" s="14" t="s">
        <v>3402</v>
      </c>
      <c r="D724" s="14" t="s">
        <v>3403</v>
      </c>
      <c r="E724" s="6" t="str">
        <f>HYPERLINK("https://twitter.com/TheSandyCoder/status/1364213241963032579","1364213241963032579")</f>
        <v>1364213241963032579</v>
      </c>
      <c r="F724" s="14" t="s">
        <v>3404</v>
      </c>
      <c r="G724" s="7" t="s">
        <v>3405</v>
      </c>
      <c r="H724" s="8"/>
      <c r="I724" s="14">
        <v>1</v>
      </c>
      <c r="J724" s="14">
        <v>3</v>
      </c>
      <c r="K724" s="6" t="str">
        <f>HYPERLINK("http://twitter.com/download/iphone","Twitter for iPhone")</f>
        <v>Twitter for iPhone</v>
      </c>
      <c r="L724" s="15">
        <v>406</v>
      </c>
      <c r="M724" s="15">
        <v>645</v>
      </c>
      <c r="N724" s="15">
        <v>4</v>
      </c>
      <c r="O724" s="9"/>
      <c r="P724" s="10">
        <v>43236.314270833333</v>
      </c>
      <c r="Q724" s="14" t="s">
        <v>3406</v>
      </c>
      <c r="R724" s="14" t="s">
        <v>3407</v>
      </c>
      <c r="S724" s="7" t="s">
        <v>3408</v>
      </c>
      <c r="T724" s="8"/>
      <c r="U724" s="11" t="str">
        <f>HYPERLINK("https://pbs.twimg.com/profile_images/1258405104174141440/n-etcYr6.jpg","View")</f>
        <v>View</v>
      </c>
      <c r="V724" s="8"/>
      <c r="W724" s="8"/>
      <c r="X724" s="8"/>
      <c r="Y724" s="8"/>
      <c r="Z724" s="8"/>
    </row>
    <row r="725" spans="1:26" ht="13.2">
      <c r="A725" s="13">
        <v>44250.62431712963</v>
      </c>
      <c r="B725" s="6" t="str">
        <f>HYPERLINK("https://twitter.com/hacking_future","@hacking_future")</f>
        <v>@hacking_future</v>
      </c>
      <c r="C725" s="14" t="s">
        <v>3085</v>
      </c>
      <c r="D725" s="14" t="s">
        <v>669</v>
      </c>
      <c r="E725" s="6" t="str">
        <f>HYPERLINK("https://twitter.com/hacking_future/status/1364213174581477378","1364213174581477378")</f>
        <v>1364213174581477378</v>
      </c>
      <c r="F725" s="7" t="s">
        <v>3409</v>
      </c>
      <c r="G725" s="8"/>
      <c r="H725" s="8"/>
      <c r="I725" s="14">
        <v>1</v>
      </c>
      <c r="J725" s="14">
        <v>1</v>
      </c>
      <c r="K725" s="6" t="str">
        <f>HYPERLINK("https://buffer.com","Buffer")</f>
        <v>Buffer</v>
      </c>
      <c r="L725" s="15">
        <v>1502</v>
      </c>
      <c r="M725" s="15">
        <v>1987</v>
      </c>
      <c r="N725" s="15">
        <v>48</v>
      </c>
      <c r="O725" s="9"/>
      <c r="P725" s="10">
        <v>42822.824421296296</v>
      </c>
      <c r="Q725" s="14" t="s">
        <v>1815</v>
      </c>
      <c r="R725" s="14" t="s">
        <v>3087</v>
      </c>
      <c r="S725" s="7" t="s">
        <v>3088</v>
      </c>
      <c r="T725" s="8"/>
      <c r="U725" s="11" t="str">
        <f>HYPERLINK("https://pbs.twimg.com/profile_images/859699037385232385/aq_sLibI.jpg","View")</f>
        <v>View</v>
      </c>
      <c r="V725" s="8"/>
      <c r="W725" s="8"/>
      <c r="X725" s="8"/>
      <c r="Y725" s="8"/>
      <c r="Z725" s="8"/>
    </row>
    <row r="726" spans="1:26" ht="13.2">
      <c r="A726" s="13">
        <v>44250.624027777776</v>
      </c>
      <c r="B726" s="6" t="str">
        <f>HYPERLINK("https://twitter.com/apolloenergies","@apolloenergies")</f>
        <v>@apolloenergies</v>
      </c>
      <c r="C726" s="14" t="s">
        <v>3410</v>
      </c>
      <c r="D726" s="14" t="s">
        <v>3411</v>
      </c>
      <c r="E726" s="6" t="str">
        <f>HYPERLINK("https://twitter.com/apolloenergies/status/1364213069245804546","1364213069245804546")</f>
        <v>1364213069245804546</v>
      </c>
      <c r="F726" s="7" t="s">
        <v>3412</v>
      </c>
      <c r="G726" s="8"/>
      <c r="H726" s="8"/>
      <c r="I726" s="14">
        <v>0</v>
      </c>
      <c r="J726" s="14">
        <v>0</v>
      </c>
      <c r="K726" s="6" t="str">
        <f>HYPERLINK("https://paper.li","Paper.li")</f>
        <v>Paper.li</v>
      </c>
      <c r="L726" s="15">
        <v>6966</v>
      </c>
      <c r="M726" s="15">
        <v>6239</v>
      </c>
      <c r="N726" s="15">
        <v>126</v>
      </c>
      <c r="O726" s="9"/>
      <c r="P726" s="10">
        <v>40615.959398148145</v>
      </c>
      <c r="Q726" s="14" t="s">
        <v>3413</v>
      </c>
      <c r="R726" s="14" t="s">
        <v>3414</v>
      </c>
      <c r="S726" s="7" t="s">
        <v>3415</v>
      </c>
      <c r="T726" s="8"/>
      <c r="U726" s="11" t="str">
        <f>HYPERLINK("https://pbs.twimg.com/profile_images/499598587064369152/qQ6fIHc3.png","View")</f>
        <v>View</v>
      </c>
      <c r="V726" s="8"/>
      <c r="W726" s="8"/>
      <c r="X726" s="8"/>
      <c r="Y726" s="8"/>
      <c r="Z726" s="8"/>
    </row>
    <row r="727" spans="1:26" ht="13.2">
      <c r="A727" s="13">
        <v>44250.622847222221</v>
      </c>
      <c r="B727" s="6" t="str">
        <f>HYPERLINK("https://twitter.com/_Harinivas_","@_Harinivas_")</f>
        <v>@_Harinivas_</v>
      </c>
      <c r="C727" s="14" t="s">
        <v>3156</v>
      </c>
      <c r="D727" s="14" t="s">
        <v>3416</v>
      </c>
      <c r="E727" s="6" t="str">
        <f>HYPERLINK("https://twitter.com/_Harinivas_/status/1364212640671694852","1364212640671694852")</f>
        <v>1364212640671694852</v>
      </c>
      <c r="F727" s="8"/>
      <c r="G727" s="7" t="s">
        <v>3417</v>
      </c>
      <c r="H727" s="8"/>
      <c r="I727" s="14">
        <v>2</v>
      </c>
      <c r="J727" s="14">
        <v>2</v>
      </c>
      <c r="K727" s="6" t="str">
        <f>HYPERLINK("http://twitter.com/download/android","Twitter for Android")</f>
        <v>Twitter for Android</v>
      </c>
      <c r="L727" s="15">
        <v>16</v>
      </c>
      <c r="M727" s="15">
        <v>85</v>
      </c>
      <c r="N727" s="15">
        <v>0</v>
      </c>
      <c r="O727" s="9"/>
      <c r="P727" s="10">
        <v>44245.6091087963</v>
      </c>
      <c r="Q727" s="8"/>
      <c r="R727" s="14" t="s">
        <v>3159</v>
      </c>
      <c r="S727" s="8"/>
      <c r="T727" s="8"/>
      <c r="U727" s="11" t="str">
        <f>HYPERLINK("https://pbs.twimg.com/profile_images/1363061419797716994/2Yn7O2fH.jpg","View")</f>
        <v>View</v>
      </c>
      <c r="V727" s="8"/>
      <c r="W727" s="8"/>
      <c r="X727" s="8"/>
      <c r="Y727" s="8"/>
      <c r="Z727" s="8"/>
    </row>
    <row r="728" spans="1:26" ht="13.2">
      <c r="A728" s="13">
        <v>44250.622662037036</v>
      </c>
      <c r="B728" s="6" t="str">
        <f>HYPERLINK("https://twitter.com/LucientData","@LucientData")</f>
        <v>@LucientData</v>
      </c>
      <c r="C728" s="14" t="s">
        <v>3418</v>
      </c>
      <c r="D728" s="14" t="s">
        <v>3419</v>
      </c>
      <c r="E728" s="6" t="str">
        <f>HYPERLINK("https://twitter.com/LucientData/status/1364212573953011717","1364212573953011717")</f>
        <v>1364212573953011717</v>
      </c>
      <c r="F728" s="7" t="s">
        <v>3420</v>
      </c>
      <c r="G728" s="7" t="s">
        <v>3421</v>
      </c>
      <c r="H728" s="8"/>
      <c r="I728" s="14">
        <v>1</v>
      </c>
      <c r="J728" s="14">
        <v>2</v>
      </c>
      <c r="K728" s="6" t="str">
        <f>HYPERLINK("https://app.socialpilot.co/","SocialPilot.co")</f>
        <v>SocialPilot.co</v>
      </c>
      <c r="L728" s="15">
        <v>1414</v>
      </c>
      <c r="M728" s="15">
        <v>214</v>
      </c>
      <c r="N728" s="15">
        <v>70</v>
      </c>
      <c r="O728" s="9"/>
      <c r="P728" s="10">
        <v>39933.73028935185</v>
      </c>
      <c r="Q728" s="14" t="s">
        <v>1815</v>
      </c>
      <c r="R728" s="14" t="s">
        <v>3422</v>
      </c>
      <c r="S728" s="7" t="s">
        <v>3423</v>
      </c>
      <c r="T728" s="8"/>
      <c r="U728" s="11" t="str">
        <f>HYPERLINK("https://pbs.twimg.com/profile_images/1329088890418827267/aF1dAdUd.jpg","View")</f>
        <v>View</v>
      </c>
      <c r="V728" s="8"/>
      <c r="W728" s="8"/>
      <c r="X728" s="8"/>
      <c r="Y728" s="8"/>
      <c r="Z728" s="8"/>
    </row>
    <row r="729" spans="1:26" ht="13.2">
      <c r="A729" s="13">
        <v>44250.622418981482</v>
      </c>
      <c r="B729" s="6" t="str">
        <f>HYPERLINK("https://twitter.com/FoxBigdata","@FoxBigdata")</f>
        <v>@FoxBigdata</v>
      </c>
      <c r="C729" s="14" t="s">
        <v>3424</v>
      </c>
      <c r="D729" s="14" t="s">
        <v>3425</v>
      </c>
      <c r="E729" s="6" t="str">
        <f>HYPERLINK("https://twitter.com/FoxBigdata/status/1364212486715695109","1364212486715695109")</f>
        <v>1364212486715695109</v>
      </c>
      <c r="F729" s="8"/>
      <c r="G729" s="8"/>
      <c r="H729" s="8"/>
      <c r="I729" s="14">
        <v>3</v>
      </c>
      <c r="J729" s="14">
        <v>3</v>
      </c>
      <c r="K729" s="6" t="str">
        <f>HYPERLINK("http://twitter.com/download/iphone","Twitter for iPhone")</f>
        <v>Twitter for iPhone</v>
      </c>
      <c r="L729" s="15">
        <v>10239</v>
      </c>
      <c r="M729" s="15">
        <v>7358</v>
      </c>
      <c r="N729" s="15">
        <v>91</v>
      </c>
      <c r="O729" s="9"/>
      <c r="P729" s="10">
        <v>42143.968321759261</v>
      </c>
      <c r="Q729" s="14" t="s">
        <v>2800</v>
      </c>
      <c r="R729" s="14" t="s">
        <v>3426</v>
      </c>
      <c r="S729" s="7" t="s">
        <v>3427</v>
      </c>
      <c r="T729" s="8"/>
      <c r="U729" s="11" t="str">
        <f>HYPERLINK("https://pbs.twimg.com/profile_images/1328313049820827651/WGcOZaDl.jpg","View")</f>
        <v>View</v>
      </c>
      <c r="V729" s="8"/>
      <c r="W729" s="8"/>
      <c r="X729" s="8"/>
      <c r="Y729" s="8"/>
      <c r="Z729" s="8"/>
    </row>
    <row r="730" spans="1:26" ht="13.2">
      <c r="A730" s="13">
        <v>44250.621574074074</v>
      </c>
      <c r="B730" s="6" t="str">
        <f>HYPERLINK("https://twitter.com/BlueOrangeData","@BlueOrangeData")</f>
        <v>@BlueOrangeData</v>
      </c>
      <c r="C730" s="14" t="s">
        <v>3428</v>
      </c>
      <c r="D730" s="14" t="s">
        <v>3429</v>
      </c>
      <c r="E730" s="6" t="str">
        <f>HYPERLINK("https://twitter.com/BlueOrangeData/status/1364212181936582658","1364212181936582658")</f>
        <v>1364212181936582658</v>
      </c>
      <c r="F730" s="7" t="s">
        <v>3430</v>
      </c>
      <c r="G730" s="8"/>
      <c r="H730" s="8"/>
      <c r="I730" s="14">
        <v>1</v>
      </c>
      <c r="J730" s="14">
        <v>2</v>
      </c>
      <c r="K730" s="6" t="str">
        <f t="shared" ref="K730:K731" si="115">HYPERLINK("https://www.hootsuite.com","Hootsuite Inc.")</f>
        <v>Hootsuite Inc.</v>
      </c>
      <c r="L730" s="15">
        <v>1048</v>
      </c>
      <c r="M730" s="15">
        <v>629</v>
      </c>
      <c r="N730" s="15">
        <v>7</v>
      </c>
      <c r="O730" s="9"/>
      <c r="P730" s="10">
        <v>43770.656122685185</v>
      </c>
      <c r="Q730" s="14" t="s">
        <v>215</v>
      </c>
      <c r="R730" s="14" t="s">
        <v>3431</v>
      </c>
      <c r="S730" s="7" t="s">
        <v>3432</v>
      </c>
      <c r="T730" s="8"/>
      <c r="U730" s="11" t="str">
        <f>HYPERLINK("https://pbs.twimg.com/profile_images/1190278672932052992/CdpKnSAA.jpg","View")</f>
        <v>View</v>
      </c>
      <c r="V730" s="8"/>
      <c r="W730" s="8"/>
      <c r="X730" s="8"/>
      <c r="Y730" s="8"/>
      <c r="Z730" s="8"/>
    </row>
    <row r="731" spans="1:26" ht="13.2">
      <c r="A731" s="13">
        <v>44250.621574074074</v>
      </c>
      <c r="B731" s="6" t="str">
        <f>HYPERLINK("https://twitter.com/UofT_TCAIREM","@UofT_TCAIREM")</f>
        <v>@UofT_TCAIREM</v>
      </c>
      <c r="C731" s="14" t="s">
        <v>1213</v>
      </c>
      <c r="D731" s="14" t="s">
        <v>1214</v>
      </c>
      <c r="E731" s="6" t="str">
        <f>HYPERLINK("https://twitter.com/UofT_TCAIREM/status/1364212180565053441","1364212180565053441")</f>
        <v>1364212180565053441</v>
      </c>
      <c r="F731" s="7" t="s">
        <v>1215</v>
      </c>
      <c r="G731" s="7" t="s">
        <v>3433</v>
      </c>
      <c r="H731" s="8"/>
      <c r="I731" s="14">
        <v>6</v>
      </c>
      <c r="J731" s="14">
        <v>5</v>
      </c>
      <c r="K731" s="6" t="str">
        <f t="shared" si="115"/>
        <v>Hootsuite Inc.</v>
      </c>
      <c r="L731" s="15">
        <v>625</v>
      </c>
      <c r="M731" s="15">
        <v>1330</v>
      </c>
      <c r="N731" s="15">
        <v>5</v>
      </c>
      <c r="O731" s="9"/>
      <c r="P731" s="10">
        <v>44078.8122337963</v>
      </c>
      <c r="Q731" s="14" t="s">
        <v>1217</v>
      </c>
      <c r="R731" s="14" t="s">
        <v>1218</v>
      </c>
      <c r="S731" s="7" t="s">
        <v>1219</v>
      </c>
      <c r="T731" s="8"/>
      <c r="U731" s="11" t="str">
        <f>HYPERLINK("https://pbs.twimg.com/profile_images/1324121822263185409/XujIy-bC.jpg","View")</f>
        <v>View</v>
      </c>
      <c r="V731" s="8"/>
      <c r="W731" s="8"/>
      <c r="X731" s="8"/>
      <c r="Y731" s="8"/>
      <c r="Z731" s="8"/>
    </row>
    <row r="732" spans="1:26" ht="13.2">
      <c r="A732" s="13">
        <v>44250.621435185181</v>
      </c>
      <c r="B732" s="6" t="str">
        <f>HYPERLINK("https://twitter.com/CourseOp","@CourseOp")</f>
        <v>@CourseOp</v>
      </c>
      <c r="C732" s="14" t="s">
        <v>3434</v>
      </c>
      <c r="D732" s="14" t="s">
        <v>3435</v>
      </c>
      <c r="E732" s="6" t="str">
        <f>HYPERLINK("https://twitter.com/CourseOp/status/1364212129910427654","1364212129910427654")</f>
        <v>1364212129910427654</v>
      </c>
      <c r="F732" s="7" t="s">
        <v>3436</v>
      </c>
      <c r="G732" s="8"/>
      <c r="H732" s="8"/>
      <c r="I732" s="14">
        <v>14</v>
      </c>
      <c r="J732" s="14">
        <v>4</v>
      </c>
      <c r="K732" s="6" t="str">
        <f>HYPERLINK("https://www.jucktion.com","Jucktion")</f>
        <v>Jucktion</v>
      </c>
      <c r="L732" s="15">
        <v>2371</v>
      </c>
      <c r="M732" s="15">
        <v>3349</v>
      </c>
      <c r="N732" s="15">
        <v>33</v>
      </c>
      <c r="O732" s="9"/>
      <c r="P732" s="10">
        <v>43363.274502314816</v>
      </c>
      <c r="Q732" s="14" t="s">
        <v>3437</v>
      </c>
      <c r="R732" s="14" t="s">
        <v>3438</v>
      </c>
      <c r="S732" s="7" t="s">
        <v>3439</v>
      </c>
      <c r="T732" s="8"/>
      <c r="U732" s="11" t="str">
        <f>HYPERLINK("https://pbs.twimg.com/profile_images/1042752273716326400/4fXbScZ1.jpg","View")</f>
        <v>View</v>
      </c>
      <c r="V732" s="8"/>
      <c r="W732" s="8"/>
      <c r="X732" s="8"/>
      <c r="Y732" s="8"/>
      <c r="Z732" s="8"/>
    </row>
    <row r="733" spans="1:26" ht="13.2">
      <c r="A733" s="13">
        <v>44250.62100694445</v>
      </c>
      <c r="B733" s="6" t="str">
        <f>HYPERLINK("https://twitter.com/MADANA_HQ","@MADANA_HQ")</f>
        <v>@MADANA_HQ</v>
      </c>
      <c r="C733" s="14" t="s">
        <v>3440</v>
      </c>
      <c r="D733" s="14" t="s">
        <v>3441</v>
      </c>
      <c r="E733" s="6" t="str">
        <f>HYPERLINK("https://twitter.com/MADANA_HQ/status/1364211977027919877","1364211977027919877")</f>
        <v>1364211977027919877</v>
      </c>
      <c r="F733" s="7" t="s">
        <v>3442</v>
      </c>
      <c r="G733" s="8"/>
      <c r="H733" s="8"/>
      <c r="I733" s="14">
        <v>14</v>
      </c>
      <c r="J733" s="14">
        <v>15</v>
      </c>
      <c r="K733" s="6" t="str">
        <f>HYPERLINK("https://mobile.twitter.com","Twitter Web App")</f>
        <v>Twitter Web App</v>
      </c>
      <c r="L733" s="15">
        <v>3525</v>
      </c>
      <c r="M733" s="15">
        <v>257</v>
      </c>
      <c r="N733" s="15">
        <v>31</v>
      </c>
      <c r="O733" s="9"/>
      <c r="P733" s="10">
        <v>42933.656747685185</v>
      </c>
      <c r="Q733" s="14" t="s">
        <v>3443</v>
      </c>
      <c r="R733" s="14" t="s">
        <v>3444</v>
      </c>
      <c r="S733" s="7" t="s">
        <v>3445</v>
      </c>
      <c r="T733" s="8"/>
      <c r="U733" s="11" t="str">
        <f>HYPERLINK("https://pbs.twimg.com/profile_images/1313474828993810433/re6DOMxQ.jpg","View")</f>
        <v>View</v>
      </c>
      <c r="V733" s="8"/>
      <c r="W733" s="8"/>
      <c r="X733" s="8"/>
      <c r="Y733" s="8"/>
      <c r="Z733" s="8"/>
    </row>
    <row r="734" spans="1:26" ht="13.2">
      <c r="A734" s="13">
        <v>44250.620833333334</v>
      </c>
      <c r="B734" s="6" t="str">
        <f>HYPERLINK("https://twitter.com/jamesvgingerich","@jamesvgingerich")</f>
        <v>@jamesvgingerich</v>
      </c>
      <c r="C734" s="14" t="s">
        <v>1087</v>
      </c>
      <c r="D734" s="14" t="s">
        <v>3446</v>
      </c>
      <c r="E734" s="6" t="str">
        <f>HYPERLINK("https://twitter.com/jamesvgingerich/status/1364211911693271042","1364211911693271042")</f>
        <v>1364211911693271042</v>
      </c>
      <c r="F734" s="7" t="s">
        <v>3447</v>
      </c>
      <c r="G734" s="7" t="s">
        <v>3448</v>
      </c>
      <c r="H734" s="8"/>
      <c r="I734" s="14">
        <v>0</v>
      </c>
      <c r="J734" s="14">
        <v>0</v>
      </c>
      <c r="K734" s="6" t="str">
        <f>HYPERLINK("https://about.twitter.com/products/tweetdeck","TweetDeck")</f>
        <v>TweetDeck</v>
      </c>
      <c r="L734" s="15">
        <v>53483</v>
      </c>
      <c r="M734" s="15">
        <v>56072</v>
      </c>
      <c r="N734" s="15">
        <v>1126</v>
      </c>
      <c r="O734" s="9"/>
      <c r="P734" s="10">
        <v>39623.806192129632</v>
      </c>
      <c r="Q734" s="14" t="s">
        <v>1091</v>
      </c>
      <c r="R734" s="14" t="s">
        <v>1092</v>
      </c>
      <c r="S734" s="7" t="s">
        <v>1093</v>
      </c>
      <c r="T734" s="8"/>
      <c r="U734" s="11" t="str">
        <f>HYPERLINK("https://pbs.twimg.com/profile_images/692168521/james_profile.jpg","View")</f>
        <v>View</v>
      </c>
      <c r="V734" s="8"/>
      <c r="W734" s="8"/>
      <c r="X734" s="8"/>
      <c r="Y734" s="8"/>
      <c r="Z734" s="8"/>
    </row>
    <row r="735" spans="1:26" ht="13.2">
      <c r="A735" s="13">
        <v>44250.620358796295</v>
      </c>
      <c r="B735" s="6" t="str">
        <f t="shared" ref="B735:B737" si="116">HYPERLINK("https://twitter.com/IainLJBrown","@IainLJBrown")</f>
        <v>@IainLJBrown</v>
      </c>
      <c r="C735" s="14" t="s">
        <v>2776</v>
      </c>
      <c r="D735" s="14" t="s">
        <v>3449</v>
      </c>
      <c r="E735" s="6" t="str">
        <f>HYPERLINK("https://twitter.com/IainLJBrown/status/1364211740104421377","1364211740104421377")</f>
        <v>1364211740104421377</v>
      </c>
      <c r="F735" s="7" t="s">
        <v>3450</v>
      </c>
      <c r="G735" s="8"/>
      <c r="H735" s="8"/>
      <c r="I735" s="14">
        <v>21</v>
      </c>
      <c r="J735" s="14">
        <v>14</v>
      </c>
      <c r="K735" s="6" t="str">
        <f t="shared" ref="K735:K737" si="117">HYPERLINK("https://ifttt.com","IFTTT")</f>
        <v>IFTTT</v>
      </c>
      <c r="L735" s="15">
        <v>115543</v>
      </c>
      <c r="M735" s="15">
        <v>98727</v>
      </c>
      <c r="N735" s="15">
        <v>423</v>
      </c>
      <c r="O735" s="9"/>
      <c r="P735" s="10">
        <v>40926.673900462964</v>
      </c>
      <c r="Q735" s="14" t="s">
        <v>753</v>
      </c>
      <c r="R735" s="14" t="s">
        <v>2779</v>
      </c>
      <c r="S735" s="7" t="s">
        <v>2780</v>
      </c>
      <c r="T735" s="8"/>
      <c r="U735" s="11" t="str">
        <f t="shared" ref="U735:U737" si="118">HYPERLINK("https://pbs.twimg.com/profile_images/1352606177352364032/jQ7AI0vG.jpg","View")</f>
        <v>View</v>
      </c>
      <c r="V735" s="8"/>
      <c r="W735" s="8"/>
      <c r="X735" s="8"/>
      <c r="Y735" s="8"/>
      <c r="Z735" s="8"/>
    </row>
    <row r="736" spans="1:26" ht="13.2">
      <c r="A736" s="13">
        <v>44250.620347222226</v>
      </c>
      <c r="B736" s="6" t="str">
        <f t="shared" si="116"/>
        <v>@IainLJBrown</v>
      </c>
      <c r="C736" s="14" t="s">
        <v>2776</v>
      </c>
      <c r="D736" s="14" t="s">
        <v>3451</v>
      </c>
      <c r="E736" s="6" t="str">
        <f>HYPERLINK("https://twitter.com/IainLJBrown/status/1364211737751408643","1364211737751408643")</f>
        <v>1364211737751408643</v>
      </c>
      <c r="F736" s="7" t="s">
        <v>3452</v>
      </c>
      <c r="G736" s="8"/>
      <c r="H736" s="8"/>
      <c r="I736" s="14">
        <v>24</v>
      </c>
      <c r="J736" s="14">
        <v>12</v>
      </c>
      <c r="K736" s="6" t="str">
        <f t="shared" si="117"/>
        <v>IFTTT</v>
      </c>
      <c r="L736" s="15">
        <v>115543</v>
      </c>
      <c r="M736" s="15">
        <v>98727</v>
      </c>
      <c r="N736" s="15">
        <v>423</v>
      </c>
      <c r="O736" s="9"/>
      <c r="P736" s="10">
        <v>40926.673900462964</v>
      </c>
      <c r="Q736" s="14" t="s">
        <v>753</v>
      </c>
      <c r="R736" s="14" t="s">
        <v>2779</v>
      </c>
      <c r="S736" s="7" t="s">
        <v>2780</v>
      </c>
      <c r="T736" s="8"/>
      <c r="U736" s="11" t="str">
        <f t="shared" si="118"/>
        <v>View</v>
      </c>
      <c r="V736" s="8"/>
      <c r="W736" s="8"/>
      <c r="X736" s="8"/>
      <c r="Y736" s="8"/>
      <c r="Z736" s="8"/>
    </row>
    <row r="737" spans="1:26" ht="13.2">
      <c r="A737" s="13">
        <v>44250.620347222226</v>
      </c>
      <c r="B737" s="6" t="str">
        <f t="shared" si="116"/>
        <v>@IainLJBrown</v>
      </c>
      <c r="C737" s="14" t="s">
        <v>2776</v>
      </c>
      <c r="D737" s="14" t="s">
        <v>3453</v>
      </c>
      <c r="E737" s="6" t="str">
        <f>HYPERLINK("https://twitter.com/IainLJBrown/status/1364211735113129987","1364211735113129987")</f>
        <v>1364211735113129987</v>
      </c>
      <c r="F737" s="14" t="s">
        <v>3454</v>
      </c>
      <c r="G737" s="8"/>
      <c r="H737" s="8"/>
      <c r="I737" s="14">
        <v>24</v>
      </c>
      <c r="J737" s="14">
        <v>11</v>
      </c>
      <c r="K737" s="6" t="str">
        <f t="shared" si="117"/>
        <v>IFTTT</v>
      </c>
      <c r="L737" s="15">
        <v>115543</v>
      </c>
      <c r="M737" s="15">
        <v>98727</v>
      </c>
      <c r="N737" s="15">
        <v>423</v>
      </c>
      <c r="O737" s="9"/>
      <c r="P737" s="10">
        <v>40926.673900462964</v>
      </c>
      <c r="Q737" s="14" t="s">
        <v>753</v>
      </c>
      <c r="R737" s="14" t="s">
        <v>2779</v>
      </c>
      <c r="S737" s="7" t="s">
        <v>2780</v>
      </c>
      <c r="T737" s="8"/>
      <c r="U737" s="11" t="str">
        <f t="shared" si="118"/>
        <v>View</v>
      </c>
      <c r="V737" s="8"/>
      <c r="W737" s="8"/>
      <c r="X737" s="8"/>
      <c r="Y737" s="8"/>
      <c r="Z737" s="8"/>
    </row>
    <row r="738" spans="1:26" ht="13.2">
      <c r="A738" s="13">
        <v>44250.61917824074</v>
      </c>
      <c r="B738" s="6" t="str">
        <f>HYPERLINK("https://twitter.com/MedicaliPhone","@MedicaliPhone")</f>
        <v>@MedicaliPhone</v>
      </c>
      <c r="C738" s="14" t="s">
        <v>269</v>
      </c>
      <c r="D738" s="14" t="s">
        <v>3455</v>
      </c>
      <c r="E738" s="6" t="str">
        <f>HYPERLINK("https://twitter.com/MedicaliPhone/status/1364211314927804416","1364211314927804416")</f>
        <v>1364211314927804416</v>
      </c>
      <c r="F738" s="14" t="s">
        <v>3456</v>
      </c>
      <c r="G738" s="8"/>
      <c r="H738" s="8"/>
      <c r="I738" s="14">
        <v>0</v>
      </c>
      <c r="J738" s="14">
        <v>0</v>
      </c>
      <c r="K738" s="6" t="str">
        <f>HYPERLINK("http://twinybots.com","TwinyBots")</f>
        <v>TwinyBots</v>
      </c>
      <c r="L738" s="15">
        <v>18689</v>
      </c>
      <c r="M738" s="15">
        <v>19077</v>
      </c>
      <c r="N738" s="15">
        <v>450</v>
      </c>
      <c r="O738" s="9"/>
      <c r="P738" s="10">
        <v>39978.071932870371</v>
      </c>
      <c r="Q738" s="14" t="s">
        <v>270</v>
      </c>
      <c r="R738" s="14" t="s">
        <v>271</v>
      </c>
      <c r="S738" s="7" t="s">
        <v>272</v>
      </c>
      <c r="T738" s="8"/>
      <c r="U738" s="11" t="str">
        <f>HYPERLINK("https://pbs.twimg.com/profile_images/671869096389021696/Z1Kr3P0K.png","View")</f>
        <v>View</v>
      </c>
      <c r="V738" s="8"/>
      <c r="W738" s="8"/>
      <c r="X738" s="8"/>
      <c r="Y738" s="8"/>
      <c r="Z738" s="8"/>
    </row>
    <row r="739" spans="1:26" ht="13.2">
      <c r="A739" s="13">
        <v>44250.618611111116</v>
      </c>
      <c r="B739" s="6" t="str">
        <f>HYPERLINK("https://twitter.com/JourneyHeroTech","@JourneyHeroTech")</f>
        <v>@JourneyHeroTech</v>
      </c>
      <c r="C739" s="14" t="s">
        <v>1061</v>
      </c>
      <c r="D739" s="14" t="s">
        <v>3457</v>
      </c>
      <c r="E739" s="6" t="str">
        <f>HYPERLINK("https://twitter.com/JourneyHeroTech/status/1364211109318770692","1364211109318770692")</f>
        <v>1364211109318770692</v>
      </c>
      <c r="F739" s="7" t="s">
        <v>3458</v>
      </c>
      <c r="G739" s="8"/>
      <c r="H739" s="8"/>
      <c r="I739" s="14">
        <v>30</v>
      </c>
      <c r="J739" s="14">
        <v>15</v>
      </c>
      <c r="K739" s="6" t="str">
        <f>HYPERLINK("http://twitter.com/download/iphone","Twitter for iPhone")</f>
        <v>Twitter for iPhone</v>
      </c>
      <c r="L739" s="15">
        <v>418</v>
      </c>
      <c r="M739" s="15">
        <v>1469</v>
      </c>
      <c r="N739" s="15">
        <v>4</v>
      </c>
      <c r="O739" s="9"/>
      <c r="P739" s="10">
        <v>43958.737557870365</v>
      </c>
      <c r="Q739" s="8"/>
      <c r="R739" s="14" t="s">
        <v>1065</v>
      </c>
      <c r="S739" s="7" t="s">
        <v>1066</v>
      </c>
      <c r="T739" s="8"/>
      <c r="U739" s="11" t="str">
        <f>HYPERLINK("https://pbs.twimg.com/profile_images/1258421949493100544/99J8Ehfn.jpg","View")</f>
        <v>View</v>
      </c>
      <c r="V739" s="8"/>
      <c r="W739" s="8"/>
      <c r="X739" s="8"/>
      <c r="Y739" s="8"/>
      <c r="Z739" s="8"/>
    </row>
    <row r="740" spans="1:26" ht="13.2">
      <c r="A740" s="13">
        <v>44250.618356481486</v>
      </c>
      <c r="B740" s="6" t="str">
        <f>HYPERLINK("https://twitter.com/stanford__ai","@stanford__ai")</f>
        <v>@stanford__ai</v>
      </c>
      <c r="C740" s="14" t="s">
        <v>475</v>
      </c>
      <c r="D740" s="14" t="s">
        <v>3459</v>
      </c>
      <c r="E740" s="6" t="str">
        <f>HYPERLINK("https://twitter.com/stanford__ai/status/1364211015748059137","1364211015748059137")</f>
        <v>1364211015748059137</v>
      </c>
      <c r="F740" s="7" t="s">
        <v>3460</v>
      </c>
      <c r="G740" s="8"/>
      <c r="H740" s="8"/>
      <c r="I740" s="14">
        <v>0</v>
      </c>
      <c r="J740" s="14">
        <v>0</v>
      </c>
      <c r="K740" s="6" t="str">
        <f>HYPERLINK("https://ifttt.com","IFTTT")</f>
        <v>IFTTT</v>
      </c>
      <c r="L740" s="15">
        <v>928</v>
      </c>
      <c r="M740" s="15">
        <v>1487</v>
      </c>
      <c r="N740" s="15">
        <v>20</v>
      </c>
      <c r="O740" s="9"/>
      <c r="P740" s="10">
        <v>43558.915891203702</v>
      </c>
      <c r="Q740" s="14" t="s">
        <v>478</v>
      </c>
      <c r="R740" s="14" t="s">
        <v>479</v>
      </c>
      <c r="S740" s="7" t="s">
        <v>480</v>
      </c>
      <c r="T740" s="8"/>
      <c r="U740" s="11" t="str">
        <f>HYPERLINK("https://pbs.twimg.com/profile_images/1113531441625935878/OR4W_sLY.jpg","View")</f>
        <v>View</v>
      </c>
      <c r="V740" s="8"/>
      <c r="W740" s="8"/>
      <c r="X740" s="8"/>
      <c r="Y740" s="8"/>
      <c r="Z740" s="8"/>
    </row>
    <row r="741" spans="1:26" ht="13.2">
      <c r="A741" s="13">
        <v>44250.618171296301</v>
      </c>
      <c r="B741" s="6" t="str">
        <f>HYPERLINK("https://twitter.com/beyond_machine","@beyond_machine")</f>
        <v>@beyond_machine</v>
      </c>
      <c r="C741" s="14" t="s">
        <v>3461</v>
      </c>
      <c r="D741" s="14" t="s">
        <v>3462</v>
      </c>
      <c r="E741" s="6" t="str">
        <f>HYPERLINK("https://twitter.com/beyond_machine/status/1364210946663739392","1364210946663739392")</f>
        <v>1364210946663739392</v>
      </c>
      <c r="F741" s="7" t="s">
        <v>3463</v>
      </c>
      <c r="G741" s="8"/>
      <c r="H741" s="8"/>
      <c r="I741" s="14">
        <v>0</v>
      </c>
      <c r="J741" s="14">
        <v>1</v>
      </c>
      <c r="K741" s="6" t="str">
        <f>HYPERLINK("https://crowdfireapp.com","Crowdfire App")</f>
        <v>Crowdfire App</v>
      </c>
      <c r="L741" s="15">
        <v>333</v>
      </c>
      <c r="M741" s="15">
        <v>1059</v>
      </c>
      <c r="N741" s="15">
        <v>48</v>
      </c>
      <c r="O741" s="9"/>
      <c r="P741" s="10">
        <v>42555.596180555556</v>
      </c>
      <c r="Q741" s="14" t="s">
        <v>3464</v>
      </c>
      <c r="R741" s="14" t="s">
        <v>3465</v>
      </c>
      <c r="S741" s="7" t="s">
        <v>3466</v>
      </c>
      <c r="T741" s="8"/>
      <c r="U741" s="11" t="str">
        <f>HYPERLINK("https://pbs.twimg.com/profile_images/929034669781344257/RizBrVJT.jpg","View")</f>
        <v>View</v>
      </c>
      <c r="V741" s="8"/>
      <c r="W741" s="8"/>
      <c r="X741" s="8"/>
      <c r="Y741" s="8"/>
      <c r="Z741" s="8"/>
    </row>
    <row r="742" spans="1:26" ht="13.2">
      <c r="A742" s="13">
        <v>44250.618055555555</v>
      </c>
      <c r="B742" s="6" t="str">
        <f>HYPERLINK("https://twitter.com/BeTalentMinded","@BeTalentMinded")</f>
        <v>@BeTalentMinded</v>
      </c>
      <c r="C742" s="14" t="s">
        <v>3467</v>
      </c>
      <c r="D742" s="14" t="s">
        <v>3468</v>
      </c>
      <c r="E742" s="6" t="str">
        <f>HYPERLINK("https://twitter.com/BeTalentMinded/status/1364210905068748803","1364210905068748803")</f>
        <v>1364210905068748803</v>
      </c>
      <c r="F742" s="7" t="s">
        <v>3469</v>
      </c>
      <c r="G742" s="8"/>
      <c r="H742" s="8"/>
      <c r="I742" s="14">
        <v>0</v>
      </c>
      <c r="J742" s="14">
        <v>0</v>
      </c>
      <c r="K742" s="6" t="str">
        <f t="shared" ref="K742:K743" si="119">HYPERLINK("https://mobile.twitter.com","Twitter Web App")</f>
        <v>Twitter Web App</v>
      </c>
      <c r="L742" s="15">
        <v>1191</v>
      </c>
      <c r="M742" s="15">
        <v>1894</v>
      </c>
      <c r="N742" s="15">
        <v>154</v>
      </c>
      <c r="O742" s="9"/>
      <c r="P742" s="10">
        <v>41984.933009259257</v>
      </c>
      <c r="Q742" s="14" t="s">
        <v>403</v>
      </c>
      <c r="R742" s="14" t="s">
        <v>3470</v>
      </c>
      <c r="S742" s="7" t="s">
        <v>3471</v>
      </c>
      <c r="T742" s="8"/>
      <c r="U742" s="11" t="str">
        <f>HYPERLINK("https://pbs.twimg.com/profile_images/1278701502752751620/99kbNp9Z.jpg","View")</f>
        <v>View</v>
      </c>
      <c r="V742" s="8"/>
      <c r="W742" s="8"/>
      <c r="X742" s="8"/>
      <c r="Y742" s="8"/>
      <c r="Z742" s="8"/>
    </row>
    <row r="743" spans="1:26" ht="13.2">
      <c r="A743" s="13">
        <v>44250.617777777778</v>
      </c>
      <c r="B743" s="6" t="str">
        <f>HYPERLINK("https://twitter.com/GTechCouncil","@GTechCouncil")</f>
        <v>@GTechCouncil</v>
      </c>
      <c r="C743" s="14" t="s">
        <v>3472</v>
      </c>
      <c r="D743" s="14" t="s">
        <v>3473</v>
      </c>
      <c r="E743" s="6" t="str">
        <f>HYPERLINK("https://twitter.com/GTechCouncil/status/1364210803570835456","1364210803570835456")</f>
        <v>1364210803570835456</v>
      </c>
      <c r="F743" s="7" t="s">
        <v>3474</v>
      </c>
      <c r="G743" s="7" t="s">
        <v>3475</v>
      </c>
      <c r="H743" s="8"/>
      <c r="I743" s="14">
        <v>2</v>
      </c>
      <c r="J743" s="14">
        <v>1</v>
      </c>
      <c r="K743" s="6" t="str">
        <f t="shared" si="119"/>
        <v>Twitter Web App</v>
      </c>
      <c r="L743" s="15">
        <v>152</v>
      </c>
      <c r="M743" s="15">
        <v>10</v>
      </c>
      <c r="N743" s="15">
        <v>3</v>
      </c>
      <c r="O743" s="9"/>
      <c r="P743" s="10">
        <v>43258.378298611111</v>
      </c>
      <c r="Q743" s="14" t="s">
        <v>875</v>
      </c>
      <c r="R743" s="14" t="s">
        <v>3476</v>
      </c>
      <c r="S743" s="7" t="s">
        <v>3477</v>
      </c>
      <c r="T743" s="8"/>
      <c r="U743" s="11" t="str">
        <f>HYPERLINK("https://pbs.twimg.com/profile_images/1014500976122908672/Fx0Sk6Xa.jpg","View")</f>
        <v>View</v>
      </c>
      <c r="V743" s="8"/>
      <c r="W743" s="8"/>
      <c r="X743" s="8"/>
      <c r="Y743" s="8"/>
      <c r="Z743" s="8"/>
    </row>
    <row r="744" spans="1:26" ht="13.2">
      <c r="A744" s="13">
        <v>44250.617152777777</v>
      </c>
      <c r="B744" s="6" t="str">
        <f>HYPERLINK("https://twitter.com/shanebrighton","@shanebrighton")</f>
        <v>@shanebrighton</v>
      </c>
      <c r="C744" s="14" t="s">
        <v>3478</v>
      </c>
      <c r="D744" s="14" t="s">
        <v>3479</v>
      </c>
      <c r="E744" s="6" t="str">
        <f>HYPERLINK("https://twitter.com/shanebrighton/status/1364210576944152585","1364210576944152585")</f>
        <v>1364210576944152585</v>
      </c>
      <c r="F744" s="7" t="s">
        <v>3480</v>
      </c>
      <c r="G744" s="8"/>
      <c r="H744" s="8"/>
      <c r="I744" s="14">
        <v>1</v>
      </c>
      <c r="J744" s="14">
        <v>1</v>
      </c>
      <c r="K744" s="6" t="str">
        <f>HYPERLINK("http://www.powerapps.com","Microsoft Power Platform")</f>
        <v>Microsoft Power Platform</v>
      </c>
      <c r="L744" s="15">
        <v>8689</v>
      </c>
      <c r="M744" s="15">
        <v>3485</v>
      </c>
      <c r="N744" s="15">
        <v>99</v>
      </c>
      <c r="O744" s="9"/>
      <c r="P744" s="10">
        <v>39544.54787037037</v>
      </c>
      <c r="Q744" s="14" t="s">
        <v>599</v>
      </c>
      <c r="R744" s="14" t="s">
        <v>3481</v>
      </c>
      <c r="S744" s="7" t="s">
        <v>3482</v>
      </c>
      <c r="T744" s="8"/>
      <c r="U744" s="11" t="str">
        <f>HYPERLINK("https://pbs.twimg.com/profile_images/1100770585557286912/Oz7w9LUf.png","View")</f>
        <v>View</v>
      </c>
      <c r="V744" s="8"/>
      <c r="W744" s="8"/>
      <c r="X744" s="8"/>
      <c r="Y744" s="8"/>
      <c r="Z744" s="8"/>
    </row>
    <row r="745" spans="1:26" ht="13.2">
      <c r="A745" s="13">
        <v>44250.616585648153</v>
      </c>
      <c r="B745" s="6" t="str">
        <f>HYPERLINK("https://twitter.com/Accelebrate","@Accelebrate")</f>
        <v>@Accelebrate</v>
      </c>
      <c r="C745" s="14" t="s">
        <v>3483</v>
      </c>
      <c r="D745" s="14" t="s">
        <v>3484</v>
      </c>
      <c r="E745" s="6" t="str">
        <f>HYPERLINK("https://twitter.com/Accelebrate/status/1364210372761313289","1364210372761313289")</f>
        <v>1364210372761313289</v>
      </c>
      <c r="F745" s="7" t="s">
        <v>3485</v>
      </c>
      <c r="G745" s="7" t="s">
        <v>3486</v>
      </c>
      <c r="H745" s="8"/>
      <c r="I745" s="14">
        <v>0</v>
      </c>
      <c r="J745" s="14">
        <v>2</v>
      </c>
      <c r="K745" s="6" t="str">
        <f>HYPERLINK("https://mobile.twitter.com","Twitter Web App")</f>
        <v>Twitter Web App</v>
      </c>
      <c r="L745" s="15">
        <v>139</v>
      </c>
      <c r="M745" s="15">
        <v>36</v>
      </c>
      <c r="N745" s="15">
        <v>3</v>
      </c>
      <c r="O745" s="9"/>
      <c r="P745" s="10">
        <v>40088.183877314819</v>
      </c>
      <c r="Q745" s="14" t="s">
        <v>3487</v>
      </c>
      <c r="R745" s="14" t="s">
        <v>3488</v>
      </c>
      <c r="S745" s="7" t="s">
        <v>3489</v>
      </c>
      <c r="T745" s="8"/>
      <c r="U745" s="11" t="str">
        <f>HYPERLINK("https://pbs.twimg.com/profile_images/1347556424914710528/UAuHy_bX.png","View")</f>
        <v>View</v>
      </c>
      <c r="V745" s="8"/>
      <c r="W745" s="8"/>
      <c r="X745" s="8"/>
      <c r="Y745" s="8"/>
      <c r="Z745" s="8"/>
    </row>
    <row r="746" spans="1:26" ht="13.2">
      <c r="A746" s="13">
        <v>44250.616145833337</v>
      </c>
      <c r="B746" s="6" t="str">
        <f>HYPERLINK("https://twitter.com/jucktion","@jucktion")</f>
        <v>@jucktion</v>
      </c>
      <c r="C746" s="14" t="s">
        <v>3490</v>
      </c>
      <c r="D746" s="14" t="s">
        <v>3435</v>
      </c>
      <c r="E746" s="6" t="str">
        <f>HYPERLINK("https://twitter.com/jucktion/status/1364210215340679168","1364210215340679168")</f>
        <v>1364210215340679168</v>
      </c>
      <c r="F746" s="7" t="s">
        <v>3491</v>
      </c>
      <c r="G746" s="8"/>
      <c r="H746" s="8"/>
      <c r="I746" s="14">
        <v>23</v>
      </c>
      <c r="J746" s="14">
        <v>11</v>
      </c>
      <c r="K746" s="6" t="str">
        <f>HYPERLINK("https://amplifr.com","Amplifr")</f>
        <v>Amplifr</v>
      </c>
      <c r="L746" s="15">
        <v>8348</v>
      </c>
      <c r="M746" s="15">
        <v>3946</v>
      </c>
      <c r="N746" s="15">
        <v>237</v>
      </c>
      <c r="O746" s="9"/>
      <c r="P746" s="10">
        <v>40555.287349537037</v>
      </c>
      <c r="Q746" s="14" t="s">
        <v>3492</v>
      </c>
      <c r="R746" s="14" t="s">
        <v>3493</v>
      </c>
      <c r="S746" s="7" t="s">
        <v>3494</v>
      </c>
      <c r="T746" s="8"/>
      <c r="U746" s="11" t="str">
        <f>HYPERLINK("https://pbs.twimg.com/profile_images/764116951425622021/mtvK_yjw.jpg","View")</f>
        <v>View</v>
      </c>
      <c r="V746" s="8"/>
      <c r="W746" s="8"/>
      <c r="X746" s="8"/>
      <c r="Y746" s="8"/>
      <c r="Z746" s="8"/>
    </row>
    <row r="747" spans="1:26" ht="13.2">
      <c r="A747" s="13">
        <v>44250.616111111114</v>
      </c>
      <c r="B747" s="6" t="str">
        <f>HYPERLINK("https://twitter.com/GlobaltechO","@GlobaltechO")</f>
        <v>@GlobaltechO</v>
      </c>
      <c r="C747" s="14" t="s">
        <v>3203</v>
      </c>
      <c r="D747" s="14" t="s">
        <v>3495</v>
      </c>
      <c r="E747" s="6" t="str">
        <f>HYPERLINK("https://twitter.com/GlobaltechO/status/1364210200534679552","1364210200534679552")</f>
        <v>1364210200534679552</v>
      </c>
      <c r="F747" s="7" t="s">
        <v>3205</v>
      </c>
      <c r="G747" s="8"/>
      <c r="H747" s="8"/>
      <c r="I747" s="14">
        <v>0</v>
      </c>
      <c r="J747" s="14">
        <v>2</v>
      </c>
      <c r="K747" s="6" t="str">
        <f t="shared" ref="K747:K748" si="120">HYPERLINK("https://mobile.twitter.com","Twitter Web App")</f>
        <v>Twitter Web App</v>
      </c>
      <c r="L747" s="15">
        <v>646</v>
      </c>
      <c r="M747" s="15">
        <v>41</v>
      </c>
      <c r="N747" s="15">
        <v>0</v>
      </c>
      <c r="O747" s="9"/>
      <c r="P747" s="10">
        <v>43960.528680555552</v>
      </c>
      <c r="Q747" s="14" t="s">
        <v>364</v>
      </c>
      <c r="R747" s="14" t="s">
        <v>3206</v>
      </c>
      <c r="S747" s="7" t="s">
        <v>3207</v>
      </c>
      <c r="T747" s="8"/>
      <c r="U747" s="11" t="str">
        <f>HYPERLINK("https://pbs.twimg.com/profile_images/1259072981675806720/Vj3Qqifz.jpg","View")</f>
        <v>View</v>
      </c>
      <c r="V747" s="8"/>
      <c r="W747" s="8"/>
      <c r="X747" s="8"/>
      <c r="Y747" s="8"/>
      <c r="Z747" s="8"/>
    </row>
    <row r="748" spans="1:26" ht="13.2">
      <c r="A748" s="13">
        <v>44250.615856481483</v>
      </c>
      <c r="B748" s="6" t="str">
        <f>HYPERLINK("https://twitter.com/ErwanDemont","@ErwanDemont")</f>
        <v>@ErwanDemont</v>
      </c>
      <c r="C748" s="14" t="s">
        <v>3496</v>
      </c>
      <c r="D748" s="14" t="s">
        <v>3497</v>
      </c>
      <c r="E748" s="6" t="str">
        <f>HYPERLINK("https://twitter.com/ErwanDemont/status/1364210109237313537","1364210109237313537")</f>
        <v>1364210109237313537</v>
      </c>
      <c r="F748" s="7" t="s">
        <v>3498</v>
      </c>
      <c r="G748" s="8"/>
      <c r="H748" s="8"/>
      <c r="I748" s="14">
        <v>1</v>
      </c>
      <c r="J748" s="14">
        <v>2</v>
      </c>
      <c r="K748" s="6" t="str">
        <f t="shared" si="120"/>
        <v>Twitter Web App</v>
      </c>
      <c r="L748" s="15">
        <v>1511</v>
      </c>
      <c r="M748" s="15">
        <v>4156</v>
      </c>
      <c r="N748" s="15">
        <v>131</v>
      </c>
      <c r="O748" s="9"/>
      <c r="P748" s="10">
        <v>41533.669108796297</v>
      </c>
      <c r="Q748" s="14" t="s">
        <v>106</v>
      </c>
      <c r="R748" s="14" t="s">
        <v>3499</v>
      </c>
      <c r="S748" s="7" t="s">
        <v>3500</v>
      </c>
      <c r="T748" s="8"/>
      <c r="U748" s="11" t="str">
        <f>HYPERLINK("https://pbs.twimg.com/profile_images/1143092529421783040/vsbWCqZ1.png","View")</f>
        <v>View</v>
      </c>
      <c r="V748" s="8"/>
      <c r="W748" s="8"/>
      <c r="X748" s="8"/>
      <c r="Y748" s="8"/>
      <c r="Z748" s="8"/>
    </row>
    <row r="749" spans="1:26" ht="13.2">
      <c r="A749" s="13">
        <v>44250.61555555556</v>
      </c>
      <c r="B749" s="6" t="str">
        <f>HYPERLINK("https://twitter.com/newsfile_corp","@newsfile_corp")</f>
        <v>@newsfile_corp</v>
      </c>
      <c r="C749" s="14" t="s">
        <v>3501</v>
      </c>
      <c r="D749" s="14" t="s">
        <v>3502</v>
      </c>
      <c r="E749" s="6" t="str">
        <f>HYPERLINK("https://twitter.com/newsfile_corp/status/1364210001364025347","1364210001364025347")</f>
        <v>1364210001364025347</v>
      </c>
      <c r="F749" s="7" t="s">
        <v>3503</v>
      </c>
      <c r="G749" s="8"/>
      <c r="H749" s="8"/>
      <c r="I749" s="14">
        <v>4</v>
      </c>
      <c r="J749" s="14">
        <v>5</v>
      </c>
      <c r="K749" s="6" t="str">
        <f>HYPERLINK("http://www.newsfilecorp.com","Newsfile News Tweets")</f>
        <v>Newsfile News Tweets</v>
      </c>
      <c r="L749" s="15">
        <v>1888</v>
      </c>
      <c r="M749" s="15">
        <v>43</v>
      </c>
      <c r="N749" s="15">
        <v>31</v>
      </c>
      <c r="O749" s="9"/>
      <c r="P749" s="10">
        <v>40524.731585648144</v>
      </c>
      <c r="Q749" s="14" t="s">
        <v>3504</v>
      </c>
      <c r="R749" s="14" t="s">
        <v>3505</v>
      </c>
      <c r="S749" s="7" t="s">
        <v>3506</v>
      </c>
      <c r="T749" s="8"/>
      <c r="U749" s="11" t="str">
        <f>HYPERLINK("https://pbs.twimg.com/profile_images/964573207264030720/xqLSRNdS.jpg","View")</f>
        <v>View</v>
      </c>
      <c r="V749" s="8"/>
      <c r="W749" s="8"/>
      <c r="X749" s="8"/>
      <c r="Y749" s="8"/>
      <c r="Z749" s="8"/>
    </row>
    <row r="750" spans="1:26" ht="13.2">
      <c r="A750" s="13">
        <v>44250.615289351852</v>
      </c>
      <c r="B750" s="6" t="str">
        <f>HYPERLINK("https://twitter.com/RichardEudes","@RichardEudes")</f>
        <v>@RichardEudes</v>
      </c>
      <c r="C750" s="14" t="s">
        <v>341</v>
      </c>
      <c r="D750" s="14" t="s">
        <v>3507</v>
      </c>
      <c r="E750" s="6" t="str">
        <f>HYPERLINK("https://twitter.com/RichardEudes/status/1364209902827286529","1364209902827286529")</f>
        <v>1364209902827286529</v>
      </c>
      <c r="F750" s="7" t="s">
        <v>3508</v>
      </c>
      <c r="G750" s="8"/>
      <c r="H750" s="8"/>
      <c r="I750" s="14">
        <v>0</v>
      </c>
      <c r="J750" s="14">
        <v>1</v>
      </c>
      <c r="K750" s="6" t="str">
        <f>HYPERLINK("https://buffer.com","Buffer")</f>
        <v>Buffer</v>
      </c>
      <c r="L750" s="15">
        <v>16960</v>
      </c>
      <c r="M750" s="15">
        <v>1979</v>
      </c>
      <c r="N750" s="15">
        <v>668</v>
      </c>
      <c r="O750" s="9"/>
      <c r="P750" s="10">
        <v>39985.961481481485</v>
      </c>
      <c r="Q750" s="14" t="s">
        <v>106</v>
      </c>
      <c r="R750" s="14" t="s">
        <v>344</v>
      </c>
      <c r="S750" s="7" t="s">
        <v>345</v>
      </c>
      <c r="T750" s="8"/>
      <c r="U750" s="11" t="str">
        <f>HYPERLINK("https://pbs.twimg.com/profile_images/1332753391886491648/I9fBm3kf.jpg","View")</f>
        <v>View</v>
      </c>
      <c r="V750" s="8"/>
      <c r="W750" s="8"/>
      <c r="X750" s="8"/>
      <c r="Y750" s="8"/>
      <c r="Z750" s="8"/>
    </row>
    <row r="751" spans="1:26" ht="13.2">
      <c r="A751" s="13">
        <v>44250.615081018521</v>
      </c>
      <c r="B751" s="6" t="str">
        <f>HYPERLINK("https://twitter.com/_M_Dey","@_M_Dey")</f>
        <v>@_M_Dey</v>
      </c>
      <c r="C751" s="14" t="s">
        <v>2112</v>
      </c>
      <c r="D751" s="14" t="s">
        <v>3509</v>
      </c>
      <c r="E751" s="6" t="str">
        <f>HYPERLINK("https://twitter.com/_M_Dey/status/1364209826293706752","1364209826293706752")</f>
        <v>1364209826293706752</v>
      </c>
      <c r="F751" s="7" t="s">
        <v>3510</v>
      </c>
      <c r="G751" s="8"/>
      <c r="H751" s="8"/>
      <c r="I751" s="14">
        <v>4</v>
      </c>
      <c r="J751" s="14">
        <v>3</v>
      </c>
      <c r="K751" s="6" t="str">
        <f>HYPERLINK("http://dynamicsignal.com/","Dynamic Signal")</f>
        <v>Dynamic Signal</v>
      </c>
      <c r="L751" s="15">
        <v>1174</v>
      </c>
      <c r="M751" s="15">
        <v>4503</v>
      </c>
      <c r="N751" s="15">
        <v>19</v>
      </c>
      <c r="O751" s="9"/>
      <c r="P751" s="10">
        <v>42691.486655092594</v>
      </c>
      <c r="Q751" s="14" t="s">
        <v>106</v>
      </c>
      <c r="R751" s="14" t="s">
        <v>2115</v>
      </c>
      <c r="S751" s="7" t="s">
        <v>2116</v>
      </c>
      <c r="T751" s="8"/>
      <c r="U751" s="11" t="str">
        <f>HYPERLINK("https://pbs.twimg.com/profile_images/799206549025603584/G1d1duXU.jpg","View")</f>
        <v>View</v>
      </c>
      <c r="V751" s="8"/>
      <c r="W751" s="8"/>
      <c r="X751" s="8"/>
      <c r="Y751" s="8"/>
      <c r="Z751" s="8"/>
    </row>
    <row r="752" spans="1:26" ht="13.2">
      <c r="A752" s="13">
        <v>44250.614988425921</v>
      </c>
      <c r="B752" s="6" t="str">
        <f>HYPERLINK("https://twitter.com/TradersLog","@TradersLog")</f>
        <v>@TradersLog</v>
      </c>
      <c r="C752" s="7" t="s">
        <v>3511</v>
      </c>
      <c r="D752" s="14" t="s">
        <v>3512</v>
      </c>
      <c r="E752" s="6" t="str">
        <f>HYPERLINK("https://twitter.com/TradersLog/status/1364209795624968195","1364209795624968195")</f>
        <v>1364209795624968195</v>
      </c>
      <c r="F752" s="7" t="s">
        <v>3513</v>
      </c>
      <c r="G752" s="8"/>
      <c r="H752" s="8"/>
      <c r="I752" s="14">
        <v>0</v>
      </c>
      <c r="J752" s="14">
        <v>0</v>
      </c>
      <c r="K752" s="6" t="str">
        <f>HYPERLINK("https://mobile.twitter.com","Twitter Web App")</f>
        <v>Twitter Web App</v>
      </c>
      <c r="L752" s="15">
        <v>26055</v>
      </c>
      <c r="M752" s="15">
        <v>9523</v>
      </c>
      <c r="N752" s="15">
        <v>769</v>
      </c>
      <c r="O752" s="9"/>
      <c r="P752" s="10">
        <v>39791.632164351853</v>
      </c>
      <c r="Q752" s="14" t="s">
        <v>848</v>
      </c>
      <c r="R752" s="14" t="s">
        <v>3514</v>
      </c>
      <c r="S752" s="7" t="s">
        <v>3515</v>
      </c>
      <c r="T752" s="8"/>
      <c r="U752" s="11" t="str">
        <f>HYPERLINK("https://pbs.twimg.com/profile_images/520567833546080256/VgMmpPqP.png","View")</f>
        <v>View</v>
      </c>
      <c r="V752" s="8"/>
      <c r="W752" s="8"/>
      <c r="X752" s="8"/>
      <c r="Y752" s="8"/>
      <c r="Z752" s="8"/>
    </row>
    <row r="753" spans="1:26" ht="13.2">
      <c r="A753" s="13">
        <v>44250.614687499998</v>
      </c>
      <c r="B753" s="6" t="str">
        <f>HYPERLINK("https://twitter.com/noelchandler","@noelchandler")</f>
        <v>@noelchandler</v>
      </c>
      <c r="C753" s="14" t="s">
        <v>3516</v>
      </c>
      <c r="D753" s="14" t="s">
        <v>3517</v>
      </c>
      <c r="E753" s="6" t="str">
        <f>HYPERLINK("https://twitter.com/noelchandler/status/1364209683993624577","1364209683993624577")</f>
        <v>1364209683993624577</v>
      </c>
      <c r="F753" s="7" t="s">
        <v>3518</v>
      </c>
      <c r="G753" s="7" t="s">
        <v>3519</v>
      </c>
      <c r="H753" s="8"/>
      <c r="I753" s="14">
        <v>0</v>
      </c>
      <c r="J753" s="14">
        <v>0</v>
      </c>
      <c r="K753" s="6" t="str">
        <f>HYPERLINK("https://buffer.com","Buffer")</f>
        <v>Buffer</v>
      </c>
      <c r="L753" s="15">
        <v>5379</v>
      </c>
      <c r="M753" s="15">
        <v>5031</v>
      </c>
      <c r="N753" s="15">
        <v>0</v>
      </c>
      <c r="O753" s="9"/>
      <c r="P753" s="10">
        <v>39869.201851851853</v>
      </c>
      <c r="Q753" s="14" t="s">
        <v>3520</v>
      </c>
      <c r="R753" s="14" t="s">
        <v>3521</v>
      </c>
      <c r="S753" s="7" t="s">
        <v>3522</v>
      </c>
      <c r="T753" s="8"/>
      <c r="U753" s="11" t="str">
        <f>HYPERLINK("https://pbs.twimg.com/profile_images/951422069941653504/-kev7IA6.jpg","View")</f>
        <v>View</v>
      </c>
      <c r="V753" s="8"/>
      <c r="W753" s="8"/>
      <c r="X753" s="8"/>
      <c r="Y753" s="8"/>
      <c r="Z753" s="8"/>
    </row>
    <row r="754" spans="1:26" ht="13.2">
      <c r="A754" s="13">
        <v>44250.614675925928</v>
      </c>
      <c r="B754" s="6" t="str">
        <f>HYPERLINK("https://twitter.com/s_kampakis","@s_kampakis")</f>
        <v>@s_kampakis</v>
      </c>
      <c r="C754" s="14" t="s">
        <v>823</v>
      </c>
      <c r="D754" s="14" t="s">
        <v>3523</v>
      </c>
      <c r="E754" s="6" t="str">
        <f>HYPERLINK("https://twitter.com/s_kampakis/status/1364209680617271296","1364209680617271296")</f>
        <v>1364209680617271296</v>
      </c>
      <c r="F754" s="7" t="s">
        <v>3524</v>
      </c>
      <c r="G754" s="8"/>
      <c r="H754" s="8"/>
      <c r="I754" s="14">
        <v>0</v>
      </c>
      <c r="J754" s="14">
        <v>0</v>
      </c>
      <c r="K754" s="6" t="str">
        <f>HYPERLINK("https://crowdfireapp.com","Crowdfire App")</f>
        <v>Crowdfire App</v>
      </c>
      <c r="L754" s="15">
        <v>1205</v>
      </c>
      <c r="M754" s="15">
        <v>2076</v>
      </c>
      <c r="N754" s="15">
        <v>87</v>
      </c>
      <c r="O754" s="9"/>
      <c r="P754" s="10">
        <v>41877.766087962962</v>
      </c>
      <c r="Q754" s="14" t="s">
        <v>753</v>
      </c>
      <c r="R754" s="14" t="s">
        <v>826</v>
      </c>
      <c r="S754" s="7" t="s">
        <v>827</v>
      </c>
      <c r="T754" s="8"/>
      <c r="U754" s="11" t="str">
        <f>HYPERLINK("https://pbs.twimg.com/profile_images/1175015480496726019/1UxlBHvw.jpg","View")</f>
        <v>View</v>
      </c>
      <c r="V754" s="8"/>
      <c r="W754" s="8"/>
      <c r="X754" s="8"/>
      <c r="Y754" s="8"/>
      <c r="Z754" s="8"/>
    </row>
    <row r="755" spans="1:26" ht="13.2">
      <c r="A755" s="13">
        <v>44250.614583333328</v>
      </c>
      <c r="B755" s="6" t="str">
        <f>HYPERLINK("https://twitter.com/GovCounterFraud","@GovCounterFraud")</f>
        <v>@GovCounterFraud</v>
      </c>
      <c r="C755" s="14" t="s">
        <v>3525</v>
      </c>
      <c r="D755" s="14" t="s">
        <v>3526</v>
      </c>
      <c r="E755" s="6" t="str">
        <f>HYPERLINK("https://twitter.com/GovCounterFraud/status/1364209647780036608","1364209647780036608")</f>
        <v>1364209647780036608</v>
      </c>
      <c r="F755" s="8"/>
      <c r="G755" s="7" t="s">
        <v>3527</v>
      </c>
      <c r="H755" s="8"/>
      <c r="I755" s="14">
        <v>1</v>
      </c>
      <c r="J755" s="14">
        <v>0</v>
      </c>
      <c r="K755" s="6" t="str">
        <f>HYPERLINK("http://www.hubspot.com/","HubSpot")</f>
        <v>HubSpot</v>
      </c>
      <c r="L755" s="15">
        <v>612</v>
      </c>
      <c r="M755" s="15">
        <v>548</v>
      </c>
      <c r="N755" s="15">
        <v>10</v>
      </c>
      <c r="O755" s="9"/>
      <c r="P755" s="10">
        <v>41283.721655092595</v>
      </c>
      <c r="Q755" s="14" t="s">
        <v>2551</v>
      </c>
      <c r="R755" s="14" t="s">
        <v>3528</v>
      </c>
      <c r="S755" s="7" t="s">
        <v>3529</v>
      </c>
      <c r="T755" s="8"/>
      <c r="U755" s="11" t="str">
        <f>HYPERLINK("https://pbs.twimg.com/profile_images/1190233776212889603/O-8LDdU9.jpg","View")</f>
        <v>View</v>
      </c>
      <c r="V755" s="8"/>
      <c r="W755" s="8"/>
      <c r="X755" s="8"/>
      <c r="Y755" s="8"/>
      <c r="Z755" s="8"/>
    </row>
    <row r="756" spans="1:26" ht="13.2">
      <c r="A756" s="13">
        <v>44250.614259259259</v>
      </c>
      <c r="B756" s="6" t="str">
        <f>HYPERLINK("https://twitter.com/grjenkin","@grjenkin")</f>
        <v>@grjenkin</v>
      </c>
      <c r="C756" s="14" t="s">
        <v>3530</v>
      </c>
      <c r="D756" s="14" t="s">
        <v>3531</v>
      </c>
      <c r="E756" s="6" t="str">
        <f>HYPERLINK("https://twitter.com/grjenkin/status/1364209529337085954","1364209529337085954")</f>
        <v>1364209529337085954</v>
      </c>
      <c r="F756" s="14" t="s">
        <v>3532</v>
      </c>
      <c r="G756" s="8"/>
      <c r="H756" s="8"/>
      <c r="I756" s="14">
        <v>0</v>
      </c>
      <c r="J756" s="14">
        <v>0</v>
      </c>
      <c r="K756" s="6" t="str">
        <f>HYPERLINK("http://twinybots.com","TwinyBots")</f>
        <v>TwinyBots</v>
      </c>
      <c r="L756" s="15">
        <v>8509</v>
      </c>
      <c r="M756" s="15">
        <v>9300</v>
      </c>
      <c r="N756" s="15">
        <v>589</v>
      </c>
      <c r="O756" s="9"/>
      <c r="P756" s="10">
        <v>39302.898541666669</v>
      </c>
      <c r="Q756" s="14" t="s">
        <v>3533</v>
      </c>
      <c r="R756" s="14" t="s">
        <v>3534</v>
      </c>
      <c r="S756" s="7" t="s">
        <v>3535</v>
      </c>
      <c r="T756" s="8"/>
      <c r="U756" s="11" t="str">
        <f>HYPERLINK("https://pbs.twimg.com/profile_images/526492552/polarized_garry.jpg","View")</f>
        <v>View</v>
      </c>
      <c r="V756" s="8"/>
      <c r="W756" s="8"/>
      <c r="X756" s="8"/>
      <c r="Y756" s="8"/>
      <c r="Z756" s="8"/>
    </row>
    <row r="757" spans="1:26" ht="13.2">
      <c r="A757" s="13">
        <v>44250.61409722222</v>
      </c>
      <c r="B757" s="6" t="str">
        <f>HYPERLINK("https://twitter.com/dinoreynyc","@dinoreynyc")</f>
        <v>@dinoreynyc</v>
      </c>
      <c r="C757" s="14" t="s">
        <v>3536</v>
      </c>
      <c r="D757" s="14" t="s">
        <v>3537</v>
      </c>
      <c r="E757" s="6" t="str">
        <f>HYPERLINK("https://twitter.com/dinoreynyc/status/1364209469656338432","1364209469656338432")</f>
        <v>1364209469656338432</v>
      </c>
      <c r="F757" s="14" t="s">
        <v>3538</v>
      </c>
      <c r="G757" s="7" t="s">
        <v>3539</v>
      </c>
      <c r="H757" s="8"/>
      <c r="I757" s="14">
        <v>0</v>
      </c>
      <c r="J757" s="14">
        <v>3</v>
      </c>
      <c r="K757" s="6" t="str">
        <f>HYPERLINK("http://twitter.com/download/android","Twitter for Android")</f>
        <v>Twitter for Android</v>
      </c>
      <c r="L757" s="15">
        <v>242</v>
      </c>
      <c r="M757" s="15">
        <v>435</v>
      </c>
      <c r="N757" s="15">
        <v>5</v>
      </c>
      <c r="O757" s="9"/>
      <c r="P757" s="10">
        <v>40730.72965277778</v>
      </c>
      <c r="Q757" s="14" t="s">
        <v>3540</v>
      </c>
      <c r="R757" s="14" t="s">
        <v>3541</v>
      </c>
      <c r="S757" s="8"/>
      <c r="T757" s="8"/>
      <c r="U757" s="11" t="str">
        <f>HYPERLINK("https://pbs.twimg.com/profile_images/1357787805771038722/-V_Hrb3n.jpg","View")</f>
        <v>View</v>
      </c>
      <c r="V757" s="8"/>
      <c r="W757" s="8"/>
      <c r="X757" s="8"/>
      <c r="Y757" s="8"/>
      <c r="Z757" s="8"/>
    </row>
    <row r="758" spans="1:26" ht="13.2">
      <c r="A758" s="13">
        <v>44250.613877314812</v>
      </c>
      <c r="B758" s="6" t="str">
        <f>HYPERLINK("https://twitter.com/FreeHipwee","@FreeHipwee")</f>
        <v>@FreeHipwee</v>
      </c>
      <c r="C758" s="14" t="s">
        <v>1968</v>
      </c>
      <c r="D758" s="14" t="s">
        <v>3542</v>
      </c>
      <c r="E758" s="6" t="str">
        <f>HYPERLINK("https://twitter.com/FreeHipwee/status/1364209392208420867","1364209392208420867")</f>
        <v>1364209392208420867</v>
      </c>
      <c r="F758" s="7" t="s">
        <v>3543</v>
      </c>
      <c r="G758" s="8"/>
      <c r="H758" s="8"/>
      <c r="I758" s="14">
        <v>20</v>
      </c>
      <c r="J758" s="14">
        <v>9</v>
      </c>
      <c r="K758" s="6" t="str">
        <f>HYPERLINK("https://mobile.twitter.com","Twitter Web App")</f>
        <v>Twitter Web App</v>
      </c>
      <c r="L758" s="15">
        <v>444</v>
      </c>
      <c r="M758" s="15">
        <v>152</v>
      </c>
      <c r="N758" s="15">
        <v>7</v>
      </c>
      <c r="O758" s="9"/>
      <c r="P758" s="10">
        <v>43642.24018518519</v>
      </c>
      <c r="Q758" s="8"/>
      <c r="R758" s="14" t="s">
        <v>1971</v>
      </c>
      <c r="S758" s="8"/>
      <c r="T758" s="8"/>
      <c r="U758" s="11" t="str">
        <f>HYPERLINK("https://pbs.twimg.com/profile_images/1143734724977762304/i9HNUbp4.png","View")</f>
        <v>View</v>
      </c>
      <c r="V758" s="8"/>
      <c r="W758" s="8"/>
      <c r="X758" s="8"/>
      <c r="Y758" s="8"/>
      <c r="Z758" s="8"/>
    </row>
    <row r="759" spans="1:26" ht="13.2">
      <c r="A759" s="13">
        <v>44250.613576388889</v>
      </c>
      <c r="B759" s="6" t="str">
        <f>HYPERLINK("https://twitter.com/_Harinivas_","@_Harinivas_")</f>
        <v>@_Harinivas_</v>
      </c>
      <c r="C759" s="14" t="s">
        <v>3156</v>
      </c>
      <c r="D759" s="14" t="s">
        <v>3544</v>
      </c>
      <c r="E759" s="6" t="str">
        <f>HYPERLINK("https://twitter.com/_Harinivas_/status/1364209283215237122","1364209283215237122")</f>
        <v>1364209283215237122</v>
      </c>
      <c r="F759" s="8"/>
      <c r="G759" s="8"/>
      <c r="H759" s="8"/>
      <c r="I759" s="14">
        <v>0</v>
      </c>
      <c r="J759" s="14">
        <v>2</v>
      </c>
      <c r="K759" s="6" t="str">
        <f>HYPERLINK("http://twitter.com/download/android","Twitter for Android")</f>
        <v>Twitter for Android</v>
      </c>
      <c r="L759" s="15">
        <v>16</v>
      </c>
      <c r="M759" s="15">
        <v>85</v>
      </c>
      <c r="N759" s="15">
        <v>0</v>
      </c>
      <c r="O759" s="9"/>
      <c r="P759" s="10">
        <v>44245.6091087963</v>
      </c>
      <c r="Q759" s="8"/>
      <c r="R759" s="14" t="s">
        <v>3159</v>
      </c>
      <c r="S759" s="8"/>
      <c r="T759" s="8"/>
      <c r="U759" s="11" t="str">
        <f>HYPERLINK("https://pbs.twimg.com/profile_images/1363061419797716994/2Yn7O2fH.jpg","View")</f>
        <v>View</v>
      </c>
      <c r="V759" s="8"/>
      <c r="W759" s="8"/>
      <c r="X759" s="8"/>
      <c r="Y759" s="8"/>
      <c r="Z759" s="8"/>
    </row>
    <row r="760" spans="1:26" ht="13.2">
      <c r="A760" s="13">
        <v>44250.613333333335</v>
      </c>
      <c r="B760" s="6" t="str">
        <f>HYPERLINK("https://twitter.com/mlmemoirs","@mlmemoirs")</f>
        <v>@mlmemoirs</v>
      </c>
      <c r="C760" s="14" t="s">
        <v>577</v>
      </c>
      <c r="D760" s="14" t="s">
        <v>3459</v>
      </c>
      <c r="E760" s="6" t="str">
        <f>HYPERLINK("https://twitter.com/mlmemoirs/status/1364209195873099776","1364209195873099776")</f>
        <v>1364209195873099776</v>
      </c>
      <c r="F760" s="7" t="s">
        <v>3545</v>
      </c>
      <c r="G760" s="8"/>
      <c r="H760" s="8"/>
      <c r="I760" s="14">
        <v>1</v>
      </c>
      <c r="J760" s="14">
        <v>0</v>
      </c>
      <c r="K760" s="6" t="str">
        <f>HYPERLINK("https://ifttt.com","IFTTT")</f>
        <v>IFTTT</v>
      </c>
      <c r="L760" s="15">
        <v>1674</v>
      </c>
      <c r="M760" s="15">
        <v>2216</v>
      </c>
      <c r="N760" s="15">
        <v>30</v>
      </c>
      <c r="O760" s="9"/>
      <c r="P760" s="10">
        <v>43238.970069444447</v>
      </c>
      <c r="Q760" s="14" t="s">
        <v>478</v>
      </c>
      <c r="R760" s="14" t="s">
        <v>579</v>
      </c>
      <c r="S760" s="8"/>
      <c r="T760" s="8"/>
      <c r="U760" s="11" t="str">
        <f>HYPERLINK("https://pbs.twimg.com/profile_images/1050964116729413637/Q5tLLPAf.jpg","View")</f>
        <v>View</v>
      </c>
      <c r="V760" s="8"/>
      <c r="W760" s="8"/>
      <c r="X760" s="8"/>
      <c r="Y760" s="8"/>
      <c r="Z760" s="8"/>
    </row>
    <row r="761" spans="1:26" ht="13.2">
      <c r="A761" s="13">
        <v>44250.613321759258</v>
      </c>
      <c r="B761" s="6" t="str">
        <f>HYPERLINK("https://twitter.com/Everyday_MBA","@Everyday_MBA")</f>
        <v>@Everyday_MBA</v>
      </c>
      <c r="C761" s="14" t="s">
        <v>3546</v>
      </c>
      <c r="D761" s="14" t="s">
        <v>3547</v>
      </c>
      <c r="E761" s="6" t="str">
        <f>HYPERLINK("https://twitter.com/Everyday_MBA/status/1364209191150358533","1364209191150358533")</f>
        <v>1364209191150358533</v>
      </c>
      <c r="F761" s="7" t="s">
        <v>3548</v>
      </c>
      <c r="G761" s="8"/>
      <c r="H761" s="8"/>
      <c r="I761" s="14">
        <v>1</v>
      </c>
      <c r="J761" s="14">
        <v>1</v>
      </c>
      <c r="K761" s="6" t="str">
        <f>HYPERLINK("https://www.socialjukebox.com","The Social Jukebox")</f>
        <v>The Social Jukebox</v>
      </c>
      <c r="L761" s="15">
        <v>3819</v>
      </c>
      <c r="M761" s="15">
        <v>3185</v>
      </c>
      <c r="N761" s="15">
        <v>1740</v>
      </c>
      <c r="O761" s="9"/>
      <c r="P761" s="10">
        <v>42070.982476851852</v>
      </c>
      <c r="Q761" s="14" t="s">
        <v>3549</v>
      </c>
      <c r="R761" s="14" t="s">
        <v>3550</v>
      </c>
      <c r="S761" s="7" t="s">
        <v>3551</v>
      </c>
      <c r="T761" s="8"/>
      <c r="U761" s="11" t="str">
        <f>HYPERLINK("https://pbs.twimg.com/profile_images/574337677459202048/Q2PmXkVJ.jpeg","View")</f>
        <v>View</v>
      </c>
      <c r="V761" s="8"/>
      <c r="W761" s="8"/>
      <c r="X761" s="8"/>
      <c r="Y761" s="8"/>
      <c r="Z761" s="8"/>
    </row>
    <row r="762" spans="1:26" ht="13.2">
      <c r="A762" s="13">
        <v>44250.612905092596</v>
      </c>
      <c r="B762" s="6" t="str">
        <f>HYPERLINK("https://twitter.com/taneemishere","@taneemishere")</f>
        <v>@taneemishere</v>
      </c>
      <c r="C762" s="14" t="s">
        <v>3552</v>
      </c>
      <c r="D762" s="14" t="s">
        <v>3553</v>
      </c>
      <c r="E762" s="6" t="str">
        <f>HYPERLINK("https://twitter.com/taneemishere/status/1364209038188306435","1364209038188306435")</f>
        <v>1364209038188306435</v>
      </c>
      <c r="F762" s="7" t="s">
        <v>3554</v>
      </c>
      <c r="G762" s="8"/>
      <c r="H762" s="8"/>
      <c r="I762" s="14">
        <v>0</v>
      </c>
      <c r="J762" s="14">
        <v>0</v>
      </c>
      <c r="K762" s="6" t="str">
        <f>HYPERLINK("http://twitter.com/download/android","Twitter for Android")</f>
        <v>Twitter for Android</v>
      </c>
      <c r="L762" s="15">
        <v>384</v>
      </c>
      <c r="M762" s="15">
        <v>110</v>
      </c>
      <c r="N762" s="15">
        <v>2</v>
      </c>
      <c r="O762" s="9"/>
      <c r="P762" s="10">
        <v>41830.661423611113</v>
      </c>
      <c r="Q762" s="14" t="s">
        <v>3555</v>
      </c>
      <c r="R762" s="14" t="s">
        <v>3556</v>
      </c>
      <c r="S762" s="7" t="s">
        <v>3557</v>
      </c>
      <c r="T762" s="8"/>
      <c r="U762" s="11" t="str">
        <f>HYPERLINK("https://pbs.twimg.com/profile_images/1343227227434065923/boP0UHQV.jpg","View")</f>
        <v>View</v>
      </c>
      <c r="V762" s="8"/>
      <c r="W762" s="8"/>
      <c r="X762" s="8"/>
      <c r="Y762" s="8"/>
      <c r="Z762" s="8"/>
    </row>
    <row r="763" spans="1:26" ht="13.2">
      <c r="A763" s="13">
        <v>44250.612546296295</v>
      </c>
      <c r="B763" s="6" t="str">
        <f>HYPERLINK("https://twitter.com/SpirosMargaris","@SpirosMargaris")</f>
        <v>@SpirosMargaris</v>
      </c>
      <c r="C763" s="14" t="s">
        <v>3558</v>
      </c>
      <c r="D763" s="14" t="s">
        <v>3559</v>
      </c>
      <c r="E763" s="6" t="str">
        <f>HYPERLINK("https://twitter.com/SpirosMargaris/status/1364208911256059906","1364208911256059906")</f>
        <v>1364208911256059906</v>
      </c>
      <c r="F763" s="7" t="s">
        <v>3560</v>
      </c>
      <c r="G763" s="7" t="s">
        <v>3561</v>
      </c>
      <c r="H763" s="8"/>
      <c r="I763" s="14">
        <v>7</v>
      </c>
      <c r="J763" s="14">
        <v>4</v>
      </c>
      <c r="K763" s="6" t="str">
        <f>HYPERLINK("https://buffer.com","Buffer")</f>
        <v>Buffer</v>
      </c>
      <c r="L763" s="15">
        <v>107389</v>
      </c>
      <c r="M763" s="15">
        <v>15890</v>
      </c>
      <c r="N763" s="15">
        <v>5693</v>
      </c>
      <c r="O763" s="15" t="s">
        <v>130</v>
      </c>
      <c r="P763" s="10">
        <v>41857.30574074074</v>
      </c>
      <c r="Q763" s="14" t="s">
        <v>3562</v>
      </c>
      <c r="R763" s="14" t="s">
        <v>3563</v>
      </c>
      <c r="S763" s="7" t="s">
        <v>3564</v>
      </c>
      <c r="T763" s="8"/>
      <c r="U763" s="11" t="str">
        <f>HYPERLINK("https://pbs.twimg.com/profile_images/1346443960986775553/TGeiH97s.jpg","View")</f>
        <v>View</v>
      </c>
      <c r="V763" s="8"/>
      <c r="W763" s="8"/>
      <c r="X763" s="8"/>
      <c r="Y763" s="8"/>
      <c r="Z763" s="8"/>
    </row>
    <row r="764" spans="1:26" ht="13.2">
      <c r="A764" s="13">
        <v>44250.611655092594</v>
      </c>
      <c r="B764" s="6" t="str">
        <f>HYPERLINK("https://twitter.com/luizpicolo_","@luizpicolo_")</f>
        <v>@luizpicolo_</v>
      </c>
      <c r="C764" s="14" t="s">
        <v>3565</v>
      </c>
      <c r="D764" s="14" t="s">
        <v>3566</v>
      </c>
      <c r="E764" s="6" t="str">
        <f>HYPERLINK("https://twitter.com/luizpicolo_/status/1364208587669725184","1364208587669725184")</f>
        <v>1364208587669725184</v>
      </c>
      <c r="F764" s="8"/>
      <c r="G764" s="7" t="s">
        <v>3567</v>
      </c>
      <c r="H764" s="8"/>
      <c r="I764" s="14">
        <v>0</v>
      </c>
      <c r="J764" s="14">
        <v>0</v>
      </c>
      <c r="K764" s="6" t="str">
        <f t="shared" ref="K764:K766" si="121">HYPERLINK("https://mobile.twitter.com","Twitter Web App")</f>
        <v>Twitter Web App</v>
      </c>
      <c r="L764" s="15">
        <v>219</v>
      </c>
      <c r="M764" s="15">
        <v>126</v>
      </c>
      <c r="N764" s="15">
        <v>15</v>
      </c>
      <c r="O764" s="9"/>
      <c r="P764" s="10">
        <v>40262.673206018517</v>
      </c>
      <c r="Q764" s="14" t="s">
        <v>3568</v>
      </c>
      <c r="R764" s="14" t="s">
        <v>3569</v>
      </c>
      <c r="S764" s="8"/>
      <c r="T764" s="8"/>
      <c r="U764" s="11" t="str">
        <f>HYPERLINK("https://pbs.twimg.com/profile_images/1361142403088977921/tul84729.jpg","View")</f>
        <v>View</v>
      </c>
      <c r="V764" s="8"/>
      <c r="W764" s="8"/>
      <c r="X764" s="8"/>
      <c r="Y764" s="8"/>
      <c r="Z764" s="8"/>
    </row>
    <row r="765" spans="1:26" ht="13.2">
      <c r="A765" s="13">
        <v>44250.611412037033</v>
      </c>
      <c r="B765" s="6" t="str">
        <f>HYPERLINK("https://twitter.com/mambo247","@mambo247")</f>
        <v>@mambo247</v>
      </c>
      <c r="C765" s="14" t="s">
        <v>3570</v>
      </c>
      <c r="D765" s="14" t="s">
        <v>3571</v>
      </c>
      <c r="E765" s="6" t="str">
        <f>HYPERLINK("https://twitter.com/mambo247/status/1364208497282457603","1364208497282457603")</f>
        <v>1364208497282457603</v>
      </c>
      <c r="F765" s="7" t="s">
        <v>3572</v>
      </c>
      <c r="G765" s="7" t="s">
        <v>3573</v>
      </c>
      <c r="H765" s="8"/>
      <c r="I765" s="14">
        <v>21</v>
      </c>
      <c r="J765" s="14">
        <v>9</v>
      </c>
      <c r="K765" s="6" t="str">
        <f t="shared" si="121"/>
        <v>Twitter Web App</v>
      </c>
      <c r="L765" s="15">
        <v>533</v>
      </c>
      <c r="M765" s="15">
        <v>848</v>
      </c>
      <c r="N765" s="15">
        <v>11</v>
      </c>
      <c r="O765" s="9"/>
      <c r="P765" s="10">
        <v>39967.831875000003</v>
      </c>
      <c r="Q765" s="14" t="s">
        <v>3574</v>
      </c>
      <c r="R765" s="14" t="s">
        <v>3575</v>
      </c>
      <c r="S765" s="7" t="s">
        <v>3576</v>
      </c>
      <c r="T765" s="8"/>
      <c r="U765" s="11" t="str">
        <f>HYPERLINK("https://pbs.twimg.com/profile_images/564647138110361600/SFiwTA-S.png","View")</f>
        <v>View</v>
      </c>
      <c r="V765" s="8"/>
      <c r="W765" s="8"/>
      <c r="X765" s="8"/>
      <c r="Y765" s="8"/>
      <c r="Z765" s="8"/>
    </row>
    <row r="766" spans="1:26" ht="13.2">
      <c r="A766" s="13">
        <v>44250.611203703702</v>
      </c>
      <c r="B766" s="6" t="str">
        <f>HYPERLINK("https://twitter.com/7wData","@7wData")</f>
        <v>@7wData</v>
      </c>
      <c r="C766" s="14" t="s">
        <v>3577</v>
      </c>
      <c r="D766" s="14" t="s">
        <v>3578</v>
      </c>
      <c r="E766" s="6" t="str">
        <f>HYPERLINK("https://twitter.com/7wData/status/1364208423181701127","1364208423181701127")</f>
        <v>1364208423181701127</v>
      </c>
      <c r="F766" s="7" t="s">
        <v>3579</v>
      </c>
      <c r="G766" s="7" t="s">
        <v>3580</v>
      </c>
      <c r="H766" s="8"/>
      <c r="I766" s="14">
        <v>0</v>
      </c>
      <c r="J766" s="14">
        <v>0</v>
      </c>
      <c r="K766" s="6" t="str">
        <f t="shared" si="121"/>
        <v>Twitter Web App</v>
      </c>
      <c r="L766" s="15">
        <v>77046</v>
      </c>
      <c r="M766" s="15">
        <v>84757</v>
      </c>
      <c r="N766" s="15">
        <v>8391</v>
      </c>
      <c r="O766" s="9"/>
      <c r="P766" s="10">
        <v>41516.861932870372</v>
      </c>
      <c r="Q766" s="14" t="s">
        <v>3581</v>
      </c>
      <c r="R766" s="14" t="s">
        <v>3582</v>
      </c>
      <c r="S766" s="7" t="s">
        <v>3583</v>
      </c>
      <c r="T766" s="8"/>
      <c r="U766" s="11" t="str">
        <f>HYPERLINK("https://pbs.twimg.com/profile_images/603260553012781056/ri__z73B.png","View")</f>
        <v>View</v>
      </c>
      <c r="V766" s="8"/>
      <c r="W766" s="8"/>
      <c r="X766" s="8"/>
      <c r="Y766" s="8"/>
      <c r="Z766" s="8"/>
    </row>
    <row r="767" spans="1:26" ht="13.2">
      <c r="A767" s="13">
        <v>44250.611157407402</v>
      </c>
      <c r="B767" s="6" t="str">
        <f>HYPERLINK("https://twitter.com/sandy_carter","@sandy_carter")</f>
        <v>@sandy_carter</v>
      </c>
      <c r="C767" s="14" t="s">
        <v>3584</v>
      </c>
      <c r="D767" s="14" t="s">
        <v>3585</v>
      </c>
      <c r="E767" s="6" t="str">
        <f>HYPERLINK("https://twitter.com/sandy_carter/status/1364208405095792641","1364208405095792641")</f>
        <v>1364208405095792641</v>
      </c>
      <c r="F767" s="7" t="s">
        <v>3586</v>
      </c>
      <c r="G767" s="7" t="s">
        <v>3587</v>
      </c>
      <c r="H767" s="8"/>
      <c r="I767" s="14">
        <v>7</v>
      </c>
      <c r="J767" s="14">
        <v>16</v>
      </c>
      <c r="K767" s="6" t="str">
        <f>HYPERLINK("https://www.hootsuite.com","Hootsuite Inc.")</f>
        <v>Hootsuite Inc.</v>
      </c>
      <c r="L767" s="15">
        <v>81095</v>
      </c>
      <c r="M767" s="15">
        <v>70058</v>
      </c>
      <c r="N767" s="15">
        <v>4081</v>
      </c>
      <c r="O767" s="15" t="s">
        <v>130</v>
      </c>
      <c r="P767" s="10">
        <v>39508.696655092594</v>
      </c>
      <c r="Q767" s="14" t="s">
        <v>390</v>
      </c>
      <c r="R767" s="14" t="s">
        <v>3588</v>
      </c>
      <c r="S767" s="7" t="s">
        <v>3589</v>
      </c>
      <c r="T767" s="8"/>
      <c r="U767" s="11" t="str">
        <f>HYPERLINK("https://pbs.twimg.com/profile_images/688039108/retouched_3726.jpg","View")</f>
        <v>View</v>
      </c>
      <c r="V767" s="8"/>
      <c r="W767" s="8"/>
      <c r="X767" s="8"/>
      <c r="Y767" s="8"/>
      <c r="Z767" s="8"/>
    </row>
    <row r="768" spans="1:26" ht="13.2">
      <c r="A768" s="13">
        <v>44250.610833333332</v>
      </c>
      <c r="B768" s="6" t="str">
        <f>HYPERLINK("https://twitter.com/love12utakata","@love12utakata")</f>
        <v>@love12utakata</v>
      </c>
      <c r="C768" s="14" t="s">
        <v>3116</v>
      </c>
      <c r="D768" s="14" t="s">
        <v>3590</v>
      </c>
      <c r="E768" s="6" t="str">
        <f>HYPERLINK("https://twitter.com/love12utakata/status/1364208287961341962","1364208287961341962")</f>
        <v>1364208287961341962</v>
      </c>
      <c r="F768" s="8"/>
      <c r="G768" s="7" t="s">
        <v>3591</v>
      </c>
      <c r="H768" s="8"/>
      <c r="I768" s="14">
        <v>0</v>
      </c>
      <c r="J768" s="14">
        <v>1</v>
      </c>
      <c r="K768" s="6" t="str">
        <f t="shared" ref="K768:K769" si="122">HYPERLINK("https://mobile.twitter.com","Twitter Web App")</f>
        <v>Twitter Web App</v>
      </c>
      <c r="L768" s="15">
        <v>33</v>
      </c>
      <c r="M768" s="15">
        <v>192</v>
      </c>
      <c r="N768" s="15">
        <v>0</v>
      </c>
      <c r="O768" s="9"/>
      <c r="P768" s="10">
        <v>44207.984849537039</v>
      </c>
      <c r="Q768" s="14" t="s">
        <v>3119</v>
      </c>
      <c r="R768" s="14" t="s">
        <v>3120</v>
      </c>
      <c r="S768" s="8"/>
      <c r="T768" s="8"/>
      <c r="U768" s="11" t="str">
        <f>HYPERLINK("https://pbs.twimg.com/profile_images/1364058211930701826/rwkqHlru.jpg","View")</f>
        <v>View</v>
      </c>
      <c r="V768" s="8"/>
      <c r="W768" s="8"/>
      <c r="X768" s="8"/>
      <c r="Y768" s="8"/>
      <c r="Z768" s="8"/>
    </row>
    <row r="769" spans="1:26" ht="13.2">
      <c r="A769" s="13">
        <v>44250.61072916667</v>
      </c>
      <c r="B769" s="6" t="str">
        <f>HYPERLINK("https://twitter.com/Harry_Robots","@Harry_Robots")</f>
        <v>@Harry_Robots</v>
      </c>
      <c r="C769" s="14" t="s">
        <v>3592</v>
      </c>
      <c r="D769" s="14" t="s">
        <v>3593</v>
      </c>
      <c r="E769" s="6" t="str">
        <f>HYPERLINK("https://twitter.com/Harry_Robots/status/1364208249789165576","1364208249789165576")</f>
        <v>1364208249789165576</v>
      </c>
      <c r="F769" s="7" t="s">
        <v>3594</v>
      </c>
      <c r="G769" s="7" t="s">
        <v>3595</v>
      </c>
      <c r="H769" s="8"/>
      <c r="I769" s="14">
        <v>8</v>
      </c>
      <c r="J769" s="14">
        <v>6</v>
      </c>
      <c r="K769" s="6" t="str">
        <f t="shared" si="122"/>
        <v>Twitter Web App</v>
      </c>
      <c r="L769" s="15">
        <v>14305</v>
      </c>
      <c r="M769" s="15">
        <v>6985</v>
      </c>
      <c r="N769" s="15">
        <v>126</v>
      </c>
      <c r="O769" s="9"/>
      <c r="P769" s="10">
        <v>43173.544861111106</v>
      </c>
      <c r="Q769" s="14" t="s">
        <v>3596</v>
      </c>
      <c r="R769" s="14" t="s">
        <v>3597</v>
      </c>
      <c r="S769" s="7" t="s">
        <v>3598</v>
      </c>
      <c r="T769" s="8"/>
      <c r="U769" s="11" t="str">
        <f>HYPERLINK("https://pbs.twimg.com/profile_images/980134048214409216/9hzujrdU.jpg","View")</f>
        <v>View</v>
      </c>
      <c r="V769" s="8"/>
      <c r="W769" s="8"/>
      <c r="X769" s="8"/>
      <c r="Y769" s="8"/>
      <c r="Z769" s="8"/>
    </row>
    <row r="770" spans="1:26" ht="13.2">
      <c r="A770" s="13">
        <v>44250.610578703709</v>
      </c>
      <c r="B770" s="6" t="str">
        <f>HYPERLINK("https://twitter.com/balavenkatesh22","@balavenkatesh22")</f>
        <v>@balavenkatesh22</v>
      </c>
      <c r="C770" s="14" t="s">
        <v>3599</v>
      </c>
      <c r="D770" s="14" t="s">
        <v>3600</v>
      </c>
      <c r="E770" s="6" t="str">
        <f>HYPERLINK("https://twitter.com/balavenkatesh22/status/1364208195971940352","1364208195971940352")</f>
        <v>1364208195971940352</v>
      </c>
      <c r="F770" s="8"/>
      <c r="G770" s="7" t="s">
        <v>3601</v>
      </c>
      <c r="H770" s="8"/>
      <c r="I770" s="14">
        <v>3</v>
      </c>
      <c r="J770" s="14">
        <v>0</v>
      </c>
      <c r="K770" s="6" t="str">
        <f>HYPERLINK("http://twitter.com/download/android","Twitter for Android")</f>
        <v>Twitter for Android</v>
      </c>
      <c r="L770" s="15">
        <v>298</v>
      </c>
      <c r="M770" s="15">
        <v>1444</v>
      </c>
      <c r="N770" s="15">
        <v>2</v>
      </c>
      <c r="O770" s="9"/>
      <c r="P770" s="10">
        <v>40594.583668981482</v>
      </c>
      <c r="Q770" s="14" t="s">
        <v>3602</v>
      </c>
      <c r="R770" s="14" t="s">
        <v>3603</v>
      </c>
      <c r="S770" s="7" t="s">
        <v>3604</v>
      </c>
      <c r="T770" s="8"/>
      <c r="U770" s="11" t="str">
        <f>HYPERLINK("https://pbs.twimg.com/profile_images/1330983465290895362/kvmMHObe.jpg","View")</f>
        <v>View</v>
      </c>
      <c r="V770" s="8"/>
      <c r="W770" s="8"/>
      <c r="X770" s="8"/>
      <c r="Y770" s="8"/>
      <c r="Z770" s="8"/>
    </row>
    <row r="771" spans="1:26" ht="13.2">
      <c r="A771" s="13">
        <v>44250.610347222224</v>
      </c>
      <c r="B771" s="6" t="str">
        <f>HYPERLINK("https://twitter.com/unsuckEBAY","@unsuckEBAY")</f>
        <v>@unsuckEBAY</v>
      </c>
      <c r="C771" s="14" t="s">
        <v>3605</v>
      </c>
      <c r="D771" s="14" t="s">
        <v>3606</v>
      </c>
      <c r="E771" s="6" t="str">
        <f>HYPERLINK("https://twitter.com/unsuckEBAY/status/1364208113407176704","1364208113407176704")</f>
        <v>1364208113407176704</v>
      </c>
      <c r="F771" s="7" t="s">
        <v>3607</v>
      </c>
      <c r="G771" s="7" t="s">
        <v>3608</v>
      </c>
      <c r="H771" s="8"/>
      <c r="I771" s="14">
        <v>2</v>
      </c>
      <c r="J771" s="14">
        <v>1</v>
      </c>
      <c r="K771" s="6" t="str">
        <f t="shared" ref="K771:K772" si="123">HYPERLINK("https://mobile.twitter.com","Twitter Web App")</f>
        <v>Twitter Web App</v>
      </c>
      <c r="L771" s="15">
        <v>15438</v>
      </c>
      <c r="M771" s="15">
        <v>14893</v>
      </c>
      <c r="N771" s="15">
        <v>23</v>
      </c>
      <c r="O771" s="9"/>
      <c r="P771" s="10">
        <v>43244.821932870371</v>
      </c>
      <c r="Q771" s="8"/>
      <c r="R771" s="14" t="s">
        <v>3609</v>
      </c>
      <c r="S771" s="8"/>
      <c r="T771" s="8"/>
      <c r="U771" s="11" t="str">
        <f>HYPERLINK("https://pbs.twimg.com/profile_images/1223942844555108358/9kApka1V.jpg","View")</f>
        <v>View</v>
      </c>
      <c r="V771" s="8"/>
      <c r="W771" s="8"/>
      <c r="X771" s="8"/>
      <c r="Y771" s="8"/>
      <c r="Z771" s="8"/>
    </row>
    <row r="772" spans="1:26" ht="13.2">
      <c r="A772" s="13">
        <v>44250.609432870369</v>
      </c>
      <c r="B772" s="6" t="str">
        <f>HYPERLINK("https://twitter.com/CNRIAC","@CNRIAC")</f>
        <v>@CNRIAC</v>
      </c>
      <c r="C772" s="14" t="s">
        <v>3610</v>
      </c>
      <c r="D772" s="14" t="s">
        <v>3611</v>
      </c>
      <c r="E772" s="6" t="str">
        <f>HYPERLINK("https://twitter.com/CNRIAC/status/1364207781507715082","1364207781507715082")</f>
        <v>1364207781507715082</v>
      </c>
      <c r="F772" s="7" t="s">
        <v>3612</v>
      </c>
      <c r="G772" s="7" t="s">
        <v>3613</v>
      </c>
      <c r="H772" s="8"/>
      <c r="I772" s="14">
        <v>2</v>
      </c>
      <c r="J772" s="14">
        <v>1</v>
      </c>
      <c r="K772" s="6" t="str">
        <f t="shared" si="123"/>
        <v>Twitter Web App</v>
      </c>
      <c r="L772" s="15">
        <v>146</v>
      </c>
      <c r="M772" s="15">
        <v>221</v>
      </c>
      <c r="N772" s="15">
        <v>1</v>
      </c>
      <c r="O772" s="9"/>
      <c r="P772" s="10">
        <v>44123.418611111112</v>
      </c>
      <c r="Q772" s="14" t="s">
        <v>3614</v>
      </c>
      <c r="R772" s="14" t="s">
        <v>3615</v>
      </c>
      <c r="S772" s="7" t="s">
        <v>3616</v>
      </c>
      <c r="T772" s="8"/>
      <c r="U772" s="11" t="str">
        <f>HYPERLINK("https://pbs.twimg.com/profile_images/1318100461724012545/iF-IEgN1.jpg","View")</f>
        <v>View</v>
      </c>
      <c r="V772" s="8"/>
      <c r="W772" s="8"/>
      <c r="X772" s="8"/>
      <c r="Y772" s="8"/>
      <c r="Z772" s="8"/>
    </row>
    <row r="773" spans="1:26" ht="13.2">
      <c r="A773" s="13">
        <v>44250.609085648146</v>
      </c>
      <c r="B773" s="6" t="str">
        <f>HYPERLINK("https://twitter.com/SpirosMargaris","@SpirosMargaris")</f>
        <v>@SpirosMargaris</v>
      </c>
      <c r="C773" s="14" t="s">
        <v>3558</v>
      </c>
      <c r="D773" s="14" t="s">
        <v>3617</v>
      </c>
      <c r="E773" s="6" t="str">
        <f>HYPERLINK("https://twitter.com/SpirosMargaris/status/1364207656135782401","1364207656135782401")</f>
        <v>1364207656135782401</v>
      </c>
      <c r="F773" s="7" t="s">
        <v>3618</v>
      </c>
      <c r="G773" s="7" t="s">
        <v>3619</v>
      </c>
      <c r="H773" s="8"/>
      <c r="I773" s="14">
        <v>2</v>
      </c>
      <c r="J773" s="14">
        <v>1</v>
      </c>
      <c r="K773" s="6" t="str">
        <f>HYPERLINK("https://buffer.com","Buffer")</f>
        <v>Buffer</v>
      </c>
      <c r="L773" s="15">
        <v>107389</v>
      </c>
      <c r="M773" s="15">
        <v>15890</v>
      </c>
      <c r="N773" s="15">
        <v>5693</v>
      </c>
      <c r="O773" s="15" t="s">
        <v>130</v>
      </c>
      <c r="P773" s="10">
        <v>41857.30574074074</v>
      </c>
      <c r="Q773" s="14" t="s">
        <v>3562</v>
      </c>
      <c r="R773" s="14" t="s">
        <v>3563</v>
      </c>
      <c r="S773" s="7" t="s">
        <v>3564</v>
      </c>
      <c r="T773" s="8"/>
      <c r="U773" s="11" t="str">
        <f>HYPERLINK("https://pbs.twimg.com/profile_images/1346443960986775553/TGeiH97s.jpg","View")</f>
        <v>View</v>
      </c>
      <c r="V773" s="8"/>
      <c r="W773" s="8"/>
      <c r="X773" s="8"/>
      <c r="Y773" s="8"/>
      <c r="Z773" s="8"/>
    </row>
    <row r="774" spans="1:26" ht="13.2">
      <c r="A774" s="13">
        <v>44250.60864583333</v>
      </c>
      <c r="B774" s="6" t="str">
        <f>HYPERLINK("https://twitter.com/ZetaneSystems","@ZetaneSystems")</f>
        <v>@ZetaneSystems</v>
      </c>
      <c r="C774" s="14" t="s">
        <v>1094</v>
      </c>
      <c r="D774" s="14" t="s">
        <v>3620</v>
      </c>
      <c r="E774" s="6" t="str">
        <f>HYPERLINK("https://twitter.com/ZetaneSystems/status/1364207497515515910","1364207497515515910")</f>
        <v>1364207497515515910</v>
      </c>
      <c r="F774" s="7" t="s">
        <v>3621</v>
      </c>
      <c r="G774" s="8"/>
      <c r="H774" s="8"/>
      <c r="I774" s="14">
        <v>0</v>
      </c>
      <c r="J774" s="14">
        <v>0</v>
      </c>
      <c r="K774" s="6" t="str">
        <f>HYPERLINK("http://www.hubspot.com/","HubSpot")</f>
        <v>HubSpot</v>
      </c>
      <c r="L774" s="15">
        <v>72</v>
      </c>
      <c r="M774" s="15">
        <v>112</v>
      </c>
      <c r="N774" s="15">
        <v>2</v>
      </c>
      <c r="O774" s="9"/>
      <c r="P774" s="10">
        <v>43118.280578703707</v>
      </c>
      <c r="Q774" s="14" t="s">
        <v>1098</v>
      </c>
      <c r="R774" s="14" t="s">
        <v>1099</v>
      </c>
      <c r="S774" s="7" t="s">
        <v>1100</v>
      </c>
      <c r="T774" s="8"/>
      <c r="U774" s="11" t="str">
        <f>HYPERLINK("https://pbs.twimg.com/profile_images/1309648920105160707/EKlapVVo.jpg","View")</f>
        <v>View</v>
      </c>
      <c r="V774" s="8"/>
      <c r="W774" s="8"/>
      <c r="X774" s="8"/>
      <c r="Y774" s="8"/>
      <c r="Z774" s="8"/>
    </row>
    <row r="775" spans="1:26" ht="13.2">
      <c r="A775" s="13">
        <v>44250.608356481476</v>
      </c>
      <c r="B775" s="6" t="str">
        <f>HYPERLINK("https://twitter.com/asifrazzaq1988","@asifrazzaq1988")</f>
        <v>@asifrazzaq1988</v>
      </c>
      <c r="C775" s="14" t="s">
        <v>53</v>
      </c>
      <c r="D775" s="14" t="s">
        <v>3622</v>
      </c>
      <c r="E775" s="6" t="str">
        <f>HYPERLINK("https://twitter.com/asifrazzaq1988/status/1364207393266036736","1364207393266036736")</f>
        <v>1364207393266036736</v>
      </c>
      <c r="F775" s="7" t="s">
        <v>3623</v>
      </c>
      <c r="G775" s="8"/>
      <c r="H775" s="8"/>
      <c r="I775" s="14">
        <v>2</v>
      </c>
      <c r="J775" s="14">
        <v>0</v>
      </c>
      <c r="K775" s="6" t="str">
        <f>HYPERLINK("https://dlvrit.com/","dlvr.it")</f>
        <v>dlvr.it</v>
      </c>
      <c r="L775" s="15">
        <v>5022</v>
      </c>
      <c r="M775" s="15">
        <v>3191</v>
      </c>
      <c r="N775" s="15">
        <v>77</v>
      </c>
      <c r="O775" s="9"/>
      <c r="P775" s="10">
        <v>42237.408136574071</v>
      </c>
      <c r="Q775" s="14" t="s">
        <v>56</v>
      </c>
      <c r="R775" s="14" t="s">
        <v>57</v>
      </c>
      <c r="S775" s="7" t="s">
        <v>58</v>
      </c>
      <c r="T775" s="8"/>
      <c r="U775" s="11" t="str">
        <f>HYPERLINK("https://pbs.twimg.com/profile_images/1329326638589382657/lE7wr_tF.jpg","View")</f>
        <v>View</v>
      </c>
      <c r="V775" s="8"/>
      <c r="W775" s="8"/>
      <c r="X775" s="8"/>
      <c r="Y775" s="8"/>
      <c r="Z775" s="8"/>
    </row>
    <row r="776" spans="1:26" ht="13.2">
      <c r="A776" s="13">
        <v>44250.608263888891</v>
      </c>
      <c r="B776" s="6" t="str">
        <f>HYPERLINK("https://twitter.com/mambo247","@mambo247")</f>
        <v>@mambo247</v>
      </c>
      <c r="C776" s="14" t="s">
        <v>3570</v>
      </c>
      <c r="D776" s="14" t="s">
        <v>3624</v>
      </c>
      <c r="E776" s="6" t="str">
        <f>HYPERLINK("https://twitter.com/mambo247/status/1364207357266427917","1364207357266427917")</f>
        <v>1364207357266427917</v>
      </c>
      <c r="F776" s="7" t="s">
        <v>3625</v>
      </c>
      <c r="G776" s="7" t="s">
        <v>3626</v>
      </c>
      <c r="H776" s="8"/>
      <c r="I776" s="14">
        <v>24</v>
      </c>
      <c r="J776" s="14">
        <v>14</v>
      </c>
      <c r="K776" s="6" t="str">
        <f t="shared" ref="K776:K777" si="124">HYPERLINK("https://mobile.twitter.com","Twitter Web App")</f>
        <v>Twitter Web App</v>
      </c>
      <c r="L776" s="15">
        <v>533</v>
      </c>
      <c r="M776" s="15">
        <v>848</v>
      </c>
      <c r="N776" s="15">
        <v>11</v>
      </c>
      <c r="O776" s="9"/>
      <c r="P776" s="10">
        <v>39967.831875000003</v>
      </c>
      <c r="Q776" s="14" t="s">
        <v>3574</v>
      </c>
      <c r="R776" s="14" t="s">
        <v>3575</v>
      </c>
      <c r="S776" s="7" t="s">
        <v>3576</v>
      </c>
      <c r="T776" s="8"/>
      <c r="U776" s="11" t="str">
        <f>HYPERLINK("https://pbs.twimg.com/profile_images/564647138110361600/SFiwTA-S.png","View")</f>
        <v>View</v>
      </c>
      <c r="V776" s="8"/>
      <c r="W776" s="8"/>
      <c r="X776" s="8"/>
      <c r="Y776" s="8"/>
      <c r="Z776" s="8"/>
    </row>
    <row r="777" spans="1:26" ht="13.2">
      <c r="A777" s="13">
        <v>44250.608159722222</v>
      </c>
      <c r="B777" s="6" t="str">
        <f>HYPERLINK("https://twitter.com/Call_Me_Kush__","@Call_Me_Kush__")</f>
        <v>@Call_Me_Kush__</v>
      </c>
      <c r="C777" s="14" t="s">
        <v>2588</v>
      </c>
      <c r="D777" s="14" t="s">
        <v>3627</v>
      </c>
      <c r="E777" s="6" t="str">
        <f>HYPERLINK("https://twitter.com/Call_Me_Kush__/status/1364207318410293249","1364207318410293249")</f>
        <v>1364207318410293249</v>
      </c>
      <c r="F777" s="8"/>
      <c r="G777" s="8"/>
      <c r="H777" s="8"/>
      <c r="I777" s="14">
        <v>0</v>
      </c>
      <c r="J777" s="14">
        <v>0</v>
      </c>
      <c r="K777" s="6" t="str">
        <f t="shared" si="124"/>
        <v>Twitter Web App</v>
      </c>
      <c r="L777" s="15">
        <v>7</v>
      </c>
      <c r="M777" s="15">
        <v>16</v>
      </c>
      <c r="N777" s="15">
        <v>0</v>
      </c>
      <c r="O777" s="9"/>
      <c r="P777" s="10">
        <v>44248.637418981481</v>
      </c>
      <c r="Q777" s="8"/>
      <c r="R777" s="14" t="s">
        <v>3628</v>
      </c>
      <c r="S777" s="8"/>
      <c r="T777" s="8"/>
      <c r="U777" s="11" t="str">
        <f>HYPERLINK("https://pbs.twimg.com/profile_images/1363493349777309700/08So_wlI.jpg","View")</f>
        <v>View</v>
      </c>
      <c r="V777" s="8"/>
      <c r="W777" s="8"/>
      <c r="X777" s="8"/>
      <c r="Y777" s="8"/>
      <c r="Z777" s="8"/>
    </row>
    <row r="778" spans="1:26" ht="13.2">
      <c r="A778" s="13">
        <v>44250.608136574076</v>
      </c>
      <c r="B778" s="6" t="str">
        <f>HYPERLINK("https://twitter.com/aisear_ch","@aisear_ch")</f>
        <v>@aisear_ch</v>
      </c>
      <c r="C778" s="14" t="s">
        <v>739</v>
      </c>
      <c r="D778" s="14" t="s">
        <v>2458</v>
      </c>
      <c r="E778" s="6" t="str">
        <f>HYPERLINK("https://twitter.com/aisear_ch/status/1364207310948728839","1364207310948728839")</f>
        <v>1364207310948728839</v>
      </c>
      <c r="F778" s="14" t="s">
        <v>2459</v>
      </c>
      <c r="G778" s="8"/>
      <c r="H778" s="8"/>
      <c r="I778" s="14">
        <v>0</v>
      </c>
      <c r="J778" s="14">
        <v>0</v>
      </c>
      <c r="K778" s="6" t="str">
        <f t="shared" ref="K778:K779" si="125">HYPERLINK("http://twinybots.com","TwinyBots")</f>
        <v>TwinyBots</v>
      </c>
      <c r="L778" s="15">
        <v>200</v>
      </c>
      <c r="M778" s="15">
        <v>27</v>
      </c>
      <c r="N778" s="15">
        <v>6</v>
      </c>
      <c r="O778" s="9"/>
      <c r="P778" s="10">
        <v>43992.386319444442</v>
      </c>
      <c r="Q778" s="8"/>
      <c r="R778" s="14" t="s">
        <v>742</v>
      </c>
      <c r="S778" s="7" t="s">
        <v>743</v>
      </c>
      <c r="T778" s="8"/>
      <c r="U778" s="11" t="str">
        <f>HYPERLINK("https://pbs.twimg.com/profile_images/1271018990178045953/M-vBrs0H.png","View")</f>
        <v>View</v>
      </c>
      <c r="V778" s="8"/>
      <c r="W778" s="8"/>
      <c r="X778" s="8"/>
      <c r="Y778" s="8"/>
      <c r="Z778" s="8"/>
    </row>
    <row r="779" spans="1:26" ht="13.2">
      <c r="A779" s="13">
        <v>44250.608136574076</v>
      </c>
      <c r="B779" s="6" t="str">
        <f>HYPERLINK("https://twitter.com/MedicaliPhone","@MedicaliPhone")</f>
        <v>@MedicaliPhone</v>
      </c>
      <c r="C779" s="14" t="s">
        <v>269</v>
      </c>
      <c r="D779" s="14" t="s">
        <v>3629</v>
      </c>
      <c r="E779" s="6" t="str">
        <f>HYPERLINK("https://twitter.com/MedicaliPhone/status/1364207310936145925","1364207310936145925")</f>
        <v>1364207310936145925</v>
      </c>
      <c r="F779" s="14" t="s">
        <v>3630</v>
      </c>
      <c r="G779" s="8"/>
      <c r="H779" s="8"/>
      <c r="I779" s="14">
        <v>0</v>
      </c>
      <c r="J779" s="14">
        <v>0</v>
      </c>
      <c r="K779" s="6" t="str">
        <f t="shared" si="125"/>
        <v>TwinyBots</v>
      </c>
      <c r="L779" s="15">
        <v>18689</v>
      </c>
      <c r="M779" s="15">
        <v>19077</v>
      </c>
      <c r="N779" s="15">
        <v>450</v>
      </c>
      <c r="O779" s="9"/>
      <c r="P779" s="10">
        <v>39978.071932870371</v>
      </c>
      <c r="Q779" s="14" t="s">
        <v>270</v>
      </c>
      <c r="R779" s="14" t="s">
        <v>271</v>
      </c>
      <c r="S779" s="7" t="s">
        <v>272</v>
      </c>
      <c r="T779" s="8"/>
      <c r="U779" s="11" t="str">
        <f>HYPERLINK("https://pbs.twimg.com/profile_images/671869096389021696/Z1Kr3P0K.png","View")</f>
        <v>View</v>
      </c>
      <c r="V779" s="8"/>
      <c r="W779" s="8"/>
      <c r="X779" s="8"/>
      <c r="Y779" s="8"/>
      <c r="Z779" s="8"/>
    </row>
    <row r="780" spans="1:26" ht="13.2">
      <c r="A780" s="13">
        <v>44250.607789351852</v>
      </c>
      <c r="B780" s="6" t="str">
        <f>HYPERLINK("https://twitter.com/Social_Molly","@Social_Molly")</f>
        <v>@Social_Molly</v>
      </c>
      <c r="C780" s="14" t="s">
        <v>3631</v>
      </c>
      <c r="D780" s="14" t="s">
        <v>3632</v>
      </c>
      <c r="E780" s="6" t="str">
        <f>HYPERLINK("https://twitter.com/Social_Molly/status/1364207187778699266","1364207187778699266")</f>
        <v>1364207187778699266</v>
      </c>
      <c r="F780" s="7" t="s">
        <v>3633</v>
      </c>
      <c r="G780" s="7" t="s">
        <v>3634</v>
      </c>
      <c r="H780" s="8"/>
      <c r="I780" s="14">
        <v>0</v>
      </c>
      <c r="J780" s="14">
        <v>1</v>
      </c>
      <c r="K780" s="6" t="str">
        <f>HYPERLINK("https://mobile.twitter.com","Twitter Web App")</f>
        <v>Twitter Web App</v>
      </c>
      <c r="L780" s="15">
        <v>12130</v>
      </c>
      <c r="M780" s="15">
        <v>6463</v>
      </c>
      <c r="N780" s="15">
        <v>103</v>
      </c>
      <c r="O780" s="9"/>
      <c r="P780" s="10">
        <v>43174.238796296297</v>
      </c>
      <c r="Q780" s="14" t="s">
        <v>3635</v>
      </c>
      <c r="R780" s="14" t="s">
        <v>3636</v>
      </c>
      <c r="S780" s="8"/>
      <c r="T780" s="8"/>
      <c r="U780" s="11" t="str">
        <f>HYPERLINK("https://pbs.twimg.com/profile_images/981743224749408256/OTsOfujW.jpg","View")</f>
        <v>View</v>
      </c>
      <c r="V780" s="8"/>
      <c r="W780" s="8"/>
      <c r="X780" s="8"/>
      <c r="Y780" s="8"/>
      <c r="Z780" s="8"/>
    </row>
    <row r="781" spans="1:26" ht="13.2">
      <c r="A781" s="13">
        <v>44250.607638888891</v>
      </c>
      <c r="B781" s="6" t="str">
        <f>HYPERLINK("https://twitter.com/DataVault_UK","@DataVault_UK")</f>
        <v>@DataVault_UK</v>
      </c>
      <c r="C781" s="14" t="s">
        <v>3637</v>
      </c>
      <c r="D781" s="14" t="s">
        <v>3638</v>
      </c>
      <c r="E781" s="6" t="str">
        <f>HYPERLINK("https://twitter.com/DataVault_UK/status/1364207131008917504","1364207131008917504")</f>
        <v>1364207131008917504</v>
      </c>
      <c r="F781" s="7" t="s">
        <v>3639</v>
      </c>
      <c r="G781" s="7" t="s">
        <v>3640</v>
      </c>
      <c r="H781" s="8"/>
      <c r="I781" s="14">
        <v>0</v>
      </c>
      <c r="J781" s="14">
        <v>0</v>
      </c>
      <c r="K781" s="6" t="str">
        <f>HYPERLINK("https://www.semrush.com/","SEMrush Social Media Tool")</f>
        <v>SEMrush Social Media Tool</v>
      </c>
      <c r="L781" s="15">
        <v>5194</v>
      </c>
      <c r="M781" s="15">
        <v>5572</v>
      </c>
      <c r="N781" s="15">
        <v>70</v>
      </c>
      <c r="O781" s="9"/>
      <c r="P781" s="10">
        <v>42970.700972222221</v>
      </c>
      <c r="Q781" s="14" t="s">
        <v>3641</v>
      </c>
      <c r="R781" s="14" t="s">
        <v>3642</v>
      </c>
      <c r="S781" s="7" t="s">
        <v>3643</v>
      </c>
      <c r="T781" s="8"/>
      <c r="U781" s="11" t="str">
        <f>HYPERLINK("https://pbs.twimg.com/profile_images/900399393760837633/eJJ4cTTc.jpg","View")</f>
        <v>View</v>
      </c>
      <c r="V781" s="8"/>
      <c r="W781" s="8"/>
      <c r="X781" s="8"/>
      <c r="Y781" s="8"/>
      <c r="Z781" s="8"/>
    </row>
    <row r="782" spans="1:26" ht="13.2">
      <c r="A782" s="13">
        <v>44250.60732638889</v>
      </c>
      <c r="B782" s="6" t="str">
        <f>HYPERLINK("https://twitter.com/machinelearnflx","@machinelearnflx")</f>
        <v>@machinelearnflx</v>
      </c>
      <c r="C782" s="14" t="s">
        <v>279</v>
      </c>
      <c r="D782" s="14" t="s">
        <v>3644</v>
      </c>
      <c r="E782" s="6" t="str">
        <f>HYPERLINK("https://twitter.com/machinelearnflx/status/1364207018672807937","1364207018672807937")</f>
        <v>1364207018672807937</v>
      </c>
      <c r="F782" s="7" t="s">
        <v>3645</v>
      </c>
      <c r="G782" s="8"/>
      <c r="H782" s="8"/>
      <c r="I782" s="14">
        <v>3</v>
      </c>
      <c r="J782" s="14">
        <v>5</v>
      </c>
      <c r="K782" s="6" t="str">
        <f>HYPERLINK("https://twitter.com/pythonbot_","Postmatico")</f>
        <v>Postmatico</v>
      </c>
      <c r="L782" s="15">
        <v>90451</v>
      </c>
      <c r="M782" s="15">
        <v>35464</v>
      </c>
      <c r="N782" s="15">
        <v>2227</v>
      </c>
      <c r="O782" s="9"/>
      <c r="P782" s="10">
        <v>42386.538865740746</v>
      </c>
      <c r="Q782" s="8"/>
      <c r="R782" s="14" t="s">
        <v>282</v>
      </c>
      <c r="S782" s="7" t="s">
        <v>283</v>
      </c>
      <c r="T782" s="8"/>
      <c r="U782" s="11" t="str">
        <f>HYPERLINK("https://pbs.twimg.com/profile_images/688735459892195329/v8sHaWSG.jpg","View")</f>
        <v>View</v>
      </c>
      <c r="V782" s="8"/>
      <c r="W782" s="8"/>
      <c r="X782" s="8"/>
      <c r="Y782" s="8"/>
      <c r="Z782" s="8"/>
    </row>
    <row r="783" spans="1:26" ht="13.2">
      <c r="A783" s="13">
        <v>44250.606585648144</v>
      </c>
      <c r="B783" s="6" t="str">
        <f>HYPERLINK("https://twitter.com/Call_Me_Kush_","@Call_Me_Kush_")</f>
        <v>@Call_Me_Kush_</v>
      </c>
      <c r="C783" s="14" t="s">
        <v>2588</v>
      </c>
      <c r="D783" s="14" t="s">
        <v>3627</v>
      </c>
      <c r="E783" s="6" t="str">
        <f>HYPERLINK("https://twitter.com/Call_Me_Kush_/status/1364206748706295814","1364206748706295814")</f>
        <v>1364206748706295814</v>
      </c>
      <c r="F783" s="8"/>
      <c r="G783" s="8"/>
      <c r="H783" s="8"/>
      <c r="I783" s="14">
        <v>0</v>
      </c>
      <c r="J783" s="14">
        <v>0</v>
      </c>
      <c r="K783" s="6" t="str">
        <f t="shared" ref="K783:K784" si="126">HYPERLINK("https://mobile.twitter.com","Twitter Web App")</f>
        <v>Twitter Web App</v>
      </c>
      <c r="L783" s="15">
        <v>1667</v>
      </c>
      <c r="M783" s="15">
        <v>1395</v>
      </c>
      <c r="N783" s="15">
        <v>1</v>
      </c>
      <c r="O783" s="9"/>
      <c r="P783" s="10">
        <v>43511.20784722222</v>
      </c>
      <c r="Q783" s="8"/>
      <c r="R783" s="14" t="s">
        <v>2590</v>
      </c>
      <c r="S783" s="8"/>
      <c r="T783" s="8"/>
      <c r="U783" s="11" t="str">
        <f>HYPERLINK("https://pbs.twimg.com/profile_images/1363412091546136579/7TlIx2C4.jpg","View")</f>
        <v>View</v>
      </c>
      <c r="V783" s="8"/>
      <c r="W783" s="8"/>
      <c r="X783" s="8"/>
      <c r="Y783" s="8"/>
      <c r="Z783" s="8"/>
    </row>
    <row r="784" spans="1:26" ht="13.2">
      <c r="A784" s="13">
        <v>44250.606539351851</v>
      </c>
      <c r="B784" s="6" t="str">
        <f>HYPERLINK("https://twitter.com/AISciNet","@AISciNet")</f>
        <v>@AISciNet</v>
      </c>
      <c r="C784" s="14" t="s">
        <v>3646</v>
      </c>
      <c r="D784" s="14" t="s">
        <v>3647</v>
      </c>
      <c r="E784" s="6" t="str">
        <f>HYPERLINK("https://twitter.com/AISciNet/status/1364206732264751112","1364206732264751112")</f>
        <v>1364206732264751112</v>
      </c>
      <c r="F784" s="7" t="s">
        <v>3648</v>
      </c>
      <c r="G784" s="7" t="s">
        <v>3649</v>
      </c>
      <c r="H784" s="8"/>
      <c r="I784" s="14">
        <v>0</v>
      </c>
      <c r="J784" s="14">
        <v>1</v>
      </c>
      <c r="K784" s="6" t="str">
        <f t="shared" si="126"/>
        <v>Twitter Web App</v>
      </c>
      <c r="L784" s="15">
        <v>573</v>
      </c>
      <c r="M784" s="15">
        <v>291</v>
      </c>
      <c r="N784" s="15">
        <v>10</v>
      </c>
      <c r="O784" s="9"/>
      <c r="P784" s="10">
        <v>43285.630162037036</v>
      </c>
      <c r="Q784" s="14" t="s">
        <v>3650</v>
      </c>
      <c r="R784" s="14" t="s">
        <v>3651</v>
      </c>
      <c r="S784" s="7" t="s">
        <v>3652</v>
      </c>
      <c r="T784" s="8"/>
      <c r="U784" s="11" t="str">
        <f>HYPERLINK("https://pbs.twimg.com/profile_images/1014529603040358401/QSvRJkdk.jpg","View")</f>
        <v>View</v>
      </c>
      <c r="V784" s="8"/>
      <c r="W784" s="8"/>
      <c r="X784" s="8"/>
      <c r="Y784" s="8"/>
      <c r="Z784" s="8"/>
    </row>
    <row r="785" spans="1:26" ht="13.2">
      <c r="A785" s="13">
        <v>44250.60560185185</v>
      </c>
      <c r="B785" s="6" t="str">
        <f>HYPERLINK("https://twitter.com/ipfconline1","@ipfconline1")</f>
        <v>@ipfconline1</v>
      </c>
      <c r="C785" s="14" t="s">
        <v>65</v>
      </c>
      <c r="D785" s="14" t="s">
        <v>3653</v>
      </c>
      <c r="E785" s="6" t="str">
        <f>HYPERLINK("https://twitter.com/ipfconline1/status/1364206392526184448","1364206392526184448")</f>
        <v>1364206392526184448</v>
      </c>
      <c r="F785" s="7" t="s">
        <v>3654</v>
      </c>
      <c r="G785" s="7" t="s">
        <v>3655</v>
      </c>
      <c r="H785" s="8"/>
      <c r="I785" s="14">
        <v>12</v>
      </c>
      <c r="J785" s="14">
        <v>12</v>
      </c>
      <c r="K785" s="6" t="str">
        <f>HYPERLINK("https://twittimer.com","Twittimer")</f>
        <v>Twittimer</v>
      </c>
      <c r="L785" s="15">
        <v>112675</v>
      </c>
      <c r="M785" s="15">
        <v>107162</v>
      </c>
      <c r="N785" s="15">
        <v>7806</v>
      </c>
      <c r="O785" s="9"/>
      <c r="P785" s="10">
        <v>42433.031967592593</v>
      </c>
      <c r="Q785" s="14" t="s">
        <v>69</v>
      </c>
      <c r="R785" s="14" t="s">
        <v>70</v>
      </c>
      <c r="S785" s="7" t="s">
        <v>71</v>
      </c>
      <c r="T785" s="8"/>
      <c r="U785" s="11" t="str">
        <f>HYPERLINK("https://pbs.twimg.com/profile_images/729065804004769793/St2_Pum9.jpg","View")</f>
        <v>View</v>
      </c>
      <c r="V785" s="8"/>
      <c r="W785" s="8"/>
      <c r="X785" s="8"/>
      <c r="Y785" s="8"/>
      <c r="Z785" s="8"/>
    </row>
    <row r="786" spans="1:26" ht="13.2">
      <c r="A786" s="13">
        <v>44250.604768518519</v>
      </c>
      <c r="B786" s="6" t="str">
        <f>HYPERLINK("https://twitter.com/MLWhiz","@MLWhiz")</f>
        <v>@MLWhiz</v>
      </c>
      <c r="C786" s="14" t="s">
        <v>1173</v>
      </c>
      <c r="D786" s="14" t="s">
        <v>3656</v>
      </c>
      <c r="E786" s="6" t="str">
        <f>HYPERLINK("https://twitter.com/MLWhiz/status/1364206092012683265","1364206092012683265")</f>
        <v>1364206092012683265</v>
      </c>
      <c r="F786" s="7" t="s">
        <v>3657</v>
      </c>
      <c r="G786" s="7" t="s">
        <v>3658</v>
      </c>
      <c r="H786" s="8"/>
      <c r="I786" s="14">
        <v>4</v>
      </c>
      <c r="J786" s="14">
        <v>6</v>
      </c>
      <c r="K786" s="6" t="str">
        <f>HYPERLINK("https://missinglettr.com","Missinglettr")</f>
        <v>Missinglettr</v>
      </c>
      <c r="L786" s="15">
        <v>1951</v>
      </c>
      <c r="M786" s="15">
        <v>235</v>
      </c>
      <c r="N786" s="15">
        <v>61</v>
      </c>
      <c r="O786" s="9"/>
      <c r="P786" s="10">
        <v>40062.971597222218</v>
      </c>
      <c r="Q786" s="14" t="s">
        <v>753</v>
      </c>
      <c r="R786" s="14" t="s">
        <v>1177</v>
      </c>
      <c r="S786" s="7" t="s">
        <v>1178</v>
      </c>
      <c r="T786" s="8"/>
      <c r="U786" s="11" t="str">
        <f>HYPERLINK("https://pbs.twimg.com/profile_images/1292181673312784384/xU7Wselt.jpg","View")</f>
        <v>View</v>
      </c>
      <c r="V786" s="8"/>
      <c r="W786" s="8"/>
      <c r="X786" s="8"/>
      <c r="Y786" s="8"/>
      <c r="Z786" s="8"/>
    </row>
    <row r="787" spans="1:26" ht="13.2">
      <c r="A787" s="13">
        <v>44250.604629629626</v>
      </c>
      <c r="B787" s="6" t="str">
        <f>HYPERLINK("https://twitter.com/KatyKelemen","@KatyKelemen")</f>
        <v>@KatyKelemen</v>
      </c>
      <c r="C787" s="14" t="s">
        <v>3659</v>
      </c>
      <c r="D787" s="14" t="s">
        <v>3660</v>
      </c>
      <c r="E787" s="6" t="str">
        <f>HYPERLINK("https://twitter.com/KatyKelemen/status/1364206038891655172","1364206038891655172")</f>
        <v>1364206038891655172</v>
      </c>
      <c r="F787" s="7" t="s">
        <v>3661</v>
      </c>
      <c r="G787" s="8"/>
      <c r="H787" s="8"/>
      <c r="I787" s="14">
        <v>0</v>
      </c>
      <c r="J787" s="14">
        <v>1</v>
      </c>
      <c r="K787" s="6" t="str">
        <f>HYPERLINK("https://mobile.twitter.com","Twitter Web App")</f>
        <v>Twitter Web App</v>
      </c>
      <c r="L787" s="15">
        <v>88</v>
      </c>
      <c r="M787" s="15">
        <v>475</v>
      </c>
      <c r="N787" s="15">
        <v>5</v>
      </c>
      <c r="O787" s="9"/>
      <c r="P787" s="10">
        <v>44007.345358796301</v>
      </c>
      <c r="Q787" s="14" t="s">
        <v>1120</v>
      </c>
      <c r="R787" s="14" t="s">
        <v>3662</v>
      </c>
      <c r="S787" s="7" t="s">
        <v>3663</v>
      </c>
      <c r="T787" s="8"/>
      <c r="U787" s="11" t="str">
        <f>HYPERLINK("https://pbs.twimg.com/profile_images/1276036782925045760/VyTeMKfQ.jpg","View")</f>
        <v>View</v>
      </c>
      <c r="V787" s="8"/>
      <c r="W787" s="8"/>
      <c r="X787" s="8"/>
      <c r="Y787" s="8"/>
      <c r="Z787" s="8"/>
    </row>
    <row r="788" spans="1:26" ht="13.2">
      <c r="A788" s="13">
        <v>44250.604513888888</v>
      </c>
      <c r="B788" s="6" t="str">
        <f>HYPERLINK("https://twitter.com/ayokasystems","@ayokasystems")</f>
        <v>@ayokasystems</v>
      </c>
      <c r="C788" s="14" t="s">
        <v>3664</v>
      </c>
      <c r="D788" s="14" t="s">
        <v>3665</v>
      </c>
      <c r="E788" s="6" t="str">
        <f>HYPERLINK("https://twitter.com/ayokasystems/status/1364205998018359299","1364205998018359299")</f>
        <v>1364205998018359299</v>
      </c>
      <c r="F788" s="7" t="s">
        <v>3666</v>
      </c>
      <c r="G788" s="8"/>
      <c r="H788" s="8"/>
      <c r="I788" s="14">
        <v>1</v>
      </c>
      <c r="J788" s="14">
        <v>1</v>
      </c>
      <c r="K788" s="6" t="str">
        <f>HYPERLINK("https://www.hootsuite.com","Hootsuite Inc.")</f>
        <v>Hootsuite Inc.</v>
      </c>
      <c r="L788" s="15">
        <v>1366</v>
      </c>
      <c r="M788" s="15">
        <v>1407</v>
      </c>
      <c r="N788" s="15">
        <v>168</v>
      </c>
      <c r="O788" s="9"/>
      <c r="P788" s="10">
        <v>40367.950694444444</v>
      </c>
      <c r="Q788" s="14" t="s">
        <v>3667</v>
      </c>
      <c r="R788" s="14" t="s">
        <v>3668</v>
      </c>
      <c r="S788" s="7" t="s">
        <v>3669</v>
      </c>
      <c r="T788" s="8"/>
      <c r="U788" s="11" t="str">
        <f>HYPERLINK("https://pbs.twimg.com/profile_images/653598180592873472/UzMhJY-l.png","View")</f>
        <v>View</v>
      </c>
      <c r="V788" s="8"/>
      <c r="W788" s="8"/>
      <c r="X788" s="8"/>
      <c r="Y788" s="8"/>
      <c r="Z788" s="8"/>
    </row>
    <row r="789" spans="1:26" ht="13.2">
      <c r="A789" s="13">
        <v>44250.604479166665</v>
      </c>
      <c r="B789" s="6" t="str">
        <f>HYPERLINK("https://twitter.com/ArceoChoya","@ArceoChoya")</f>
        <v>@ArceoChoya</v>
      </c>
      <c r="C789" s="14" t="s">
        <v>3670</v>
      </c>
      <c r="D789" s="14" t="s">
        <v>3671</v>
      </c>
      <c r="E789" s="6" t="str">
        <f>HYPERLINK("https://twitter.com/ArceoChoya/status/1364205985808572420","1364205985808572420")</f>
        <v>1364205985808572420</v>
      </c>
      <c r="F789" s="7" t="s">
        <v>3672</v>
      </c>
      <c r="G789" s="7" t="s">
        <v>3673</v>
      </c>
      <c r="H789" s="8"/>
      <c r="I789" s="14">
        <v>1</v>
      </c>
      <c r="J789" s="14">
        <v>0</v>
      </c>
      <c r="K789" s="6" t="str">
        <f>HYPERLINK("https://mobile.twitter.com","Twitter Web App")</f>
        <v>Twitter Web App</v>
      </c>
      <c r="L789" s="15">
        <v>943</v>
      </c>
      <c r="M789" s="15">
        <v>890</v>
      </c>
      <c r="N789" s="15">
        <v>11</v>
      </c>
      <c r="O789" s="9"/>
      <c r="P789" s="10">
        <v>43514.004432870366</v>
      </c>
      <c r="Q789" s="14" t="s">
        <v>3674</v>
      </c>
      <c r="R789" s="14" t="s">
        <v>3675</v>
      </c>
      <c r="S789" s="8"/>
      <c r="T789" s="8"/>
      <c r="U789" s="11" t="str">
        <f>HYPERLINK("https://pbs.twimg.com/profile_images/1116159551307255809/OK6d0ci1.png","View")</f>
        <v>View</v>
      </c>
      <c r="V789" s="8"/>
      <c r="W789" s="8"/>
      <c r="X789" s="8"/>
      <c r="Y789" s="8"/>
      <c r="Z789" s="8"/>
    </row>
    <row r="790" spans="1:26" ht="13.2">
      <c r="A790" s="13">
        <v>44250.604398148149</v>
      </c>
      <c r="B790" s="6" t="str">
        <f>HYPERLINK("https://twitter.com/ORBITRRI","@ORBITRRI")</f>
        <v>@ORBITRRI</v>
      </c>
      <c r="C790" s="14" t="s">
        <v>3676</v>
      </c>
      <c r="D790" s="14" t="s">
        <v>3677</v>
      </c>
      <c r="E790" s="6" t="str">
        <f>HYPERLINK("https://twitter.com/ORBITRRI/status/1364205957660741633","1364205957660741633")</f>
        <v>1364205957660741633</v>
      </c>
      <c r="F790" s="7" t="s">
        <v>3678</v>
      </c>
      <c r="G790" s="8"/>
      <c r="H790" s="8"/>
      <c r="I790" s="14">
        <v>1</v>
      </c>
      <c r="J790" s="14">
        <v>0</v>
      </c>
      <c r="K790" s="6" t="str">
        <f t="shared" ref="K790:K792" si="127">HYPERLINK("https://www.hootsuite.com","Hootsuite Inc.")</f>
        <v>Hootsuite Inc.</v>
      </c>
      <c r="L790" s="15">
        <v>482</v>
      </c>
      <c r="M790" s="15">
        <v>327</v>
      </c>
      <c r="N790" s="15">
        <v>8</v>
      </c>
      <c r="O790" s="9"/>
      <c r="P790" s="10">
        <v>42761.667465277773</v>
      </c>
      <c r="Q790" s="14" t="s">
        <v>3679</v>
      </c>
      <c r="R790" s="14" t="s">
        <v>3680</v>
      </c>
      <c r="S790" s="7" t="s">
        <v>3681</v>
      </c>
      <c r="T790" s="8"/>
      <c r="U790" s="11" t="str">
        <f>HYPERLINK("https://pbs.twimg.com/profile_images/825978013477195776/I7Mwl3so.jpg","View")</f>
        <v>View</v>
      </c>
      <c r="V790" s="8"/>
      <c r="W790" s="8"/>
      <c r="X790" s="8"/>
      <c r="Y790" s="8"/>
      <c r="Z790" s="8"/>
    </row>
    <row r="791" spans="1:26" ht="13.2">
      <c r="A791" s="13">
        <v>44250.60429398148</v>
      </c>
      <c r="B791" s="6" t="str">
        <f>HYPERLINK("https://twitter.com/analyticjob","@analyticjob")</f>
        <v>@analyticjob</v>
      </c>
      <c r="C791" s="14" t="s">
        <v>3682</v>
      </c>
      <c r="D791" s="14" t="s">
        <v>3683</v>
      </c>
      <c r="E791" s="6" t="str">
        <f>HYPERLINK("https://twitter.com/analyticjob/status/1364205920708923399","1364205920708923399")</f>
        <v>1364205920708923399</v>
      </c>
      <c r="F791" s="14" t="s">
        <v>3684</v>
      </c>
      <c r="G791" s="8"/>
      <c r="H791" s="8"/>
      <c r="I791" s="14">
        <v>4</v>
      </c>
      <c r="J791" s="14">
        <v>2</v>
      </c>
      <c r="K791" s="6" t="str">
        <f t="shared" si="127"/>
        <v>Hootsuite Inc.</v>
      </c>
      <c r="L791" s="15">
        <v>59</v>
      </c>
      <c r="M791" s="15">
        <v>7</v>
      </c>
      <c r="N791" s="15">
        <v>1</v>
      </c>
      <c r="O791" s="9"/>
      <c r="P791" s="10">
        <v>43580.350231481483</v>
      </c>
      <c r="Q791" s="14" t="s">
        <v>3685</v>
      </c>
      <c r="R791" s="14" t="s">
        <v>3686</v>
      </c>
      <c r="S791" s="7" t="s">
        <v>3687</v>
      </c>
      <c r="T791" s="8"/>
      <c r="U791" s="11" t="str">
        <f>HYPERLINK("https://pbs.twimg.com/profile_images/1306510995280592897/1-GwcUwP.jpg","View")</f>
        <v>View</v>
      </c>
      <c r="V791" s="8"/>
      <c r="W791" s="8"/>
      <c r="X791" s="8"/>
      <c r="Y791" s="8"/>
      <c r="Z791" s="8"/>
    </row>
    <row r="792" spans="1:26" ht="13.2">
      <c r="A792" s="13">
        <v>44250.604259259257</v>
      </c>
      <c r="B792" s="6" t="str">
        <f>HYPERLINK("https://twitter.com/FINTECHCircle","@FINTECHCircle")</f>
        <v>@FINTECHCircle</v>
      </c>
      <c r="C792" s="14" t="s">
        <v>3688</v>
      </c>
      <c r="D792" s="14" t="s">
        <v>3689</v>
      </c>
      <c r="E792" s="6" t="str">
        <f>HYPERLINK("https://twitter.com/FINTECHCircle/status/1364205907765256192","1364205907765256192")</f>
        <v>1364205907765256192</v>
      </c>
      <c r="F792" s="7" t="s">
        <v>3690</v>
      </c>
      <c r="G792" s="8"/>
      <c r="H792" s="8"/>
      <c r="I792" s="14">
        <v>1</v>
      </c>
      <c r="J792" s="14">
        <v>1</v>
      </c>
      <c r="K792" s="6" t="str">
        <f t="shared" si="127"/>
        <v>Hootsuite Inc.</v>
      </c>
      <c r="L792" s="15">
        <v>46797</v>
      </c>
      <c r="M792" s="15">
        <v>2304</v>
      </c>
      <c r="N792" s="15">
        <v>1651</v>
      </c>
      <c r="O792" s="9"/>
      <c r="P792" s="10">
        <v>41902.0003125</v>
      </c>
      <c r="Q792" s="14" t="s">
        <v>3691</v>
      </c>
      <c r="R792" s="14" t="s">
        <v>3692</v>
      </c>
      <c r="S792" s="7" t="s">
        <v>3693</v>
      </c>
      <c r="T792" s="8"/>
      <c r="U792" s="11" t="str">
        <f>HYPERLINK("https://pbs.twimg.com/profile_images/1130135332215828480/mcyBnqE2.jpg","View")</f>
        <v>View</v>
      </c>
      <c r="V792" s="8"/>
      <c r="W792" s="8"/>
      <c r="X792" s="8"/>
      <c r="Y792" s="8"/>
      <c r="Z792" s="8"/>
    </row>
    <row r="793" spans="1:26" ht="13.2">
      <c r="A793" s="13">
        <v>44250.60423611111</v>
      </c>
      <c r="B793" s="6" t="str">
        <f>HYPERLINK("https://twitter.com/Zak_is_the_Best","@Zak_is_the_Best")</f>
        <v>@Zak_is_the_Best</v>
      </c>
      <c r="C793" s="14" t="s">
        <v>3694</v>
      </c>
      <c r="D793" s="14" t="s">
        <v>3695</v>
      </c>
      <c r="E793" s="6" t="str">
        <f>HYPERLINK("https://twitter.com/Zak_is_the_Best/status/1364205899896750082","1364205899896750082")</f>
        <v>1364205899896750082</v>
      </c>
      <c r="F793" s="7" t="s">
        <v>3696</v>
      </c>
      <c r="G793" s="8"/>
      <c r="H793" s="8"/>
      <c r="I793" s="14">
        <v>0</v>
      </c>
      <c r="J793" s="14">
        <v>0</v>
      </c>
      <c r="K793" s="6" t="str">
        <f>HYPERLINK("http://www.linkedin.com/","LinkedIn")</f>
        <v>LinkedIn</v>
      </c>
      <c r="L793" s="15">
        <v>95</v>
      </c>
      <c r="M793" s="15">
        <v>1115</v>
      </c>
      <c r="N793" s="15">
        <v>0</v>
      </c>
      <c r="O793" s="9"/>
      <c r="P793" s="10">
        <v>40616.97047453704</v>
      </c>
      <c r="Q793" s="14" t="s">
        <v>2424</v>
      </c>
      <c r="R793" s="8"/>
      <c r="S793" s="7" t="s">
        <v>3697</v>
      </c>
      <c r="T793" s="8"/>
      <c r="U793" s="11" t="str">
        <f>HYPERLINK("https://pbs.twimg.com/profile_images/989012752919298048/3aQ-a3Vj.jpg","View")</f>
        <v>View</v>
      </c>
      <c r="V793" s="8"/>
      <c r="W793" s="8"/>
      <c r="X793" s="8"/>
      <c r="Y793" s="8"/>
      <c r="Z793" s="8"/>
    </row>
    <row r="794" spans="1:26" ht="13.2">
      <c r="A794" s="13">
        <v>44250.604189814811</v>
      </c>
      <c r="B794" s="6" t="str">
        <f>HYPERLINK("https://twitter.com/EMTMEA","@EMTMEA")</f>
        <v>@EMTMEA</v>
      </c>
      <c r="C794" s="14" t="s">
        <v>3698</v>
      </c>
      <c r="D794" s="14" t="s">
        <v>3699</v>
      </c>
      <c r="E794" s="6" t="str">
        <f>HYPERLINK("https://twitter.com/EMTMEA/status/1364205882091872259","1364205882091872259")</f>
        <v>1364205882091872259</v>
      </c>
      <c r="F794" s="7" t="s">
        <v>3700</v>
      </c>
      <c r="G794" s="8"/>
      <c r="H794" s="8"/>
      <c r="I794" s="14">
        <v>0</v>
      </c>
      <c r="J794" s="14">
        <v>1</v>
      </c>
      <c r="K794" s="6" t="str">
        <f>HYPERLINK("https://social.zoho.com","Zoho Social")</f>
        <v>Zoho Social</v>
      </c>
      <c r="L794" s="15">
        <v>242</v>
      </c>
      <c r="M794" s="15">
        <v>19</v>
      </c>
      <c r="N794" s="15">
        <v>6</v>
      </c>
      <c r="O794" s="9"/>
      <c r="P794" s="10">
        <v>41346.829745370371</v>
      </c>
      <c r="Q794" s="14" t="s">
        <v>3701</v>
      </c>
      <c r="R794" s="14" t="s">
        <v>3702</v>
      </c>
      <c r="S794" s="7" t="s">
        <v>3703</v>
      </c>
      <c r="T794" s="8"/>
      <c r="U794" s="11" t="str">
        <f>HYPERLINK("https://pbs.twimg.com/profile_images/3375819798/288c1aee7db8319b574cd14ccd16e845.jpeg","View")</f>
        <v>View</v>
      </c>
      <c r="V794" s="8"/>
      <c r="W794" s="8"/>
      <c r="X794" s="8"/>
      <c r="Y794" s="8"/>
      <c r="Z794" s="8"/>
    </row>
    <row r="795" spans="1:26" ht="13.2">
      <c r="A795" s="13">
        <v>44250.604178240741</v>
      </c>
      <c r="B795" s="6" t="str">
        <f>HYPERLINK("https://twitter.com/crypto_hal9k","@crypto_hal9k")</f>
        <v>@crypto_hal9k</v>
      </c>
      <c r="C795" s="14" t="s">
        <v>3704</v>
      </c>
      <c r="D795" s="14" t="s">
        <v>3705</v>
      </c>
      <c r="E795" s="6" t="str">
        <f>HYPERLINK("https://twitter.com/crypto_hal9k/status/1364205875905331203","1364205875905331203")</f>
        <v>1364205875905331203</v>
      </c>
      <c r="F795" s="8"/>
      <c r="G795" s="7" t="s">
        <v>3706</v>
      </c>
      <c r="H795" s="8"/>
      <c r="I795" s="14">
        <v>0</v>
      </c>
      <c r="J795" s="14">
        <v>1</v>
      </c>
      <c r="K795" s="8"/>
      <c r="L795" s="15">
        <v>212</v>
      </c>
      <c r="M795" s="15">
        <v>56</v>
      </c>
      <c r="N795" s="15">
        <v>0</v>
      </c>
      <c r="O795" s="9"/>
      <c r="P795" s="10">
        <v>41602.251643518517</v>
      </c>
      <c r="Q795" s="8"/>
      <c r="R795" s="14" t="s">
        <v>3707</v>
      </c>
      <c r="S795" s="8"/>
      <c r="T795" s="8"/>
      <c r="U795" s="11" t="str">
        <f>HYPERLINK("https://pbs.twimg.com/profile_images/1305238765808611333/cqM-Boc_.jpg","View")</f>
        <v>View</v>
      </c>
      <c r="V795" s="8"/>
      <c r="W795" s="8"/>
      <c r="X795" s="8"/>
      <c r="Y795" s="8"/>
      <c r="Z795" s="8"/>
    </row>
    <row r="796" spans="1:26" ht="13.2">
      <c r="A796" s="13">
        <v>44250.604004629626</v>
      </c>
      <c r="B796" s="6" t="str">
        <f>HYPERLINK("https://twitter.com/dataisgoodcom","@dataisgoodcom")</f>
        <v>@dataisgoodcom</v>
      </c>
      <c r="C796" s="14" t="s">
        <v>3708</v>
      </c>
      <c r="D796" s="14" t="s">
        <v>3709</v>
      </c>
      <c r="E796" s="6" t="str">
        <f>HYPERLINK("https://twitter.com/dataisgoodcom/status/1364205813347196931","1364205813347196931")</f>
        <v>1364205813347196931</v>
      </c>
      <c r="F796" s="8"/>
      <c r="G796" s="7" t="s">
        <v>3710</v>
      </c>
      <c r="H796" s="8"/>
      <c r="I796" s="14">
        <v>5</v>
      </c>
      <c r="J796" s="14">
        <v>2</v>
      </c>
      <c r="K796" s="6" t="str">
        <f t="shared" ref="K796:K798" si="128">HYPERLINK("https://mobile.twitter.com","Twitter Web App")</f>
        <v>Twitter Web App</v>
      </c>
      <c r="L796" s="15">
        <v>45</v>
      </c>
      <c r="M796" s="15">
        <v>0</v>
      </c>
      <c r="N796" s="15">
        <v>1</v>
      </c>
      <c r="O796" s="9"/>
      <c r="P796" s="10">
        <v>40305.833877314813</v>
      </c>
      <c r="Q796" s="14" t="s">
        <v>3711</v>
      </c>
      <c r="R796" s="14" t="s">
        <v>3712</v>
      </c>
      <c r="S796" s="7" t="s">
        <v>3713</v>
      </c>
      <c r="T796" s="8"/>
      <c r="U796" s="11" t="str">
        <f>HYPERLINK("https://pbs.twimg.com/profile_images/1260131355679240192/hZqsqkiU.jpg","View")</f>
        <v>View</v>
      </c>
      <c r="V796" s="8"/>
      <c r="W796" s="8"/>
      <c r="X796" s="8"/>
      <c r="Y796" s="8"/>
      <c r="Z796" s="8"/>
    </row>
    <row r="797" spans="1:26" ht="13.2">
      <c r="A797" s="13">
        <v>44250.603842592594</v>
      </c>
      <c r="B797" s="6" t="str">
        <f>HYPERLINK("https://twitter.com/PoetryAssessor","@PoetryAssessor")</f>
        <v>@PoetryAssessor</v>
      </c>
      <c r="C797" s="14" t="s">
        <v>3714</v>
      </c>
      <c r="D797" s="14" t="s">
        <v>3715</v>
      </c>
      <c r="E797" s="6" t="str">
        <f>HYPERLINK("https://twitter.com/PoetryAssessor/status/1364205754450804742","1364205754450804742")</f>
        <v>1364205754450804742</v>
      </c>
      <c r="F797" s="7" t="s">
        <v>3716</v>
      </c>
      <c r="G797" s="8"/>
      <c r="H797" s="8"/>
      <c r="I797" s="14">
        <v>9</v>
      </c>
      <c r="J797" s="14">
        <v>7</v>
      </c>
      <c r="K797" s="6" t="str">
        <f t="shared" si="128"/>
        <v>Twitter Web App</v>
      </c>
      <c r="L797" s="15">
        <v>1198</v>
      </c>
      <c r="M797" s="15">
        <v>2876</v>
      </c>
      <c r="N797" s="15">
        <v>155</v>
      </c>
      <c r="O797" s="9"/>
      <c r="P797" s="10">
        <v>41271.576724537037</v>
      </c>
      <c r="Q797" s="14" t="s">
        <v>3717</v>
      </c>
      <c r="R797" s="14" t="s">
        <v>3718</v>
      </c>
      <c r="S797" s="7" t="s">
        <v>3719</v>
      </c>
      <c r="T797" s="8"/>
      <c r="U797" s="11" t="str">
        <f>HYPERLINK("https://pbs.twimg.com/profile_images/997625996072239104/il37BWtJ.jpg","View")</f>
        <v>View</v>
      </c>
      <c r="V797" s="8"/>
      <c r="W797" s="8"/>
      <c r="X797" s="8"/>
      <c r="Y797" s="8"/>
      <c r="Z797" s="8"/>
    </row>
    <row r="798" spans="1:26" ht="13.2">
      <c r="A798" s="13">
        <v>44250.603333333333</v>
      </c>
      <c r="B798" s="6" t="str">
        <f>HYPERLINK("https://twitter.com/SitesCourse","@SitesCourse")</f>
        <v>@SitesCourse</v>
      </c>
      <c r="C798" s="14" t="s">
        <v>3720</v>
      </c>
      <c r="D798" s="14" t="s">
        <v>3721</v>
      </c>
      <c r="E798" s="6" t="str">
        <f>HYPERLINK("https://twitter.com/SitesCourse/status/1364205571679784961","1364205571679784961")</f>
        <v>1364205571679784961</v>
      </c>
      <c r="F798" s="7" t="s">
        <v>3722</v>
      </c>
      <c r="G798" s="8"/>
      <c r="H798" s="8"/>
      <c r="I798" s="14">
        <v>10</v>
      </c>
      <c r="J798" s="14">
        <v>4</v>
      </c>
      <c r="K798" s="6" t="str">
        <f t="shared" si="128"/>
        <v>Twitter Web App</v>
      </c>
      <c r="L798" s="15">
        <v>552</v>
      </c>
      <c r="M798" s="15">
        <v>267</v>
      </c>
      <c r="N798" s="15">
        <v>9</v>
      </c>
      <c r="O798" s="9"/>
      <c r="P798" s="10">
        <v>43643.167245370365</v>
      </c>
      <c r="Q798" s="8"/>
      <c r="R798" s="14" t="s">
        <v>3723</v>
      </c>
      <c r="S798" s="8"/>
      <c r="T798" s="8"/>
      <c r="U798" s="11" t="str">
        <f>HYPERLINK("https://pbs.twimg.com/profile_images/1144118140319629312/5pj0yCwy.png","View")</f>
        <v>View</v>
      </c>
      <c r="V798" s="8"/>
      <c r="W798" s="8"/>
      <c r="X798" s="8"/>
      <c r="Y798" s="8"/>
      <c r="Z798" s="8"/>
    </row>
    <row r="799" spans="1:26" ht="13.2">
      <c r="A799" s="13">
        <v>44250.602500000001</v>
      </c>
      <c r="B799" s="6" t="str">
        <f>HYPERLINK("https://twitter.com/DS_Analytics","@DS_Analytics")</f>
        <v>@DS_Analytics</v>
      </c>
      <c r="C799" s="14" t="s">
        <v>2389</v>
      </c>
      <c r="D799" s="14" t="s">
        <v>3724</v>
      </c>
      <c r="E799" s="6" t="str">
        <f>HYPERLINK("https://twitter.com/DS_Analytics/status/1364205268142354438","1364205268142354438")</f>
        <v>1364205268142354438</v>
      </c>
      <c r="F799" s="7" t="s">
        <v>3725</v>
      </c>
      <c r="G799" s="8"/>
      <c r="H799" s="8"/>
      <c r="I799" s="14">
        <v>1</v>
      </c>
      <c r="J799" s="14">
        <v>2</v>
      </c>
      <c r="K799" s="6" t="str">
        <f>HYPERLINK("https://ifttt.com","IFTTT")</f>
        <v>IFTTT</v>
      </c>
      <c r="L799" s="15">
        <v>4945</v>
      </c>
      <c r="M799" s="15">
        <v>4504</v>
      </c>
      <c r="N799" s="15">
        <v>46</v>
      </c>
      <c r="O799" s="9"/>
      <c r="P799" s="10">
        <v>43019.662314814814</v>
      </c>
      <c r="Q799" s="8"/>
      <c r="R799" s="14" t="s">
        <v>2392</v>
      </c>
      <c r="S799" s="8"/>
      <c r="T799" s="8"/>
      <c r="U799" s="11" t="str">
        <f>HYPERLINK("https://pbs.twimg.com/profile_images/955817556635504640/FflsX454.jpg","View")</f>
        <v>View</v>
      </c>
      <c r="V799" s="8"/>
      <c r="W799" s="8"/>
      <c r="X799" s="8"/>
      <c r="Y799" s="8"/>
      <c r="Z799" s="8"/>
    </row>
    <row r="800" spans="1:26" ht="13.2">
      <c r="A800" s="13">
        <v>44250.602349537032</v>
      </c>
      <c r="B800" s="6" t="str">
        <f>HYPERLINK("https://twitter.com/Kelash89976308","@Kelash89976308")</f>
        <v>@Kelash89976308</v>
      </c>
      <c r="C800" s="14" t="s">
        <v>3726</v>
      </c>
      <c r="D800" s="14" t="s">
        <v>3727</v>
      </c>
      <c r="E800" s="6" t="str">
        <f>HYPERLINK("https://twitter.com/Kelash89976308/status/1364205215101067271","1364205215101067271")</f>
        <v>1364205215101067271</v>
      </c>
      <c r="F800" s="8"/>
      <c r="G800" s="7" t="s">
        <v>3728</v>
      </c>
      <c r="H800" s="8"/>
      <c r="I800" s="14">
        <v>0</v>
      </c>
      <c r="J800" s="14">
        <v>0</v>
      </c>
      <c r="K800" s="6" t="str">
        <f>HYPERLINK("http://twitter.com/download/android","Twitter for Android")</f>
        <v>Twitter for Android</v>
      </c>
      <c r="L800" s="15">
        <v>3</v>
      </c>
      <c r="M800" s="15">
        <v>69</v>
      </c>
      <c r="N800" s="15">
        <v>0</v>
      </c>
      <c r="O800" s="9"/>
      <c r="P800" s="10">
        <v>44152.349942129629</v>
      </c>
      <c r="Q800" s="8"/>
      <c r="R800" s="14" t="s">
        <v>3729</v>
      </c>
      <c r="S800" s="8"/>
      <c r="T800" s="8"/>
      <c r="U800" s="11" t="str">
        <f>HYPERLINK("https://pbs.twimg.com/profile_images/1328600179524689921/1YthSR31.jpg","View")</f>
        <v>View</v>
      </c>
      <c r="V800" s="8"/>
      <c r="W800" s="8"/>
      <c r="X800" s="8"/>
      <c r="Y800" s="8"/>
      <c r="Z800" s="8"/>
    </row>
    <row r="801" spans="1:26" ht="13.2">
      <c r="A801" s="13">
        <v>44250.602175925931</v>
      </c>
      <c r="B801" s="6" t="str">
        <f>HYPERLINK("https://twitter.com/DecisionsSmart","@DecisionsSmart")</f>
        <v>@DecisionsSmart</v>
      </c>
      <c r="C801" s="14" t="s">
        <v>212</v>
      </c>
      <c r="D801" s="14" t="s">
        <v>2458</v>
      </c>
      <c r="E801" s="6" t="str">
        <f>HYPERLINK("https://twitter.com/DecisionsSmart/status/1364205151343550466","1364205151343550466")</f>
        <v>1364205151343550466</v>
      </c>
      <c r="F801" s="14" t="s">
        <v>2459</v>
      </c>
      <c r="G801" s="8"/>
      <c r="H801" s="8"/>
      <c r="I801" s="14">
        <v>1</v>
      </c>
      <c r="J801" s="14">
        <v>1</v>
      </c>
      <c r="K801" s="6" t="str">
        <f>HYPERLINK("http://twinybots.com","TwinyBots")</f>
        <v>TwinyBots</v>
      </c>
      <c r="L801" s="15">
        <v>6690</v>
      </c>
      <c r="M801" s="15">
        <v>5126</v>
      </c>
      <c r="N801" s="15">
        <v>88</v>
      </c>
      <c r="O801" s="9"/>
      <c r="P801" s="10">
        <v>43282.143495370372</v>
      </c>
      <c r="Q801" s="14" t="s">
        <v>215</v>
      </c>
      <c r="R801" s="14" t="s">
        <v>216</v>
      </c>
      <c r="S801" s="8"/>
      <c r="T801" s="8"/>
      <c r="U801" s="11" t="str">
        <f>HYPERLINK("https://pbs.twimg.com/profile_images/1273753380373004289/crFq1msz.jpg","View")</f>
        <v>View</v>
      </c>
      <c r="V801" s="8"/>
      <c r="W801" s="8"/>
      <c r="X801" s="8"/>
      <c r="Y801" s="8"/>
      <c r="Z801" s="8"/>
    </row>
    <row r="802" spans="1:26" ht="13.2">
      <c r="A802" s="13">
        <v>44250.602083333331</v>
      </c>
      <c r="B802" s="6" t="str">
        <f>HYPERLINK("https://twitter.com/unsaid_ai","@unsaid_ai")</f>
        <v>@unsaid_ai</v>
      </c>
      <c r="C802" s="14" t="s">
        <v>3730</v>
      </c>
      <c r="D802" s="14" t="s">
        <v>3731</v>
      </c>
      <c r="E802" s="6" t="str">
        <f>HYPERLINK("https://twitter.com/unsaid_ai/status/1364205117017190404","1364205117017190404")</f>
        <v>1364205117017190404</v>
      </c>
      <c r="F802" s="8"/>
      <c r="G802" s="7" t="s">
        <v>3732</v>
      </c>
      <c r="H802" s="8"/>
      <c r="I802" s="14">
        <v>0</v>
      </c>
      <c r="J802" s="14">
        <v>0</v>
      </c>
      <c r="K802" s="6" t="str">
        <f>HYPERLINK("https://mobile.twitter.com","Twitter Web App")</f>
        <v>Twitter Web App</v>
      </c>
      <c r="L802" s="15">
        <v>1</v>
      </c>
      <c r="M802" s="15">
        <v>6</v>
      </c>
      <c r="N802" s="15">
        <v>0</v>
      </c>
      <c r="O802" s="9"/>
      <c r="P802" s="10">
        <v>44203.556620370371</v>
      </c>
      <c r="Q802" s="14" t="s">
        <v>1468</v>
      </c>
      <c r="R802" s="14" t="s">
        <v>3733</v>
      </c>
      <c r="S802" s="7" t="s">
        <v>3734</v>
      </c>
      <c r="T802" s="8"/>
      <c r="U802" s="11" t="str">
        <f>HYPERLINK("https://pbs.twimg.com/profile_images/1363856247754264580/sdElkHz4.jpg","View")</f>
        <v>View</v>
      </c>
      <c r="V802" s="8"/>
      <c r="W802" s="8"/>
      <c r="X802" s="8"/>
      <c r="Y802" s="8"/>
      <c r="Z802" s="8"/>
    </row>
    <row r="803" spans="1:26" ht="13.2">
      <c r="A803" s="13">
        <v>44250.601909722223</v>
      </c>
      <c r="B803" s="6" t="str">
        <f>HYPERLINK("https://twitter.com/ReformReality","@ReformReality")</f>
        <v>@ReformReality</v>
      </c>
      <c r="C803" s="14" t="s">
        <v>3735</v>
      </c>
      <c r="D803" s="14" t="s">
        <v>3736</v>
      </c>
      <c r="E803" s="6" t="str">
        <f>HYPERLINK("https://twitter.com/ReformReality/status/1364205056778731524","1364205056778731524")</f>
        <v>1364205056778731524</v>
      </c>
      <c r="F803" s="14" t="s">
        <v>3737</v>
      </c>
      <c r="G803" s="8"/>
      <c r="H803" s="8"/>
      <c r="I803" s="14">
        <v>0</v>
      </c>
      <c r="J803" s="14">
        <v>0</v>
      </c>
      <c r="K803" s="6" t="str">
        <f>HYPERLINK("http://twinybots.com","TwinyBots")</f>
        <v>TwinyBots</v>
      </c>
      <c r="L803" s="15">
        <v>203</v>
      </c>
      <c r="M803" s="15">
        <v>23</v>
      </c>
      <c r="N803" s="15">
        <v>4</v>
      </c>
      <c r="O803" s="9"/>
      <c r="P803" s="10">
        <v>43439.079861111109</v>
      </c>
      <c r="Q803" s="14" t="s">
        <v>1505</v>
      </c>
      <c r="R803" s="14" t="s">
        <v>3738</v>
      </c>
      <c r="S803" s="7" t="s">
        <v>3739</v>
      </c>
      <c r="T803" s="8"/>
      <c r="U803" s="11" t="str">
        <f>HYPERLINK("https://pbs.twimg.com/profile_images/1070119802314797056/lyCEoXtL.jpg","View")</f>
        <v>View</v>
      </c>
      <c r="V803" s="8"/>
      <c r="W803" s="8"/>
      <c r="X803" s="8"/>
      <c r="Y803" s="8"/>
      <c r="Z803" s="8"/>
    </row>
    <row r="804" spans="1:26" ht="13.2">
      <c r="A804" s="13">
        <v>44250.601053240738</v>
      </c>
      <c r="B804" s="6" t="str">
        <f>HYPERLINK("https://twitter.com/PacktPub","@PacktPub")</f>
        <v>@PacktPub</v>
      </c>
      <c r="C804" s="14" t="s">
        <v>3740</v>
      </c>
      <c r="D804" s="14" t="s">
        <v>3741</v>
      </c>
      <c r="E804" s="6" t="str">
        <f>HYPERLINK("https://twitter.com/PacktPub/status/1364204743082446851","1364204743082446851")</f>
        <v>1364204743082446851</v>
      </c>
      <c r="F804" s="7" t="s">
        <v>3742</v>
      </c>
      <c r="G804" s="7" t="s">
        <v>3743</v>
      </c>
      <c r="H804" s="8"/>
      <c r="I804" s="14">
        <v>4</v>
      </c>
      <c r="J804" s="14">
        <v>3</v>
      </c>
      <c r="K804" s="6" t="str">
        <f t="shared" ref="K804:K807" si="129">HYPERLINK("https://mobile.twitter.com","Twitter Web App")</f>
        <v>Twitter Web App</v>
      </c>
      <c r="L804" s="15">
        <v>30067</v>
      </c>
      <c r="M804" s="15">
        <v>1796</v>
      </c>
      <c r="N804" s="15">
        <v>1261</v>
      </c>
      <c r="O804" s="15" t="s">
        <v>130</v>
      </c>
      <c r="P804" s="10">
        <v>39783.594988425924</v>
      </c>
      <c r="Q804" s="14" t="s">
        <v>650</v>
      </c>
      <c r="R804" s="14" t="s">
        <v>3744</v>
      </c>
      <c r="S804" s="7" t="s">
        <v>3745</v>
      </c>
      <c r="T804" s="8"/>
      <c r="U804" s="11" t="str">
        <f>HYPERLINK("https://pbs.twimg.com/profile_images/1336355091759198208/k6icRogI.jpg","View")</f>
        <v>View</v>
      </c>
      <c r="V804" s="8"/>
      <c r="W804" s="8"/>
      <c r="X804" s="8"/>
      <c r="Y804" s="8"/>
      <c r="Z804" s="8"/>
    </row>
    <row r="805" spans="1:26" ht="13.2">
      <c r="A805" s="13">
        <v>44250.600763888884</v>
      </c>
      <c r="B805" s="6" t="str">
        <f>HYPERLINK("https://twitter.com/AaronPeterHurst","@AaronPeterHurst")</f>
        <v>@AaronPeterHurst</v>
      </c>
      <c r="C805" s="14" t="s">
        <v>3746</v>
      </c>
      <c r="D805" s="14" t="s">
        <v>3747</v>
      </c>
      <c r="E805" s="6" t="str">
        <f>HYPERLINK("https://twitter.com/AaronPeterHurst/status/1364204641634902017","1364204641634902017")</f>
        <v>1364204641634902017</v>
      </c>
      <c r="F805" s="14" t="s">
        <v>3748</v>
      </c>
      <c r="G805" s="7" t="s">
        <v>3749</v>
      </c>
      <c r="H805" s="8"/>
      <c r="I805" s="14">
        <v>0</v>
      </c>
      <c r="J805" s="14">
        <v>1</v>
      </c>
      <c r="K805" s="6" t="str">
        <f t="shared" si="129"/>
        <v>Twitter Web App</v>
      </c>
      <c r="L805" s="15">
        <v>425</v>
      </c>
      <c r="M805" s="15">
        <v>599</v>
      </c>
      <c r="N805" s="15">
        <v>12</v>
      </c>
      <c r="O805" s="9"/>
      <c r="P805" s="10">
        <v>41195.822511574072</v>
      </c>
      <c r="Q805" s="8"/>
      <c r="R805" s="14" t="s">
        <v>3750</v>
      </c>
      <c r="S805" s="7" t="s">
        <v>3751</v>
      </c>
      <c r="T805" s="8"/>
      <c r="U805" s="11" t="str">
        <f>HYPERLINK("https://pbs.twimg.com/profile_images/1270337030610976768/REeoMgHF.jpg","View")</f>
        <v>View</v>
      </c>
      <c r="V805" s="8"/>
      <c r="W805" s="8"/>
      <c r="X805" s="8"/>
      <c r="Y805" s="8"/>
      <c r="Z805" s="8"/>
    </row>
    <row r="806" spans="1:26" ht="13.2">
      <c r="A806" s="13">
        <v>44250.600428240738</v>
      </c>
      <c r="B806" s="6" t="str">
        <f>HYPERLINK("https://twitter.com/MTone123","@MTone123")</f>
        <v>@MTone123</v>
      </c>
      <c r="C806" s="14" t="s">
        <v>3752</v>
      </c>
      <c r="D806" s="14" t="s">
        <v>3753</v>
      </c>
      <c r="E806" s="6" t="str">
        <f>HYPERLINK("https://twitter.com/MTone123/status/1364204516904607746","1364204516904607746")</f>
        <v>1364204516904607746</v>
      </c>
      <c r="F806" s="7" t="s">
        <v>3754</v>
      </c>
      <c r="G806" s="8"/>
      <c r="H806" s="8"/>
      <c r="I806" s="14">
        <v>0</v>
      </c>
      <c r="J806" s="14">
        <v>0</v>
      </c>
      <c r="K806" s="6" t="str">
        <f t="shared" si="129"/>
        <v>Twitter Web App</v>
      </c>
      <c r="L806" s="15">
        <v>3144</v>
      </c>
      <c r="M806" s="15">
        <v>252</v>
      </c>
      <c r="N806" s="15">
        <v>272</v>
      </c>
      <c r="O806" s="9"/>
      <c r="P806" s="10">
        <v>40458.197824074072</v>
      </c>
      <c r="Q806" s="14" t="s">
        <v>3755</v>
      </c>
      <c r="R806" s="14" t="s">
        <v>3756</v>
      </c>
      <c r="S806" s="8"/>
      <c r="T806" s="8"/>
      <c r="U806" s="11" t="str">
        <f>HYPERLINK("https://pbs.twimg.com/profile_images/1296605362636779520/A-ejf_Y2.jpg","View")</f>
        <v>View</v>
      </c>
      <c r="V806" s="8"/>
      <c r="W806" s="8"/>
      <c r="X806" s="8"/>
      <c r="Y806" s="8"/>
      <c r="Z806" s="8"/>
    </row>
    <row r="807" spans="1:26" ht="13.2">
      <c r="A807" s="13">
        <v>44250.599664351852</v>
      </c>
      <c r="B807" s="6" t="str">
        <f>HYPERLINK("https://twitter.com/KhalidHamdan0","@KhalidHamdan0")</f>
        <v>@KhalidHamdan0</v>
      </c>
      <c r="C807" s="14" t="s">
        <v>3757</v>
      </c>
      <c r="D807" s="14" t="s">
        <v>3758</v>
      </c>
      <c r="E807" s="6" t="str">
        <f>HYPERLINK("https://twitter.com/KhalidHamdan0/status/1364204242626576384","1364204242626576384")</f>
        <v>1364204242626576384</v>
      </c>
      <c r="F807" s="7" t="s">
        <v>3759</v>
      </c>
      <c r="G807" s="7" t="s">
        <v>3760</v>
      </c>
      <c r="H807" s="8"/>
      <c r="I807" s="14">
        <v>2</v>
      </c>
      <c r="J807" s="14">
        <v>1</v>
      </c>
      <c r="K807" s="6" t="str">
        <f t="shared" si="129"/>
        <v>Twitter Web App</v>
      </c>
      <c r="L807" s="15">
        <v>13865</v>
      </c>
      <c r="M807" s="15">
        <v>3380</v>
      </c>
      <c r="N807" s="15">
        <v>2161</v>
      </c>
      <c r="O807" s="9"/>
      <c r="P807" s="10">
        <v>40310.828553240739</v>
      </c>
      <c r="Q807" s="14" t="s">
        <v>599</v>
      </c>
      <c r="R807" s="14" t="s">
        <v>3761</v>
      </c>
      <c r="S807" s="8"/>
      <c r="T807" s="8"/>
      <c r="U807" s="11" t="str">
        <f>HYPERLINK("https://pbs.twimg.com/profile_images/853683295317626880/-YHlzfio.jpg","View")</f>
        <v>View</v>
      </c>
      <c r="V807" s="8"/>
      <c r="W807" s="8"/>
      <c r="X807" s="8"/>
      <c r="Y807" s="8"/>
      <c r="Z807" s="8"/>
    </row>
    <row r="808" spans="1:26" ht="13.2">
      <c r="A808" s="13">
        <v>44250.599166666667</v>
      </c>
      <c r="B808" s="6" t="str">
        <f>HYPERLINK("https://twitter.com/KirkDBorne","@KirkDBorne")</f>
        <v>@KirkDBorne</v>
      </c>
      <c r="C808" s="14" t="s">
        <v>127</v>
      </c>
      <c r="D808" s="14" t="s">
        <v>3762</v>
      </c>
      <c r="E808" s="6" t="str">
        <f>HYPERLINK("https://twitter.com/KirkDBorne/status/1364204060992274432","1364204060992274432")</f>
        <v>1364204060992274432</v>
      </c>
      <c r="F808" s="7" t="s">
        <v>3763</v>
      </c>
      <c r="G808" s="7" t="s">
        <v>3764</v>
      </c>
      <c r="H808" s="8"/>
      <c r="I808" s="14">
        <v>3</v>
      </c>
      <c r="J808" s="14">
        <v>6</v>
      </c>
      <c r="K808" s="6" t="str">
        <f>HYPERLINK("http://twitter.com/download/iphone","Twitter for iPhone")</f>
        <v>Twitter for iPhone</v>
      </c>
      <c r="L808" s="15">
        <v>273892</v>
      </c>
      <c r="M808" s="15">
        <v>8969</v>
      </c>
      <c r="N808" s="15">
        <v>8299</v>
      </c>
      <c r="O808" s="15" t="s">
        <v>130</v>
      </c>
      <c r="P808" s="10">
        <v>40991.732835648145</v>
      </c>
      <c r="Q808" s="14" t="s">
        <v>131</v>
      </c>
      <c r="R808" s="14" t="s">
        <v>132</v>
      </c>
      <c r="S808" s="7" t="s">
        <v>133</v>
      </c>
      <c r="T808" s="8"/>
      <c r="U808" s="11" t="str">
        <f>HYPERLINK("https://pbs.twimg.com/profile_images/1112733580948635648/s-8d1avb.jpg","View")</f>
        <v>View</v>
      </c>
      <c r="V808" s="8"/>
      <c r="W808" s="8"/>
      <c r="X808" s="8"/>
      <c r="Y808" s="8"/>
      <c r="Z808" s="8"/>
    </row>
    <row r="809" spans="1:26" ht="13.2">
      <c r="A809" s="13">
        <v>44250.598946759259</v>
      </c>
      <c r="B809" s="6" t="str">
        <f>HYPERLINK("https://twitter.com/ConnectSteven","@ConnectSteven")</f>
        <v>@ConnectSteven</v>
      </c>
      <c r="C809" s="14" t="s">
        <v>3765</v>
      </c>
      <c r="D809" s="14" t="s">
        <v>3766</v>
      </c>
      <c r="E809" s="6" t="str">
        <f>HYPERLINK("https://twitter.com/ConnectSteven/status/1364203979324891137","1364203979324891137")</f>
        <v>1364203979324891137</v>
      </c>
      <c r="F809" s="7" t="s">
        <v>3767</v>
      </c>
      <c r="G809" s="8"/>
      <c r="H809" s="8"/>
      <c r="I809" s="14">
        <v>0</v>
      </c>
      <c r="J809" s="14">
        <v>0</v>
      </c>
      <c r="K809" s="6" t="str">
        <f>HYPERLINK("https://mobile.twitter.com","Twitter Web App")</f>
        <v>Twitter Web App</v>
      </c>
      <c r="L809" s="15">
        <v>1723</v>
      </c>
      <c r="M809" s="15">
        <v>1050</v>
      </c>
      <c r="N809" s="15">
        <v>325</v>
      </c>
      <c r="O809" s="9"/>
      <c r="P809" s="10">
        <v>42340.296018518522</v>
      </c>
      <c r="Q809" s="14" t="s">
        <v>3768</v>
      </c>
      <c r="R809" s="14" t="s">
        <v>3769</v>
      </c>
      <c r="S809" s="8"/>
      <c r="T809" s="8"/>
      <c r="U809" s="11" t="str">
        <f>HYPERLINK("https://pbs.twimg.com/profile_images/671936259619610624/Ljve4DKI.png","View")</f>
        <v>View</v>
      </c>
      <c r="V809" s="8"/>
      <c r="W809" s="8"/>
      <c r="X809" s="8"/>
      <c r="Y809" s="8"/>
      <c r="Z809" s="8"/>
    </row>
    <row r="810" spans="1:26" ht="13.2">
      <c r="A810" s="13">
        <v>44250.598634259259</v>
      </c>
      <c r="B810" s="6" t="str">
        <f>HYPERLINK("https://twitter.com/ThedomainHuB","@ThedomainHuB")</f>
        <v>@ThedomainHuB</v>
      </c>
      <c r="C810" s="14" t="s">
        <v>3770</v>
      </c>
      <c r="D810" s="14" t="s">
        <v>3771</v>
      </c>
      <c r="E810" s="6" t="str">
        <f>HYPERLINK("https://twitter.com/ThedomainHuB/status/1364203867492155402","1364203867492155402")</f>
        <v>1364203867492155402</v>
      </c>
      <c r="F810" s="7" t="s">
        <v>3772</v>
      </c>
      <c r="G810" s="7" t="s">
        <v>3773</v>
      </c>
      <c r="H810" s="8"/>
      <c r="I810" s="14">
        <v>3</v>
      </c>
      <c r="J810" s="14">
        <v>1</v>
      </c>
      <c r="K810" s="6" t="str">
        <f>HYPERLINK("http://twitter.com/download/android","Twitter for Android")</f>
        <v>Twitter for Android</v>
      </c>
      <c r="L810" s="15">
        <v>1256</v>
      </c>
      <c r="M810" s="15">
        <v>4549</v>
      </c>
      <c r="N810" s="15">
        <v>16</v>
      </c>
      <c r="O810" s="9"/>
      <c r="P810" s="10">
        <v>41388.356400462959</v>
      </c>
      <c r="Q810" s="14" t="s">
        <v>3774</v>
      </c>
      <c r="R810" s="14" t="s">
        <v>3775</v>
      </c>
      <c r="S810" s="7" t="s">
        <v>3776</v>
      </c>
      <c r="T810" s="8"/>
      <c r="U810" s="11" t="str">
        <f>HYPERLINK("https://pbs.twimg.com/profile_images/1362769885521080321/bL4rByio.jpg","View")</f>
        <v>View</v>
      </c>
      <c r="V810" s="8"/>
      <c r="W810" s="8"/>
      <c r="X810" s="8"/>
      <c r="Y810" s="8"/>
      <c r="Z810" s="8"/>
    </row>
    <row r="811" spans="1:26" ht="13.2">
      <c r="A811" s="13">
        <v>44250.59851851852</v>
      </c>
      <c r="B811" s="6" t="str">
        <f>HYPERLINK("https://twitter.com/imhrs06","@imhrs06")</f>
        <v>@imhrs06</v>
      </c>
      <c r="C811" s="14" t="s">
        <v>3777</v>
      </c>
      <c r="D811" s="14" t="s">
        <v>3778</v>
      </c>
      <c r="E811" s="6" t="str">
        <f>HYPERLINK("https://twitter.com/imhrs06/status/1364203825540845575","1364203825540845575")</f>
        <v>1364203825540845575</v>
      </c>
      <c r="F811" s="7" t="s">
        <v>3779</v>
      </c>
      <c r="G811" s="8"/>
      <c r="H811" s="8"/>
      <c r="I811" s="14">
        <v>0</v>
      </c>
      <c r="J811" s="14">
        <v>1</v>
      </c>
      <c r="K811" s="6" t="str">
        <f>HYPERLINK("https://mobile.twitter.com","Twitter Web App")</f>
        <v>Twitter Web App</v>
      </c>
      <c r="L811" s="15">
        <v>251</v>
      </c>
      <c r="M811" s="15">
        <v>1455</v>
      </c>
      <c r="N811" s="15">
        <v>0</v>
      </c>
      <c r="O811" s="9"/>
      <c r="P811" s="10">
        <v>43609.185798611114</v>
      </c>
      <c r="Q811" s="14" t="s">
        <v>3780</v>
      </c>
      <c r="R811" s="14" t="s">
        <v>3781</v>
      </c>
      <c r="S811" s="7" t="s">
        <v>3782</v>
      </c>
      <c r="T811" s="8"/>
      <c r="U811" s="11" t="str">
        <f>HYPERLINK("https://pbs.twimg.com/profile_images/1362083932347523073/qX904Wa2.jpg","View")</f>
        <v>View</v>
      </c>
      <c r="V811" s="8"/>
      <c r="W811" s="8"/>
      <c r="X811" s="8"/>
      <c r="Y811" s="8"/>
      <c r="Z811" s="8"/>
    </row>
    <row r="812" spans="1:26" ht="13.2">
      <c r="A812" s="13">
        <v>44250.598298611112</v>
      </c>
      <c r="B812" s="6" t="str">
        <f>HYPERLINK("https://twitter.com/machinelearnflx","@machinelearnflx")</f>
        <v>@machinelearnflx</v>
      </c>
      <c r="C812" s="14" t="s">
        <v>279</v>
      </c>
      <c r="D812" s="14" t="s">
        <v>3783</v>
      </c>
      <c r="E812" s="6" t="str">
        <f>HYPERLINK("https://twitter.com/machinelearnflx/status/1364203745014349826","1364203745014349826")</f>
        <v>1364203745014349826</v>
      </c>
      <c r="F812" s="7" t="s">
        <v>3784</v>
      </c>
      <c r="G812" s="8"/>
      <c r="H812" s="8"/>
      <c r="I812" s="14">
        <v>2</v>
      </c>
      <c r="J812" s="14">
        <v>3</v>
      </c>
      <c r="K812" s="6" t="str">
        <f>HYPERLINK("https://twitter.com/pythonbot_","Postmatico")</f>
        <v>Postmatico</v>
      </c>
      <c r="L812" s="15">
        <v>90451</v>
      </c>
      <c r="M812" s="15">
        <v>35464</v>
      </c>
      <c r="N812" s="15">
        <v>2227</v>
      </c>
      <c r="O812" s="9"/>
      <c r="P812" s="10">
        <v>42386.538865740746</v>
      </c>
      <c r="Q812" s="8"/>
      <c r="R812" s="14" t="s">
        <v>282</v>
      </c>
      <c r="S812" s="7" t="s">
        <v>283</v>
      </c>
      <c r="T812" s="8"/>
      <c r="U812" s="11" t="str">
        <f>HYPERLINK("https://pbs.twimg.com/profile_images/688735459892195329/v8sHaWSG.jpg","View")</f>
        <v>View</v>
      </c>
      <c r="V812" s="8"/>
      <c r="W812" s="8"/>
      <c r="X812" s="8"/>
      <c r="Y812" s="8"/>
      <c r="Z812" s="8"/>
    </row>
    <row r="813" spans="1:26" ht="13.2">
      <c r="A813" s="13">
        <v>44250.598009259258</v>
      </c>
      <c r="B813" s="6" t="str">
        <f>HYPERLINK("https://twitter.com/jatins","@jatins")</f>
        <v>@jatins</v>
      </c>
      <c r="C813" s="14" t="s">
        <v>3785</v>
      </c>
      <c r="D813" s="14" t="s">
        <v>3786</v>
      </c>
      <c r="E813" s="6" t="str">
        <f>HYPERLINK("https://twitter.com/jatins/status/1364203641968599054","1364203641968599054")</f>
        <v>1364203641968599054</v>
      </c>
      <c r="F813" s="7" t="s">
        <v>1333</v>
      </c>
      <c r="G813" s="8"/>
      <c r="H813" s="8"/>
      <c r="I813" s="14">
        <v>1</v>
      </c>
      <c r="J813" s="14">
        <v>1</v>
      </c>
      <c r="K813" s="6" t="str">
        <f t="shared" ref="K813:K814" si="130">HYPERLINK("http://twitter.com/download/android","Twitter for Android")</f>
        <v>Twitter for Android</v>
      </c>
      <c r="L813" s="15">
        <v>5363</v>
      </c>
      <c r="M813" s="15">
        <v>1435</v>
      </c>
      <c r="N813" s="15">
        <v>20</v>
      </c>
      <c r="O813" s="9"/>
      <c r="P813" s="10">
        <v>39809.897962962961</v>
      </c>
      <c r="Q813" s="14" t="s">
        <v>3787</v>
      </c>
      <c r="R813" s="14" t="s">
        <v>3788</v>
      </c>
      <c r="S813" s="7" t="s">
        <v>3789</v>
      </c>
      <c r="T813" s="8"/>
      <c r="U813" s="11" t="str">
        <f>HYPERLINK("https://pbs.twimg.com/profile_images/945361757140217856/4fBOcLCR.jpg","View")</f>
        <v>View</v>
      </c>
      <c r="V813" s="8"/>
      <c r="W813" s="8"/>
      <c r="X813" s="8"/>
      <c r="Y813" s="8"/>
      <c r="Z813" s="8"/>
    </row>
    <row r="814" spans="1:26" ht="13.2">
      <c r="A814" s="13">
        <v>44250.597673611112</v>
      </c>
      <c r="B814" s="6" t="str">
        <f>HYPERLINK("https://twitter.com/cariindataid","@cariindataid")</f>
        <v>@cariindataid</v>
      </c>
      <c r="C814" s="7" t="s">
        <v>3790</v>
      </c>
      <c r="D814" s="14" t="s">
        <v>3791</v>
      </c>
      <c r="E814" s="6" t="str">
        <f>HYPERLINK("https://twitter.com/cariindataid/status/1364203519318745088","1364203519318745088")</f>
        <v>1364203519318745088</v>
      </c>
      <c r="F814" s="8"/>
      <c r="G814" s="7" t="s">
        <v>3792</v>
      </c>
      <c r="H814" s="8"/>
      <c r="I814" s="14">
        <v>0</v>
      </c>
      <c r="J814" s="14">
        <v>0</v>
      </c>
      <c r="K814" s="6" t="str">
        <f t="shared" si="130"/>
        <v>Twitter for Android</v>
      </c>
      <c r="L814" s="15">
        <v>0</v>
      </c>
      <c r="M814" s="15">
        <v>0</v>
      </c>
      <c r="N814" s="15">
        <v>0</v>
      </c>
      <c r="O814" s="9"/>
      <c r="P814" s="10">
        <v>44250.589317129634</v>
      </c>
      <c r="Q814" s="14" t="s">
        <v>3793</v>
      </c>
      <c r="R814" s="14" t="s">
        <v>3794</v>
      </c>
      <c r="S814" s="7" t="s">
        <v>3795</v>
      </c>
      <c r="T814" s="8"/>
      <c r="U814" s="11" t="str">
        <f>HYPERLINK("https://pbs.twimg.com/profile_images/1364200651572477954/67-QROHZ.jpg","View")</f>
        <v>View</v>
      </c>
      <c r="V814" s="8"/>
      <c r="W814" s="8"/>
      <c r="X814" s="8"/>
      <c r="Y814" s="8"/>
      <c r="Z814" s="8"/>
    </row>
    <row r="815" spans="1:26" ht="13.2">
      <c r="A815" s="13">
        <v>44250.597638888888</v>
      </c>
      <c r="B815" s="6" t="str">
        <f>HYPERLINK("https://twitter.com/Cn1699","@Cn1699")</f>
        <v>@Cn1699</v>
      </c>
      <c r="C815" s="14" t="s">
        <v>3796</v>
      </c>
      <c r="D815" s="14" t="s">
        <v>3797</v>
      </c>
      <c r="E815" s="6" t="str">
        <f>HYPERLINK("https://twitter.com/Cn1699/status/1364203509139333121","1364203509139333121")</f>
        <v>1364203509139333121</v>
      </c>
      <c r="F815" s="7" t="s">
        <v>3798</v>
      </c>
      <c r="G815" s="7" t="s">
        <v>3799</v>
      </c>
      <c r="H815" s="8"/>
      <c r="I815" s="14">
        <v>0</v>
      </c>
      <c r="J815" s="14">
        <v>0</v>
      </c>
      <c r="K815" s="6" t="str">
        <f>HYPERLINK("https://buffer.com","Buffer")</f>
        <v>Buffer</v>
      </c>
      <c r="L815" s="15">
        <v>656</v>
      </c>
      <c r="M815" s="15">
        <v>1443</v>
      </c>
      <c r="N815" s="15">
        <v>27</v>
      </c>
      <c r="O815" s="9"/>
      <c r="P815" s="10">
        <v>42224.520914351851</v>
      </c>
      <c r="Q815" s="14" t="s">
        <v>3800</v>
      </c>
      <c r="R815" s="14" t="s">
        <v>3801</v>
      </c>
      <c r="S815" s="7" t="s">
        <v>3802</v>
      </c>
      <c r="T815" s="8"/>
      <c r="U815" s="11" t="str">
        <f>HYPERLINK("https://pbs.twimg.com/profile_images/1266622410788237312/GFT8hult.jpg","View")</f>
        <v>View</v>
      </c>
      <c r="V815" s="8"/>
      <c r="W815" s="8"/>
      <c r="X815" s="8"/>
      <c r="Y815" s="8"/>
      <c r="Z815" s="8"/>
    </row>
    <row r="816" spans="1:26" ht="13.2">
      <c r="A816" s="13">
        <v>44250.597384259258</v>
      </c>
      <c r="B816" s="6" t="str">
        <f>HYPERLINK("https://twitter.com/Mohammed_AMahdi","@Mohammed_AMahdi")</f>
        <v>@Mohammed_AMahdi</v>
      </c>
      <c r="C816" s="14" t="s">
        <v>3803</v>
      </c>
      <c r="D816" s="14" t="s">
        <v>3804</v>
      </c>
      <c r="E816" s="6" t="str">
        <f>HYPERLINK("https://twitter.com/Mohammed_AMahdi/status/1364203413169463297","1364203413169463297")</f>
        <v>1364203413169463297</v>
      </c>
      <c r="F816" s="7" t="s">
        <v>3805</v>
      </c>
      <c r="G816" s="8"/>
      <c r="H816" s="8"/>
      <c r="I816" s="14">
        <v>11</v>
      </c>
      <c r="J816" s="14">
        <v>4</v>
      </c>
      <c r="K816" s="6" t="str">
        <f>HYPERLINK("http://twitter.com/download/iphone","Twitter for iPhone")</f>
        <v>Twitter for iPhone</v>
      </c>
      <c r="L816" s="15">
        <v>143</v>
      </c>
      <c r="M816" s="15">
        <v>420</v>
      </c>
      <c r="N816" s="15">
        <v>2</v>
      </c>
      <c r="O816" s="9"/>
      <c r="P816" s="10">
        <v>42181.366886574076</v>
      </c>
      <c r="Q816" s="14" t="s">
        <v>3806</v>
      </c>
      <c r="R816" s="14" t="s">
        <v>3807</v>
      </c>
      <c r="S816" s="8"/>
      <c r="T816" s="8"/>
      <c r="U816" s="11" t="str">
        <f>HYPERLINK("https://pbs.twimg.com/profile_images/1230152130616602629/icidmIxI.jpg","View")</f>
        <v>View</v>
      </c>
      <c r="V816" s="8"/>
      <c r="W816" s="8"/>
      <c r="X816" s="8"/>
      <c r="Y816" s="8"/>
      <c r="Z816" s="8"/>
    </row>
    <row r="817" spans="1:26" ht="13.2">
      <c r="A817" s="13">
        <v>44250.597222222219</v>
      </c>
      <c r="B817" s="6" t="str">
        <f>HYPERLINK("https://twitter.com/OscarGenomics","@OscarGenomics")</f>
        <v>@OscarGenomics</v>
      </c>
      <c r="C817" s="14" t="s">
        <v>3808</v>
      </c>
      <c r="D817" s="14" t="s">
        <v>3809</v>
      </c>
      <c r="E817" s="6" t="str">
        <f>HYPERLINK("https://twitter.com/OscarGenomics/status/1364203355300634628","1364203355300634628")</f>
        <v>1364203355300634628</v>
      </c>
      <c r="F817" s="7" t="s">
        <v>3810</v>
      </c>
      <c r="G817" s="8"/>
      <c r="H817" s="8"/>
      <c r="I817" s="14">
        <v>1</v>
      </c>
      <c r="J817" s="14">
        <v>6</v>
      </c>
      <c r="K817" s="6" t="str">
        <f t="shared" ref="K817:K821" si="131">HYPERLINK("https://mobile.twitter.com","Twitter Web App")</f>
        <v>Twitter Web App</v>
      </c>
      <c r="L817" s="15">
        <v>1776</v>
      </c>
      <c r="M817" s="15">
        <v>650</v>
      </c>
      <c r="N817" s="15">
        <v>44</v>
      </c>
      <c r="O817" s="9"/>
      <c r="P817" s="10">
        <v>39296.251770833333</v>
      </c>
      <c r="Q817" s="14" t="s">
        <v>869</v>
      </c>
      <c r="R817" s="14" t="s">
        <v>3811</v>
      </c>
      <c r="S817" s="7" t="s">
        <v>3812</v>
      </c>
      <c r="T817" s="8"/>
      <c r="U817" s="11" t="str">
        <f>HYPERLINK("https://pbs.twimg.com/profile_images/1218245004193386502/Pg667TPd.jpg","View")</f>
        <v>View</v>
      </c>
      <c r="V817" s="8"/>
      <c r="W817" s="8"/>
      <c r="X817" s="8"/>
      <c r="Y817" s="8"/>
      <c r="Z817" s="8"/>
    </row>
    <row r="818" spans="1:26" ht="13.2">
      <c r="A818" s="13">
        <v>44250.596863425926</v>
      </c>
      <c r="B818" s="6" t="str">
        <f>HYPERLINK("https://twitter.com/KhalidHamdan0","@KhalidHamdan0")</f>
        <v>@KhalidHamdan0</v>
      </c>
      <c r="C818" s="14" t="s">
        <v>3757</v>
      </c>
      <c r="D818" s="14" t="s">
        <v>3813</v>
      </c>
      <c r="E818" s="6" t="str">
        <f>HYPERLINK("https://twitter.com/KhalidHamdan0/status/1364203225776275464","1364203225776275464")</f>
        <v>1364203225776275464</v>
      </c>
      <c r="F818" s="7" t="s">
        <v>2579</v>
      </c>
      <c r="G818" s="7" t="s">
        <v>3814</v>
      </c>
      <c r="H818" s="8"/>
      <c r="I818" s="14">
        <v>2</v>
      </c>
      <c r="J818" s="14">
        <v>2</v>
      </c>
      <c r="K818" s="6" t="str">
        <f t="shared" si="131"/>
        <v>Twitter Web App</v>
      </c>
      <c r="L818" s="15">
        <v>13865</v>
      </c>
      <c r="M818" s="15">
        <v>3380</v>
      </c>
      <c r="N818" s="15">
        <v>2161</v>
      </c>
      <c r="O818" s="9"/>
      <c r="P818" s="10">
        <v>40310.828553240739</v>
      </c>
      <c r="Q818" s="14" t="s">
        <v>599</v>
      </c>
      <c r="R818" s="14" t="s">
        <v>3761</v>
      </c>
      <c r="S818" s="8"/>
      <c r="T818" s="8"/>
      <c r="U818" s="11" t="str">
        <f>HYPERLINK("https://pbs.twimg.com/profile_images/853683295317626880/-YHlzfio.jpg","View")</f>
        <v>View</v>
      </c>
      <c r="V818" s="8"/>
      <c r="W818" s="8"/>
      <c r="X818" s="8"/>
      <c r="Y818" s="8"/>
      <c r="Z818" s="8"/>
    </row>
    <row r="819" spans="1:26" ht="13.2">
      <c r="A819" s="13">
        <v>44250.596666666665</v>
      </c>
      <c r="B819" s="6" t="str">
        <f>HYPERLINK("https://twitter.com/discdiver","@discdiver")</f>
        <v>@discdiver</v>
      </c>
      <c r="C819" s="14" t="s">
        <v>3815</v>
      </c>
      <c r="D819" s="14" t="s">
        <v>3816</v>
      </c>
      <c r="E819" s="6" t="str">
        <f>HYPERLINK("https://twitter.com/discdiver/status/1364203156318617601","1364203156318617601")</f>
        <v>1364203156318617601</v>
      </c>
      <c r="F819" s="7" t="s">
        <v>3817</v>
      </c>
      <c r="G819" s="8"/>
      <c r="H819" s="8"/>
      <c r="I819" s="14">
        <v>2</v>
      </c>
      <c r="J819" s="14">
        <v>2</v>
      </c>
      <c r="K819" s="6" t="str">
        <f t="shared" si="131"/>
        <v>Twitter Web App</v>
      </c>
      <c r="L819" s="15">
        <v>1049</v>
      </c>
      <c r="M819" s="15">
        <v>650</v>
      </c>
      <c r="N819" s="15">
        <v>46</v>
      </c>
      <c r="O819" s="9"/>
      <c r="P819" s="10">
        <v>40198.030428240745</v>
      </c>
      <c r="Q819" s="14" t="s">
        <v>191</v>
      </c>
      <c r="R819" s="14" t="s">
        <v>3818</v>
      </c>
      <c r="S819" s="7" t="s">
        <v>3819</v>
      </c>
      <c r="T819" s="8"/>
      <c r="U819" s="11" t="str">
        <f>HYPERLINK("https://pbs.twimg.com/profile_images/1030655387593265152/jET3lzrR.jpg","View")</f>
        <v>View</v>
      </c>
      <c r="V819" s="8"/>
      <c r="W819" s="8"/>
      <c r="X819" s="8"/>
      <c r="Y819" s="8"/>
      <c r="Z819" s="8"/>
    </row>
    <row r="820" spans="1:26" ht="13.2">
      <c r="A820" s="13">
        <v>44250.596585648149</v>
      </c>
      <c r="B820" s="6" t="str">
        <f>HYPERLINK("https://twitter.com/Ronald_vanLoon","@Ronald_vanLoon")</f>
        <v>@Ronald_vanLoon</v>
      </c>
      <c r="C820" s="14" t="s">
        <v>2433</v>
      </c>
      <c r="D820" s="14" t="s">
        <v>3820</v>
      </c>
      <c r="E820" s="6" t="str">
        <f>HYPERLINK("https://twitter.com/Ronald_vanLoon/status/1364203126262235137","1364203126262235137")</f>
        <v>1364203126262235137</v>
      </c>
      <c r="F820" s="7" t="s">
        <v>3821</v>
      </c>
      <c r="G820" s="7" t="s">
        <v>3822</v>
      </c>
      <c r="H820" s="8"/>
      <c r="I820" s="14">
        <v>3</v>
      </c>
      <c r="J820" s="14">
        <v>4</v>
      </c>
      <c r="K820" s="6" t="str">
        <f t="shared" si="131"/>
        <v>Twitter Web App</v>
      </c>
      <c r="L820" s="15">
        <v>239362</v>
      </c>
      <c r="M820" s="15">
        <v>180517</v>
      </c>
      <c r="N820" s="15">
        <v>5589</v>
      </c>
      <c r="O820" s="9"/>
      <c r="P820" s="10">
        <v>41015.413553240738</v>
      </c>
      <c r="Q820" s="14" t="s">
        <v>1141</v>
      </c>
      <c r="R820" s="14" t="s">
        <v>2437</v>
      </c>
      <c r="S820" s="7" t="s">
        <v>2438</v>
      </c>
      <c r="T820" s="8"/>
      <c r="U820" s="11" t="str">
        <f>HYPERLINK("https://pbs.twimg.com/profile_images/1107936345769607169/sJKWJd7g.png","View")</f>
        <v>View</v>
      </c>
      <c r="V820" s="8"/>
      <c r="W820" s="8"/>
      <c r="X820" s="8"/>
      <c r="Y820" s="8"/>
      <c r="Z820" s="8"/>
    </row>
    <row r="821" spans="1:26" ht="13.2">
      <c r="A821" s="13">
        <v>44250.596076388887</v>
      </c>
      <c r="B821" s="6" t="str">
        <f>HYPERLINK("https://twitter.com/flyvenkat","@flyvenkat")</f>
        <v>@flyvenkat</v>
      </c>
      <c r="C821" s="14" t="s">
        <v>3823</v>
      </c>
      <c r="D821" s="14" t="s">
        <v>3824</v>
      </c>
      <c r="E821" s="6" t="str">
        <f>HYPERLINK("https://twitter.com/flyvenkat/status/1364202942773923840","1364202942773923840")</f>
        <v>1364202942773923840</v>
      </c>
      <c r="F821" s="7" t="s">
        <v>3825</v>
      </c>
      <c r="G821" s="8"/>
      <c r="H821" s="8"/>
      <c r="I821" s="14">
        <v>2</v>
      </c>
      <c r="J821" s="14">
        <v>1</v>
      </c>
      <c r="K821" s="6" t="str">
        <f t="shared" si="131"/>
        <v>Twitter Web App</v>
      </c>
      <c r="L821" s="15">
        <v>2571</v>
      </c>
      <c r="M821" s="15">
        <v>4774</v>
      </c>
      <c r="N821" s="15">
        <v>408</v>
      </c>
      <c r="O821" s="9"/>
      <c r="P821" s="10">
        <v>40232.194965277777</v>
      </c>
      <c r="Q821" s="14" t="s">
        <v>3826</v>
      </c>
      <c r="R821" s="14" t="s">
        <v>3827</v>
      </c>
      <c r="S821" s="7" t="s">
        <v>3828</v>
      </c>
      <c r="T821" s="8"/>
      <c r="U821" s="11" t="str">
        <f>HYPERLINK("https://pbs.twimg.com/profile_images/984748707676536832/FFmcaXms.jpg","View")</f>
        <v>View</v>
      </c>
      <c r="V821" s="8"/>
      <c r="W821" s="8"/>
      <c r="X821" s="8"/>
      <c r="Y821" s="8"/>
      <c r="Z821" s="8"/>
    </row>
    <row r="822" spans="1:26" ht="13.2">
      <c r="A822" s="13">
        <v>44250.596006944441</v>
      </c>
      <c r="B822" s="6" t="str">
        <f>HYPERLINK("https://twitter.com/h3techdev","@h3techdev")</f>
        <v>@h3techdev</v>
      </c>
      <c r="C822" s="14" t="s">
        <v>2072</v>
      </c>
      <c r="D822" s="14" t="s">
        <v>3829</v>
      </c>
      <c r="E822" s="6" t="str">
        <f>HYPERLINK("https://twitter.com/h3techdev/status/1364202916408557577","1364202916408557577")</f>
        <v>1364202916408557577</v>
      </c>
      <c r="F822" s="14" t="s">
        <v>3830</v>
      </c>
      <c r="G822" s="7" t="s">
        <v>3831</v>
      </c>
      <c r="H822" s="8"/>
      <c r="I822" s="14">
        <v>4</v>
      </c>
      <c r="J822" s="14">
        <v>0</v>
      </c>
      <c r="K822" s="6" t="str">
        <f>HYPERLINK("http://twitter.com/download/android","Twitter for Android")</f>
        <v>Twitter for Android</v>
      </c>
      <c r="L822" s="15">
        <v>369</v>
      </c>
      <c r="M822" s="15">
        <v>714</v>
      </c>
      <c r="N822" s="15">
        <v>9</v>
      </c>
      <c r="O822" s="9"/>
      <c r="P822" s="10">
        <v>42340.912476851852</v>
      </c>
      <c r="Q822" s="14" t="s">
        <v>2076</v>
      </c>
      <c r="R822" s="14" t="s">
        <v>2077</v>
      </c>
      <c r="S822" s="7" t="s">
        <v>2078</v>
      </c>
      <c r="T822" s="8"/>
      <c r="U822" s="11" t="str">
        <f>HYPERLINK("https://pbs.twimg.com/profile_images/1352063268915822592/jLlu3x-O.jpg","View")</f>
        <v>View</v>
      </c>
      <c r="V822" s="8"/>
      <c r="W822" s="8"/>
      <c r="X822" s="8"/>
      <c r="Y822" s="8"/>
      <c r="Z822" s="8"/>
    </row>
    <row r="823" spans="1:26" ht="13.2">
      <c r="A823" s="13">
        <v>44250.59584490741</v>
      </c>
      <c r="B823" s="6" t="str">
        <f>HYPERLINK("https://twitter.com/BristowColin","@BristowColin")</f>
        <v>@BristowColin</v>
      </c>
      <c r="C823" s="14" t="s">
        <v>596</v>
      </c>
      <c r="D823" s="14" t="s">
        <v>3832</v>
      </c>
      <c r="E823" s="6" t="str">
        <f>HYPERLINK("https://twitter.com/BristowColin/status/1364202858162233345","1364202858162233345")</f>
        <v>1364202858162233345</v>
      </c>
      <c r="F823" s="7" t="s">
        <v>3833</v>
      </c>
      <c r="G823" s="8"/>
      <c r="H823" s="8"/>
      <c r="I823" s="14">
        <v>17</v>
      </c>
      <c r="J823" s="14">
        <v>5</v>
      </c>
      <c r="K823" s="6" t="str">
        <f>HYPERLINK("http://dynamicsignal.com/","Dynamic Signal")</f>
        <v>Dynamic Signal</v>
      </c>
      <c r="L823" s="15">
        <v>12149</v>
      </c>
      <c r="M823" s="15">
        <v>9707</v>
      </c>
      <c r="N823" s="15">
        <v>155</v>
      </c>
      <c r="O823" s="9"/>
      <c r="P823" s="10">
        <v>40900.478090277778</v>
      </c>
      <c r="Q823" s="14" t="s">
        <v>599</v>
      </c>
      <c r="R823" s="14" t="s">
        <v>600</v>
      </c>
      <c r="S823" s="7" t="s">
        <v>601</v>
      </c>
      <c r="T823" s="8"/>
      <c r="U823" s="11" t="str">
        <f>HYPERLINK("https://pbs.twimg.com/profile_images/692994884270198784/jQX64C1s.jpg","View")</f>
        <v>View</v>
      </c>
      <c r="V823" s="8"/>
      <c r="W823" s="8"/>
      <c r="X823" s="8"/>
      <c r="Y823" s="8"/>
      <c r="Z823" s="8"/>
    </row>
    <row r="824" spans="1:26" ht="13.2">
      <c r="A824" s="13">
        <v>44250.594826388886</v>
      </c>
      <c r="B824" s="6" t="str">
        <f>HYPERLINK("https://twitter.com/kath0134","@kath0134")</f>
        <v>@kath0134</v>
      </c>
      <c r="C824" s="14" t="s">
        <v>3834</v>
      </c>
      <c r="D824" s="14" t="s">
        <v>3835</v>
      </c>
      <c r="E824" s="6" t="str">
        <f>HYPERLINK("https://twitter.com/kath0134/status/1364202487205359616","1364202487205359616")</f>
        <v>1364202487205359616</v>
      </c>
      <c r="F824" s="7" t="s">
        <v>3836</v>
      </c>
      <c r="G824" s="7" t="s">
        <v>3837</v>
      </c>
      <c r="H824" s="8"/>
      <c r="I824" s="14">
        <v>0</v>
      </c>
      <c r="J824" s="14">
        <v>0</v>
      </c>
      <c r="K824" s="6" t="str">
        <f>HYPERLINK("https://dlvrit.com/","dlvr.it")</f>
        <v>dlvr.it</v>
      </c>
      <c r="L824" s="15">
        <v>2552</v>
      </c>
      <c r="M824" s="15">
        <v>817</v>
      </c>
      <c r="N824" s="15">
        <v>107</v>
      </c>
      <c r="O824" s="9"/>
      <c r="P824" s="10">
        <v>40397.695196759261</v>
      </c>
      <c r="Q824" s="8"/>
      <c r="R824" s="14" t="s">
        <v>3838</v>
      </c>
      <c r="S824" s="7" t="s">
        <v>3839</v>
      </c>
      <c r="T824" s="8"/>
      <c r="U824" s="11" t="str">
        <f>HYPERLINK("https://pbs.twimg.com/profile_images/776861341822885888/zZ3_xtIS.jpg","View")</f>
        <v>View</v>
      </c>
      <c r="V824" s="8"/>
      <c r="W824" s="8"/>
      <c r="X824" s="8"/>
      <c r="Y824" s="8"/>
      <c r="Z824" s="8"/>
    </row>
    <row r="825" spans="1:26" ht="13.2">
      <c r="A825" s="13">
        <v>44250.594664351855</v>
      </c>
      <c r="B825" s="6" t="str">
        <f>HYPERLINK("https://twitter.com/TopProRecruits","@TopProRecruits")</f>
        <v>@TopProRecruits</v>
      </c>
      <c r="C825" s="14" t="s">
        <v>3840</v>
      </c>
      <c r="D825" s="14" t="s">
        <v>3841</v>
      </c>
      <c r="E825" s="6" t="str">
        <f>HYPERLINK("https://twitter.com/TopProRecruits/status/1364202430733438978","1364202430733438978")</f>
        <v>1364202430733438978</v>
      </c>
      <c r="F825" s="7" t="s">
        <v>3842</v>
      </c>
      <c r="G825" s="8"/>
      <c r="H825" s="8"/>
      <c r="I825" s="14">
        <v>0</v>
      </c>
      <c r="J825" s="14">
        <v>1</v>
      </c>
      <c r="K825" s="6" t="str">
        <f>HYPERLINK("https://paper.li","Paper.li")</f>
        <v>Paper.li</v>
      </c>
      <c r="L825" s="15">
        <v>472</v>
      </c>
      <c r="M825" s="15">
        <v>779</v>
      </c>
      <c r="N825" s="15">
        <v>11</v>
      </c>
      <c r="O825" s="9"/>
      <c r="P825" s="10">
        <v>42961.092037037037</v>
      </c>
      <c r="Q825" s="14" t="s">
        <v>599</v>
      </c>
      <c r="R825" s="14" t="s">
        <v>3843</v>
      </c>
      <c r="S825" s="7" t="s">
        <v>3844</v>
      </c>
      <c r="T825" s="8"/>
      <c r="U825" s="11" t="str">
        <f>HYPERLINK("https://pbs.twimg.com/profile_images/1062071315690086400/wrj8vdK1.jpg","View")</f>
        <v>View</v>
      </c>
      <c r="V825" s="8"/>
      <c r="W825" s="8"/>
      <c r="X825" s="8"/>
      <c r="Y825" s="8"/>
      <c r="Z825" s="8"/>
    </row>
    <row r="826" spans="1:26" ht="13.2">
      <c r="A826" s="13">
        <v>44250.594189814816</v>
      </c>
      <c r="B826" s="6" t="str">
        <f>HYPERLINK("https://twitter.com/MedicaliPhone","@MedicaliPhone")</f>
        <v>@MedicaliPhone</v>
      </c>
      <c r="C826" s="14" t="s">
        <v>269</v>
      </c>
      <c r="D826" s="14" t="s">
        <v>39</v>
      </c>
      <c r="E826" s="6" t="str">
        <f>HYPERLINK("https://twitter.com/MedicaliPhone/status/1364202257886150657","1364202257886150657")</f>
        <v>1364202257886150657</v>
      </c>
      <c r="F826" s="14" t="s">
        <v>3845</v>
      </c>
      <c r="G826" s="8"/>
      <c r="H826" s="8"/>
      <c r="I826" s="14">
        <v>1</v>
      </c>
      <c r="J826" s="14">
        <v>2</v>
      </c>
      <c r="K826" s="6" t="str">
        <f>HYPERLINK("http://twinybots.com","TwinyBots")</f>
        <v>TwinyBots</v>
      </c>
      <c r="L826" s="15">
        <v>18689</v>
      </c>
      <c r="M826" s="15">
        <v>19077</v>
      </c>
      <c r="N826" s="15">
        <v>450</v>
      </c>
      <c r="O826" s="9"/>
      <c r="P826" s="10">
        <v>39978.071932870371</v>
      </c>
      <c r="Q826" s="14" t="s">
        <v>270</v>
      </c>
      <c r="R826" s="14" t="s">
        <v>271</v>
      </c>
      <c r="S826" s="7" t="s">
        <v>272</v>
      </c>
      <c r="T826" s="8"/>
      <c r="U826" s="11" t="str">
        <f>HYPERLINK("https://pbs.twimg.com/profile_images/671869096389021696/Z1Kr3P0K.png","View")</f>
        <v>View</v>
      </c>
      <c r="V826" s="8"/>
      <c r="W826" s="8"/>
      <c r="X826" s="8"/>
      <c r="Y826" s="8"/>
      <c r="Z826" s="8"/>
    </row>
    <row r="827" spans="1:26" ht="13.2">
      <c r="A827" s="13">
        <v>44250.593981481477</v>
      </c>
      <c r="B827" s="6" t="str">
        <f>HYPERLINK("https://twitter.com/AtulACleaver","@AtulACleaver")</f>
        <v>@AtulACleaver</v>
      </c>
      <c r="C827" s="14" t="s">
        <v>3846</v>
      </c>
      <c r="D827" s="14" t="s">
        <v>3847</v>
      </c>
      <c r="E827" s="6" t="str">
        <f>HYPERLINK("https://twitter.com/AtulACleaver/status/1364202180304117763","1364202180304117763")</f>
        <v>1364202180304117763</v>
      </c>
      <c r="F827" s="8"/>
      <c r="G827" s="7" t="s">
        <v>3848</v>
      </c>
      <c r="H827" s="8"/>
      <c r="I827" s="14">
        <v>0</v>
      </c>
      <c r="J827" s="14">
        <v>0</v>
      </c>
      <c r="K827" s="6" t="str">
        <f>HYPERLINK("https://www.hookle.net","Hookle App")</f>
        <v>Hookle App</v>
      </c>
      <c r="L827" s="15">
        <v>0</v>
      </c>
      <c r="M827" s="15">
        <v>14</v>
      </c>
      <c r="N827" s="15">
        <v>0</v>
      </c>
      <c r="O827" s="9"/>
      <c r="P827" s="10">
        <v>44197.443402777775</v>
      </c>
      <c r="Q827" s="14" t="s">
        <v>3849</v>
      </c>
      <c r="R827" s="14" t="s">
        <v>3850</v>
      </c>
      <c r="S827" s="8"/>
      <c r="T827" s="8"/>
      <c r="U827" s="11" t="str">
        <f>HYPERLINK("https://pbs.twimg.com/profile_images/1344941199778463745/TTRcdoCW.jpg","View")</f>
        <v>View</v>
      </c>
      <c r="V827" s="8"/>
      <c r="W827" s="8"/>
      <c r="X827" s="8"/>
      <c r="Y827" s="8"/>
      <c r="Z827" s="8"/>
    </row>
    <row r="828" spans="1:26" ht="13.2">
      <c r="A828" s="13">
        <v>44250.593900462962</v>
      </c>
      <c r="B828" s="6" t="str">
        <f>HYPERLINK("https://twitter.com/neuvays","@neuvays")</f>
        <v>@neuvays</v>
      </c>
      <c r="C828" s="14" t="s">
        <v>3851</v>
      </c>
      <c r="D828" s="14" t="s">
        <v>3852</v>
      </c>
      <c r="E828" s="6" t="str">
        <f>HYPERLINK("https://twitter.com/neuvays/status/1364202150927065092","1364202150927065092")</f>
        <v>1364202150927065092</v>
      </c>
      <c r="F828" s="8"/>
      <c r="G828" s="7" t="s">
        <v>3853</v>
      </c>
      <c r="H828" s="8"/>
      <c r="I828" s="14">
        <v>3</v>
      </c>
      <c r="J828" s="14">
        <v>1</v>
      </c>
      <c r="K828" s="6" t="str">
        <f>HYPERLINK("https://mobile.twitter.com","Twitter Web App")</f>
        <v>Twitter Web App</v>
      </c>
      <c r="L828" s="15">
        <v>27</v>
      </c>
      <c r="M828" s="15">
        <v>0</v>
      </c>
      <c r="N828" s="15">
        <v>0</v>
      </c>
      <c r="O828" s="9"/>
      <c r="P828" s="10">
        <v>43547.252754629633</v>
      </c>
      <c r="Q828" s="14" t="s">
        <v>3854</v>
      </c>
      <c r="R828" s="14" t="s">
        <v>3855</v>
      </c>
      <c r="S828" s="7" t="s">
        <v>3856</v>
      </c>
      <c r="T828" s="8"/>
      <c r="U828" s="11" t="str">
        <f>HYPERLINK("https://pbs.twimg.com/profile_images/1109319933727367174/3Ntc6F_T.png","View")</f>
        <v>View</v>
      </c>
      <c r="V828" s="8"/>
      <c r="W828" s="8"/>
      <c r="X828" s="8"/>
      <c r="Y828" s="8"/>
      <c r="Z828" s="8"/>
    </row>
    <row r="829" spans="1:26" ht="13.2">
      <c r="A829" s="13">
        <v>44250.593842592592</v>
      </c>
      <c r="B829" s="6" t="str">
        <f>HYPERLINK("https://twitter.com/Artificial_Twin","@Artificial_Twin")</f>
        <v>@Artificial_Twin</v>
      </c>
      <c r="C829" s="14" t="s">
        <v>545</v>
      </c>
      <c r="D829" s="14" t="s">
        <v>3857</v>
      </c>
      <c r="E829" s="6" t="str">
        <f>HYPERLINK("https://twitter.com/Artificial_Twin/status/1364202131230760963","1364202131230760963")</f>
        <v>1364202131230760963</v>
      </c>
      <c r="F829" s="7" t="s">
        <v>3858</v>
      </c>
      <c r="G829" s="7" t="s">
        <v>3859</v>
      </c>
      <c r="H829" s="8"/>
      <c r="I829" s="14">
        <v>0</v>
      </c>
      <c r="J829" s="14">
        <v>0</v>
      </c>
      <c r="K829" s="6" t="str">
        <f>HYPERLINK("https://buffer.com","Buffer")</f>
        <v>Buffer</v>
      </c>
      <c r="L829" s="15">
        <v>200</v>
      </c>
      <c r="M829" s="15">
        <v>3</v>
      </c>
      <c r="N829" s="15">
        <v>4</v>
      </c>
      <c r="O829" s="9"/>
      <c r="P829" s="10">
        <v>43717.989490740743</v>
      </c>
      <c r="Q829" s="14" t="s">
        <v>549</v>
      </c>
      <c r="R829" s="14" t="s">
        <v>550</v>
      </c>
      <c r="S829" s="7" t="s">
        <v>551</v>
      </c>
      <c r="T829" s="8"/>
      <c r="U829" s="11" t="str">
        <f>HYPERLINK("https://pbs.twimg.com/profile_images/1171178802019483653/YP9R7IMl.jpg","View")</f>
        <v>View</v>
      </c>
      <c r="V829" s="8"/>
      <c r="W829" s="8"/>
      <c r="X829" s="8"/>
      <c r="Y829" s="8"/>
      <c r="Z829" s="8"/>
    </row>
    <row r="830" spans="1:26" ht="13.2">
      <c r="A830" s="13">
        <v>44250.593657407408</v>
      </c>
      <c r="B830" s="6" t="str">
        <f>HYPERLINK("https://twitter.com/ThedomainHuB","@ThedomainHuB")</f>
        <v>@ThedomainHuB</v>
      </c>
      <c r="C830" s="14" t="s">
        <v>3770</v>
      </c>
      <c r="D830" s="14" t="s">
        <v>3771</v>
      </c>
      <c r="E830" s="6" t="str">
        <f>HYPERLINK("https://twitter.com/ThedomainHuB/status/1364202065107550213","1364202065107550213")</f>
        <v>1364202065107550213</v>
      </c>
      <c r="F830" s="7" t="s">
        <v>3860</v>
      </c>
      <c r="G830" s="7" t="s">
        <v>3861</v>
      </c>
      <c r="H830" s="8"/>
      <c r="I830" s="14">
        <v>3</v>
      </c>
      <c r="J830" s="14">
        <v>1</v>
      </c>
      <c r="K830" s="6" t="str">
        <f>HYPERLINK("https://mobile.twitter.com","Twitter Web App")</f>
        <v>Twitter Web App</v>
      </c>
      <c r="L830" s="15">
        <v>1256</v>
      </c>
      <c r="M830" s="15">
        <v>4549</v>
      </c>
      <c r="N830" s="15">
        <v>16</v>
      </c>
      <c r="O830" s="9"/>
      <c r="P830" s="10">
        <v>41388.356400462959</v>
      </c>
      <c r="Q830" s="14" t="s">
        <v>3774</v>
      </c>
      <c r="R830" s="14" t="s">
        <v>3775</v>
      </c>
      <c r="S830" s="7" t="s">
        <v>3776</v>
      </c>
      <c r="T830" s="8"/>
      <c r="U830" s="11" t="str">
        <f>HYPERLINK("https://pbs.twimg.com/profile_images/1362769885521080321/bL4rByio.jpg","View")</f>
        <v>View</v>
      </c>
      <c r="V830" s="8"/>
      <c r="W830" s="8"/>
      <c r="X830" s="8"/>
      <c r="Y830" s="8"/>
      <c r="Z830" s="8"/>
    </row>
    <row r="831" spans="1:26" ht="13.2">
      <c r="A831" s="13">
        <v>44250.593090277776</v>
      </c>
      <c r="B831" s="6" t="str">
        <f>HYPERLINK("https://twitter.com/milocamj","@milocamj")</f>
        <v>@milocamj</v>
      </c>
      <c r="C831" s="14" t="s">
        <v>1805</v>
      </c>
      <c r="D831" s="14" t="s">
        <v>3862</v>
      </c>
      <c r="E831" s="6" t="str">
        <f>HYPERLINK("https://twitter.com/milocamj/status/1364201857673928707","1364201857673928707")</f>
        <v>1364201857673928707</v>
      </c>
      <c r="F831" s="7" t="s">
        <v>3863</v>
      </c>
      <c r="G831" s="7" t="s">
        <v>3864</v>
      </c>
      <c r="H831" s="8"/>
      <c r="I831" s="14">
        <v>3</v>
      </c>
      <c r="J831" s="14">
        <v>0</v>
      </c>
      <c r="K831" s="6" t="str">
        <f>HYPERLINK("https://dlvrit.com/","dlvr.it")</f>
        <v>dlvr.it</v>
      </c>
      <c r="L831" s="15">
        <v>2595</v>
      </c>
      <c r="M831" s="15">
        <v>48</v>
      </c>
      <c r="N831" s="15">
        <v>1282</v>
      </c>
      <c r="O831" s="9"/>
      <c r="P831" s="10">
        <v>39904.699837962966</v>
      </c>
      <c r="Q831" s="14" t="s">
        <v>1809</v>
      </c>
      <c r="R831" s="14" t="s">
        <v>1810</v>
      </c>
      <c r="S831" s="7" t="s">
        <v>1811</v>
      </c>
      <c r="T831" s="8"/>
      <c r="U831" s="11" t="str">
        <f>HYPERLINK("https://pbs.twimg.com/profile_images/1108578778018709505/56I0aOhL.jpg","View")</f>
        <v>View</v>
      </c>
      <c r="V831" s="8"/>
      <c r="W831" s="8"/>
      <c r="X831" s="8"/>
      <c r="Y831" s="8"/>
      <c r="Z831" s="8"/>
    </row>
    <row r="832" spans="1:26" ht="13.2">
      <c r="A832" s="13">
        <v>44250.592731481476</v>
      </c>
      <c r="B832" s="6" t="str">
        <f>HYPERLINK("https://twitter.com/machinelearnflx","@machinelearnflx")</f>
        <v>@machinelearnflx</v>
      </c>
      <c r="C832" s="14" t="s">
        <v>279</v>
      </c>
      <c r="D832" s="14" t="s">
        <v>3865</v>
      </c>
      <c r="E832" s="6" t="str">
        <f>HYPERLINK("https://twitter.com/machinelearnflx/status/1364201729756172289","1364201729756172289")</f>
        <v>1364201729756172289</v>
      </c>
      <c r="F832" s="7" t="s">
        <v>3866</v>
      </c>
      <c r="G832" s="8"/>
      <c r="H832" s="8"/>
      <c r="I832" s="14">
        <v>3</v>
      </c>
      <c r="J832" s="14">
        <v>4</v>
      </c>
      <c r="K832" s="6" t="str">
        <f>HYPERLINK("https://twitter.com/pythonbot_","Postmatico")</f>
        <v>Postmatico</v>
      </c>
      <c r="L832" s="15">
        <v>90451</v>
      </c>
      <c r="M832" s="15">
        <v>35464</v>
      </c>
      <c r="N832" s="15">
        <v>2227</v>
      </c>
      <c r="O832" s="9"/>
      <c r="P832" s="10">
        <v>42386.538865740746</v>
      </c>
      <c r="Q832" s="8"/>
      <c r="R832" s="14" t="s">
        <v>282</v>
      </c>
      <c r="S832" s="7" t="s">
        <v>283</v>
      </c>
      <c r="T832" s="8"/>
      <c r="U832" s="11" t="str">
        <f>HYPERLINK("https://pbs.twimg.com/profile_images/688735459892195329/v8sHaWSG.jpg","View")</f>
        <v>View</v>
      </c>
      <c r="V832" s="8"/>
      <c r="W832" s="8"/>
      <c r="X832" s="8"/>
      <c r="Y832" s="8"/>
      <c r="Z832" s="8"/>
    </row>
    <row r="833" spans="1:26" ht="13.2">
      <c r="A833" s="13">
        <v>44250.592719907407</v>
      </c>
      <c r="B833" s="6" t="str">
        <f>HYPERLINK("https://twitter.com/guidaautonoma","@guidaautonoma")</f>
        <v>@guidaautonoma</v>
      </c>
      <c r="C833" s="14" t="s">
        <v>2203</v>
      </c>
      <c r="D833" s="14" t="s">
        <v>3867</v>
      </c>
      <c r="E833" s="6" t="str">
        <f>HYPERLINK("https://twitter.com/guidaautonoma/status/1364201724655898626","1364201724655898626")</f>
        <v>1364201724655898626</v>
      </c>
      <c r="F833" s="7" t="s">
        <v>3868</v>
      </c>
      <c r="G833" s="7" t="s">
        <v>3869</v>
      </c>
      <c r="H833" s="8"/>
      <c r="I833" s="14">
        <v>3</v>
      </c>
      <c r="J833" s="14">
        <v>1</v>
      </c>
      <c r="K833" s="6" t="str">
        <f>HYPERLINK("http://twitter.com/download/android","Twitter for Android")</f>
        <v>Twitter for Android</v>
      </c>
      <c r="L833" s="15">
        <v>7074</v>
      </c>
      <c r="M833" s="15">
        <v>6991</v>
      </c>
      <c r="N833" s="15">
        <v>411</v>
      </c>
      <c r="O833" s="9"/>
      <c r="P833" s="10">
        <v>42496.270833333328</v>
      </c>
      <c r="Q833" s="14" t="s">
        <v>2207</v>
      </c>
      <c r="R833" s="14" t="s">
        <v>2208</v>
      </c>
      <c r="S833" s="7" t="s">
        <v>2209</v>
      </c>
      <c r="T833" s="8"/>
      <c r="U833" s="11" t="str">
        <f>HYPERLINK("https://pbs.twimg.com/profile_images/728675456971583488/AVbaFxlK.jpg","View")</f>
        <v>View</v>
      </c>
      <c r="V833" s="8"/>
      <c r="W833" s="8"/>
      <c r="X833" s="8"/>
      <c r="Y833" s="8"/>
      <c r="Z833" s="8"/>
    </row>
    <row r="834" spans="1:26" ht="13.2">
      <c r="A834" s="13">
        <v>44250.592615740738</v>
      </c>
      <c r="B834" s="6" t="str">
        <f>HYPERLINK("https://twitter.com/SpotYourDeal","@SpotYourDeal")</f>
        <v>@SpotYourDeal</v>
      </c>
      <c r="C834" s="14" t="s">
        <v>3870</v>
      </c>
      <c r="D834" s="14" t="s">
        <v>3852</v>
      </c>
      <c r="E834" s="6" t="str">
        <f>HYPERLINK("https://twitter.com/SpotYourDeal/status/1364201688039481354","1364201688039481354")</f>
        <v>1364201688039481354</v>
      </c>
      <c r="F834" s="8"/>
      <c r="G834" s="7" t="s">
        <v>3871</v>
      </c>
      <c r="H834" s="8"/>
      <c r="I834" s="14">
        <v>4</v>
      </c>
      <c r="J834" s="14">
        <v>0</v>
      </c>
      <c r="K834" s="6" t="str">
        <f>HYPERLINK("https://mobile.twitter.com","Twitter Web App")</f>
        <v>Twitter Web App</v>
      </c>
      <c r="L834" s="15">
        <v>25</v>
      </c>
      <c r="M834" s="15">
        <v>180</v>
      </c>
      <c r="N834" s="15">
        <v>0</v>
      </c>
      <c r="O834" s="9"/>
      <c r="P834" s="10">
        <v>43444.722175925926</v>
      </c>
      <c r="Q834" s="14" t="s">
        <v>364</v>
      </c>
      <c r="R834" s="14" t="s">
        <v>3872</v>
      </c>
      <c r="S834" s="7" t="s">
        <v>3873</v>
      </c>
      <c r="T834" s="8"/>
      <c r="U834" s="11" t="str">
        <f>HYPERLINK("https://pbs.twimg.com/profile_images/1181891867035590660/sEwymiyq.png","View")</f>
        <v>View</v>
      </c>
      <c r="V834" s="8"/>
      <c r="W834" s="8"/>
      <c r="X834" s="8"/>
      <c r="Y834" s="8"/>
      <c r="Z834" s="8"/>
    </row>
    <row r="835" spans="1:26" ht="13.2">
      <c r="A835" s="13">
        <v>44250.592511574076</v>
      </c>
      <c r="B835" s="6" t="str">
        <f>HYPERLINK("https://twitter.com/M3_Konferenz","@M3_Konferenz")</f>
        <v>@M3_Konferenz</v>
      </c>
      <c r="C835" s="14" t="s">
        <v>3874</v>
      </c>
      <c r="D835" s="14" t="s">
        <v>3875</v>
      </c>
      <c r="E835" s="6" t="str">
        <f>HYPERLINK("https://twitter.com/M3_Konferenz/status/1364201649510744064","1364201649510744064")</f>
        <v>1364201649510744064</v>
      </c>
      <c r="F835" s="7" t="s">
        <v>3876</v>
      </c>
      <c r="G835" s="7" t="s">
        <v>3877</v>
      </c>
      <c r="H835" s="8"/>
      <c r="I835" s="14">
        <v>0</v>
      </c>
      <c r="J835" s="14">
        <v>0</v>
      </c>
      <c r="K835" s="6" t="str">
        <f t="shared" ref="K835:K836" si="132">HYPERLINK("https://about.twitter.com/products/tweetdeck","TweetDeck")</f>
        <v>TweetDeck</v>
      </c>
      <c r="L835" s="15">
        <v>185</v>
      </c>
      <c r="M835" s="15">
        <v>3</v>
      </c>
      <c r="N835" s="15">
        <v>1</v>
      </c>
      <c r="O835" s="9"/>
      <c r="P835" s="10">
        <v>42829.409201388888</v>
      </c>
      <c r="Q835" s="8"/>
      <c r="R835" s="8"/>
      <c r="S835" s="8"/>
      <c r="T835" s="8"/>
      <c r="U835" s="11" t="str">
        <f>HYPERLINK("https://pbs.twimg.com/profile_images/1064886725556752384/DNLQF6Zi.jpg","View")</f>
        <v>View</v>
      </c>
      <c r="V835" s="8"/>
      <c r="W835" s="8"/>
      <c r="X835" s="8"/>
      <c r="Y835" s="8"/>
      <c r="Z835" s="8"/>
    </row>
    <row r="836" spans="1:26" ht="13.2">
      <c r="A836" s="13">
        <v>44250.592361111107</v>
      </c>
      <c r="B836" s="6" t="str">
        <f>HYPERLINK("https://twitter.com/moorejh","@moorejh")</f>
        <v>@moorejh</v>
      </c>
      <c r="C836" s="14" t="s">
        <v>3878</v>
      </c>
      <c r="D836" s="14" t="s">
        <v>3879</v>
      </c>
      <c r="E836" s="6" t="str">
        <f>HYPERLINK("https://twitter.com/moorejh/status/1364201593776742402","1364201593776742402")</f>
        <v>1364201593776742402</v>
      </c>
      <c r="F836" s="7" t="s">
        <v>3880</v>
      </c>
      <c r="G836" s="8"/>
      <c r="H836" s="8"/>
      <c r="I836" s="14">
        <v>2</v>
      </c>
      <c r="J836" s="14">
        <v>3</v>
      </c>
      <c r="K836" s="6" t="str">
        <f t="shared" si="132"/>
        <v>TweetDeck</v>
      </c>
      <c r="L836" s="15">
        <v>29040</v>
      </c>
      <c r="M836" s="15">
        <v>17187</v>
      </c>
      <c r="N836" s="15">
        <v>1360</v>
      </c>
      <c r="O836" s="9"/>
      <c r="P836" s="10">
        <v>39649.048888888887</v>
      </c>
      <c r="Q836" s="14" t="s">
        <v>3881</v>
      </c>
      <c r="R836" s="14" t="s">
        <v>3882</v>
      </c>
      <c r="S836" s="7" t="s">
        <v>3883</v>
      </c>
      <c r="T836" s="8"/>
      <c r="U836" s="11" t="str">
        <f>HYPERLINK("https://pbs.twimg.com/profile_images/550024402142625793/5aw9u9E8.jpeg","View")</f>
        <v>View</v>
      </c>
      <c r="V836" s="8"/>
      <c r="W836" s="8"/>
      <c r="X836" s="8"/>
      <c r="Y836" s="8"/>
      <c r="Z836" s="8"/>
    </row>
    <row r="837" spans="1:26" ht="13.2">
      <c r="A837" s="13">
        <v>44250.592222222222</v>
      </c>
      <c r="B837" s="6" t="str">
        <f>HYPERLINK("https://twitter.com/botonomics","@botonomics")</f>
        <v>@botonomics</v>
      </c>
      <c r="C837" s="14" t="s">
        <v>3884</v>
      </c>
      <c r="D837" s="14" t="s">
        <v>3885</v>
      </c>
      <c r="E837" s="6" t="str">
        <f>HYPERLINK("https://twitter.com/botonomics/status/1364201544095207426","1364201544095207426")</f>
        <v>1364201544095207426</v>
      </c>
      <c r="F837" s="8"/>
      <c r="G837" s="7" t="s">
        <v>3886</v>
      </c>
      <c r="H837" s="8"/>
      <c r="I837" s="14">
        <v>0</v>
      </c>
      <c r="J837" s="14">
        <v>2</v>
      </c>
      <c r="K837" s="6" t="str">
        <f t="shared" ref="K837:K838" si="133">HYPERLINK("http://twitter.com/download/android","Twitter for Android")</f>
        <v>Twitter for Android</v>
      </c>
      <c r="L837" s="15">
        <v>23</v>
      </c>
      <c r="M837" s="15">
        <v>9</v>
      </c>
      <c r="N837" s="15">
        <v>0</v>
      </c>
      <c r="O837" s="9"/>
      <c r="P837" s="10">
        <v>43760.57068287037</v>
      </c>
      <c r="Q837" s="14" t="s">
        <v>3887</v>
      </c>
      <c r="R837" s="14" t="s">
        <v>3888</v>
      </c>
      <c r="S837" s="7" t="s">
        <v>3889</v>
      </c>
      <c r="T837" s="8"/>
      <c r="U837" s="11" t="str">
        <f>HYPERLINK("https://pbs.twimg.com/profile_images/1186627015937445888/-wMdUvwU.jpg","View")</f>
        <v>View</v>
      </c>
      <c r="V837" s="8"/>
      <c r="W837" s="8"/>
      <c r="X837" s="8"/>
      <c r="Y837" s="8"/>
      <c r="Z837" s="8"/>
    </row>
    <row r="838" spans="1:26" ht="13.2">
      <c r="A838" s="13">
        <v>44250.591921296298</v>
      </c>
      <c r="B838" s="6" t="str">
        <f>HYPERLINK("https://twitter.com/SpecificWhite","@SpecificWhite")</f>
        <v>@SpecificWhite</v>
      </c>
      <c r="C838" s="14" t="s">
        <v>3890</v>
      </c>
      <c r="D838" s="14" t="s">
        <v>3891</v>
      </c>
      <c r="E838" s="6" t="str">
        <f>HYPERLINK("https://twitter.com/SpecificWhite/status/1364201435911643138","1364201435911643138")</f>
        <v>1364201435911643138</v>
      </c>
      <c r="F838" s="7" t="s">
        <v>3892</v>
      </c>
      <c r="G838" s="7" t="s">
        <v>3893</v>
      </c>
      <c r="H838" s="8"/>
      <c r="I838" s="14">
        <v>0</v>
      </c>
      <c r="J838" s="14">
        <v>2</v>
      </c>
      <c r="K838" s="6" t="str">
        <f t="shared" si="133"/>
        <v>Twitter for Android</v>
      </c>
      <c r="L838" s="15">
        <v>583</v>
      </c>
      <c r="M838" s="15">
        <v>138</v>
      </c>
      <c r="N838" s="15">
        <v>0</v>
      </c>
      <c r="O838" s="9"/>
      <c r="P838" s="10">
        <v>44195.683287037042</v>
      </c>
      <c r="Q838" s="14" t="s">
        <v>811</v>
      </c>
      <c r="R838" s="14" t="s">
        <v>3894</v>
      </c>
      <c r="S838" s="8"/>
      <c r="T838" s="8"/>
      <c r="U838" s="11" t="str">
        <f>HYPERLINK("https://pbs.twimg.com/profile_images/1349843671617855489/5mvcoOl2.jpg","View")</f>
        <v>View</v>
      </c>
      <c r="V838" s="8"/>
      <c r="W838" s="8"/>
      <c r="X838" s="8"/>
      <c r="Y838" s="8"/>
      <c r="Z838" s="8"/>
    </row>
    <row r="839" spans="1:26" ht="13.2">
      <c r="A839" s="13">
        <v>44250.591782407406</v>
      </c>
      <c r="B839" s="6" t="str">
        <f>HYPERLINK("https://twitter.com/tianhuil","@tianhuil")</f>
        <v>@tianhuil</v>
      </c>
      <c r="C839" s="14" t="s">
        <v>923</v>
      </c>
      <c r="D839" s="14" t="s">
        <v>3895</v>
      </c>
      <c r="E839" s="6" t="str">
        <f>HYPERLINK("https://twitter.com/tianhuil/status/1364201384837607425","1364201384837607425")</f>
        <v>1364201384837607425</v>
      </c>
      <c r="F839" s="7" t="s">
        <v>3896</v>
      </c>
      <c r="G839" s="8"/>
      <c r="H839" s="8"/>
      <c r="I839" s="14">
        <v>18</v>
      </c>
      <c r="J839" s="14">
        <v>8</v>
      </c>
      <c r="K839" s="6" t="str">
        <f>HYPERLINK("https://socialpull.globalunderdog.com/","Social-Pull-Staging")</f>
        <v>Social-Pull-Staging</v>
      </c>
      <c r="L839" s="15">
        <v>4962</v>
      </c>
      <c r="M839" s="15">
        <v>4657</v>
      </c>
      <c r="N839" s="15">
        <v>1354</v>
      </c>
      <c r="O839" s="9"/>
      <c r="P839" s="10">
        <v>41075.722881944443</v>
      </c>
      <c r="Q839" s="14" t="s">
        <v>926</v>
      </c>
      <c r="R839" s="14" t="s">
        <v>927</v>
      </c>
      <c r="S839" s="7" t="s">
        <v>928</v>
      </c>
      <c r="T839" s="8"/>
      <c r="U839" s="11" t="str">
        <f>HYPERLINK("https://pbs.twimg.com/profile_images/618184546538749952/5nL3gc4f.jpg","View")</f>
        <v>View</v>
      </c>
      <c r="V839" s="8"/>
      <c r="W839" s="8"/>
      <c r="X839" s="8"/>
      <c r="Y839" s="8"/>
      <c r="Z839" s="8"/>
    </row>
    <row r="840" spans="1:26" ht="13.2">
      <c r="A840" s="13">
        <v>44250.591215277775</v>
      </c>
      <c r="B840" s="6" t="str">
        <f>HYPERLINK("https://twitter.com/nordicinst","@nordicinst")</f>
        <v>@nordicinst</v>
      </c>
      <c r="C840" s="14" t="s">
        <v>1812</v>
      </c>
      <c r="D840" s="14" t="s">
        <v>3897</v>
      </c>
      <c r="E840" s="6" t="str">
        <f>HYPERLINK("https://twitter.com/nordicinst/status/1364201179140489217","1364201179140489217")</f>
        <v>1364201179140489217</v>
      </c>
      <c r="F840" s="7" t="s">
        <v>3898</v>
      </c>
      <c r="G840" s="8"/>
      <c r="H840" s="8"/>
      <c r="I840" s="14">
        <v>0</v>
      </c>
      <c r="J840" s="14">
        <v>0</v>
      </c>
      <c r="K840" s="6" t="str">
        <f>HYPERLINK("https://ifttt.com","IFTTT")</f>
        <v>IFTTT</v>
      </c>
      <c r="L840" s="15">
        <v>18247</v>
      </c>
      <c r="M840" s="15">
        <v>17</v>
      </c>
      <c r="N840" s="15">
        <v>306</v>
      </c>
      <c r="O840" s="9"/>
      <c r="P840" s="10">
        <v>42796.734710648147</v>
      </c>
      <c r="Q840" s="14" t="s">
        <v>1815</v>
      </c>
      <c r="R840" s="14" t="s">
        <v>1816</v>
      </c>
      <c r="S840" s="7" t="s">
        <v>1817</v>
      </c>
      <c r="T840" s="8"/>
      <c r="U840" s="11" t="str">
        <f>HYPERLINK("https://pbs.twimg.com/profile_images/894659016705556480/_CJhwfbx.jpg","View")</f>
        <v>View</v>
      </c>
      <c r="V840" s="8"/>
      <c r="W840" s="8"/>
      <c r="X840" s="8"/>
      <c r="Y840" s="8"/>
      <c r="Z840" s="8"/>
    </row>
    <row r="841" spans="1:26" ht="13.2">
      <c r="A841" s="13">
        <v>44250.591006944444</v>
      </c>
      <c r="B841" s="6" t="str">
        <f>HYPERLINK("https://twitter.com/yywwy3","@yywwy3")</f>
        <v>@yywwy3</v>
      </c>
      <c r="C841" s="14" t="s">
        <v>3899</v>
      </c>
      <c r="D841" s="14" t="s">
        <v>3900</v>
      </c>
      <c r="E841" s="6" t="str">
        <f>HYPERLINK("https://twitter.com/yywwy3/status/1364201103424847879","1364201103424847879")</f>
        <v>1364201103424847879</v>
      </c>
      <c r="F841" s="8"/>
      <c r="G841" s="7" t="s">
        <v>3901</v>
      </c>
      <c r="H841" s="8"/>
      <c r="I841" s="14">
        <v>25</v>
      </c>
      <c r="J841" s="14">
        <v>4</v>
      </c>
      <c r="K841" s="6" t="str">
        <f t="shared" ref="K841:K842" si="134">HYPERLINK("https://mobile.twitter.com","Twitter Web App")</f>
        <v>Twitter Web App</v>
      </c>
      <c r="L841" s="15">
        <v>1168</v>
      </c>
      <c r="M841" s="15">
        <v>1444</v>
      </c>
      <c r="N841" s="15">
        <v>4</v>
      </c>
      <c r="O841" s="9"/>
      <c r="P841" s="10">
        <v>44127.356435185182</v>
      </c>
      <c r="Q841" s="14" t="s">
        <v>2501</v>
      </c>
      <c r="R841" s="14" t="s">
        <v>3902</v>
      </c>
      <c r="S841" s="8"/>
      <c r="T841" s="8"/>
      <c r="U841" s="11" t="str">
        <f>HYPERLINK("https://pbs.twimg.com/profile_images/1319539085661200384/VSgFxaju.jpg","View")</f>
        <v>View</v>
      </c>
      <c r="V841" s="8"/>
      <c r="W841" s="8"/>
      <c r="X841" s="8"/>
      <c r="Y841" s="8"/>
      <c r="Z841" s="8"/>
    </row>
    <row r="842" spans="1:26" ht="13.2">
      <c r="A842" s="13">
        <v>44250.590497685189</v>
      </c>
      <c r="B842" s="6" t="str">
        <f>HYPERLINK("https://twitter.com/Roshchupkin","@Roshchupkin")</f>
        <v>@Roshchupkin</v>
      </c>
      <c r="C842" s="14" t="s">
        <v>3903</v>
      </c>
      <c r="D842" s="14" t="s">
        <v>3904</v>
      </c>
      <c r="E842" s="6" t="str">
        <f>HYPERLINK("https://twitter.com/Roshchupkin/status/1364200918510616580","1364200918510616580")</f>
        <v>1364200918510616580</v>
      </c>
      <c r="F842" s="7" t="s">
        <v>3905</v>
      </c>
      <c r="G842" s="8"/>
      <c r="H842" s="8"/>
      <c r="I842" s="14">
        <v>2</v>
      </c>
      <c r="J842" s="14">
        <v>3</v>
      </c>
      <c r="K842" s="6" t="str">
        <f t="shared" si="134"/>
        <v>Twitter Web App</v>
      </c>
      <c r="L842" s="15">
        <v>186</v>
      </c>
      <c r="M842" s="15">
        <v>479</v>
      </c>
      <c r="N842" s="15">
        <v>1</v>
      </c>
      <c r="O842" s="9"/>
      <c r="P842" s="10">
        <v>40308.525023148148</v>
      </c>
      <c r="Q842" s="14" t="s">
        <v>3906</v>
      </c>
      <c r="R842" s="14" t="s">
        <v>3907</v>
      </c>
      <c r="S842" s="7" t="s">
        <v>3908</v>
      </c>
      <c r="T842" s="8"/>
      <c r="U842" s="11" t="str">
        <f>HYPERLINK("https://pbs.twimg.com/profile_images/1349359254495522818/NDfjfEUv.jpg","View")</f>
        <v>View</v>
      </c>
      <c r="V842" s="8"/>
      <c r="W842" s="8"/>
      <c r="X842" s="8"/>
      <c r="Y842" s="8"/>
      <c r="Z842" s="8"/>
    </row>
    <row r="843" spans="1:26" ht="13.2">
      <c r="A843" s="13">
        <v>44250.58902777778</v>
      </c>
      <c r="B843" s="6" t="str">
        <f>HYPERLINK("https://twitter.com/arXiv_Daily","@arXiv_Daily")</f>
        <v>@arXiv_Daily</v>
      </c>
      <c r="C843" s="14" t="s">
        <v>3262</v>
      </c>
      <c r="D843" s="14" t="s">
        <v>3909</v>
      </c>
      <c r="E843" s="6" t="str">
        <f>HYPERLINK("https://twitter.com/arXiv_Daily/status/1364200388841283587","1364200388841283587")</f>
        <v>1364200388841283587</v>
      </c>
      <c r="F843" s="7" t="s">
        <v>3910</v>
      </c>
      <c r="G843" s="8"/>
      <c r="H843" s="8"/>
      <c r="I843" s="14">
        <v>1</v>
      </c>
      <c r="J843" s="14">
        <v>4</v>
      </c>
      <c r="K843" s="6" t="str">
        <f>HYPERLINK("https://deepai.org/","ArXiv Daily")</f>
        <v>ArXiv Daily</v>
      </c>
      <c r="L843" s="15">
        <v>31503</v>
      </c>
      <c r="M843" s="15">
        <v>2032</v>
      </c>
      <c r="N843" s="15">
        <v>444</v>
      </c>
      <c r="O843" s="9"/>
      <c r="P843" s="10">
        <v>43095.185717592598</v>
      </c>
      <c r="Q843" s="14" t="s">
        <v>3265</v>
      </c>
      <c r="R843" s="14" t="s">
        <v>3266</v>
      </c>
      <c r="S843" s="7" t="s">
        <v>3267</v>
      </c>
      <c r="T843" s="8"/>
      <c r="U843" s="11" t="str">
        <f>HYPERLINK("https://pbs.twimg.com/profile_images/945497303036526593/s9LSNZ9p.jpg","View")</f>
        <v>View</v>
      </c>
      <c r="V843" s="8"/>
      <c r="W843" s="8"/>
      <c r="X843" s="8"/>
      <c r="Y843" s="8"/>
      <c r="Z843" s="8"/>
    </row>
    <row r="844" spans="1:26" ht="13.2">
      <c r="A844" s="13">
        <v>44250.588969907403</v>
      </c>
      <c r="B844" s="6" t="str">
        <f>HYPERLINK("https://twitter.com/towards_AI","@towards_AI")</f>
        <v>@towards_AI</v>
      </c>
      <c r="C844" s="14" t="s">
        <v>993</v>
      </c>
      <c r="D844" s="14" t="s">
        <v>3459</v>
      </c>
      <c r="E844" s="6" t="str">
        <f>HYPERLINK("https://twitter.com/towards_AI/status/1364200367832072197","1364200367832072197")</f>
        <v>1364200367832072197</v>
      </c>
      <c r="F844" s="7" t="s">
        <v>3460</v>
      </c>
      <c r="G844" s="8"/>
      <c r="H844" s="8"/>
      <c r="I844" s="14">
        <v>2</v>
      </c>
      <c r="J844" s="14">
        <v>3</v>
      </c>
      <c r="K844" s="6" t="str">
        <f>HYPERLINK("https://ifttt.com","IFTTT")</f>
        <v>IFTTT</v>
      </c>
      <c r="L844" s="15">
        <v>4357</v>
      </c>
      <c r="M844" s="15">
        <v>17</v>
      </c>
      <c r="N844" s="15">
        <v>66</v>
      </c>
      <c r="O844" s="9"/>
      <c r="P844" s="10">
        <v>43565.689467592594</v>
      </c>
      <c r="Q844" s="14" t="s">
        <v>322</v>
      </c>
      <c r="R844" s="14" t="s">
        <v>994</v>
      </c>
      <c r="S844" s="7" t="s">
        <v>995</v>
      </c>
      <c r="T844" s="8"/>
      <c r="U844" s="11" t="str">
        <f>HYPERLINK("https://pbs.twimg.com/profile_images/1289733180468203520/z8oEBpFo.png","View")</f>
        <v>View</v>
      </c>
      <c r="V844" s="8"/>
      <c r="W844" s="8"/>
      <c r="X844" s="8"/>
      <c r="Y844" s="8"/>
      <c r="Z844" s="8"/>
    </row>
    <row r="845" spans="1:26" ht="13.2">
      <c r="A845" s="13">
        <v>44250.588206018518</v>
      </c>
      <c r="B845" s="6" t="str">
        <f>HYPERLINK("https://twitter.com/TechNative","@TechNative")</f>
        <v>@TechNative</v>
      </c>
      <c r="C845" s="14" t="s">
        <v>866</v>
      </c>
      <c r="D845" s="14" t="s">
        <v>3911</v>
      </c>
      <c r="E845" s="6" t="str">
        <f>HYPERLINK("https://twitter.com/TechNative/status/1364200088642453504","1364200088642453504")</f>
        <v>1364200088642453504</v>
      </c>
      <c r="F845" s="7" t="s">
        <v>925</v>
      </c>
      <c r="G845" s="8"/>
      <c r="H845" s="8"/>
      <c r="I845" s="14">
        <v>7</v>
      </c>
      <c r="J845" s="14">
        <v>3</v>
      </c>
      <c r="K845" s="6" t="str">
        <f>HYPERLINK("https://sproutsocial.com","Sprout Social")</f>
        <v>Sprout Social</v>
      </c>
      <c r="L845" s="15">
        <v>84850</v>
      </c>
      <c r="M845" s="15">
        <v>60575</v>
      </c>
      <c r="N845" s="15">
        <v>2623</v>
      </c>
      <c r="O845" s="9"/>
      <c r="P845" s="10">
        <v>42289.695833333331</v>
      </c>
      <c r="Q845" s="14" t="s">
        <v>869</v>
      </c>
      <c r="R845" s="14" t="s">
        <v>870</v>
      </c>
      <c r="S845" s="7" t="s">
        <v>871</v>
      </c>
      <c r="T845" s="8"/>
      <c r="U845" s="11" t="str">
        <f>HYPERLINK("https://pbs.twimg.com/profile_images/877265193818103808/uriy-gaK.jpg","View")</f>
        <v>View</v>
      </c>
      <c r="V845" s="8"/>
      <c r="W845" s="8"/>
      <c r="X845" s="8"/>
      <c r="Y845" s="8"/>
      <c r="Z845" s="8"/>
    </row>
    <row r="846" spans="1:26" ht="13.2">
      <c r="A846" s="13">
        <v>44250.588206018518</v>
      </c>
      <c r="B846" s="6" t="str">
        <f>HYPERLINK("https://twitter.com/DivergentCIO","@DivergentCIO")</f>
        <v>@DivergentCIO</v>
      </c>
      <c r="C846" s="14" t="s">
        <v>3912</v>
      </c>
      <c r="D846" s="14" t="s">
        <v>3913</v>
      </c>
      <c r="E846" s="6" t="str">
        <f>HYPERLINK("https://twitter.com/DivergentCIO/status/1364200088332087296","1364200088332087296")</f>
        <v>1364200088332087296</v>
      </c>
      <c r="F846" s="7" t="s">
        <v>3914</v>
      </c>
      <c r="G846" s="8"/>
      <c r="H846" s="8"/>
      <c r="I846" s="14">
        <v>0</v>
      </c>
      <c r="J846" s="14">
        <v>0</v>
      </c>
      <c r="K846" s="6" t="str">
        <f>HYPERLINK("https://buffer.com","Buffer")</f>
        <v>Buffer</v>
      </c>
      <c r="L846" s="15">
        <v>28614</v>
      </c>
      <c r="M846" s="15">
        <v>26399</v>
      </c>
      <c r="N846" s="15">
        <v>1647</v>
      </c>
      <c r="O846" s="9"/>
      <c r="P846" s="10">
        <v>42071.947187500002</v>
      </c>
      <c r="Q846" s="14" t="s">
        <v>3915</v>
      </c>
      <c r="R846" s="14" t="s">
        <v>3916</v>
      </c>
      <c r="S846" s="7" t="s">
        <v>3917</v>
      </c>
      <c r="T846" s="8"/>
      <c r="U846" s="11" t="str">
        <f>HYPERLINK("https://pbs.twimg.com/profile_images/767507322583199745/rpfbzBzg.jpg","View")</f>
        <v>View</v>
      </c>
      <c r="V846" s="8"/>
      <c r="W846" s="8"/>
      <c r="X846" s="8"/>
      <c r="Y846" s="8"/>
      <c r="Z846" s="8"/>
    </row>
    <row r="847" spans="1:26" ht="13.2">
      <c r="A847" s="13">
        <v>44250.58798611111</v>
      </c>
      <c r="B847" s="6" t="str">
        <f>HYPERLINK("https://twitter.com/odsc","@odsc")</f>
        <v>@odsc</v>
      </c>
      <c r="C847" s="14" t="s">
        <v>217</v>
      </c>
      <c r="D847" s="14" t="s">
        <v>3918</v>
      </c>
      <c r="E847" s="6" t="str">
        <f>HYPERLINK("https://twitter.com/odsc/status/1364200008141185030","1364200008141185030")</f>
        <v>1364200008141185030</v>
      </c>
      <c r="F847" s="7" t="s">
        <v>3919</v>
      </c>
      <c r="G847" s="7" t="s">
        <v>3920</v>
      </c>
      <c r="H847" s="8"/>
      <c r="I847" s="14">
        <v>0</v>
      </c>
      <c r="J847" s="14">
        <v>1</v>
      </c>
      <c r="K847" s="6" t="str">
        <f t="shared" ref="K847:K848" si="135">HYPERLINK("http://www.hubspot.com/","HubSpot")</f>
        <v>HubSpot</v>
      </c>
      <c r="L847" s="15">
        <v>78817</v>
      </c>
      <c r="M847" s="15">
        <v>27883</v>
      </c>
      <c r="N847" s="15">
        <v>2461</v>
      </c>
      <c r="O847" s="9"/>
      <c r="P847" s="10">
        <v>42039.982766203699</v>
      </c>
      <c r="Q847" s="14" t="s">
        <v>221</v>
      </c>
      <c r="R847" s="14" t="s">
        <v>222</v>
      </c>
      <c r="S847" s="7" t="s">
        <v>223</v>
      </c>
      <c r="T847" s="8"/>
      <c r="U847" s="11" t="str">
        <f>HYPERLINK("https://pbs.twimg.com/profile_images/1115210960271228929/lHua2G3l.png","View")</f>
        <v>View</v>
      </c>
      <c r="V847" s="8"/>
      <c r="W847" s="8"/>
      <c r="X847" s="8"/>
      <c r="Y847" s="8"/>
      <c r="Z847" s="8"/>
    </row>
    <row r="848" spans="1:26" ht="13.2">
      <c r="A848" s="13">
        <v>44250.587546296301</v>
      </c>
      <c r="B848" s="6" t="str">
        <f>HYPERLINK("https://twitter.com/Opticks_protect","@Opticks_protect")</f>
        <v>@Opticks_protect</v>
      </c>
      <c r="C848" s="14" t="s">
        <v>3921</v>
      </c>
      <c r="D848" s="14" t="s">
        <v>3922</v>
      </c>
      <c r="E848" s="6" t="str">
        <f>HYPERLINK("https://twitter.com/Opticks_protect/status/1364199851978817537","1364199851978817537")</f>
        <v>1364199851978817537</v>
      </c>
      <c r="F848" s="7" t="s">
        <v>3923</v>
      </c>
      <c r="G848" s="7" t="s">
        <v>3924</v>
      </c>
      <c r="H848" s="8"/>
      <c r="I848" s="14">
        <v>0</v>
      </c>
      <c r="J848" s="14">
        <v>0</v>
      </c>
      <c r="K848" s="6" t="str">
        <f t="shared" si="135"/>
        <v>HubSpot</v>
      </c>
      <c r="L848" s="15">
        <v>204</v>
      </c>
      <c r="M848" s="15">
        <v>507</v>
      </c>
      <c r="N848" s="15">
        <v>0</v>
      </c>
      <c r="O848" s="9"/>
      <c r="P848" s="10">
        <v>43601.596250000002</v>
      </c>
      <c r="Q848" s="14" t="s">
        <v>3925</v>
      </c>
      <c r="R848" s="14" t="s">
        <v>3926</v>
      </c>
      <c r="S848" s="7" t="s">
        <v>3927</v>
      </c>
      <c r="T848" s="8"/>
      <c r="U848" s="11" t="str">
        <f>HYPERLINK("https://pbs.twimg.com/profile_images/1131153782140743682/E7pYBJkJ.png","View")</f>
        <v>View</v>
      </c>
      <c r="V848" s="8"/>
      <c r="W848" s="8"/>
      <c r="X848" s="8"/>
      <c r="Y848" s="8"/>
      <c r="Z848" s="8"/>
    </row>
    <row r="849" spans="1:26" ht="13.2">
      <c r="A849" s="13">
        <v>44250.587060185186</v>
      </c>
      <c r="B849" s="6" t="str">
        <f>HYPERLINK("https://twitter.com/mc_oleh","@mc_oleh")</f>
        <v>@mc_oleh</v>
      </c>
      <c r="C849" s="14" t="s">
        <v>3928</v>
      </c>
      <c r="D849" s="14" t="s">
        <v>3929</v>
      </c>
      <c r="E849" s="6" t="str">
        <f>HYPERLINK("https://twitter.com/mc_oleh/status/1364199672408117255","1364199672408117255")</f>
        <v>1364199672408117255</v>
      </c>
      <c r="F849" s="8"/>
      <c r="G849" s="7" t="s">
        <v>3930</v>
      </c>
      <c r="H849" s="8"/>
      <c r="I849" s="14">
        <v>6</v>
      </c>
      <c r="J849" s="14">
        <v>6</v>
      </c>
      <c r="K849" s="6" t="str">
        <f>HYPERLINK("https://mobile.twitter.com","Twitter Web App")</f>
        <v>Twitter Web App</v>
      </c>
      <c r="L849" s="15">
        <v>1094</v>
      </c>
      <c r="M849" s="15">
        <v>591</v>
      </c>
      <c r="N849" s="15">
        <v>53</v>
      </c>
      <c r="O849" s="9"/>
      <c r="P849" s="10">
        <v>41466.397881944446</v>
      </c>
      <c r="Q849" s="14" t="s">
        <v>3931</v>
      </c>
      <c r="R849" s="14" t="s">
        <v>3932</v>
      </c>
      <c r="S849" s="8"/>
      <c r="T849" s="8"/>
      <c r="U849" s="11" t="str">
        <f>HYPERLINK("https://pbs.twimg.com/profile_images/1254303190624940032/EESKBdiR.jpg","View")</f>
        <v>View</v>
      </c>
      <c r="V849" s="8"/>
      <c r="W849" s="8"/>
      <c r="X849" s="8"/>
      <c r="Y849" s="8"/>
      <c r="Z849" s="8"/>
    </row>
    <row r="850" spans="1:26" ht="13.2">
      <c r="A850" s="13">
        <v>44250.586886574078</v>
      </c>
      <c r="B850" s="6" t="str">
        <f>HYPERLINK("https://twitter.com/Zerone_India","@Zerone_India")</f>
        <v>@Zerone_India</v>
      </c>
      <c r="C850" s="14" t="s">
        <v>3933</v>
      </c>
      <c r="D850" s="14" t="s">
        <v>3934</v>
      </c>
      <c r="E850" s="6" t="str">
        <f>HYPERLINK("https://twitter.com/Zerone_India/status/1364199612475715586","1364199612475715586")</f>
        <v>1364199612475715586</v>
      </c>
      <c r="F850" s="14" t="s">
        <v>3935</v>
      </c>
      <c r="G850" s="7" t="s">
        <v>3936</v>
      </c>
      <c r="H850" s="8"/>
      <c r="I850" s="14">
        <v>2</v>
      </c>
      <c r="J850" s="14">
        <v>2</v>
      </c>
      <c r="K850" s="6" t="str">
        <f t="shared" ref="K850:K851" si="136">HYPERLINK("https://buffer.com","Buffer")</f>
        <v>Buffer</v>
      </c>
      <c r="L850" s="15">
        <v>267</v>
      </c>
      <c r="M850" s="15">
        <v>2688</v>
      </c>
      <c r="N850" s="15">
        <v>9</v>
      </c>
      <c r="O850" s="9"/>
      <c r="P850" s="10">
        <v>42824.290219907409</v>
      </c>
      <c r="Q850" s="14" t="s">
        <v>3937</v>
      </c>
      <c r="R850" s="14" t="s">
        <v>3938</v>
      </c>
      <c r="S850" s="7" t="s">
        <v>3939</v>
      </c>
      <c r="T850" s="8"/>
      <c r="U850" s="11" t="str">
        <f>HYPERLINK("https://pbs.twimg.com/profile_images/847320509792387074/nL4Hmex5.jpg","View")</f>
        <v>View</v>
      </c>
      <c r="V850" s="8"/>
      <c r="W850" s="8"/>
      <c r="X850" s="8"/>
      <c r="Y850" s="8"/>
      <c r="Z850" s="8"/>
    </row>
    <row r="851" spans="1:26" ht="13.2">
      <c r="A851" s="13">
        <v>44250.586817129632</v>
      </c>
      <c r="B851" s="6" t="str">
        <f>HYPERLINK("https://twitter.com/DivergentCIO","@DivergentCIO")</f>
        <v>@DivergentCIO</v>
      </c>
      <c r="C851" s="14" t="s">
        <v>3912</v>
      </c>
      <c r="D851" s="14" t="s">
        <v>3940</v>
      </c>
      <c r="E851" s="6" t="str">
        <f>HYPERLINK("https://twitter.com/DivergentCIO/status/1364199585921572867","1364199585921572867")</f>
        <v>1364199585921572867</v>
      </c>
      <c r="F851" s="7" t="s">
        <v>3941</v>
      </c>
      <c r="G851" s="8"/>
      <c r="H851" s="8"/>
      <c r="I851" s="14">
        <v>0</v>
      </c>
      <c r="J851" s="14">
        <v>0</v>
      </c>
      <c r="K851" s="6" t="str">
        <f t="shared" si="136"/>
        <v>Buffer</v>
      </c>
      <c r="L851" s="15">
        <v>28614</v>
      </c>
      <c r="M851" s="15">
        <v>26399</v>
      </c>
      <c r="N851" s="15">
        <v>1647</v>
      </c>
      <c r="O851" s="9"/>
      <c r="P851" s="10">
        <v>42071.947187500002</v>
      </c>
      <c r="Q851" s="14" t="s">
        <v>3915</v>
      </c>
      <c r="R851" s="14" t="s">
        <v>3916</v>
      </c>
      <c r="S851" s="7" t="s">
        <v>3917</v>
      </c>
      <c r="T851" s="8"/>
      <c r="U851" s="11" t="str">
        <f>HYPERLINK("https://pbs.twimg.com/profile_images/767507322583199745/rpfbzBzg.jpg","View")</f>
        <v>View</v>
      </c>
      <c r="V851" s="8"/>
      <c r="W851" s="8"/>
      <c r="X851" s="8"/>
      <c r="Y851" s="8"/>
      <c r="Z851" s="8"/>
    </row>
    <row r="852" spans="1:26" ht="13.2">
      <c r="A852" s="13">
        <v>44250.586377314816</v>
      </c>
      <c r="B852" s="6" t="str">
        <f>HYPERLINK("https://twitter.com/RELXHQ","@RELXHQ")</f>
        <v>@RELXHQ</v>
      </c>
      <c r="C852" s="14" t="s">
        <v>393</v>
      </c>
      <c r="D852" s="14" t="s">
        <v>3942</v>
      </c>
      <c r="E852" s="6" t="str">
        <f>HYPERLINK("https://twitter.com/RELXHQ/status/1364199427108265984","1364199427108265984")</f>
        <v>1364199427108265984</v>
      </c>
      <c r="F852" s="7" t="s">
        <v>3943</v>
      </c>
      <c r="G852" s="8"/>
      <c r="H852" s="8"/>
      <c r="I852" s="14">
        <v>0</v>
      </c>
      <c r="J852" s="14">
        <v>0</v>
      </c>
      <c r="K852" s="6" t="str">
        <f>HYPERLINK("https://fanbooster.com","Fanbooster by Traject")</f>
        <v>Fanbooster by Traject</v>
      </c>
      <c r="L852" s="15">
        <v>8905</v>
      </c>
      <c r="M852" s="15">
        <v>1344</v>
      </c>
      <c r="N852" s="15">
        <v>190</v>
      </c>
      <c r="O852" s="9"/>
      <c r="P852" s="10">
        <v>40233.643379629633</v>
      </c>
      <c r="Q852" s="14" t="s">
        <v>397</v>
      </c>
      <c r="R852" s="14" t="s">
        <v>398</v>
      </c>
      <c r="S852" s="7" t="s">
        <v>399</v>
      </c>
      <c r="T852" s="8"/>
      <c r="U852" s="11" t="str">
        <f>HYPERLINK("https://pbs.twimg.com/profile_images/1136974755893063681/JWeLW9LU.png","View")</f>
        <v>View</v>
      </c>
      <c r="V852" s="8"/>
      <c r="W852" s="8"/>
      <c r="X852" s="8"/>
      <c r="Y852" s="8"/>
      <c r="Z852" s="8"/>
    </row>
    <row r="853" spans="1:26" ht="13.2">
      <c r="A853" s="13">
        <v>44250.586180555554</v>
      </c>
      <c r="B853" s="6" t="str">
        <f>HYPERLINK("https://twitter.com/CodingPers_Bot","@CodingPers_Bot")</f>
        <v>@CodingPers_Bot</v>
      </c>
      <c r="C853" s="14" t="s">
        <v>1899</v>
      </c>
      <c r="D853" s="14" t="s">
        <v>3944</v>
      </c>
      <c r="E853" s="6" t="str">
        <f>HYPERLINK("https://twitter.com/CodingPers_Bot/status/1364199355897556996","1364199355897556996")</f>
        <v>1364199355897556996</v>
      </c>
      <c r="F853" s="7" t="s">
        <v>3945</v>
      </c>
      <c r="G853" s="8"/>
      <c r="H853" s="8"/>
      <c r="I853" s="14">
        <v>4</v>
      </c>
      <c r="J853" s="14">
        <v>1</v>
      </c>
      <c r="K853" s="8"/>
      <c r="L853" s="15">
        <v>7</v>
      </c>
      <c r="M853" s="15">
        <v>1</v>
      </c>
      <c r="N853" s="15">
        <v>0</v>
      </c>
      <c r="O853" s="9"/>
      <c r="P853" s="10">
        <v>44209.357442129629</v>
      </c>
      <c r="Q853" s="8"/>
      <c r="R853" s="14" t="s">
        <v>1902</v>
      </c>
      <c r="S853" s="7" t="s">
        <v>1903</v>
      </c>
      <c r="T853" s="8"/>
      <c r="U853" s="11" t="str">
        <f>HYPERLINK("https://pbs.twimg.com/profile_images/1354492057025449990/GKDFizO-.jpg","View")</f>
        <v>View</v>
      </c>
      <c r="V853" s="8"/>
      <c r="W853" s="8"/>
      <c r="X853" s="8"/>
      <c r="Y853" s="8"/>
      <c r="Z853" s="8"/>
    </row>
    <row r="854" spans="1:26" ht="13.2">
      <c r="A854" s="13">
        <v>44250.586168981477</v>
      </c>
      <c r="B854" s="6" t="str">
        <f>HYPERLINK("https://twitter.com/TheDIACommunity","@TheDIACommunity")</f>
        <v>@TheDIACommunity</v>
      </c>
      <c r="C854" s="14" t="s">
        <v>3946</v>
      </c>
      <c r="D854" s="14" t="s">
        <v>845</v>
      </c>
      <c r="E854" s="6" t="str">
        <f>HYPERLINK("https://twitter.com/TheDIACommunity/status/1364199352655314949","1364199352655314949")</f>
        <v>1364199352655314949</v>
      </c>
      <c r="F854" s="7" t="s">
        <v>846</v>
      </c>
      <c r="G854" s="7" t="s">
        <v>3947</v>
      </c>
      <c r="H854" s="8"/>
      <c r="I854" s="14">
        <v>1</v>
      </c>
      <c r="J854" s="14">
        <v>0</v>
      </c>
      <c r="K854" s="6" t="str">
        <f>HYPERLINK("https://app.agorapulse.com","AgoraPulse Manager")</f>
        <v>AgoraPulse Manager</v>
      </c>
      <c r="L854" s="15">
        <v>9469</v>
      </c>
      <c r="M854" s="15">
        <v>9228</v>
      </c>
      <c r="N854" s="15">
        <v>187</v>
      </c>
      <c r="O854" s="9"/>
      <c r="P854" s="10">
        <v>42326.516284722224</v>
      </c>
      <c r="Q854" s="14" t="s">
        <v>3925</v>
      </c>
      <c r="R854" s="14" t="s">
        <v>3948</v>
      </c>
      <c r="S854" s="7" t="s">
        <v>850</v>
      </c>
      <c r="T854" s="8"/>
      <c r="U854" s="11" t="str">
        <f>HYPERLINK("https://pbs.twimg.com/profile_images/1199277302762352641/6UfmF4RM.jpg","View")</f>
        <v>View</v>
      </c>
      <c r="V854" s="8"/>
      <c r="W854" s="8"/>
      <c r="X854" s="8"/>
      <c r="Y854" s="8"/>
      <c r="Z854" s="8"/>
    </row>
    <row r="855" spans="1:26" ht="13.2">
      <c r="A855" s="13">
        <v>44250.586122685185</v>
      </c>
      <c r="B855" s="6" t="str">
        <f>HYPERLINK("https://twitter.com/Davekido3","@Davekido3")</f>
        <v>@Davekido3</v>
      </c>
      <c r="C855" s="14" t="s">
        <v>3949</v>
      </c>
      <c r="D855" s="14" t="s">
        <v>3950</v>
      </c>
      <c r="E855" s="6" t="str">
        <f>HYPERLINK("https://twitter.com/Davekido3/status/1364199334376595463","1364199334376595463")</f>
        <v>1364199334376595463</v>
      </c>
      <c r="F855" s="8"/>
      <c r="G855" s="8"/>
      <c r="H855" s="8"/>
      <c r="I855" s="14">
        <v>1</v>
      </c>
      <c r="J855" s="14">
        <v>1</v>
      </c>
      <c r="K855" s="6" t="str">
        <f>HYPERLINK("https://mobile.twitter.com","Twitter Web App")</f>
        <v>Twitter Web App</v>
      </c>
      <c r="L855" s="15">
        <v>24</v>
      </c>
      <c r="M855" s="15">
        <v>207</v>
      </c>
      <c r="N855" s="15">
        <v>1</v>
      </c>
      <c r="O855" s="9"/>
      <c r="P855" s="10">
        <v>43214.452407407407</v>
      </c>
      <c r="Q855" s="14" t="s">
        <v>3951</v>
      </c>
      <c r="R855" s="14" t="s">
        <v>3952</v>
      </c>
      <c r="S855" s="7" t="s">
        <v>3953</v>
      </c>
      <c r="T855" s="8"/>
      <c r="U855" s="11" t="str">
        <f>HYPERLINK("https://pbs.twimg.com/profile_images/1352168300013379585/nDcYz1K0.jpg","View")</f>
        <v>View</v>
      </c>
      <c r="V855" s="8"/>
      <c r="W855" s="8"/>
      <c r="X855" s="8"/>
      <c r="Y855" s="8"/>
      <c r="Z855" s="8"/>
    </row>
    <row r="856" spans="1:26" ht="13.2">
      <c r="A856" s="13">
        <v>44250.586030092592</v>
      </c>
      <c r="B856" s="6" t="str">
        <f>HYPERLINK("https://twitter.com/InformationAge","@InformationAge")</f>
        <v>@InformationAge</v>
      </c>
      <c r="C856" s="14" t="s">
        <v>1887</v>
      </c>
      <c r="D856" s="14" t="s">
        <v>1888</v>
      </c>
      <c r="E856" s="6" t="str">
        <f>HYPERLINK("https://twitter.com/InformationAge/status/1364199298846633988","1364199298846633988")</f>
        <v>1364199298846633988</v>
      </c>
      <c r="F856" s="7" t="s">
        <v>746</v>
      </c>
      <c r="G856" s="7" t="s">
        <v>3749</v>
      </c>
      <c r="H856" s="8"/>
      <c r="I856" s="14">
        <v>2</v>
      </c>
      <c r="J856" s="14">
        <v>1</v>
      </c>
      <c r="K856" s="6" t="str">
        <f>HYPERLINK("https://www.hootsuite.com","Hootsuite Inc.")</f>
        <v>Hootsuite Inc.</v>
      </c>
      <c r="L856" s="15">
        <v>16633</v>
      </c>
      <c r="M856" s="15">
        <v>872</v>
      </c>
      <c r="N856" s="15">
        <v>1204</v>
      </c>
      <c r="O856" s="9"/>
      <c r="P856" s="10">
        <v>39840.772581018522</v>
      </c>
      <c r="Q856" s="14" t="s">
        <v>1890</v>
      </c>
      <c r="R856" s="14" t="s">
        <v>1891</v>
      </c>
      <c r="S856" s="7" t="s">
        <v>1892</v>
      </c>
      <c r="T856" s="8"/>
      <c r="U856" s="11" t="str">
        <f>HYPERLINK("https://pbs.twimg.com/profile_images/1011189249130057729/NerACf3J.jpg","View")</f>
        <v>View</v>
      </c>
      <c r="V856" s="8"/>
      <c r="W856" s="8"/>
      <c r="X856" s="8"/>
      <c r="Y856" s="8"/>
      <c r="Z856" s="8"/>
    </row>
    <row r="857" spans="1:26" ht="13.2">
      <c r="A857" s="13">
        <v>44250.585856481484</v>
      </c>
      <c r="B857" s="6" t="str">
        <f>HYPERLINK("https://twitter.com/sidsharma1990","@sidsharma1990")</f>
        <v>@sidsharma1990</v>
      </c>
      <c r="C857" s="14" t="s">
        <v>3954</v>
      </c>
      <c r="D857" s="14" t="s">
        <v>3955</v>
      </c>
      <c r="E857" s="6" t="str">
        <f>HYPERLINK("https://twitter.com/sidsharma1990/status/1364199239513870338","1364199239513870338")</f>
        <v>1364199239513870338</v>
      </c>
      <c r="F857" s="8"/>
      <c r="G857" s="7" t="s">
        <v>3956</v>
      </c>
      <c r="H857" s="8"/>
      <c r="I857" s="14">
        <v>0</v>
      </c>
      <c r="J857" s="14">
        <v>0</v>
      </c>
      <c r="K857" s="6" t="str">
        <f>HYPERLINK("http://twitter.com/download/android","Twitter for Android")</f>
        <v>Twitter for Android</v>
      </c>
      <c r="L857" s="15">
        <v>62</v>
      </c>
      <c r="M857" s="15">
        <v>55</v>
      </c>
      <c r="N857" s="15">
        <v>0</v>
      </c>
      <c r="O857" s="9"/>
      <c r="P857" s="10">
        <v>42492.97519675926</v>
      </c>
      <c r="Q857" s="14" t="s">
        <v>2969</v>
      </c>
      <c r="R857" s="14" t="s">
        <v>3957</v>
      </c>
      <c r="S857" s="7" t="s">
        <v>3958</v>
      </c>
      <c r="T857" s="8"/>
      <c r="U857" s="11" t="str">
        <f>HYPERLINK("https://pbs.twimg.com/profile_images/1303400032331157504/oq58qDND.jpg","View")</f>
        <v>View</v>
      </c>
      <c r="V857" s="8"/>
      <c r="W857" s="8"/>
      <c r="X857" s="8"/>
      <c r="Y857" s="8"/>
      <c r="Z857" s="8"/>
    </row>
    <row r="858" spans="1:26" ht="13.2">
      <c r="A858" s="13">
        <v>44250.585613425923</v>
      </c>
      <c r="B858" s="6" t="str">
        <f>HYPERLINK("https://twitter.com/cdaitgt","@cdaitgt")</f>
        <v>@cdaitgt</v>
      </c>
      <c r="C858" s="14" t="s">
        <v>3959</v>
      </c>
      <c r="D858" s="14" t="s">
        <v>3960</v>
      </c>
      <c r="E858" s="6" t="str">
        <f>HYPERLINK("https://twitter.com/cdaitgt/status/1364199149432881154","1364199149432881154")</f>
        <v>1364199149432881154</v>
      </c>
      <c r="F858" s="7" t="s">
        <v>3961</v>
      </c>
      <c r="G858" s="7" t="s">
        <v>3962</v>
      </c>
      <c r="H858" s="8"/>
      <c r="I858" s="14">
        <v>3</v>
      </c>
      <c r="J858" s="14">
        <v>2</v>
      </c>
      <c r="K858" s="6" t="str">
        <f>HYPERLINK("http://tapbots.com/tweetbot","Tweetbot for iΟS")</f>
        <v>Tweetbot for iΟS</v>
      </c>
      <c r="L858" s="15">
        <v>244</v>
      </c>
      <c r="M858" s="15">
        <v>633</v>
      </c>
      <c r="N858" s="15">
        <v>1</v>
      </c>
      <c r="O858" s="9"/>
      <c r="P858" s="10">
        <v>44076.944178240738</v>
      </c>
      <c r="Q858" s="8"/>
      <c r="R858" s="14" t="s">
        <v>3963</v>
      </c>
      <c r="S858" s="7" t="s">
        <v>3964</v>
      </c>
      <c r="T858" s="8"/>
      <c r="U858" s="11" t="str">
        <f>HYPERLINK("https://pbs.twimg.com/profile_images/1308102890452590601/X5g--g2Y.jpg","View")</f>
        <v>View</v>
      </c>
      <c r="V858" s="8"/>
      <c r="W858" s="8"/>
      <c r="X858" s="8"/>
      <c r="Y858" s="8"/>
      <c r="Z858" s="8"/>
    </row>
    <row r="859" spans="1:26" ht="13.2">
      <c r="A859" s="13">
        <v>44250.585150462968</v>
      </c>
      <c r="B859" s="6" t="str">
        <f>HYPERLINK("https://twitter.com/WeAreJADBio","@WeAreJADBio")</f>
        <v>@WeAreJADBio</v>
      </c>
      <c r="C859" s="14" t="s">
        <v>1912</v>
      </c>
      <c r="D859" s="14" t="s">
        <v>3965</v>
      </c>
      <c r="E859" s="6" t="str">
        <f>HYPERLINK("https://twitter.com/WeAreJADBio/status/1364198981727838211","1364198981727838211")</f>
        <v>1364198981727838211</v>
      </c>
      <c r="F859" s="7" t="s">
        <v>3966</v>
      </c>
      <c r="G859" s="7" t="s">
        <v>3967</v>
      </c>
      <c r="H859" s="8"/>
      <c r="I859" s="14">
        <v>0</v>
      </c>
      <c r="J859" s="14">
        <v>0</v>
      </c>
      <c r="K859" s="6" t="str">
        <f>HYPERLINK("https://promorepublic.com","PromoRepublic")</f>
        <v>PromoRepublic</v>
      </c>
      <c r="L859" s="15">
        <v>114</v>
      </c>
      <c r="M859" s="15">
        <v>545</v>
      </c>
      <c r="N859" s="15">
        <v>0</v>
      </c>
      <c r="O859" s="9"/>
      <c r="P859" s="10">
        <v>44018.772951388892</v>
      </c>
      <c r="Q859" s="14" t="s">
        <v>138</v>
      </c>
      <c r="R859" s="14" t="s">
        <v>1915</v>
      </c>
      <c r="S859" s="7" t="s">
        <v>1916</v>
      </c>
      <c r="T859" s="8"/>
      <c r="U859" s="11" t="str">
        <f>HYPERLINK("https://pbs.twimg.com/profile_images/1280179766964957186/pLxHxO-l.jpg","View")</f>
        <v>View</v>
      </c>
      <c r="V859" s="8"/>
      <c r="W859" s="8"/>
      <c r="X859" s="8"/>
      <c r="Y859" s="8"/>
      <c r="Z859" s="8"/>
    </row>
    <row r="860" spans="1:26" ht="13.2">
      <c r="A860" s="13">
        <v>44250.584444444445</v>
      </c>
      <c r="B860" s="6" t="str">
        <f>HYPERLINK("https://twitter.com/impetustech","@impetustech")</f>
        <v>@impetustech</v>
      </c>
      <c r="C860" s="14" t="s">
        <v>3968</v>
      </c>
      <c r="D860" s="14" t="s">
        <v>3969</v>
      </c>
      <c r="E860" s="6" t="str">
        <f>HYPERLINK("https://twitter.com/impetustech/status/1364198723908235272","1364198723908235272")</f>
        <v>1364198723908235272</v>
      </c>
      <c r="F860" s="7" t="s">
        <v>3970</v>
      </c>
      <c r="G860" s="7" t="s">
        <v>3971</v>
      </c>
      <c r="H860" s="8"/>
      <c r="I860" s="14">
        <v>1</v>
      </c>
      <c r="J860" s="14">
        <v>1</v>
      </c>
      <c r="K860" s="6" t="str">
        <f>HYPERLINK("https://www.hootsuite.com","Hootsuite Inc.")</f>
        <v>Hootsuite Inc.</v>
      </c>
      <c r="L860" s="15">
        <v>1385</v>
      </c>
      <c r="M860" s="15">
        <v>343</v>
      </c>
      <c r="N860" s="15">
        <v>240</v>
      </c>
      <c r="O860" s="9"/>
      <c r="P860" s="10">
        <v>39756.266435185185</v>
      </c>
      <c r="Q860" s="14" t="s">
        <v>3972</v>
      </c>
      <c r="R860" s="14" t="s">
        <v>3973</v>
      </c>
      <c r="S860" s="7" t="s">
        <v>3974</v>
      </c>
      <c r="T860" s="8"/>
      <c r="U860" s="11" t="str">
        <f>HYPERLINK("https://pbs.twimg.com/profile_images/1252505827463712768/VukckS0i.png","View")</f>
        <v>View</v>
      </c>
      <c r="V860" s="8"/>
      <c r="W860" s="8"/>
      <c r="X860" s="8"/>
      <c r="Y860" s="8"/>
      <c r="Z860" s="8"/>
    </row>
    <row r="861" spans="1:26" ht="13.2">
      <c r="A861" s="13">
        <v>44250.584340277783</v>
      </c>
      <c r="B861" s="6" t="str">
        <f>HYPERLINK("https://twitter.com/SuccessAnalytiX","@SuccessAnalytiX")</f>
        <v>@SuccessAnalytiX</v>
      </c>
      <c r="C861" s="14" t="s">
        <v>1149</v>
      </c>
      <c r="D861" s="14" t="s">
        <v>3975</v>
      </c>
      <c r="E861" s="6" t="str">
        <f>HYPERLINK("https://twitter.com/SuccessAnalytiX/status/1364198688747307008","1364198688747307008")</f>
        <v>1364198688747307008</v>
      </c>
      <c r="F861" s="7" t="s">
        <v>1151</v>
      </c>
      <c r="G861" s="8"/>
      <c r="H861" s="8"/>
      <c r="I861" s="14">
        <v>32</v>
      </c>
      <c r="J861" s="14">
        <v>7</v>
      </c>
      <c r="K861" s="6" t="str">
        <f>HYPERLINK("http://twitter.com/download/iphone","Twitter for iPhone")</f>
        <v>Twitter for iPhone</v>
      </c>
      <c r="L861" s="15">
        <v>2744</v>
      </c>
      <c r="M861" s="15">
        <v>2908</v>
      </c>
      <c r="N861" s="15">
        <v>11</v>
      </c>
      <c r="O861" s="9"/>
      <c r="P861" s="10">
        <v>43149.839606481481</v>
      </c>
      <c r="Q861" s="14" t="s">
        <v>1152</v>
      </c>
      <c r="R861" s="14" t="s">
        <v>1153</v>
      </c>
      <c r="S861" s="7" t="s">
        <v>1154</v>
      </c>
      <c r="T861" s="8"/>
      <c r="U861" s="11" t="str">
        <f>HYPERLINK("https://pbs.twimg.com/profile_images/1154058190545391616/pOYyXv3r.jpg","View")</f>
        <v>View</v>
      </c>
      <c r="V861" s="8"/>
      <c r="W861" s="8"/>
      <c r="X861" s="8"/>
      <c r="Y861" s="8"/>
      <c r="Z861" s="8"/>
    </row>
    <row r="862" spans="1:26" ht="13.2">
      <c r="A862" s="13">
        <v>44250.584247685183</v>
      </c>
      <c r="B862" s="6" t="str">
        <f>HYPERLINK("https://twitter.com/Qymatix","@Qymatix")</f>
        <v>@Qymatix</v>
      </c>
      <c r="C862" s="14" t="s">
        <v>3976</v>
      </c>
      <c r="D862" s="14" t="s">
        <v>3977</v>
      </c>
      <c r="E862" s="6" t="str">
        <f>HYPERLINK("https://twitter.com/Qymatix/status/1364198653540368387","1364198653540368387")</f>
        <v>1364198653540368387</v>
      </c>
      <c r="F862" s="7" t="s">
        <v>3978</v>
      </c>
      <c r="G862" s="7" t="s">
        <v>3979</v>
      </c>
      <c r="H862" s="8"/>
      <c r="I862" s="14">
        <v>1</v>
      </c>
      <c r="J862" s="14">
        <v>1</v>
      </c>
      <c r="K862" s="6" t="str">
        <f>HYPERLINK("https://www.hootsuite.com","Hootsuite Inc.")</f>
        <v>Hootsuite Inc.</v>
      </c>
      <c r="L862" s="15">
        <v>250</v>
      </c>
      <c r="M862" s="15">
        <v>86</v>
      </c>
      <c r="N862" s="15">
        <v>130</v>
      </c>
      <c r="O862" s="9"/>
      <c r="P862" s="10">
        <v>41572.442233796297</v>
      </c>
      <c r="Q862" s="14" t="s">
        <v>3980</v>
      </c>
      <c r="R862" s="14" t="s">
        <v>3981</v>
      </c>
      <c r="S862" s="7" t="s">
        <v>3982</v>
      </c>
      <c r="T862" s="8"/>
      <c r="U862" s="11" t="str">
        <f>HYPERLINK("https://pbs.twimg.com/profile_images/459221240201216002/uwDQHBdv.jpeg","View")</f>
        <v>View</v>
      </c>
      <c r="V862" s="8"/>
      <c r="W862" s="8"/>
      <c r="X862" s="8"/>
      <c r="Y862" s="8"/>
      <c r="Z862" s="8"/>
    </row>
    <row r="863" spans="1:26" ht="13.2">
      <c r="A863" s="13">
        <v>44250.583784722221</v>
      </c>
      <c r="B863" s="6" t="str">
        <f>HYPERLINK("https://twitter.com/SEND2PRESS","@SEND2PRESS")</f>
        <v>@SEND2PRESS</v>
      </c>
      <c r="C863" s="14" t="s">
        <v>3983</v>
      </c>
      <c r="D863" s="14" t="s">
        <v>3984</v>
      </c>
      <c r="E863" s="6" t="str">
        <f>HYPERLINK("https://twitter.com/SEND2PRESS/status/1364198487013814278","1364198487013814278")</f>
        <v>1364198487013814278</v>
      </c>
      <c r="F863" s="7" t="s">
        <v>3985</v>
      </c>
      <c r="G863" s="7" t="s">
        <v>3986</v>
      </c>
      <c r="H863" s="8"/>
      <c r="I863" s="14">
        <v>1</v>
      </c>
      <c r="J863" s="14">
        <v>0</v>
      </c>
      <c r="K863" s="8"/>
      <c r="L863" s="15">
        <v>902</v>
      </c>
      <c r="M863" s="15">
        <v>30</v>
      </c>
      <c r="N863" s="15">
        <v>213</v>
      </c>
      <c r="O863" s="9"/>
      <c r="P863" s="10">
        <v>39645.061550925922</v>
      </c>
      <c r="Q863" s="14" t="s">
        <v>3987</v>
      </c>
      <c r="R863" s="14" t="s">
        <v>3988</v>
      </c>
      <c r="S863" s="7" t="s">
        <v>3989</v>
      </c>
      <c r="T863" s="8"/>
      <c r="U863" s="11" t="str">
        <f>HYPERLINK("https://pbs.twimg.com/profile_images/1345130208865570816/FgCtcTsX.jpg","View")</f>
        <v>View</v>
      </c>
      <c r="V863" s="8"/>
      <c r="W863" s="8"/>
      <c r="X863" s="8"/>
      <c r="Y863" s="8"/>
      <c r="Z863" s="8"/>
    </row>
    <row r="864" spans="1:26" ht="13.2">
      <c r="A864" s="13">
        <v>44250.583622685182</v>
      </c>
      <c r="B864" s="6" t="str">
        <f>HYPERLINK("https://twitter.com/TeldatCorp","@TeldatCorp")</f>
        <v>@TeldatCorp</v>
      </c>
      <c r="C864" s="14" t="s">
        <v>3188</v>
      </c>
      <c r="D864" s="14" t="s">
        <v>3990</v>
      </c>
      <c r="E864" s="6" t="str">
        <f>HYPERLINK("https://twitter.com/TeldatCorp/status/1364198428985688065","1364198428985688065")</f>
        <v>1364198428985688065</v>
      </c>
      <c r="F864" s="7" t="s">
        <v>3991</v>
      </c>
      <c r="G864" s="7" t="s">
        <v>3992</v>
      </c>
      <c r="H864" s="8"/>
      <c r="I864" s="14">
        <v>11</v>
      </c>
      <c r="J864" s="14">
        <v>2</v>
      </c>
      <c r="K864" s="6" t="str">
        <f>HYPERLINK("https://www.hootsuite.com","Hootsuite Inc.")</f>
        <v>Hootsuite Inc.</v>
      </c>
      <c r="L864" s="15">
        <v>2037</v>
      </c>
      <c r="M864" s="15">
        <v>1491</v>
      </c>
      <c r="N864" s="15">
        <v>321</v>
      </c>
      <c r="O864" s="9"/>
      <c r="P864" s="10">
        <v>41457.489386574074</v>
      </c>
      <c r="Q864" s="14" t="s">
        <v>75</v>
      </c>
      <c r="R864" s="14" t="s">
        <v>3192</v>
      </c>
      <c r="S864" s="7" t="s">
        <v>3193</v>
      </c>
      <c r="T864" s="8"/>
      <c r="U864" s="11" t="str">
        <f>HYPERLINK("https://pbs.twimg.com/profile_images/976387744422416384/ECvPSB0l.jpg","View")</f>
        <v>View</v>
      </c>
      <c r="V864" s="8"/>
      <c r="W864" s="8"/>
      <c r="X864" s="8"/>
      <c r="Y864" s="8"/>
      <c r="Z864" s="8"/>
    </row>
    <row r="865" spans="1:26" ht="13.2">
      <c r="A865" s="13">
        <v>44250.583622685182</v>
      </c>
      <c r="B865" s="6" t="str">
        <f>HYPERLINK("https://twitter.com/kevindewalt","@kevindewalt")</f>
        <v>@kevindewalt</v>
      </c>
      <c r="C865" s="14" t="s">
        <v>3993</v>
      </c>
      <c r="D865" s="14" t="s">
        <v>3994</v>
      </c>
      <c r="E865" s="6" t="str">
        <f>HYPERLINK("https://twitter.com/kevindewalt/status/1364198427467395073","1364198427467395073")</f>
        <v>1364198427467395073</v>
      </c>
      <c r="F865" s="7" t="s">
        <v>3995</v>
      </c>
      <c r="G865" s="8"/>
      <c r="H865" s="8"/>
      <c r="I865" s="14">
        <v>0</v>
      </c>
      <c r="J865" s="14">
        <v>1</v>
      </c>
      <c r="K865" s="6" t="str">
        <f>HYPERLINK("https://mobile.twitter.com","Twitter Web App")</f>
        <v>Twitter Web App</v>
      </c>
      <c r="L865" s="15">
        <v>4271</v>
      </c>
      <c r="M865" s="15">
        <v>1654</v>
      </c>
      <c r="N865" s="15">
        <v>403</v>
      </c>
      <c r="O865" s="9"/>
      <c r="P865" s="10">
        <v>39407.55841435185</v>
      </c>
      <c r="Q865" s="14" t="s">
        <v>3996</v>
      </c>
      <c r="R865" s="14" t="s">
        <v>3997</v>
      </c>
      <c r="S865" s="7" t="s">
        <v>3998</v>
      </c>
      <c r="T865" s="8"/>
      <c r="U865" s="11" t="str">
        <f>HYPERLINK("https://pbs.twimg.com/profile_images/451331397504868352/49RvhbN4.jpeg","View")</f>
        <v>View</v>
      </c>
      <c r="V865" s="8"/>
      <c r="W865" s="8"/>
      <c r="X865" s="8"/>
      <c r="Y865" s="8"/>
      <c r="Z865" s="8"/>
    </row>
    <row r="866" spans="1:26" ht="13.2">
      <c r="A866" s="13">
        <v>44250.583587962959</v>
      </c>
      <c r="B866" s="6" t="str">
        <f>HYPERLINK("https://twitter.com/Paula_Piccard","@Paula_Piccard")</f>
        <v>@Paula_Piccard</v>
      </c>
      <c r="C866" s="14" t="s">
        <v>1116</v>
      </c>
      <c r="D866" s="14" t="s">
        <v>3999</v>
      </c>
      <c r="E866" s="6" t="str">
        <f>HYPERLINK("https://twitter.com/Paula_Piccard/status/1364198415962427394","1364198415962427394")</f>
        <v>1364198415962427394</v>
      </c>
      <c r="F866" s="7" t="s">
        <v>4000</v>
      </c>
      <c r="G866" s="7" t="s">
        <v>4001</v>
      </c>
      <c r="H866" s="8"/>
      <c r="I866" s="14">
        <v>26</v>
      </c>
      <c r="J866" s="14">
        <v>11</v>
      </c>
      <c r="K866" s="6" t="str">
        <f>HYPERLINK("https://smarterqueue.com","SmarterQueue")</f>
        <v>SmarterQueue</v>
      </c>
      <c r="L866" s="15">
        <v>61067</v>
      </c>
      <c r="M866" s="15">
        <v>9852</v>
      </c>
      <c r="N866" s="15">
        <v>1284</v>
      </c>
      <c r="O866" s="9"/>
      <c r="P866" s="10">
        <v>40665.824629629627</v>
      </c>
      <c r="Q866" s="14" t="s">
        <v>1120</v>
      </c>
      <c r="R866" s="14" t="s">
        <v>1121</v>
      </c>
      <c r="S866" s="7" t="s">
        <v>1122</v>
      </c>
      <c r="T866" s="8"/>
      <c r="U866" s="11" t="str">
        <f>HYPERLINK("https://pbs.twimg.com/profile_images/1307804375981621254/KT6ID8H9.png","View")</f>
        <v>View</v>
      </c>
      <c r="V866" s="8"/>
      <c r="W866" s="8"/>
      <c r="X866" s="8"/>
      <c r="Y866" s="8"/>
      <c r="Z866" s="8"/>
    </row>
    <row r="867" spans="1:26" ht="13.2">
      <c r="A867" s="13">
        <v>44250.583564814813</v>
      </c>
      <c r="B867" s="6" t="str">
        <f>HYPERLINK("https://twitter.com/rogerpeverelli","@rogerpeverelli")</f>
        <v>@rogerpeverelli</v>
      </c>
      <c r="C867" s="14" t="s">
        <v>4002</v>
      </c>
      <c r="D867" s="14" t="s">
        <v>845</v>
      </c>
      <c r="E867" s="6" t="str">
        <f>HYPERLINK("https://twitter.com/rogerpeverelli/status/1364198406831366146","1364198406831366146")</f>
        <v>1364198406831366146</v>
      </c>
      <c r="F867" s="7" t="s">
        <v>846</v>
      </c>
      <c r="G867" s="7" t="s">
        <v>4003</v>
      </c>
      <c r="H867" s="8"/>
      <c r="I867" s="14">
        <v>1</v>
      </c>
      <c r="J867" s="14">
        <v>0</v>
      </c>
      <c r="K867" s="6" t="str">
        <f>HYPERLINK("https://app.agorapulse.com","AgoraPulse Manager")</f>
        <v>AgoraPulse Manager</v>
      </c>
      <c r="L867" s="15">
        <v>1645</v>
      </c>
      <c r="M867" s="15">
        <v>359</v>
      </c>
      <c r="N867" s="15">
        <v>145</v>
      </c>
      <c r="O867" s="9"/>
      <c r="P867" s="10">
        <v>40852.53197916667</v>
      </c>
      <c r="Q867" s="14" t="s">
        <v>1141</v>
      </c>
      <c r="R867" s="14" t="s">
        <v>4004</v>
      </c>
      <c r="S867" s="7" t="s">
        <v>4005</v>
      </c>
      <c r="T867" s="8"/>
      <c r="U867" s="11" t="str">
        <f>HYPERLINK("https://pbs.twimg.com/profile_images/1623563837/roger_peverelli.JPG","View")</f>
        <v>View</v>
      </c>
      <c r="V867" s="8"/>
      <c r="W867" s="8"/>
      <c r="X867" s="8"/>
      <c r="Y867" s="8"/>
      <c r="Z867" s="8"/>
    </row>
    <row r="868" spans="1:26" ht="13.2">
      <c r="A868" s="13">
        <v>44250.583483796298</v>
      </c>
      <c r="B868" s="6" t="str">
        <f>HYPERLINK("https://twitter.com/MachineCurve","@MachineCurve")</f>
        <v>@MachineCurve</v>
      </c>
      <c r="C868" s="7" t="s">
        <v>4006</v>
      </c>
      <c r="D868" s="14" t="s">
        <v>4007</v>
      </c>
      <c r="E868" s="6" t="str">
        <f>HYPERLINK("https://twitter.com/MachineCurve/status/1364198376045223937","1364198376045223937")</f>
        <v>1364198376045223937</v>
      </c>
      <c r="F868" s="7" t="s">
        <v>4008</v>
      </c>
      <c r="G868" s="8"/>
      <c r="H868" s="8"/>
      <c r="I868" s="14">
        <v>33</v>
      </c>
      <c r="J868" s="14">
        <v>17</v>
      </c>
      <c r="K868" s="6" t="str">
        <f>HYPERLINK("https://buffer.com","Buffer")</f>
        <v>Buffer</v>
      </c>
      <c r="L868" s="15">
        <v>992</v>
      </c>
      <c r="M868" s="15">
        <v>1612</v>
      </c>
      <c r="N868" s="15">
        <v>7</v>
      </c>
      <c r="O868" s="9"/>
      <c r="P868" s="10">
        <v>43621.500289351854</v>
      </c>
      <c r="Q868" s="14" t="s">
        <v>4009</v>
      </c>
      <c r="R868" s="14" t="s">
        <v>4010</v>
      </c>
      <c r="S868" s="7" t="s">
        <v>4011</v>
      </c>
      <c r="T868" s="8"/>
      <c r="U868" s="11" t="str">
        <f>HYPERLINK("https://pbs.twimg.com/profile_images/1166405950418444288/d0u_-NSl.jpg","View")</f>
        <v>View</v>
      </c>
      <c r="V868" s="8"/>
      <c r="W868" s="8"/>
      <c r="X868" s="8"/>
      <c r="Y868" s="8"/>
      <c r="Z868" s="8"/>
    </row>
    <row r="869" spans="1:26" ht="13.2">
      <c r="A869" s="13">
        <v>44250.583472222221</v>
      </c>
      <c r="B869" s="6" t="str">
        <f>HYPERLINK("https://twitter.com/ipfconline1","@ipfconline1")</f>
        <v>@ipfconline1</v>
      </c>
      <c r="C869" s="14" t="s">
        <v>65</v>
      </c>
      <c r="D869" s="14" t="s">
        <v>4012</v>
      </c>
      <c r="E869" s="6" t="str">
        <f>HYPERLINK("https://twitter.com/ipfconline1/status/1364198374853943298","1364198374853943298")</f>
        <v>1364198374853943298</v>
      </c>
      <c r="F869" s="7" t="s">
        <v>4013</v>
      </c>
      <c r="G869" s="7" t="s">
        <v>4014</v>
      </c>
      <c r="H869" s="8"/>
      <c r="I869" s="14">
        <v>15</v>
      </c>
      <c r="J869" s="14">
        <v>12</v>
      </c>
      <c r="K869" s="6" t="str">
        <f>HYPERLINK("https://twittimer.com","Twittimer")</f>
        <v>Twittimer</v>
      </c>
      <c r="L869" s="15">
        <v>112675</v>
      </c>
      <c r="M869" s="15">
        <v>107162</v>
      </c>
      <c r="N869" s="15">
        <v>7806</v>
      </c>
      <c r="O869" s="9"/>
      <c r="P869" s="10">
        <v>42433.031967592593</v>
      </c>
      <c r="Q869" s="14" t="s">
        <v>69</v>
      </c>
      <c r="R869" s="14" t="s">
        <v>70</v>
      </c>
      <c r="S869" s="7" t="s">
        <v>71</v>
      </c>
      <c r="T869" s="8"/>
      <c r="U869" s="11" t="str">
        <f>HYPERLINK("https://pbs.twimg.com/profile_images/729065804004769793/St2_Pum9.jpg","View")</f>
        <v>View</v>
      </c>
      <c r="V869" s="8"/>
      <c r="W869" s="8"/>
      <c r="X869" s="8"/>
      <c r="Y869" s="8"/>
      <c r="Z869" s="8"/>
    </row>
    <row r="870" spans="1:26" ht="13.2">
      <c r="A870" s="13">
        <v>44250.583460648151</v>
      </c>
      <c r="B870" s="6" t="str">
        <f>HYPERLINK("https://twitter.com/HaroldSinnott","@HaroldSinnott")</f>
        <v>@HaroldSinnott</v>
      </c>
      <c r="C870" s="14" t="s">
        <v>4015</v>
      </c>
      <c r="D870" s="14" t="s">
        <v>4016</v>
      </c>
      <c r="E870" s="6" t="str">
        <f>HYPERLINK("https://twitter.com/HaroldSinnott/status/1364198367887245313","1364198367887245313")</f>
        <v>1364198367887245313</v>
      </c>
      <c r="F870" s="7" t="s">
        <v>4017</v>
      </c>
      <c r="G870" s="7" t="s">
        <v>4018</v>
      </c>
      <c r="H870" s="8"/>
      <c r="I870" s="14">
        <v>20</v>
      </c>
      <c r="J870" s="14">
        <v>16</v>
      </c>
      <c r="K870" s="6" t="str">
        <f>HYPERLINK("https://crowdfireapp.com","Crowdfire App")</f>
        <v>Crowdfire App</v>
      </c>
      <c r="L870" s="15">
        <v>76726</v>
      </c>
      <c r="M870" s="15">
        <v>46267</v>
      </c>
      <c r="N870" s="15">
        <v>2484</v>
      </c>
      <c r="O870" s="9"/>
      <c r="P870" s="10">
        <v>40465.568553240737</v>
      </c>
      <c r="Q870" s="14" t="s">
        <v>2904</v>
      </c>
      <c r="R870" s="14" t="s">
        <v>4019</v>
      </c>
      <c r="S870" s="7" t="s">
        <v>4020</v>
      </c>
      <c r="T870" s="8"/>
      <c r="U870" s="11" t="str">
        <f>HYPERLINK("https://pbs.twimg.com/profile_images/1214348334841901056/QSdqkzO-.jpg","View")</f>
        <v>View</v>
      </c>
      <c r="V870" s="8"/>
      <c r="W870" s="8"/>
      <c r="X870" s="8"/>
      <c r="Y870" s="8"/>
      <c r="Z870" s="8"/>
    </row>
    <row r="871" spans="1:26" ht="13.2">
      <c r="A871" s="13">
        <v>44250.583437499998</v>
      </c>
      <c r="B871" s="6" t="str">
        <f>HYPERLINK("https://twitter.com/themlguru","@themlguru")</f>
        <v>@themlguru</v>
      </c>
      <c r="C871" s="14" t="s">
        <v>362</v>
      </c>
      <c r="D871" s="14" t="s">
        <v>4021</v>
      </c>
      <c r="E871" s="6" t="str">
        <f>HYPERLINK("https://twitter.com/themlguru/status/1364198362342453248","1364198362342453248")</f>
        <v>1364198362342453248</v>
      </c>
      <c r="F871" s="8"/>
      <c r="G871" s="8"/>
      <c r="H871" s="8"/>
      <c r="I871" s="14">
        <v>0</v>
      </c>
      <c r="J871" s="14">
        <v>0</v>
      </c>
      <c r="K871" s="6" t="str">
        <f>HYPERLINK("https://twittimer.com","Twittimer")</f>
        <v>Twittimer</v>
      </c>
      <c r="L871" s="15">
        <v>10</v>
      </c>
      <c r="M871" s="15">
        <v>33</v>
      </c>
      <c r="N871" s="15">
        <v>0</v>
      </c>
      <c r="O871" s="9"/>
      <c r="P871" s="10">
        <v>44242.188148148147</v>
      </c>
      <c r="Q871" s="14" t="s">
        <v>364</v>
      </c>
      <c r="R871" s="8"/>
      <c r="S871" s="8"/>
      <c r="T871" s="8"/>
      <c r="U871" s="11" t="str">
        <f>HYPERLINK("https://pbs.twimg.com/profile_images/1361967087623700484/-6UQQ_sZ.jpg","View")</f>
        <v>View</v>
      </c>
      <c r="V871" s="8"/>
      <c r="W871" s="8"/>
      <c r="X871" s="8"/>
      <c r="Y871" s="8"/>
      <c r="Z871" s="8"/>
    </row>
    <row r="872" spans="1:26" ht="13.2">
      <c r="A872" s="13">
        <v>44250.583379629628</v>
      </c>
      <c r="B872" s="6" t="str">
        <f>HYPERLINK("https://twitter.com/go3cloud","@go3cloud")</f>
        <v>@go3cloud</v>
      </c>
      <c r="C872" s="14" t="s">
        <v>4022</v>
      </c>
      <c r="D872" s="14" t="s">
        <v>4023</v>
      </c>
      <c r="E872" s="6" t="str">
        <f>HYPERLINK("https://twitter.com/go3cloud/status/1364198341375123459","1364198341375123459")</f>
        <v>1364198341375123459</v>
      </c>
      <c r="F872" s="7" t="s">
        <v>4024</v>
      </c>
      <c r="G872" s="8"/>
      <c r="H872" s="8"/>
      <c r="I872" s="14">
        <v>1</v>
      </c>
      <c r="J872" s="14">
        <v>1</v>
      </c>
      <c r="K872" s="6" t="str">
        <f>HYPERLINK("http://www.hubspot.com/","HubSpot")</f>
        <v>HubSpot</v>
      </c>
      <c r="L872" s="15">
        <v>78</v>
      </c>
      <c r="M872" s="15">
        <v>90</v>
      </c>
      <c r="N872" s="15">
        <v>0</v>
      </c>
      <c r="O872" s="9"/>
      <c r="P872" s="10">
        <v>42951.796921296293</v>
      </c>
      <c r="Q872" s="14" t="s">
        <v>4025</v>
      </c>
      <c r="R872" s="14" t="s">
        <v>4026</v>
      </c>
      <c r="S872" s="7" t="s">
        <v>4027</v>
      </c>
      <c r="T872" s="8"/>
      <c r="U872" s="11" t="str">
        <f>HYPERLINK("https://pbs.twimg.com/profile_images/1309603722021015552/B_8A3INg.png","View")</f>
        <v>View</v>
      </c>
      <c r="V872" s="8"/>
      <c r="W872" s="8"/>
      <c r="X872" s="8"/>
      <c r="Y872" s="8"/>
      <c r="Z872" s="8"/>
    </row>
    <row r="873" spans="1:26" ht="13.2">
      <c r="A873" s="13">
        <v>44250.583356481482</v>
      </c>
      <c r="B873" s="6" t="str">
        <f>HYPERLINK("https://twitter.com/LaForge_AI","@LaForge_AI")</f>
        <v>@LaForge_AI</v>
      </c>
      <c r="C873" s="14" t="s">
        <v>102</v>
      </c>
      <c r="D873" s="14" t="s">
        <v>4028</v>
      </c>
      <c r="E873" s="6" t="str">
        <f>HYPERLINK("https://twitter.com/LaForge_AI/status/1364198332873269249","1364198332873269249")</f>
        <v>1364198332873269249</v>
      </c>
      <c r="F873" s="7" t="s">
        <v>4029</v>
      </c>
      <c r="G873" s="7" t="s">
        <v>4030</v>
      </c>
      <c r="H873" s="8"/>
      <c r="I873" s="14">
        <v>9</v>
      </c>
      <c r="J873" s="14">
        <v>7</v>
      </c>
      <c r="K873" s="6" t="str">
        <f>HYPERLINK("https://www.la-forge.ai","Rss2Twitter for La Forge")</f>
        <v>Rss2Twitter for La Forge</v>
      </c>
      <c r="L873" s="15">
        <v>9854</v>
      </c>
      <c r="M873" s="15">
        <v>10507</v>
      </c>
      <c r="N873" s="15">
        <v>126</v>
      </c>
      <c r="O873" s="9"/>
      <c r="P873" s="10">
        <v>43660.755891203706</v>
      </c>
      <c r="Q873" s="14" t="s">
        <v>106</v>
      </c>
      <c r="R873" s="14" t="s">
        <v>107</v>
      </c>
      <c r="S873" s="7" t="s">
        <v>108</v>
      </c>
      <c r="T873" s="8"/>
      <c r="U873" s="11" t="str">
        <f>HYPERLINK("https://pbs.twimg.com/profile_images/1261961910020423681/fC-WUmbt.jpg","View")</f>
        <v>View</v>
      </c>
      <c r="V873" s="8"/>
      <c r="W873" s="8"/>
      <c r="X873" s="8"/>
      <c r="Y873" s="8"/>
      <c r="Z873" s="8"/>
    </row>
    <row r="874" spans="1:26" ht="13.2">
      <c r="A874" s="13">
        <v>44250.583356481482</v>
      </c>
      <c r="B874" s="6" t="str">
        <f>HYPERLINK("https://twitter.com/reddit_ml","@reddit_ml")</f>
        <v>@reddit_ml</v>
      </c>
      <c r="C874" s="14" t="s">
        <v>2744</v>
      </c>
      <c r="D874" s="14" t="s">
        <v>4031</v>
      </c>
      <c r="E874" s="6" t="str">
        <f>HYPERLINK("https://twitter.com/reddit_ml/status/1364198332730589186","1364198332730589186")</f>
        <v>1364198332730589186</v>
      </c>
      <c r="F874" s="7" t="s">
        <v>2943</v>
      </c>
      <c r="G874" s="8"/>
      <c r="H874" s="8"/>
      <c r="I874" s="14">
        <v>0</v>
      </c>
      <c r="J874" s="14">
        <v>0</v>
      </c>
      <c r="K874" s="6" t="str">
        <f>HYPERLINK("https://www.reddit.com/r/MachineLearning/","reddit-ml-bot")</f>
        <v>reddit-ml-bot</v>
      </c>
      <c r="L874" s="15">
        <v>411</v>
      </c>
      <c r="M874" s="15">
        <v>93</v>
      </c>
      <c r="N874" s="15">
        <v>35</v>
      </c>
      <c r="O874" s="9"/>
      <c r="P874" s="10">
        <v>42527.844641203701</v>
      </c>
      <c r="Q874" s="8"/>
      <c r="R874" s="8"/>
      <c r="S874" s="7" t="s">
        <v>2746</v>
      </c>
      <c r="T874" s="8"/>
      <c r="U874" s="11" t="str">
        <f>HYPERLINK("https://pbs.twimg.com/profile_images/739887457206996992/9NUmKQvu.jpg","View")</f>
        <v>View</v>
      </c>
      <c r="V874" s="8"/>
      <c r="W874" s="8"/>
      <c r="X874" s="8"/>
      <c r="Y874" s="8"/>
      <c r="Z874" s="8"/>
    </row>
    <row r="875" spans="1:26" ht="13.2">
      <c r="A875" s="13">
        <v>44250.583356481482</v>
      </c>
      <c r="B875" s="6" t="str">
        <f>HYPERLINK("https://twitter.com/Johan_JHP","@Johan_JHP")</f>
        <v>@Johan_JHP</v>
      </c>
      <c r="C875" s="14" t="s">
        <v>4032</v>
      </c>
      <c r="D875" s="14" t="s">
        <v>4033</v>
      </c>
      <c r="E875" s="6" t="str">
        <f>HYPERLINK("https://twitter.com/Johan_JHP/status/1364198330465722369","1364198330465722369")</f>
        <v>1364198330465722369</v>
      </c>
      <c r="F875" s="7" t="s">
        <v>4034</v>
      </c>
      <c r="G875" s="8"/>
      <c r="H875" s="8"/>
      <c r="I875" s="14">
        <v>0</v>
      </c>
      <c r="J875" s="14">
        <v>0</v>
      </c>
      <c r="K875" s="6" t="str">
        <f>HYPERLINK("https://www.grapevine6.com","Grapevine6")</f>
        <v>Grapevine6</v>
      </c>
      <c r="L875" s="15">
        <v>105</v>
      </c>
      <c r="M875" s="15">
        <v>243</v>
      </c>
      <c r="N875" s="15">
        <v>0</v>
      </c>
      <c r="O875" s="9"/>
      <c r="P875" s="10">
        <v>43462.740960648152</v>
      </c>
      <c r="Q875" s="14" t="s">
        <v>4035</v>
      </c>
      <c r="R875" s="14" t="s">
        <v>4036</v>
      </c>
      <c r="S875" s="8"/>
      <c r="T875" s="8"/>
      <c r="U875" s="11" t="str">
        <f>HYPERLINK("https://pbs.twimg.com/profile_images/1082331026796568576/6ZxucDAn.jpg","View")</f>
        <v>View</v>
      </c>
      <c r="V875" s="8"/>
      <c r="W875" s="8"/>
      <c r="X875" s="8"/>
      <c r="Y875" s="8"/>
      <c r="Z875" s="8"/>
    </row>
    <row r="876" spans="1:26" ht="13.2">
      <c r="A876" s="13">
        <v>44250.583356481482</v>
      </c>
      <c r="B876" s="6" t="str">
        <f>HYPERLINK("https://twitter.com/LanaLabs","@LanaLabs")</f>
        <v>@LanaLabs</v>
      </c>
      <c r="C876" s="14" t="s">
        <v>4037</v>
      </c>
      <c r="D876" s="14" t="s">
        <v>4038</v>
      </c>
      <c r="E876" s="6" t="str">
        <f>HYPERLINK("https://twitter.com/LanaLabs/status/1364198330423779328","1364198330423779328")</f>
        <v>1364198330423779328</v>
      </c>
      <c r="F876" s="7" t="s">
        <v>4039</v>
      </c>
      <c r="G876" s="7" t="s">
        <v>4040</v>
      </c>
      <c r="H876" s="8"/>
      <c r="I876" s="14">
        <v>1</v>
      </c>
      <c r="J876" s="14">
        <v>1</v>
      </c>
      <c r="K876" s="6" t="str">
        <f>HYPERLINK("https://mobile.twitter.com","Twitter Web App")</f>
        <v>Twitter Web App</v>
      </c>
      <c r="L876" s="15">
        <v>393</v>
      </c>
      <c r="M876" s="15">
        <v>161</v>
      </c>
      <c r="N876" s="15">
        <v>26</v>
      </c>
      <c r="O876" s="9"/>
      <c r="P876" s="10">
        <v>42499.556990740741</v>
      </c>
      <c r="Q876" s="14" t="s">
        <v>3443</v>
      </c>
      <c r="R876" s="14" t="s">
        <v>4041</v>
      </c>
      <c r="S876" s="7" t="s">
        <v>4042</v>
      </c>
      <c r="T876" s="8"/>
      <c r="U876" s="11" t="str">
        <f>HYPERLINK("https://pbs.twimg.com/profile_images/1190156862328639490/9ZsBAWdb.jpg","View")</f>
        <v>View</v>
      </c>
      <c r="V876" s="8"/>
      <c r="W876" s="8"/>
      <c r="X876" s="8"/>
      <c r="Y876" s="8"/>
      <c r="Z876" s="8"/>
    </row>
    <row r="877" spans="1:26" ht="13.2">
      <c r="A877" s="13">
        <v>44250.583333333328</v>
      </c>
      <c r="B877" s="6" t="str">
        <f>HYPERLINK("https://twitter.com/ObjectiveFS","@ObjectiveFS")</f>
        <v>@ObjectiveFS</v>
      </c>
      <c r="C877" s="14" t="s">
        <v>4043</v>
      </c>
      <c r="D877" s="14" t="s">
        <v>4044</v>
      </c>
      <c r="E877" s="6" t="str">
        <f>HYPERLINK("https://twitter.com/ObjectiveFS/status/1364198324551774208","1364198324551774208")</f>
        <v>1364198324551774208</v>
      </c>
      <c r="F877" s="8"/>
      <c r="G877" s="8"/>
      <c r="H877" s="8"/>
      <c r="I877" s="14">
        <v>3</v>
      </c>
      <c r="J877" s="14">
        <v>1</v>
      </c>
      <c r="K877" s="6" t="str">
        <f>HYPERLINK("https://buffer.com","Buffer")</f>
        <v>Buffer</v>
      </c>
      <c r="L877" s="15">
        <v>424</v>
      </c>
      <c r="M877" s="15">
        <v>365</v>
      </c>
      <c r="N877" s="15">
        <v>33</v>
      </c>
      <c r="O877" s="9"/>
      <c r="P877" s="10">
        <v>41054.25304398148</v>
      </c>
      <c r="Q877" s="14" t="s">
        <v>4045</v>
      </c>
      <c r="R877" s="14" t="s">
        <v>4046</v>
      </c>
      <c r="S877" s="8"/>
      <c r="T877" s="8"/>
      <c r="U877" s="11" t="str">
        <f>HYPERLINK("https://pbs.twimg.com/profile_images/412117044444667904/s8s5rLra.png","View")</f>
        <v>View</v>
      </c>
      <c r="V877" s="8"/>
      <c r="W877" s="8"/>
      <c r="X877" s="8"/>
      <c r="Y877" s="8"/>
      <c r="Z877" s="8"/>
    </row>
    <row r="878" spans="1:26" ht="13.2">
      <c r="A878" s="13">
        <v>44250.583333333328</v>
      </c>
      <c r="B878" s="6" t="str">
        <f>HYPERLINK("https://twitter.com/JCIM_ACS","@JCIM_ACS")</f>
        <v>@JCIM_ACS</v>
      </c>
      <c r="C878" s="14" t="s">
        <v>4047</v>
      </c>
      <c r="D878" s="14" t="s">
        <v>4048</v>
      </c>
      <c r="E878" s="6" t="str">
        <f>HYPERLINK("https://twitter.com/JCIM_ACS/status/1364198324274946054","1364198324274946054")</f>
        <v>1364198324274946054</v>
      </c>
      <c r="F878" s="7" t="s">
        <v>4049</v>
      </c>
      <c r="G878" s="7" t="s">
        <v>4050</v>
      </c>
      <c r="H878" s="8"/>
      <c r="I878" s="14">
        <v>0</v>
      </c>
      <c r="J878" s="14">
        <v>8</v>
      </c>
      <c r="K878" s="6" t="str">
        <f>HYPERLINK("https://about.twitter.com/products/tweetdeck","TweetDeck")</f>
        <v>TweetDeck</v>
      </c>
      <c r="L878" s="15">
        <v>3781</v>
      </c>
      <c r="M878" s="15">
        <v>689</v>
      </c>
      <c r="N878" s="15">
        <v>75</v>
      </c>
      <c r="O878" s="9"/>
      <c r="P878" s="10">
        <v>42048.780335648145</v>
      </c>
      <c r="Q878" s="14" t="s">
        <v>191</v>
      </c>
      <c r="R878" s="14" t="s">
        <v>4051</v>
      </c>
      <c r="S878" s="7" t="s">
        <v>4052</v>
      </c>
      <c r="T878" s="8"/>
      <c r="U878" s="11" t="str">
        <f>HYPERLINK("https://pbs.twimg.com/profile_images/973949976035364866/h5_brcaR.jpg","View")</f>
        <v>View</v>
      </c>
      <c r="V878" s="8"/>
      <c r="W878" s="8"/>
      <c r="X878" s="8"/>
      <c r="Y878" s="8"/>
      <c r="Z878" s="8"/>
    </row>
    <row r="879" spans="1:26" ht="13.2">
      <c r="A879" s="13">
        <v>44250.582500000004</v>
      </c>
      <c r="B879" s="6" t="str">
        <f>HYPERLINK("https://twitter.com/DoloresRomeroM","@DoloresRomeroM")</f>
        <v>@DoloresRomeroM</v>
      </c>
      <c r="C879" s="14" t="s">
        <v>4053</v>
      </c>
      <c r="D879" s="14" t="s">
        <v>4054</v>
      </c>
      <c r="E879" s="6" t="str">
        <f>HYPERLINK("https://twitter.com/DoloresRomeroM/status/1364198021047717893","1364198021047717893")</f>
        <v>1364198021047717893</v>
      </c>
      <c r="F879" s="7" t="s">
        <v>4055</v>
      </c>
      <c r="G879" s="7" t="s">
        <v>4056</v>
      </c>
      <c r="H879" s="8"/>
      <c r="I879" s="14">
        <v>0</v>
      </c>
      <c r="J879" s="14">
        <v>11</v>
      </c>
      <c r="K879" s="6" t="str">
        <f>HYPERLINK("http://twitter.com/download/iphone","Twitter for iPhone")</f>
        <v>Twitter for iPhone</v>
      </c>
      <c r="L879" s="15">
        <v>959</v>
      </c>
      <c r="M879" s="15">
        <v>850</v>
      </c>
      <c r="N879" s="15">
        <v>6</v>
      </c>
      <c r="O879" s="9"/>
      <c r="P879" s="10">
        <v>43452.404953703706</v>
      </c>
      <c r="Q879" s="14" t="s">
        <v>4057</v>
      </c>
      <c r="R879" s="14" t="s">
        <v>4058</v>
      </c>
      <c r="S879" s="7" t="s">
        <v>4059</v>
      </c>
      <c r="T879" s="8"/>
      <c r="U879" s="11" t="str">
        <f>HYPERLINK("https://pbs.twimg.com/profile_images/1190360193550426113/sw4YGjgJ.jpg","View")</f>
        <v>View</v>
      </c>
      <c r="V879" s="8"/>
      <c r="W879" s="8"/>
      <c r="X879" s="8"/>
      <c r="Y879" s="8"/>
      <c r="Z879" s="8"/>
    </row>
    <row r="880" spans="1:26" ht="13.2">
      <c r="A880" s="13">
        <v>44250.58221064815</v>
      </c>
      <c r="B880" s="6" t="str">
        <f>HYPERLINK("https://twitter.com/evolvous","@evolvous")</f>
        <v>@evolvous</v>
      </c>
      <c r="C880" s="14" t="s">
        <v>4060</v>
      </c>
      <c r="D880" s="14" t="s">
        <v>4061</v>
      </c>
      <c r="E880" s="6" t="str">
        <f>HYPERLINK("https://twitter.com/evolvous/status/1364197915753865219","1364197915753865219")</f>
        <v>1364197915753865219</v>
      </c>
      <c r="F880" s="8"/>
      <c r="G880" s="7" t="s">
        <v>4062</v>
      </c>
      <c r="H880" s="8"/>
      <c r="I880" s="14">
        <v>0</v>
      </c>
      <c r="J880" s="14">
        <v>0</v>
      </c>
      <c r="K880" s="6" t="str">
        <f>HYPERLINK("http://www.mailchimp.com","Mailchimp")</f>
        <v>Mailchimp</v>
      </c>
      <c r="L880" s="15">
        <v>23</v>
      </c>
      <c r="M880" s="15">
        <v>137</v>
      </c>
      <c r="N880" s="15">
        <v>0</v>
      </c>
      <c r="O880" s="9"/>
      <c r="P880" s="10">
        <v>43555.919282407413</v>
      </c>
      <c r="Q880" s="14" t="s">
        <v>4063</v>
      </c>
      <c r="R880" s="14" t="s">
        <v>4064</v>
      </c>
      <c r="S880" s="7" t="s">
        <v>4065</v>
      </c>
      <c r="T880" s="8"/>
      <c r="U880" s="11" t="str">
        <f>HYPERLINK("https://pbs.twimg.com/profile_images/1112445958078394368/JBsdU-wV.png","View")</f>
        <v>View</v>
      </c>
      <c r="V880" s="8"/>
      <c r="W880" s="8"/>
      <c r="X880" s="8"/>
      <c r="Y880" s="8"/>
      <c r="Z880" s="8"/>
    </row>
    <row r="881" spans="1:26" ht="13.2">
      <c r="A881" s="13">
        <v>44250.581956018519</v>
      </c>
      <c r="B881" s="6" t="str">
        <f>HYPERLINK("https://twitter.com/Eli_Krumova","@Eli_Krumova")</f>
        <v>@Eli_Krumova</v>
      </c>
      <c r="C881" s="14" t="s">
        <v>947</v>
      </c>
      <c r="D881" s="14" t="s">
        <v>4066</v>
      </c>
      <c r="E881" s="6" t="str">
        <f>HYPERLINK("https://twitter.com/Eli_Krumova/status/1364197824045359111","1364197824045359111")</f>
        <v>1364197824045359111</v>
      </c>
      <c r="F881" s="14" t="s">
        <v>4067</v>
      </c>
      <c r="G881" s="14" t="s">
        <v>4068</v>
      </c>
      <c r="H881" s="8"/>
      <c r="I881" s="14">
        <v>6</v>
      </c>
      <c r="J881" s="14">
        <v>1</v>
      </c>
      <c r="K881" s="6" t="str">
        <f>HYPERLINK("https://mobile.twitter.com","Twitter Web App")</f>
        <v>Twitter Web App</v>
      </c>
      <c r="L881" s="15">
        <v>4471</v>
      </c>
      <c r="M881" s="15">
        <v>5001</v>
      </c>
      <c r="N881" s="15">
        <v>79</v>
      </c>
      <c r="O881" s="9"/>
      <c r="P881" s="10">
        <v>41346.597002314811</v>
      </c>
      <c r="Q881" s="14" t="s">
        <v>951</v>
      </c>
      <c r="R881" s="14" t="s">
        <v>952</v>
      </c>
      <c r="S881" s="8"/>
      <c r="T881" s="8"/>
      <c r="U881" s="11" t="str">
        <f>HYPERLINK("https://pbs.twimg.com/profile_images/1361638888427683840/HqNlplM_.jpg","View")</f>
        <v>View</v>
      </c>
      <c r="V881" s="8"/>
      <c r="W881" s="8"/>
      <c r="X881" s="8"/>
      <c r="Y881" s="8"/>
      <c r="Z881" s="8"/>
    </row>
    <row r="882" spans="1:26" ht="13.2">
      <c r="A882" s="13">
        <v>44250.581446759257</v>
      </c>
      <c r="B882" s="6" t="str">
        <f>HYPERLINK("https://twitter.com/RealRavi__","@RealRavi__")</f>
        <v>@RealRavi__</v>
      </c>
      <c r="C882" s="14" t="s">
        <v>4069</v>
      </c>
      <c r="D882" s="14" t="s">
        <v>4070</v>
      </c>
      <c r="E882" s="6" t="str">
        <f>HYPERLINK("https://twitter.com/RealRavi__/status/1364197641001852935","1364197641001852935")</f>
        <v>1364197641001852935</v>
      </c>
      <c r="F882" s="7" t="s">
        <v>4071</v>
      </c>
      <c r="G882" s="8"/>
      <c r="H882" s="8"/>
      <c r="I882" s="14">
        <v>4</v>
      </c>
      <c r="J882" s="14">
        <v>1</v>
      </c>
      <c r="K882" s="6" t="str">
        <f>HYPERLINK("http://twitter.com/download/android","Twitter for Android")</f>
        <v>Twitter for Android</v>
      </c>
      <c r="L882" s="15">
        <v>1121</v>
      </c>
      <c r="M882" s="15">
        <v>963</v>
      </c>
      <c r="N882" s="15">
        <v>13</v>
      </c>
      <c r="O882" s="9"/>
      <c r="P882" s="10">
        <v>40201.71402777778</v>
      </c>
      <c r="Q882" s="14" t="s">
        <v>4057</v>
      </c>
      <c r="R882" s="14" t="s">
        <v>4072</v>
      </c>
      <c r="S882" s="8"/>
      <c r="T882" s="8"/>
      <c r="U882" s="11" t="str">
        <f>HYPERLINK("https://pbs.twimg.com/profile_images/1332063458284670976/BAIIIW0Q.jpg","View")</f>
        <v>View</v>
      </c>
      <c r="V882" s="8"/>
      <c r="W882" s="8"/>
      <c r="X882" s="8"/>
      <c r="Y882" s="8"/>
      <c r="Z882" s="8"/>
    </row>
    <row r="883" spans="1:26" ht="13.2">
      <c r="A883" s="13">
        <v>44250.581331018519</v>
      </c>
      <c r="B883" s="6" t="str">
        <f>HYPERLINK("https://twitter.com/Necio_news","@Necio_news")</f>
        <v>@Necio_news</v>
      </c>
      <c r="C883" s="14" t="s">
        <v>4073</v>
      </c>
      <c r="D883" s="14" t="s">
        <v>3165</v>
      </c>
      <c r="E883" s="6" t="str">
        <f>HYPERLINK("https://twitter.com/Necio_news/status/1364197599109124097","1364197599109124097")</f>
        <v>1364197599109124097</v>
      </c>
      <c r="F883" s="7" t="s">
        <v>3166</v>
      </c>
      <c r="G883" s="8"/>
      <c r="H883" s="8"/>
      <c r="I883" s="14">
        <v>2</v>
      </c>
      <c r="J883" s="14">
        <v>0</v>
      </c>
      <c r="K883" s="6" t="str">
        <f>HYPERLINK("http://twinybots.com","TwinyBots")</f>
        <v>TwinyBots</v>
      </c>
      <c r="L883" s="15">
        <v>10032</v>
      </c>
      <c r="M883" s="15">
        <v>3391</v>
      </c>
      <c r="N883" s="15">
        <v>1115</v>
      </c>
      <c r="O883" s="9"/>
      <c r="P883" s="10">
        <v>42430.515879629631</v>
      </c>
      <c r="Q883" s="14" t="s">
        <v>4074</v>
      </c>
      <c r="R883" s="14" t="s">
        <v>4075</v>
      </c>
      <c r="S883" s="7" t="s">
        <v>4076</v>
      </c>
      <c r="T883" s="8"/>
      <c r="U883" s="11" t="str">
        <f>HYPERLINK("https://pbs.twimg.com/profile_images/756504133985767425/ulCoCLvF.jpg","View")</f>
        <v>View</v>
      </c>
      <c r="V883" s="8"/>
      <c r="W883" s="8"/>
      <c r="X883" s="8"/>
      <c r="Y883" s="8"/>
      <c r="Z883" s="8"/>
    </row>
    <row r="884" spans="1:26" ht="13.2">
      <c r="A884" s="13">
        <v>44250.581319444449</v>
      </c>
      <c r="B884" s="6" t="str">
        <f>HYPERLINK("https://twitter.com/Eli_Krumova","@Eli_Krumova")</f>
        <v>@Eli_Krumova</v>
      </c>
      <c r="C884" s="14" t="s">
        <v>947</v>
      </c>
      <c r="D884" s="14" t="s">
        <v>4077</v>
      </c>
      <c r="E884" s="6" t="str">
        <f>HYPERLINK("https://twitter.com/Eli_Krumova/status/1364197592297594881","1364197592297594881")</f>
        <v>1364197592297594881</v>
      </c>
      <c r="F884" s="14" t="s">
        <v>4078</v>
      </c>
      <c r="G884" s="14" t="s">
        <v>4079</v>
      </c>
      <c r="H884" s="8"/>
      <c r="I884" s="14">
        <v>6</v>
      </c>
      <c r="J884" s="14">
        <v>1</v>
      </c>
      <c r="K884" s="6" t="str">
        <f>HYPERLINK("https://mobile.twitter.com","Twitter Web App")</f>
        <v>Twitter Web App</v>
      </c>
      <c r="L884" s="15">
        <v>4471</v>
      </c>
      <c r="M884" s="15">
        <v>5001</v>
      </c>
      <c r="N884" s="15">
        <v>79</v>
      </c>
      <c r="O884" s="9"/>
      <c r="P884" s="10">
        <v>41346.597002314811</v>
      </c>
      <c r="Q884" s="14" t="s">
        <v>951</v>
      </c>
      <c r="R884" s="14" t="s">
        <v>952</v>
      </c>
      <c r="S884" s="8"/>
      <c r="T884" s="8"/>
      <c r="U884" s="11" t="str">
        <f>HYPERLINK("https://pbs.twimg.com/profile_images/1361638888427683840/HqNlplM_.jpg","View")</f>
        <v>View</v>
      </c>
      <c r="V884" s="8"/>
      <c r="W884" s="8"/>
      <c r="X884" s="8"/>
      <c r="Y884" s="8"/>
      <c r="Z884" s="8"/>
    </row>
    <row r="885" spans="1:26" ht="13.2">
      <c r="A885" s="13">
        <v>44250.580879629633</v>
      </c>
      <c r="B885" s="6" t="str">
        <f>HYPERLINK("https://twitter.com/rathore_vkrnt","@rathore_vkrnt")</f>
        <v>@rathore_vkrnt</v>
      </c>
      <c r="C885" s="14" t="s">
        <v>4080</v>
      </c>
      <c r="D885" s="14" t="s">
        <v>4081</v>
      </c>
      <c r="E885" s="6" t="str">
        <f>HYPERLINK("https://twitter.com/rathore_vkrnt/status/1364197433283014656","1364197433283014656")</f>
        <v>1364197433283014656</v>
      </c>
      <c r="F885" s="8"/>
      <c r="G885" s="7" t="s">
        <v>4082</v>
      </c>
      <c r="H885" s="8"/>
      <c r="I885" s="14">
        <v>0</v>
      </c>
      <c r="J885" s="14">
        <v>0</v>
      </c>
      <c r="K885" s="6" t="str">
        <f>HYPERLINK("http://twitter.com/download/android","Twitter for Android")</f>
        <v>Twitter for Android</v>
      </c>
      <c r="L885" s="15">
        <v>5</v>
      </c>
      <c r="M885" s="15">
        <v>29</v>
      </c>
      <c r="N885" s="15">
        <v>0</v>
      </c>
      <c r="O885" s="9"/>
      <c r="P885" s="10">
        <v>41917.121493055558</v>
      </c>
      <c r="Q885" s="14" t="s">
        <v>4083</v>
      </c>
      <c r="R885" s="14" t="s">
        <v>4084</v>
      </c>
      <c r="S885" s="8"/>
      <c r="T885" s="8"/>
      <c r="U885" s="11" t="str">
        <f>HYPERLINK("https://pbs.twimg.com/profile_images/1364198982432399362/K4udujHn.jpg","View")</f>
        <v>View</v>
      </c>
      <c r="V885" s="8"/>
      <c r="W885" s="8"/>
      <c r="X885" s="8"/>
      <c r="Y885" s="8"/>
      <c r="Z885" s="8"/>
    </row>
    <row r="886" spans="1:26" ht="13.2">
      <c r="A886" s="13">
        <v>44250.580497685187</v>
      </c>
      <c r="B886" s="6" t="str">
        <f>HYPERLINK("https://twitter.com/Eli_Krumova","@Eli_Krumova")</f>
        <v>@Eli_Krumova</v>
      </c>
      <c r="C886" s="14" t="s">
        <v>947</v>
      </c>
      <c r="D886" s="14" t="s">
        <v>4085</v>
      </c>
      <c r="E886" s="6" t="str">
        <f>HYPERLINK("https://twitter.com/Eli_Krumova/status/1364197294892081161","1364197294892081161")</f>
        <v>1364197294892081161</v>
      </c>
      <c r="F886" s="14" t="s">
        <v>4086</v>
      </c>
      <c r="G886" s="14" t="s">
        <v>4087</v>
      </c>
      <c r="H886" s="8"/>
      <c r="I886" s="14">
        <v>15</v>
      </c>
      <c r="J886" s="14">
        <v>2</v>
      </c>
      <c r="K886" s="6" t="str">
        <f>HYPERLINK("https://mobile.twitter.com","Twitter Web App")</f>
        <v>Twitter Web App</v>
      </c>
      <c r="L886" s="15">
        <v>4471</v>
      </c>
      <c r="M886" s="15">
        <v>5001</v>
      </c>
      <c r="N886" s="15">
        <v>79</v>
      </c>
      <c r="O886" s="9"/>
      <c r="P886" s="10">
        <v>41346.597002314811</v>
      </c>
      <c r="Q886" s="14" t="s">
        <v>951</v>
      </c>
      <c r="R886" s="14" t="s">
        <v>952</v>
      </c>
      <c r="S886" s="8"/>
      <c r="T886" s="8"/>
      <c r="U886" s="11" t="str">
        <f>HYPERLINK("https://pbs.twimg.com/profile_images/1361638888427683840/HqNlplM_.jpg","View")</f>
        <v>View</v>
      </c>
      <c r="V886" s="8"/>
      <c r="W886" s="8"/>
      <c r="X886" s="8"/>
      <c r="Y886" s="8"/>
      <c r="Z886" s="8"/>
    </row>
    <row r="887" spans="1:26" ht="13.2">
      <c r="A887" s="13">
        <v>44250.579907407402</v>
      </c>
      <c r="B887" s="6" t="str">
        <f>HYPERLINK("https://twitter.com/CatedraTEF_UEx","@CatedraTEF_UEx")</f>
        <v>@CatedraTEF_UEx</v>
      </c>
      <c r="C887" s="14" t="s">
        <v>4088</v>
      </c>
      <c r="D887" s="14" t="s">
        <v>4089</v>
      </c>
      <c r="E887" s="6" t="str">
        <f>HYPERLINK("https://twitter.com/CatedraTEF_UEx/status/1364197082924482561","1364197082924482561")</f>
        <v>1364197082924482561</v>
      </c>
      <c r="F887" s="7" t="s">
        <v>4090</v>
      </c>
      <c r="G887" s="8"/>
      <c r="H887" s="8"/>
      <c r="I887" s="14">
        <v>0</v>
      </c>
      <c r="J887" s="14">
        <v>0</v>
      </c>
      <c r="K887" s="6" t="str">
        <f>HYPERLINK("https://www.hootsuite.com","Hootsuite Inc.")</f>
        <v>Hootsuite Inc.</v>
      </c>
      <c r="L887" s="15">
        <v>2890</v>
      </c>
      <c r="M887" s="15">
        <v>2401</v>
      </c>
      <c r="N887" s="15">
        <v>325</v>
      </c>
      <c r="O887" s="9"/>
      <c r="P887" s="10">
        <v>40591.669803240744</v>
      </c>
      <c r="Q887" s="14" t="s">
        <v>4091</v>
      </c>
      <c r="R887" s="14" t="s">
        <v>4092</v>
      </c>
      <c r="S887" s="7" t="s">
        <v>4093</v>
      </c>
      <c r="T887" s="8"/>
      <c r="U887" s="11" t="str">
        <f>HYPERLINK("https://pbs.twimg.com/profile_images/1110269468050161664/sVctR7TS.png","View")</f>
        <v>View</v>
      </c>
      <c r="V887" s="8"/>
      <c r="W887" s="8"/>
      <c r="X887" s="8"/>
      <c r="Y887" s="8"/>
      <c r="Z887" s="8"/>
    </row>
    <row r="888" spans="1:26" ht="13.2">
      <c r="A888" s="13">
        <v>44250.579699074078</v>
      </c>
      <c r="B888" s="6" t="str">
        <f>HYPERLINK("https://twitter.com/Eli_Krumova","@Eli_Krumova")</f>
        <v>@Eli_Krumova</v>
      </c>
      <c r="C888" s="14" t="s">
        <v>947</v>
      </c>
      <c r="D888" s="14" t="s">
        <v>4094</v>
      </c>
      <c r="E888" s="6" t="str">
        <f>HYPERLINK("https://twitter.com/Eli_Krumova/status/1364197004176461827","1364197004176461827")</f>
        <v>1364197004176461827</v>
      </c>
      <c r="F888" s="8"/>
      <c r="G888" s="8"/>
      <c r="H888" s="8"/>
      <c r="I888" s="14">
        <v>2</v>
      </c>
      <c r="J888" s="14">
        <v>1</v>
      </c>
      <c r="K888" s="6" t="str">
        <f>HYPERLINK("https://mobile.twitter.com","Twitter Web App")</f>
        <v>Twitter Web App</v>
      </c>
      <c r="L888" s="15">
        <v>4471</v>
      </c>
      <c r="M888" s="15">
        <v>5001</v>
      </c>
      <c r="N888" s="15">
        <v>79</v>
      </c>
      <c r="O888" s="9"/>
      <c r="P888" s="10">
        <v>41346.597002314811</v>
      </c>
      <c r="Q888" s="14" t="s">
        <v>951</v>
      </c>
      <c r="R888" s="14" t="s">
        <v>952</v>
      </c>
      <c r="S888" s="8"/>
      <c r="T888" s="8"/>
      <c r="U888" s="11" t="str">
        <f>HYPERLINK("https://pbs.twimg.com/profile_images/1361638888427683840/HqNlplM_.jpg","View")</f>
        <v>View</v>
      </c>
      <c r="V888" s="8"/>
      <c r="W888" s="8"/>
      <c r="X888" s="8"/>
      <c r="Y888" s="8"/>
      <c r="Z888" s="8"/>
    </row>
    <row r="889" spans="1:26" ht="13.2">
      <c r="A889" s="13">
        <v>44250.579212962963</v>
      </c>
      <c r="B889" s="6" t="str">
        <f>HYPERLINK("https://twitter.com/edrc30","@edrc30")</f>
        <v>@edrc30</v>
      </c>
      <c r="C889" s="14" t="s">
        <v>4095</v>
      </c>
      <c r="D889" s="14" t="s">
        <v>3566</v>
      </c>
      <c r="E889" s="6" t="str">
        <f>HYPERLINK("https://twitter.com/edrc30/status/1364196829613625344","1364196829613625344")</f>
        <v>1364196829613625344</v>
      </c>
      <c r="F889" s="7" t="s">
        <v>4096</v>
      </c>
      <c r="G889" s="8"/>
      <c r="H889" s="8"/>
      <c r="I889" s="14">
        <v>1</v>
      </c>
      <c r="J889" s="14">
        <v>0</v>
      </c>
      <c r="K889" s="6" t="str">
        <f>HYPERLINK("http://twitter.com/download/android","Twitter for Android")</f>
        <v>Twitter for Android</v>
      </c>
      <c r="L889" s="15">
        <v>2776</v>
      </c>
      <c r="M889" s="15">
        <v>2898</v>
      </c>
      <c r="N889" s="15">
        <v>32</v>
      </c>
      <c r="O889" s="9"/>
      <c r="P889" s="10">
        <v>40187.146099537036</v>
      </c>
      <c r="Q889" s="14" t="s">
        <v>4097</v>
      </c>
      <c r="R889" s="14" t="s">
        <v>4098</v>
      </c>
      <c r="S889" s="8"/>
      <c r="T889" s="8"/>
      <c r="U889" s="11" t="str">
        <f>HYPERLINK("https://pbs.twimg.com/profile_images/1206033822804037632/TuIARUja.jpg","View")</f>
        <v>View</v>
      </c>
      <c r="V889" s="8"/>
      <c r="W889" s="8"/>
      <c r="X889" s="8"/>
      <c r="Y889" s="8"/>
      <c r="Z889" s="8"/>
    </row>
    <row r="890" spans="1:26" ht="13.2">
      <c r="A890" s="13">
        <v>44250.579189814816</v>
      </c>
      <c r="B890" s="6" t="str">
        <f>HYPERLINK("https://twitter.com/cybersecuritypl","@cybersecuritypl")</f>
        <v>@cybersecuritypl</v>
      </c>
      <c r="C890" s="14" t="s">
        <v>4099</v>
      </c>
      <c r="D890" s="14" t="s">
        <v>4100</v>
      </c>
      <c r="E890" s="6" t="str">
        <f>HYPERLINK("https://twitter.com/cybersecuritypl/status/1364196821698940934","1364196821698940934")</f>
        <v>1364196821698940934</v>
      </c>
      <c r="F890" s="7" t="s">
        <v>4101</v>
      </c>
      <c r="G890" s="8"/>
      <c r="H890" s="8"/>
      <c r="I890" s="14">
        <v>0</v>
      </c>
      <c r="J890" s="14">
        <v>0</v>
      </c>
      <c r="K890" s="6" t="str">
        <f>HYPERLINK("https://mobile.twitter.com","Twitter Web App")</f>
        <v>Twitter Web App</v>
      </c>
      <c r="L890" s="15">
        <v>17133</v>
      </c>
      <c r="M890" s="15">
        <v>2295</v>
      </c>
      <c r="N890" s="15">
        <v>421</v>
      </c>
      <c r="O890" s="9"/>
      <c r="P890" s="10">
        <v>42044.493668981479</v>
      </c>
      <c r="Q890" s="14" t="s">
        <v>322</v>
      </c>
      <c r="R890" s="14" t="s">
        <v>4102</v>
      </c>
      <c r="S890" s="7" t="s">
        <v>4103</v>
      </c>
      <c r="T890" s="8"/>
      <c r="U890" s="11" t="str">
        <f>HYPERLINK("https://pbs.twimg.com/profile_images/565506170249420800/6ggjkzcc.jpeg","View")</f>
        <v>View</v>
      </c>
      <c r="V890" s="8"/>
      <c r="W890" s="8"/>
      <c r="X890" s="8"/>
      <c r="Y890" s="8"/>
      <c r="Z890" s="8"/>
    </row>
    <row r="891" spans="1:26" ht="13.2">
      <c r="A891" s="13">
        <v>44250.578680555554</v>
      </c>
      <c r="B891" s="6" t="str">
        <f t="shared" ref="B891:B892" si="137">HYPERLINK("https://twitter.com/IainLJBrown","@IainLJBrown")</f>
        <v>@IainLJBrown</v>
      </c>
      <c r="C891" s="14" t="s">
        <v>2776</v>
      </c>
      <c r="D891" s="14" t="s">
        <v>2777</v>
      </c>
      <c r="E891" s="6" t="str">
        <f>HYPERLINK("https://twitter.com/IainLJBrown/status/1364196636906373123","1364196636906373123")</f>
        <v>1364196636906373123</v>
      </c>
      <c r="F891" s="7" t="s">
        <v>2778</v>
      </c>
      <c r="G891" s="8"/>
      <c r="H891" s="8"/>
      <c r="I891" s="14">
        <v>15</v>
      </c>
      <c r="J891" s="14">
        <v>8</v>
      </c>
      <c r="K891" s="6" t="str">
        <f t="shared" ref="K891:K892" si="138">HYPERLINK("https://ifttt.com","IFTTT")</f>
        <v>IFTTT</v>
      </c>
      <c r="L891" s="15">
        <v>115543</v>
      </c>
      <c r="M891" s="15">
        <v>98727</v>
      </c>
      <c r="N891" s="15">
        <v>423</v>
      </c>
      <c r="O891" s="9"/>
      <c r="P891" s="10">
        <v>40926.673900462964</v>
      </c>
      <c r="Q891" s="14" t="s">
        <v>753</v>
      </c>
      <c r="R891" s="14" t="s">
        <v>2779</v>
      </c>
      <c r="S891" s="7" t="s">
        <v>2780</v>
      </c>
      <c r="T891" s="8"/>
      <c r="U891" s="11" t="str">
        <f t="shared" ref="U891:U892" si="139">HYPERLINK("https://pbs.twimg.com/profile_images/1352606177352364032/jQ7AI0vG.jpg","View")</f>
        <v>View</v>
      </c>
      <c r="V891" s="8"/>
      <c r="W891" s="8"/>
      <c r="X891" s="8"/>
      <c r="Y891" s="8"/>
      <c r="Z891" s="8"/>
    </row>
    <row r="892" spans="1:26" ht="13.2">
      <c r="A892" s="13">
        <v>44250.578680555554</v>
      </c>
      <c r="B892" s="6" t="str">
        <f t="shared" si="137"/>
        <v>@IainLJBrown</v>
      </c>
      <c r="C892" s="14" t="s">
        <v>2776</v>
      </c>
      <c r="D892" s="14" t="s">
        <v>4104</v>
      </c>
      <c r="E892" s="6" t="str">
        <f>HYPERLINK("https://twitter.com/IainLJBrown/status/1364196635434180611","1364196635434180611")</f>
        <v>1364196635434180611</v>
      </c>
      <c r="F892" s="7" t="s">
        <v>4105</v>
      </c>
      <c r="G892" s="8"/>
      <c r="H892" s="8"/>
      <c r="I892" s="14">
        <v>12</v>
      </c>
      <c r="J892" s="14">
        <v>7</v>
      </c>
      <c r="K892" s="6" t="str">
        <f t="shared" si="138"/>
        <v>IFTTT</v>
      </c>
      <c r="L892" s="15">
        <v>115543</v>
      </c>
      <c r="M892" s="15">
        <v>98727</v>
      </c>
      <c r="N892" s="15">
        <v>423</v>
      </c>
      <c r="O892" s="9"/>
      <c r="P892" s="10">
        <v>40926.673900462964</v>
      </c>
      <c r="Q892" s="14" t="s">
        <v>753</v>
      </c>
      <c r="R892" s="14" t="s">
        <v>2779</v>
      </c>
      <c r="S892" s="7" t="s">
        <v>2780</v>
      </c>
      <c r="T892" s="8"/>
      <c r="U892" s="11" t="str">
        <f t="shared" si="139"/>
        <v>View</v>
      </c>
      <c r="V892" s="8"/>
      <c r="W892" s="8"/>
      <c r="X892" s="8"/>
      <c r="Y892" s="8"/>
      <c r="Z892" s="8"/>
    </row>
    <row r="893" spans="1:26" ht="13.2">
      <c r="A893" s="13">
        <v>44250.578564814816</v>
      </c>
      <c r="B893" s="6" t="str">
        <f>HYPERLINK("https://twitter.com/techsutram","@techsutram")</f>
        <v>@techsutram</v>
      </c>
      <c r="C893" s="14" t="s">
        <v>4106</v>
      </c>
      <c r="D893" s="14" t="s">
        <v>4107</v>
      </c>
      <c r="E893" s="6" t="str">
        <f>HYPERLINK("https://twitter.com/techsutram/status/1364196596448190465","1364196596448190465")</f>
        <v>1364196596448190465</v>
      </c>
      <c r="F893" s="7" t="s">
        <v>4108</v>
      </c>
      <c r="G893" s="7" t="s">
        <v>4109</v>
      </c>
      <c r="H893" s="8"/>
      <c r="I893" s="14">
        <v>1</v>
      </c>
      <c r="J893" s="14">
        <v>0</v>
      </c>
      <c r="K893" s="6" t="str">
        <f>HYPERLINK("https://crowdfireapp.com","Crowdfire App")</f>
        <v>Crowdfire App</v>
      </c>
      <c r="L893" s="15">
        <v>1046</v>
      </c>
      <c r="M893" s="15">
        <v>647</v>
      </c>
      <c r="N893" s="15">
        <v>97</v>
      </c>
      <c r="O893" s="9"/>
      <c r="P893" s="10">
        <v>39949.755648148144</v>
      </c>
      <c r="Q893" s="14" t="s">
        <v>2167</v>
      </c>
      <c r="R893" s="14" t="s">
        <v>4110</v>
      </c>
      <c r="S893" s="7" t="s">
        <v>4111</v>
      </c>
      <c r="T893" s="8"/>
      <c r="U893" s="11" t="str">
        <f>HYPERLINK("https://pbs.twimg.com/profile_images/916199810058686464/sL0iX59y.jpg","View")</f>
        <v>View</v>
      </c>
      <c r="V893" s="8"/>
      <c r="W893" s="8"/>
      <c r="X893" s="8"/>
      <c r="Y893" s="8"/>
      <c r="Z893" s="8"/>
    </row>
    <row r="894" spans="1:26" ht="13.2">
      <c r="A894" s="13">
        <v>44250.578506944439</v>
      </c>
      <c r="B894" s="6" t="str">
        <f>HYPERLINK("https://twitter.com/IIoTML","@IIoTML")</f>
        <v>@IIoTML</v>
      </c>
      <c r="C894" s="14" t="s">
        <v>4112</v>
      </c>
      <c r="D894" s="14" t="s">
        <v>4113</v>
      </c>
      <c r="E894" s="6" t="str">
        <f>HYPERLINK("https://twitter.com/IIoTML/status/1364196572406292488","1364196572406292488")</f>
        <v>1364196572406292488</v>
      </c>
      <c r="F894" s="7" t="s">
        <v>4114</v>
      </c>
      <c r="G894" s="8"/>
      <c r="H894" s="8"/>
      <c r="I894" s="14">
        <v>0</v>
      </c>
      <c r="J894" s="14">
        <v>0</v>
      </c>
      <c r="K894" s="6" t="str">
        <f t="shared" ref="K894:K895" si="140">HYPERLINK("https://dlvrit.com/","dlvr.it")</f>
        <v>dlvr.it</v>
      </c>
      <c r="L894" s="15">
        <v>3939</v>
      </c>
      <c r="M894" s="15">
        <v>563</v>
      </c>
      <c r="N894" s="15">
        <v>778</v>
      </c>
      <c r="O894" s="9"/>
      <c r="P894" s="10">
        <v>42425.534363425926</v>
      </c>
      <c r="Q894" s="8"/>
      <c r="R894" s="14" t="s">
        <v>4115</v>
      </c>
      <c r="S894" s="8"/>
      <c r="T894" s="8"/>
      <c r="U894" s="11" t="str">
        <f>HYPERLINK("https://pbs.twimg.com/profile_images/749384984100610048/0AWZDMUi.jpg","View")</f>
        <v>View</v>
      </c>
      <c r="V894" s="8"/>
      <c r="W894" s="8"/>
      <c r="X894" s="8"/>
      <c r="Y894" s="8"/>
      <c r="Z894" s="8"/>
    </row>
    <row r="895" spans="1:26" ht="13.2">
      <c r="A895" s="13">
        <v>44250.5784837963</v>
      </c>
      <c r="B895" s="6" t="str">
        <f>HYPERLINK("https://twitter.com/ArunNairID","@ArunNairID")</f>
        <v>@ArunNairID</v>
      </c>
      <c r="C895" s="14" t="s">
        <v>4116</v>
      </c>
      <c r="D895" s="14" t="s">
        <v>4113</v>
      </c>
      <c r="E895" s="6" t="str">
        <f>HYPERLINK("https://twitter.com/ArunNairID/status/1364196567746416642","1364196567746416642")</f>
        <v>1364196567746416642</v>
      </c>
      <c r="F895" s="7" t="s">
        <v>4114</v>
      </c>
      <c r="G895" s="8"/>
      <c r="H895" s="8"/>
      <c r="I895" s="14">
        <v>0</v>
      </c>
      <c r="J895" s="14">
        <v>0</v>
      </c>
      <c r="K895" s="6" t="str">
        <f t="shared" si="140"/>
        <v>dlvr.it</v>
      </c>
      <c r="L895" s="15">
        <v>550</v>
      </c>
      <c r="M895" s="15">
        <v>225</v>
      </c>
      <c r="N895" s="15">
        <v>108</v>
      </c>
      <c r="O895" s="9"/>
      <c r="P895" s="10">
        <v>42752.977175925931</v>
      </c>
      <c r="Q895" s="14" t="s">
        <v>4117</v>
      </c>
      <c r="R895" s="14" t="s">
        <v>4118</v>
      </c>
      <c r="S895" s="7" t="s">
        <v>4119</v>
      </c>
      <c r="T895" s="8"/>
      <c r="U895" s="11" t="str">
        <f>HYPERLINK("https://pbs.twimg.com/profile_images/821588636168814593/0gMtpnrf.jpg","View")</f>
        <v>View</v>
      </c>
      <c r="V895" s="8"/>
      <c r="W895" s="8"/>
      <c r="X895" s="8"/>
      <c r="Y895" s="8"/>
      <c r="Z895" s="8"/>
    </row>
    <row r="896" spans="1:26" ht="13.2">
      <c r="A896" s="13">
        <v>44250.578275462962</v>
      </c>
      <c r="B896" s="6" t="str">
        <f>HYPERLINK("https://twitter.com/lifebitAI","@lifebitAI")</f>
        <v>@lifebitAI</v>
      </c>
      <c r="C896" s="14" t="s">
        <v>4120</v>
      </c>
      <c r="D896" s="14" t="s">
        <v>4121</v>
      </c>
      <c r="E896" s="6" t="str">
        <f>HYPERLINK("https://twitter.com/lifebitAI/status/1364196491355635718","1364196491355635718")</f>
        <v>1364196491355635718</v>
      </c>
      <c r="F896" s="7" t="s">
        <v>4122</v>
      </c>
      <c r="G896" s="7" t="s">
        <v>4123</v>
      </c>
      <c r="H896" s="8"/>
      <c r="I896" s="14">
        <v>3</v>
      </c>
      <c r="J896" s="14">
        <v>6</v>
      </c>
      <c r="K896" s="6" t="str">
        <f t="shared" ref="K896:K897" si="141">HYPERLINK("https://mobile.twitter.com","Twitter Web App")</f>
        <v>Twitter Web App</v>
      </c>
      <c r="L896" s="15">
        <v>4099</v>
      </c>
      <c r="M896" s="15">
        <v>1920</v>
      </c>
      <c r="N896" s="15">
        <v>47</v>
      </c>
      <c r="O896" s="9"/>
      <c r="P896" s="10">
        <v>42895.60873842593</v>
      </c>
      <c r="Q896" s="14" t="s">
        <v>599</v>
      </c>
      <c r="R896" s="14" t="s">
        <v>4124</v>
      </c>
      <c r="S896" s="7" t="s">
        <v>4125</v>
      </c>
      <c r="T896" s="8"/>
      <c r="U896" s="11" t="str">
        <f>HYPERLINK("https://pbs.twimg.com/profile_images/972120873456095233/2a1jM0Km.jpg","View")</f>
        <v>View</v>
      </c>
      <c r="V896" s="8"/>
      <c r="W896" s="8"/>
      <c r="X896" s="8"/>
      <c r="Y896" s="8"/>
      <c r="Z896" s="8"/>
    </row>
    <row r="897" spans="1:26" ht="13.2">
      <c r="A897" s="13">
        <v>44250.578217592592</v>
      </c>
      <c r="B897" s="6" t="str">
        <f>HYPERLINK("https://twitter.com/ImmaFolchLazaro","@ImmaFolchLazaro")</f>
        <v>@ImmaFolchLazaro</v>
      </c>
      <c r="C897" s="14" t="s">
        <v>4126</v>
      </c>
      <c r="D897" s="14" t="s">
        <v>4127</v>
      </c>
      <c r="E897" s="6" t="str">
        <f>HYPERLINK("https://twitter.com/ImmaFolchLazaro/status/1364196467611750400","1364196467611750400")</f>
        <v>1364196467611750400</v>
      </c>
      <c r="F897" s="7" t="s">
        <v>4128</v>
      </c>
      <c r="G897" s="8"/>
      <c r="H897" s="8"/>
      <c r="I897" s="14">
        <v>0</v>
      </c>
      <c r="J897" s="14">
        <v>0</v>
      </c>
      <c r="K897" s="6" t="str">
        <f t="shared" si="141"/>
        <v>Twitter Web App</v>
      </c>
      <c r="L897" s="15">
        <v>939</v>
      </c>
      <c r="M897" s="15">
        <v>1944</v>
      </c>
      <c r="N897" s="15">
        <v>8</v>
      </c>
      <c r="O897" s="9"/>
      <c r="P897" s="10">
        <v>43109.704282407409</v>
      </c>
      <c r="Q897" s="14" t="s">
        <v>4129</v>
      </c>
      <c r="R897" s="14" t="s">
        <v>4130</v>
      </c>
      <c r="S897" s="8"/>
      <c r="T897" s="8"/>
      <c r="U897" s="11" t="str">
        <f>HYPERLINK("https://pbs.twimg.com/profile_images/1283712059105071107/wYhqG6-y.jpg","View")</f>
        <v>View</v>
      </c>
      <c r="V897" s="8"/>
      <c r="W897" s="8"/>
      <c r="X897" s="8"/>
      <c r="Y897" s="8"/>
      <c r="Z897" s="8"/>
    </row>
    <row r="898" spans="1:26" ht="13.2">
      <c r="A898" s="13">
        <v>44250.578148148154</v>
      </c>
      <c r="B898" s="6" t="str">
        <f>HYPERLINK("https://twitter.com/slashML","@slashML")</f>
        <v>@slashML</v>
      </c>
      <c r="C898" s="14" t="s">
        <v>779</v>
      </c>
      <c r="D898" s="14" t="s">
        <v>4131</v>
      </c>
      <c r="E898" s="6" t="str">
        <f>HYPERLINK("https://twitter.com/slashML/status/1364196442923933701","1364196442923933701")</f>
        <v>1364196442923933701</v>
      </c>
      <c r="F898" s="7" t="s">
        <v>2943</v>
      </c>
      <c r="G898" s="8"/>
      <c r="H898" s="8"/>
      <c r="I898" s="14">
        <v>4</v>
      </c>
      <c r="J898" s="14">
        <v>5</v>
      </c>
      <c r="K898" s="6" t="str">
        <f>HYPERLINK("https://www.reddit.com/r/MachineLearning/","From /r/MachineLearning")</f>
        <v>From /r/MachineLearning</v>
      </c>
      <c r="L898" s="15">
        <v>44297</v>
      </c>
      <c r="M898" s="15">
        <v>1</v>
      </c>
      <c r="N898" s="15">
        <v>600</v>
      </c>
      <c r="O898" s="9"/>
      <c r="P898" s="10">
        <v>42710.818564814814</v>
      </c>
      <c r="Q898" s="8"/>
      <c r="R898" s="14" t="s">
        <v>782</v>
      </c>
      <c r="S898" s="8"/>
      <c r="T898" s="8"/>
      <c r="U898" s="11" t="str">
        <f>HYPERLINK("https://pbs.twimg.com/profile_images/806213385545273344/s7sE4E8a.jpg","View")</f>
        <v>View</v>
      </c>
      <c r="V898" s="8"/>
      <c r="W898" s="8"/>
      <c r="X898" s="8"/>
      <c r="Y898" s="8"/>
      <c r="Z898" s="8"/>
    </row>
    <row r="899" spans="1:26" ht="13.2">
      <c r="A899" s="13">
        <v>44250.577627314815</v>
      </c>
      <c r="B899" s="6" t="str">
        <f>HYPERLINK("https://twitter.com/Superdigital9","@Superdigital9")</f>
        <v>@Superdigital9</v>
      </c>
      <c r="C899" s="14" t="s">
        <v>4132</v>
      </c>
      <c r="D899" s="14" t="s">
        <v>4133</v>
      </c>
      <c r="E899" s="6" t="str">
        <f>HYPERLINK("https://twitter.com/Superdigital9/status/1364196255522553857","1364196255522553857")</f>
        <v>1364196255522553857</v>
      </c>
      <c r="F899" s="14" t="s">
        <v>4134</v>
      </c>
      <c r="G899" s="8"/>
      <c r="H899" s="8"/>
      <c r="I899" s="14">
        <v>3</v>
      </c>
      <c r="J899" s="14">
        <v>3</v>
      </c>
      <c r="K899" s="6" t="str">
        <f>HYPERLINK("http://twinybots.com","TwinyBots")</f>
        <v>TwinyBots</v>
      </c>
      <c r="L899" s="15">
        <v>796</v>
      </c>
      <c r="M899" s="15">
        <v>1112</v>
      </c>
      <c r="N899" s="15">
        <v>11</v>
      </c>
      <c r="O899" s="9"/>
      <c r="P899" s="10">
        <v>43821.75409722222</v>
      </c>
      <c r="Q899" s="14" t="s">
        <v>3176</v>
      </c>
      <c r="R899" s="14" t="s">
        <v>4135</v>
      </c>
      <c r="S899" s="7" t="s">
        <v>4136</v>
      </c>
      <c r="T899" s="8"/>
      <c r="U899" s="11" t="str">
        <f>HYPERLINK("https://pbs.twimg.com/profile_images/1208795846831067138/cpdkWTEq.jpg","View")</f>
        <v>View</v>
      </c>
      <c r="V899" s="8"/>
      <c r="W899" s="8"/>
      <c r="X899" s="8"/>
      <c r="Y899" s="8"/>
      <c r="Z899" s="8"/>
    </row>
    <row r="900" spans="1:26" ht="13.2">
      <c r="A900" s="13">
        <v>44250.577291666668</v>
      </c>
      <c r="B900" s="6" t="str">
        <f t="shared" ref="B900:B901" si="142">HYPERLINK("https://twitter.com/arXiv__ml","@arXiv__ml")</f>
        <v>@arXiv__ml</v>
      </c>
      <c r="C900" s="14" t="s">
        <v>2812</v>
      </c>
      <c r="D900" s="14" t="s">
        <v>4137</v>
      </c>
      <c r="E900" s="6" t="str">
        <f>HYPERLINK("https://twitter.com/arXiv__ml/status/1364196133074042880","1364196133074042880")</f>
        <v>1364196133074042880</v>
      </c>
      <c r="F900" s="7" t="s">
        <v>4138</v>
      </c>
      <c r="G900" s="8"/>
      <c r="H900" s="8"/>
      <c r="I900" s="14">
        <v>0</v>
      </c>
      <c r="J900" s="14">
        <v>1</v>
      </c>
      <c r="K900" s="6" t="str">
        <f t="shared" ref="K900:K901" si="143">HYPERLINK("https://ifttt.com","IFTTT")</f>
        <v>IFTTT</v>
      </c>
      <c r="L900" s="15">
        <v>2542</v>
      </c>
      <c r="M900" s="15">
        <v>1470</v>
      </c>
      <c r="N900" s="15">
        <v>73</v>
      </c>
      <c r="O900" s="9"/>
      <c r="P900" s="10">
        <v>43387.731759259259</v>
      </c>
      <c r="Q900" s="14" t="s">
        <v>1036</v>
      </c>
      <c r="R900" s="14" t="s">
        <v>2815</v>
      </c>
      <c r="S900" s="7" t="s">
        <v>2816</v>
      </c>
      <c r="T900" s="8"/>
      <c r="U900" s="11" t="str">
        <f t="shared" ref="U900:U901" si="144">HYPERLINK("https://pbs.twimg.com/profile_images/1067085474131394560/QOHl5dzN.jpg","View")</f>
        <v>View</v>
      </c>
      <c r="V900" s="8"/>
      <c r="W900" s="8"/>
      <c r="X900" s="8"/>
      <c r="Y900" s="8"/>
      <c r="Z900" s="8"/>
    </row>
    <row r="901" spans="1:26" ht="13.2">
      <c r="A901" s="13">
        <v>44250.577268518522</v>
      </c>
      <c r="B901" s="6" t="str">
        <f t="shared" si="142"/>
        <v>@arXiv__ml</v>
      </c>
      <c r="C901" s="14" t="s">
        <v>2812</v>
      </c>
      <c r="D901" s="14" t="s">
        <v>4139</v>
      </c>
      <c r="E901" s="6" t="str">
        <f>HYPERLINK("https://twitter.com/arXiv__ml/status/1364196127336247297","1364196127336247297")</f>
        <v>1364196127336247297</v>
      </c>
      <c r="F901" s="7" t="s">
        <v>4140</v>
      </c>
      <c r="G901" s="8"/>
      <c r="H901" s="8"/>
      <c r="I901" s="14">
        <v>0</v>
      </c>
      <c r="J901" s="14">
        <v>2</v>
      </c>
      <c r="K901" s="6" t="str">
        <f t="shared" si="143"/>
        <v>IFTTT</v>
      </c>
      <c r="L901" s="15">
        <v>2542</v>
      </c>
      <c r="M901" s="15">
        <v>1470</v>
      </c>
      <c r="N901" s="15">
        <v>73</v>
      </c>
      <c r="O901" s="9"/>
      <c r="P901" s="10">
        <v>43387.731759259259</v>
      </c>
      <c r="Q901" s="14" t="s">
        <v>1036</v>
      </c>
      <c r="R901" s="14" t="s">
        <v>2815</v>
      </c>
      <c r="S901" s="7" t="s">
        <v>2816</v>
      </c>
      <c r="T901" s="8"/>
      <c r="U901" s="11" t="str">
        <f t="shared" si="144"/>
        <v>View</v>
      </c>
      <c r="V901" s="8"/>
      <c r="W901" s="8"/>
      <c r="X901" s="8"/>
      <c r="Y901" s="8"/>
      <c r="Z901" s="8"/>
    </row>
    <row r="902" spans="1:26" ht="13.2">
      <c r="A902" s="13">
        <v>44250.577013888891</v>
      </c>
      <c r="B902" s="6" t="str">
        <f>HYPERLINK("https://twitter.com/inexture","@inexture")</f>
        <v>@inexture</v>
      </c>
      <c r="C902" s="14" t="s">
        <v>4141</v>
      </c>
      <c r="D902" s="14" t="s">
        <v>4142</v>
      </c>
      <c r="E902" s="6" t="str">
        <f>HYPERLINK("https://twitter.com/inexture/status/1364196031689236483","1364196031689236483")</f>
        <v>1364196031689236483</v>
      </c>
      <c r="F902" s="7" t="s">
        <v>4143</v>
      </c>
      <c r="G902" s="7" t="s">
        <v>4144</v>
      </c>
      <c r="H902" s="8"/>
      <c r="I902" s="14">
        <v>0</v>
      </c>
      <c r="J902" s="14">
        <v>1</v>
      </c>
      <c r="K902" s="6" t="str">
        <f>HYPERLINK("https://mobile.twitter.com","Twitter Web App")</f>
        <v>Twitter Web App</v>
      </c>
      <c r="L902" s="15">
        <v>1314</v>
      </c>
      <c r="M902" s="15">
        <v>2434</v>
      </c>
      <c r="N902" s="15">
        <v>5</v>
      </c>
      <c r="O902" s="9"/>
      <c r="P902" s="10">
        <v>42413.312395833331</v>
      </c>
      <c r="Q902" s="14" t="s">
        <v>138</v>
      </c>
      <c r="R902" s="14" t="s">
        <v>4145</v>
      </c>
      <c r="S902" s="7" t="s">
        <v>4146</v>
      </c>
      <c r="T902" s="8"/>
      <c r="U902" s="11" t="str">
        <f>HYPERLINK("https://pbs.twimg.com/profile_images/1272869333199319042/W3XbqF4T.jpg","View")</f>
        <v>View</v>
      </c>
      <c r="V902" s="8"/>
      <c r="W902" s="8"/>
      <c r="X902" s="8"/>
      <c r="Y902" s="8"/>
      <c r="Z902" s="8"/>
    </row>
    <row r="903" spans="1:26" ht="13.2">
      <c r="A903" s="13">
        <v>44250.576643518521</v>
      </c>
      <c r="B903" s="6" t="str">
        <f>HYPERLINK("https://twitter.com/TheRamoliya","@TheRamoliya")</f>
        <v>@TheRamoliya</v>
      </c>
      <c r="C903" s="14" t="s">
        <v>4147</v>
      </c>
      <c r="D903" s="14" t="s">
        <v>4148</v>
      </c>
      <c r="E903" s="6" t="str">
        <f>HYPERLINK("https://twitter.com/TheRamoliya/status/1364195900629815298","1364195900629815298")</f>
        <v>1364195900629815298</v>
      </c>
      <c r="F903" s="8"/>
      <c r="G903" s="8"/>
      <c r="H903" s="8"/>
      <c r="I903" s="14">
        <v>35</v>
      </c>
      <c r="J903" s="14">
        <v>8</v>
      </c>
      <c r="K903" s="6" t="str">
        <f>HYPERLINK("http://itunes.apple.com/us/app/twitter/id409789998?mt=12","Twitter for Mac")</f>
        <v>Twitter for Mac</v>
      </c>
      <c r="L903" s="15">
        <v>1774</v>
      </c>
      <c r="M903" s="15">
        <v>272</v>
      </c>
      <c r="N903" s="15">
        <v>151</v>
      </c>
      <c r="O903" s="9"/>
      <c r="P903" s="10">
        <v>41931.310578703706</v>
      </c>
      <c r="Q903" s="8"/>
      <c r="R903" s="14" t="s">
        <v>4149</v>
      </c>
      <c r="S903" s="8"/>
      <c r="T903" s="8"/>
      <c r="U903" s="11" t="str">
        <f>HYPERLINK("https://pbs.twimg.com/profile_images/599808090804883456/ndzTe9J5.jpg","View")</f>
        <v>View</v>
      </c>
      <c r="V903" s="8"/>
      <c r="W903" s="8"/>
      <c r="X903" s="8"/>
      <c r="Y903" s="8"/>
      <c r="Z903" s="8"/>
    </row>
    <row r="904" spans="1:26" ht="13.2">
      <c r="A904" s="13">
        <v>44250.576643518521</v>
      </c>
      <c r="B904" s="6" t="str">
        <f>HYPERLINK("https://twitter.com/creativemf","@creativemf")</f>
        <v>@creativemf</v>
      </c>
      <c r="C904" s="14" t="s">
        <v>4150</v>
      </c>
      <c r="D904" s="14" t="s">
        <v>4151</v>
      </c>
      <c r="E904" s="6" t="str">
        <f>HYPERLINK("https://twitter.com/creativemf/status/1364195899371642883","1364195899371642883")</f>
        <v>1364195899371642883</v>
      </c>
      <c r="F904" s="7" t="s">
        <v>4152</v>
      </c>
      <c r="G904" s="8"/>
      <c r="H904" s="8"/>
      <c r="I904" s="14">
        <v>0</v>
      </c>
      <c r="J904" s="14">
        <v>0</v>
      </c>
      <c r="K904" s="6" t="str">
        <f>HYPERLINK("https://paper.li","Paper.li")</f>
        <v>Paper.li</v>
      </c>
      <c r="L904" s="15">
        <v>1245</v>
      </c>
      <c r="M904" s="15">
        <v>383</v>
      </c>
      <c r="N904" s="15">
        <v>318</v>
      </c>
      <c r="O904" s="9"/>
      <c r="P904" s="10">
        <v>39823.879143518519</v>
      </c>
      <c r="Q904" s="14" t="s">
        <v>4153</v>
      </c>
      <c r="R904" s="14" t="s">
        <v>4154</v>
      </c>
      <c r="S904" s="7" t="s">
        <v>4155</v>
      </c>
      <c r="T904" s="8"/>
      <c r="U904" s="11" t="str">
        <f>HYPERLINK("https://pbs.twimg.com/profile_images/1246824570381893634/3lGcotv5.png","View")</f>
        <v>View</v>
      </c>
      <c r="V904" s="8"/>
      <c r="W904" s="8"/>
      <c r="X904" s="8"/>
      <c r="Y904" s="8"/>
      <c r="Z904" s="8"/>
    </row>
    <row r="905" spans="1:26" ht="13.2">
      <c r="A905" s="13">
        <v>44250.57644675926</v>
      </c>
      <c r="B905" s="6" t="str">
        <f>HYPERLINK("https://twitter.com/KhaleejMag","@KhaleejMag")</f>
        <v>@KhaleejMag</v>
      </c>
      <c r="C905" s="14" t="s">
        <v>4156</v>
      </c>
      <c r="D905" s="14" t="s">
        <v>4157</v>
      </c>
      <c r="E905" s="6" t="str">
        <f>HYPERLINK("https://twitter.com/KhaleejMag/status/1364195827091144707","1364195827091144707")</f>
        <v>1364195827091144707</v>
      </c>
      <c r="F905" s="7" t="s">
        <v>4158</v>
      </c>
      <c r="G905" s="7" t="s">
        <v>4159</v>
      </c>
      <c r="H905" s="8"/>
      <c r="I905" s="14">
        <v>4</v>
      </c>
      <c r="J905" s="14">
        <v>3</v>
      </c>
      <c r="K905" s="6" t="str">
        <f>HYPERLINK("https://mobile.twitter.com","Twitter Web App")</f>
        <v>Twitter Web App</v>
      </c>
      <c r="L905" s="15">
        <v>80784</v>
      </c>
      <c r="M905" s="15">
        <v>63929</v>
      </c>
      <c r="N905" s="15">
        <v>570</v>
      </c>
      <c r="O905" s="9"/>
      <c r="P905" s="10">
        <v>40155.415000000001</v>
      </c>
      <c r="Q905" s="14" t="s">
        <v>4160</v>
      </c>
      <c r="R905" s="14" t="s">
        <v>4161</v>
      </c>
      <c r="S905" s="7" t="s">
        <v>4162</v>
      </c>
      <c r="T905" s="8"/>
      <c r="U905" s="11" t="str">
        <f>HYPERLINK("https://pbs.twimg.com/profile_images/791480759517315076/HJFQWCsu.jpg","View")</f>
        <v>View</v>
      </c>
      <c r="V905" s="8"/>
      <c r="W905" s="8"/>
      <c r="X905" s="8"/>
      <c r="Y905" s="8"/>
      <c r="Z905" s="8"/>
    </row>
    <row r="906" spans="1:26" ht="13.2">
      <c r="A906" s="13">
        <v>44250.576412037037</v>
      </c>
      <c r="B906" s="6" t="str">
        <f>HYPERLINK("https://twitter.com/SoulpageIT","@SoulpageIT")</f>
        <v>@SoulpageIT</v>
      </c>
      <c r="C906" s="14" t="s">
        <v>4163</v>
      </c>
      <c r="D906" s="14" t="s">
        <v>4164</v>
      </c>
      <c r="E906" s="6" t="str">
        <f>HYPERLINK("https://twitter.com/SoulpageIT/status/1364195813828796427","1364195813828796427")</f>
        <v>1364195813828796427</v>
      </c>
      <c r="F906" s="7" t="s">
        <v>4165</v>
      </c>
      <c r="G906" s="8"/>
      <c r="H906" s="8"/>
      <c r="I906" s="14">
        <v>2</v>
      </c>
      <c r="J906" s="14">
        <v>2</v>
      </c>
      <c r="K906" s="6" t="str">
        <f>HYPERLINK("https://www.hootsuite.com","Hootsuite Inc.")</f>
        <v>Hootsuite Inc.</v>
      </c>
      <c r="L906" s="15">
        <v>425</v>
      </c>
      <c r="M906" s="15">
        <v>389</v>
      </c>
      <c r="N906" s="15">
        <v>11</v>
      </c>
      <c r="O906" s="9"/>
      <c r="P906" s="10">
        <v>43315.213229166664</v>
      </c>
      <c r="Q906" s="14" t="s">
        <v>4166</v>
      </c>
      <c r="R906" s="14" t="s">
        <v>4167</v>
      </c>
      <c r="S906" s="7" t="s">
        <v>4168</v>
      </c>
      <c r="T906" s="8"/>
      <c r="U906" s="11" t="str">
        <f>HYPERLINK("https://pbs.twimg.com/profile_images/1025217633837301760/oxC27iiN.jpg","View")</f>
        <v>View</v>
      </c>
      <c r="V906" s="8"/>
      <c r="W906" s="8"/>
      <c r="X906" s="8"/>
      <c r="Y906" s="8"/>
      <c r="Z906" s="8"/>
    </row>
    <row r="907" spans="1:26" ht="13.2">
      <c r="A907" s="13">
        <v>44250.57640046296</v>
      </c>
      <c r="B907" s="6" t="str">
        <f>HYPERLINK("https://twitter.com/DivergentCIO","@DivergentCIO")</f>
        <v>@DivergentCIO</v>
      </c>
      <c r="C907" s="14" t="s">
        <v>3912</v>
      </c>
      <c r="D907" s="14" t="s">
        <v>4169</v>
      </c>
      <c r="E907" s="6" t="str">
        <f>HYPERLINK("https://twitter.com/DivergentCIO/status/1364195811152773127","1364195811152773127")</f>
        <v>1364195811152773127</v>
      </c>
      <c r="F907" s="7" t="s">
        <v>4170</v>
      </c>
      <c r="G907" s="8"/>
      <c r="H907" s="8"/>
      <c r="I907" s="14">
        <v>4</v>
      </c>
      <c r="J907" s="14">
        <v>4</v>
      </c>
      <c r="K907" s="6" t="str">
        <f>HYPERLINK("https://buffer.com","Buffer")</f>
        <v>Buffer</v>
      </c>
      <c r="L907" s="15">
        <v>28614</v>
      </c>
      <c r="M907" s="15">
        <v>26399</v>
      </c>
      <c r="N907" s="15">
        <v>1647</v>
      </c>
      <c r="O907" s="9"/>
      <c r="P907" s="10">
        <v>42071.947187500002</v>
      </c>
      <c r="Q907" s="14" t="s">
        <v>3915</v>
      </c>
      <c r="R907" s="14" t="s">
        <v>3916</v>
      </c>
      <c r="S907" s="7" t="s">
        <v>3917</v>
      </c>
      <c r="T907" s="8"/>
      <c r="U907" s="11" t="str">
        <f>HYPERLINK("https://pbs.twimg.com/profile_images/767507322583199745/rpfbzBzg.jpg","View")</f>
        <v>View</v>
      </c>
      <c r="V907" s="8"/>
      <c r="W907" s="8"/>
      <c r="X907" s="8"/>
      <c r="Y907" s="8"/>
      <c r="Z907" s="8"/>
    </row>
    <row r="908" spans="1:26" ht="13.2">
      <c r="A908" s="13">
        <v>44250.576180555552</v>
      </c>
      <c r="B908" s="6" t="str">
        <f>HYPERLINK("https://twitter.com/hardmaru","@hardmaru")</f>
        <v>@hardmaru</v>
      </c>
      <c r="C908" s="14" t="s">
        <v>4171</v>
      </c>
      <c r="D908" s="14" t="s">
        <v>4172</v>
      </c>
      <c r="E908" s="6" t="str">
        <f>HYPERLINK("https://twitter.com/hardmaru/status/1364195729699262468","1364195729699262468")</f>
        <v>1364195729699262468</v>
      </c>
      <c r="F908" s="7" t="s">
        <v>4173</v>
      </c>
      <c r="G908" s="8"/>
      <c r="H908" s="8"/>
      <c r="I908" s="14">
        <v>11</v>
      </c>
      <c r="J908" s="14">
        <v>48</v>
      </c>
      <c r="K908" s="6" t="str">
        <f>HYPERLINK("http://twitter.com/download/iphone","Twitter for iPhone")</f>
        <v>Twitter for iPhone</v>
      </c>
      <c r="L908" s="15">
        <v>97790</v>
      </c>
      <c r="M908" s="15">
        <v>955</v>
      </c>
      <c r="N908" s="15">
        <v>1969</v>
      </c>
      <c r="O908" s="9"/>
      <c r="P908" s="10">
        <v>41953.503553240742</v>
      </c>
      <c r="Q908" s="14" t="s">
        <v>4174</v>
      </c>
      <c r="R908" s="14" t="s">
        <v>4175</v>
      </c>
      <c r="S908" s="7" t="s">
        <v>4176</v>
      </c>
      <c r="T908" s="8"/>
      <c r="U908" s="11" t="str">
        <f>HYPERLINK("https://pbs.twimg.com/profile_images/1244133811278852097/rxL5LqpS.png","View")</f>
        <v>View</v>
      </c>
      <c r="V908" s="8"/>
      <c r="W908" s="8"/>
      <c r="X908" s="8"/>
      <c r="Y908" s="8"/>
      <c r="Z908" s="8"/>
    </row>
    <row r="909" spans="1:26" ht="13.2">
      <c r="A909" s="13">
        <v>44250.575717592597</v>
      </c>
      <c r="B909" s="6" t="str">
        <f>HYPERLINK("https://twitter.com/Datascience__","@Datascience__")</f>
        <v>@Datascience__</v>
      </c>
      <c r="C909" s="14" t="s">
        <v>1082</v>
      </c>
      <c r="D909" s="14" t="s">
        <v>4177</v>
      </c>
      <c r="E909" s="6" t="str">
        <f>HYPERLINK("https://twitter.com/Datascience__/status/1364195564288671750","1364195564288671750")</f>
        <v>1364195564288671750</v>
      </c>
      <c r="F909" s="7" t="s">
        <v>4178</v>
      </c>
      <c r="G909" s="8"/>
      <c r="H909" s="8"/>
      <c r="I909" s="14">
        <v>0</v>
      </c>
      <c r="J909" s="14">
        <v>1</v>
      </c>
      <c r="K909" s="6" t="str">
        <f>HYPERLINK("https://twitter.com/pythonbot_","Postmatico")</f>
        <v>Postmatico</v>
      </c>
      <c r="L909" s="15">
        <v>21499</v>
      </c>
      <c r="M909" s="15">
        <v>11071</v>
      </c>
      <c r="N909" s="15">
        <v>0</v>
      </c>
      <c r="O909" s="9"/>
      <c r="P909" s="10">
        <v>42735.551377314812</v>
      </c>
      <c r="Q909" s="8"/>
      <c r="R909" s="14" t="s">
        <v>1085</v>
      </c>
      <c r="S909" s="7" t="s">
        <v>1086</v>
      </c>
      <c r="T909" s="8"/>
      <c r="U909" s="11" t="str">
        <f>HYPERLINK("https://pbs.twimg.com/profile_images/989066461435097088/AQZSFyuk.jpg","View")</f>
        <v>View</v>
      </c>
      <c r="V909" s="8"/>
      <c r="W909" s="8"/>
      <c r="X909" s="8"/>
      <c r="Y909" s="8"/>
      <c r="Z909" s="8"/>
    </row>
    <row r="910" spans="1:26" ht="13.2">
      <c r="A910" s="13">
        <v>44250.574826388889</v>
      </c>
      <c r="B910" s="6" t="str">
        <f>HYPERLINK("https://twitter.com/dreoporto","@dreoporto")</f>
        <v>@dreoporto</v>
      </c>
      <c r="C910" s="14" t="s">
        <v>4179</v>
      </c>
      <c r="D910" s="14" t="s">
        <v>4180</v>
      </c>
      <c r="E910" s="6" t="str">
        <f>HYPERLINK("https://twitter.com/dreoporto/status/1364195238542266368","1364195238542266368")</f>
        <v>1364195238542266368</v>
      </c>
      <c r="F910" s="14" t="s">
        <v>4181</v>
      </c>
      <c r="G910" s="8"/>
      <c r="H910" s="8"/>
      <c r="I910" s="14">
        <v>4</v>
      </c>
      <c r="J910" s="14">
        <v>2</v>
      </c>
      <c r="K910" s="6" t="str">
        <f>HYPERLINK("http://twitter.com/#!/download/ipad","Twitter for iPad")</f>
        <v>Twitter for iPad</v>
      </c>
      <c r="L910" s="15">
        <v>125</v>
      </c>
      <c r="M910" s="15">
        <v>410</v>
      </c>
      <c r="N910" s="15">
        <v>29</v>
      </c>
      <c r="O910" s="9"/>
      <c r="P910" s="10">
        <v>40107.594525462962</v>
      </c>
      <c r="Q910" s="14" t="s">
        <v>4182</v>
      </c>
      <c r="R910" s="14" t="s">
        <v>4183</v>
      </c>
      <c r="S910" s="7" t="s">
        <v>4184</v>
      </c>
      <c r="T910" s="8"/>
      <c r="U910" s="11" t="str">
        <f>HYPERLINK("https://pbs.twimg.com/profile_images/1314016104277323776/GGhVXk7C.jpg","View")</f>
        <v>View</v>
      </c>
      <c r="V910" s="8"/>
      <c r="W910" s="8"/>
      <c r="X910" s="8"/>
      <c r="Y910" s="8"/>
      <c r="Z910" s="8"/>
    </row>
    <row r="911" spans="1:26" ht="13.2">
      <c r="A911" s="13">
        <v>44250.574814814812</v>
      </c>
      <c r="B911" s="6" t="str">
        <f>HYPERLINK("https://twitter.com/TechGDPR","@TechGDPR")</f>
        <v>@TechGDPR</v>
      </c>
      <c r="C911" s="14" t="s">
        <v>4185</v>
      </c>
      <c r="D911" s="14" t="s">
        <v>4186</v>
      </c>
      <c r="E911" s="6" t="str">
        <f>HYPERLINK("https://twitter.com/TechGDPR/status/1364195238051536900","1364195238051536900")</f>
        <v>1364195238051536900</v>
      </c>
      <c r="F911" s="8"/>
      <c r="G911" s="7" t="s">
        <v>4187</v>
      </c>
      <c r="H911" s="8"/>
      <c r="I911" s="14">
        <v>3</v>
      </c>
      <c r="J911" s="14">
        <v>0</v>
      </c>
      <c r="K911" s="6" t="str">
        <f>HYPERLINK("https://mobile.twitter.com","Twitter Web App")</f>
        <v>Twitter Web App</v>
      </c>
      <c r="L911" s="15">
        <v>438</v>
      </c>
      <c r="M911" s="15">
        <v>241</v>
      </c>
      <c r="N911" s="15">
        <v>11</v>
      </c>
      <c r="O911" s="9"/>
      <c r="P911" s="10">
        <v>43082.679525462961</v>
      </c>
      <c r="Q911" s="14" t="s">
        <v>3464</v>
      </c>
      <c r="R911" s="14" t="s">
        <v>4188</v>
      </c>
      <c r="S911" s="7" t="s">
        <v>4189</v>
      </c>
      <c r="T911" s="8"/>
      <c r="U911" s="11" t="str">
        <f>HYPERLINK("https://pbs.twimg.com/profile_images/941050671759085570/bV9v_ury.jpg","View")</f>
        <v>View</v>
      </c>
      <c r="V911" s="8"/>
      <c r="W911" s="8"/>
      <c r="X911" s="8"/>
      <c r="Y911" s="8"/>
      <c r="Z911" s="8"/>
    </row>
    <row r="912" spans="1:26" ht="13.2">
      <c r="A912" s="13">
        <v>44250.574710648143</v>
      </c>
      <c r="B912" s="6" t="str">
        <f>HYPERLINK("https://twitter.com/ehuntober","@ehuntober")</f>
        <v>@ehuntober</v>
      </c>
      <c r="C912" s="14" t="s">
        <v>4190</v>
      </c>
      <c r="D912" s="14" t="s">
        <v>4191</v>
      </c>
      <c r="E912" s="6" t="str">
        <f>HYPERLINK("https://twitter.com/ehuntober/status/1364195199065481217","1364195199065481217")</f>
        <v>1364195199065481217</v>
      </c>
      <c r="F912" s="8"/>
      <c r="G912" s="7" t="s">
        <v>4192</v>
      </c>
      <c r="H912" s="8"/>
      <c r="I912" s="14">
        <v>12</v>
      </c>
      <c r="J912" s="14">
        <v>10</v>
      </c>
      <c r="K912" s="6" t="str">
        <f>HYPERLINK("http://twitter.com/download/android","Twitter for Android")</f>
        <v>Twitter for Android</v>
      </c>
      <c r="L912" s="15">
        <v>118</v>
      </c>
      <c r="M912" s="15">
        <v>552</v>
      </c>
      <c r="N912" s="15">
        <v>1</v>
      </c>
      <c r="O912" s="9"/>
      <c r="P912" s="10">
        <v>44118.707048611112</v>
      </c>
      <c r="Q912" s="14" t="s">
        <v>4193</v>
      </c>
      <c r="R912" s="14" t="s">
        <v>4194</v>
      </c>
      <c r="S912" s="7" t="s">
        <v>4195</v>
      </c>
      <c r="T912" s="8"/>
      <c r="U912" s="11" t="str">
        <f>HYPERLINK("https://pbs.twimg.com/profile_images/1362421992864030721/U_F3kxt1.jpg","View")</f>
        <v>View</v>
      </c>
      <c r="V912" s="8"/>
      <c r="W912" s="8"/>
      <c r="X912" s="8"/>
      <c r="Y912" s="8"/>
      <c r="Z912" s="8"/>
    </row>
    <row r="913" spans="1:26" ht="13.2">
      <c r="A913" s="13">
        <v>44250.574513888889</v>
      </c>
      <c r="B913" s="6" t="str">
        <f>HYPERLINK("https://twitter.com/Datategy_France","@Datategy_France")</f>
        <v>@Datategy_France</v>
      </c>
      <c r="C913" s="14" t="s">
        <v>4196</v>
      </c>
      <c r="D913" s="14" t="s">
        <v>4197</v>
      </c>
      <c r="E913" s="6" t="str">
        <f>HYPERLINK("https://twitter.com/Datategy_France/status/1364195126227181569","1364195126227181569")</f>
        <v>1364195126227181569</v>
      </c>
      <c r="F913" s="7" t="s">
        <v>4198</v>
      </c>
      <c r="G913" s="8"/>
      <c r="H913" s="8"/>
      <c r="I913" s="14">
        <v>1</v>
      </c>
      <c r="J913" s="14">
        <v>1</v>
      </c>
      <c r="K913" s="6" t="str">
        <f>HYPERLINK("https://mobile.twitter.com","Twitter Web App")</f>
        <v>Twitter Web App</v>
      </c>
      <c r="L913" s="15">
        <v>61</v>
      </c>
      <c r="M913" s="15">
        <v>3</v>
      </c>
      <c r="N913" s="15">
        <v>2</v>
      </c>
      <c r="O913" s="9"/>
      <c r="P913" s="10">
        <v>43210.486759259264</v>
      </c>
      <c r="Q913" s="14" t="s">
        <v>106</v>
      </c>
      <c r="R913" s="14" t="s">
        <v>4199</v>
      </c>
      <c r="S913" s="7" t="s">
        <v>4200</v>
      </c>
      <c r="T913" s="8"/>
      <c r="U913" s="11" t="str">
        <f>HYPERLINK("https://pbs.twimg.com/profile_images/1318462287603257344/Z9Swtwir.jpg","View")</f>
        <v>View</v>
      </c>
      <c r="V913" s="8"/>
      <c r="W913" s="8"/>
      <c r="X913" s="8"/>
      <c r="Y913" s="8"/>
      <c r="Z913" s="8"/>
    </row>
    <row r="914" spans="1:26" ht="13.2">
      <c r="A914" s="13">
        <v>44250.573275462964</v>
      </c>
      <c r="B914" s="6" t="str">
        <f>HYPERLINK("https://twitter.com/informalai","@informalai")</f>
        <v>@informalai</v>
      </c>
      <c r="C914" s="14" t="s">
        <v>4201</v>
      </c>
      <c r="D914" s="14" t="s">
        <v>4202</v>
      </c>
      <c r="E914" s="6" t="str">
        <f>HYPERLINK("https://twitter.com/informalai/status/1364194677356961795","1364194677356961795")</f>
        <v>1364194677356961795</v>
      </c>
      <c r="F914" s="7" t="s">
        <v>4203</v>
      </c>
      <c r="G914" s="8"/>
      <c r="H914" s="8"/>
      <c r="I914" s="14">
        <v>1</v>
      </c>
      <c r="J914" s="14">
        <v>2</v>
      </c>
      <c r="K914" s="6" t="str">
        <f>HYPERLINK("http://twitter.com/download/android","Twitter for Android")</f>
        <v>Twitter for Android</v>
      </c>
      <c r="L914" s="15">
        <v>13</v>
      </c>
      <c r="M914" s="15">
        <v>110</v>
      </c>
      <c r="N914" s="15">
        <v>0</v>
      </c>
      <c r="O914" s="9"/>
      <c r="P914" s="10">
        <v>44033.44295138889</v>
      </c>
      <c r="Q914" s="8"/>
      <c r="R914" s="14" t="s">
        <v>4204</v>
      </c>
      <c r="S914" s="7" t="s">
        <v>4205</v>
      </c>
      <c r="T914" s="8"/>
      <c r="U914" s="11" t="str">
        <f>HYPERLINK("https://pbs.twimg.com/profile_images/1319877529314811904/QkUBRdLx.jpg","View")</f>
        <v>View</v>
      </c>
      <c r="V914" s="8"/>
      <c r="W914" s="8"/>
      <c r="X914" s="8"/>
      <c r="Y914" s="8"/>
      <c r="Z914" s="8"/>
    </row>
    <row r="915" spans="1:26" ht="13.2">
      <c r="A915" s="13">
        <v>44250.573263888888</v>
      </c>
      <c r="B915" s="6" t="str">
        <f>HYPERLINK("https://twitter.com/nonhumanSAM","@nonhumanSAM")</f>
        <v>@nonhumanSAM</v>
      </c>
      <c r="C915" s="14" t="s">
        <v>4206</v>
      </c>
      <c r="D915" s="14" t="s">
        <v>4207</v>
      </c>
      <c r="E915" s="6" t="str">
        <f>HYPERLINK("https://twitter.com/nonhumanSAM/status/1364194672344772608","1364194672344772608")</f>
        <v>1364194672344772608</v>
      </c>
      <c r="F915" s="8"/>
      <c r="G915" s="8"/>
      <c r="H915" s="8"/>
      <c r="I915" s="14">
        <v>1</v>
      </c>
      <c r="J915" s="14">
        <v>1</v>
      </c>
      <c r="K915" s="6" t="str">
        <f>HYPERLINK("https://cheapbotsdonequick.com","Cheap Bots, Done Quick!")</f>
        <v>Cheap Bots, Done Quick!</v>
      </c>
      <c r="L915" s="15">
        <v>39</v>
      </c>
      <c r="M915" s="15">
        <v>74</v>
      </c>
      <c r="N915" s="15">
        <v>5</v>
      </c>
      <c r="O915" s="9"/>
      <c r="P915" s="10">
        <v>42902.64230324074</v>
      </c>
      <c r="Q915" s="8"/>
      <c r="R915" s="8"/>
      <c r="S915" s="8"/>
      <c r="T915" s="8"/>
      <c r="U915" s="11" t="str">
        <f>HYPERLINK("https://pbs.twimg.com/profile_images/885918576263254016/i_gWcQuO.jpg","View")</f>
        <v>View</v>
      </c>
      <c r="V915" s="8"/>
      <c r="W915" s="8"/>
      <c r="X915" s="8"/>
      <c r="Y915" s="8"/>
      <c r="Z915" s="8"/>
    </row>
    <row r="916" spans="1:26" ht="13.2">
      <c r="A916" s="13">
        <v>44250.57304398148</v>
      </c>
      <c r="B916" s="6" t="str">
        <f>HYPERLINK("https://twitter.com/ImonUix","@ImonUix")</f>
        <v>@ImonUix</v>
      </c>
      <c r="C916" s="14" t="s">
        <v>4208</v>
      </c>
      <c r="D916" s="14" t="s">
        <v>4209</v>
      </c>
      <c r="E916" s="6" t="str">
        <f>HYPERLINK("https://twitter.com/ImonUix/status/1364194595572219907","1364194595572219907")</f>
        <v>1364194595572219907</v>
      </c>
      <c r="F916" s="7" t="s">
        <v>4210</v>
      </c>
      <c r="G916" s="7" t="s">
        <v>4211</v>
      </c>
      <c r="H916" s="8"/>
      <c r="I916" s="14">
        <v>10</v>
      </c>
      <c r="J916" s="14">
        <v>5</v>
      </c>
      <c r="K916" s="6" t="str">
        <f>HYPERLINK("https://mobile.twitter.com","Twitter Web App")</f>
        <v>Twitter Web App</v>
      </c>
      <c r="L916" s="15">
        <v>533</v>
      </c>
      <c r="M916" s="15">
        <v>1091</v>
      </c>
      <c r="N916" s="15">
        <v>4</v>
      </c>
      <c r="O916" s="9"/>
      <c r="P916" s="10">
        <v>43800.649212962962</v>
      </c>
      <c r="Q916" s="8"/>
      <c r="R916" s="14" t="s">
        <v>4212</v>
      </c>
      <c r="S916" s="7" t="s">
        <v>4213</v>
      </c>
      <c r="T916" s="8"/>
      <c r="U916" s="11" t="str">
        <f>HYPERLINK("https://pbs.twimg.com/profile_images/1201148378882740225/V9Rabhz2.jpg","View")</f>
        <v>View</v>
      </c>
      <c r="V916" s="8"/>
      <c r="W916" s="8"/>
      <c r="X916" s="8"/>
      <c r="Y916" s="8"/>
      <c r="Z916" s="8"/>
    </row>
    <row r="917" spans="1:26" ht="13.2">
      <c r="A917" s="13">
        <v>44250.573020833333</v>
      </c>
      <c r="B917" s="6" t="str">
        <f>HYPERLINK("https://twitter.com/khumie__","@khumie__")</f>
        <v>@khumie__</v>
      </c>
      <c r="C917" s="14" t="s">
        <v>4214</v>
      </c>
      <c r="D917" s="14" t="s">
        <v>4215</v>
      </c>
      <c r="E917" s="6" t="str">
        <f>HYPERLINK("https://twitter.com/khumie__/status/1364194586202157056","1364194586202157056")</f>
        <v>1364194586202157056</v>
      </c>
      <c r="F917" s="8"/>
      <c r="G917" s="7" t="s">
        <v>4216</v>
      </c>
      <c r="H917" s="8"/>
      <c r="I917" s="14">
        <v>0</v>
      </c>
      <c r="J917" s="14">
        <v>1</v>
      </c>
      <c r="K917" s="6" t="str">
        <f>HYPERLINK("http://twitter.com/download/android","Twitter for Android")</f>
        <v>Twitter for Android</v>
      </c>
      <c r="L917" s="15">
        <v>24</v>
      </c>
      <c r="M917" s="15">
        <v>64</v>
      </c>
      <c r="N917" s="15">
        <v>0</v>
      </c>
      <c r="O917" s="9"/>
      <c r="P917" s="10">
        <v>43794.739259259259</v>
      </c>
      <c r="Q917" s="14" t="s">
        <v>4217</v>
      </c>
      <c r="R917" s="14" t="s">
        <v>4218</v>
      </c>
      <c r="S917" s="8"/>
      <c r="T917" s="8"/>
      <c r="U917" s="11" t="str">
        <f>HYPERLINK("https://pbs.twimg.com/profile_images/1350176140447637505/OsUPgPk7.jpg","View")</f>
        <v>View</v>
      </c>
      <c r="V917" s="8"/>
      <c r="W917" s="8"/>
      <c r="X917" s="8"/>
      <c r="Y917" s="8"/>
      <c r="Z917" s="8"/>
    </row>
    <row r="918" spans="1:26" ht="13.2">
      <c r="A918" s="13">
        <v>44250.572905092587</v>
      </c>
      <c r="B918" s="6" t="str">
        <f>HYPERLINK("https://twitter.com/AddaliaTech","@AddaliaTech")</f>
        <v>@AddaliaTech</v>
      </c>
      <c r="C918" s="14" t="s">
        <v>4219</v>
      </c>
      <c r="D918" s="14" t="s">
        <v>4220</v>
      </c>
      <c r="E918" s="6" t="str">
        <f>HYPERLINK("https://twitter.com/AddaliaTech/status/1364194543772532737","1364194543772532737")</f>
        <v>1364194543772532737</v>
      </c>
      <c r="F918" s="7" t="s">
        <v>4221</v>
      </c>
      <c r="G918" s="8"/>
      <c r="H918" s="8"/>
      <c r="I918" s="14">
        <v>1</v>
      </c>
      <c r="J918" s="14">
        <v>1</v>
      </c>
      <c r="K918" s="6" t="str">
        <f>HYPERLINK("http://www.hubspot.com/","HubSpot")</f>
        <v>HubSpot</v>
      </c>
      <c r="L918" s="15">
        <v>590</v>
      </c>
      <c r="M918" s="15">
        <v>780</v>
      </c>
      <c r="N918" s="15">
        <v>1</v>
      </c>
      <c r="O918" s="9"/>
      <c r="P918" s="10">
        <v>42467.414988425924</v>
      </c>
      <c r="Q918" s="14" t="s">
        <v>2396</v>
      </c>
      <c r="R918" s="14" t="s">
        <v>4222</v>
      </c>
      <c r="S918" s="7" t="s">
        <v>4223</v>
      </c>
      <c r="T918" s="8"/>
      <c r="U918" s="11" t="str">
        <f>HYPERLINK("https://pbs.twimg.com/profile_images/912275937542238208/OfJc10UQ.jpg","View")</f>
        <v>View</v>
      </c>
      <c r="V918" s="8"/>
      <c r="W918" s="8"/>
      <c r="X918" s="8"/>
      <c r="Y918" s="8"/>
      <c r="Z918" s="8"/>
    </row>
    <row r="919" spans="1:26" ht="13.2">
      <c r="A919" s="13">
        <v>44250.572719907403</v>
      </c>
      <c r="B919" s="6" t="str">
        <f>HYPERLINK("https://twitter.com/cornichecorp","@cornichecorp")</f>
        <v>@cornichecorp</v>
      </c>
      <c r="C919" s="14" t="s">
        <v>2271</v>
      </c>
      <c r="D919" s="14" t="s">
        <v>4224</v>
      </c>
      <c r="E919" s="6" t="str">
        <f>HYPERLINK("https://twitter.com/cornichecorp/status/1364194477041213442","1364194477041213442")</f>
        <v>1364194477041213442</v>
      </c>
      <c r="F919" s="14" t="s">
        <v>4225</v>
      </c>
      <c r="G919" s="8"/>
      <c r="H919" s="8"/>
      <c r="I919" s="14">
        <v>0</v>
      </c>
      <c r="J919" s="14">
        <v>0</v>
      </c>
      <c r="K919" s="6" t="str">
        <f>HYPERLINK("http://twinybots.com","TwinyBots")</f>
        <v>TwinyBots</v>
      </c>
      <c r="L919" s="15">
        <v>2349</v>
      </c>
      <c r="M919" s="15">
        <v>2163</v>
      </c>
      <c r="N919" s="15">
        <v>30</v>
      </c>
      <c r="O919" s="9"/>
      <c r="P919" s="10">
        <v>42246.917499999996</v>
      </c>
      <c r="Q919" s="14" t="s">
        <v>2274</v>
      </c>
      <c r="R919" s="14" t="s">
        <v>2275</v>
      </c>
      <c r="S919" s="8"/>
      <c r="T919" s="8"/>
      <c r="U919" s="11" t="str">
        <f>HYPERLINK("https://pbs.twimg.com/profile_images/1135863200396775424/vPe8Htor.png","View")</f>
        <v>View</v>
      </c>
      <c r="V919" s="8"/>
      <c r="W919" s="8"/>
      <c r="X919" s="8"/>
      <c r="Y919" s="8"/>
      <c r="Z919" s="8"/>
    </row>
    <row r="920" spans="1:26" ht="13.2">
      <c r="A920" s="13">
        <v>44250.571527777778</v>
      </c>
      <c r="B920" s="6" t="str">
        <f>HYPERLINK("https://twitter.com/StanleyEpstein","@StanleyEpstein")</f>
        <v>@StanleyEpstein</v>
      </c>
      <c r="C920" s="14" t="s">
        <v>4226</v>
      </c>
      <c r="D920" s="14" t="s">
        <v>4227</v>
      </c>
      <c r="E920" s="6" t="str">
        <f>HYPERLINK("https://twitter.com/StanleyEpstein/status/1364194044029636610","1364194044029636610")</f>
        <v>1364194044029636610</v>
      </c>
      <c r="F920" s="7" t="s">
        <v>4228</v>
      </c>
      <c r="G920" s="7" t="s">
        <v>4229</v>
      </c>
      <c r="H920" s="8"/>
      <c r="I920" s="14">
        <v>1</v>
      </c>
      <c r="J920" s="14">
        <v>0</v>
      </c>
      <c r="K920" s="6" t="str">
        <f>HYPERLINK("https://about.twitter.com/products/tweetdeck","TweetDeck")</f>
        <v>TweetDeck</v>
      </c>
      <c r="L920" s="15">
        <v>4627</v>
      </c>
      <c r="M920" s="15">
        <v>209</v>
      </c>
      <c r="N920" s="15">
        <v>1099</v>
      </c>
      <c r="O920" s="9"/>
      <c r="P920" s="10">
        <v>39959.662395833337</v>
      </c>
      <c r="Q920" s="8"/>
      <c r="R920" s="14" t="s">
        <v>4230</v>
      </c>
      <c r="S920" s="7" t="s">
        <v>4231</v>
      </c>
      <c r="T920" s="8"/>
      <c r="U920" s="11" t="str">
        <f>HYPERLINK("https://pbs.twimg.com/profile_images/1029382278399631362/IFzuMwnm.jpg","View")</f>
        <v>View</v>
      </c>
      <c r="V920" s="8"/>
      <c r="W920" s="8"/>
      <c r="X920" s="8"/>
      <c r="Y920" s="8"/>
      <c r="Z920" s="8"/>
    </row>
    <row r="921" spans="1:26" ht="13.2">
      <c r="A921" s="13">
        <v>44250.571111111116</v>
      </c>
      <c r="B921" s="6" t="str">
        <f>HYPERLINK("https://twitter.com/Techfuturenew","@Techfuturenew")</f>
        <v>@Techfuturenew</v>
      </c>
      <c r="C921" s="14" t="s">
        <v>1725</v>
      </c>
      <c r="D921" s="14" t="s">
        <v>4133</v>
      </c>
      <c r="E921" s="6" t="str">
        <f>HYPERLINK("https://twitter.com/Techfuturenew/status/1364193892082610176","1364193892082610176")</f>
        <v>1364193892082610176</v>
      </c>
      <c r="F921" s="14" t="s">
        <v>4134</v>
      </c>
      <c r="G921" s="8"/>
      <c r="H921" s="8"/>
      <c r="I921" s="14">
        <v>2</v>
      </c>
      <c r="J921" s="14">
        <v>1</v>
      </c>
      <c r="K921" s="6" t="str">
        <f t="shared" ref="K921:K922" si="145">HYPERLINK("http://twinybots.com","TwinyBots")</f>
        <v>TwinyBots</v>
      </c>
      <c r="L921" s="15">
        <v>961</v>
      </c>
      <c r="M921" s="15">
        <v>411</v>
      </c>
      <c r="N921" s="15">
        <v>17</v>
      </c>
      <c r="O921" s="9"/>
      <c r="P921" s="10">
        <v>43080.534120370372</v>
      </c>
      <c r="Q921" s="14" t="s">
        <v>322</v>
      </c>
      <c r="R921" s="14" t="s">
        <v>1727</v>
      </c>
      <c r="S921" s="8"/>
      <c r="T921" s="8"/>
      <c r="U921" s="11" t="str">
        <f>HYPERLINK("https://pbs.twimg.com/profile_images/1201246977150922755/lKxY2XSy.jpg","View")</f>
        <v>View</v>
      </c>
      <c r="V921" s="8"/>
      <c r="W921" s="8"/>
      <c r="X921" s="8"/>
      <c r="Y921" s="8"/>
      <c r="Z921" s="8"/>
    </row>
    <row r="922" spans="1:26" ht="13.2">
      <c r="A922" s="13">
        <v>44250.571099537032</v>
      </c>
      <c r="B922" s="6" t="str">
        <f>HYPERLINK("https://twitter.com/naikrd","@naikrd")</f>
        <v>@naikrd</v>
      </c>
      <c r="C922" s="14" t="s">
        <v>3152</v>
      </c>
      <c r="D922" s="14" t="s">
        <v>2458</v>
      </c>
      <c r="E922" s="6" t="str">
        <f>HYPERLINK("https://twitter.com/naikrd/status/1364193889276604423","1364193889276604423")</f>
        <v>1364193889276604423</v>
      </c>
      <c r="F922" s="14" t="s">
        <v>2459</v>
      </c>
      <c r="G922" s="8"/>
      <c r="H922" s="8"/>
      <c r="I922" s="14">
        <v>0</v>
      </c>
      <c r="J922" s="14">
        <v>0</v>
      </c>
      <c r="K922" s="6" t="str">
        <f t="shared" si="145"/>
        <v>TwinyBots</v>
      </c>
      <c r="L922" s="15">
        <v>525</v>
      </c>
      <c r="M922" s="15">
        <v>297</v>
      </c>
      <c r="N922" s="15">
        <v>25</v>
      </c>
      <c r="O922" s="9"/>
      <c r="P922" s="10">
        <v>39946.865474537037</v>
      </c>
      <c r="Q922" s="14" t="s">
        <v>914</v>
      </c>
      <c r="R922" s="14" t="s">
        <v>3155</v>
      </c>
      <c r="S922" s="8"/>
      <c r="T922" s="8"/>
      <c r="U922" s="11" t="str">
        <f>HYPERLINK("https://pbs.twimg.com/profile_images/1185037441696174080/kw-QxCdn.jpg","View")</f>
        <v>View</v>
      </c>
      <c r="V922" s="8"/>
      <c r="W922" s="8"/>
      <c r="X922" s="8"/>
      <c r="Y922" s="8"/>
      <c r="Z922" s="8"/>
    </row>
    <row r="923" spans="1:26" ht="13.2">
      <c r="A923" s="13">
        <v>44250.571087962962</v>
      </c>
      <c r="B923" s="6" t="str">
        <f>HYPERLINK("https://twitter.com/bkornell","@bkornell")</f>
        <v>@bkornell</v>
      </c>
      <c r="C923" s="14" t="s">
        <v>4232</v>
      </c>
      <c r="D923" s="14" t="s">
        <v>4233</v>
      </c>
      <c r="E923" s="6" t="str">
        <f>HYPERLINK("https://twitter.com/bkornell/status/1364193884339847168","1364193884339847168")</f>
        <v>1364193884339847168</v>
      </c>
      <c r="F923" s="7" t="s">
        <v>4234</v>
      </c>
      <c r="G923" s="8"/>
      <c r="H923" s="8"/>
      <c r="I923" s="14">
        <v>3</v>
      </c>
      <c r="J923" s="14">
        <v>3</v>
      </c>
      <c r="K923" s="6" t="str">
        <f>HYPERLINK("https://mobile.twitter.com","Twitter Web App")</f>
        <v>Twitter Web App</v>
      </c>
      <c r="L923" s="15">
        <v>264</v>
      </c>
      <c r="M923" s="15">
        <v>241</v>
      </c>
      <c r="N923" s="15">
        <v>11</v>
      </c>
      <c r="O923" s="9"/>
      <c r="P923" s="10">
        <v>40170.857106481482</v>
      </c>
      <c r="Q923" s="14" t="s">
        <v>221</v>
      </c>
      <c r="R923" s="14" t="s">
        <v>4235</v>
      </c>
      <c r="S923" s="7" t="s">
        <v>4236</v>
      </c>
      <c r="T923" s="8"/>
      <c r="U923" s="11" t="str">
        <f>HYPERLINK("https://pbs.twimg.com/profile_images/1106111585/diner_3.jpg","View")</f>
        <v>View</v>
      </c>
      <c r="V923" s="8"/>
      <c r="W923" s="8"/>
      <c r="X923" s="8"/>
      <c r="Y923" s="8"/>
      <c r="Z923" s="8"/>
    </row>
    <row r="924" spans="1:26" ht="13.2">
      <c r="A924" s="13">
        <v>44250.571053240739</v>
      </c>
      <c r="B924" s="6" t="str">
        <f>HYPERLINK("https://twitter.com/FaceSpaceAI","@FaceSpaceAI")</f>
        <v>@FaceSpaceAI</v>
      </c>
      <c r="C924" s="7" t="s">
        <v>4237</v>
      </c>
      <c r="D924" s="14" t="s">
        <v>4238</v>
      </c>
      <c r="E924" s="6" t="str">
        <f>HYPERLINK("https://twitter.com/FaceSpaceAI/status/1364193872570703872","1364193872570703872")</f>
        <v>1364193872570703872</v>
      </c>
      <c r="F924" s="7" t="s">
        <v>4239</v>
      </c>
      <c r="G924" s="8"/>
      <c r="H924" s="8"/>
      <c r="I924" s="14">
        <v>0</v>
      </c>
      <c r="J924" s="14">
        <v>0</v>
      </c>
      <c r="K924" s="6" t="str">
        <f>HYPERLINK("https://contentstudio.io","ContentStudio.io")</f>
        <v>ContentStudio.io</v>
      </c>
      <c r="L924" s="15">
        <v>19</v>
      </c>
      <c r="M924" s="15">
        <v>21</v>
      </c>
      <c r="N924" s="15">
        <v>0</v>
      </c>
      <c r="O924" s="9"/>
      <c r="P924" s="10">
        <v>43452.990567129629</v>
      </c>
      <c r="Q924" s="14" t="s">
        <v>914</v>
      </c>
      <c r="R924" s="14" t="s">
        <v>4240</v>
      </c>
      <c r="S924" s="7" t="s">
        <v>4241</v>
      </c>
      <c r="T924" s="8"/>
      <c r="U924" s="11" t="str">
        <f>HYPERLINK("https://pbs.twimg.com/profile_images/1111040199960772608/_4PaqM40.jpg","View")</f>
        <v>View</v>
      </c>
      <c r="V924" s="8"/>
      <c r="W924" s="8"/>
      <c r="X924" s="8"/>
      <c r="Y924" s="8"/>
      <c r="Z924" s="8"/>
    </row>
    <row r="925" spans="1:26" ht="13.2">
      <c r="A925" s="13">
        <v>44250.569374999999</v>
      </c>
      <c r="B925" s="6" t="str">
        <f>HYPERLINK("https://twitter.com/Qlucore","@Qlucore")</f>
        <v>@Qlucore</v>
      </c>
      <c r="C925" s="14" t="s">
        <v>4242</v>
      </c>
      <c r="D925" s="14" t="s">
        <v>4243</v>
      </c>
      <c r="E925" s="6" t="str">
        <f>HYPERLINK("https://twitter.com/Qlucore/status/1364193263025029125","1364193263025029125")</f>
        <v>1364193263025029125</v>
      </c>
      <c r="F925" s="7" t="s">
        <v>4244</v>
      </c>
      <c r="G925" s="7" t="s">
        <v>4245</v>
      </c>
      <c r="H925" s="8"/>
      <c r="I925" s="14">
        <v>3</v>
      </c>
      <c r="J925" s="14">
        <v>5</v>
      </c>
      <c r="K925" s="6" t="str">
        <f t="shared" ref="K925:K926" si="146">HYPERLINK("https://mobile.twitter.com","Twitter Web App")</f>
        <v>Twitter Web App</v>
      </c>
      <c r="L925" s="15">
        <v>655</v>
      </c>
      <c r="M925" s="15">
        <v>953</v>
      </c>
      <c r="N925" s="15">
        <v>31</v>
      </c>
      <c r="O925" s="9"/>
      <c r="P925" s="10">
        <v>40709.479467592595</v>
      </c>
      <c r="Q925" s="14" t="s">
        <v>4246</v>
      </c>
      <c r="R925" s="14" t="s">
        <v>4247</v>
      </c>
      <c r="S925" s="7" t="s">
        <v>4248</v>
      </c>
      <c r="T925" s="8"/>
      <c r="U925" s="11" t="str">
        <f>HYPERLINK("https://pbs.twimg.com/profile_images/913740646241927168/09_LKdwv.jpg","View")</f>
        <v>View</v>
      </c>
      <c r="V925" s="8"/>
      <c r="W925" s="8"/>
      <c r="X925" s="8"/>
      <c r="Y925" s="8"/>
      <c r="Z925" s="8"/>
    </row>
    <row r="926" spans="1:26" ht="13.2">
      <c r="A926" s="13">
        <v>44250.568692129629</v>
      </c>
      <c r="B926" s="6" t="str">
        <f>HYPERLINK("https://twitter.com/mjcavaretta","@mjcavaretta")</f>
        <v>@mjcavaretta</v>
      </c>
      <c r="C926" s="14" t="s">
        <v>2463</v>
      </c>
      <c r="D926" s="14" t="s">
        <v>4249</v>
      </c>
      <c r="E926" s="6" t="str">
        <f>HYPERLINK("https://twitter.com/mjcavaretta/status/1364193016425152514","1364193016425152514")</f>
        <v>1364193016425152514</v>
      </c>
      <c r="F926" s="14" t="s">
        <v>4250</v>
      </c>
      <c r="G926" s="8"/>
      <c r="H926" s="8"/>
      <c r="I926" s="14">
        <v>0</v>
      </c>
      <c r="J926" s="14">
        <v>4</v>
      </c>
      <c r="K926" s="6" t="str">
        <f t="shared" si="146"/>
        <v>Twitter Web App</v>
      </c>
      <c r="L926" s="15">
        <v>16946</v>
      </c>
      <c r="M926" s="15">
        <v>6570</v>
      </c>
      <c r="N926" s="15">
        <v>1469</v>
      </c>
      <c r="O926" s="9"/>
      <c r="P926" s="10">
        <v>39941.666678240741</v>
      </c>
      <c r="Q926" s="14" t="s">
        <v>2466</v>
      </c>
      <c r="R926" s="14" t="s">
        <v>2467</v>
      </c>
      <c r="S926" s="7" t="s">
        <v>2468</v>
      </c>
      <c r="T926" s="8"/>
      <c r="U926" s="11" t="str">
        <f>HYPERLINK("https://pbs.twimg.com/profile_images/3641511865/06a74914910ecfbcf220979136ba34f8.jpeg","View")</f>
        <v>View</v>
      </c>
      <c r="V926" s="8"/>
      <c r="W926" s="8"/>
      <c r="X926" s="8"/>
      <c r="Y926" s="8"/>
      <c r="Z926" s="8"/>
    </row>
    <row r="927" spans="1:26" ht="13.2">
      <c r="A927" s="13">
        <v>44250.567731481482</v>
      </c>
      <c r="B927" s="6" t="str">
        <f>HYPERLINK("https://twitter.com/asifrazzaq1988","@asifrazzaq1988")</f>
        <v>@asifrazzaq1988</v>
      </c>
      <c r="C927" s="14" t="s">
        <v>53</v>
      </c>
      <c r="D927" s="14" t="s">
        <v>4251</v>
      </c>
      <c r="E927" s="6" t="str">
        <f>HYPERLINK("https://twitter.com/asifrazzaq1988/status/1364192670717943815","1364192670717943815")</f>
        <v>1364192670717943815</v>
      </c>
      <c r="F927" s="7" t="s">
        <v>4252</v>
      </c>
      <c r="G927" s="8"/>
      <c r="H927" s="8"/>
      <c r="I927" s="14">
        <v>1</v>
      </c>
      <c r="J927" s="14">
        <v>0</v>
      </c>
      <c r="K927" s="6" t="str">
        <f>HYPERLINK("https://dlvrit.com/","dlvr.it")</f>
        <v>dlvr.it</v>
      </c>
      <c r="L927" s="15">
        <v>5022</v>
      </c>
      <c r="M927" s="15">
        <v>3191</v>
      </c>
      <c r="N927" s="15">
        <v>77</v>
      </c>
      <c r="O927" s="9"/>
      <c r="P927" s="10">
        <v>42237.408136574071</v>
      </c>
      <c r="Q927" s="14" t="s">
        <v>56</v>
      </c>
      <c r="R927" s="14" t="s">
        <v>57</v>
      </c>
      <c r="S927" s="7" t="s">
        <v>58</v>
      </c>
      <c r="T927" s="8"/>
      <c r="U927" s="11" t="str">
        <f>HYPERLINK("https://pbs.twimg.com/profile_images/1329326638589382657/lE7wr_tF.jpg","View")</f>
        <v>View</v>
      </c>
      <c r="V927" s="8"/>
      <c r="W927" s="8"/>
      <c r="X927" s="8"/>
      <c r="Y927" s="8"/>
      <c r="Z927" s="8"/>
    </row>
    <row r="928" spans="1:26" ht="13.2">
      <c r="A928" s="13">
        <v>44250.567407407405</v>
      </c>
      <c r="B928" s="6" t="str">
        <f>HYPERLINK("https://twitter.com/Kingpin925","@Kingpin925")</f>
        <v>@Kingpin925</v>
      </c>
      <c r="C928" s="14" t="s">
        <v>4253</v>
      </c>
      <c r="D928" s="14" t="s">
        <v>4254</v>
      </c>
      <c r="E928" s="6" t="str">
        <f>HYPERLINK("https://twitter.com/Kingpin925/status/1364192550366502913","1364192550366502913")</f>
        <v>1364192550366502913</v>
      </c>
      <c r="F928" s="7" t="s">
        <v>4255</v>
      </c>
      <c r="G928" s="7" t="s">
        <v>4256</v>
      </c>
      <c r="H928" s="8"/>
      <c r="I928" s="14">
        <v>0</v>
      </c>
      <c r="J928" s="14">
        <v>0</v>
      </c>
      <c r="K928" s="6" t="str">
        <f>HYPERLINK("http://dynamicsignal.com/","Dynamic Signal")</f>
        <v>Dynamic Signal</v>
      </c>
      <c r="L928" s="15">
        <v>100</v>
      </c>
      <c r="M928" s="15">
        <v>208</v>
      </c>
      <c r="N928" s="15">
        <v>2</v>
      </c>
      <c r="O928" s="9"/>
      <c r="P928" s="10">
        <v>40604.795624999999</v>
      </c>
      <c r="Q928" s="14" t="s">
        <v>660</v>
      </c>
      <c r="R928" s="8"/>
      <c r="S928" s="8"/>
      <c r="T928" s="8"/>
      <c r="U928" s="11" t="str">
        <f>HYPERLINK("https://pbs.twimg.com/profile_images/744886815992078336/XJbxyv2N.jpg","View")</f>
        <v>View</v>
      </c>
      <c r="V928" s="8"/>
      <c r="W928" s="8"/>
      <c r="X928" s="8"/>
      <c r="Y928" s="8"/>
      <c r="Z928" s="8"/>
    </row>
    <row r="929" spans="1:26" ht="13.2">
      <c r="A929" s="13">
        <v>44250.567372685182</v>
      </c>
      <c r="B929" s="6" t="str">
        <f>HYPERLINK("https://twitter.com/DivergentCIO","@DivergentCIO")</f>
        <v>@DivergentCIO</v>
      </c>
      <c r="C929" s="14" t="s">
        <v>3912</v>
      </c>
      <c r="D929" s="14" t="s">
        <v>4257</v>
      </c>
      <c r="E929" s="6" t="str">
        <f>HYPERLINK("https://twitter.com/DivergentCIO/status/1364192538714898440","1364192538714898440")</f>
        <v>1364192538714898440</v>
      </c>
      <c r="F929" s="7" t="s">
        <v>4258</v>
      </c>
      <c r="G929" s="8"/>
      <c r="H929" s="8"/>
      <c r="I929" s="14">
        <v>1</v>
      </c>
      <c r="J929" s="14">
        <v>0</v>
      </c>
      <c r="K929" s="6" t="str">
        <f>HYPERLINK("https://buffer.com","Buffer")</f>
        <v>Buffer</v>
      </c>
      <c r="L929" s="15">
        <v>28614</v>
      </c>
      <c r="M929" s="15">
        <v>26399</v>
      </c>
      <c r="N929" s="15">
        <v>1647</v>
      </c>
      <c r="O929" s="9"/>
      <c r="P929" s="10">
        <v>42071.947187500002</v>
      </c>
      <c r="Q929" s="14" t="s">
        <v>3915</v>
      </c>
      <c r="R929" s="14" t="s">
        <v>3916</v>
      </c>
      <c r="S929" s="7" t="s">
        <v>3917</v>
      </c>
      <c r="T929" s="8"/>
      <c r="U929" s="11" t="str">
        <f>HYPERLINK("https://pbs.twimg.com/profile_images/767507322583199745/rpfbzBzg.jpg","View")</f>
        <v>View</v>
      </c>
      <c r="V929" s="8"/>
      <c r="W929" s="8"/>
      <c r="X929" s="8"/>
      <c r="Y929" s="8"/>
      <c r="Z929" s="8"/>
    </row>
    <row r="930" spans="1:26" ht="13.2">
      <c r="A930" s="13">
        <v>44250.566851851851</v>
      </c>
      <c r="B930" s="6" t="str">
        <f>HYPERLINK("https://twitter.com/iamBrianGraham","@iamBrianGraham")</f>
        <v>@iamBrianGraham</v>
      </c>
      <c r="C930" s="14" t="s">
        <v>4259</v>
      </c>
      <c r="D930" s="14" t="s">
        <v>4260</v>
      </c>
      <c r="E930" s="6" t="str">
        <f>HYPERLINK("https://twitter.com/iamBrianGraham/status/1364192350600388617","1364192350600388617")</f>
        <v>1364192350600388617</v>
      </c>
      <c r="F930" s="8"/>
      <c r="G930" s="7" t="s">
        <v>4261</v>
      </c>
      <c r="H930" s="8"/>
      <c r="I930" s="14">
        <v>8</v>
      </c>
      <c r="J930" s="14">
        <v>3</v>
      </c>
      <c r="K930" s="6" t="str">
        <f>HYPERLINK("https://bypeers.net","ByPeers Social CRM (1)")</f>
        <v>ByPeers Social CRM (1)</v>
      </c>
      <c r="L930" s="15">
        <v>5759</v>
      </c>
      <c r="M930" s="15">
        <v>4549</v>
      </c>
      <c r="N930" s="15">
        <v>211</v>
      </c>
      <c r="O930" s="9"/>
      <c r="P930" s="10">
        <v>42570.927037037036</v>
      </c>
      <c r="Q930" s="14" t="s">
        <v>4262</v>
      </c>
      <c r="R930" s="14" t="s">
        <v>4263</v>
      </c>
      <c r="S930" s="7" t="s">
        <v>4264</v>
      </c>
      <c r="T930" s="8"/>
      <c r="U930" s="11" t="str">
        <f>HYPERLINK("https://pbs.twimg.com/profile_images/1099684609703510017/zcsjRYt2.png","View")</f>
        <v>View</v>
      </c>
      <c r="V930" s="8"/>
      <c r="W930" s="8"/>
      <c r="X930" s="8"/>
      <c r="Y930" s="8"/>
      <c r="Z930" s="8"/>
    </row>
    <row r="931" spans="1:26" ht="13.2">
      <c r="A931" s="13">
        <v>44250.566770833335</v>
      </c>
      <c r="B931" s="6" t="str">
        <f>HYPERLINK("https://twitter.com/dtmgfx","@dtmgfx")</f>
        <v>@dtmgfx</v>
      </c>
      <c r="C931" s="14" t="s">
        <v>4265</v>
      </c>
      <c r="D931" s="14" t="s">
        <v>4266</v>
      </c>
      <c r="E931" s="6" t="str">
        <f>HYPERLINK("https://twitter.com/dtmgfx/status/1364192319692537859","1364192319692537859")</f>
        <v>1364192319692537859</v>
      </c>
      <c r="F931" s="8"/>
      <c r="G931" s="7" t="s">
        <v>4267</v>
      </c>
      <c r="H931" s="8"/>
      <c r="I931" s="14">
        <v>6</v>
      </c>
      <c r="J931" s="14">
        <v>1</v>
      </c>
      <c r="K931" s="6" t="str">
        <f t="shared" ref="K931:K932" si="147">HYPERLINK("http://twitter.com/download/android","Twitter for Android")</f>
        <v>Twitter for Android</v>
      </c>
      <c r="L931" s="15">
        <v>236</v>
      </c>
      <c r="M931" s="15">
        <v>431</v>
      </c>
      <c r="N931" s="15">
        <v>2</v>
      </c>
      <c r="O931" s="9"/>
      <c r="P931" s="10">
        <v>41650.101539351854</v>
      </c>
      <c r="Q931" s="14" t="s">
        <v>3574</v>
      </c>
      <c r="R931" s="14" t="s">
        <v>4268</v>
      </c>
      <c r="S931" s="7" t="s">
        <v>4269</v>
      </c>
      <c r="T931" s="8"/>
      <c r="U931" s="11" t="str">
        <f>HYPERLINK("https://pbs.twimg.com/profile_images/1326482967842205702/JW0GjNOM.jpg","View")</f>
        <v>View</v>
      </c>
      <c r="V931" s="8"/>
      <c r="W931" s="8"/>
      <c r="X931" s="8"/>
      <c r="Y931" s="8"/>
      <c r="Z931" s="8"/>
    </row>
    <row r="932" spans="1:26" ht="13.2">
      <c r="A932" s="13">
        <v>44250.56659722222</v>
      </c>
      <c r="B932" s="6" t="str">
        <f>HYPERLINK("https://twitter.com/EdvicerCourses","@EdvicerCourses")</f>
        <v>@EdvicerCourses</v>
      </c>
      <c r="C932" s="14" t="s">
        <v>4270</v>
      </c>
      <c r="D932" s="14" t="s">
        <v>4271</v>
      </c>
      <c r="E932" s="6" t="str">
        <f>HYPERLINK("https://twitter.com/EdvicerCourses/status/1364192257427918854","1364192257427918854")</f>
        <v>1364192257427918854</v>
      </c>
      <c r="F932" s="7" t="s">
        <v>4272</v>
      </c>
      <c r="G932" s="7" t="s">
        <v>4273</v>
      </c>
      <c r="H932" s="8"/>
      <c r="I932" s="14">
        <v>6</v>
      </c>
      <c r="J932" s="14">
        <v>6</v>
      </c>
      <c r="K932" s="6" t="str">
        <f t="shared" si="147"/>
        <v>Twitter for Android</v>
      </c>
      <c r="L932" s="15">
        <v>70</v>
      </c>
      <c r="M932" s="15">
        <v>45</v>
      </c>
      <c r="N932" s="15">
        <v>1</v>
      </c>
      <c r="O932" s="9"/>
      <c r="P932" s="10">
        <v>43980.669108796297</v>
      </c>
      <c r="Q932" s="14" t="s">
        <v>4274</v>
      </c>
      <c r="R932" s="14" t="s">
        <v>4275</v>
      </c>
      <c r="S932" s="7" t="s">
        <v>4276</v>
      </c>
      <c r="T932" s="8"/>
      <c r="U932" s="11" t="str">
        <f>HYPERLINK("https://pbs.twimg.com/profile_images/1266588960354111488/bszdVrvM.png","View")</f>
        <v>View</v>
      </c>
      <c r="V932" s="8"/>
      <c r="W932" s="8"/>
      <c r="X932" s="8"/>
      <c r="Y932" s="8"/>
      <c r="Z932" s="8"/>
    </row>
    <row r="933" spans="1:26" ht="13.2">
      <c r="A933" s="13">
        <v>44250.566504629634</v>
      </c>
      <c r="B933" s="6" t="str">
        <f>HYPERLINK("https://twitter.com/Superdigital9","@Superdigital9")</f>
        <v>@Superdigital9</v>
      </c>
      <c r="C933" s="14" t="s">
        <v>4132</v>
      </c>
      <c r="D933" s="14" t="s">
        <v>2481</v>
      </c>
      <c r="E933" s="6" t="str">
        <f>HYPERLINK("https://twitter.com/Superdigital9/status/1364192225685569545","1364192225685569545")</f>
        <v>1364192225685569545</v>
      </c>
      <c r="F933" s="14" t="s">
        <v>2482</v>
      </c>
      <c r="G933" s="8"/>
      <c r="H933" s="8"/>
      <c r="I933" s="14">
        <v>0</v>
      </c>
      <c r="J933" s="14">
        <v>0</v>
      </c>
      <c r="K933" s="6" t="str">
        <f t="shared" ref="K933:K935" si="148">HYPERLINK("http://twinybots.com","TwinyBots")</f>
        <v>TwinyBots</v>
      </c>
      <c r="L933" s="15">
        <v>796</v>
      </c>
      <c r="M933" s="15">
        <v>1112</v>
      </c>
      <c r="N933" s="15">
        <v>11</v>
      </c>
      <c r="O933" s="9"/>
      <c r="P933" s="10">
        <v>43821.75409722222</v>
      </c>
      <c r="Q933" s="14" t="s">
        <v>3176</v>
      </c>
      <c r="R933" s="14" t="s">
        <v>4135</v>
      </c>
      <c r="S933" s="7" t="s">
        <v>4136</v>
      </c>
      <c r="T933" s="8"/>
      <c r="U933" s="11" t="str">
        <f>HYPERLINK("https://pbs.twimg.com/profile_images/1208795846831067138/cpdkWTEq.jpg","View")</f>
        <v>View</v>
      </c>
      <c r="V933" s="8"/>
      <c r="W933" s="8"/>
      <c r="X933" s="8"/>
      <c r="Y933" s="8"/>
      <c r="Z933" s="8"/>
    </row>
    <row r="934" spans="1:26" ht="13.2">
      <c r="A934" s="13">
        <v>44250.566481481481</v>
      </c>
      <c r="B934" s="6" t="str">
        <f>HYPERLINK("https://twitter.com/corizance","@corizance")</f>
        <v>@corizance</v>
      </c>
      <c r="C934" s="14" t="s">
        <v>2550</v>
      </c>
      <c r="D934" s="14" t="s">
        <v>2458</v>
      </c>
      <c r="E934" s="6" t="str">
        <f>HYPERLINK("https://twitter.com/corizance/status/1364192214562312193","1364192214562312193")</f>
        <v>1364192214562312193</v>
      </c>
      <c r="F934" s="14" t="s">
        <v>2459</v>
      </c>
      <c r="G934" s="8"/>
      <c r="H934" s="8"/>
      <c r="I934" s="14">
        <v>0</v>
      </c>
      <c r="J934" s="14">
        <v>0</v>
      </c>
      <c r="K934" s="6" t="str">
        <f t="shared" si="148"/>
        <v>TwinyBots</v>
      </c>
      <c r="L934" s="15">
        <v>488</v>
      </c>
      <c r="M934" s="15">
        <v>434</v>
      </c>
      <c r="N934" s="15">
        <v>13</v>
      </c>
      <c r="O934" s="9"/>
      <c r="P934" s="10">
        <v>43789.49145833333</v>
      </c>
      <c r="Q934" s="14" t="s">
        <v>2551</v>
      </c>
      <c r="R934" s="14" t="s">
        <v>2552</v>
      </c>
      <c r="S934" s="7" t="s">
        <v>2553</v>
      </c>
      <c r="T934" s="8"/>
      <c r="U934" s="11" t="str">
        <f>HYPERLINK("https://pbs.twimg.com/profile_images/1223176339697565697/q38i7r9K.jpg","View")</f>
        <v>View</v>
      </c>
      <c r="V934" s="8"/>
      <c r="W934" s="8"/>
      <c r="X934" s="8"/>
      <c r="Y934" s="8"/>
      <c r="Z934" s="8"/>
    </row>
    <row r="935" spans="1:26" ht="13.2">
      <c r="A935" s="13">
        <v>44250.566469907411</v>
      </c>
      <c r="B935" s="6" t="str">
        <f>HYPERLINK("https://twitter.com/DecisionsSmart","@DecisionsSmart")</f>
        <v>@DecisionsSmart</v>
      </c>
      <c r="C935" s="14" t="s">
        <v>212</v>
      </c>
      <c r="D935" s="14" t="s">
        <v>4133</v>
      </c>
      <c r="E935" s="6" t="str">
        <f>HYPERLINK("https://twitter.com/DecisionsSmart/status/1364192211441750016","1364192211441750016")</f>
        <v>1364192211441750016</v>
      </c>
      <c r="F935" s="14" t="s">
        <v>4134</v>
      </c>
      <c r="G935" s="8"/>
      <c r="H935" s="8"/>
      <c r="I935" s="14">
        <v>4</v>
      </c>
      <c r="J935" s="14">
        <v>3</v>
      </c>
      <c r="K935" s="6" t="str">
        <f t="shared" si="148"/>
        <v>TwinyBots</v>
      </c>
      <c r="L935" s="15">
        <v>6690</v>
      </c>
      <c r="M935" s="15">
        <v>5126</v>
      </c>
      <c r="N935" s="15">
        <v>88</v>
      </c>
      <c r="O935" s="9"/>
      <c r="P935" s="10">
        <v>43282.143495370372</v>
      </c>
      <c r="Q935" s="14" t="s">
        <v>215</v>
      </c>
      <c r="R935" s="14" t="s">
        <v>216</v>
      </c>
      <c r="S935" s="8"/>
      <c r="T935" s="8"/>
      <c r="U935" s="11" t="str">
        <f>HYPERLINK("https://pbs.twimg.com/profile_images/1273753380373004289/crFq1msz.jpg","View")</f>
        <v>View</v>
      </c>
      <c r="V935" s="8"/>
      <c r="W935" s="8"/>
      <c r="X935" s="8"/>
      <c r="Y935" s="8"/>
      <c r="Z935" s="8"/>
    </row>
    <row r="936" spans="1:26" ht="13.2">
      <c r="A936" s="13">
        <v>44250.566377314812</v>
      </c>
      <c r="B936" s="6" t="str">
        <f>HYPERLINK("https://twitter.com/FrancMilburn","@FrancMilburn")</f>
        <v>@FrancMilburn</v>
      </c>
      <c r="C936" s="14" t="s">
        <v>4277</v>
      </c>
      <c r="D936" s="8"/>
      <c r="E936" s="6" t="str">
        <f>HYPERLINK("https://twitter.com/FrancMilburn/status/1364192176935174147","1364192176935174147")</f>
        <v>1364192176935174147</v>
      </c>
      <c r="F936" s="7" t="s">
        <v>4278</v>
      </c>
      <c r="G936" s="8"/>
      <c r="H936" s="8"/>
      <c r="I936" s="14">
        <v>0</v>
      </c>
      <c r="J936" s="14">
        <v>0</v>
      </c>
      <c r="K936" s="6" t="str">
        <f>HYPERLINK("http://twitter.com/download/android","Twitter for Android")</f>
        <v>Twitter for Android</v>
      </c>
      <c r="L936" s="15">
        <v>449</v>
      </c>
      <c r="M936" s="15">
        <v>199</v>
      </c>
      <c r="N936" s="15">
        <v>7</v>
      </c>
      <c r="O936" s="9"/>
      <c r="P936" s="10">
        <v>44006.393773148149</v>
      </c>
      <c r="Q936" s="8"/>
      <c r="R936" s="14" t="s">
        <v>4279</v>
      </c>
      <c r="S936" s="7" t="s">
        <v>4280</v>
      </c>
      <c r="T936" s="8"/>
      <c r="U936" s="11" t="str">
        <f>HYPERLINK("https://pbs.twimg.com/profile_images/1357139440335015937/bRbBVJBt.jpg","View")</f>
        <v>View</v>
      </c>
      <c r="V936" s="8"/>
      <c r="W936" s="8"/>
      <c r="X936" s="8"/>
      <c r="Y936" s="8"/>
      <c r="Z936" s="8"/>
    </row>
    <row r="937" spans="1:26" ht="13.2">
      <c r="A937" s="13">
        <v>44250.566030092596</v>
      </c>
      <c r="B937" s="6" t="str">
        <f>HYPERLINK("https://twitter.com/AI_PlainEnglish","@AI_PlainEnglish")</f>
        <v>@AI_PlainEnglish</v>
      </c>
      <c r="C937" s="14" t="s">
        <v>2282</v>
      </c>
      <c r="D937" s="14" t="s">
        <v>4281</v>
      </c>
      <c r="E937" s="6" t="str">
        <f>HYPERLINK("https://twitter.com/AI_PlainEnglish/status/1364192050732761089","1364192050732761089")</f>
        <v>1364192050732761089</v>
      </c>
      <c r="F937" s="7" t="s">
        <v>4282</v>
      </c>
      <c r="G937" s="8"/>
      <c r="H937" s="8"/>
      <c r="I937" s="14">
        <v>0</v>
      </c>
      <c r="J937" s="14">
        <v>0</v>
      </c>
      <c r="K937" s="8"/>
      <c r="L937" s="15">
        <v>32</v>
      </c>
      <c r="M937" s="15">
        <v>5</v>
      </c>
      <c r="N937" s="15">
        <v>0</v>
      </c>
      <c r="O937" s="9"/>
      <c r="P937" s="10">
        <v>44206.451215277775</v>
      </c>
      <c r="Q937" s="14" t="s">
        <v>2285</v>
      </c>
      <c r="R937" s="14" t="s">
        <v>2286</v>
      </c>
      <c r="S937" s="7" t="s">
        <v>2287</v>
      </c>
      <c r="T937" s="8"/>
      <c r="U937" s="11" t="str">
        <f>HYPERLINK("https://pbs.twimg.com/profile_images/1359444764098260999/C6-rgvq0.jpg","View")</f>
        <v>View</v>
      </c>
      <c r="V937" s="8"/>
      <c r="W937" s="8"/>
      <c r="X937" s="8"/>
      <c r="Y937" s="8"/>
      <c r="Z937" s="8"/>
    </row>
    <row r="938" spans="1:26" ht="13.2">
      <c r="A938" s="13">
        <v>44250.565833333334</v>
      </c>
      <c r="B938" s="6" t="str">
        <f>HYPERLINK("https://twitter.com/livescientists","@livescientists")</f>
        <v>@livescientists</v>
      </c>
      <c r="C938" s="14" t="s">
        <v>4283</v>
      </c>
      <c r="D938" s="14" t="s">
        <v>4284</v>
      </c>
      <c r="E938" s="6" t="str">
        <f>HYPERLINK("https://twitter.com/livescientists/status/1364191979773517830","1364191979773517830")</f>
        <v>1364191979773517830</v>
      </c>
      <c r="F938" s="14" t="s">
        <v>4285</v>
      </c>
      <c r="G938" s="8"/>
      <c r="H938" s="8"/>
      <c r="I938" s="14">
        <v>1</v>
      </c>
      <c r="J938" s="14">
        <v>4</v>
      </c>
      <c r="K938" s="6" t="str">
        <f>HYPERLINK("https://buffer.com","Buffer")</f>
        <v>Buffer</v>
      </c>
      <c r="L938" s="15">
        <v>265</v>
      </c>
      <c r="M938" s="15">
        <v>436</v>
      </c>
      <c r="N938" s="15">
        <v>3</v>
      </c>
      <c r="O938" s="9"/>
      <c r="P938" s="10">
        <v>43913.012870370367</v>
      </c>
      <c r="Q938" s="14" t="s">
        <v>4286</v>
      </c>
      <c r="R938" s="14" t="s">
        <v>4287</v>
      </c>
      <c r="S938" s="7" t="s">
        <v>4288</v>
      </c>
      <c r="T938" s="8"/>
      <c r="U938" s="11" t="str">
        <f>HYPERLINK("https://pbs.twimg.com/profile_images/1242925419944390659/yGRITa9P.jpg","View")</f>
        <v>View</v>
      </c>
      <c r="V938" s="8"/>
      <c r="W938" s="8"/>
      <c r="X938" s="8"/>
      <c r="Y938" s="8"/>
      <c r="Z938" s="8"/>
    </row>
    <row r="939" spans="1:26" ht="13.2">
      <c r="A939" s="13">
        <v>44250.565763888888</v>
      </c>
      <c r="B939" s="6" t="str">
        <f>HYPERLINK("https://twitter.com/crimacode","@crimacode")</f>
        <v>@crimacode</v>
      </c>
      <c r="C939" s="14" t="s">
        <v>4289</v>
      </c>
      <c r="D939" s="14" t="s">
        <v>4290</v>
      </c>
      <c r="E939" s="6" t="str">
        <f>HYPERLINK("https://twitter.com/crimacode/status/1364191956251906050","1364191956251906050")</f>
        <v>1364191956251906050</v>
      </c>
      <c r="F939" s="8"/>
      <c r="G939" s="8"/>
      <c r="H939" s="8"/>
      <c r="I939" s="14">
        <v>4</v>
      </c>
      <c r="J939" s="14">
        <v>6</v>
      </c>
      <c r="K939" s="6" t="str">
        <f>HYPERLINK("http://twitter.com/download/android","Twitter for Android")</f>
        <v>Twitter for Android</v>
      </c>
      <c r="L939" s="15">
        <v>3</v>
      </c>
      <c r="M939" s="15">
        <v>168</v>
      </c>
      <c r="N939" s="15">
        <v>0</v>
      </c>
      <c r="O939" s="9"/>
      <c r="P939" s="10">
        <v>44250.47761574074</v>
      </c>
      <c r="Q939" s="14" t="s">
        <v>4291</v>
      </c>
      <c r="R939" s="14" t="s">
        <v>4292</v>
      </c>
      <c r="S939" s="7" t="s">
        <v>4293</v>
      </c>
      <c r="T939" s="8"/>
      <c r="U939" s="11" t="str">
        <f>HYPERLINK("https://pbs.twimg.com/profile_images/1364160196268933124/9Z6_jrAP.jpg","View")</f>
        <v>View</v>
      </c>
      <c r="V939" s="8"/>
      <c r="W939" s="8"/>
      <c r="X939" s="8"/>
      <c r="Y939" s="8"/>
      <c r="Z939" s="8"/>
    </row>
    <row r="940" spans="1:26" ht="13.2">
      <c r="A940" s="13">
        <v>44250.565555555557</v>
      </c>
      <c r="B940" s="6" t="str">
        <f>HYPERLINK("https://twitter.com/uptecporto","@uptecporto")</f>
        <v>@uptecporto</v>
      </c>
      <c r="C940" s="14" t="s">
        <v>4294</v>
      </c>
      <c r="D940" s="14" t="s">
        <v>4295</v>
      </c>
      <c r="E940" s="6" t="str">
        <f>HYPERLINK("https://twitter.com/uptecporto/status/1364191880989310981","1364191880989310981")</f>
        <v>1364191880989310981</v>
      </c>
      <c r="F940" s="7" t="s">
        <v>4296</v>
      </c>
      <c r="G940" s="8"/>
      <c r="H940" s="8"/>
      <c r="I940" s="14">
        <v>0</v>
      </c>
      <c r="J940" s="14">
        <v>0</v>
      </c>
      <c r="K940" s="6" t="str">
        <f t="shared" ref="K940:K942" si="149">HYPERLINK("https://mobile.twitter.com","Twitter Web App")</f>
        <v>Twitter Web App</v>
      </c>
      <c r="L940" s="15">
        <v>3084</v>
      </c>
      <c r="M940" s="15">
        <v>453</v>
      </c>
      <c r="N940" s="15">
        <v>72</v>
      </c>
      <c r="O940" s="9"/>
      <c r="P940" s="10">
        <v>40164.851273148146</v>
      </c>
      <c r="Q940" s="14" t="s">
        <v>4297</v>
      </c>
      <c r="R940" s="14" t="s">
        <v>4298</v>
      </c>
      <c r="S940" s="7" t="s">
        <v>4299</v>
      </c>
      <c r="T940" s="8"/>
      <c r="U940" s="11" t="str">
        <f>HYPERLINK("https://pbs.twimg.com/profile_images/943535026020503555/GS1KHzb8.jpg","View")</f>
        <v>View</v>
      </c>
      <c r="V940" s="8"/>
      <c r="W940" s="8"/>
      <c r="X940" s="8"/>
      <c r="Y940" s="8"/>
      <c r="Z940" s="8"/>
    </row>
    <row r="941" spans="1:26" ht="13.2">
      <c r="A941" s="13">
        <v>44250.565127314811</v>
      </c>
      <c r="B941" s="6" t="str">
        <f>HYPERLINK("https://twitter.com/DelqnDobrew","@DelqnDobrew")</f>
        <v>@DelqnDobrew</v>
      </c>
      <c r="C941" s="14" t="s">
        <v>4300</v>
      </c>
      <c r="D941" s="14" t="s">
        <v>4301</v>
      </c>
      <c r="E941" s="6" t="str">
        <f>HYPERLINK("https://twitter.com/DelqnDobrew/status/1364191723694542849","1364191723694542849")</f>
        <v>1364191723694542849</v>
      </c>
      <c r="F941" s="7" t="s">
        <v>4302</v>
      </c>
      <c r="G941" s="7" t="s">
        <v>4303</v>
      </c>
      <c r="H941" s="8"/>
      <c r="I941" s="14">
        <v>0</v>
      </c>
      <c r="J941" s="14">
        <v>7</v>
      </c>
      <c r="K941" s="6" t="str">
        <f t="shared" si="149"/>
        <v>Twitter Web App</v>
      </c>
      <c r="L941" s="15">
        <v>4</v>
      </c>
      <c r="M941" s="15">
        <v>15</v>
      </c>
      <c r="N941" s="15">
        <v>0</v>
      </c>
      <c r="O941" s="9"/>
      <c r="P941" s="10">
        <v>44230.750034722223</v>
      </c>
      <c r="Q941" s="8"/>
      <c r="R941" s="14" t="s">
        <v>4304</v>
      </c>
      <c r="S941" s="7" t="s">
        <v>4302</v>
      </c>
      <c r="T941" s="8"/>
      <c r="U941" s="11" t="str">
        <f>HYPERLINK("https://pbs.twimg.com/profile_images/1364179257560342531/IYSmq_7l.png","View")</f>
        <v>View</v>
      </c>
      <c r="V941" s="8"/>
      <c r="W941" s="8"/>
      <c r="X941" s="8"/>
      <c r="Y941" s="8"/>
      <c r="Z941" s="8"/>
    </row>
    <row r="942" spans="1:26" ht="13.2">
      <c r="A942" s="13">
        <v>44250.564837962964</v>
      </c>
      <c r="B942" s="6" t="str">
        <f>HYPERLINK("https://twitter.com/LauraVet87","@LauraVet87")</f>
        <v>@LauraVet87</v>
      </c>
      <c r="C942" s="14" t="s">
        <v>4305</v>
      </c>
      <c r="D942" s="14" t="s">
        <v>4306</v>
      </c>
      <c r="E942" s="6" t="str">
        <f>HYPERLINK("https://twitter.com/LauraVet87/status/1364191622242717699","1364191622242717699")</f>
        <v>1364191622242717699</v>
      </c>
      <c r="F942" s="8"/>
      <c r="G942" s="7" t="s">
        <v>4307</v>
      </c>
      <c r="H942" s="8"/>
      <c r="I942" s="14">
        <v>2</v>
      </c>
      <c r="J942" s="14">
        <v>3</v>
      </c>
      <c r="K942" s="6" t="str">
        <f t="shared" si="149"/>
        <v>Twitter Web App</v>
      </c>
      <c r="L942" s="15">
        <v>150</v>
      </c>
      <c r="M942" s="15">
        <v>85</v>
      </c>
      <c r="N942" s="15">
        <v>10</v>
      </c>
      <c r="O942" s="15" t="s">
        <v>130</v>
      </c>
      <c r="P942" s="10">
        <v>41173.765520833331</v>
      </c>
      <c r="Q942" s="14" t="s">
        <v>4308</v>
      </c>
      <c r="R942" s="14" t="s">
        <v>4309</v>
      </c>
      <c r="S942" s="7" t="s">
        <v>4310</v>
      </c>
      <c r="T942" s="8"/>
      <c r="U942" s="11" t="str">
        <f>HYPERLINK("https://pbs.twimg.com/profile_images/378800000375599329/e21c26133940d5ca30173b5d4a14e605.jpeg","View")</f>
        <v>View</v>
      </c>
      <c r="V942" s="8"/>
      <c r="W942" s="8"/>
      <c r="X942" s="8"/>
      <c r="Y942" s="8"/>
      <c r="Z942" s="8"/>
    </row>
    <row r="943" spans="1:26" ht="13.2">
      <c r="A943" s="13">
        <v>44250.564513888894</v>
      </c>
      <c r="B943" s="6" t="str">
        <f>HYPERLINK("https://twitter.com/crimacode","@crimacode")</f>
        <v>@crimacode</v>
      </c>
      <c r="C943" s="14" t="s">
        <v>4289</v>
      </c>
      <c r="D943" s="14" t="s">
        <v>4311</v>
      </c>
      <c r="E943" s="6" t="str">
        <f>HYPERLINK("https://twitter.com/crimacode/status/1364191503409635329","1364191503409635329")</f>
        <v>1364191503409635329</v>
      </c>
      <c r="F943" s="8"/>
      <c r="G943" s="8"/>
      <c r="H943" s="8"/>
      <c r="I943" s="14">
        <v>2</v>
      </c>
      <c r="J943" s="14">
        <v>3</v>
      </c>
      <c r="K943" s="6" t="str">
        <f t="shared" ref="K943:K945" si="150">HYPERLINK("http://twitter.com/download/android","Twitter for Android")</f>
        <v>Twitter for Android</v>
      </c>
      <c r="L943" s="15">
        <v>3</v>
      </c>
      <c r="M943" s="15">
        <v>168</v>
      </c>
      <c r="N943" s="15">
        <v>0</v>
      </c>
      <c r="O943" s="9"/>
      <c r="P943" s="10">
        <v>44250.47761574074</v>
      </c>
      <c r="Q943" s="14" t="s">
        <v>4291</v>
      </c>
      <c r="R943" s="14" t="s">
        <v>4292</v>
      </c>
      <c r="S943" s="7" t="s">
        <v>4293</v>
      </c>
      <c r="T943" s="8"/>
      <c r="U943" s="11" t="str">
        <f>HYPERLINK("https://pbs.twimg.com/profile_images/1364160196268933124/9Z6_jrAP.jpg","View")</f>
        <v>View</v>
      </c>
      <c r="V943" s="8"/>
      <c r="W943" s="8"/>
      <c r="X943" s="8"/>
      <c r="Y943" s="8"/>
      <c r="Z943" s="8"/>
    </row>
    <row r="944" spans="1:26" ht="13.2">
      <c r="A944" s="13">
        <v>44250.564479166671</v>
      </c>
      <c r="B944" s="6" t="str">
        <f>HYPERLINK("https://twitter.com/sachinjainphd","@sachinjainphd")</f>
        <v>@sachinjainphd</v>
      </c>
      <c r="C944" s="14" t="s">
        <v>4312</v>
      </c>
      <c r="D944" s="14" t="s">
        <v>4313</v>
      </c>
      <c r="E944" s="6" t="str">
        <f>HYPERLINK("https://twitter.com/sachinjainphd/status/1364191490327662592","1364191490327662592")</f>
        <v>1364191490327662592</v>
      </c>
      <c r="F944" s="7" t="s">
        <v>4314</v>
      </c>
      <c r="G944" s="8"/>
      <c r="H944" s="8"/>
      <c r="I944" s="14">
        <v>10</v>
      </c>
      <c r="J944" s="14">
        <v>5</v>
      </c>
      <c r="K944" s="6" t="str">
        <f t="shared" si="150"/>
        <v>Twitter for Android</v>
      </c>
      <c r="L944" s="15">
        <v>151</v>
      </c>
      <c r="M944" s="15">
        <v>90</v>
      </c>
      <c r="N944" s="15">
        <v>1</v>
      </c>
      <c r="O944" s="9"/>
      <c r="P944" s="10">
        <v>40495.178032407406</v>
      </c>
      <c r="Q944" s="14" t="s">
        <v>221</v>
      </c>
      <c r="R944" s="14" t="s">
        <v>4315</v>
      </c>
      <c r="S944" s="8"/>
      <c r="T944" s="8"/>
      <c r="U944" s="11" t="str">
        <f>HYPERLINK("https://pbs.twimg.com/profile_images/1248474611202658304/JZtqih-r.jpg","View")</f>
        <v>View</v>
      </c>
      <c r="V944" s="8"/>
      <c r="W944" s="8"/>
      <c r="X944" s="8"/>
      <c r="Y944" s="8"/>
      <c r="Z944" s="8"/>
    </row>
    <row r="945" spans="1:26" ht="13.2">
      <c r="A945" s="13">
        <v>44250.56385416667</v>
      </c>
      <c r="B945" s="6" t="str">
        <f>HYPERLINK("https://twitter.com/ehuntober","@ehuntober")</f>
        <v>@ehuntober</v>
      </c>
      <c r="C945" s="14" t="s">
        <v>4190</v>
      </c>
      <c r="D945" s="14" t="s">
        <v>4316</v>
      </c>
      <c r="E945" s="6" t="str">
        <f>HYPERLINK("https://twitter.com/ehuntober/status/1364191262937673728","1364191262937673728")</f>
        <v>1364191262937673728</v>
      </c>
      <c r="F945" s="8"/>
      <c r="G945" s="7" t="s">
        <v>4317</v>
      </c>
      <c r="H945" s="8"/>
      <c r="I945" s="14">
        <v>1</v>
      </c>
      <c r="J945" s="14">
        <v>6</v>
      </c>
      <c r="K945" s="6" t="str">
        <f t="shared" si="150"/>
        <v>Twitter for Android</v>
      </c>
      <c r="L945" s="15">
        <v>118</v>
      </c>
      <c r="M945" s="15">
        <v>552</v>
      </c>
      <c r="N945" s="15">
        <v>1</v>
      </c>
      <c r="O945" s="9"/>
      <c r="P945" s="10">
        <v>44118.707048611112</v>
      </c>
      <c r="Q945" s="14" t="s">
        <v>4193</v>
      </c>
      <c r="R945" s="14" t="s">
        <v>4194</v>
      </c>
      <c r="S945" s="7" t="s">
        <v>4195</v>
      </c>
      <c r="T945" s="8"/>
      <c r="U945" s="11" t="str">
        <f>HYPERLINK("https://pbs.twimg.com/profile_images/1362421992864030721/U_F3kxt1.jpg","View")</f>
        <v>View</v>
      </c>
      <c r="V945" s="8"/>
      <c r="W945" s="8"/>
      <c r="X945" s="8"/>
      <c r="Y945" s="8"/>
      <c r="Z945" s="8"/>
    </row>
    <row r="946" spans="1:26" ht="13.2">
      <c r="A946" s="13">
        <v>44250.563252314816</v>
      </c>
      <c r="B946" s="6" t="str">
        <f>HYPERLINK("https://twitter.com/Innovat78455398","@Innovat78455398")</f>
        <v>@Innovat78455398</v>
      </c>
      <c r="C946" s="14" t="s">
        <v>4318</v>
      </c>
      <c r="D946" s="14" t="s">
        <v>4319</v>
      </c>
      <c r="E946" s="6" t="str">
        <f>HYPERLINK("https://twitter.com/Innovat78455398/status/1364191045383188489","1364191045383188489")</f>
        <v>1364191045383188489</v>
      </c>
      <c r="F946" s="7" t="s">
        <v>4320</v>
      </c>
      <c r="G946" s="7" t="s">
        <v>4321</v>
      </c>
      <c r="H946" s="8"/>
      <c r="I946" s="14">
        <v>11</v>
      </c>
      <c r="J946" s="14">
        <v>8</v>
      </c>
      <c r="K946" s="6" t="str">
        <f>HYPERLINK("https://mobile.twitter.com","Twitter Web App")</f>
        <v>Twitter Web App</v>
      </c>
      <c r="L946" s="15">
        <v>101</v>
      </c>
      <c r="M946" s="15">
        <v>142</v>
      </c>
      <c r="N946" s="15">
        <v>1</v>
      </c>
      <c r="O946" s="9"/>
      <c r="P946" s="10">
        <v>44075.047534722224</v>
      </c>
      <c r="Q946" s="14" t="s">
        <v>623</v>
      </c>
      <c r="R946" s="14" t="s">
        <v>4322</v>
      </c>
      <c r="S946" s="8"/>
      <c r="T946" s="8"/>
      <c r="U946" s="11" t="str">
        <f>HYPERLINK("https://pbs.twimg.com/profile_images/1300571380098850818/YjKI8L9l.jpg","View")</f>
        <v>View</v>
      </c>
      <c r="V946" s="8"/>
      <c r="W946" s="8"/>
      <c r="X946" s="8"/>
      <c r="Y946" s="8"/>
      <c r="Z946" s="8"/>
    </row>
    <row r="947" spans="1:26" ht="13.2">
      <c r="A947" s="13">
        <v>44250.563217592593</v>
      </c>
      <c r="B947" s="6" t="str">
        <f>HYPERLINK("https://twitter.com/ipfconline1","@ipfconline1")</f>
        <v>@ipfconline1</v>
      </c>
      <c r="C947" s="14" t="s">
        <v>65</v>
      </c>
      <c r="D947" s="14" t="s">
        <v>4323</v>
      </c>
      <c r="E947" s="6" t="str">
        <f>HYPERLINK("https://twitter.com/ipfconline1/status/1364191033219817472","1364191033219817472")</f>
        <v>1364191033219817472</v>
      </c>
      <c r="F947" s="7" t="s">
        <v>4324</v>
      </c>
      <c r="G947" s="7" t="s">
        <v>4325</v>
      </c>
      <c r="H947" s="8"/>
      <c r="I947" s="14">
        <v>14</v>
      </c>
      <c r="J947" s="14">
        <v>13</v>
      </c>
      <c r="K947" s="6" t="str">
        <f>HYPERLINK("https://twittimer.com","Twittimer")</f>
        <v>Twittimer</v>
      </c>
      <c r="L947" s="15">
        <v>112675</v>
      </c>
      <c r="M947" s="15">
        <v>107162</v>
      </c>
      <c r="N947" s="15">
        <v>7806</v>
      </c>
      <c r="O947" s="9"/>
      <c r="P947" s="10">
        <v>42433.031967592593</v>
      </c>
      <c r="Q947" s="14" t="s">
        <v>69</v>
      </c>
      <c r="R947" s="14" t="s">
        <v>70</v>
      </c>
      <c r="S947" s="7" t="s">
        <v>71</v>
      </c>
      <c r="T947" s="8"/>
      <c r="U947" s="11" t="str">
        <f>HYPERLINK("https://pbs.twimg.com/profile_images/729065804004769793/St2_Pum9.jpg","View")</f>
        <v>View</v>
      </c>
      <c r="V947" s="8"/>
      <c r="W947" s="8"/>
      <c r="X947" s="8"/>
      <c r="Y947" s="8"/>
      <c r="Z947" s="8"/>
    </row>
    <row r="948" spans="1:26" ht="13.2">
      <c r="A948" s="13">
        <v>44250.563194444447</v>
      </c>
      <c r="B948" s="6" t="str">
        <f>HYPERLINK("https://twitter.com/SKlausDev","@SKlausDev")</f>
        <v>@SKlausDev</v>
      </c>
      <c r="C948" s="14" t="s">
        <v>1404</v>
      </c>
      <c r="D948" s="14" t="s">
        <v>4326</v>
      </c>
      <c r="E948" s="6" t="str">
        <f>HYPERLINK("https://twitter.com/SKlausDev/status/1364191024176910336","1364191024176910336")</f>
        <v>1364191024176910336</v>
      </c>
      <c r="F948" s="7" t="s">
        <v>4327</v>
      </c>
      <c r="G948" s="8"/>
      <c r="H948" s="8"/>
      <c r="I948" s="14">
        <v>0</v>
      </c>
      <c r="J948" s="14">
        <v>1</v>
      </c>
      <c r="K948" s="6" t="str">
        <f>HYPERLINK("https://mobile.twitter.com","Twitter Web App")</f>
        <v>Twitter Web App</v>
      </c>
      <c r="L948" s="15">
        <v>1288</v>
      </c>
      <c r="M948" s="15">
        <v>910</v>
      </c>
      <c r="N948" s="15">
        <v>505</v>
      </c>
      <c r="O948" s="9"/>
      <c r="P948" s="10">
        <v>42492.59207175926</v>
      </c>
      <c r="Q948" s="14" t="s">
        <v>1407</v>
      </c>
      <c r="R948" s="14" t="s">
        <v>1408</v>
      </c>
      <c r="S948" s="8"/>
      <c r="T948" s="8"/>
      <c r="U948" s="11" t="str">
        <f>HYPERLINK("https://pbs.twimg.com/profile_images/727109083283726336/pMHGSHGB.jpg","View")</f>
        <v>View</v>
      </c>
      <c r="V948" s="8"/>
      <c r="W948" s="8"/>
      <c r="X948" s="8"/>
      <c r="Y948" s="8"/>
      <c r="Z948" s="8"/>
    </row>
    <row r="949" spans="1:26" ht="13.2">
      <c r="A949" s="13">
        <v>44250.562835648147</v>
      </c>
      <c r="B949" s="6" t="str">
        <f>HYPERLINK("https://twitter.com/ETHrWorld","@ETHrWorld")</f>
        <v>@ETHrWorld</v>
      </c>
      <c r="C949" s="14" t="s">
        <v>4328</v>
      </c>
      <c r="D949" s="14" t="s">
        <v>4329</v>
      </c>
      <c r="E949" s="6" t="str">
        <f>HYPERLINK("https://twitter.com/ETHrWorld/status/1364190893259902987","1364190893259902987")</f>
        <v>1364190893259902987</v>
      </c>
      <c r="F949" s="7" t="s">
        <v>4330</v>
      </c>
      <c r="G949" s="8"/>
      <c r="H949" s="8"/>
      <c r="I949" s="14">
        <v>3</v>
      </c>
      <c r="J949" s="14">
        <v>3</v>
      </c>
      <c r="K949" s="6" t="str">
        <f>HYPERLINK("https://retail.economictimes.indiatimes.com/","ETRetail.com")</f>
        <v>ETRetail.com</v>
      </c>
      <c r="L949" s="15">
        <v>2232</v>
      </c>
      <c r="M949" s="15">
        <v>4328</v>
      </c>
      <c r="N949" s="15">
        <v>7</v>
      </c>
      <c r="O949" s="9"/>
      <c r="P949" s="10">
        <v>43928.662037037036</v>
      </c>
      <c r="Q949" s="14" t="s">
        <v>364</v>
      </c>
      <c r="R949" s="14" t="s">
        <v>4331</v>
      </c>
      <c r="S949" s="7" t="s">
        <v>4332</v>
      </c>
      <c r="T949" s="8"/>
      <c r="U949" s="11" t="str">
        <f>HYPERLINK("https://pbs.twimg.com/profile_images/1308723036980301824/5gzHJz1B.jpg","View")</f>
        <v>View</v>
      </c>
      <c r="V949" s="8"/>
      <c r="W949" s="8"/>
      <c r="X949" s="8"/>
      <c r="Y949" s="8"/>
      <c r="Z949" s="8"/>
    </row>
    <row r="950" spans="1:26" ht="13.2">
      <c r="A950" s="13">
        <v>44250.562824074077</v>
      </c>
      <c r="B950" s="6" t="str">
        <f>HYPERLINK("https://twitter.com/p_ogonowski","@p_ogonowski")</f>
        <v>@p_ogonowski</v>
      </c>
      <c r="C950" s="14" t="s">
        <v>4333</v>
      </c>
      <c r="D950" s="14" t="s">
        <v>4334</v>
      </c>
      <c r="E950" s="6" t="str">
        <f>HYPERLINK("https://twitter.com/p_ogonowski/status/1364190892211515392","1364190892211515392")</f>
        <v>1364190892211515392</v>
      </c>
      <c r="F950" s="7" t="s">
        <v>4335</v>
      </c>
      <c r="G950" s="7" t="s">
        <v>4336</v>
      </c>
      <c r="H950" s="8"/>
      <c r="I950" s="14">
        <v>0</v>
      </c>
      <c r="J950" s="14">
        <v>1</v>
      </c>
      <c r="K950" s="6" t="str">
        <f>HYPERLINK("https://buffer.com","Buffer")</f>
        <v>Buffer</v>
      </c>
      <c r="L950" s="15">
        <v>2219</v>
      </c>
      <c r="M950" s="15">
        <v>2945</v>
      </c>
      <c r="N950" s="15">
        <v>120</v>
      </c>
      <c r="O950" s="9"/>
      <c r="P950" s="10">
        <v>39875.939976851849</v>
      </c>
      <c r="Q950" s="14" t="s">
        <v>390</v>
      </c>
      <c r="R950" s="14" t="s">
        <v>4337</v>
      </c>
      <c r="S950" s="7" t="s">
        <v>4338</v>
      </c>
      <c r="T950" s="8"/>
      <c r="U950" s="11" t="str">
        <f>HYPERLINK("https://pbs.twimg.com/profile_images/517073991727472641/RYhNsN2P.jpeg","View")</f>
        <v>View</v>
      </c>
      <c r="V950" s="8"/>
      <c r="W950" s="8"/>
      <c r="X950" s="8"/>
      <c r="Y950" s="8"/>
      <c r="Z950" s="8"/>
    </row>
    <row r="951" spans="1:26" ht="13.2">
      <c r="A951" s="13">
        <v>44250.5627662037</v>
      </c>
      <c r="B951" s="6" t="str">
        <f>HYPERLINK("https://twitter.com/botomation_io","@botomation_io")</f>
        <v>@botomation_io</v>
      </c>
      <c r="C951" s="14" t="s">
        <v>4339</v>
      </c>
      <c r="D951" s="14" t="s">
        <v>4340</v>
      </c>
      <c r="E951" s="6" t="str">
        <f>HYPERLINK("https://twitter.com/botomation_io/status/1364190869000245249","1364190869000245249")</f>
        <v>1364190869000245249</v>
      </c>
      <c r="F951" s="7" t="s">
        <v>4341</v>
      </c>
      <c r="G951" s="7" t="s">
        <v>4342</v>
      </c>
      <c r="H951" s="8"/>
      <c r="I951" s="14">
        <v>1</v>
      </c>
      <c r="J951" s="14">
        <v>1</v>
      </c>
      <c r="K951" s="6" t="str">
        <f>HYPERLINK("https://www.hootsuite.com","Hootsuite Inc.")</f>
        <v>Hootsuite Inc.</v>
      </c>
      <c r="L951" s="15">
        <v>80</v>
      </c>
      <c r="M951" s="15">
        <v>135</v>
      </c>
      <c r="N951" s="15">
        <v>0</v>
      </c>
      <c r="O951" s="9"/>
      <c r="P951" s="10">
        <v>43844.86210648148</v>
      </c>
      <c r="Q951" s="14" t="s">
        <v>4343</v>
      </c>
      <c r="R951" s="14" t="s">
        <v>4344</v>
      </c>
      <c r="S951" s="7" t="s">
        <v>4345</v>
      </c>
      <c r="T951" s="8"/>
      <c r="U951" s="11" t="str">
        <f>HYPERLINK("https://pbs.twimg.com/profile_images/1275768677107814400/mCs4QgcZ.png","View")</f>
        <v>View</v>
      </c>
      <c r="V951" s="8"/>
      <c r="W951" s="8"/>
      <c r="X951" s="8"/>
      <c r="Y951" s="8"/>
      <c r="Z951" s="8"/>
    </row>
    <row r="952" spans="1:26" ht="13.2">
      <c r="A952" s="13">
        <v>44250.562719907408</v>
      </c>
      <c r="B952" s="6" t="str">
        <f>HYPERLINK("https://twitter.com/DivergentCIO","@DivergentCIO")</f>
        <v>@DivergentCIO</v>
      </c>
      <c r="C952" s="14" t="s">
        <v>3912</v>
      </c>
      <c r="D952" s="14" t="s">
        <v>4346</v>
      </c>
      <c r="E952" s="6" t="str">
        <f>HYPERLINK("https://twitter.com/DivergentCIO/status/1364190854538285064","1364190854538285064")</f>
        <v>1364190854538285064</v>
      </c>
      <c r="F952" s="7" t="s">
        <v>4347</v>
      </c>
      <c r="G952" s="8"/>
      <c r="H952" s="8"/>
      <c r="I952" s="14">
        <v>1</v>
      </c>
      <c r="J952" s="14">
        <v>1</v>
      </c>
      <c r="K952" s="6" t="str">
        <f>HYPERLINK("https://buffer.com","Buffer")</f>
        <v>Buffer</v>
      </c>
      <c r="L952" s="15">
        <v>28614</v>
      </c>
      <c r="M952" s="15">
        <v>26399</v>
      </c>
      <c r="N952" s="15">
        <v>1647</v>
      </c>
      <c r="O952" s="9"/>
      <c r="P952" s="10">
        <v>42071.947187500002</v>
      </c>
      <c r="Q952" s="14" t="s">
        <v>3915</v>
      </c>
      <c r="R952" s="14" t="s">
        <v>3916</v>
      </c>
      <c r="S952" s="7" t="s">
        <v>3917</v>
      </c>
      <c r="T952" s="8"/>
      <c r="U952" s="11" t="str">
        <f>HYPERLINK("https://pbs.twimg.com/profile_images/767507322583199745/rpfbzBzg.jpg","View")</f>
        <v>View</v>
      </c>
      <c r="V952" s="8"/>
      <c r="W952" s="8"/>
      <c r="X952" s="8"/>
      <c r="Y952" s="8"/>
      <c r="Z952" s="8"/>
    </row>
    <row r="953" spans="1:26" ht="13.2">
      <c r="A953" s="13">
        <v>44250.56251157407</v>
      </c>
      <c r="B953" s="6" t="str">
        <f>HYPERLINK("https://twitter.com/WiselyWiseTweet","@WiselyWiseTweet")</f>
        <v>@WiselyWiseTweet</v>
      </c>
      <c r="C953" s="14" t="s">
        <v>4348</v>
      </c>
      <c r="D953" s="14" t="s">
        <v>4349</v>
      </c>
      <c r="E953" s="6" t="str">
        <f>HYPERLINK("https://twitter.com/WiselyWiseTweet/status/1364190778495365120","1364190778495365120")</f>
        <v>1364190778495365120</v>
      </c>
      <c r="F953" s="7" t="s">
        <v>4350</v>
      </c>
      <c r="G953" s="7" t="s">
        <v>4351</v>
      </c>
      <c r="H953" s="8"/>
      <c r="I953" s="14">
        <v>3</v>
      </c>
      <c r="J953" s="14">
        <v>1</v>
      </c>
      <c r="K953" s="6" t="str">
        <f>HYPERLINK("https://social.zoho.com","Zoho Social")</f>
        <v>Zoho Social</v>
      </c>
      <c r="L953" s="15">
        <v>76</v>
      </c>
      <c r="M953" s="15">
        <v>186</v>
      </c>
      <c r="N953" s="15">
        <v>36</v>
      </c>
      <c r="O953" s="9"/>
      <c r="P953" s="10">
        <v>41367.260011574072</v>
      </c>
      <c r="Q953" s="8"/>
      <c r="R953" s="8"/>
      <c r="S953" s="7" t="s">
        <v>4352</v>
      </c>
      <c r="T953" s="8"/>
      <c r="U953" s="11" t="str">
        <f>HYPERLINK("https://pbs.twimg.com/profile_images/822031461536542720/iolYyN7s.jpg","View")</f>
        <v>View</v>
      </c>
      <c r="V953" s="8"/>
      <c r="W953" s="8"/>
      <c r="X953" s="8"/>
      <c r="Y953" s="8"/>
      <c r="Z953" s="8"/>
    </row>
    <row r="954" spans="1:26" ht="13.2">
      <c r="A954" s="13">
        <v>44250.5625</v>
      </c>
      <c r="B954" s="6" t="str">
        <f>HYPERLINK("https://twitter.com/ThinkLBC","@ThinkLBC")</f>
        <v>@ThinkLBC</v>
      </c>
      <c r="C954" s="14" t="s">
        <v>3052</v>
      </c>
      <c r="D954" s="14" t="s">
        <v>4353</v>
      </c>
      <c r="E954" s="6" t="str">
        <f>HYPERLINK("https://twitter.com/ThinkLBC/status/1364190772363358210","1364190772363358210")</f>
        <v>1364190772363358210</v>
      </c>
      <c r="F954" s="8"/>
      <c r="G954" s="7" t="s">
        <v>4354</v>
      </c>
      <c r="H954" s="8"/>
      <c r="I954" s="14">
        <v>7</v>
      </c>
      <c r="J954" s="14">
        <v>7</v>
      </c>
      <c r="K954" s="6" t="str">
        <f>HYPERLINK("https://about.twitter.com/products/tweetdeck","TweetDeck")</f>
        <v>TweetDeck</v>
      </c>
      <c r="L954" s="15">
        <v>587</v>
      </c>
      <c r="M954" s="15">
        <v>637</v>
      </c>
      <c r="N954" s="15">
        <v>5</v>
      </c>
      <c r="O954" s="9"/>
      <c r="P954" s="10">
        <v>43969.237442129626</v>
      </c>
      <c r="Q954" s="8"/>
      <c r="R954" s="14" t="s">
        <v>3055</v>
      </c>
      <c r="S954" s="7" t="s">
        <v>3056</v>
      </c>
      <c r="T954" s="8"/>
      <c r="U954" s="11" t="str">
        <f>HYPERLINK("https://pbs.twimg.com/profile_images/1262226985264328704/zybINi_P.jpg","View")</f>
        <v>View</v>
      </c>
      <c r="V954" s="8"/>
      <c r="W954" s="8"/>
      <c r="X954" s="8"/>
      <c r="Y954" s="8"/>
      <c r="Z954" s="8"/>
    </row>
    <row r="955" spans="1:26" ht="13.2">
      <c r="A955" s="13">
        <v>44250.560787037037</v>
      </c>
      <c r="B955" s="6" t="str">
        <f>HYPERLINK("https://twitter.com/2021Machine","@2021Machine")</f>
        <v>@2021Machine</v>
      </c>
      <c r="C955" s="14" t="s">
        <v>4355</v>
      </c>
      <c r="D955" s="14" t="s">
        <v>4356</v>
      </c>
      <c r="E955" s="6" t="str">
        <f>HYPERLINK("https://twitter.com/2021Machine/status/1364190153888075777","1364190153888075777")</f>
        <v>1364190153888075777</v>
      </c>
      <c r="F955" s="7" t="s">
        <v>4357</v>
      </c>
      <c r="G955" s="7" t="s">
        <v>4358</v>
      </c>
      <c r="H955" s="8"/>
      <c r="I955" s="14">
        <v>0</v>
      </c>
      <c r="J955" s="14">
        <v>1</v>
      </c>
      <c r="K955" s="6" t="str">
        <f>HYPERLINK("https://mobile.twitter.com","Twitter Web App")</f>
        <v>Twitter Web App</v>
      </c>
      <c r="L955" s="15">
        <v>63</v>
      </c>
      <c r="M955" s="15">
        <v>167</v>
      </c>
      <c r="N955" s="15">
        <v>0</v>
      </c>
      <c r="O955" s="9"/>
      <c r="P955" s="10">
        <v>44179.193159722221</v>
      </c>
      <c r="Q955" s="8"/>
      <c r="R955" s="14" t="s">
        <v>4359</v>
      </c>
      <c r="S955" s="8"/>
      <c r="T955" s="8"/>
      <c r="U955" s="11" t="str">
        <f>HYPERLINK("https://pbs.twimg.com/profile_images/1362015606967390208/Ue8HbVL7.png","View")</f>
        <v>View</v>
      </c>
      <c r="V955" s="8"/>
      <c r="W955" s="8"/>
      <c r="X955" s="8"/>
      <c r="Y955" s="8"/>
      <c r="Z955" s="8"/>
    </row>
    <row r="956" spans="1:26" ht="13.2">
      <c r="A956" s="13">
        <v>44250.560578703706</v>
      </c>
      <c r="B956" s="6" t="str">
        <f>HYPERLINK("https://twitter.com/DS_Analytics","@DS_Analytics")</f>
        <v>@DS_Analytics</v>
      </c>
      <c r="C956" s="14" t="s">
        <v>2389</v>
      </c>
      <c r="D956" s="14" t="s">
        <v>4360</v>
      </c>
      <c r="E956" s="6" t="str">
        <f>HYPERLINK("https://twitter.com/DS_Analytics/status/1364190075974799363","1364190075974799363")</f>
        <v>1364190075974799363</v>
      </c>
      <c r="F956" s="7" t="s">
        <v>4361</v>
      </c>
      <c r="G956" s="8"/>
      <c r="H956" s="8"/>
      <c r="I956" s="14">
        <v>2</v>
      </c>
      <c r="J956" s="14">
        <v>1</v>
      </c>
      <c r="K956" s="6" t="str">
        <f>HYPERLINK("https://ifttt.com","IFTTT")</f>
        <v>IFTTT</v>
      </c>
      <c r="L956" s="15">
        <v>4945</v>
      </c>
      <c r="M956" s="15">
        <v>4504</v>
      </c>
      <c r="N956" s="15">
        <v>46</v>
      </c>
      <c r="O956" s="9"/>
      <c r="P956" s="10">
        <v>43019.662314814814</v>
      </c>
      <c r="Q956" s="8"/>
      <c r="R956" s="14" t="s">
        <v>2392</v>
      </c>
      <c r="S956" s="8"/>
      <c r="T956" s="8"/>
      <c r="U956" s="11" t="str">
        <f>HYPERLINK("https://pbs.twimg.com/profile_images/955817556635504640/FflsX454.jpg","View")</f>
        <v>View</v>
      </c>
      <c r="V956" s="8"/>
      <c r="W956" s="8"/>
      <c r="X956" s="8"/>
      <c r="Y956" s="8"/>
      <c r="Z956" s="8"/>
    </row>
    <row r="957" spans="1:26" ht="13.2">
      <c r="A957" s="13">
        <v>44250.560289351852</v>
      </c>
      <c r="B957" s="6" t="str">
        <f>HYPERLINK("https://twitter.com/rastrau","@rastrau")</f>
        <v>@rastrau</v>
      </c>
      <c r="C957" s="14" t="s">
        <v>4362</v>
      </c>
      <c r="D957" s="14" t="s">
        <v>4363</v>
      </c>
      <c r="E957" s="6" t="str">
        <f>HYPERLINK("https://twitter.com/rastrau/status/1364189972316774404","1364189972316774404")</f>
        <v>1364189972316774404</v>
      </c>
      <c r="F957" s="14" t="s">
        <v>4364</v>
      </c>
      <c r="G957" s="7" t="s">
        <v>4365</v>
      </c>
      <c r="H957" s="8"/>
      <c r="I957" s="14">
        <v>0</v>
      </c>
      <c r="J957" s="14">
        <v>1</v>
      </c>
      <c r="K957" s="6" t="str">
        <f>HYPERLINK("https://about.twitter.com/products/tweetdeck","TweetDeck")</f>
        <v>TweetDeck</v>
      </c>
      <c r="L957" s="15">
        <v>2019</v>
      </c>
      <c r="M957" s="15">
        <v>970</v>
      </c>
      <c r="N957" s="15">
        <v>187</v>
      </c>
      <c r="O957" s="9"/>
      <c r="P957" s="10">
        <v>40820.85429398148</v>
      </c>
      <c r="Q957" s="14" t="s">
        <v>4366</v>
      </c>
      <c r="R957" s="14" t="s">
        <v>4367</v>
      </c>
      <c r="S957" s="7" t="s">
        <v>4368</v>
      </c>
      <c r="T957" s="8"/>
      <c r="U957" s="11" t="str">
        <f>HYPERLINK("https://pbs.twimg.com/profile_images/1257340457711001601/Q2zEj47S.jpg","View")</f>
        <v>View</v>
      </c>
      <c r="V957" s="8"/>
      <c r="W957" s="8"/>
      <c r="X957" s="8"/>
      <c r="Y957" s="8"/>
      <c r="Z957" s="8"/>
    </row>
    <row r="958" spans="1:26" ht="13.2">
      <c r="A958" s="13">
        <v>44250.560266203705</v>
      </c>
      <c r="B958" s="6" t="str">
        <f>HYPERLINK("https://twitter.com/SwissUXNews","@SwissUXNews")</f>
        <v>@SwissUXNews</v>
      </c>
      <c r="C958" s="14" t="s">
        <v>4369</v>
      </c>
      <c r="D958" s="14" t="s">
        <v>4370</v>
      </c>
      <c r="E958" s="6" t="str">
        <f>HYPERLINK("https://twitter.com/SwissUXNews/status/1364189962946703365","1364189962946703365")</f>
        <v>1364189962946703365</v>
      </c>
      <c r="F958" s="7" t="s">
        <v>3166</v>
      </c>
      <c r="G958" s="8"/>
      <c r="H958" s="8"/>
      <c r="I958" s="14">
        <v>2</v>
      </c>
      <c r="J958" s="14">
        <v>4</v>
      </c>
      <c r="K958" s="6" t="str">
        <f>HYPERLINK("http://twinybots.com","TwinyBots")</f>
        <v>TwinyBots</v>
      </c>
      <c r="L958" s="15">
        <v>9042</v>
      </c>
      <c r="M958" s="15">
        <v>2918</v>
      </c>
      <c r="N958" s="15">
        <v>710</v>
      </c>
      <c r="O958" s="9"/>
      <c r="P958" s="10">
        <v>42478.727476851855</v>
      </c>
      <c r="Q958" s="14" t="s">
        <v>4074</v>
      </c>
      <c r="R958" s="14" t="s">
        <v>4371</v>
      </c>
      <c r="S958" s="7" t="s">
        <v>4372</v>
      </c>
      <c r="T958" s="8"/>
      <c r="U958" s="11" t="str">
        <f>HYPERLINK("https://pbs.twimg.com/profile_images/722089293896880129/Ah_MxpBe.jpg","View")</f>
        <v>View</v>
      </c>
      <c r="V958" s="8"/>
      <c r="W958" s="8"/>
      <c r="X958" s="8"/>
      <c r="Y958" s="8"/>
      <c r="Z958" s="8"/>
    </row>
    <row r="959" spans="1:26" ht="13.2">
      <c r="A959" s="13">
        <v>44250.560104166667</v>
      </c>
      <c r="B959" s="6" t="str">
        <f>HYPERLINK("https://twitter.com/Innovat78455398","@Innovat78455398")</f>
        <v>@Innovat78455398</v>
      </c>
      <c r="C959" s="14" t="s">
        <v>4318</v>
      </c>
      <c r="D959" s="14" t="s">
        <v>4373</v>
      </c>
      <c r="E959" s="6" t="str">
        <f>HYPERLINK("https://twitter.com/Innovat78455398/status/1364189904373129223","1364189904373129223")</f>
        <v>1364189904373129223</v>
      </c>
      <c r="F959" s="7" t="s">
        <v>4374</v>
      </c>
      <c r="G959" s="7" t="s">
        <v>4375</v>
      </c>
      <c r="H959" s="8"/>
      <c r="I959" s="14">
        <v>16</v>
      </c>
      <c r="J959" s="14">
        <v>11</v>
      </c>
      <c r="K959" s="6" t="str">
        <f>HYPERLINK("https://mobile.twitter.com","Twitter Web App")</f>
        <v>Twitter Web App</v>
      </c>
      <c r="L959" s="15">
        <v>101</v>
      </c>
      <c r="M959" s="15">
        <v>142</v>
      </c>
      <c r="N959" s="15">
        <v>1</v>
      </c>
      <c r="O959" s="9"/>
      <c r="P959" s="10">
        <v>44075.047534722224</v>
      </c>
      <c r="Q959" s="14" t="s">
        <v>623</v>
      </c>
      <c r="R959" s="14" t="s">
        <v>4322</v>
      </c>
      <c r="S959" s="8"/>
      <c r="T959" s="8"/>
      <c r="U959" s="11" t="str">
        <f>HYPERLINK("https://pbs.twimg.com/profile_images/1300571380098850818/YjKI8L9l.jpg","View")</f>
        <v>View</v>
      </c>
      <c r="V959" s="8"/>
      <c r="W959" s="8"/>
      <c r="X959" s="8"/>
      <c r="Y959" s="8"/>
      <c r="Z959" s="8"/>
    </row>
    <row r="960" spans="1:26" ht="13.2">
      <c r="A960" s="13">
        <v>44250.560092592597</v>
      </c>
      <c r="B960" s="6" t="str">
        <f>HYPERLINK("https://twitter.com/machinelearnflx","@machinelearnflx")</f>
        <v>@machinelearnflx</v>
      </c>
      <c r="C960" s="14" t="s">
        <v>279</v>
      </c>
      <c r="D960" s="14" t="s">
        <v>4376</v>
      </c>
      <c r="E960" s="6" t="str">
        <f>HYPERLINK("https://twitter.com/machinelearnflx/status/1364189900027924482","1364189900027924482")</f>
        <v>1364189900027924482</v>
      </c>
      <c r="F960" s="7" t="s">
        <v>4377</v>
      </c>
      <c r="G960" s="8"/>
      <c r="H960" s="8"/>
      <c r="I960" s="14">
        <v>4</v>
      </c>
      <c r="J960" s="14">
        <v>7</v>
      </c>
      <c r="K960" s="6" t="str">
        <f>HYPERLINK("https://twitter.com/pythonbot_","Postmatico")</f>
        <v>Postmatico</v>
      </c>
      <c r="L960" s="15">
        <v>90451</v>
      </c>
      <c r="M960" s="15">
        <v>35464</v>
      </c>
      <c r="N960" s="15">
        <v>2227</v>
      </c>
      <c r="O960" s="9"/>
      <c r="P960" s="10">
        <v>42386.538865740746</v>
      </c>
      <c r="Q960" s="8"/>
      <c r="R960" s="14" t="s">
        <v>282</v>
      </c>
      <c r="S960" s="7" t="s">
        <v>283</v>
      </c>
      <c r="T960" s="8"/>
      <c r="U960" s="11" t="str">
        <f>HYPERLINK("https://pbs.twimg.com/profile_images/688735459892195329/v8sHaWSG.jpg","View")</f>
        <v>View</v>
      </c>
      <c r="V960" s="8"/>
      <c r="W960" s="8"/>
      <c r="X960" s="8"/>
      <c r="Y960" s="8"/>
      <c r="Z960" s="8"/>
    </row>
    <row r="961" spans="1:26" ht="13.2">
      <c r="A961" s="13">
        <v>44250.559942129628</v>
      </c>
      <c r="B961" s="6" t="str">
        <f>HYPERLINK("https://twitter.com/ReformReality","@ReformReality")</f>
        <v>@ReformReality</v>
      </c>
      <c r="C961" s="14" t="s">
        <v>3735</v>
      </c>
      <c r="D961" s="14" t="s">
        <v>4378</v>
      </c>
      <c r="E961" s="6" t="str">
        <f>HYPERLINK("https://twitter.com/ReformReality/status/1364189847578152960","1364189847578152960")</f>
        <v>1364189847578152960</v>
      </c>
      <c r="F961" s="14" t="s">
        <v>4379</v>
      </c>
      <c r="G961" s="8"/>
      <c r="H961" s="8"/>
      <c r="I961" s="14">
        <v>0</v>
      </c>
      <c r="J961" s="14">
        <v>1</v>
      </c>
      <c r="K961" s="6" t="str">
        <f>HYPERLINK("http://twinybots.com","TwinyBots")</f>
        <v>TwinyBots</v>
      </c>
      <c r="L961" s="15">
        <v>203</v>
      </c>
      <c r="M961" s="15">
        <v>23</v>
      </c>
      <c r="N961" s="15">
        <v>4</v>
      </c>
      <c r="O961" s="9"/>
      <c r="P961" s="10">
        <v>43439.079861111109</v>
      </c>
      <c r="Q961" s="14" t="s">
        <v>1505</v>
      </c>
      <c r="R961" s="14" t="s">
        <v>3738</v>
      </c>
      <c r="S961" s="7" t="s">
        <v>3739</v>
      </c>
      <c r="T961" s="8"/>
      <c r="U961" s="11" t="str">
        <f>HYPERLINK("https://pbs.twimg.com/profile_images/1070119802314797056/lyCEoXtL.jpg","View")</f>
        <v>View</v>
      </c>
      <c r="V961" s="8"/>
      <c r="W961" s="8"/>
      <c r="X961" s="8"/>
      <c r="Y961" s="8"/>
      <c r="Z961" s="8"/>
    </row>
    <row r="962" spans="1:26" ht="13.2">
      <c r="A962" s="13">
        <v>44250.559895833328</v>
      </c>
      <c r="B962" s="6" t="str">
        <f>HYPERLINK("https://twitter.com/mahmud2040","@mahmud2040")</f>
        <v>@mahmud2040</v>
      </c>
      <c r="C962" s="14" t="s">
        <v>4380</v>
      </c>
      <c r="D962" s="14" t="s">
        <v>4381</v>
      </c>
      <c r="E962" s="6" t="str">
        <f>HYPERLINK("https://twitter.com/mahmud2040/status/1364189829299273732","1364189829299273732")</f>
        <v>1364189829299273732</v>
      </c>
      <c r="F962" s="7" t="s">
        <v>4382</v>
      </c>
      <c r="G962" s="7" t="s">
        <v>4383</v>
      </c>
      <c r="H962" s="8"/>
      <c r="I962" s="14">
        <v>22</v>
      </c>
      <c r="J962" s="14">
        <v>15</v>
      </c>
      <c r="K962" s="6" t="str">
        <f>HYPERLINK("http://twitter.com/download/android","Twitter for Android")</f>
        <v>Twitter for Android</v>
      </c>
      <c r="L962" s="15">
        <v>749</v>
      </c>
      <c r="M962" s="15">
        <v>3007</v>
      </c>
      <c r="N962" s="15">
        <v>2</v>
      </c>
      <c r="O962" s="9"/>
      <c r="P962" s="10">
        <v>43061.545682870375</v>
      </c>
      <c r="Q962" s="14" t="s">
        <v>322</v>
      </c>
      <c r="R962" s="14" t="s">
        <v>4384</v>
      </c>
      <c r="S962" s="7" t="s">
        <v>4385</v>
      </c>
      <c r="T962" s="8"/>
      <c r="U962" s="11" t="str">
        <f>HYPERLINK("https://pbs.twimg.com/profile_images/1279802053838028804/DxXT0idv.jpg","View")</f>
        <v>View</v>
      </c>
      <c r="V962" s="8"/>
      <c r="W962" s="8"/>
      <c r="X962" s="8"/>
      <c r="Y962" s="8"/>
      <c r="Z962" s="8"/>
    </row>
    <row r="963" spans="1:26" ht="13.2">
      <c r="A963" s="13">
        <v>44250.559849537036</v>
      </c>
      <c r="B963" s="6" t="str">
        <f>HYPERLINK("https://twitter.com/vpettorino","@vpettorino")</f>
        <v>@vpettorino</v>
      </c>
      <c r="C963" s="14" t="s">
        <v>4386</v>
      </c>
      <c r="D963" s="14" t="s">
        <v>4387</v>
      </c>
      <c r="E963" s="6" t="str">
        <f>HYPERLINK("https://twitter.com/vpettorino/status/1364189813075832833","1364189813075832833")</f>
        <v>1364189813075832833</v>
      </c>
      <c r="F963" s="14" t="s">
        <v>4388</v>
      </c>
      <c r="G963" s="7" t="s">
        <v>4389</v>
      </c>
      <c r="H963" s="8"/>
      <c r="I963" s="14">
        <v>2</v>
      </c>
      <c r="J963" s="14">
        <v>6</v>
      </c>
      <c r="K963" s="6" t="str">
        <f>HYPERLINK("http://twitter.com/download/iphone","Twitter for iPhone")</f>
        <v>Twitter for iPhone</v>
      </c>
      <c r="L963" s="15">
        <v>648</v>
      </c>
      <c r="M963" s="15">
        <v>862</v>
      </c>
      <c r="N963" s="15">
        <v>43</v>
      </c>
      <c r="O963" s="9"/>
      <c r="P963" s="10">
        <v>40321.930694444447</v>
      </c>
      <c r="Q963" s="14" t="s">
        <v>4390</v>
      </c>
      <c r="R963" s="14" t="s">
        <v>4391</v>
      </c>
      <c r="S963" s="7" t="s">
        <v>4392</v>
      </c>
      <c r="T963" s="8"/>
      <c r="U963" s="11" t="str">
        <f>HYPERLINK("https://pbs.twimg.com/profile_images/666630757411106816/E4qQPX7z.jpg","View")</f>
        <v>View</v>
      </c>
      <c r="V963" s="8"/>
      <c r="W963" s="8"/>
      <c r="X963" s="8"/>
      <c r="Y963" s="8"/>
      <c r="Z963" s="8"/>
    </row>
    <row r="964" spans="1:26" ht="13.2">
      <c r="A964" s="13">
        <v>44250.55972222222</v>
      </c>
      <c r="B964" s="6" t="str">
        <f>HYPERLINK("https://twitter.com/WhyYouGoGreen","@WhyYouGoGreen")</f>
        <v>@WhyYouGoGreen</v>
      </c>
      <c r="C964" s="14" t="s">
        <v>4393</v>
      </c>
      <c r="D964" s="14" t="s">
        <v>4394</v>
      </c>
      <c r="E964" s="6" t="str">
        <f>HYPERLINK("https://twitter.com/WhyYouGoGreen/status/1364189766560940037","1364189766560940037")</f>
        <v>1364189766560940037</v>
      </c>
      <c r="F964" s="7" t="s">
        <v>4395</v>
      </c>
      <c r="G964" s="8"/>
      <c r="H964" s="8"/>
      <c r="I964" s="14">
        <v>1</v>
      </c>
      <c r="J964" s="14">
        <v>2</v>
      </c>
      <c r="K964" s="6" t="str">
        <f>HYPERLINK("https://paper.li","Paper.li")</f>
        <v>Paper.li</v>
      </c>
      <c r="L964" s="15">
        <v>255</v>
      </c>
      <c r="M964" s="15">
        <v>429</v>
      </c>
      <c r="N964" s="15">
        <v>11</v>
      </c>
      <c r="O964" s="9"/>
      <c r="P964" s="10">
        <v>40859.764016203706</v>
      </c>
      <c r="Q964" s="14" t="s">
        <v>990</v>
      </c>
      <c r="R964" s="14" t="s">
        <v>4396</v>
      </c>
      <c r="S964" s="7" t="s">
        <v>4397</v>
      </c>
      <c r="T964" s="8"/>
      <c r="U964" s="11" t="str">
        <f>HYPERLINK("https://pbs.twimg.com/profile_images/439520534745731074/jNQNtvrq.jpeg","View")</f>
        <v>View</v>
      </c>
      <c r="V964" s="8"/>
      <c r="W964" s="8"/>
      <c r="X964" s="8"/>
      <c r="Y964" s="8"/>
      <c r="Z964" s="8"/>
    </row>
    <row r="965" spans="1:26" ht="13.2">
      <c r="A965" s="13">
        <v>44250.559629629628</v>
      </c>
      <c r="B965" s="6" t="str">
        <f>HYPERLINK("https://twitter.com/lovebeingageek","@lovebeingageek")</f>
        <v>@lovebeingageek</v>
      </c>
      <c r="C965" s="14" t="s">
        <v>4398</v>
      </c>
      <c r="D965" s="14" t="s">
        <v>4399</v>
      </c>
      <c r="E965" s="6" t="str">
        <f>HYPERLINK("https://twitter.com/lovebeingageek/status/1364189733920903168","1364189733920903168")</f>
        <v>1364189733920903168</v>
      </c>
      <c r="F965" s="7" t="s">
        <v>4400</v>
      </c>
      <c r="G965" s="8"/>
      <c r="H965" s="8"/>
      <c r="I965" s="14">
        <v>0</v>
      </c>
      <c r="J965" s="14">
        <v>1</v>
      </c>
      <c r="K965" s="6" t="str">
        <f>HYPERLINK("http://www.linkedin.com/","LinkedIn")</f>
        <v>LinkedIn</v>
      </c>
      <c r="L965" s="15">
        <v>143</v>
      </c>
      <c r="M965" s="15">
        <v>123</v>
      </c>
      <c r="N965" s="15">
        <v>14</v>
      </c>
      <c r="O965" s="9"/>
      <c r="P965" s="10">
        <v>41417.004699074074</v>
      </c>
      <c r="Q965" s="14" t="s">
        <v>599</v>
      </c>
      <c r="R965" s="14" t="s">
        <v>4401</v>
      </c>
      <c r="S965" s="7" t="s">
        <v>4402</v>
      </c>
      <c r="T965" s="8"/>
      <c r="U965" s="11" t="str">
        <f>HYPERLINK("https://pbs.twimg.com/profile_images/1080780156636147712/BmbKR9YZ.jpg","View")</f>
        <v>View</v>
      </c>
      <c r="V965" s="8"/>
      <c r="W965" s="8"/>
      <c r="X965" s="8"/>
      <c r="Y965" s="8"/>
      <c r="Z965" s="8"/>
    </row>
    <row r="966" spans="1:26" ht="13.2">
      <c r="A966" s="13">
        <v>44250.559178240743</v>
      </c>
      <c r="B966" s="6" t="str">
        <f>HYPERLINK("https://twitter.com/AlertTrade","@AlertTrade")</f>
        <v>@AlertTrade</v>
      </c>
      <c r="C966" s="14" t="s">
        <v>1043</v>
      </c>
      <c r="D966" s="14" t="s">
        <v>4403</v>
      </c>
      <c r="E966" s="6" t="str">
        <f>HYPERLINK("https://twitter.com/AlertTrade/status/1364189567927144449","1364189567927144449")</f>
        <v>1364189567927144449</v>
      </c>
      <c r="F966" s="7" t="s">
        <v>4404</v>
      </c>
      <c r="G966" s="7" t="s">
        <v>4405</v>
      </c>
      <c r="H966" s="8"/>
      <c r="I966" s="14">
        <v>1</v>
      </c>
      <c r="J966" s="14">
        <v>2</v>
      </c>
      <c r="K966" s="6" t="str">
        <f>HYPERLINK("https://recurpost.com","recurpost.com")</f>
        <v>recurpost.com</v>
      </c>
      <c r="L966" s="15">
        <v>147561</v>
      </c>
      <c r="M966" s="15">
        <v>149760</v>
      </c>
      <c r="N966" s="15">
        <v>2503</v>
      </c>
      <c r="O966" s="9"/>
      <c r="P966" s="10">
        <v>40245.718449074076</v>
      </c>
      <c r="Q966" s="8"/>
      <c r="R966" s="14" t="s">
        <v>1047</v>
      </c>
      <c r="S966" s="7" t="s">
        <v>1048</v>
      </c>
      <c r="T966" s="8"/>
      <c r="U966" s="11" t="str">
        <f>HYPERLINK("https://pbs.twimg.com/profile_images/909427952001146880/UoMAp4JA.jpg","View")</f>
        <v>View</v>
      </c>
      <c r="V966" s="8"/>
      <c r="W966" s="8"/>
      <c r="X966" s="8"/>
      <c r="Y966" s="8"/>
      <c r="Z966" s="8"/>
    </row>
    <row r="967" spans="1:26" ht="13.2">
      <c r="A967" s="13">
        <v>44250.559062500004</v>
      </c>
      <c r="B967" s="6" t="str">
        <f>HYPERLINK("https://twitter.com/Radiology_AI","@Radiology_AI")</f>
        <v>@Radiology_AI</v>
      </c>
      <c r="C967" s="14" t="s">
        <v>2729</v>
      </c>
      <c r="D967" s="14" t="s">
        <v>4406</v>
      </c>
      <c r="E967" s="6" t="str">
        <f>HYPERLINK("https://twitter.com/Radiology_AI/status/1364189527758147587","1364189527758147587")</f>
        <v>1364189527758147587</v>
      </c>
      <c r="F967" s="7" t="s">
        <v>4407</v>
      </c>
      <c r="G967" s="7" t="s">
        <v>4408</v>
      </c>
      <c r="H967" s="8"/>
      <c r="I967" s="14">
        <v>1</v>
      </c>
      <c r="J967" s="14">
        <v>6</v>
      </c>
      <c r="K967" s="6" t="str">
        <f>HYPERLINK("https://pubs.rsna.org/journal/ai","Radiology: AI app")</f>
        <v>Radiology: AI app</v>
      </c>
      <c r="L967" s="15">
        <v>7117</v>
      </c>
      <c r="M967" s="15">
        <v>18</v>
      </c>
      <c r="N967" s="15">
        <v>91</v>
      </c>
      <c r="O967" s="9"/>
      <c r="P967" s="10">
        <v>43412.634467592594</v>
      </c>
      <c r="Q967" s="14" t="s">
        <v>2733</v>
      </c>
      <c r="R967" s="14" t="s">
        <v>2734</v>
      </c>
      <c r="S967" s="7" t="s">
        <v>2735</v>
      </c>
      <c r="T967" s="8"/>
      <c r="U967" s="11" t="str">
        <f>HYPERLINK("https://pbs.twimg.com/profile_images/1088215563233579008/a69L4EZB.jpg","View")</f>
        <v>View</v>
      </c>
      <c r="V967" s="8"/>
      <c r="W967" s="8"/>
      <c r="X967" s="8"/>
      <c r="Y967" s="8"/>
      <c r="Z967" s="8"/>
    </row>
    <row r="968" spans="1:26" ht="13.2">
      <c r="A968" s="13">
        <v>44250.558761574073</v>
      </c>
      <c r="B968" s="6" t="str">
        <f>HYPERLINK("https://twitter.com/Innovat78455398","@Innovat78455398")</f>
        <v>@Innovat78455398</v>
      </c>
      <c r="C968" s="14" t="s">
        <v>4318</v>
      </c>
      <c r="D968" s="14" t="s">
        <v>4409</v>
      </c>
      <c r="E968" s="6" t="str">
        <f>HYPERLINK("https://twitter.com/Innovat78455398/status/1364189420174249991","1364189420174249991")</f>
        <v>1364189420174249991</v>
      </c>
      <c r="F968" s="7" t="s">
        <v>4410</v>
      </c>
      <c r="G968" s="7" t="s">
        <v>4411</v>
      </c>
      <c r="H968" s="8"/>
      <c r="I968" s="14">
        <v>4</v>
      </c>
      <c r="J968" s="14">
        <v>8</v>
      </c>
      <c r="K968" s="6" t="str">
        <f>HYPERLINK("https://mobile.twitter.com","Twitter Web App")</f>
        <v>Twitter Web App</v>
      </c>
      <c r="L968" s="15">
        <v>101</v>
      </c>
      <c r="M968" s="15">
        <v>142</v>
      </c>
      <c r="N968" s="15">
        <v>1</v>
      </c>
      <c r="O968" s="9"/>
      <c r="P968" s="10">
        <v>44075.047534722224</v>
      </c>
      <c r="Q968" s="14" t="s">
        <v>623</v>
      </c>
      <c r="R968" s="14" t="s">
        <v>4322</v>
      </c>
      <c r="S968" s="8"/>
      <c r="T968" s="8"/>
      <c r="U968" s="11" t="str">
        <f>HYPERLINK("https://pbs.twimg.com/profile_images/1300571380098850818/YjKI8L9l.jpg","View")</f>
        <v>View</v>
      </c>
      <c r="V968" s="8"/>
      <c r="W968" s="8"/>
      <c r="X968" s="8"/>
      <c r="Y968" s="8"/>
      <c r="Z968" s="8"/>
    </row>
    <row r="969" spans="1:26" ht="13.2">
      <c r="A969" s="13">
        <v>44250.558703703704</v>
      </c>
      <c r="B969" s="6" t="str">
        <f>HYPERLINK("https://twitter.com/AfricaDataSch","@AfricaDataSch")</f>
        <v>@AfricaDataSch</v>
      </c>
      <c r="C969" s="14" t="s">
        <v>4412</v>
      </c>
      <c r="D969" s="14" t="s">
        <v>4413</v>
      </c>
      <c r="E969" s="6" t="str">
        <f>HYPERLINK("https://twitter.com/AfricaDataSch/status/1364189397348974594","1364189397348974594")</f>
        <v>1364189397348974594</v>
      </c>
      <c r="F969" s="8"/>
      <c r="G969" s="7" t="s">
        <v>4414</v>
      </c>
      <c r="H969" s="8"/>
      <c r="I969" s="14">
        <v>0</v>
      </c>
      <c r="J969" s="14">
        <v>2</v>
      </c>
      <c r="K969" s="6" t="str">
        <f>HYPERLINK("http://twitter.com/download/android","Twitter for Android")</f>
        <v>Twitter for Android</v>
      </c>
      <c r="L969" s="15">
        <v>410</v>
      </c>
      <c r="M969" s="15">
        <v>187</v>
      </c>
      <c r="N969" s="15">
        <v>1</v>
      </c>
      <c r="O969" s="9"/>
      <c r="P969" s="10">
        <v>43419.523946759262</v>
      </c>
      <c r="Q969" s="14" t="s">
        <v>3574</v>
      </c>
      <c r="R969" s="14" t="s">
        <v>4415</v>
      </c>
      <c r="S969" s="7" t="s">
        <v>4416</v>
      </c>
      <c r="T969" s="8"/>
      <c r="U969" s="11" t="str">
        <f>HYPERLINK("https://pbs.twimg.com/profile_images/1348284297623568385/IXYxiUk-.jpg","View")</f>
        <v>View</v>
      </c>
      <c r="V969" s="8"/>
      <c r="W969" s="8"/>
      <c r="X969" s="8"/>
      <c r="Y969" s="8"/>
      <c r="Z969" s="8"/>
    </row>
    <row r="970" spans="1:26" ht="13.2">
      <c r="A970" s="13">
        <v>44250.556423611109</v>
      </c>
      <c r="B970" s="6" t="str">
        <f>HYPERLINK("https://twitter.com/BhartiRajpuroh3","@BhartiRajpuroh3")</f>
        <v>@BhartiRajpuroh3</v>
      </c>
      <c r="C970" s="14" t="s">
        <v>4417</v>
      </c>
      <c r="D970" s="14" t="s">
        <v>4418</v>
      </c>
      <c r="E970" s="6" t="str">
        <f>HYPERLINK("https://twitter.com/BhartiRajpuroh3/status/1364188572673187841","1364188572673187841")</f>
        <v>1364188572673187841</v>
      </c>
      <c r="F970" s="7" t="s">
        <v>4419</v>
      </c>
      <c r="G970" s="8"/>
      <c r="H970" s="8"/>
      <c r="I970" s="14">
        <v>10</v>
      </c>
      <c r="J970" s="14">
        <v>5</v>
      </c>
      <c r="K970" s="6" t="str">
        <f>HYPERLINK("https://mobile.twitter.com","Twitter Web App")</f>
        <v>Twitter Web App</v>
      </c>
      <c r="L970" s="15">
        <v>168</v>
      </c>
      <c r="M970" s="15">
        <v>441</v>
      </c>
      <c r="N970" s="15">
        <v>1</v>
      </c>
      <c r="O970" s="9"/>
      <c r="P970" s="10">
        <v>43965.59878472222</v>
      </c>
      <c r="Q970" s="8"/>
      <c r="R970" s="14" t="s">
        <v>4420</v>
      </c>
      <c r="S970" s="8"/>
      <c r="T970" s="8"/>
      <c r="U970" s="11" t="str">
        <f>HYPERLINK("https://pbs.twimg.com/profile_images/1260910408447275008/Rnd9M5a9.jpg","View")</f>
        <v>View</v>
      </c>
      <c r="V970" s="8"/>
      <c r="W970" s="8"/>
      <c r="X970" s="8"/>
      <c r="Y970" s="8"/>
      <c r="Z970" s="8"/>
    </row>
    <row r="971" spans="1:26" ht="13.2">
      <c r="A971" s="13">
        <v>44250.556261574078</v>
      </c>
      <c r="B971" s="6" t="str">
        <f>HYPERLINK("https://twitter.com/RichardEudes","@RichardEudes")</f>
        <v>@RichardEudes</v>
      </c>
      <c r="C971" s="14" t="s">
        <v>341</v>
      </c>
      <c r="D971" s="14" t="s">
        <v>4421</v>
      </c>
      <c r="E971" s="6" t="str">
        <f>HYPERLINK("https://twitter.com/RichardEudes/status/1364188511293878277","1364188511293878277")</f>
        <v>1364188511293878277</v>
      </c>
      <c r="F971" s="7" t="s">
        <v>4422</v>
      </c>
      <c r="G971" s="8"/>
      <c r="H971" s="8"/>
      <c r="I971" s="14">
        <v>1</v>
      </c>
      <c r="J971" s="14">
        <v>2</v>
      </c>
      <c r="K971" s="6" t="str">
        <f>HYPERLINK("https://buffer.com","Buffer")</f>
        <v>Buffer</v>
      </c>
      <c r="L971" s="15">
        <v>16960</v>
      </c>
      <c r="M971" s="15">
        <v>1979</v>
      </c>
      <c r="N971" s="15">
        <v>668</v>
      </c>
      <c r="O971" s="9"/>
      <c r="P971" s="10">
        <v>39985.961481481485</v>
      </c>
      <c r="Q971" s="14" t="s">
        <v>106</v>
      </c>
      <c r="R971" s="14" t="s">
        <v>344</v>
      </c>
      <c r="S971" s="7" t="s">
        <v>345</v>
      </c>
      <c r="T971" s="8"/>
      <c r="U971" s="11" t="str">
        <f>HYPERLINK("https://pbs.twimg.com/profile_images/1332753391886491648/I9fBm3kf.jpg","View")</f>
        <v>View</v>
      </c>
      <c r="V971" s="8"/>
      <c r="W971" s="8"/>
      <c r="X971" s="8"/>
      <c r="Y971" s="8"/>
      <c r="Z971" s="8"/>
    </row>
    <row r="972" spans="1:26" ht="13.2">
      <c r="A972" s="13">
        <v>44250.556238425925</v>
      </c>
      <c r="B972" s="6" t="str">
        <f>HYPERLINK("https://twitter.com/Prashanth_NS","@Prashanth_NS")</f>
        <v>@Prashanth_NS</v>
      </c>
      <c r="C972" s="14" t="s">
        <v>4423</v>
      </c>
      <c r="D972" s="14" t="s">
        <v>4424</v>
      </c>
      <c r="E972" s="6" t="str">
        <f>HYPERLINK("https://twitter.com/Prashanth_NS/status/1364188505253978115","1364188505253978115")</f>
        <v>1364188505253978115</v>
      </c>
      <c r="F972" s="7" t="s">
        <v>4425</v>
      </c>
      <c r="G972" s="8"/>
      <c r="H972" s="8"/>
      <c r="I972" s="14">
        <v>8</v>
      </c>
      <c r="J972" s="14">
        <v>3</v>
      </c>
      <c r="K972" s="6" t="str">
        <f t="shared" ref="K972:K974" si="151">HYPERLINK("http://twitter.com/download/android","Twitter for Android")</f>
        <v>Twitter for Android</v>
      </c>
      <c r="L972" s="15">
        <v>1167</v>
      </c>
      <c r="M972" s="15">
        <v>53</v>
      </c>
      <c r="N972" s="15">
        <v>140</v>
      </c>
      <c r="O972" s="9"/>
      <c r="P972" s="10">
        <v>42120.421909722223</v>
      </c>
      <c r="Q972" s="14" t="s">
        <v>1742</v>
      </c>
      <c r="R972" s="14" t="s">
        <v>4426</v>
      </c>
      <c r="S972" s="8"/>
      <c r="T972" s="8"/>
      <c r="U972" s="11" t="str">
        <f>HYPERLINK("https://pbs.twimg.com/profile_images/1301374040414674945/J38_bT2D.jpg","View")</f>
        <v>View</v>
      </c>
      <c r="V972" s="8"/>
      <c r="W972" s="8"/>
      <c r="X972" s="8"/>
      <c r="Y972" s="8"/>
      <c r="Z972" s="8"/>
    </row>
    <row r="973" spans="1:26" ht="13.2">
      <c r="A973" s="13">
        <v>44250.555810185186</v>
      </c>
      <c r="B973" s="6" t="str">
        <f t="shared" ref="B973:B974" si="152">HYPERLINK("https://twitter.com/Programming1Pro","@Programming1Pro")</f>
        <v>@Programming1Pro</v>
      </c>
      <c r="C973" s="14" t="s">
        <v>1452</v>
      </c>
      <c r="D973" s="14" t="s">
        <v>4427</v>
      </c>
      <c r="E973" s="6" t="str">
        <f>HYPERLINK("https://twitter.com/Programming1Pro/status/1364188349037113346","1364188349037113346")</f>
        <v>1364188349037113346</v>
      </c>
      <c r="F973" s="7" t="s">
        <v>4428</v>
      </c>
      <c r="G973" s="7" t="s">
        <v>4429</v>
      </c>
      <c r="H973" s="8"/>
      <c r="I973" s="14">
        <v>14</v>
      </c>
      <c r="J973" s="14">
        <v>9</v>
      </c>
      <c r="K973" s="6" t="str">
        <f t="shared" si="151"/>
        <v>Twitter for Android</v>
      </c>
      <c r="L973" s="15">
        <v>154</v>
      </c>
      <c r="M973" s="15">
        <v>101</v>
      </c>
      <c r="N973" s="15">
        <v>5</v>
      </c>
      <c r="O973" s="9"/>
      <c r="P973" s="10">
        <v>44051.923946759256</v>
      </c>
      <c r="Q973" s="8"/>
      <c r="R973" s="14" t="s">
        <v>1456</v>
      </c>
      <c r="S973" s="7" t="s">
        <v>1457</v>
      </c>
      <c r="T973" s="8"/>
      <c r="U973" s="11" t="str">
        <f t="shared" ref="U973:U974" si="153">HYPERLINK("https://pbs.twimg.com/profile_images/1296026445592973312/Us0pl5f6.jpg","View")</f>
        <v>View</v>
      </c>
      <c r="V973" s="8"/>
      <c r="W973" s="8"/>
      <c r="X973" s="8"/>
      <c r="Y973" s="8"/>
      <c r="Z973" s="8"/>
    </row>
    <row r="974" spans="1:26" ht="13.2">
      <c r="A974" s="13">
        <v>44250.55569444444</v>
      </c>
      <c r="B974" s="6" t="str">
        <f t="shared" si="152"/>
        <v>@Programming1Pro</v>
      </c>
      <c r="C974" s="14" t="s">
        <v>1452</v>
      </c>
      <c r="D974" s="14" t="s">
        <v>4430</v>
      </c>
      <c r="E974" s="6" t="str">
        <f>HYPERLINK("https://twitter.com/Programming1Pro/status/1364188306905333760","1364188306905333760")</f>
        <v>1364188306905333760</v>
      </c>
      <c r="F974" s="7" t="s">
        <v>4431</v>
      </c>
      <c r="G974" s="7" t="s">
        <v>4432</v>
      </c>
      <c r="H974" s="8"/>
      <c r="I974" s="14">
        <v>30</v>
      </c>
      <c r="J974" s="14">
        <v>12</v>
      </c>
      <c r="K974" s="6" t="str">
        <f t="shared" si="151"/>
        <v>Twitter for Android</v>
      </c>
      <c r="L974" s="15">
        <v>154</v>
      </c>
      <c r="M974" s="15">
        <v>101</v>
      </c>
      <c r="N974" s="15">
        <v>5</v>
      </c>
      <c r="O974" s="9"/>
      <c r="P974" s="10">
        <v>44051.923946759256</v>
      </c>
      <c r="Q974" s="8"/>
      <c r="R974" s="14" t="s">
        <v>1456</v>
      </c>
      <c r="S974" s="7" t="s">
        <v>1457</v>
      </c>
      <c r="T974" s="8"/>
      <c r="U974" s="11" t="str">
        <f t="shared" si="153"/>
        <v>View</v>
      </c>
      <c r="V974" s="8"/>
      <c r="W974" s="8"/>
      <c r="X974" s="8"/>
      <c r="Y974" s="8"/>
      <c r="Z974" s="8"/>
    </row>
    <row r="975" spans="1:26" ht="13.2">
      <c r="A975" s="13">
        <v>44250.555671296301</v>
      </c>
      <c r="B975" s="6" t="str">
        <f>HYPERLINK("https://twitter.com/NellisterC","@NellisterC")</f>
        <v>@NellisterC</v>
      </c>
      <c r="C975" s="14" t="s">
        <v>1694</v>
      </c>
      <c r="D975" s="14" t="s">
        <v>4433</v>
      </c>
      <c r="E975" s="6" t="str">
        <f>HYPERLINK("https://twitter.com/NellisterC/status/1364188298466500612","1364188298466500612")</f>
        <v>1364188298466500612</v>
      </c>
      <c r="F975" s="14" t="s">
        <v>4434</v>
      </c>
      <c r="G975" s="8"/>
      <c r="H975" s="8"/>
      <c r="I975" s="14">
        <v>0</v>
      </c>
      <c r="J975" s="14">
        <v>1</v>
      </c>
      <c r="K975" s="6" t="str">
        <f>HYPERLINK("http://twinybots.com","TwinyBots")</f>
        <v>TwinyBots</v>
      </c>
      <c r="L975" s="15">
        <v>198</v>
      </c>
      <c r="M975" s="15">
        <v>560</v>
      </c>
      <c r="N975" s="15">
        <v>10</v>
      </c>
      <c r="O975" s="9"/>
      <c r="P975" s="10">
        <v>43599.954525462963</v>
      </c>
      <c r="Q975" s="8"/>
      <c r="R975" s="8"/>
      <c r="S975" s="8"/>
      <c r="T975" s="8"/>
      <c r="U975" s="11" t="str">
        <f>HYPERLINK("https://pbs.twimg.com/profile_images/1203805530122313728/6wZUGRfP.jpg","View")</f>
        <v>View</v>
      </c>
      <c r="V975" s="8"/>
      <c r="W975" s="8"/>
      <c r="X975" s="8"/>
      <c r="Y975" s="8"/>
      <c r="Z975" s="8"/>
    </row>
    <row r="976" spans="1:26" ht="13.2">
      <c r="A976" s="13">
        <v>44250.555567129632</v>
      </c>
      <c r="B976" s="6" t="str">
        <f>HYPERLINK("https://twitter.com/DivergentCIO","@DivergentCIO")</f>
        <v>@DivergentCIO</v>
      </c>
      <c r="C976" s="14" t="s">
        <v>3912</v>
      </c>
      <c r="D976" s="14" t="s">
        <v>4435</v>
      </c>
      <c r="E976" s="6" t="str">
        <f>HYPERLINK("https://twitter.com/DivergentCIO/status/1364188260352864256","1364188260352864256")</f>
        <v>1364188260352864256</v>
      </c>
      <c r="F976" s="7" t="s">
        <v>4436</v>
      </c>
      <c r="G976" s="8"/>
      <c r="H976" s="8"/>
      <c r="I976" s="14">
        <v>3</v>
      </c>
      <c r="J976" s="14">
        <v>1</v>
      </c>
      <c r="K976" s="6" t="str">
        <f>HYPERLINK("https://buffer.com","Buffer")</f>
        <v>Buffer</v>
      </c>
      <c r="L976" s="15">
        <v>28614</v>
      </c>
      <c r="M976" s="15">
        <v>26399</v>
      </c>
      <c r="N976" s="15">
        <v>1647</v>
      </c>
      <c r="O976" s="9"/>
      <c r="P976" s="10">
        <v>42071.947187500002</v>
      </c>
      <c r="Q976" s="14" t="s">
        <v>3915</v>
      </c>
      <c r="R976" s="14" t="s">
        <v>3916</v>
      </c>
      <c r="S976" s="7" t="s">
        <v>3917</v>
      </c>
      <c r="T976" s="8"/>
      <c r="U976" s="11" t="str">
        <f>HYPERLINK("https://pbs.twimg.com/profile_images/767507322583199745/rpfbzBzg.jpg","View")</f>
        <v>View</v>
      </c>
      <c r="V976" s="8"/>
      <c r="W976" s="8"/>
      <c r="X976" s="8"/>
      <c r="Y976" s="8"/>
      <c r="Z976" s="8"/>
    </row>
    <row r="977" spans="1:26" ht="13.2">
      <c r="A977" s="13">
        <v>44250.555497685185</v>
      </c>
      <c r="B977" s="6" t="str">
        <f t="shared" ref="B977:B979" si="154">HYPERLINK("https://twitter.com/Programming1Pro","@Programming1Pro")</f>
        <v>@Programming1Pro</v>
      </c>
      <c r="C977" s="14" t="s">
        <v>1452</v>
      </c>
      <c r="D977" s="14" t="s">
        <v>4437</v>
      </c>
      <c r="E977" s="6" t="str">
        <f>HYPERLINK("https://twitter.com/Programming1Pro/status/1364188236088680450","1364188236088680450")</f>
        <v>1364188236088680450</v>
      </c>
      <c r="F977" s="7" t="s">
        <v>4438</v>
      </c>
      <c r="G977" s="7" t="s">
        <v>4439</v>
      </c>
      <c r="H977" s="8"/>
      <c r="I977" s="14">
        <v>18</v>
      </c>
      <c r="J977" s="14">
        <v>10</v>
      </c>
      <c r="K977" s="6" t="str">
        <f t="shared" ref="K977:K979" si="155">HYPERLINK("http://twitter.com/download/android","Twitter for Android")</f>
        <v>Twitter for Android</v>
      </c>
      <c r="L977" s="15">
        <v>154</v>
      </c>
      <c r="M977" s="15">
        <v>101</v>
      </c>
      <c r="N977" s="15">
        <v>5</v>
      </c>
      <c r="O977" s="9"/>
      <c r="P977" s="10">
        <v>44051.923946759256</v>
      </c>
      <c r="Q977" s="8"/>
      <c r="R977" s="14" t="s">
        <v>1456</v>
      </c>
      <c r="S977" s="7" t="s">
        <v>1457</v>
      </c>
      <c r="T977" s="8"/>
      <c r="U977" s="11" t="str">
        <f t="shared" ref="U977:U979" si="156">HYPERLINK("https://pbs.twimg.com/profile_images/1296026445592973312/Us0pl5f6.jpg","View")</f>
        <v>View</v>
      </c>
      <c r="V977" s="8"/>
      <c r="W977" s="8"/>
      <c r="X977" s="8"/>
      <c r="Y977" s="8"/>
      <c r="Z977" s="8"/>
    </row>
    <row r="978" spans="1:26" ht="13.2">
      <c r="A978" s="13">
        <v>44250.55537037037</v>
      </c>
      <c r="B978" s="6" t="str">
        <f t="shared" si="154"/>
        <v>@Programming1Pro</v>
      </c>
      <c r="C978" s="14" t="s">
        <v>1452</v>
      </c>
      <c r="D978" s="14" t="s">
        <v>4440</v>
      </c>
      <c r="E978" s="6" t="str">
        <f>HYPERLINK("https://twitter.com/Programming1Pro/status/1364188188592365574","1364188188592365574")</f>
        <v>1364188188592365574</v>
      </c>
      <c r="F978" s="7" t="s">
        <v>4441</v>
      </c>
      <c r="G978" s="7" t="s">
        <v>4442</v>
      </c>
      <c r="H978" s="8"/>
      <c r="I978" s="14">
        <v>16</v>
      </c>
      <c r="J978" s="14">
        <v>7</v>
      </c>
      <c r="K978" s="6" t="str">
        <f t="shared" si="155"/>
        <v>Twitter for Android</v>
      </c>
      <c r="L978" s="15">
        <v>154</v>
      </c>
      <c r="M978" s="15">
        <v>101</v>
      </c>
      <c r="N978" s="15">
        <v>5</v>
      </c>
      <c r="O978" s="9"/>
      <c r="P978" s="10">
        <v>44051.923946759256</v>
      </c>
      <c r="Q978" s="8"/>
      <c r="R978" s="14" t="s">
        <v>1456</v>
      </c>
      <c r="S978" s="7" t="s">
        <v>1457</v>
      </c>
      <c r="T978" s="8"/>
      <c r="U978" s="11" t="str">
        <f t="shared" si="156"/>
        <v>View</v>
      </c>
      <c r="V978" s="8"/>
      <c r="W978" s="8"/>
      <c r="X978" s="8"/>
      <c r="Y978" s="8"/>
      <c r="Z978" s="8"/>
    </row>
    <row r="979" spans="1:26" ht="13.2">
      <c r="A979" s="13">
        <v>44250.555104166662</v>
      </c>
      <c r="B979" s="6" t="str">
        <f t="shared" si="154"/>
        <v>@Programming1Pro</v>
      </c>
      <c r="C979" s="14" t="s">
        <v>1452</v>
      </c>
      <c r="D979" s="14" t="s">
        <v>4443</v>
      </c>
      <c r="E979" s="6" t="str">
        <f>HYPERLINK("https://twitter.com/Programming1Pro/status/1364188091997560833","1364188091997560833")</f>
        <v>1364188091997560833</v>
      </c>
      <c r="F979" s="7" t="s">
        <v>4444</v>
      </c>
      <c r="G979" s="7" t="s">
        <v>4445</v>
      </c>
      <c r="H979" s="8"/>
      <c r="I979" s="14">
        <v>16</v>
      </c>
      <c r="J979" s="14">
        <v>7</v>
      </c>
      <c r="K979" s="6" t="str">
        <f t="shared" si="155"/>
        <v>Twitter for Android</v>
      </c>
      <c r="L979" s="15">
        <v>154</v>
      </c>
      <c r="M979" s="15">
        <v>101</v>
      </c>
      <c r="N979" s="15">
        <v>5</v>
      </c>
      <c r="O979" s="9"/>
      <c r="P979" s="10">
        <v>44051.923946759256</v>
      </c>
      <c r="Q979" s="8"/>
      <c r="R979" s="14" t="s">
        <v>1456</v>
      </c>
      <c r="S979" s="7" t="s">
        <v>1457</v>
      </c>
      <c r="T979" s="8"/>
      <c r="U979" s="11" t="str">
        <f t="shared" si="156"/>
        <v>View</v>
      </c>
      <c r="V979" s="8"/>
      <c r="W979" s="8"/>
      <c r="X979" s="8"/>
      <c r="Y979" s="8"/>
      <c r="Z979" s="8"/>
    </row>
    <row r="980" spans="1:26" ht="13.2">
      <c r="A980" s="13">
        <v>44250.555104166662</v>
      </c>
      <c r="B980" s="6" t="str">
        <f>HYPERLINK("https://twitter.com/Davide__Cirillo","@Davide__Cirillo")</f>
        <v>@Davide__Cirillo</v>
      </c>
      <c r="C980" s="14" t="s">
        <v>4446</v>
      </c>
      <c r="D980" s="14" t="s">
        <v>4447</v>
      </c>
      <c r="E980" s="6" t="str">
        <f>HYPERLINK("https://twitter.com/Davide__Cirillo/status/1364188091725062146","1364188091725062146")</f>
        <v>1364188091725062146</v>
      </c>
      <c r="F980" s="7" t="s">
        <v>4448</v>
      </c>
      <c r="G980" s="7" t="s">
        <v>4449</v>
      </c>
      <c r="H980" s="8"/>
      <c r="I980" s="14">
        <v>15</v>
      </c>
      <c r="J980" s="14">
        <v>16</v>
      </c>
      <c r="K980" s="6" t="str">
        <f>HYPERLINK("https://mobile.twitter.com","Twitter Web App")</f>
        <v>Twitter Web App</v>
      </c>
      <c r="L980" s="15">
        <v>286</v>
      </c>
      <c r="M980" s="15">
        <v>281</v>
      </c>
      <c r="N980" s="15">
        <v>9</v>
      </c>
      <c r="O980" s="9"/>
      <c r="P980" s="10">
        <v>40139.012974537036</v>
      </c>
      <c r="Q980" s="14" t="s">
        <v>3925</v>
      </c>
      <c r="R980" s="14" t="s">
        <v>4450</v>
      </c>
      <c r="S980" s="8"/>
      <c r="T980" s="8"/>
      <c r="U980" s="11" t="str">
        <f>HYPERLINK("https://pbs.twimg.com/profile_images/537735546/tree.jpg","View")</f>
        <v>View</v>
      </c>
      <c r="V980" s="8"/>
      <c r="W980" s="8"/>
      <c r="X980" s="8"/>
      <c r="Y980" s="8"/>
      <c r="Z980" s="8"/>
    </row>
    <row r="981" spans="1:26" ht="13.2">
      <c r="A981" s="13">
        <v>44250.554872685185</v>
      </c>
      <c r="B981" s="6" t="str">
        <f>HYPERLINK("https://twitter.com/Programming1Pro","@Programming1Pro")</f>
        <v>@Programming1Pro</v>
      </c>
      <c r="C981" s="14" t="s">
        <v>1452</v>
      </c>
      <c r="D981" s="14" t="s">
        <v>4451</v>
      </c>
      <c r="E981" s="6" t="str">
        <f>HYPERLINK("https://twitter.com/Programming1Pro/status/1364188009143263232","1364188009143263232")</f>
        <v>1364188009143263232</v>
      </c>
      <c r="F981" s="7" t="s">
        <v>4452</v>
      </c>
      <c r="G981" s="7" t="s">
        <v>4453</v>
      </c>
      <c r="H981" s="8"/>
      <c r="I981" s="14">
        <v>20</v>
      </c>
      <c r="J981" s="14">
        <v>9</v>
      </c>
      <c r="K981" s="6" t="str">
        <f>HYPERLINK("http://twitter.com/download/android","Twitter for Android")</f>
        <v>Twitter for Android</v>
      </c>
      <c r="L981" s="15">
        <v>154</v>
      </c>
      <c r="M981" s="15">
        <v>101</v>
      </c>
      <c r="N981" s="15">
        <v>5</v>
      </c>
      <c r="O981" s="9"/>
      <c r="P981" s="10">
        <v>44051.923946759256</v>
      </c>
      <c r="Q981" s="8"/>
      <c r="R981" s="14" t="s">
        <v>1456</v>
      </c>
      <c r="S981" s="7" t="s">
        <v>1457</v>
      </c>
      <c r="T981" s="8"/>
      <c r="U981" s="11" t="str">
        <f>HYPERLINK("https://pbs.twimg.com/profile_images/1296026445592973312/Us0pl5f6.jpg","View")</f>
        <v>View</v>
      </c>
      <c r="V981" s="8"/>
      <c r="W981" s="8"/>
      <c r="X981" s="8"/>
      <c r="Y981" s="8"/>
      <c r="Z981" s="8"/>
    </row>
    <row r="982" spans="1:26" ht="13.2">
      <c r="A982" s="13">
        <v>44250.554189814815</v>
      </c>
      <c r="B982" s="6" t="str">
        <f>HYPERLINK("https://twitter.com/Datascience__","@Datascience__")</f>
        <v>@Datascience__</v>
      </c>
      <c r="C982" s="14" t="s">
        <v>1082</v>
      </c>
      <c r="D982" s="14" t="s">
        <v>4454</v>
      </c>
      <c r="E982" s="6" t="str">
        <f>HYPERLINK("https://twitter.com/Datascience__/status/1364187760660271106","1364187760660271106")</f>
        <v>1364187760660271106</v>
      </c>
      <c r="F982" s="7" t="s">
        <v>4455</v>
      </c>
      <c r="G982" s="8"/>
      <c r="H982" s="8"/>
      <c r="I982" s="14">
        <v>3</v>
      </c>
      <c r="J982" s="14">
        <v>1</v>
      </c>
      <c r="K982" s="6" t="str">
        <f>HYPERLINK("https://twitter.com/pythonbot_","Postmatico")</f>
        <v>Postmatico</v>
      </c>
      <c r="L982" s="15">
        <v>21499</v>
      </c>
      <c r="M982" s="15">
        <v>11071</v>
      </c>
      <c r="N982" s="15">
        <v>0</v>
      </c>
      <c r="O982" s="9"/>
      <c r="P982" s="10">
        <v>42735.551377314812</v>
      </c>
      <c r="Q982" s="8"/>
      <c r="R982" s="14" t="s">
        <v>1085</v>
      </c>
      <c r="S982" s="7" t="s">
        <v>1086</v>
      </c>
      <c r="T982" s="8"/>
      <c r="U982" s="11" t="str">
        <f>HYPERLINK("https://pbs.twimg.com/profile_images/989066461435097088/AQZSFyuk.jpg","View")</f>
        <v>View</v>
      </c>
      <c r="V982" s="8"/>
      <c r="W982" s="8"/>
      <c r="X982" s="8"/>
      <c r="Y982" s="8"/>
      <c r="Z982" s="8"/>
    </row>
    <row r="983" spans="1:26" ht="13.2">
      <c r="A983" s="13">
        <v>44250.55400462963</v>
      </c>
      <c r="B983" s="6" t="str">
        <f>HYPERLINK("https://twitter.com/ComputerworldES","@ComputerworldES")</f>
        <v>@ComputerworldES</v>
      </c>
      <c r="C983" s="14" t="s">
        <v>4456</v>
      </c>
      <c r="D983" s="14" t="s">
        <v>4457</v>
      </c>
      <c r="E983" s="6" t="str">
        <f>HYPERLINK("https://twitter.com/ComputerworldES/status/1364187693119332359","1364187693119332359")</f>
        <v>1364187693119332359</v>
      </c>
      <c r="F983" s="8"/>
      <c r="G983" s="7" t="s">
        <v>4458</v>
      </c>
      <c r="H983" s="8"/>
      <c r="I983" s="14">
        <v>3</v>
      </c>
      <c r="J983" s="14">
        <v>1</v>
      </c>
      <c r="K983" s="6" t="str">
        <f>HYPERLINK("https://about.twitter.com/products/tweetdeck","TweetDeck")</f>
        <v>TweetDeck</v>
      </c>
      <c r="L983" s="15">
        <v>24652</v>
      </c>
      <c r="M983" s="15">
        <v>855</v>
      </c>
      <c r="N983" s="15">
        <v>957</v>
      </c>
      <c r="O983" s="9"/>
      <c r="P983" s="10">
        <v>40148.452118055553</v>
      </c>
      <c r="Q983" s="14" t="s">
        <v>2396</v>
      </c>
      <c r="R983" s="14" t="s">
        <v>4459</v>
      </c>
      <c r="S983" s="7" t="s">
        <v>4460</v>
      </c>
      <c r="T983" s="8"/>
      <c r="U983" s="11" t="str">
        <f>HYPERLINK("https://pbs.twimg.com/profile_images/976774433451970560/2qUiz67A.jpg","View")</f>
        <v>View</v>
      </c>
      <c r="V983" s="8"/>
      <c r="W983" s="8"/>
      <c r="X983" s="8"/>
      <c r="Y983" s="8"/>
      <c r="Z983" s="8"/>
    </row>
    <row r="984" spans="1:26" ht="13.2">
      <c r="A984" s="13">
        <v>44250.553645833337</v>
      </c>
      <c r="B984" s="6" t="str">
        <f>HYPERLINK("https://twitter.com/awsusergroupsp","@awsusergroupsp")</f>
        <v>@awsusergroupsp</v>
      </c>
      <c r="C984" s="14" t="s">
        <v>4461</v>
      </c>
      <c r="D984" s="14" t="s">
        <v>4462</v>
      </c>
      <c r="E984" s="6" t="str">
        <f>HYPERLINK("https://twitter.com/awsusergroupsp/status/1364187566086492161","1364187566086492161")</f>
        <v>1364187566086492161</v>
      </c>
      <c r="F984" s="7" t="s">
        <v>4463</v>
      </c>
      <c r="G984" s="8"/>
      <c r="H984" s="8"/>
      <c r="I984" s="14">
        <v>3</v>
      </c>
      <c r="J984" s="14">
        <v>8</v>
      </c>
      <c r="K984" s="6" t="str">
        <f>HYPERLINK("https://mobile.twitter.com","Twitter Web App")</f>
        <v>Twitter Web App</v>
      </c>
      <c r="L984" s="15">
        <v>946</v>
      </c>
      <c r="M984" s="15">
        <v>1106</v>
      </c>
      <c r="N984" s="15">
        <v>10</v>
      </c>
      <c r="O984" s="9"/>
      <c r="P984" s="10">
        <v>42870.866203703699</v>
      </c>
      <c r="Q984" s="14" t="s">
        <v>2834</v>
      </c>
      <c r="R984" s="14" t="s">
        <v>4464</v>
      </c>
      <c r="S984" s="7" t="s">
        <v>4465</v>
      </c>
      <c r="T984" s="8"/>
      <c r="U984" s="11" t="str">
        <f>HYPERLINK("https://pbs.twimg.com/profile_images/1121179968522813440/_RPncrGC.png","View")</f>
        <v>View</v>
      </c>
      <c r="V984" s="8"/>
      <c r="W984" s="8"/>
      <c r="X984" s="8"/>
      <c r="Y984" s="8"/>
      <c r="Z984" s="8"/>
    </row>
    <row r="985" spans="1:26" ht="13.2">
      <c r="A985" s="13">
        <v>44250.553495370375</v>
      </c>
      <c r="B985" s="6" t="str">
        <f>HYPERLINK("https://twitter.com/BristowColin","@BristowColin")</f>
        <v>@BristowColin</v>
      </c>
      <c r="C985" s="14" t="s">
        <v>596</v>
      </c>
      <c r="D985" s="14" t="s">
        <v>4466</v>
      </c>
      <c r="E985" s="6" t="str">
        <f>HYPERLINK("https://twitter.com/BristowColin/status/1364187510998331396","1364187510998331396")</f>
        <v>1364187510998331396</v>
      </c>
      <c r="F985" s="7" t="s">
        <v>4467</v>
      </c>
      <c r="G985" s="7" t="s">
        <v>4468</v>
      </c>
      <c r="H985" s="8"/>
      <c r="I985" s="14">
        <v>17</v>
      </c>
      <c r="J985" s="14">
        <v>3</v>
      </c>
      <c r="K985" s="6" t="str">
        <f>HYPERLINK("http://dynamicsignal.com/","Dynamic Signal")</f>
        <v>Dynamic Signal</v>
      </c>
      <c r="L985" s="15">
        <v>12149</v>
      </c>
      <c r="M985" s="15">
        <v>9707</v>
      </c>
      <c r="N985" s="15">
        <v>155</v>
      </c>
      <c r="O985" s="9"/>
      <c r="P985" s="10">
        <v>40900.478090277778</v>
      </c>
      <c r="Q985" s="14" t="s">
        <v>599</v>
      </c>
      <c r="R985" s="14" t="s">
        <v>600</v>
      </c>
      <c r="S985" s="7" t="s">
        <v>601</v>
      </c>
      <c r="T985" s="8"/>
      <c r="U985" s="11" t="str">
        <f>HYPERLINK("https://pbs.twimg.com/profile_images/692994884270198784/jQX64C1s.jpg","View")</f>
        <v>View</v>
      </c>
      <c r="V985" s="8"/>
      <c r="W985" s="8"/>
      <c r="X985" s="8"/>
      <c r="Y985" s="8"/>
      <c r="Z985" s="8"/>
    </row>
    <row r="986" spans="1:26" ht="13.2">
      <c r="A986" s="13">
        <v>44250.553171296298</v>
      </c>
      <c r="B986" s="6" t="str">
        <f>HYPERLINK("https://twitter.com/LlcPandata","@LlcPandata")</f>
        <v>@LlcPandata</v>
      </c>
      <c r="C986" s="14" t="s">
        <v>4469</v>
      </c>
      <c r="D986" s="14" t="s">
        <v>4470</v>
      </c>
      <c r="E986" s="6" t="str">
        <f>HYPERLINK("https://twitter.com/LlcPandata/status/1364187393276989441","1364187393276989441")</f>
        <v>1364187393276989441</v>
      </c>
      <c r="F986" s="7" t="s">
        <v>4471</v>
      </c>
      <c r="G986" s="7" t="s">
        <v>4472</v>
      </c>
      <c r="H986" s="8"/>
      <c r="I986" s="14">
        <v>4</v>
      </c>
      <c r="J986" s="14">
        <v>0</v>
      </c>
      <c r="K986" s="6" t="str">
        <f t="shared" ref="K986:K987" si="157">HYPERLINK("https://mobile.twitter.com","Twitter Web App")</f>
        <v>Twitter Web App</v>
      </c>
      <c r="L986" s="15">
        <v>16</v>
      </c>
      <c r="M986" s="15">
        <v>45</v>
      </c>
      <c r="N986" s="15">
        <v>0</v>
      </c>
      <c r="O986" s="9"/>
      <c r="P986" s="10">
        <v>44039.6871875</v>
      </c>
      <c r="Q986" s="14" t="s">
        <v>4473</v>
      </c>
      <c r="R986" s="14" t="s">
        <v>4474</v>
      </c>
      <c r="S986" s="7" t="s">
        <v>4475</v>
      </c>
      <c r="T986" s="8"/>
      <c r="U986" s="11" t="str">
        <f>HYPERLINK("https://pbs.twimg.com/profile_images/1287757114170126336/X3im8lMq.jpg","View")</f>
        <v>View</v>
      </c>
      <c r="V986" s="8"/>
      <c r="W986" s="8"/>
      <c r="X986" s="8"/>
      <c r="Y986" s="8"/>
      <c r="Z986" s="8"/>
    </row>
    <row r="987" spans="1:26" ht="13.2">
      <c r="A987" s="13">
        <v>44250.552928240737</v>
      </c>
      <c r="B987" s="6" t="str">
        <f>HYPERLINK("https://twitter.com/Learnbay1","@Learnbay1")</f>
        <v>@Learnbay1</v>
      </c>
      <c r="C987" s="14" t="s">
        <v>4476</v>
      </c>
      <c r="D987" s="14" t="s">
        <v>4477</v>
      </c>
      <c r="E987" s="6" t="str">
        <f>HYPERLINK("https://twitter.com/Learnbay1/status/1364187302990282754","1364187302990282754")</f>
        <v>1364187302990282754</v>
      </c>
      <c r="F987" s="7" t="s">
        <v>4478</v>
      </c>
      <c r="G987" s="8"/>
      <c r="H987" s="8"/>
      <c r="I987" s="14">
        <v>2</v>
      </c>
      <c r="J987" s="14">
        <v>1</v>
      </c>
      <c r="K987" s="6" t="str">
        <f t="shared" si="157"/>
        <v>Twitter Web App</v>
      </c>
      <c r="L987" s="15">
        <v>447</v>
      </c>
      <c r="M987" s="15">
        <v>855</v>
      </c>
      <c r="N987" s="15">
        <v>3</v>
      </c>
      <c r="O987" s="9"/>
      <c r="P987" s="10">
        <v>42834.679722222223</v>
      </c>
      <c r="Q987" s="8"/>
      <c r="R987" s="14" t="s">
        <v>4479</v>
      </c>
      <c r="S987" s="7" t="s">
        <v>4480</v>
      </c>
      <c r="T987" s="8"/>
      <c r="U987" s="11" t="str">
        <f>HYPERLINK("https://pbs.twimg.com/profile_images/1197395041897107457/fklcyi96.jpg","View")</f>
        <v>View</v>
      </c>
      <c r="V987" s="8"/>
      <c r="W987" s="8"/>
      <c r="X987" s="8"/>
      <c r="Y987" s="8"/>
      <c r="Z987" s="8"/>
    </row>
    <row r="988" spans="1:26" ht="13.2">
      <c r="A988" s="13">
        <v>44250.552453703705</v>
      </c>
      <c r="B988" s="6" t="str">
        <f>HYPERLINK("https://twitter.com/KimPgch","@KimPgch")</f>
        <v>@KimPgch</v>
      </c>
      <c r="C988" s="14" t="s">
        <v>1311</v>
      </c>
      <c r="D988" s="14" t="s">
        <v>4481</v>
      </c>
      <c r="E988" s="6" t="str">
        <f>HYPERLINK("https://twitter.com/KimPgch/status/1364187131615322117","1364187131615322117")</f>
        <v>1364187131615322117</v>
      </c>
      <c r="F988" s="14" t="s">
        <v>2482</v>
      </c>
      <c r="G988" s="8"/>
      <c r="H988" s="8"/>
      <c r="I988" s="14">
        <v>2</v>
      </c>
      <c r="J988" s="14">
        <v>2</v>
      </c>
      <c r="K988" s="6" t="str">
        <f t="shared" ref="K988:K989" si="158">HYPERLINK("http://twinybots.com","TwinyBots")</f>
        <v>TwinyBots</v>
      </c>
      <c r="L988" s="15">
        <v>5717</v>
      </c>
      <c r="M988" s="15">
        <v>5802</v>
      </c>
      <c r="N988" s="15">
        <v>37</v>
      </c>
      <c r="O988" s="9"/>
      <c r="P988" s="10">
        <v>41926.214687500003</v>
      </c>
      <c r="Q988" s="14" t="s">
        <v>650</v>
      </c>
      <c r="R988" s="14" t="s">
        <v>1314</v>
      </c>
      <c r="S988" s="7" t="s">
        <v>1315</v>
      </c>
      <c r="T988" s="8"/>
      <c r="U988" s="11" t="str">
        <f>HYPERLINK("https://pbs.twimg.com/profile_images/525481353182072832/qd_bfvn9.jpeg","View")</f>
        <v>View</v>
      </c>
      <c r="V988" s="8"/>
      <c r="W988" s="8"/>
      <c r="X988" s="8"/>
      <c r="Y988" s="8"/>
      <c r="Z988" s="8"/>
    </row>
    <row r="989" spans="1:26" ht="13.2">
      <c r="A989" s="13">
        <v>44250.552407407406</v>
      </c>
      <c r="B989" s="6" t="str">
        <f>HYPERLINK("https://twitter.com/NellisterC","@NellisterC")</f>
        <v>@NellisterC</v>
      </c>
      <c r="C989" s="14" t="s">
        <v>1694</v>
      </c>
      <c r="D989" s="14" t="s">
        <v>4482</v>
      </c>
      <c r="E989" s="6" t="str">
        <f>HYPERLINK("https://twitter.com/NellisterC/status/1364187116725538820","1364187116725538820")</f>
        <v>1364187116725538820</v>
      </c>
      <c r="F989" s="14" t="s">
        <v>4483</v>
      </c>
      <c r="G989" s="8"/>
      <c r="H989" s="8"/>
      <c r="I989" s="14">
        <v>2</v>
      </c>
      <c r="J989" s="14">
        <v>1</v>
      </c>
      <c r="K989" s="6" t="str">
        <f t="shared" si="158"/>
        <v>TwinyBots</v>
      </c>
      <c r="L989" s="15">
        <v>198</v>
      </c>
      <c r="M989" s="15">
        <v>560</v>
      </c>
      <c r="N989" s="15">
        <v>10</v>
      </c>
      <c r="O989" s="9"/>
      <c r="P989" s="10">
        <v>43599.954525462963</v>
      </c>
      <c r="Q989" s="8"/>
      <c r="R989" s="8"/>
      <c r="S989" s="8"/>
      <c r="T989" s="8"/>
      <c r="U989" s="11" t="str">
        <f>HYPERLINK("https://pbs.twimg.com/profile_images/1203805530122313728/6wZUGRfP.jpg","View")</f>
        <v>View</v>
      </c>
      <c r="V989" s="8"/>
      <c r="W989" s="8"/>
      <c r="X989" s="8"/>
      <c r="Y989" s="8"/>
      <c r="Z989" s="8"/>
    </row>
    <row r="990" spans="1:26" ht="13.2">
      <c r="A990" s="13">
        <v>44250.552199074074</v>
      </c>
      <c r="B990" s="6" t="str">
        <f>HYPERLINK("https://twitter.com/andresvilarino","@andresvilarino")</f>
        <v>@andresvilarino</v>
      </c>
      <c r="C990" s="14" t="s">
        <v>72</v>
      </c>
      <c r="D990" s="14" t="s">
        <v>4484</v>
      </c>
      <c r="E990" s="6" t="str">
        <f>HYPERLINK("https://twitter.com/andresvilarino/status/1364187041995649025","1364187041995649025")</f>
        <v>1364187041995649025</v>
      </c>
      <c r="F990" s="7" t="s">
        <v>4485</v>
      </c>
      <c r="G990" s="8"/>
      <c r="H990" s="8"/>
      <c r="I990" s="14">
        <v>6</v>
      </c>
      <c r="J990" s="14">
        <v>4</v>
      </c>
      <c r="K990" s="6" t="str">
        <f t="shared" ref="K990:K991" si="159">HYPERLINK("https://www.hootsuite.com","Hootsuite Inc.")</f>
        <v>Hootsuite Inc.</v>
      </c>
      <c r="L990" s="15">
        <v>5136</v>
      </c>
      <c r="M990" s="15">
        <v>5043</v>
      </c>
      <c r="N990" s="15">
        <v>79</v>
      </c>
      <c r="O990" s="9"/>
      <c r="P990" s="10">
        <v>40346.43136574074</v>
      </c>
      <c r="Q990" s="14" t="s">
        <v>75</v>
      </c>
      <c r="R990" s="14" t="s">
        <v>76</v>
      </c>
      <c r="S990" s="7" t="s">
        <v>77</v>
      </c>
      <c r="T990" s="8"/>
      <c r="U990" s="11" t="str">
        <f>HYPERLINK("https://pbs.twimg.com/profile_images/1015329397929177088/9OR3sIzf.jpg","View")</f>
        <v>View</v>
      </c>
      <c r="V990" s="8"/>
      <c r="W990" s="8"/>
      <c r="X990" s="8"/>
      <c r="Y990" s="8"/>
      <c r="Z990" s="8"/>
    </row>
    <row r="991" spans="1:26" ht="13.2">
      <c r="A991" s="13">
        <v>44250.552164351851</v>
      </c>
      <c r="B991" s="6" t="str">
        <f>HYPERLINK("https://twitter.com/segmentive","@segmentive")</f>
        <v>@segmentive</v>
      </c>
      <c r="C991" s="7" t="s">
        <v>4486</v>
      </c>
      <c r="D991" s="14" t="s">
        <v>4487</v>
      </c>
      <c r="E991" s="6" t="str">
        <f>HYPERLINK("https://twitter.com/segmentive/status/1364187027747594243","1364187027747594243")</f>
        <v>1364187027747594243</v>
      </c>
      <c r="F991" s="7" t="s">
        <v>4488</v>
      </c>
      <c r="G991" s="7" t="s">
        <v>4489</v>
      </c>
      <c r="H991" s="8"/>
      <c r="I991" s="14">
        <v>2</v>
      </c>
      <c r="J991" s="14">
        <v>1</v>
      </c>
      <c r="K991" s="6" t="str">
        <f t="shared" si="159"/>
        <v>Hootsuite Inc.</v>
      </c>
      <c r="L991" s="15">
        <v>14</v>
      </c>
      <c r="M991" s="15">
        <v>18</v>
      </c>
      <c r="N991" s="15">
        <v>0</v>
      </c>
      <c r="O991" s="9"/>
      <c r="P991" s="10">
        <v>43742.676446759258</v>
      </c>
      <c r="Q991" s="14" t="s">
        <v>4490</v>
      </c>
      <c r="R991" s="14" t="s">
        <v>4491</v>
      </c>
      <c r="S991" s="7" t="s">
        <v>4492</v>
      </c>
      <c r="T991" s="8"/>
      <c r="U991" s="11" t="str">
        <f>HYPERLINK("https://pbs.twimg.com/profile_images/1201884562067992577/nTtXK1i-.png","View")</f>
        <v>View</v>
      </c>
      <c r="V991" s="8"/>
      <c r="W991" s="8"/>
      <c r="X991" s="8"/>
      <c r="Y991" s="8"/>
      <c r="Z991" s="8"/>
    </row>
    <row r="992" spans="1:26" ht="13.2">
      <c r="A992" s="13">
        <v>44250.552106481482</v>
      </c>
      <c r="B992" s="6" t="str">
        <f>HYPERLINK("https://twitter.com/milocamj","@milocamj")</f>
        <v>@milocamj</v>
      </c>
      <c r="C992" s="14" t="s">
        <v>1805</v>
      </c>
      <c r="D992" s="14" t="s">
        <v>4493</v>
      </c>
      <c r="E992" s="6" t="str">
        <f>HYPERLINK("https://twitter.com/milocamj/status/1364187006566195201","1364187006566195201")</f>
        <v>1364187006566195201</v>
      </c>
      <c r="F992" s="7" t="s">
        <v>4494</v>
      </c>
      <c r="G992" s="8"/>
      <c r="H992" s="8"/>
      <c r="I992" s="14">
        <v>2</v>
      </c>
      <c r="J992" s="14">
        <v>1</v>
      </c>
      <c r="K992" s="6" t="str">
        <f t="shared" ref="K992:K993" si="160">HYPERLINK("https://dlvrit.com/","dlvr.it")</f>
        <v>dlvr.it</v>
      </c>
      <c r="L992" s="15">
        <v>2595</v>
      </c>
      <c r="M992" s="15">
        <v>48</v>
      </c>
      <c r="N992" s="15">
        <v>1282</v>
      </c>
      <c r="O992" s="9"/>
      <c r="P992" s="10">
        <v>39904.699837962966</v>
      </c>
      <c r="Q992" s="14" t="s">
        <v>1809</v>
      </c>
      <c r="R992" s="14" t="s">
        <v>1810</v>
      </c>
      <c r="S992" s="7" t="s">
        <v>1811</v>
      </c>
      <c r="T992" s="8"/>
      <c r="U992" s="11" t="str">
        <f>HYPERLINK("https://pbs.twimg.com/profile_images/1108578778018709505/56I0aOhL.jpg","View")</f>
        <v>View</v>
      </c>
      <c r="V992" s="8"/>
      <c r="W992" s="8"/>
      <c r="X992" s="8"/>
      <c r="Y992" s="8"/>
      <c r="Z992" s="8"/>
    </row>
    <row r="993" spans="1:26" ht="13.2">
      <c r="A993" s="13">
        <v>44250.551759259259</v>
      </c>
      <c r="B993" s="6" t="str">
        <f>HYPERLINK("https://twitter.com/DrDataScientist","@DrDataScientist")</f>
        <v>@DrDataScientist</v>
      </c>
      <c r="C993" s="14" t="s">
        <v>4495</v>
      </c>
      <c r="D993" s="14" t="s">
        <v>4496</v>
      </c>
      <c r="E993" s="6" t="str">
        <f>HYPERLINK("https://twitter.com/DrDataScientist/status/1364186881953468416","1364186881953468416")</f>
        <v>1364186881953468416</v>
      </c>
      <c r="F993" s="7" t="s">
        <v>4497</v>
      </c>
      <c r="G993" s="7" t="s">
        <v>4498</v>
      </c>
      <c r="H993" s="8"/>
      <c r="I993" s="14">
        <v>3</v>
      </c>
      <c r="J993" s="14">
        <v>1</v>
      </c>
      <c r="K993" s="6" t="str">
        <f t="shared" si="160"/>
        <v>dlvr.it</v>
      </c>
      <c r="L993" s="15">
        <v>99655</v>
      </c>
      <c r="M993" s="15">
        <v>1426</v>
      </c>
      <c r="N993" s="15">
        <v>1332</v>
      </c>
      <c r="O993" s="9"/>
      <c r="P993" s="10">
        <v>39933.965081018519</v>
      </c>
      <c r="Q993" s="14" t="s">
        <v>509</v>
      </c>
      <c r="R993" s="14" t="s">
        <v>4499</v>
      </c>
      <c r="S993" s="7" t="s">
        <v>4500</v>
      </c>
      <c r="T993" s="8"/>
      <c r="U993" s="11" t="str">
        <f>HYPERLINK("https://pbs.twimg.com/profile_images/841454359682596864/4weAUbxO.jpg","View")</f>
        <v>View</v>
      </c>
      <c r="V993" s="8"/>
      <c r="W993" s="8"/>
      <c r="X993" s="8"/>
      <c r="Y993" s="8"/>
      <c r="Z993" s="8"/>
    </row>
    <row r="994" spans="1:26" ht="13.2">
      <c r="A994" s="13">
        <v>44250.551585648151</v>
      </c>
      <c r="B994" s="6" t="str">
        <f>HYPERLINK("https://twitter.com/Kelash89976308","@Kelash89976308")</f>
        <v>@Kelash89976308</v>
      </c>
      <c r="C994" s="14" t="s">
        <v>3726</v>
      </c>
      <c r="D994" s="14" t="s">
        <v>4501</v>
      </c>
      <c r="E994" s="6" t="str">
        <f>HYPERLINK("https://twitter.com/Kelash89976308/status/1364186818309017607","1364186818309017607")</f>
        <v>1364186818309017607</v>
      </c>
      <c r="F994" s="8"/>
      <c r="G994" s="7" t="s">
        <v>4502</v>
      </c>
      <c r="H994" s="8"/>
      <c r="I994" s="14">
        <v>2</v>
      </c>
      <c r="J994" s="14">
        <v>1</v>
      </c>
      <c r="K994" s="6" t="str">
        <f t="shared" ref="K994:K995" si="161">HYPERLINK("http://twitter.com/download/android","Twitter for Android")</f>
        <v>Twitter for Android</v>
      </c>
      <c r="L994" s="15">
        <v>3</v>
      </c>
      <c r="M994" s="15">
        <v>69</v>
      </c>
      <c r="N994" s="15">
        <v>0</v>
      </c>
      <c r="O994" s="9"/>
      <c r="P994" s="10">
        <v>44152.349942129629</v>
      </c>
      <c r="Q994" s="8"/>
      <c r="R994" s="14" t="s">
        <v>3729</v>
      </c>
      <c r="S994" s="8"/>
      <c r="T994" s="8"/>
      <c r="U994" s="11" t="str">
        <f>HYPERLINK("https://pbs.twimg.com/profile_images/1328600179524689921/1YthSR31.jpg","View")</f>
        <v>View</v>
      </c>
      <c r="V994" s="8"/>
      <c r="W994" s="8"/>
      <c r="X994" s="8"/>
      <c r="Y994" s="8"/>
      <c r="Z994" s="8"/>
    </row>
    <row r="995" spans="1:26" ht="13.2">
      <c r="A995" s="13">
        <v>44250.551388888889</v>
      </c>
      <c r="B995" s="6" t="str">
        <f>HYPERLINK("https://twitter.com/AfricaDataSch","@AfricaDataSch")</f>
        <v>@AfricaDataSch</v>
      </c>
      <c r="C995" s="14" t="s">
        <v>4412</v>
      </c>
      <c r="D995" s="14" t="s">
        <v>4503</v>
      </c>
      <c r="E995" s="6" t="str">
        <f>HYPERLINK("https://twitter.com/AfricaDataSch/status/1364186747798700033","1364186747798700033")</f>
        <v>1364186747798700033</v>
      </c>
      <c r="F995" s="8"/>
      <c r="G995" s="7" t="s">
        <v>4504</v>
      </c>
      <c r="H995" s="8"/>
      <c r="I995" s="14">
        <v>4</v>
      </c>
      <c r="J995" s="14">
        <v>2</v>
      </c>
      <c r="K995" s="6" t="str">
        <f t="shared" si="161"/>
        <v>Twitter for Android</v>
      </c>
      <c r="L995" s="15">
        <v>410</v>
      </c>
      <c r="M995" s="15">
        <v>187</v>
      </c>
      <c r="N995" s="15">
        <v>1</v>
      </c>
      <c r="O995" s="9"/>
      <c r="P995" s="10">
        <v>43419.523946759262</v>
      </c>
      <c r="Q995" s="14" t="s">
        <v>3574</v>
      </c>
      <c r="R995" s="14" t="s">
        <v>4415</v>
      </c>
      <c r="S995" s="7" t="s">
        <v>4416</v>
      </c>
      <c r="T995" s="8"/>
      <c r="U995" s="11" t="str">
        <f>HYPERLINK("https://pbs.twimg.com/profile_images/1348284297623568385/IXYxiUk-.jpg","View")</f>
        <v>View</v>
      </c>
      <c r="V995" s="8"/>
      <c r="W995" s="8"/>
      <c r="X995" s="8"/>
      <c r="Y995" s="8"/>
      <c r="Z995" s="8"/>
    </row>
    <row r="996" spans="1:26" ht="13.2">
      <c r="A996" s="13">
        <v>44250.551388888889</v>
      </c>
      <c r="B996" s="6" t="str">
        <f>HYPERLINK("https://twitter.com/Tanguy_lrx","@Tanguy_lrx")</f>
        <v>@Tanguy_lrx</v>
      </c>
      <c r="C996" s="14" t="s">
        <v>4505</v>
      </c>
      <c r="D996" s="14" t="s">
        <v>4506</v>
      </c>
      <c r="E996" s="6" t="str">
        <f>HYPERLINK("https://twitter.com/Tanguy_lrx/status/1364186746603372548","1364186746603372548")</f>
        <v>1364186746603372548</v>
      </c>
      <c r="F996" s="7" t="s">
        <v>4507</v>
      </c>
      <c r="G996" s="8"/>
      <c r="H996" s="8"/>
      <c r="I996" s="14">
        <v>23</v>
      </c>
      <c r="J996" s="14">
        <v>14</v>
      </c>
      <c r="K996" s="6" t="str">
        <f>HYPERLINK("https://socxopte.com/","SocxoPte")</f>
        <v>SocxoPte</v>
      </c>
      <c r="L996" s="15">
        <v>302</v>
      </c>
      <c r="M996" s="15">
        <v>129</v>
      </c>
      <c r="N996" s="15">
        <v>6</v>
      </c>
      <c r="O996" s="9"/>
      <c r="P996" s="10">
        <v>44022.449062500003</v>
      </c>
      <c r="Q996" s="14" t="s">
        <v>106</v>
      </c>
      <c r="R996" s="14" t="s">
        <v>4508</v>
      </c>
      <c r="S996" s="8"/>
      <c r="T996" s="8"/>
      <c r="U996" s="11" t="str">
        <f>HYPERLINK("https://pbs.twimg.com/profile_images/1281687432698658816/cEqJDj6D.jpg","View")</f>
        <v>View</v>
      </c>
      <c r="V996" s="8"/>
      <c r="W996" s="8"/>
      <c r="X996" s="8"/>
      <c r="Y996" s="8"/>
      <c r="Z996" s="8"/>
    </row>
    <row r="997" spans="1:26" ht="13.2">
      <c r="A997" s="13">
        <v>44250.551261574074</v>
      </c>
      <c r="B997" s="6" t="str">
        <f>HYPERLINK("https://twitter.com/FinAi_Cost","@FinAi_Cost")</f>
        <v>@FinAi_Cost</v>
      </c>
      <c r="C997" s="14" t="s">
        <v>4509</v>
      </c>
      <c r="D997" s="14" t="s">
        <v>4510</v>
      </c>
      <c r="E997" s="6" t="str">
        <f>HYPERLINK("https://twitter.com/FinAi_Cost/status/1364186701183254533","1364186701183254533")</f>
        <v>1364186701183254533</v>
      </c>
      <c r="F997" s="7" t="s">
        <v>4511</v>
      </c>
      <c r="G997" s="7" t="s">
        <v>4512</v>
      </c>
      <c r="H997" s="8"/>
      <c r="I997" s="14">
        <v>7</v>
      </c>
      <c r="J997" s="14">
        <v>5</v>
      </c>
      <c r="K997" s="6" t="str">
        <f>HYPERLINK("https://mobile.twitter.com","Twitter Web App")</f>
        <v>Twitter Web App</v>
      </c>
      <c r="L997" s="15">
        <v>64</v>
      </c>
      <c r="M997" s="15">
        <v>175</v>
      </c>
      <c r="N997" s="15">
        <v>0</v>
      </c>
      <c r="O997" s="9"/>
      <c r="P997" s="10">
        <v>44234.004432870366</v>
      </c>
      <c r="Q997" s="8"/>
      <c r="R997" s="14" t="s">
        <v>4513</v>
      </c>
      <c r="S997" s="7" t="s">
        <v>4514</v>
      </c>
      <c r="T997" s="8"/>
      <c r="U997" s="11" t="str">
        <f>HYPERLINK("https://pbs.twimg.com/profile_images/1358190891056431108/tGcDJp15.jpg","View")</f>
        <v>View</v>
      </c>
      <c r="V997" s="8"/>
      <c r="W997" s="8"/>
      <c r="X997" s="8"/>
      <c r="Y997" s="8"/>
      <c r="Z997" s="8"/>
    </row>
    <row r="998" spans="1:26" ht="13.2">
      <c r="A998" s="13">
        <v>44250.550381944442</v>
      </c>
      <c r="B998" s="6" t="str">
        <f>HYPERLINK("https://twitter.com/nigeriaabroad","@nigeriaabroad")</f>
        <v>@nigeriaabroad</v>
      </c>
      <c r="C998" s="14" t="s">
        <v>4515</v>
      </c>
      <c r="D998" s="14" t="s">
        <v>4516</v>
      </c>
      <c r="E998" s="6" t="str">
        <f>HYPERLINK("https://twitter.com/nigeriaabroad/status/1364186382978138115","1364186382978138115")</f>
        <v>1364186382978138115</v>
      </c>
      <c r="F998" s="8"/>
      <c r="G998" s="7" t="s">
        <v>4517</v>
      </c>
      <c r="H998" s="8"/>
      <c r="I998" s="14">
        <v>2</v>
      </c>
      <c r="J998" s="14">
        <v>1</v>
      </c>
      <c r="K998" s="6" t="str">
        <f>HYPERLINK("http://twitter.com/download/android","Twitter for Android")</f>
        <v>Twitter for Android</v>
      </c>
      <c r="L998" s="15">
        <v>7300</v>
      </c>
      <c r="M998" s="15">
        <v>9</v>
      </c>
      <c r="N998" s="15">
        <v>13</v>
      </c>
      <c r="O998" s="9"/>
      <c r="P998" s="10">
        <v>41951.885393518518</v>
      </c>
      <c r="Q998" s="14" t="s">
        <v>2285</v>
      </c>
      <c r="R998" s="14" t="s">
        <v>4518</v>
      </c>
      <c r="S998" s="7" t="s">
        <v>4519</v>
      </c>
      <c r="T998" s="8"/>
      <c r="U998" s="11" t="str">
        <f>HYPERLINK("https://pbs.twimg.com/profile_images/1357695049073590275/OS6t_A1f.jpg","View")</f>
        <v>View</v>
      </c>
      <c r="V998" s="8"/>
      <c r="W998" s="8"/>
      <c r="X998" s="8"/>
      <c r="Y998" s="8"/>
      <c r="Z998" s="8"/>
    </row>
    <row r="999" spans="1:26" ht="13.2">
      <c r="A999" s="13">
        <v>44250.550011574072</v>
      </c>
      <c r="B999" s="6" t="str">
        <f>HYPERLINK("https://twitter.com/AI___Kernel","@AI___Kernel")</f>
        <v>@AI___Kernel</v>
      </c>
      <c r="C999" s="14" t="s">
        <v>4520</v>
      </c>
      <c r="D999" s="14" t="s">
        <v>4521</v>
      </c>
      <c r="E999" s="6" t="str">
        <f>HYPERLINK("https://twitter.com/AI___Kernel/status/1364186246860390401","1364186246860390401")</f>
        <v>1364186246860390401</v>
      </c>
      <c r="F999" s="8"/>
      <c r="G999" s="7" t="s">
        <v>4522</v>
      </c>
      <c r="H999" s="8"/>
      <c r="I999" s="14">
        <v>4</v>
      </c>
      <c r="J999" s="14">
        <v>5</v>
      </c>
      <c r="K999" s="6" t="str">
        <f>HYPERLINK("https://mobile.twitter.com","Twitter Web App")</f>
        <v>Twitter Web App</v>
      </c>
      <c r="L999" s="15">
        <v>70</v>
      </c>
      <c r="M999" s="15">
        <v>199</v>
      </c>
      <c r="N999" s="15">
        <v>1</v>
      </c>
      <c r="O999" s="9"/>
      <c r="P999" s="10">
        <v>44025.008530092593</v>
      </c>
      <c r="Q999" s="14" t="s">
        <v>2649</v>
      </c>
      <c r="R999" s="14" t="s">
        <v>4523</v>
      </c>
      <c r="S999" s="7" t="s">
        <v>4524</v>
      </c>
      <c r="T999" s="8"/>
      <c r="U999" s="11" t="str">
        <f>HYPERLINK("https://pbs.twimg.com/profile_images/1287528207588220933/Sp1vV1Wr.jpg","View")</f>
        <v>View</v>
      </c>
      <c r="V999" s="8"/>
      <c r="W999" s="8"/>
      <c r="X999" s="8"/>
      <c r="Y999" s="8"/>
      <c r="Z999" s="8"/>
    </row>
    <row r="1000" spans="1:26" ht="13.2">
      <c r="A1000" s="13">
        <v>44250.549583333333</v>
      </c>
      <c r="B1000" s="6" t="str">
        <f>HYPERLINK("https://twitter.com/Whats_AI","@Whats_AI")</f>
        <v>@Whats_AI</v>
      </c>
      <c r="C1000" s="14" t="s">
        <v>4525</v>
      </c>
      <c r="D1000" s="14" t="s">
        <v>4526</v>
      </c>
      <c r="E1000" s="6" t="str">
        <f>HYPERLINK("https://twitter.com/Whats_AI/status/1364186090572283904","1364186090572283904")</f>
        <v>1364186090572283904</v>
      </c>
      <c r="F1000" s="8"/>
      <c r="G1000" s="7" t="s">
        <v>4527</v>
      </c>
      <c r="H1000" s="8"/>
      <c r="I1000" s="14">
        <v>2</v>
      </c>
      <c r="J1000" s="14">
        <v>3</v>
      </c>
      <c r="K1000" s="6" t="str">
        <f>HYPERLINK("http://twitter.com/download/android","Twitter for Android")</f>
        <v>Twitter for Android</v>
      </c>
      <c r="L1000" s="15">
        <v>1606</v>
      </c>
      <c r="M1000" s="15">
        <v>3226</v>
      </c>
      <c r="N1000" s="15">
        <v>23</v>
      </c>
      <c r="O1000" s="9"/>
      <c r="P1000" s="10">
        <v>43474.609548611115</v>
      </c>
      <c r="Q1000" s="14" t="s">
        <v>4528</v>
      </c>
      <c r="R1000" s="14" t="s">
        <v>4529</v>
      </c>
      <c r="S1000" s="7" t="s">
        <v>4530</v>
      </c>
      <c r="T1000" s="8"/>
      <c r="U1000" s="11" t="str">
        <f>HYPERLINK("https://pbs.twimg.com/profile_images/1303784030882627585/kFE0d1X2.jpg","View")</f>
        <v>View</v>
      </c>
      <c r="V1000" s="8"/>
      <c r="W1000" s="8"/>
      <c r="X1000" s="8"/>
      <c r="Y1000" s="8"/>
      <c r="Z1000" s="8"/>
    </row>
    <row r="1001" spans="1:26" ht="13.2">
      <c r="A1001" s="13">
        <v>44250.549340277779</v>
      </c>
      <c r="B1001" s="6" t="str">
        <f>HYPERLINK("https://twitter.com/FinAi_Cost","@FinAi_Cost")</f>
        <v>@FinAi_Cost</v>
      </c>
      <c r="C1001" s="14" t="s">
        <v>4509</v>
      </c>
      <c r="D1001" s="14" t="s">
        <v>4531</v>
      </c>
      <c r="E1001" s="6" t="str">
        <f>HYPERLINK("https://twitter.com/FinAi_Cost/status/1364186003452407808","1364186003452407808")</f>
        <v>1364186003452407808</v>
      </c>
      <c r="F1001" s="7" t="s">
        <v>4532</v>
      </c>
      <c r="G1001" s="7" t="s">
        <v>4533</v>
      </c>
      <c r="H1001" s="8"/>
      <c r="I1001" s="14">
        <v>3</v>
      </c>
      <c r="J1001" s="14">
        <v>1</v>
      </c>
      <c r="K1001" s="6" t="str">
        <f>HYPERLINK("https://mobile.twitter.com","Twitter Web App")</f>
        <v>Twitter Web App</v>
      </c>
      <c r="L1001" s="15">
        <v>64</v>
      </c>
      <c r="M1001" s="15">
        <v>175</v>
      </c>
      <c r="N1001" s="15">
        <v>0</v>
      </c>
      <c r="O1001" s="9"/>
      <c r="P1001" s="10">
        <v>44234.004432870366</v>
      </c>
      <c r="Q1001" s="8"/>
      <c r="R1001" s="14" t="s">
        <v>4513</v>
      </c>
      <c r="S1001" s="7" t="s">
        <v>4514</v>
      </c>
      <c r="T1001" s="8"/>
      <c r="U1001" s="11" t="str">
        <f>HYPERLINK("https://pbs.twimg.com/profile_images/1358190891056431108/tGcDJp15.jpg","View")</f>
        <v>View</v>
      </c>
      <c r="V1001" s="8"/>
      <c r="W1001" s="8"/>
      <c r="X1001" s="8"/>
      <c r="Y1001" s="8"/>
      <c r="Z1001" s="8"/>
    </row>
    <row r="1002" spans="1:26" ht="13.2">
      <c r="A1002" s="13">
        <v>44250.549305555556</v>
      </c>
      <c r="B1002" s="6" t="str">
        <f>HYPERLINK("https://twitter.com/future_of_AI","@future_of_AI")</f>
        <v>@future_of_AI</v>
      </c>
      <c r="C1002" s="14" t="s">
        <v>284</v>
      </c>
      <c r="D1002" s="14" t="s">
        <v>4534</v>
      </c>
      <c r="E1002" s="6" t="str">
        <f>HYPERLINK("https://twitter.com/future_of_AI/status/1364185992618520579","1364185992618520579")</f>
        <v>1364185992618520579</v>
      </c>
      <c r="F1002" s="7" t="s">
        <v>4535</v>
      </c>
      <c r="G1002" s="8"/>
      <c r="H1002" s="8"/>
      <c r="I1002" s="14">
        <v>1</v>
      </c>
      <c r="J1002" s="14">
        <v>3</v>
      </c>
      <c r="K1002" s="6" t="str">
        <f>HYPERLINK("https://buffer.com","Buffer")</f>
        <v>Buffer</v>
      </c>
      <c r="L1002" s="15">
        <v>2893</v>
      </c>
      <c r="M1002" s="15">
        <v>1348</v>
      </c>
      <c r="N1002" s="15">
        <v>130</v>
      </c>
      <c r="O1002" s="9"/>
      <c r="P1002" s="10">
        <v>42816.80840277778</v>
      </c>
      <c r="Q1002" s="8"/>
      <c r="R1002" s="14" t="s">
        <v>287</v>
      </c>
      <c r="S1002" s="7" t="s">
        <v>288</v>
      </c>
      <c r="T1002" s="8"/>
      <c r="U1002" s="11" t="str">
        <f>HYPERLINK("https://pbs.twimg.com/profile_images/1047866034970140673/ZBhSks16.jpg","View")</f>
        <v>View</v>
      </c>
      <c r="V1002" s="8"/>
      <c r="W1002" s="8"/>
      <c r="X1002" s="8"/>
      <c r="Y1002" s="8"/>
      <c r="Z1002" s="8"/>
    </row>
    <row r="1003" spans="1:26" ht="13.2">
      <c r="A1003" s="13">
        <v>44250.549178240741</v>
      </c>
      <c r="B1003" s="6" t="str">
        <f>HYPERLINK("https://twitter.com/jblefevre60","@jblefevre60")</f>
        <v>@jblefevre60</v>
      </c>
      <c r="C1003" s="14" t="s">
        <v>464</v>
      </c>
      <c r="D1003" s="14" t="s">
        <v>4536</v>
      </c>
      <c r="E1003" s="6" t="str">
        <f>HYPERLINK("https://twitter.com/jblefevre60/status/1364185945835192323","1364185945835192323")</f>
        <v>1364185945835192323</v>
      </c>
      <c r="F1003" s="8"/>
      <c r="G1003" s="7" t="s">
        <v>4537</v>
      </c>
      <c r="H1003" s="8"/>
      <c r="I1003" s="14">
        <v>41</v>
      </c>
      <c r="J1003" s="14">
        <v>52</v>
      </c>
      <c r="K1003" s="6" t="str">
        <f t="shared" ref="K1003:K1005" si="162">HYPERLINK("http://twitter.com/download/android","Twitter for Android")</f>
        <v>Twitter for Android</v>
      </c>
      <c r="L1003" s="15">
        <v>80848</v>
      </c>
      <c r="M1003" s="15">
        <v>5582</v>
      </c>
      <c r="N1003" s="15">
        <v>5070</v>
      </c>
      <c r="O1003" s="9"/>
      <c r="P1003" s="10">
        <v>42342.801134259258</v>
      </c>
      <c r="Q1003" s="14" t="s">
        <v>106</v>
      </c>
      <c r="R1003" s="14" t="s">
        <v>467</v>
      </c>
      <c r="S1003" s="7" t="s">
        <v>468</v>
      </c>
      <c r="T1003" s="8"/>
      <c r="U1003" s="11" t="str">
        <f>HYPERLINK("https://pbs.twimg.com/profile_images/915247803248599040/GsF3avSn.jpg","View")</f>
        <v>View</v>
      </c>
      <c r="V1003" s="8"/>
      <c r="W1003" s="8"/>
      <c r="X1003" s="8"/>
      <c r="Y1003" s="8"/>
      <c r="Z1003" s="8"/>
    </row>
    <row r="1004" spans="1:26" ht="13.2">
      <c r="A1004" s="13">
        <v>44250.548726851848</v>
      </c>
      <c r="B1004" s="6" t="str">
        <f>HYPERLINK("https://twitter.com/guidaautonoma","@guidaautonoma")</f>
        <v>@guidaautonoma</v>
      </c>
      <c r="C1004" s="14" t="s">
        <v>2203</v>
      </c>
      <c r="D1004" s="14" t="s">
        <v>4538</v>
      </c>
      <c r="E1004" s="6" t="str">
        <f>HYPERLINK("https://twitter.com/guidaautonoma/status/1364185781464662016","1364185781464662016")</f>
        <v>1364185781464662016</v>
      </c>
      <c r="F1004" s="7" t="s">
        <v>4539</v>
      </c>
      <c r="G1004" s="7" t="s">
        <v>4540</v>
      </c>
      <c r="H1004" s="8"/>
      <c r="I1004" s="14">
        <v>6</v>
      </c>
      <c r="J1004" s="14">
        <v>1</v>
      </c>
      <c r="K1004" s="6" t="str">
        <f t="shared" si="162"/>
        <v>Twitter for Android</v>
      </c>
      <c r="L1004" s="15">
        <v>7074</v>
      </c>
      <c r="M1004" s="15">
        <v>6991</v>
      </c>
      <c r="N1004" s="15">
        <v>411</v>
      </c>
      <c r="O1004" s="9"/>
      <c r="P1004" s="10">
        <v>42496.270833333328</v>
      </c>
      <c r="Q1004" s="14" t="s">
        <v>2207</v>
      </c>
      <c r="R1004" s="14" t="s">
        <v>2208</v>
      </c>
      <c r="S1004" s="7" t="s">
        <v>2209</v>
      </c>
      <c r="T1004" s="8"/>
      <c r="U1004" s="11" t="str">
        <f>HYPERLINK("https://pbs.twimg.com/profile_images/728675456971583488/AVbaFxlK.jpg","View")</f>
        <v>View</v>
      </c>
      <c r="V1004" s="8"/>
      <c r="W1004" s="8"/>
      <c r="X1004" s="8"/>
      <c r="Y1004" s="8"/>
      <c r="Z1004" s="8"/>
    </row>
    <row r="1005" spans="1:26" ht="13.2">
      <c r="A1005" s="13">
        <v>44250.548136574071</v>
      </c>
      <c r="B1005" s="6" t="str">
        <f>HYPERLINK("https://twitter.com/asterisminfosof","@asterisminfosof")</f>
        <v>@asterisminfosof</v>
      </c>
      <c r="C1005" s="14" t="s">
        <v>4541</v>
      </c>
      <c r="D1005" s="14" t="s">
        <v>4542</v>
      </c>
      <c r="E1005" s="6" t="str">
        <f>HYPERLINK("https://twitter.com/asterisminfosof/status/1364185566942687232","1364185566942687232")</f>
        <v>1364185566942687232</v>
      </c>
      <c r="F1005" s="8"/>
      <c r="G1005" s="7" t="s">
        <v>4543</v>
      </c>
      <c r="H1005" s="8"/>
      <c r="I1005" s="14">
        <v>6</v>
      </c>
      <c r="J1005" s="14">
        <v>2</v>
      </c>
      <c r="K1005" s="6" t="str">
        <f t="shared" si="162"/>
        <v>Twitter for Android</v>
      </c>
      <c r="L1005" s="15">
        <v>153</v>
      </c>
      <c r="M1005" s="15">
        <v>758</v>
      </c>
      <c r="N1005" s="15">
        <v>1</v>
      </c>
      <c r="O1005" s="9"/>
      <c r="P1005" s="10">
        <v>43235.859178240746</v>
      </c>
      <c r="Q1005" s="14" t="s">
        <v>364</v>
      </c>
      <c r="R1005" s="14" t="s">
        <v>4544</v>
      </c>
      <c r="S1005" s="7" t="s">
        <v>4545</v>
      </c>
      <c r="T1005" s="8"/>
      <c r="U1005" s="11" t="str">
        <f>HYPERLINK("https://pbs.twimg.com/profile_images/999386355133108224/PUVwa5kU.jpg","View")</f>
        <v>View</v>
      </c>
      <c r="V1005" s="8"/>
      <c r="W1005" s="8"/>
      <c r="X1005" s="8"/>
      <c r="Y1005" s="8"/>
      <c r="Z1005" s="8"/>
    </row>
    <row r="1006" spans="1:26" ht="13.2">
      <c r="A1006" s="13">
        <v>44250.547916666663</v>
      </c>
      <c r="B1006" s="6" t="str">
        <f>HYPERLINK("https://twitter.com/DivergentCIO","@DivergentCIO")</f>
        <v>@DivergentCIO</v>
      </c>
      <c r="C1006" s="14" t="s">
        <v>3912</v>
      </c>
      <c r="D1006" s="14" t="s">
        <v>4546</v>
      </c>
      <c r="E1006" s="6" t="str">
        <f>HYPERLINK("https://twitter.com/DivergentCIO/status/1364185489436258306","1364185489436258306")</f>
        <v>1364185489436258306</v>
      </c>
      <c r="F1006" s="7" t="s">
        <v>4547</v>
      </c>
      <c r="G1006" s="8"/>
      <c r="H1006" s="8"/>
      <c r="I1006" s="14">
        <v>4</v>
      </c>
      <c r="J1006" s="14">
        <v>2</v>
      </c>
      <c r="K1006" s="6" t="str">
        <f>HYPERLINK("https://buffer.com","Buffer")</f>
        <v>Buffer</v>
      </c>
      <c r="L1006" s="15">
        <v>28614</v>
      </c>
      <c r="M1006" s="15">
        <v>26399</v>
      </c>
      <c r="N1006" s="15">
        <v>1647</v>
      </c>
      <c r="O1006" s="9"/>
      <c r="P1006" s="10">
        <v>42071.947187500002</v>
      </c>
      <c r="Q1006" s="14" t="s">
        <v>3915</v>
      </c>
      <c r="R1006" s="14" t="s">
        <v>3916</v>
      </c>
      <c r="S1006" s="7" t="s">
        <v>3917</v>
      </c>
      <c r="T1006" s="8"/>
      <c r="U1006" s="11" t="str">
        <f>HYPERLINK("https://pbs.twimg.com/profile_images/767507322583199745/rpfbzBzg.jpg","View")</f>
        <v>View</v>
      </c>
      <c r="V1006" s="8"/>
      <c r="W1006" s="8"/>
      <c r="X1006" s="8"/>
      <c r="Y1006" s="8"/>
      <c r="Z1006" s="8"/>
    </row>
    <row r="1007" spans="1:26" ht="13.2">
      <c r="A1007" s="13">
        <v>44250.547812500001</v>
      </c>
      <c r="B1007" s="6" t="str">
        <f>HYPERLINK("https://twitter.com/MLSTjournal","@MLSTjournal")</f>
        <v>@MLSTjournal</v>
      </c>
      <c r="C1007" s="14" t="s">
        <v>4548</v>
      </c>
      <c r="D1007" s="12" t="s">
        <v>4549</v>
      </c>
      <c r="E1007" s="6" t="str">
        <f>HYPERLINK("https://twitter.com/MLSTjournal/status/1364185449544171520","1364185449544171520")</f>
        <v>1364185449544171520</v>
      </c>
      <c r="F1007" s="7" t="s">
        <v>4550</v>
      </c>
      <c r="G1007" s="7" t="s">
        <v>4551</v>
      </c>
      <c r="H1007" s="8"/>
      <c r="I1007" s="14">
        <v>4</v>
      </c>
      <c r="J1007" s="14">
        <v>3</v>
      </c>
      <c r="K1007" s="6" t="str">
        <f>HYPERLINK("https://mobile.twitter.com","Twitter Web App")</f>
        <v>Twitter Web App</v>
      </c>
      <c r="L1007" s="15">
        <v>2890</v>
      </c>
      <c r="M1007" s="15">
        <v>1755</v>
      </c>
      <c r="N1007" s="15">
        <v>37</v>
      </c>
      <c r="O1007" s="9"/>
      <c r="P1007" s="10">
        <v>43741.796527777777</v>
      </c>
      <c r="Q1007" s="14" t="s">
        <v>4552</v>
      </c>
      <c r="R1007" s="14" t="s">
        <v>4553</v>
      </c>
      <c r="S1007" s="7" t="s">
        <v>4554</v>
      </c>
      <c r="T1007" s="8"/>
      <c r="U1007" s="11" t="str">
        <f>HYPERLINK("https://pbs.twimg.com/profile_images/1179805251634896898/KyjyzUQ2.jpg","View")</f>
        <v>View</v>
      </c>
      <c r="V1007" s="8"/>
      <c r="W1007" s="8"/>
      <c r="X1007" s="8"/>
      <c r="Y1007" s="8"/>
      <c r="Z1007" s="8"/>
    </row>
    <row r="1008" spans="1:26" ht="13.2">
      <c r="A1008" s="13">
        <v>44250.547025462962</v>
      </c>
      <c r="B1008" s="6" t="str">
        <f>HYPERLINK("https://twitter.com/Brainsonfire1","@Brainsonfire1")</f>
        <v>@Brainsonfire1</v>
      </c>
      <c r="C1008" s="14" t="s">
        <v>4555</v>
      </c>
      <c r="D1008" s="14" t="s">
        <v>4556</v>
      </c>
      <c r="E1008" s="6" t="str">
        <f>HYPERLINK("https://twitter.com/Brainsonfire1/status/1364185167800266754","1364185167800266754")</f>
        <v>1364185167800266754</v>
      </c>
      <c r="F1008" s="8"/>
      <c r="G1008" s="7" t="s">
        <v>4557</v>
      </c>
      <c r="H1008" s="8"/>
      <c r="I1008" s="14">
        <v>2</v>
      </c>
      <c r="J1008" s="14">
        <v>2</v>
      </c>
      <c r="K1008" s="6" t="str">
        <f>HYPERLINK("http://twitter.com/download/android","Twitter for Android")</f>
        <v>Twitter for Android</v>
      </c>
      <c r="L1008" s="15">
        <v>1</v>
      </c>
      <c r="M1008" s="15">
        <v>1</v>
      </c>
      <c r="N1008" s="15">
        <v>0</v>
      </c>
      <c r="O1008" s="9"/>
      <c r="P1008" s="10">
        <v>44232.622615740736</v>
      </c>
      <c r="Q1008" s="8"/>
      <c r="R1008" s="14" t="s">
        <v>4558</v>
      </c>
      <c r="S1008" s="8"/>
      <c r="T1008" s="8"/>
      <c r="U1008" s="11" t="str">
        <f>HYPERLINK("https://pbs.twimg.com/profile_images/1357691317342633990/Q6JJznY6.jpg","View")</f>
        <v>View</v>
      </c>
      <c r="V1008" s="8"/>
      <c r="W1008" s="8"/>
      <c r="X1008" s="8"/>
      <c r="Y1008" s="8"/>
      <c r="Z1008" s="8"/>
    </row>
    <row r="1009" spans="1:26" ht="13.2">
      <c r="A1009" s="13">
        <v>44250.546655092592</v>
      </c>
      <c r="B1009" s="6" t="str">
        <f>HYPERLINK("https://twitter.com/DecisionsSmart","@DecisionsSmart")</f>
        <v>@DecisionsSmart</v>
      </c>
      <c r="C1009" s="14" t="s">
        <v>212</v>
      </c>
      <c r="D1009" s="14" t="s">
        <v>2481</v>
      </c>
      <c r="E1009" s="6" t="str">
        <f>HYPERLINK("https://twitter.com/DecisionsSmart/status/1364185029895729154","1364185029895729154")</f>
        <v>1364185029895729154</v>
      </c>
      <c r="F1009" s="14" t="s">
        <v>2482</v>
      </c>
      <c r="G1009" s="8"/>
      <c r="H1009" s="8"/>
      <c r="I1009" s="14">
        <v>2</v>
      </c>
      <c r="J1009" s="14">
        <v>1</v>
      </c>
      <c r="K1009" s="6" t="str">
        <f>HYPERLINK("http://twinybots.com","TwinyBots")</f>
        <v>TwinyBots</v>
      </c>
      <c r="L1009" s="15">
        <v>6690</v>
      </c>
      <c r="M1009" s="15">
        <v>5126</v>
      </c>
      <c r="N1009" s="15">
        <v>88</v>
      </c>
      <c r="O1009" s="9"/>
      <c r="P1009" s="10">
        <v>43282.143495370372</v>
      </c>
      <c r="Q1009" s="14" t="s">
        <v>215</v>
      </c>
      <c r="R1009" s="14" t="s">
        <v>216</v>
      </c>
      <c r="S1009" s="8"/>
      <c r="T1009" s="8"/>
      <c r="U1009" s="11" t="str">
        <f>HYPERLINK("https://pbs.twimg.com/profile_images/1273753380373004289/crFq1msz.jpg","View")</f>
        <v>View</v>
      </c>
      <c r="V1009" s="8"/>
      <c r="W1009" s="8"/>
      <c r="X1009" s="8"/>
      <c r="Y1009" s="8"/>
      <c r="Z1009" s="8"/>
    </row>
    <row r="1010" spans="1:26" ht="13.2">
      <c r="A1010" s="13">
        <v>44250.546527777777</v>
      </c>
      <c r="B1010" s="6" t="str">
        <f>HYPERLINK("https://twitter.com/Flexgigzz_team","@Flexgigzz_team")</f>
        <v>@Flexgigzz_team</v>
      </c>
      <c r="C1010" s="14" t="s">
        <v>4559</v>
      </c>
      <c r="D1010" s="14" t="s">
        <v>4560</v>
      </c>
      <c r="E1010" s="6" t="str">
        <f>HYPERLINK("https://twitter.com/Flexgigzz_team/status/1364184984366555137","1364184984366555137")</f>
        <v>1364184984366555137</v>
      </c>
      <c r="F1010" s="7" t="s">
        <v>4561</v>
      </c>
      <c r="G1010" s="8"/>
      <c r="H1010" s="8"/>
      <c r="I1010" s="14">
        <v>2</v>
      </c>
      <c r="J1010" s="14">
        <v>1</v>
      </c>
      <c r="K1010" s="6" t="str">
        <f>HYPERLINK("https://mobile.twitter.com","Twitter Web App")</f>
        <v>Twitter Web App</v>
      </c>
      <c r="L1010" s="15">
        <v>1736</v>
      </c>
      <c r="M1010" s="15">
        <v>1883</v>
      </c>
      <c r="N1010" s="15">
        <v>2</v>
      </c>
      <c r="O1010" s="9"/>
      <c r="P1010" s="10">
        <v>43999.793310185181</v>
      </c>
      <c r="Q1010" s="8"/>
      <c r="R1010" s="14" t="s">
        <v>4562</v>
      </c>
      <c r="S1010" s="7" t="s">
        <v>4563</v>
      </c>
      <c r="T1010" s="8"/>
      <c r="U1010" s="11" t="str">
        <f>HYPERLINK("https://pbs.twimg.com/profile_images/1306131416522960897/EKYmESGP.jpg","View")</f>
        <v>View</v>
      </c>
      <c r="V1010" s="8"/>
      <c r="W1010" s="8"/>
      <c r="X1010" s="8"/>
      <c r="Y1010" s="8"/>
      <c r="Z1010" s="8"/>
    </row>
    <row r="1011" spans="1:26" ht="13.2">
      <c r="A1011" s="13">
        <v>44250.54619212963</v>
      </c>
      <c r="B1011" s="6" t="str">
        <f>HYPERLINK("https://twitter.com/machinelearnflx","@machinelearnflx")</f>
        <v>@machinelearnflx</v>
      </c>
      <c r="C1011" s="14" t="s">
        <v>279</v>
      </c>
      <c r="D1011" s="14" t="s">
        <v>4564</v>
      </c>
      <c r="E1011" s="6" t="str">
        <f>HYPERLINK("https://twitter.com/machinelearnflx/status/1364184864015196163","1364184864015196163")</f>
        <v>1364184864015196163</v>
      </c>
      <c r="F1011" s="7" t="s">
        <v>4565</v>
      </c>
      <c r="G1011" s="8"/>
      <c r="H1011" s="8"/>
      <c r="I1011" s="14">
        <v>3</v>
      </c>
      <c r="J1011" s="14">
        <v>3</v>
      </c>
      <c r="K1011" s="6" t="str">
        <f>HYPERLINK("https://twitter.com/pythonbot_","Postmatico")</f>
        <v>Postmatico</v>
      </c>
      <c r="L1011" s="15">
        <v>90451</v>
      </c>
      <c r="M1011" s="15">
        <v>35464</v>
      </c>
      <c r="N1011" s="15">
        <v>2227</v>
      </c>
      <c r="O1011" s="9"/>
      <c r="P1011" s="10">
        <v>42386.538865740746</v>
      </c>
      <c r="Q1011" s="8"/>
      <c r="R1011" s="14" t="s">
        <v>282</v>
      </c>
      <c r="S1011" s="7" t="s">
        <v>283</v>
      </c>
      <c r="T1011" s="8"/>
      <c r="U1011" s="11" t="str">
        <f>HYPERLINK("https://pbs.twimg.com/profile_images/688735459892195329/v8sHaWSG.jpg","View")</f>
        <v>View</v>
      </c>
      <c r="V1011" s="8"/>
      <c r="W1011" s="8"/>
      <c r="X1011" s="8"/>
      <c r="Y1011" s="8"/>
      <c r="Z1011" s="8"/>
    </row>
    <row r="1012" spans="1:26" ht="13.2">
      <c r="A1012" s="13">
        <v>44250.545208333337</v>
      </c>
      <c r="B1012" s="6" t="str">
        <f>HYPERLINK("https://twitter.com/talentingsocial","@talentingsocial")</f>
        <v>@talentingsocial</v>
      </c>
      <c r="C1012" s="14" t="s">
        <v>4566</v>
      </c>
      <c r="D1012" s="14" t="s">
        <v>4567</v>
      </c>
      <c r="E1012" s="6" t="str">
        <f>HYPERLINK("https://twitter.com/talentingsocial/status/1364184508581498881","1364184508581498881")</f>
        <v>1364184508581498881</v>
      </c>
      <c r="F1012" s="8"/>
      <c r="G1012" s="7" t="s">
        <v>4568</v>
      </c>
      <c r="H1012" s="8"/>
      <c r="I1012" s="14">
        <v>3</v>
      </c>
      <c r="J1012" s="14">
        <v>1</v>
      </c>
      <c r="K1012" s="6" t="str">
        <f>HYPERLINK("https://publer.io","Publer ")</f>
        <v xml:space="preserve">Publer </v>
      </c>
      <c r="L1012" s="15">
        <v>13</v>
      </c>
      <c r="M1012" s="15">
        <v>133</v>
      </c>
      <c r="N1012" s="15">
        <v>0</v>
      </c>
      <c r="O1012" s="9"/>
      <c r="P1012" s="10">
        <v>43766.855092592596</v>
      </c>
      <c r="Q1012" s="14" t="s">
        <v>4569</v>
      </c>
      <c r="R1012" s="8"/>
      <c r="S1012" s="8"/>
      <c r="T1012" s="8"/>
      <c r="U1012" s="11" t="str">
        <f>HYPERLINK("https://pbs.twimg.com/profile_images/1191650772859195393/b-5lrZUU.jpg","View")</f>
        <v>View</v>
      </c>
      <c r="V1012" s="8"/>
      <c r="W1012" s="8"/>
      <c r="X1012" s="8"/>
      <c r="Y1012" s="8"/>
      <c r="Z1012" s="8"/>
    </row>
    <row r="1013" spans="1:26" ht="13.2">
      <c r="A1013" s="13">
        <v>44250.545023148152</v>
      </c>
      <c r="B1013" s="6" t="str">
        <f>HYPERLINK("https://twitter.com/Eli_Krumova","@Eli_Krumova")</f>
        <v>@Eli_Krumova</v>
      </c>
      <c r="C1013" s="14" t="s">
        <v>947</v>
      </c>
      <c r="D1013" s="14" t="s">
        <v>4570</v>
      </c>
      <c r="E1013" s="6" t="str">
        <f>HYPERLINK("https://twitter.com/Eli_Krumova/status/1364184442114351104","1364184442114351104")</f>
        <v>1364184442114351104</v>
      </c>
      <c r="F1013" s="7" t="s">
        <v>4571</v>
      </c>
      <c r="G1013" s="7" t="s">
        <v>4572</v>
      </c>
      <c r="H1013" s="8"/>
      <c r="I1013" s="14">
        <v>2</v>
      </c>
      <c r="J1013" s="14">
        <v>4</v>
      </c>
      <c r="K1013" s="6" t="str">
        <f t="shared" ref="K1013:K1014" si="163">HYPERLINK("https://mobile.twitter.com","Twitter Web App")</f>
        <v>Twitter Web App</v>
      </c>
      <c r="L1013" s="15">
        <v>4471</v>
      </c>
      <c r="M1013" s="15">
        <v>5001</v>
      </c>
      <c r="N1013" s="15">
        <v>79</v>
      </c>
      <c r="O1013" s="9"/>
      <c r="P1013" s="10">
        <v>41346.597002314811</v>
      </c>
      <c r="Q1013" s="14" t="s">
        <v>951</v>
      </c>
      <c r="R1013" s="14" t="s">
        <v>952</v>
      </c>
      <c r="S1013" s="8"/>
      <c r="T1013" s="8"/>
      <c r="U1013" s="11" t="str">
        <f>HYPERLINK("https://pbs.twimg.com/profile_images/1361638888427683840/HqNlplM_.jpg","View")</f>
        <v>View</v>
      </c>
      <c r="V1013" s="8"/>
      <c r="W1013" s="8"/>
      <c r="X1013" s="8"/>
      <c r="Y1013" s="8"/>
      <c r="Z1013" s="8"/>
    </row>
    <row r="1014" spans="1:26" ht="13.2">
      <c r="A1014" s="13">
        <v>44250.544386574074</v>
      </c>
      <c r="B1014" s="6" t="str">
        <f>HYPERLINK("https://twitter.com/MLSTjournal","@MLSTjournal")</f>
        <v>@MLSTjournal</v>
      </c>
      <c r="C1014" s="14" t="s">
        <v>4548</v>
      </c>
      <c r="D1014" s="12" t="s">
        <v>4573</v>
      </c>
      <c r="E1014" s="6" t="str">
        <f>HYPERLINK("https://twitter.com/MLSTjournal/status/1364184210169344007","1364184210169344007")</f>
        <v>1364184210169344007</v>
      </c>
      <c r="F1014" s="7" t="s">
        <v>4574</v>
      </c>
      <c r="G1014" s="7" t="s">
        <v>4575</v>
      </c>
      <c r="H1014" s="8"/>
      <c r="I1014" s="14">
        <v>4</v>
      </c>
      <c r="J1014" s="14">
        <v>7</v>
      </c>
      <c r="K1014" s="6" t="str">
        <f t="shared" si="163"/>
        <v>Twitter Web App</v>
      </c>
      <c r="L1014" s="15">
        <v>2890</v>
      </c>
      <c r="M1014" s="15">
        <v>1755</v>
      </c>
      <c r="N1014" s="15">
        <v>37</v>
      </c>
      <c r="O1014" s="9"/>
      <c r="P1014" s="10">
        <v>43741.796527777777</v>
      </c>
      <c r="Q1014" s="14" t="s">
        <v>4552</v>
      </c>
      <c r="R1014" s="14" t="s">
        <v>4553</v>
      </c>
      <c r="S1014" s="7" t="s">
        <v>4554</v>
      </c>
      <c r="T1014" s="8"/>
      <c r="U1014" s="11" t="str">
        <f>HYPERLINK("https://pbs.twimg.com/profile_images/1179805251634896898/KyjyzUQ2.jpg","View")</f>
        <v>View</v>
      </c>
      <c r="V1014" s="8"/>
      <c r="W1014" s="8"/>
      <c r="X1014" s="8"/>
      <c r="Y1014" s="8"/>
      <c r="Z1014" s="8"/>
    </row>
    <row r="1015" spans="1:26" ht="13.2">
      <c r="A1015" s="13">
        <v>44250.544270833328</v>
      </c>
      <c r="B1015" s="6" t="str">
        <f>HYPERLINK("https://twitter.com/Sheraj99","@Sheraj99")</f>
        <v>@Sheraj99</v>
      </c>
      <c r="C1015" s="14" t="s">
        <v>4576</v>
      </c>
      <c r="D1015" s="14" t="s">
        <v>4577</v>
      </c>
      <c r="E1015" s="6" t="str">
        <f>HYPERLINK("https://twitter.com/Sheraj99/status/1364184166879932419","1364184166879932419")</f>
        <v>1364184166879932419</v>
      </c>
      <c r="F1015" s="7" t="s">
        <v>4578</v>
      </c>
      <c r="G1015" s="8"/>
      <c r="H1015" s="8"/>
      <c r="I1015" s="14">
        <v>35</v>
      </c>
      <c r="J1015" s="14">
        <v>21</v>
      </c>
      <c r="K1015" s="6" t="str">
        <f>HYPERLINK("http://twitter.com/download/iphone","Twitter for iPhone")</f>
        <v>Twitter for iPhone</v>
      </c>
      <c r="L1015" s="15">
        <v>288</v>
      </c>
      <c r="M1015" s="15">
        <v>92</v>
      </c>
      <c r="N1015" s="15">
        <v>3</v>
      </c>
      <c r="O1015" s="9"/>
      <c r="P1015" s="10">
        <v>40621.211805555555</v>
      </c>
      <c r="Q1015" s="14" t="s">
        <v>696</v>
      </c>
      <c r="R1015" s="14" t="s">
        <v>4579</v>
      </c>
      <c r="S1015" s="8"/>
      <c r="T1015" s="8"/>
      <c r="U1015" s="11" t="str">
        <f>HYPERLINK("https://pbs.twimg.com/profile_images/1258879283877105664/_UZhqUDu.jpg","View")</f>
        <v>View</v>
      </c>
      <c r="V1015" s="8"/>
      <c r="W1015" s="8"/>
      <c r="X1015" s="8"/>
      <c r="Y1015" s="8"/>
      <c r="Z1015" s="8"/>
    </row>
    <row r="1016" spans="1:26" ht="13.2">
      <c r="A1016" s="13">
        <v>44250.543773148151</v>
      </c>
      <c r="B1016" s="6" t="str">
        <f>HYPERLINK("https://twitter.com/SAPhightech","@SAPhightech")</f>
        <v>@SAPhightech</v>
      </c>
      <c r="C1016" s="14" t="s">
        <v>4580</v>
      </c>
      <c r="D1016" s="14" t="s">
        <v>4581</v>
      </c>
      <c r="E1016" s="6" t="str">
        <f>HYPERLINK("https://twitter.com/SAPhightech/status/1364183985497251843","1364183985497251843")</f>
        <v>1364183985497251843</v>
      </c>
      <c r="F1016" s="7" t="s">
        <v>4582</v>
      </c>
      <c r="G1016" s="7" t="s">
        <v>4583</v>
      </c>
      <c r="H1016" s="8"/>
      <c r="I1016" s="14">
        <v>2</v>
      </c>
      <c r="J1016" s="14">
        <v>2</v>
      </c>
      <c r="K1016" s="6" t="str">
        <f>HYPERLINK("https://www.sprinklr.com","Sprinklr")</f>
        <v>Sprinklr</v>
      </c>
      <c r="L1016" s="15">
        <v>12478</v>
      </c>
      <c r="M1016" s="15">
        <v>5712</v>
      </c>
      <c r="N1016" s="15">
        <v>511</v>
      </c>
      <c r="O1016" s="15" t="s">
        <v>130</v>
      </c>
      <c r="P1016" s="10">
        <v>41157.247708333336</v>
      </c>
      <c r="Q1016" s="8"/>
      <c r="R1016" s="14" t="s">
        <v>4584</v>
      </c>
      <c r="S1016" s="7" t="s">
        <v>4585</v>
      </c>
      <c r="T1016" s="8"/>
      <c r="U1016" s="11" t="str">
        <f>HYPERLINK("https://pbs.twimg.com/profile_images/3316943467/a366b339a51da01001a9a538bfd8e793.png","View")</f>
        <v>View</v>
      </c>
      <c r="V1016" s="8"/>
      <c r="W1016" s="8"/>
      <c r="X1016" s="8"/>
      <c r="Y1016" s="8"/>
      <c r="Z1016" s="8"/>
    </row>
    <row r="1017" spans="1:26" ht="13.2">
      <c r="A1017" s="13">
        <v>44250.54315972222</v>
      </c>
      <c r="B1017" s="6" t="str">
        <f>HYPERLINK("https://twitter.com/RemoteSens_MDPI","@RemoteSens_MDPI")</f>
        <v>@RemoteSens_MDPI</v>
      </c>
      <c r="C1017" s="14" t="s">
        <v>4586</v>
      </c>
      <c r="D1017" s="14" t="s">
        <v>4587</v>
      </c>
      <c r="E1017" s="6" t="str">
        <f>HYPERLINK("https://twitter.com/RemoteSens_MDPI/status/1364183766827065344","1364183766827065344")</f>
        <v>1364183766827065344</v>
      </c>
      <c r="F1017" s="7" t="s">
        <v>4588</v>
      </c>
      <c r="G1017" s="7" t="s">
        <v>4589</v>
      </c>
      <c r="H1017" s="8"/>
      <c r="I1017" s="14">
        <v>2</v>
      </c>
      <c r="J1017" s="14">
        <v>5</v>
      </c>
      <c r="K1017" s="6" t="str">
        <f t="shared" ref="K1017:K1018" si="164">HYPERLINK("https://mobile.twitter.com","Twitter Web App")</f>
        <v>Twitter Web App</v>
      </c>
      <c r="L1017" s="15">
        <v>6874</v>
      </c>
      <c r="M1017" s="15">
        <v>982</v>
      </c>
      <c r="N1017" s="15">
        <v>118</v>
      </c>
      <c r="O1017" s="9"/>
      <c r="P1017" s="10">
        <v>42200.299386574072</v>
      </c>
      <c r="Q1017" s="8"/>
      <c r="R1017" s="14" t="s">
        <v>4590</v>
      </c>
      <c r="S1017" s="7" t="s">
        <v>4591</v>
      </c>
      <c r="T1017" s="8"/>
      <c r="U1017" s="11" t="str">
        <f>HYPERLINK("https://pbs.twimg.com/profile_images/816893317308784645/DtD8AGac.jpg","View")</f>
        <v>View</v>
      </c>
      <c r="V1017" s="8"/>
      <c r="W1017" s="8"/>
      <c r="X1017" s="8"/>
      <c r="Y1017" s="8"/>
      <c r="Z1017" s="8"/>
    </row>
    <row r="1018" spans="1:26" ht="13.2">
      <c r="A1018" s="13">
        <v>44250.54305555555</v>
      </c>
      <c r="B1018" s="6" t="str">
        <f>HYPERLINK("https://twitter.com/josemiguelcacho","@josemiguelcacho")</f>
        <v>@josemiguelcacho</v>
      </c>
      <c r="C1018" s="14" t="s">
        <v>4592</v>
      </c>
      <c r="D1018" s="14" t="s">
        <v>4593</v>
      </c>
      <c r="E1018" s="6" t="str">
        <f>HYPERLINK("https://twitter.com/josemiguelcacho/status/1364183726276673537","1364183726276673537")</f>
        <v>1364183726276673537</v>
      </c>
      <c r="F1018" s="7" t="s">
        <v>4594</v>
      </c>
      <c r="G1018" s="8"/>
      <c r="H1018" s="8"/>
      <c r="I1018" s="14">
        <v>0</v>
      </c>
      <c r="J1018" s="14">
        <v>1</v>
      </c>
      <c r="K1018" s="6" t="str">
        <f t="shared" si="164"/>
        <v>Twitter Web App</v>
      </c>
      <c r="L1018" s="15">
        <v>2117</v>
      </c>
      <c r="M1018" s="15">
        <v>1704</v>
      </c>
      <c r="N1018" s="15">
        <v>365</v>
      </c>
      <c r="O1018" s="9"/>
      <c r="P1018" s="10">
        <v>40408.467326388891</v>
      </c>
      <c r="Q1018" s="14" t="s">
        <v>2396</v>
      </c>
      <c r="R1018" s="14" t="s">
        <v>4595</v>
      </c>
      <c r="S1018" s="7" t="s">
        <v>4596</v>
      </c>
      <c r="T1018" s="8"/>
      <c r="U1018" s="11" t="str">
        <f>HYPERLINK("https://pbs.twimg.com/profile_images/1013837348654714881/Jeu5STSv.jpg","View")</f>
        <v>View</v>
      </c>
      <c r="V1018" s="8"/>
      <c r="W1018" s="8"/>
      <c r="X1018" s="8"/>
      <c r="Y1018" s="8"/>
      <c r="Z1018" s="8"/>
    </row>
    <row r="1019" spans="1:26" ht="13.2">
      <c r="A1019" s="13">
        <v>44250.542743055557</v>
      </c>
      <c r="B1019" s="6" t="str">
        <f>HYPERLINK("https://twitter.com/Sheraj99","@Sheraj99")</f>
        <v>@Sheraj99</v>
      </c>
      <c r="C1019" s="14" t="s">
        <v>4576</v>
      </c>
      <c r="D1019" s="14" t="s">
        <v>4597</v>
      </c>
      <c r="E1019" s="6" t="str">
        <f>HYPERLINK("https://twitter.com/Sheraj99/status/1364183612925558785","1364183612925558785")</f>
        <v>1364183612925558785</v>
      </c>
      <c r="F1019" s="7" t="s">
        <v>4598</v>
      </c>
      <c r="G1019" s="8"/>
      <c r="H1019" s="8"/>
      <c r="I1019" s="14">
        <v>43</v>
      </c>
      <c r="J1019" s="14">
        <v>20</v>
      </c>
      <c r="K1019" s="6" t="str">
        <f>HYPERLINK("http://twitter.com/download/iphone","Twitter for iPhone")</f>
        <v>Twitter for iPhone</v>
      </c>
      <c r="L1019" s="15">
        <v>288</v>
      </c>
      <c r="M1019" s="15">
        <v>92</v>
      </c>
      <c r="N1019" s="15">
        <v>3</v>
      </c>
      <c r="O1019" s="9"/>
      <c r="P1019" s="10">
        <v>40621.211805555555</v>
      </c>
      <c r="Q1019" s="14" t="s">
        <v>696</v>
      </c>
      <c r="R1019" s="14" t="s">
        <v>4579</v>
      </c>
      <c r="S1019" s="8"/>
      <c r="T1019" s="8"/>
      <c r="U1019" s="11" t="str">
        <f>HYPERLINK("https://pbs.twimg.com/profile_images/1258879283877105664/_UZhqUDu.jpg","View")</f>
        <v>View</v>
      </c>
      <c r="V1019" s="8"/>
      <c r="W1019" s="8"/>
      <c r="X1019" s="8"/>
      <c r="Y1019" s="8"/>
      <c r="Z1019" s="8"/>
    </row>
    <row r="1020" spans="1:26" ht="13.2">
      <c r="A1020" s="13">
        <v>44250.542627314819</v>
      </c>
      <c r="B1020" s="6" t="str">
        <f>HYPERLINK("https://twitter.com/VerifyCommunity","@VerifyCommunity")</f>
        <v>@VerifyCommunity</v>
      </c>
      <c r="C1020" s="14" t="s">
        <v>4599</v>
      </c>
      <c r="D1020" s="14" t="s">
        <v>4600</v>
      </c>
      <c r="E1020" s="6" t="str">
        <f>HYPERLINK("https://twitter.com/VerifyCommunity/status/1364183572265992196","1364183572265992196")</f>
        <v>1364183572265992196</v>
      </c>
      <c r="F1020" s="7" t="s">
        <v>4601</v>
      </c>
      <c r="G1020" s="8"/>
      <c r="H1020" s="8"/>
      <c r="I1020" s="14">
        <v>2</v>
      </c>
      <c r="J1020" s="14">
        <v>2</v>
      </c>
      <c r="K1020" s="6" t="str">
        <f t="shared" ref="K1020:K1022" si="165">HYPERLINK("https://www.hootsuite.com","Hootsuite Inc.")</f>
        <v>Hootsuite Inc.</v>
      </c>
      <c r="L1020" s="15">
        <v>295</v>
      </c>
      <c r="M1020" s="15">
        <v>1319</v>
      </c>
      <c r="N1020" s="15">
        <v>44</v>
      </c>
      <c r="O1020" s="9"/>
      <c r="P1020" s="10">
        <v>42093.692013888889</v>
      </c>
      <c r="Q1020" s="14" t="s">
        <v>3149</v>
      </c>
      <c r="R1020" s="14" t="s">
        <v>4602</v>
      </c>
      <c r="S1020" s="7" t="s">
        <v>4603</v>
      </c>
      <c r="T1020" s="8"/>
      <c r="U1020" s="11" t="str">
        <f>HYPERLINK("https://pbs.twimg.com/profile_images/597776517649817600/IsNEBXgB.png","View")</f>
        <v>View</v>
      </c>
      <c r="V1020" s="8"/>
      <c r="W1020" s="8"/>
      <c r="X1020" s="8"/>
      <c r="Y1020" s="8"/>
      <c r="Z1020" s="8"/>
    </row>
    <row r="1021" spans="1:26" ht="13.2">
      <c r="A1021" s="13">
        <v>44250.542592592596</v>
      </c>
      <c r="B1021" s="6" t="str">
        <f>HYPERLINK("https://twitter.com/StreamAnalytix","@StreamAnalytix")</f>
        <v>@StreamAnalytix</v>
      </c>
      <c r="C1021" s="14" t="s">
        <v>4604</v>
      </c>
      <c r="D1021" s="14" t="s">
        <v>4605</v>
      </c>
      <c r="E1021" s="6" t="str">
        <f>HYPERLINK("https://twitter.com/StreamAnalytix/status/1364183558856847362","1364183558856847362")</f>
        <v>1364183558856847362</v>
      </c>
      <c r="F1021" s="7" t="s">
        <v>4606</v>
      </c>
      <c r="G1021" s="7" t="s">
        <v>4607</v>
      </c>
      <c r="H1021" s="8"/>
      <c r="I1021" s="14">
        <v>2</v>
      </c>
      <c r="J1021" s="14">
        <v>3</v>
      </c>
      <c r="K1021" s="6" t="str">
        <f t="shared" si="165"/>
        <v>Hootsuite Inc.</v>
      </c>
      <c r="L1021" s="15">
        <v>452</v>
      </c>
      <c r="M1021" s="15">
        <v>317</v>
      </c>
      <c r="N1021" s="15">
        <v>193</v>
      </c>
      <c r="O1021" s="9"/>
      <c r="P1021" s="10">
        <v>41831.438958333332</v>
      </c>
      <c r="Q1021" s="8"/>
      <c r="R1021" s="14" t="s">
        <v>4608</v>
      </c>
      <c r="S1021" s="7" t="s">
        <v>4609</v>
      </c>
      <c r="T1021" s="8"/>
      <c r="U1021" s="11" t="str">
        <f>HYPERLINK("https://pbs.twimg.com/profile_images/930380219613110272/Iw0L88mZ.jpg","View")</f>
        <v>View</v>
      </c>
      <c r="V1021" s="8"/>
      <c r="W1021" s="8"/>
      <c r="X1021" s="8"/>
      <c r="Y1021" s="8"/>
      <c r="Z1021" s="8"/>
    </row>
    <row r="1022" spans="1:26" ht="13.2">
      <c r="A1022" s="13">
        <v>44250.542581018519</v>
      </c>
      <c r="B1022" s="6" t="str">
        <f>HYPERLINK("https://twitter.com/sang_alertboot","@sang_alertboot")</f>
        <v>@sang_alertboot</v>
      </c>
      <c r="C1022" s="14" t="s">
        <v>4610</v>
      </c>
      <c r="D1022" s="14" t="s">
        <v>4611</v>
      </c>
      <c r="E1022" s="6" t="str">
        <f>HYPERLINK("https://twitter.com/sang_alertboot/status/1364183556860366848","1364183556860366848")</f>
        <v>1364183556860366848</v>
      </c>
      <c r="F1022" s="7" t="s">
        <v>4612</v>
      </c>
      <c r="G1022" s="8"/>
      <c r="H1022" s="8"/>
      <c r="I1022" s="14">
        <v>2</v>
      </c>
      <c r="J1022" s="14">
        <v>1</v>
      </c>
      <c r="K1022" s="6" t="str">
        <f t="shared" si="165"/>
        <v>Hootsuite Inc.</v>
      </c>
      <c r="L1022" s="15">
        <v>334</v>
      </c>
      <c r="M1022" s="15">
        <v>80</v>
      </c>
      <c r="N1022" s="15">
        <v>716</v>
      </c>
      <c r="O1022" s="9"/>
      <c r="P1022" s="10">
        <v>40471.297708333332</v>
      </c>
      <c r="Q1022" s="14" t="s">
        <v>4613</v>
      </c>
      <c r="R1022" s="14" t="s">
        <v>4614</v>
      </c>
      <c r="S1022" s="7" t="s">
        <v>4615</v>
      </c>
      <c r="T1022" s="8"/>
      <c r="U1022" s="11" t="str">
        <f>HYPERLINK("https://pbs.twimg.com/profile_images/1157854063/twitter_profile.jpg","View")</f>
        <v>View</v>
      </c>
      <c r="V1022" s="8"/>
      <c r="W1022" s="8"/>
      <c r="X1022" s="8"/>
      <c r="Y1022" s="8"/>
      <c r="Z1022" s="8"/>
    </row>
    <row r="1023" spans="1:26" ht="13.2">
      <c r="A1023" s="13">
        <v>44250.542268518519</v>
      </c>
      <c r="B1023" s="6" t="str">
        <f>HYPERLINK("https://twitter.com/bigmlcom","@bigmlcom")</f>
        <v>@bigmlcom</v>
      </c>
      <c r="C1023" s="14" t="s">
        <v>4616</v>
      </c>
      <c r="D1023" s="14" t="s">
        <v>4617</v>
      </c>
      <c r="E1023" s="6" t="str">
        <f>HYPERLINK("https://twitter.com/bigmlcom/status/1364183443203055617","1364183443203055617")</f>
        <v>1364183443203055617</v>
      </c>
      <c r="F1023" s="7" t="s">
        <v>4618</v>
      </c>
      <c r="G1023" s="8"/>
      <c r="H1023" s="8"/>
      <c r="I1023" s="14">
        <v>0</v>
      </c>
      <c r="J1023" s="14">
        <v>5</v>
      </c>
      <c r="K1023" s="6" t="str">
        <f>HYPERLINK("https://mobile.twitter.com","Twitter Web App")</f>
        <v>Twitter Web App</v>
      </c>
      <c r="L1023" s="15">
        <v>6725</v>
      </c>
      <c r="M1023" s="15">
        <v>43</v>
      </c>
      <c r="N1023" s="15">
        <v>492</v>
      </c>
      <c r="O1023" s="9"/>
      <c r="P1023" s="10">
        <v>40552.231423611112</v>
      </c>
      <c r="Q1023" s="14" t="s">
        <v>4619</v>
      </c>
      <c r="R1023" s="14" t="s">
        <v>4620</v>
      </c>
      <c r="S1023" s="7" t="s">
        <v>4621</v>
      </c>
      <c r="T1023" s="8"/>
      <c r="U1023" s="11" t="str">
        <f>HYPERLINK("https://pbs.twimg.com/profile_images/1053243999237087235/j87pTK0n.jpg","View")</f>
        <v>View</v>
      </c>
      <c r="V1023" s="8"/>
      <c r="W1023" s="8"/>
      <c r="X1023" s="8"/>
      <c r="Y1023" s="8"/>
      <c r="Z1023" s="8"/>
    </row>
    <row r="1024" spans="1:26" ht="13.2">
      <c r="A1024" s="13">
        <v>44250.542256944449</v>
      </c>
      <c r="B1024" s="6" t="str">
        <f>HYPERLINK("https://twitter.com/Sheraj99","@Sheraj99")</f>
        <v>@Sheraj99</v>
      </c>
      <c r="C1024" s="14" t="s">
        <v>4576</v>
      </c>
      <c r="D1024" s="14" t="s">
        <v>4622</v>
      </c>
      <c r="E1024" s="6" t="str">
        <f>HYPERLINK("https://twitter.com/Sheraj99/status/1364183435812745218","1364183435812745218")</f>
        <v>1364183435812745218</v>
      </c>
      <c r="F1024" s="7" t="s">
        <v>4623</v>
      </c>
      <c r="G1024" s="8"/>
      <c r="H1024" s="8"/>
      <c r="I1024" s="14">
        <v>21</v>
      </c>
      <c r="J1024" s="14">
        <v>9</v>
      </c>
      <c r="K1024" s="6" t="str">
        <f>HYPERLINK("http://twitter.com/download/iphone","Twitter for iPhone")</f>
        <v>Twitter for iPhone</v>
      </c>
      <c r="L1024" s="15">
        <v>288</v>
      </c>
      <c r="M1024" s="15">
        <v>92</v>
      </c>
      <c r="N1024" s="15">
        <v>3</v>
      </c>
      <c r="O1024" s="9"/>
      <c r="P1024" s="10">
        <v>40621.211805555555</v>
      </c>
      <c r="Q1024" s="14" t="s">
        <v>696</v>
      </c>
      <c r="R1024" s="14" t="s">
        <v>4579</v>
      </c>
      <c r="S1024" s="8"/>
      <c r="T1024" s="8"/>
      <c r="U1024" s="11" t="str">
        <f>HYPERLINK("https://pbs.twimg.com/profile_images/1258879283877105664/_UZhqUDu.jpg","View")</f>
        <v>View</v>
      </c>
      <c r="V1024" s="8"/>
      <c r="W1024" s="8"/>
      <c r="X1024" s="8"/>
      <c r="Y1024" s="8"/>
      <c r="Z1024" s="8"/>
    </row>
    <row r="1025" spans="1:26" ht="13.2">
      <c r="A1025" s="13">
        <v>44250.542037037041</v>
      </c>
      <c r="B1025" s="6" t="str">
        <f>HYPERLINK("https://twitter.com/Deep_In_Depth","@Deep_In_Depth")</f>
        <v>@Deep_In_Depth</v>
      </c>
      <c r="C1025" s="14" t="s">
        <v>312</v>
      </c>
      <c r="D1025" s="14" t="s">
        <v>4624</v>
      </c>
      <c r="E1025" s="6" t="str">
        <f>HYPERLINK("https://twitter.com/Deep_In_Depth/status/1364183359254114307","1364183359254114307")</f>
        <v>1364183359254114307</v>
      </c>
      <c r="F1025" s="7" t="s">
        <v>4625</v>
      </c>
      <c r="G1025" s="8"/>
      <c r="H1025" s="8"/>
      <c r="I1025" s="14">
        <v>3</v>
      </c>
      <c r="J1025" s="14">
        <v>6</v>
      </c>
      <c r="K1025" s="6" t="str">
        <f>HYPERLINK("https://buffer.com","Buffer")</f>
        <v>Buffer</v>
      </c>
      <c r="L1025" s="15">
        <v>10954</v>
      </c>
      <c r="M1025" s="15">
        <v>9176</v>
      </c>
      <c r="N1025" s="15">
        <v>159</v>
      </c>
      <c r="O1025" s="9"/>
      <c r="P1025" s="10">
        <v>42864.439525462964</v>
      </c>
      <c r="Q1025" s="14" t="s">
        <v>315</v>
      </c>
      <c r="R1025" s="14" t="s">
        <v>316</v>
      </c>
      <c r="S1025" s="7" t="s">
        <v>317</v>
      </c>
      <c r="T1025" s="8"/>
      <c r="U1025" s="11" t="str">
        <f>HYPERLINK("https://pbs.twimg.com/profile_images/861866967493431296/PIjaSD4g.jpg","View")</f>
        <v>View</v>
      </c>
      <c r="V1025" s="8"/>
      <c r="W1025" s="8"/>
      <c r="X1025" s="8"/>
      <c r="Y1025" s="8"/>
      <c r="Z1025" s="8"/>
    </row>
    <row r="1026" spans="1:26" ht="13.2">
      <c r="A1026" s="13">
        <v>44250.541932870372</v>
      </c>
      <c r="B1026" s="6" t="str">
        <f>HYPERLINK("https://twitter.com/AtticScientist","@AtticScientist")</f>
        <v>@AtticScientist</v>
      </c>
      <c r="C1026" s="14" t="s">
        <v>4626</v>
      </c>
      <c r="D1026" s="14" t="s">
        <v>4627</v>
      </c>
      <c r="E1026" s="6" t="str">
        <f>HYPERLINK("https://twitter.com/AtticScientist/status/1364183320679096325","1364183320679096325")</f>
        <v>1364183320679096325</v>
      </c>
      <c r="F1026" s="7" t="s">
        <v>4628</v>
      </c>
      <c r="G1026" s="8"/>
      <c r="H1026" s="8"/>
      <c r="I1026" s="14">
        <v>0</v>
      </c>
      <c r="J1026" s="14">
        <v>1</v>
      </c>
      <c r="K1026" s="6" t="str">
        <f>HYPERLINK("https://www.data-blogger.com/","TweetFeedDataBlogger")</f>
        <v>TweetFeedDataBlogger</v>
      </c>
      <c r="L1026" s="15">
        <v>591</v>
      </c>
      <c r="M1026" s="15">
        <v>53</v>
      </c>
      <c r="N1026" s="15">
        <v>16</v>
      </c>
      <c r="O1026" s="9"/>
      <c r="P1026" s="10">
        <v>43077.42586805555</v>
      </c>
      <c r="Q1026" s="14" t="s">
        <v>4629</v>
      </c>
      <c r="R1026" s="14" t="s">
        <v>4630</v>
      </c>
      <c r="S1026" s="7" t="s">
        <v>4631</v>
      </c>
      <c r="T1026" s="8"/>
      <c r="U1026" s="11" t="str">
        <f>HYPERLINK("https://pbs.twimg.com/profile_images/1323206624765448197/eqBniY_E.png","View")</f>
        <v>View</v>
      </c>
      <c r="V1026" s="8"/>
      <c r="W1026" s="8"/>
      <c r="X1026" s="8"/>
      <c r="Y1026" s="8"/>
      <c r="Z1026" s="8"/>
    </row>
    <row r="1027" spans="1:26" ht="13.2">
      <c r="A1027" s="13">
        <v>44250.541909722218</v>
      </c>
      <c r="B1027" s="6" t="str">
        <f>HYPERLINK("https://twitter.com/juanfdezortega","@juanfdezortega")</f>
        <v>@juanfdezortega</v>
      </c>
      <c r="C1027" s="14" t="s">
        <v>4632</v>
      </c>
      <c r="D1027" s="14" t="s">
        <v>4633</v>
      </c>
      <c r="E1027" s="6" t="str">
        <f>HYPERLINK("https://twitter.com/juanfdezortega/status/1364183309782290432","1364183309782290432")</f>
        <v>1364183309782290432</v>
      </c>
      <c r="F1027" s="7" t="s">
        <v>4634</v>
      </c>
      <c r="G1027" s="7" t="s">
        <v>4635</v>
      </c>
      <c r="H1027" s="8"/>
      <c r="I1027" s="14">
        <v>0</v>
      </c>
      <c r="J1027" s="14">
        <v>1</v>
      </c>
      <c r="K1027" s="6" t="str">
        <f>HYPERLINK("https://buffer.com","Buffer")</f>
        <v>Buffer</v>
      </c>
      <c r="L1027" s="15">
        <v>634</v>
      </c>
      <c r="M1027" s="15">
        <v>532</v>
      </c>
      <c r="N1027" s="15">
        <v>120</v>
      </c>
      <c r="O1027" s="9"/>
      <c r="P1027" s="10">
        <v>39950.059351851851</v>
      </c>
      <c r="Q1027" s="14" t="s">
        <v>75</v>
      </c>
      <c r="R1027" s="14" t="s">
        <v>4636</v>
      </c>
      <c r="S1027" s="7" t="s">
        <v>4637</v>
      </c>
      <c r="T1027" s="8"/>
      <c r="U1027" s="11" t="str">
        <f>HYPERLINK("https://pbs.twimg.com/profile_images/668914059148857345/Mh7xwFVT.jpg","View")</f>
        <v>View</v>
      </c>
      <c r="V1027" s="8"/>
      <c r="W1027" s="8"/>
      <c r="X1027" s="8"/>
      <c r="Y1027" s="8"/>
      <c r="Z1027" s="8"/>
    </row>
    <row r="1028" spans="1:26" ht="13.2">
      <c r="A1028" s="13">
        <v>44250.541851851856</v>
      </c>
      <c r="B1028" s="6" t="str">
        <f>HYPERLINK("https://twitter.com/IOTWORXHQ","@IOTWORXHQ")</f>
        <v>@IOTWORXHQ</v>
      </c>
      <c r="C1028" s="14" t="s">
        <v>4638</v>
      </c>
      <c r="D1028" s="14" t="s">
        <v>4639</v>
      </c>
      <c r="E1028" s="6" t="str">
        <f>HYPERLINK("https://twitter.com/IOTWORXHQ/status/1364183292598247433","1364183292598247433")</f>
        <v>1364183292598247433</v>
      </c>
      <c r="F1028" s="7" t="s">
        <v>4640</v>
      </c>
      <c r="G1028" s="8"/>
      <c r="H1028" s="8"/>
      <c r="I1028" s="14">
        <v>0</v>
      </c>
      <c r="J1028" s="14">
        <v>1</v>
      </c>
      <c r="K1028" s="6" t="str">
        <f>HYPERLINK("https://www.hootsuite.com","Hootsuite Inc.")</f>
        <v>Hootsuite Inc.</v>
      </c>
      <c r="L1028" s="15">
        <v>0</v>
      </c>
      <c r="M1028" s="15">
        <v>13</v>
      </c>
      <c r="N1028" s="15">
        <v>0</v>
      </c>
      <c r="O1028" s="9"/>
      <c r="P1028" s="10">
        <v>44244.664560185185</v>
      </c>
      <c r="Q1028" s="14" t="s">
        <v>4641</v>
      </c>
      <c r="R1028" s="14" t="s">
        <v>4642</v>
      </c>
      <c r="S1028" s="7" t="s">
        <v>4643</v>
      </c>
      <c r="T1028" s="8"/>
      <c r="U1028" s="11" t="str">
        <f>HYPERLINK("https://pbs.twimg.com/profile_images/1362321481963823107/sDNJagrk.jpg","View")</f>
        <v>View</v>
      </c>
      <c r="V1028" s="8"/>
      <c r="W1028" s="8"/>
      <c r="X1028" s="8"/>
      <c r="Y1028" s="8"/>
      <c r="Z1028" s="8"/>
    </row>
    <row r="1029" spans="1:26" ht="13.2">
      <c r="A1029" s="13">
        <v>44250.541747685187</v>
      </c>
      <c r="B1029" s="6" t="str">
        <f>HYPERLINK("https://twitter.com/ipfconline1","@ipfconline1")</f>
        <v>@ipfconline1</v>
      </c>
      <c r="C1029" s="14" t="s">
        <v>65</v>
      </c>
      <c r="D1029" s="14" t="s">
        <v>4644</v>
      </c>
      <c r="E1029" s="6" t="str">
        <f>HYPERLINK("https://twitter.com/ipfconline1/status/1364183251305299982","1364183251305299982")</f>
        <v>1364183251305299982</v>
      </c>
      <c r="F1029" s="7" t="s">
        <v>4645</v>
      </c>
      <c r="G1029" s="7" t="s">
        <v>4646</v>
      </c>
      <c r="H1029" s="8"/>
      <c r="I1029" s="14">
        <v>14</v>
      </c>
      <c r="J1029" s="14">
        <v>22</v>
      </c>
      <c r="K1029" s="6" t="str">
        <f>HYPERLINK("https://twittimer.com","Twittimer")</f>
        <v>Twittimer</v>
      </c>
      <c r="L1029" s="15">
        <v>112675</v>
      </c>
      <c r="M1029" s="15">
        <v>107162</v>
      </c>
      <c r="N1029" s="15">
        <v>7806</v>
      </c>
      <c r="O1029" s="9"/>
      <c r="P1029" s="10">
        <v>42433.031967592593</v>
      </c>
      <c r="Q1029" s="14" t="s">
        <v>69</v>
      </c>
      <c r="R1029" s="14" t="s">
        <v>70</v>
      </c>
      <c r="S1029" s="7" t="s">
        <v>71</v>
      </c>
      <c r="T1029" s="8"/>
      <c r="U1029" s="11" t="str">
        <f>HYPERLINK("https://pbs.twimg.com/profile_images/729065804004769793/St2_Pum9.jpg","View")</f>
        <v>View</v>
      </c>
      <c r="V1029" s="8"/>
      <c r="W1029" s="8"/>
      <c r="X1029" s="8"/>
      <c r="Y1029" s="8"/>
      <c r="Z1029" s="8"/>
    </row>
    <row r="1030" spans="1:26" ht="13.2">
      <c r="A1030" s="13">
        <v>44250.54173611111</v>
      </c>
      <c r="B1030" s="6" t="str">
        <f>HYPERLINK("https://twitter.com/HaroldSinnott","@HaroldSinnott")</f>
        <v>@HaroldSinnott</v>
      </c>
      <c r="C1030" s="14" t="s">
        <v>4015</v>
      </c>
      <c r="D1030" s="14" t="s">
        <v>4647</v>
      </c>
      <c r="E1030" s="6" t="str">
        <f>HYPERLINK("https://twitter.com/HaroldSinnott/status/1364183247777849344","1364183247777849344")</f>
        <v>1364183247777849344</v>
      </c>
      <c r="F1030" s="8"/>
      <c r="G1030" s="7" t="s">
        <v>4648</v>
      </c>
      <c r="H1030" s="8"/>
      <c r="I1030" s="14">
        <v>47</v>
      </c>
      <c r="J1030" s="14">
        <v>19</v>
      </c>
      <c r="K1030" s="6" t="str">
        <f>HYPERLINK("https://crowdfireapp.com","Crowdfire App")</f>
        <v>Crowdfire App</v>
      </c>
      <c r="L1030" s="15">
        <v>76726</v>
      </c>
      <c r="M1030" s="15">
        <v>46267</v>
      </c>
      <c r="N1030" s="15">
        <v>2484</v>
      </c>
      <c r="O1030" s="9"/>
      <c r="P1030" s="10">
        <v>40465.568553240737</v>
      </c>
      <c r="Q1030" s="14" t="s">
        <v>2904</v>
      </c>
      <c r="R1030" s="14" t="s">
        <v>4019</v>
      </c>
      <c r="S1030" s="7" t="s">
        <v>4020</v>
      </c>
      <c r="T1030" s="8"/>
      <c r="U1030" s="11" t="str">
        <f>HYPERLINK("https://pbs.twimg.com/profile_images/1214348334841901056/QSdqkzO-.jpg","View")</f>
        <v>View</v>
      </c>
      <c r="V1030" s="8"/>
      <c r="W1030" s="8"/>
      <c r="X1030" s="8"/>
      <c r="Y1030" s="8"/>
      <c r="Z1030" s="8"/>
    </row>
    <row r="1031" spans="1:26" ht="13.2">
      <c r="A1031" s="13">
        <v>44250.54173611111</v>
      </c>
      <c r="B1031" s="6" t="str">
        <f>HYPERLINK("https://twitter.com/ErinHillParks1","@ErinHillParks1")</f>
        <v>@ErinHillParks1</v>
      </c>
      <c r="C1031" s="14" t="s">
        <v>4649</v>
      </c>
      <c r="D1031" s="14" t="s">
        <v>4650</v>
      </c>
      <c r="E1031" s="6" t="str">
        <f>HYPERLINK("https://twitter.com/ErinHillParks1/status/1364183247475728390","1364183247475728390")</f>
        <v>1364183247475728390</v>
      </c>
      <c r="F1031" s="7" t="s">
        <v>4651</v>
      </c>
      <c r="G1031" s="8"/>
      <c r="H1031" s="8"/>
      <c r="I1031" s="14">
        <v>23</v>
      </c>
      <c r="J1031" s="14">
        <v>8</v>
      </c>
      <c r="K1031" s="6" t="str">
        <f>HYPERLINK("http://www.linkedin.com/","LinkedIn")</f>
        <v>LinkedIn</v>
      </c>
      <c r="L1031" s="15">
        <v>177</v>
      </c>
      <c r="M1031" s="15">
        <v>253</v>
      </c>
      <c r="N1031" s="15">
        <v>0</v>
      </c>
      <c r="O1031" s="9"/>
      <c r="P1031" s="10">
        <v>43669.516018518523</v>
      </c>
      <c r="Q1031" s="14" t="s">
        <v>2551</v>
      </c>
      <c r="R1031" s="14" t="s">
        <v>4652</v>
      </c>
      <c r="S1031" s="7" t="s">
        <v>4653</v>
      </c>
      <c r="T1031" s="8"/>
      <c r="U1031" s="11" t="str">
        <f>HYPERLINK("https://pbs.twimg.com/profile_images/1153613260039569408/2KiTsSLU.jpg","View")</f>
        <v>View</v>
      </c>
      <c r="V1031" s="8"/>
      <c r="W1031" s="8"/>
      <c r="X1031" s="8"/>
      <c r="Y1031" s="8"/>
      <c r="Z1031" s="8"/>
    </row>
    <row r="1032" spans="1:26" ht="13.2">
      <c r="A1032" s="13">
        <v>44250.541689814811</v>
      </c>
      <c r="B1032" s="6" t="str">
        <f>HYPERLINK("https://twitter.com/reddit_ml","@reddit_ml")</f>
        <v>@reddit_ml</v>
      </c>
      <c r="C1032" s="14" t="s">
        <v>2744</v>
      </c>
      <c r="D1032" s="14" t="s">
        <v>4654</v>
      </c>
      <c r="E1032" s="6" t="str">
        <f>HYPERLINK("https://twitter.com/reddit_ml/status/1364183231487238144","1364183231487238144")</f>
        <v>1364183231487238144</v>
      </c>
      <c r="F1032" s="7" t="s">
        <v>4655</v>
      </c>
      <c r="G1032" s="8"/>
      <c r="H1032" s="8"/>
      <c r="I1032" s="14">
        <v>0</v>
      </c>
      <c r="J1032" s="14">
        <v>0</v>
      </c>
      <c r="K1032" s="6" t="str">
        <f>HYPERLINK("https://www.reddit.com/r/MachineLearning/","reddit-ml-bot")</f>
        <v>reddit-ml-bot</v>
      </c>
      <c r="L1032" s="15">
        <v>411</v>
      </c>
      <c r="M1032" s="15">
        <v>93</v>
      </c>
      <c r="N1032" s="15">
        <v>35</v>
      </c>
      <c r="O1032" s="9"/>
      <c r="P1032" s="10">
        <v>42527.844641203701</v>
      </c>
      <c r="Q1032" s="8"/>
      <c r="R1032" s="8"/>
      <c r="S1032" s="7" t="s">
        <v>2746</v>
      </c>
      <c r="T1032" s="8"/>
      <c r="U1032" s="11" t="str">
        <f>HYPERLINK("https://pbs.twimg.com/profile_images/739887457206996992/9NUmKQvu.jpg","View")</f>
        <v>View</v>
      </c>
      <c r="V1032" s="8"/>
      <c r="W1032" s="8"/>
      <c r="X1032" s="8"/>
      <c r="Y1032" s="8"/>
      <c r="Z1032" s="8"/>
    </row>
    <row r="1033" spans="1:26" ht="13.2">
      <c r="A1033" s="13">
        <v>44250.541678240741</v>
      </c>
      <c r="B1033" s="6" t="str">
        <f>HYPERLINK("https://twitter.com/mekatronik_p","@mekatronik_p")</f>
        <v>@mekatronik_p</v>
      </c>
      <c r="C1033" s="14" t="s">
        <v>384</v>
      </c>
      <c r="D1033" s="14" t="s">
        <v>4656</v>
      </c>
      <c r="E1033" s="6" t="str">
        <f>HYPERLINK("https://twitter.com/mekatronik_p/status/1364183228983091203","1364183228983091203")</f>
        <v>1364183228983091203</v>
      </c>
      <c r="F1033" s="8"/>
      <c r="G1033" s="7" t="s">
        <v>4657</v>
      </c>
      <c r="H1033" s="8"/>
      <c r="I1033" s="14">
        <v>2</v>
      </c>
      <c r="J1033" s="14">
        <v>2</v>
      </c>
      <c r="K1033" s="6" t="str">
        <f t="shared" ref="K1033:K1034" si="166">HYPERLINK("https://mobile.twitter.com","Twitter Web App")</f>
        <v>Twitter Web App</v>
      </c>
      <c r="L1033" s="15">
        <v>67</v>
      </c>
      <c r="M1033" s="15">
        <v>1</v>
      </c>
      <c r="N1033" s="15">
        <v>0</v>
      </c>
      <c r="O1033" s="9"/>
      <c r="P1033" s="10">
        <v>44109.854756944449</v>
      </c>
      <c r="Q1033" s="8"/>
      <c r="R1033" s="14" t="s">
        <v>387</v>
      </c>
      <c r="S1033" s="8"/>
      <c r="T1033" s="8"/>
      <c r="U1033" s="11" t="str">
        <f>HYPERLINK("https://pbs.twimg.com/profile_images/1313188373624958976/SPe0w7x4.jpg","View")</f>
        <v>View</v>
      </c>
      <c r="V1033" s="8"/>
      <c r="W1033" s="8"/>
      <c r="X1033" s="8"/>
      <c r="Y1033" s="8"/>
      <c r="Z1033" s="8"/>
    </row>
    <row r="1034" spans="1:26" ht="13.2">
      <c r="A1034" s="13">
        <v>44250.541678240741</v>
      </c>
      <c r="B1034" s="6" t="str">
        <f>HYPERLINK("https://twitter.com/tallerdeinvers1","@tallerdeinvers1")</f>
        <v>@tallerdeinvers1</v>
      </c>
      <c r="C1034" s="14" t="s">
        <v>4658</v>
      </c>
      <c r="D1034" s="14" t="s">
        <v>4659</v>
      </c>
      <c r="E1034" s="6" t="str">
        <f>HYPERLINK("https://twitter.com/tallerdeinvers1/status/1364183227796135940","1364183227796135940")</f>
        <v>1364183227796135940</v>
      </c>
      <c r="F1034" s="14" t="s">
        <v>4660</v>
      </c>
      <c r="G1034" s="8"/>
      <c r="H1034" s="8"/>
      <c r="I1034" s="14">
        <v>0</v>
      </c>
      <c r="J1034" s="14">
        <v>1</v>
      </c>
      <c r="K1034" s="6" t="str">
        <f t="shared" si="166"/>
        <v>Twitter Web App</v>
      </c>
      <c r="L1034" s="15">
        <v>2806</v>
      </c>
      <c r="M1034" s="15">
        <v>22</v>
      </c>
      <c r="N1034" s="15">
        <v>89</v>
      </c>
      <c r="O1034" s="9"/>
      <c r="P1034" s="10">
        <v>42566.700185185182</v>
      </c>
      <c r="Q1034" s="8"/>
      <c r="R1034" s="8"/>
      <c r="S1034" s="8"/>
      <c r="T1034" s="8"/>
      <c r="U1034" s="11" t="str">
        <f>HYPERLINK("https://pbs.twimg.com/profile_images/817757705863593990/XBNgHhLD.jpg","View")</f>
        <v>View</v>
      </c>
      <c r="V1034" s="8"/>
      <c r="W1034" s="8"/>
      <c r="X1034" s="8"/>
      <c r="Y1034" s="8"/>
      <c r="Z1034" s="8"/>
    </row>
    <row r="1035" spans="1:26" ht="13.2">
      <c r="A1035" s="13">
        <v>44250.541180555556</v>
      </c>
      <c r="B1035" s="6" t="str">
        <f>HYPERLINK("https://twitter.com/NeurAutomata","@NeurAutomata")</f>
        <v>@NeurAutomata</v>
      </c>
      <c r="C1035" s="14" t="s">
        <v>400</v>
      </c>
      <c r="D1035" s="14" t="s">
        <v>401</v>
      </c>
      <c r="E1035" s="6" t="str">
        <f>HYPERLINK("https://twitter.com/NeurAutomata/status/1364183047420182529","1364183047420182529")</f>
        <v>1364183047420182529</v>
      </c>
      <c r="F1035" s="7" t="s">
        <v>4661</v>
      </c>
      <c r="G1035" s="8"/>
      <c r="H1035" s="8"/>
      <c r="I1035" s="14">
        <v>0</v>
      </c>
      <c r="J1035" s="14">
        <v>1</v>
      </c>
      <c r="K1035" s="6" t="str">
        <f>HYPERLINK("https://ifttt.com","IFTTT")</f>
        <v>IFTTT</v>
      </c>
      <c r="L1035" s="15">
        <v>83</v>
      </c>
      <c r="M1035" s="15">
        <v>14</v>
      </c>
      <c r="N1035" s="15">
        <v>3</v>
      </c>
      <c r="O1035" s="9"/>
      <c r="P1035" s="10">
        <v>42862.083414351851</v>
      </c>
      <c r="Q1035" s="14" t="s">
        <v>403</v>
      </c>
      <c r="R1035" s="14" t="s">
        <v>404</v>
      </c>
      <c r="S1035" s="8"/>
      <c r="T1035" s="8"/>
      <c r="U1035" s="11" t="str">
        <f>HYPERLINK("https://pbs.twimg.com/profile_images/861050448672718848/oHUlrvEK.jpg","View")</f>
        <v>View</v>
      </c>
      <c r="V1035" s="8"/>
      <c r="W1035" s="8"/>
      <c r="X1035" s="8"/>
      <c r="Y1035" s="8"/>
      <c r="Z1035" s="8"/>
    </row>
    <row r="1036" spans="1:26" ht="13.2">
      <c r="A1036" s="13">
        <v>44250.54105324074</v>
      </c>
      <c r="B1036" s="6" t="str">
        <f>HYPERLINK("https://twitter.com/sajidmirza","@sajidmirza")</f>
        <v>@sajidmirza</v>
      </c>
      <c r="C1036" s="14" t="s">
        <v>200</v>
      </c>
      <c r="D1036" s="14" t="s">
        <v>2458</v>
      </c>
      <c r="E1036" s="6" t="str">
        <f>HYPERLINK("https://twitter.com/sajidmirza/status/1364183002025234433","1364183002025234433")</f>
        <v>1364183002025234433</v>
      </c>
      <c r="F1036" s="14" t="s">
        <v>2459</v>
      </c>
      <c r="G1036" s="8"/>
      <c r="H1036" s="8"/>
      <c r="I1036" s="14">
        <v>0</v>
      </c>
      <c r="J1036" s="14">
        <v>1</v>
      </c>
      <c r="K1036" s="6" t="str">
        <f>HYPERLINK("http://twinybots.com","TwinyBots")</f>
        <v>TwinyBots</v>
      </c>
      <c r="L1036" s="15">
        <v>2160</v>
      </c>
      <c r="M1036" s="15">
        <v>1495</v>
      </c>
      <c r="N1036" s="15">
        <v>43</v>
      </c>
      <c r="O1036" s="9"/>
      <c r="P1036" s="10">
        <v>39986.264884259261</v>
      </c>
      <c r="Q1036" s="14" t="s">
        <v>203</v>
      </c>
      <c r="R1036" s="14" t="s">
        <v>204</v>
      </c>
      <c r="S1036" s="7" t="s">
        <v>205</v>
      </c>
      <c r="T1036" s="8"/>
      <c r="U1036" s="11" t="str">
        <f>HYPERLINK("https://pbs.twimg.com/profile_images/900709336309276672/M5XpdeQJ.jpg","View")</f>
        <v>View</v>
      </c>
      <c r="V1036" s="8"/>
      <c r="W1036" s="8"/>
      <c r="X1036" s="8"/>
      <c r="Y1036" s="8"/>
      <c r="Z1036" s="8"/>
    </row>
    <row r="1037" spans="1:26" ht="13.2">
      <c r="A1037" s="13">
        <v>44250.541041666671</v>
      </c>
      <c r="B1037" s="6" t="str">
        <f>HYPERLINK("https://twitter.com/MeaIps","@MeaIps")</f>
        <v>@MeaIps</v>
      </c>
      <c r="C1037" s="14" t="s">
        <v>4662</v>
      </c>
      <c r="D1037" s="14" t="s">
        <v>4663</v>
      </c>
      <c r="E1037" s="6" t="str">
        <f>HYPERLINK("https://twitter.com/MeaIps/status/1364182995503095809","1364182995503095809")</f>
        <v>1364182995503095809</v>
      </c>
      <c r="F1037" s="8"/>
      <c r="G1037" s="7" t="s">
        <v>4664</v>
      </c>
      <c r="H1037" s="8"/>
      <c r="I1037" s="14">
        <v>2</v>
      </c>
      <c r="J1037" s="14">
        <v>3</v>
      </c>
      <c r="K1037" s="6" t="str">
        <f>HYPERLINK("https://mobile.twitter.com","Twitter Web App")</f>
        <v>Twitter Web App</v>
      </c>
      <c r="L1037" s="15">
        <v>9</v>
      </c>
      <c r="M1037" s="15">
        <v>1</v>
      </c>
      <c r="N1037" s="15">
        <v>0</v>
      </c>
      <c r="O1037" s="9"/>
      <c r="P1037" s="10">
        <v>44197.467650462961</v>
      </c>
      <c r="Q1037" s="14" t="s">
        <v>4665</v>
      </c>
      <c r="R1037" s="14" t="s">
        <v>4666</v>
      </c>
      <c r="S1037" s="7" t="s">
        <v>4667</v>
      </c>
      <c r="T1037" s="8"/>
      <c r="U1037" s="11" t="str">
        <f>HYPERLINK("https://pbs.twimg.com/profile_images/1344949908244209666/Q5FRS8KP.jpg","View")</f>
        <v>View</v>
      </c>
      <c r="V1037" s="8"/>
      <c r="W1037" s="8"/>
      <c r="X1037" s="8"/>
      <c r="Y1037" s="8"/>
      <c r="Z1037" s="8"/>
    </row>
    <row r="1038" spans="1:26" ht="13.2">
      <c r="A1038" s="13">
        <v>44250.540972222225</v>
      </c>
      <c r="B1038" s="6" t="str">
        <f>HYPERLINK("https://twitter.com/campusbigdata","@campusbigdata")</f>
        <v>@campusbigdata</v>
      </c>
      <c r="C1038" s="14" t="s">
        <v>4668</v>
      </c>
      <c r="D1038" s="14" t="s">
        <v>4669</v>
      </c>
      <c r="E1038" s="6" t="str">
        <f>HYPERLINK("https://twitter.com/campusbigdata/status/1364182971008184333","1364182971008184333")</f>
        <v>1364182971008184333</v>
      </c>
      <c r="F1038" s="7" t="s">
        <v>4670</v>
      </c>
      <c r="G1038" s="8"/>
      <c r="H1038" s="8"/>
      <c r="I1038" s="14">
        <v>0</v>
      </c>
      <c r="J1038" s="14">
        <v>1</v>
      </c>
      <c r="K1038" s="6" t="str">
        <f>HYPERLINK("https://about.twitter.com/products/tweetdeck","TweetDeck")</f>
        <v>TweetDeck</v>
      </c>
      <c r="L1038" s="15">
        <v>2444</v>
      </c>
      <c r="M1038" s="15">
        <v>563</v>
      </c>
      <c r="N1038" s="15">
        <v>67</v>
      </c>
      <c r="O1038" s="9"/>
      <c r="P1038" s="10">
        <v>42559.493576388893</v>
      </c>
      <c r="Q1038" s="14" t="s">
        <v>4671</v>
      </c>
      <c r="R1038" s="14" t="s">
        <v>4672</v>
      </c>
      <c r="S1038" s="7" t="s">
        <v>4673</v>
      </c>
      <c r="T1038" s="8"/>
      <c r="U1038" s="11" t="str">
        <f>HYPERLINK("https://pbs.twimg.com/profile_images/950276430859993089/E6Gcu9ig.jpg","View")</f>
        <v>View</v>
      </c>
      <c r="V1038" s="8"/>
      <c r="W1038" s="8"/>
      <c r="X1038" s="8"/>
      <c r="Y1038" s="8"/>
      <c r="Z1038" s="8"/>
    </row>
    <row r="1039" spans="1:26" ht="13.2">
      <c r="A1039" s="13">
        <v>44250.539872685185</v>
      </c>
      <c r="B1039" s="6" t="str">
        <f>HYPERLINK("https://twitter.com/royhachache","@royhachache")</f>
        <v>@royhachache</v>
      </c>
      <c r="C1039" s="14" t="s">
        <v>4674</v>
      </c>
      <c r="D1039" s="14" t="s">
        <v>4675</v>
      </c>
      <c r="E1039" s="6" t="str">
        <f>HYPERLINK("https://twitter.com/royhachache/status/1364182572641775618","1364182572641775618")</f>
        <v>1364182572641775618</v>
      </c>
      <c r="F1039" s="7" t="s">
        <v>4676</v>
      </c>
      <c r="G1039" s="7" t="s">
        <v>4677</v>
      </c>
      <c r="H1039" s="8"/>
      <c r="I1039" s="14">
        <v>1</v>
      </c>
      <c r="J1039" s="14">
        <v>1</v>
      </c>
      <c r="K1039" s="6" t="str">
        <f>HYPERLINK("https://readyforsocial.com/","ReadyForSocial App")</f>
        <v>ReadyForSocial App</v>
      </c>
      <c r="L1039" s="15">
        <v>63</v>
      </c>
      <c r="M1039" s="15">
        <v>11</v>
      </c>
      <c r="N1039" s="15">
        <v>0</v>
      </c>
      <c r="O1039" s="9"/>
      <c r="P1039" s="10">
        <v>40895.908703703702</v>
      </c>
      <c r="Q1039" s="8"/>
      <c r="R1039" s="14" t="s">
        <v>4678</v>
      </c>
      <c r="S1039" s="8"/>
      <c r="T1039" s="8"/>
      <c r="U1039" s="11" t="str">
        <f>HYPERLINK("https://pbs.twimg.com/profile_images/1356211989517914117/LxB-fnh7.jpg","View")</f>
        <v>View</v>
      </c>
      <c r="V1039" s="8"/>
      <c r="W1039" s="8"/>
      <c r="X1039" s="8"/>
      <c r="Y1039" s="8"/>
      <c r="Z1039" s="8"/>
    </row>
    <row r="1040" spans="1:26" ht="13.2">
      <c r="A1040" s="13">
        <v>44250.539837962962</v>
      </c>
      <c r="B1040" s="6" t="str">
        <f>HYPERLINK("https://twitter.com/asterisminfosof","@asterisminfosof")</f>
        <v>@asterisminfosof</v>
      </c>
      <c r="C1040" s="14" t="s">
        <v>4541</v>
      </c>
      <c r="D1040" s="14" t="s">
        <v>4679</v>
      </c>
      <c r="E1040" s="6" t="str">
        <f>HYPERLINK("https://twitter.com/asterisminfosof/status/1364182559651885058","1364182559651885058")</f>
        <v>1364182559651885058</v>
      </c>
      <c r="F1040" s="8"/>
      <c r="G1040" s="7" t="s">
        <v>4680</v>
      </c>
      <c r="H1040" s="8"/>
      <c r="I1040" s="14">
        <v>2</v>
      </c>
      <c r="J1040" s="14">
        <v>2</v>
      </c>
      <c r="K1040" s="6" t="str">
        <f>HYPERLINK("http://twitter.com/download/android","Twitter for Android")</f>
        <v>Twitter for Android</v>
      </c>
      <c r="L1040" s="15">
        <v>153</v>
      </c>
      <c r="M1040" s="15">
        <v>758</v>
      </c>
      <c r="N1040" s="15">
        <v>1</v>
      </c>
      <c r="O1040" s="9"/>
      <c r="P1040" s="10">
        <v>43235.859178240746</v>
      </c>
      <c r="Q1040" s="14" t="s">
        <v>364</v>
      </c>
      <c r="R1040" s="14" t="s">
        <v>4544</v>
      </c>
      <c r="S1040" s="7" t="s">
        <v>4545</v>
      </c>
      <c r="T1040" s="8"/>
      <c r="U1040" s="11" t="str">
        <f>HYPERLINK("https://pbs.twimg.com/profile_images/999386355133108224/PUVwa5kU.jpg","View")</f>
        <v>View</v>
      </c>
      <c r="V1040" s="8"/>
      <c r="W1040" s="8"/>
      <c r="X1040" s="8"/>
      <c r="Y1040" s="8"/>
      <c r="Z1040" s="8"/>
    </row>
    <row r="1041" spans="1:26" ht="13.2">
      <c r="A1041" s="13">
        <v>44250.537638888884</v>
      </c>
      <c r="B1041" s="6" t="str">
        <f>HYPERLINK("https://twitter.com/coreonapp","@coreonapp")</f>
        <v>@coreonapp</v>
      </c>
      <c r="C1041" s="14" t="s">
        <v>4681</v>
      </c>
      <c r="D1041" s="14" t="s">
        <v>4682</v>
      </c>
      <c r="E1041" s="6" t="str">
        <f>HYPERLINK("https://twitter.com/coreonapp/status/1364181765531836420","1364181765531836420")</f>
        <v>1364181765531836420</v>
      </c>
      <c r="F1041" s="7" t="s">
        <v>4683</v>
      </c>
      <c r="G1041" s="8"/>
      <c r="H1041" s="8"/>
      <c r="I1041" s="14">
        <v>0</v>
      </c>
      <c r="J1041" s="14">
        <v>2</v>
      </c>
      <c r="K1041" s="6" t="str">
        <f>HYPERLINK("https://www.hootsuite.com","Hootsuite Inc.")</f>
        <v>Hootsuite Inc.</v>
      </c>
      <c r="L1041" s="15">
        <v>425</v>
      </c>
      <c r="M1041" s="15">
        <v>335</v>
      </c>
      <c r="N1041" s="15">
        <v>65</v>
      </c>
      <c r="O1041" s="9"/>
      <c r="P1041" s="10">
        <v>41191.457974537036</v>
      </c>
      <c r="Q1041" s="14" t="s">
        <v>4490</v>
      </c>
      <c r="R1041" s="14" t="s">
        <v>4684</v>
      </c>
      <c r="S1041" s="7" t="s">
        <v>4685</v>
      </c>
      <c r="T1041" s="8"/>
      <c r="U1041" s="11" t="str">
        <f>HYPERLINK("https://pbs.twimg.com/profile_images/418681145874599939/C6_-9ysp.png","View")</f>
        <v>View</v>
      </c>
      <c r="V1041" s="8"/>
      <c r="W1041" s="8"/>
      <c r="X1041" s="8"/>
      <c r="Y1041" s="8"/>
      <c r="Z1041" s="8"/>
    </row>
    <row r="1042" spans="1:26" ht="13.2">
      <c r="A1042" s="13">
        <v>44250.537187499998</v>
      </c>
      <c r="B1042" s="6" t="str">
        <f>HYPERLINK("https://twitter.com/IainLJBrown","@IainLJBrown")</f>
        <v>@IainLJBrown</v>
      </c>
      <c r="C1042" s="14" t="s">
        <v>2776</v>
      </c>
      <c r="D1042" s="14" t="s">
        <v>4686</v>
      </c>
      <c r="E1042" s="6" t="str">
        <f>HYPERLINK("https://twitter.com/IainLJBrown/status/1364181600527929348","1364181600527929348")</f>
        <v>1364181600527929348</v>
      </c>
      <c r="F1042" s="7" t="s">
        <v>4687</v>
      </c>
      <c r="G1042" s="8"/>
      <c r="H1042" s="8"/>
      <c r="I1042" s="14">
        <v>24</v>
      </c>
      <c r="J1042" s="14">
        <v>13</v>
      </c>
      <c r="K1042" s="6" t="str">
        <f>HYPERLINK("https://ifttt.com","IFTTT")</f>
        <v>IFTTT</v>
      </c>
      <c r="L1042" s="15">
        <v>115543</v>
      </c>
      <c r="M1042" s="15">
        <v>98727</v>
      </c>
      <c r="N1042" s="15">
        <v>423</v>
      </c>
      <c r="O1042" s="9"/>
      <c r="P1042" s="10">
        <v>40926.673900462964</v>
      </c>
      <c r="Q1042" s="14" t="s">
        <v>753</v>
      </c>
      <c r="R1042" s="14" t="s">
        <v>2779</v>
      </c>
      <c r="S1042" s="7" t="s">
        <v>2780</v>
      </c>
      <c r="T1042" s="8"/>
      <c r="U1042" s="11" t="str">
        <f>HYPERLINK("https://pbs.twimg.com/profile_images/1352606177352364032/jQ7AI0vG.jpg","View")</f>
        <v>View</v>
      </c>
      <c r="V1042" s="8"/>
      <c r="W1042" s="8"/>
      <c r="X1042" s="8"/>
      <c r="Y1042" s="8"/>
      <c r="Z1042" s="8"/>
    </row>
    <row r="1043" spans="1:26" ht="13.2">
      <c r="A1043" s="13">
        <v>44250.537187499998</v>
      </c>
      <c r="B1043" s="6" t="str">
        <f>HYPERLINK("https://twitter.com/RemoteSens_MDPI","@RemoteSens_MDPI")</f>
        <v>@RemoteSens_MDPI</v>
      </c>
      <c r="C1043" s="14" t="s">
        <v>4586</v>
      </c>
      <c r="D1043" s="14" t="s">
        <v>4688</v>
      </c>
      <c r="E1043" s="6" t="str">
        <f>HYPERLINK("https://twitter.com/RemoteSens_MDPI/status/1364181599496007682","1364181599496007682")</f>
        <v>1364181599496007682</v>
      </c>
      <c r="F1043" s="7" t="s">
        <v>4689</v>
      </c>
      <c r="G1043" s="7" t="s">
        <v>4690</v>
      </c>
      <c r="H1043" s="8"/>
      <c r="I1043" s="14">
        <v>0</v>
      </c>
      <c r="J1043" s="14">
        <v>4</v>
      </c>
      <c r="K1043" s="6" t="str">
        <f>HYPERLINK("https://mobile.twitter.com","Twitter Web App")</f>
        <v>Twitter Web App</v>
      </c>
      <c r="L1043" s="15">
        <v>6874</v>
      </c>
      <c r="M1043" s="15">
        <v>982</v>
      </c>
      <c r="N1043" s="15">
        <v>118</v>
      </c>
      <c r="O1043" s="9"/>
      <c r="P1043" s="10">
        <v>42200.299386574072</v>
      </c>
      <c r="Q1043" s="8"/>
      <c r="R1043" s="14" t="s">
        <v>4590</v>
      </c>
      <c r="S1043" s="7" t="s">
        <v>4591</v>
      </c>
      <c r="T1043" s="8"/>
      <c r="U1043" s="11" t="str">
        <f>HYPERLINK("https://pbs.twimg.com/profile_images/816893317308784645/DtD8AGac.jpg","View")</f>
        <v>View</v>
      </c>
      <c r="V1043" s="8"/>
      <c r="W1043" s="8"/>
      <c r="X1043" s="8"/>
      <c r="Y1043" s="8"/>
      <c r="Z1043" s="8"/>
    </row>
    <row r="1044" spans="1:26" ht="13.2">
      <c r="A1044" s="13">
        <v>44250.536898148144</v>
      </c>
      <c r="B1044" s="6" t="str">
        <f>HYPERLINK("https://twitter.com/GroschStefan","@GroschStefan")</f>
        <v>@GroschStefan</v>
      </c>
      <c r="C1044" s="14" t="s">
        <v>4691</v>
      </c>
      <c r="D1044" s="14" t="s">
        <v>90</v>
      </c>
      <c r="E1044" s="6" t="str">
        <f>HYPERLINK("https://twitter.com/GroschStefan/status/1364181493715787779","1364181493715787779")</f>
        <v>1364181493715787779</v>
      </c>
      <c r="F1044" s="7" t="s">
        <v>4692</v>
      </c>
      <c r="G1044" s="8"/>
      <c r="H1044" s="8"/>
      <c r="I1044" s="14">
        <v>1</v>
      </c>
      <c r="J1044" s="14">
        <v>4</v>
      </c>
      <c r="K1044" s="6" t="str">
        <f>HYPERLINK("http://smarp.com","Smarp.")</f>
        <v>Smarp.</v>
      </c>
      <c r="L1044" s="15">
        <v>48</v>
      </c>
      <c r="M1044" s="15">
        <v>52</v>
      </c>
      <c r="N1044" s="15">
        <v>5</v>
      </c>
      <c r="O1044" s="9"/>
      <c r="P1044" s="10">
        <v>40030.408391203702</v>
      </c>
      <c r="Q1044" s="14" t="s">
        <v>4693</v>
      </c>
      <c r="R1044" s="8"/>
      <c r="S1044" s="7" t="s">
        <v>4694</v>
      </c>
      <c r="T1044" s="8"/>
      <c r="U1044" s="11" t="str">
        <f>HYPERLINK("https://pbs.twimg.com/profile_images/740524564455784448/6MPUZzOT.jpg","View")</f>
        <v>View</v>
      </c>
      <c r="V1044" s="8"/>
      <c r="W1044" s="8"/>
      <c r="X1044" s="8"/>
      <c r="Y1044" s="8"/>
      <c r="Z1044" s="8"/>
    </row>
    <row r="1045" spans="1:26" ht="13.2">
      <c r="A1045" s="13">
        <v>44250.536458333328</v>
      </c>
      <c r="B1045" s="6" t="str">
        <f>HYPERLINK("https://twitter.com/OdiaKagan","@OdiaKagan")</f>
        <v>@OdiaKagan</v>
      </c>
      <c r="C1045" s="14" t="s">
        <v>4695</v>
      </c>
      <c r="D1045" s="14" t="s">
        <v>4696</v>
      </c>
      <c r="E1045" s="6" t="str">
        <f>HYPERLINK("https://twitter.com/OdiaKagan/status/1364181336219660290","1364181336219660290")</f>
        <v>1364181336219660290</v>
      </c>
      <c r="F1045" s="7" t="s">
        <v>4697</v>
      </c>
      <c r="G1045" s="8"/>
      <c r="H1045" s="8"/>
      <c r="I1045" s="14">
        <v>2</v>
      </c>
      <c r="J1045" s="14">
        <v>2</v>
      </c>
      <c r="K1045" s="6" t="str">
        <f t="shared" ref="K1045:K1046" si="167">HYPERLINK("https://mobile.twitter.com","Twitter Web App")</f>
        <v>Twitter Web App</v>
      </c>
      <c r="L1045" s="15">
        <v>122</v>
      </c>
      <c r="M1045" s="15">
        <v>128</v>
      </c>
      <c r="N1045" s="15">
        <v>1</v>
      </c>
      <c r="O1045" s="9"/>
      <c r="P1045" s="10">
        <v>42406.740706018521</v>
      </c>
      <c r="Q1045" s="8"/>
      <c r="R1045" s="14" t="s">
        <v>4698</v>
      </c>
      <c r="S1045" s="8"/>
      <c r="T1045" s="8"/>
      <c r="U1045" s="11" t="str">
        <f>HYPERLINK("https://pbs.twimg.com/profile_images/696013321909235713/hR8gQ0jE.jpg","View")</f>
        <v>View</v>
      </c>
      <c r="V1045" s="8"/>
      <c r="W1045" s="8"/>
      <c r="X1045" s="8"/>
      <c r="Y1045" s="8"/>
      <c r="Z1045" s="8"/>
    </row>
    <row r="1046" spans="1:26" ht="13.2">
      <c r="A1046" s="13">
        <v>44250.535763888889</v>
      </c>
      <c r="B1046" s="6" t="str">
        <f>HYPERLINK("https://twitter.com/MotorcycleTwitt","@MotorcycleTwitt")</f>
        <v>@MotorcycleTwitt</v>
      </c>
      <c r="C1046" s="14" t="s">
        <v>4699</v>
      </c>
      <c r="D1046" s="14" t="s">
        <v>4700</v>
      </c>
      <c r="E1046" s="6" t="str">
        <f>HYPERLINK("https://twitter.com/MotorcycleTwitt/status/1364181085051965443","1364181085051965443")</f>
        <v>1364181085051965443</v>
      </c>
      <c r="F1046" s="7" t="s">
        <v>4701</v>
      </c>
      <c r="G1046" s="7" t="s">
        <v>4702</v>
      </c>
      <c r="H1046" s="8"/>
      <c r="I1046" s="14">
        <v>5</v>
      </c>
      <c r="J1046" s="14">
        <v>2</v>
      </c>
      <c r="K1046" s="6" t="str">
        <f t="shared" si="167"/>
        <v>Twitter Web App</v>
      </c>
      <c r="L1046" s="15">
        <v>19217</v>
      </c>
      <c r="M1046" s="15">
        <v>11790</v>
      </c>
      <c r="N1046" s="15">
        <v>1483</v>
      </c>
      <c r="O1046" s="9"/>
      <c r="P1046" s="10">
        <v>41657.304791666669</v>
      </c>
      <c r="Q1046" s="14" t="s">
        <v>390</v>
      </c>
      <c r="R1046" s="14" t="s">
        <v>4703</v>
      </c>
      <c r="S1046" s="7" t="s">
        <v>4704</v>
      </c>
      <c r="T1046" s="8"/>
      <c r="U1046" s="11" t="str">
        <f>HYPERLINK("https://pbs.twimg.com/profile_images/976706803533725698/-B5y-7mI.jpg","View")</f>
        <v>View</v>
      </c>
      <c r="V1046" s="8"/>
      <c r="W1046" s="8"/>
      <c r="X1046" s="8"/>
      <c r="Y1046" s="8"/>
      <c r="Z1046" s="8"/>
    </row>
    <row r="1047" spans="1:26" ht="13.2">
      <c r="A1047" s="13">
        <v>44250.535694444443</v>
      </c>
      <c r="B1047" s="6" t="str">
        <f>HYPERLINK("https://twitter.com/JourneyHeroTech","@JourneyHeroTech")</f>
        <v>@JourneyHeroTech</v>
      </c>
      <c r="C1047" s="14" t="s">
        <v>1061</v>
      </c>
      <c r="D1047" s="14" t="s">
        <v>4705</v>
      </c>
      <c r="E1047" s="6" t="str">
        <f>HYPERLINK("https://twitter.com/JourneyHeroTech/status/1364181060360282112","1364181060360282112")</f>
        <v>1364181060360282112</v>
      </c>
      <c r="F1047" s="14" t="s">
        <v>4706</v>
      </c>
      <c r="G1047" s="7" t="s">
        <v>4707</v>
      </c>
      <c r="H1047" s="8"/>
      <c r="I1047" s="14">
        <v>32</v>
      </c>
      <c r="J1047" s="14">
        <v>18</v>
      </c>
      <c r="K1047" s="6" t="str">
        <f>HYPERLINK("http://twitter.com/download/iphone","Twitter for iPhone")</f>
        <v>Twitter for iPhone</v>
      </c>
      <c r="L1047" s="15">
        <v>418</v>
      </c>
      <c r="M1047" s="15">
        <v>1469</v>
      </c>
      <c r="N1047" s="15">
        <v>4</v>
      </c>
      <c r="O1047" s="9"/>
      <c r="P1047" s="10">
        <v>43958.737557870365</v>
      </c>
      <c r="Q1047" s="8"/>
      <c r="R1047" s="14" t="s">
        <v>1065</v>
      </c>
      <c r="S1047" s="7" t="s">
        <v>1066</v>
      </c>
      <c r="T1047" s="8"/>
      <c r="U1047" s="11" t="str">
        <f>HYPERLINK("https://pbs.twimg.com/profile_images/1258421949493100544/99J8Ehfn.jpg","View")</f>
        <v>View</v>
      </c>
      <c r="V1047" s="8"/>
      <c r="W1047" s="8"/>
      <c r="X1047" s="8"/>
      <c r="Y1047" s="8"/>
      <c r="Z1047" s="8"/>
    </row>
    <row r="1048" spans="1:26" ht="13.2">
      <c r="A1048" s="13">
        <v>44250.534386574072</v>
      </c>
      <c r="B1048" s="6" t="str">
        <f>HYPERLINK("https://twitter.com/machinelearnflx","@machinelearnflx")</f>
        <v>@machinelearnflx</v>
      </c>
      <c r="C1048" s="14" t="s">
        <v>279</v>
      </c>
      <c r="D1048" s="14" t="s">
        <v>4708</v>
      </c>
      <c r="E1048" s="6" t="str">
        <f>HYPERLINK("https://twitter.com/machinelearnflx/status/1364180583799209991","1364180583799209991")</f>
        <v>1364180583799209991</v>
      </c>
      <c r="F1048" s="7" t="s">
        <v>4709</v>
      </c>
      <c r="G1048" s="8"/>
      <c r="H1048" s="8"/>
      <c r="I1048" s="14">
        <v>1</v>
      </c>
      <c r="J1048" s="14">
        <v>4</v>
      </c>
      <c r="K1048" s="6" t="str">
        <f>HYPERLINK("https://twitter.com/pythonbot_","Postmatico")</f>
        <v>Postmatico</v>
      </c>
      <c r="L1048" s="15">
        <v>90451</v>
      </c>
      <c r="M1048" s="15">
        <v>35464</v>
      </c>
      <c r="N1048" s="15">
        <v>2227</v>
      </c>
      <c r="O1048" s="9"/>
      <c r="P1048" s="10">
        <v>42386.538865740746</v>
      </c>
      <c r="Q1048" s="8"/>
      <c r="R1048" s="14" t="s">
        <v>282</v>
      </c>
      <c r="S1048" s="7" t="s">
        <v>283</v>
      </c>
      <c r="T1048" s="8"/>
      <c r="U1048" s="11" t="str">
        <f>HYPERLINK("https://pbs.twimg.com/profile_images/688735459892195329/v8sHaWSG.jpg","View")</f>
        <v>View</v>
      </c>
      <c r="V1048" s="8"/>
      <c r="W1048" s="8"/>
      <c r="X1048" s="8"/>
      <c r="Y1048" s="8"/>
      <c r="Z1048" s="8"/>
    </row>
    <row r="1049" spans="1:26" ht="13.2">
      <c r="A1049" s="13">
        <v>44250.534270833334</v>
      </c>
      <c r="B1049" s="6" t="str">
        <f>HYPERLINK("https://twitter.com/ItGrafx","@ItGrafx")</f>
        <v>@ItGrafx</v>
      </c>
      <c r="C1049" s="14" t="s">
        <v>4710</v>
      </c>
      <c r="D1049" s="14" t="s">
        <v>4711</v>
      </c>
      <c r="E1049" s="6" t="str">
        <f>HYPERLINK("https://twitter.com/ItGrafx/status/1364180542120333316","1364180542120333316")</f>
        <v>1364180542120333316</v>
      </c>
      <c r="F1049" s="8"/>
      <c r="G1049" s="7" t="s">
        <v>4712</v>
      </c>
      <c r="H1049" s="8"/>
      <c r="I1049" s="14">
        <v>3</v>
      </c>
      <c r="J1049" s="14">
        <v>0</v>
      </c>
      <c r="K1049" s="6" t="str">
        <f>HYPERLINK("https://mobile.twitter.com","Twitter Web App")</f>
        <v>Twitter Web App</v>
      </c>
      <c r="L1049" s="15">
        <v>10</v>
      </c>
      <c r="M1049" s="15">
        <v>0</v>
      </c>
      <c r="N1049" s="15">
        <v>0</v>
      </c>
      <c r="O1049" s="9"/>
      <c r="P1049" s="10">
        <v>44137.296770833331</v>
      </c>
      <c r="Q1049" s="8"/>
      <c r="R1049" s="14" t="s">
        <v>4713</v>
      </c>
      <c r="S1049" s="8"/>
      <c r="T1049" s="8"/>
      <c r="U1049" s="11" t="str">
        <f>HYPERLINK("https://pbs.twimg.com/profile_images/1323145171525984257/rY-ErN8Q.jpg","View")</f>
        <v>View</v>
      </c>
      <c r="V1049" s="8"/>
      <c r="W1049" s="8"/>
      <c r="X1049" s="8"/>
      <c r="Y1049" s="8"/>
      <c r="Z1049" s="8"/>
    </row>
    <row r="1050" spans="1:26" ht="13.2">
      <c r="A1050" s="13">
        <v>44250.534212962964</v>
      </c>
      <c r="B1050" s="6" t="str">
        <f>HYPERLINK("https://twitter.com/Robofied","@Robofied")</f>
        <v>@Robofied</v>
      </c>
      <c r="C1050" s="14" t="s">
        <v>2099</v>
      </c>
      <c r="D1050" s="14" t="s">
        <v>4714</v>
      </c>
      <c r="E1050" s="6" t="str">
        <f>HYPERLINK("https://twitter.com/Robofied/status/1364180524516872195","1364180524516872195")</f>
        <v>1364180524516872195</v>
      </c>
      <c r="F1050" s="8"/>
      <c r="G1050" s="8"/>
      <c r="H1050" s="8"/>
      <c r="I1050" s="14">
        <v>4</v>
      </c>
      <c r="J1050" s="14">
        <v>2</v>
      </c>
      <c r="K1050" s="6" t="str">
        <f>HYPERLINK("http://twitter.com/download/android","Twitter for Android")</f>
        <v>Twitter for Android</v>
      </c>
      <c r="L1050" s="15">
        <v>231</v>
      </c>
      <c r="M1050" s="15">
        <v>116</v>
      </c>
      <c r="N1050" s="15">
        <v>8</v>
      </c>
      <c r="O1050" s="9"/>
      <c r="P1050" s="10">
        <v>43198.393437499995</v>
      </c>
      <c r="Q1050" s="14" t="s">
        <v>2102</v>
      </c>
      <c r="R1050" s="14" t="s">
        <v>2103</v>
      </c>
      <c r="S1050" s="7" t="s">
        <v>2104</v>
      </c>
      <c r="T1050" s="8"/>
      <c r="U1050" s="11" t="str">
        <f>HYPERLINK("https://pbs.twimg.com/profile_images/1139982196540764160/2tahzdY4.png","View")</f>
        <v>View</v>
      </c>
      <c r="V1050" s="8"/>
      <c r="W1050" s="8"/>
      <c r="X1050" s="8"/>
      <c r="Y1050" s="8"/>
      <c r="Z1050" s="8"/>
    </row>
    <row r="1051" spans="1:26" ht="13.2">
      <c r="A1051" s="13">
        <v>44250.53398148148</v>
      </c>
      <c r="B1051" s="6" t="str">
        <f>HYPERLINK("https://twitter.com/MetiaFintech","@MetiaFintech")</f>
        <v>@MetiaFintech</v>
      </c>
      <c r="C1051" s="14" t="s">
        <v>4715</v>
      </c>
      <c r="D1051" s="14" t="s">
        <v>4716</v>
      </c>
      <c r="E1051" s="6" t="str">
        <f>HYPERLINK("https://twitter.com/MetiaFintech/status/1364180438147862532","1364180438147862532")</f>
        <v>1364180438147862532</v>
      </c>
      <c r="F1051" s="7" t="s">
        <v>4717</v>
      </c>
      <c r="G1051" s="8"/>
      <c r="H1051" s="8"/>
      <c r="I1051" s="14">
        <v>0</v>
      </c>
      <c r="J1051" s="14">
        <v>1</v>
      </c>
      <c r="K1051" s="6" t="str">
        <f t="shared" ref="K1051:K1052" si="168">HYPERLINK("https://mobile.twitter.com","Twitter Web App")</f>
        <v>Twitter Web App</v>
      </c>
      <c r="L1051" s="15">
        <v>2465</v>
      </c>
      <c r="M1051" s="15">
        <v>2336</v>
      </c>
      <c r="N1051" s="15">
        <v>392</v>
      </c>
      <c r="O1051" s="9"/>
      <c r="P1051" s="10">
        <v>39832.768900462965</v>
      </c>
      <c r="Q1051" s="14" t="s">
        <v>650</v>
      </c>
      <c r="R1051" s="14" t="s">
        <v>4718</v>
      </c>
      <c r="S1051" s="7" t="s">
        <v>4719</v>
      </c>
      <c r="T1051" s="8"/>
      <c r="U1051" s="11" t="str">
        <f>HYPERLINK("https://pbs.twimg.com/profile_images/834816444848304128/sBTs0vXr.jpg","View")</f>
        <v>View</v>
      </c>
      <c r="V1051" s="8"/>
      <c r="W1051" s="8"/>
      <c r="X1051" s="8"/>
      <c r="Y1051" s="8"/>
      <c r="Z1051" s="8"/>
    </row>
    <row r="1052" spans="1:26" ht="13.2">
      <c r="A1052" s="13">
        <v>44250.532870370371</v>
      </c>
      <c r="B1052" s="6" t="str">
        <f>HYPERLINK("https://twitter.com/ajayram198","@ajayram198")</f>
        <v>@ajayram198</v>
      </c>
      <c r="C1052" s="14" t="s">
        <v>4720</v>
      </c>
      <c r="D1052" s="14" t="s">
        <v>4721</v>
      </c>
      <c r="E1052" s="6" t="str">
        <f>HYPERLINK("https://twitter.com/ajayram198/status/1364180034114609155","1364180034114609155")</f>
        <v>1364180034114609155</v>
      </c>
      <c r="F1052" s="7" t="s">
        <v>4722</v>
      </c>
      <c r="G1052" s="8"/>
      <c r="H1052" s="8"/>
      <c r="I1052" s="14">
        <v>2</v>
      </c>
      <c r="J1052" s="14">
        <v>2</v>
      </c>
      <c r="K1052" s="6" t="str">
        <f t="shared" si="168"/>
        <v>Twitter Web App</v>
      </c>
      <c r="L1052" s="15">
        <v>332</v>
      </c>
      <c r="M1052" s="15">
        <v>1140</v>
      </c>
      <c r="N1052" s="15">
        <v>12</v>
      </c>
      <c r="O1052" s="9"/>
      <c r="P1052" s="10">
        <v>41655.395821759259</v>
      </c>
      <c r="Q1052" s="14" t="s">
        <v>3685</v>
      </c>
      <c r="R1052" s="14" t="s">
        <v>4723</v>
      </c>
      <c r="S1052" s="7" t="s">
        <v>4724</v>
      </c>
      <c r="T1052" s="8"/>
      <c r="U1052" s="11" t="str">
        <f>HYPERLINK("https://pbs.twimg.com/profile_images/423752957595623424/msdzJRlv.jpeg","View")</f>
        <v>View</v>
      </c>
      <c r="V1052" s="8"/>
      <c r="W1052" s="8"/>
      <c r="X1052" s="8"/>
      <c r="Y1052" s="8"/>
      <c r="Z1052" s="8"/>
    </row>
    <row r="1053" spans="1:26" ht="13.2">
      <c r="A1053" s="13">
        <v>44250.532824074078</v>
      </c>
      <c r="B1053" s="6" t="str">
        <f>HYPERLINK("https://twitter.com/DataAugmented","@DataAugmented")</f>
        <v>@DataAugmented</v>
      </c>
      <c r="C1053" s="14" t="s">
        <v>1067</v>
      </c>
      <c r="D1053" s="14" t="s">
        <v>4725</v>
      </c>
      <c r="E1053" s="6" t="str">
        <f>HYPERLINK("https://twitter.com/DataAugmented/status/1364180018507620353","1364180018507620353")</f>
        <v>1364180018507620353</v>
      </c>
      <c r="F1053" s="7" t="s">
        <v>302</v>
      </c>
      <c r="G1053" s="8"/>
      <c r="H1053" s="8"/>
      <c r="I1053" s="14">
        <v>1</v>
      </c>
      <c r="J1053" s="14">
        <v>2</v>
      </c>
      <c r="K1053" s="6" t="str">
        <f>HYPERLINK("https://gamer-geek-news.com","DataScienceInfo")</f>
        <v>DataScienceInfo</v>
      </c>
      <c r="L1053" s="15">
        <v>6506</v>
      </c>
      <c r="M1053" s="15">
        <v>6648</v>
      </c>
      <c r="N1053" s="15">
        <v>85</v>
      </c>
      <c r="O1053" s="9"/>
      <c r="P1053" s="10">
        <v>43798.394791666666</v>
      </c>
      <c r="Q1053" s="8"/>
      <c r="R1053" s="14" t="s">
        <v>1069</v>
      </c>
      <c r="S1053" s="7" t="s">
        <v>1070</v>
      </c>
      <c r="T1053" s="8"/>
      <c r="U1053" s="11" t="str">
        <f>HYPERLINK("https://pbs.twimg.com/profile_images/1302170997328621568/kxZYcsFI.jpg","View")</f>
        <v>View</v>
      </c>
      <c r="V1053" s="8"/>
      <c r="W1053" s="8"/>
      <c r="X1053" s="8"/>
      <c r="Y1053" s="8"/>
      <c r="Z1053" s="8"/>
    </row>
    <row r="1054" spans="1:26" ht="13.2">
      <c r="A1054" s="13">
        <v>44250.532650462963</v>
      </c>
      <c r="B1054" s="6" t="str">
        <f t="shared" ref="B1054:B1058" si="169">HYPERLINK("https://twitter.com/jf_transcendent","@jf_transcendent")</f>
        <v>@jf_transcendent</v>
      </c>
      <c r="C1054" s="14" t="s">
        <v>4726</v>
      </c>
      <c r="D1054" s="14" t="s">
        <v>4727</v>
      </c>
      <c r="E1054" s="6" t="str">
        <f>HYPERLINK("https://twitter.com/jf_transcendent/status/1364179957685964804","1364179957685964804")</f>
        <v>1364179957685964804</v>
      </c>
      <c r="F1054" s="7" t="s">
        <v>4728</v>
      </c>
      <c r="G1054" s="8"/>
      <c r="H1054" s="8"/>
      <c r="I1054" s="14">
        <v>3</v>
      </c>
      <c r="J1054" s="14">
        <v>3</v>
      </c>
      <c r="K1054" s="6" t="str">
        <f t="shared" ref="K1054:K1059" si="170">HYPERLINK("https://mobile.twitter.com","Twitter Web App")</f>
        <v>Twitter Web App</v>
      </c>
      <c r="L1054" s="15">
        <v>39</v>
      </c>
      <c r="M1054" s="15">
        <v>58</v>
      </c>
      <c r="N1054" s="15">
        <v>5</v>
      </c>
      <c r="O1054" s="9"/>
      <c r="P1054" s="10">
        <v>40446.024363425924</v>
      </c>
      <c r="Q1054" s="8"/>
      <c r="R1054" s="14" t="s">
        <v>4729</v>
      </c>
      <c r="S1054" s="8"/>
      <c r="T1054" s="8"/>
      <c r="U1054" s="11" t="str">
        <f t="shared" ref="U1054:U1058" si="171">HYPERLINK("https://pbs.twimg.com/profile_images/1175185698/Picture_001.jpg","View")</f>
        <v>View</v>
      </c>
      <c r="V1054" s="8"/>
      <c r="W1054" s="8"/>
      <c r="X1054" s="8"/>
      <c r="Y1054" s="8"/>
      <c r="Z1054" s="8"/>
    </row>
    <row r="1055" spans="1:26" ht="13.2">
      <c r="A1055" s="13">
        <v>44250.532592592594</v>
      </c>
      <c r="B1055" s="6" t="str">
        <f t="shared" si="169"/>
        <v>@jf_transcendent</v>
      </c>
      <c r="C1055" s="14" t="s">
        <v>4726</v>
      </c>
      <c r="D1055" s="14" t="s">
        <v>4730</v>
      </c>
      <c r="E1055" s="6" t="str">
        <f>HYPERLINK("https://twitter.com/jf_transcendent/status/1364179934839668738","1364179934839668738")</f>
        <v>1364179934839668738</v>
      </c>
      <c r="F1055" s="7" t="s">
        <v>4731</v>
      </c>
      <c r="G1055" s="8"/>
      <c r="H1055" s="8"/>
      <c r="I1055" s="14">
        <v>6</v>
      </c>
      <c r="J1055" s="14">
        <v>5</v>
      </c>
      <c r="K1055" s="6" t="str">
        <f t="shared" si="170"/>
        <v>Twitter Web App</v>
      </c>
      <c r="L1055" s="15">
        <v>39</v>
      </c>
      <c r="M1055" s="15">
        <v>58</v>
      </c>
      <c r="N1055" s="15">
        <v>5</v>
      </c>
      <c r="O1055" s="9"/>
      <c r="P1055" s="10">
        <v>40446.024363425924</v>
      </c>
      <c r="Q1055" s="8"/>
      <c r="R1055" s="14" t="s">
        <v>4729</v>
      </c>
      <c r="S1055" s="8"/>
      <c r="T1055" s="8"/>
      <c r="U1055" s="11" t="str">
        <f t="shared" si="171"/>
        <v>View</v>
      </c>
      <c r="V1055" s="8"/>
      <c r="W1055" s="8"/>
      <c r="X1055" s="8"/>
      <c r="Y1055" s="8"/>
      <c r="Z1055" s="8"/>
    </row>
    <row r="1056" spans="1:26" ht="13.2">
      <c r="A1056" s="13">
        <v>44250.532523148147</v>
      </c>
      <c r="B1056" s="6" t="str">
        <f t="shared" si="169"/>
        <v>@jf_transcendent</v>
      </c>
      <c r="C1056" s="14" t="s">
        <v>4726</v>
      </c>
      <c r="D1056" s="14" t="s">
        <v>4732</v>
      </c>
      <c r="E1056" s="6" t="str">
        <f>HYPERLINK("https://twitter.com/jf_transcendent/status/1364179909946470403","1364179909946470403")</f>
        <v>1364179909946470403</v>
      </c>
      <c r="F1056" s="7" t="s">
        <v>4733</v>
      </c>
      <c r="G1056" s="8"/>
      <c r="H1056" s="8"/>
      <c r="I1056" s="14">
        <v>1</v>
      </c>
      <c r="J1056" s="14">
        <v>3</v>
      </c>
      <c r="K1056" s="6" t="str">
        <f t="shared" si="170"/>
        <v>Twitter Web App</v>
      </c>
      <c r="L1056" s="15">
        <v>39</v>
      </c>
      <c r="M1056" s="15">
        <v>58</v>
      </c>
      <c r="N1056" s="15">
        <v>5</v>
      </c>
      <c r="O1056" s="9"/>
      <c r="P1056" s="10">
        <v>40446.024363425924</v>
      </c>
      <c r="Q1056" s="8"/>
      <c r="R1056" s="14" t="s">
        <v>4729</v>
      </c>
      <c r="S1056" s="8"/>
      <c r="T1056" s="8"/>
      <c r="U1056" s="11" t="str">
        <f t="shared" si="171"/>
        <v>View</v>
      </c>
      <c r="V1056" s="8"/>
      <c r="W1056" s="8"/>
      <c r="X1056" s="8"/>
      <c r="Y1056" s="8"/>
      <c r="Z1056" s="8"/>
    </row>
    <row r="1057" spans="1:26" ht="13.2">
      <c r="A1057" s="13">
        <v>44250.532453703709</v>
      </c>
      <c r="B1057" s="6" t="str">
        <f t="shared" si="169"/>
        <v>@jf_transcendent</v>
      </c>
      <c r="C1057" s="14" t="s">
        <v>4726</v>
      </c>
      <c r="D1057" s="14" t="s">
        <v>4734</v>
      </c>
      <c r="E1057" s="6" t="str">
        <f>HYPERLINK("https://twitter.com/jf_transcendent/status/1364179886118559753","1364179886118559753")</f>
        <v>1364179886118559753</v>
      </c>
      <c r="F1057" s="7" t="s">
        <v>4735</v>
      </c>
      <c r="G1057" s="8"/>
      <c r="H1057" s="8"/>
      <c r="I1057" s="14">
        <v>3</v>
      </c>
      <c r="J1057" s="14">
        <v>3</v>
      </c>
      <c r="K1057" s="6" t="str">
        <f t="shared" si="170"/>
        <v>Twitter Web App</v>
      </c>
      <c r="L1057" s="15">
        <v>39</v>
      </c>
      <c r="M1057" s="15">
        <v>58</v>
      </c>
      <c r="N1057" s="15">
        <v>5</v>
      </c>
      <c r="O1057" s="9"/>
      <c r="P1057" s="10">
        <v>40446.024363425924</v>
      </c>
      <c r="Q1057" s="8"/>
      <c r="R1057" s="14" t="s">
        <v>4729</v>
      </c>
      <c r="S1057" s="8"/>
      <c r="T1057" s="8"/>
      <c r="U1057" s="11" t="str">
        <f t="shared" si="171"/>
        <v>View</v>
      </c>
      <c r="V1057" s="8"/>
      <c r="W1057" s="8"/>
      <c r="X1057" s="8"/>
      <c r="Y1057" s="8"/>
      <c r="Z1057" s="8"/>
    </row>
    <row r="1058" spans="1:26" ht="13.2">
      <c r="A1058" s="13">
        <v>44250.532384259262</v>
      </c>
      <c r="B1058" s="6" t="str">
        <f t="shared" si="169"/>
        <v>@jf_transcendent</v>
      </c>
      <c r="C1058" s="14" t="s">
        <v>4726</v>
      </c>
      <c r="D1058" s="14" t="s">
        <v>4736</v>
      </c>
      <c r="E1058" s="6" t="str">
        <f>HYPERLINK("https://twitter.com/jf_transcendent/status/1364179858784280578","1364179858784280578")</f>
        <v>1364179858784280578</v>
      </c>
      <c r="F1058" s="7" t="s">
        <v>4737</v>
      </c>
      <c r="G1058" s="8"/>
      <c r="H1058" s="8"/>
      <c r="I1058" s="14">
        <v>1</v>
      </c>
      <c r="J1058" s="14">
        <v>2</v>
      </c>
      <c r="K1058" s="6" t="str">
        <f t="shared" si="170"/>
        <v>Twitter Web App</v>
      </c>
      <c r="L1058" s="15">
        <v>39</v>
      </c>
      <c r="M1058" s="15">
        <v>58</v>
      </c>
      <c r="N1058" s="15">
        <v>5</v>
      </c>
      <c r="O1058" s="9"/>
      <c r="P1058" s="10">
        <v>40446.024363425924</v>
      </c>
      <c r="Q1058" s="8"/>
      <c r="R1058" s="14" t="s">
        <v>4729</v>
      </c>
      <c r="S1058" s="8"/>
      <c r="T1058" s="8"/>
      <c r="U1058" s="11" t="str">
        <f t="shared" si="171"/>
        <v>View</v>
      </c>
      <c r="V1058" s="8"/>
      <c r="W1058" s="8"/>
      <c r="X1058" s="8"/>
      <c r="Y1058" s="8"/>
      <c r="Z1058" s="8"/>
    </row>
    <row r="1059" spans="1:26" ht="13.2">
      <c r="A1059" s="13">
        <v>44250.532210648147</v>
      </c>
      <c r="B1059" s="6" t="str">
        <f>HYPERLINK("https://twitter.com/Social_Molly","@Social_Molly")</f>
        <v>@Social_Molly</v>
      </c>
      <c r="C1059" s="14" t="s">
        <v>3631</v>
      </c>
      <c r="D1059" s="14" t="s">
        <v>4738</v>
      </c>
      <c r="E1059" s="6" t="str">
        <f>HYPERLINK("https://twitter.com/Social_Molly/status/1364179795144179721","1364179795144179721")</f>
        <v>1364179795144179721</v>
      </c>
      <c r="F1059" s="7" t="s">
        <v>4739</v>
      </c>
      <c r="G1059" s="7" t="s">
        <v>4740</v>
      </c>
      <c r="H1059" s="8"/>
      <c r="I1059" s="14">
        <v>3</v>
      </c>
      <c r="J1059" s="14">
        <v>6</v>
      </c>
      <c r="K1059" s="6" t="str">
        <f t="shared" si="170"/>
        <v>Twitter Web App</v>
      </c>
      <c r="L1059" s="15">
        <v>12130</v>
      </c>
      <c r="M1059" s="15">
        <v>6463</v>
      </c>
      <c r="N1059" s="15">
        <v>103</v>
      </c>
      <c r="O1059" s="9"/>
      <c r="P1059" s="10">
        <v>43174.238796296297</v>
      </c>
      <c r="Q1059" s="14" t="s">
        <v>3635</v>
      </c>
      <c r="R1059" s="14" t="s">
        <v>3636</v>
      </c>
      <c r="S1059" s="8"/>
      <c r="T1059" s="8"/>
      <c r="U1059" s="11" t="str">
        <f>HYPERLINK("https://pbs.twimg.com/profile_images/981743224749408256/OTsOfujW.jpg","View")</f>
        <v>View</v>
      </c>
      <c r="V1059" s="8"/>
      <c r="W1059" s="8"/>
      <c r="X1059" s="8"/>
      <c r="Y1059" s="8"/>
      <c r="Z1059" s="8"/>
    </row>
    <row r="1060" spans="1:26" ht="13.2">
      <c r="A1060" s="13">
        <v>44250.531817129631</v>
      </c>
      <c r="B1060" s="6" t="str">
        <f>HYPERLINK("https://twitter.com/BrainkeyAI","@BrainkeyAI")</f>
        <v>@BrainkeyAI</v>
      </c>
      <c r="C1060" s="14" t="s">
        <v>4741</v>
      </c>
      <c r="D1060" s="14" t="s">
        <v>4742</v>
      </c>
      <c r="E1060" s="6" t="str">
        <f>HYPERLINK("https://twitter.com/BrainkeyAI/status/1364179652823162883","1364179652823162883")</f>
        <v>1364179652823162883</v>
      </c>
      <c r="F1060" s="7" t="s">
        <v>4743</v>
      </c>
      <c r="G1060" s="7" t="s">
        <v>4744</v>
      </c>
      <c r="H1060" s="8"/>
      <c r="I1060" s="14">
        <v>0</v>
      </c>
      <c r="J1060" s="14">
        <v>2</v>
      </c>
      <c r="K1060" s="6" t="str">
        <f>HYPERLINK("https://www.hootsuite.com","Hootsuite Inc.")</f>
        <v>Hootsuite Inc.</v>
      </c>
      <c r="L1060" s="15">
        <v>64</v>
      </c>
      <c r="M1060" s="15">
        <v>40</v>
      </c>
      <c r="N1060" s="15">
        <v>3</v>
      </c>
      <c r="O1060" s="9"/>
      <c r="P1060" s="10">
        <v>43370.859652777777</v>
      </c>
      <c r="Q1060" s="14" t="s">
        <v>390</v>
      </c>
      <c r="R1060" s="14" t="s">
        <v>4745</v>
      </c>
      <c r="S1060" s="7" t="s">
        <v>4746</v>
      </c>
      <c r="T1060" s="8"/>
      <c r="U1060" s="11" t="str">
        <f>HYPERLINK("https://pbs.twimg.com/profile_images/1152325203092881408/RkZk3rGa.png","View")</f>
        <v>View</v>
      </c>
      <c r="V1060" s="8"/>
      <c r="W1060" s="8"/>
      <c r="X1060" s="8"/>
      <c r="Y1060" s="8"/>
      <c r="Z1060" s="8"/>
    </row>
    <row r="1061" spans="1:26" ht="13.2">
      <c r="A1061" s="13">
        <v>44250.531793981485</v>
      </c>
      <c r="B1061" s="6" t="str">
        <f>HYPERLINK("https://twitter.com/Harry_Robots","@Harry_Robots")</f>
        <v>@Harry_Robots</v>
      </c>
      <c r="C1061" s="14" t="s">
        <v>3592</v>
      </c>
      <c r="D1061" s="14" t="s">
        <v>4747</v>
      </c>
      <c r="E1061" s="6" t="str">
        <f>HYPERLINK("https://twitter.com/Harry_Robots/status/1364179645516697600","1364179645516697600")</f>
        <v>1364179645516697600</v>
      </c>
      <c r="F1061" s="7" t="s">
        <v>4748</v>
      </c>
      <c r="G1061" s="7" t="s">
        <v>4749</v>
      </c>
      <c r="H1061" s="8"/>
      <c r="I1061" s="14">
        <v>2</v>
      </c>
      <c r="J1061" s="14">
        <v>3</v>
      </c>
      <c r="K1061" s="6" t="str">
        <f>HYPERLINK("https://mobile.twitter.com","Twitter Web App")</f>
        <v>Twitter Web App</v>
      </c>
      <c r="L1061" s="15">
        <v>14305</v>
      </c>
      <c r="M1061" s="15">
        <v>6985</v>
      </c>
      <c r="N1061" s="15">
        <v>126</v>
      </c>
      <c r="O1061" s="9"/>
      <c r="P1061" s="10">
        <v>43173.544861111106</v>
      </c>
      <c r="Q1061" s="14" t="s">
        <v>3596</v>
      </c>
      <c r="R1061" s="14" t="s">
        <v>3597</v>
      </c>
      <c r="S1061" s="7" t="s">
        <v>3598</v>
      </c>
      <c r="T1061" s="8"/>
      <c r="U1061" s="11" t="str">
        <f>HYPERLINK("https://pbs.twimg.com/profile_images/980134048214409216/9hzujrdU.jpg","View")</f>
        <v>View</v>
      </c>
      <c r="V1061" s="8"/>
      <c r="W1061" s="8"/>
      <c r="X1061" s="8"/>
      <c r="Y1061" s="8"/>
      <c r="Z1061" s="8"/>
    </row>
    <row r="1062" spans="1:26" ht="13.2">
      <c r="A1062" s="13">
        <v>44250.531678240739</v>
      </c>
      <c r="B1062" s="6" t="str">
        <f>HYPERLINK("https://twitter.com/ai_summary","@ai_summary")</f>
        <v>@ai_summary</v>
      </c>
      <c r="C1062" s="14" t="s">
        <v>528</v>
      </c>
      <c r="D1062" s="14" t="s">
        <v>4750</v>
      </c>
      <c r="E1062" s="6" t="str">
        <f>HYPERLINK("https://twitter.com/ai_summary/status/1364179604915818497","1364179604915818497")</f>
        <v>1364179604915818497</v>
      </c>
      <c r="F1062" s="7" t="s">
        <v>4751</v>
      </c>
      <c r="G1062" s="8"/>
      <c r="H1062" s="8"/>
      <c r="I1062" s="14">
        <v>11</v>
      </c>
      <c r="J1062" s="14">
        <v>4</v>
      </c>
      <c r="K1062" s="8"/>
      <c r="L1062" s="15">
        <v>47</v>
      </c>
      <c r="M1062" s="15">
        <v>7</v>
      </c>
      <c r="N1062" s="15">
        <v>2</v>
      </c>
      <c r="O1062" s="9"/>
      <c r="P1062" s="10">
        <v>44039.504699074074</v>
      </c>
      <c r="Q1062" s="8"/>
      <c r="R1062" s="14" t="s">
        <v>531</v>
      </c>
      <c r="S1062" s="8"/>
      <c r="T1062" s="8"/>
      <c r="U1062" s="11" t="str">
        <f>HYPERLINK("https://pbs.twimg.com/profile_images/1315240281206382592/-i10o6Yg.jpg","View")</f>
        <v>View</v>
      </c>
      <c r="V1062" s="8"/>
      <c r="W1062" s="8"/>
      <c r="X1062" s="8"/>
      <c r="Y1062" s="8"/>
      <c r="Z1062" s="8"/>
    </row>
    <row r="1063" spans="1:26" ht="13.2">
      <c r="A1063" s="13">
        <v>44250.531331018516</v>
      </c>
      <c r="B1063" s="6" t="str">
        <f>HYPERLINK("https://twitter.com/Prashanth_NS","@Prashanth_NS")</f>
        <v>@Prashanth_NS</v>
      </c>
      <c r="C1063" s="14" t="s">
        <v>4423</v>
      </c>
      <c r="D1063" s="14" t="s">
        <v>4752</v>
      </c>
      <c r="E1063" s="6" t="str">
        <f>HYPERLINK("https://twitter.com/Prashanth_NS/status/1364179479464091649","1364179479464091649")</f>
        <v>1364179479464091649</v>
      </c>
      <c r="F1063" s="7" t="s">
        <v>4425</v>
      </c>
      <c r="G1063" s="8"/>
      <c r="H1063" s="8"/>
      <c r="I1063" s="14">
        <v>19</v>
      </c>
      <c r="J1063" s="14">
        <v>5</v>
      </c>
      <c r="K1063" s="6" t="str">
        <f>HYPERLINK("http://twitter.com/download/android","Twitter for Android")</f>
        <v>Twitter for Android</v>
      </c>
      <c r="L1063" s="15">
        <v>1167</v>
      </c>
      <c r="M1063" s="15">
        <v>53</v>
      </c>
      <c r="N1063" s="15">
        <v>140</v>
      </c>
      <c r="O1063" s="9"/>
      <c r="P1063" s="10">
        <v>42120.421909722223</v>
      </c>
      <c r="Q1063" s="14" t="s">
        <v>1742</v>
      </c>
      <c r="R1063" s="14" t="s">
        <v>4426</v>
      </c>
      <c r="S1063" s="8"/>
      <c r="T1063" s="8"/>
      <c r="U1063" s="11" t="str">
        <f>HYPERLINK("https://pbs.twimg.com/profile_images/1301374040414674945/J38_bT2D.jpg","View")</f>
        <v>View</v>
      </c>
      <c r="V1063" s="8"/>
      <c r="W1063" s="8"/>
      <c r="X1063" s="8"/>
      <c r="Y1063" s="8"/>
      <c r="Z1063" s="8"/>
    </row>
    <row r="1064" spans="1:26" ht="13.2">
      <c r="A1064" s="13">
        <v>44250.531134259261</v>
      </c>
      <c r="B1064" s="6" t="str">
        <f>HYPERLINK("https://twitter.com/AdrianMargin","@AdrianMargin")</f>
        <v>@AdrianMargin</v>
      </c>
      <c r="C1064" s="14" t="s">
        <v>4753</v>
      </c>
      <c r="D1064" s="14" t="s">
        <v>4754</v>
      </c>
      <c r="E1064" s="6" t="str">
        <f>HYPERLINK("https://twitter.com/AdrianMargin/status/1364179406650925056","1364179406650925056")</f>
        <v>1364179406650925056</v>
      </c>
      <c r="F1064" s="14" t="s">
        <v>4755</v>
      </c>
      <c r="G1064" s="8"/>
      <c r="H1064" s="8"/>
      <c r="I1064" s="14">
        <v>0</v>
      </c>
      <c r="J1064" s="14">
        <v>0</v>
      </c>
      <c r="K1064" s="6" t="str">
        <f>HYPERLINK("http://www.linkedin.com/","LinkedIn")</f>
        <v>LinkedIn</v>
      </c>
      <c r="L1064" s="15">
        <v>126</v>
      </c>
      <c r="M1064" s="15">
        <v>144</v>
      </c>
      <c r="N1064" s="15">
        <v>1</v>
      </c>
      <c r="O1064" s="9"/>
      <c r="P1064" s="10">
        <v>41025.674641203703</v>
      </c>
      <c r="Q1064" s="8"/>
      <c r="R1064" s="8"/>
      <c r="S1064" s="8"/>
      <c r="T1064" s="8"/>
      <c r="U1064" s="11" t="str">
        <f>HYPERLINK("https://pbs.twimg.com/profile_images/1031956900307456001/B40Du8A3.jpg","View")</f>
        <v>View</v>
      </c>
      <c r="V1064" s="8"/>
      <c r="W1064" s="8"/>
      <c r="X1064" s="8"/>
      <c r="Y1064" s="8"/>
      <c r="Z1064" s="8"/>
    </row>
    <row r="1065" spans="1:26" ht="13.2">
      <c r="A1065" s="13">
        <v>44250.531030092592</v>
      </c>
      <c r="B1065" s="6" t="str">
        <f>HYPERLINK("https://twitter.com/PandhareSidhesh","@PandhareSidhesh")</f>
        <v>@PandhareSidhesh</v>
      </c>
      <c r="C1065" s="14" t="s">
        <v>2399</v>
      </c>
      <c r="D1065" s="14" t="s">
        <v>3629</v>
      </c>
      <c r="E1065" s="6" t="str">
        <f>HYPERLINK("https://twitter.com/PandhareSidhesh/status/1364179368482865154","1364179368482865154")</f>
        <v>1364179368482865154</v>
      </c>
      <c r="F1065" s="14" t="s">
        <v>3630</v>
      </c>
      <c r="G1065" s="8"/>
      <c r="H1065" s="8"/>
      <c r="I1065" s="14">
        <v>1</v>
      </c>
      <c r="J1065" s="14">
        <v>1</v>
      </c>
      <c r="K1065" s="6" t="str">
        <f t="shared" ref="K1065:K1067" si="172">HYPERLINK("http://twinybots.com","TwinyBots")</f>
        <v>TwinyBots</v>
      </c>
      <c r="L1065" s="15">
        <v>811</v>
      </c>
      <c r="M1065" s="15">
        <v>965</v>
      </c>
      <c r="N1065" s="15">
        <v>17</v>
      </c>
      <c r="O1065" s="9"/>
      <c r="P1065" s="10">
        <v>41917.38753472222</v>
      </c>
      <c r="Q1065" s="14" t="s">
        <v>2167</v>
      </c>
      <c r="R1065" s="14" t="s">
        <v>2400</v>
      </c>
      <c r="S1065" s="7" t="s">
        <v>2401</v>
      </c>
      <c r="T1065" s="8"/>
      <c r="U1065" s="11" t="str">
        <f>HYPERLINK("https://pbs.twimg.com/profile_images/1089412063355637761/6l3zV4bs.jpg","View")</f>
        <v>View</v>
      </c>
      <c r="V1065" s="8"/>
      <c r="W1065" s="8"/>
      <c r="X1065" s="8"/>
      <c r="Y1065" s="8"/>
      <c r="Z1065" s="8"/>
    </row>
    <row r="1066" spans="1:26" ht="13.2">
      <c r="A1066" s="13">
        <v>44250.531030092592</v>
      </c>
      <c r="B1066" s="6" t="str">
        <f>HYPERLINK("https://twitter.com/cornichecorp","@cornichecorp")</f>
        <v>@cornichecorp</v>
      </c>
      <c r="C1066" s="14" t="s">
        <v>2271</v>
      </c>
      <c r="D1066" s="14" t="s">
        <v>3629</v>
      </c>
      <c r="E1066" s="6" t="str">
        <f>HYPERLINK("https://twitter.com/cornichecorp/status/1364179368470323202","1364179368470323202")</f>
        <v>1364179368470323202</v>
      </c>
      <c r="F1066" s="14" t="s">
        <v>3630</v>
      </c>
      <c r="G1066" s="8"/>
      <c r="H1066" s="8"/>
      <c r="I1066" s="14">
        <v>1</v>
      </c>
      <c r="J1066" s="14">
        <v>1</v>
      </c>
      <c r="K1066" s="6" t="str">
        <f t="shared" si="172"/>
        <v>TwinyBots</v>
      </c>
      <c r="L1066" s="15">
        <v>2349</v>
      </c>
      <c r="M1066" s="15">
        <v>2163</v>
      </c>
      <c r="N1066" s="15">
        <v>30</v>
      </c>
      <c r="O1066" s="9"/>
      <c r="P1066" s="10">
        <v>42246.917499999996</v>
      </c>
      <c r="Q1066" s="14" t="s">
        <v>2274</v>
      </c>
      <c r="R1066" s="14" t="s">
        <v>2275</v>
      </c>
      <c r="S1066" s="8"/>
      <c r="T1066" s="8"/>
      <c r="U1066" s="11" t="str">
        <f>HYPERLINK("https://pbs.twimg.com/profile_images/1135863200396775424/vPe8Htor.png","View")</f>
        <v>View</v>
      </c>
      <c r="V1066" s="8"/>
      <c r="W1066" s="8"/>
      <c r="X1066" s="8"/>
      <c r="Y1066" s="8"/>
      <c r="Z1066" s="8"/>
    </row>
    <row r="1067" spans="1:26" ht="13.2">
      <c r="A1067" s="13">
        <v>44250.530960648146</v>
      </c>
      <c r="B1067" s="6" t="str">
        <f>HYPERLINK("https://twitter.com/corizance","@corizance")</f>
        <v>@corizance</v>
      </c>
      <c r="C1067" s="14" t="s">
        <v>2550</v>
      </c>
      <c r="D1067" s="14" t="s">
        <v>4756</v>
      </c>
      <c r="E1067" s="6" t="str">
        <f>HYPERLINK("https://twitter.com/corizance/status/1364179345930149889","1364179345930149889")</f>
        <v>1364179345930149889</v>
      </c>
      <c r="F1067" s="14" t="s">
        <v>4757</v>
      </c>
      <c r="G1067" s="8"/>
      <c r="H1067" s="8"/>
      <c r="I1067" s="14">
        <v>0</v>
      </c>
      <c r="J1067" s="14">
        <v>1</v>
      </c>
      <c r="K1067" s="6" t="str">
        <f t="shared" si="172"/>
        <v>TwinyBots</v>
      </c>
      <c r="L1067" s="15">
        <v>488</v>
      </c>
      <c r="M1067" s="15">
        <v>434</v>
      </c>
      <c r="N1067" s="15">
        <v>13</v>
      </c>
      <c r="O1067" s="9"/>
      <c r="P1067" s="10">
        <v>43789.49145833333</v>
      </c>
      <c r="Q1067" s="14" t="s">
        <v>2551</v>
      </c>
      <c r="R1067" s="14" t="s">
        <v>2552</v>
      </c>
      <c r="S1067" s="7" t="s">
        <v>2553</v>
      </c>
      <c r="T1067" s="8"/>
      <c r="U1067" s="11" t="str">
        <f>HYPERLINK("https://pbs.twimg.com/profile_images/1223176339697565697/q38i7r9K.jpg","View")</f>
        <v>View</v>
      </c>
      <c r="V1067" s="8"/>
      <c r="W1067" s="8"/>
      <c r="X1067" s="8"/>
      <c r="Y1067" s="8"/>
      <c r="Z1067" s="8"/>
    </row>
    <row r="1068" spans="1:26" ht="13.2">
      <c r="A1068" s="13">
        <v>44250.529722222222</v>
      </c>
      <c r="B1068" s="6" t="str">
        <f t="shared" ref="B1068:B1070" si="173">HYPERLINK("https://twitter.com/into_AI","@into_AI")</f>
        <v>@into_AI</v>
      </c>
      <c r="C1068" s="14" t="s">
        <v>2021</v>
      </c>
      <c r="D1068" s="14" t="s">
        <v>4758</v>
      </c>
      <c r="E1068" s="6" t="str">
        <f>HYPERLINK("https://twitter.com/into_AI/status/1364178895776456704","1364178895776456704")</f>
        <v>1364178895776456704</v>
      </c>
      <c r="F1068" s="7" t="s">
        <v>4759</v>
      </c>
      <c r="G1068" s="8"/>
      <c r="H1068" s="8"/>
      <c r="I1068" s="14">
        <v>0</v>
      </c>
      <c r="J1068" s="14">
        <v>1</v>
      </c>
      <c r="K1068" s="6" t="str">
        <f t="shared" ref="K1068:K1070" si="174">HYPERLINK("http://into.AI","into.AI")</f>
        <v>into.AI</v>
      </c>
      <c r="L1068" s="15">
        <v>19374</v>
      </c>
      <c r="M1068" s="15">
        <v>1707</v>
      </c>
      <c r="N1068" s="15">
        <v>3164</v>
      </c>
      <c r="O1068" s="9"/>
      <c r="P1068" s="10">
        <v>42133.721620370372</v>
      </c>
      <c r="Q1068" s="14" t="s">
        <v>2024</v>
      </c>
      <c r="R1068" s="14" t="s">
        <v>2025</v>
      </c>
      <c r="S1068" s="7" t="s">
        <v>2026</v>
      </c>
      <c r="T1068" s="8"/>
      <c r="U1068" s="11" t="str">
        <f t="shared" ref="U1068:U1070" si="175">HYPERLINK("https://pbs.twimg.com/profile_images/967341160124608512/LM2Y5Q5m.jpg","View")</f>
        <v>View</v>
      </c>
      <c r="V1068" s="8"/>
      <c r="W1068" s="8"/>
      <c r="X1068" s="8"/>
      <c r="Y1068" s="8"/>
      <c r="Z1068" s="8"/>
    </row>
    <row r="1069" spans="1:26" ht="13.2">
      <c r="A1069" s="13">
        <v>44250.529594907406</v>
      </c>
      <c r="B1069" s="6" t="str">
        <f t="shared" si="173"/>
        <v>@into_AI</v>
      </c>
      <c r="C1069" s="14" t="s">
        <v>2021</v>
      </c>
      <c r="D1069" s="14" t="s">
        <v>4760</v>
      </c>
      <c r="E1069" s="6" t="str">
        <f>HYPERLINK("https://twitter.com/into_AI/status/1364178847521005571","1364178847521005571")</f>
        <v>1364178847521005571</v>
      </c>
      <c r="F1069" s="7" t="s">
        <v>4761</v>
      </c>
      <c r="G1069" s="8"/>
      <c r="H1069" s="8"/>
      <c r="I1069" s="14">
        <v>0</v>
      </c>
      <c r="J1069" s="14">
        <v>1</v>
      </c>
      <c r="K1069" s="6" t="str">
        <f t="shared" si="174"/>
        <v>into.AI</v>
      </c>
      <c r="L1069" s="15">
        <v>19374</v>
      </c>
      <c r="M1069" s="15">
        <v>1707</v>
      </c>
      <c r="N1069" s="15">
        <v>3164</v>
      </c>
      <c r="O1069" s="9"/>
      <c r="P1069" s="10">
        <v>42133.721620370372</v>
      </c>
      <c r="Q1069" s="14" t="s">
        <v>2024</v>
      </c>
      <c r="R1069" s="14" t="s">
        <v>2025</v>
      </c>
      <c r="S1069" s="7" t="s">
        <v>2026</v>
      </c>
      <c r="T1069" s="8"/>
      <c r="U1069" s="11" t="str">
        <f t="shared" si="175"/>
        <v>View</v>
      </c>
      <c r="V1069" s="8"/>
      <c r="W1069" s="8"/>
      <c r="X1069" s="8"/>
      <c r="Y1069" s="8"/>
      <c r="Z1069" s="8"/>
    </row>
    <row r="1070" spans="1:26" ht="13.2">
      <c r="A1070" s="13">
        <v>44250.529537037037</v>
      </c>
      <c r="B1070" s="6" t="str">
        <f t="shared" si="173"/>
        <v>@into_AI</v>
      </c>
      <c r="C1070" s="14" t="s">
        <v>2021</v>
      </c>
      <c r="D1070" s="14" t="s">
        <v>4762</v>
      </c>
      <c r="E1070" s="6" t="str">
        <f>HYPERLINK("https://twitter.com/into_AI/status/1364178826721439746","1364178826721439746")</f>
        <v>1364178826721439746</v>
      </c>
      <c r="F1070" s="7" t="s">
        <v>4763</v>
      </c>
      <c r="G1070" s="8"/>
      <c r="H1070" s="8"/>
      <c r="I1070" s="14">
        <v>0</v>
      </c>
      <c r="J1070" s="14">
        <v>1</v>
      </c>
      <c r="K1070" s="6" t="str">
        <f t="shared" si="174"/>
        <v>into.AI</v>
      </c>
      <c r="L1070" s="15">
        <v>19374</v>
      </c>
      <c r="M1070" s="15">
        <v>1707</v>
      </c>
      <c r="N1070" s="15">
        <v>3164</v>
      </c>
      <c r="O1070" s="9"/>
      <c r="P1070" s="10">
        <v>42133.721620370372</v>
      </c>
      <c r="Q1070" s="14" t="s">
        <v>2024</v>
      </c>
      <c r="R1070" s="14" t="s">
        <v>2025</v>
      </c>
      <c r="S1070" s="7" t="s">
        <v>2026</v>
      </c>
      <c r="T1070" s="8"/>
      <c r="U1070" s="11" t="str">
        <f t="shared" si="175"/>
        <v>View</v>
      </c>
      <c r="V1070" s="8"/>
      <c r="W1070" s="8"/>
      <c r="X1070" s="8"/>
      <c r="Y1070" s="8"/>
      <c r="Z1070" s="8"/>
    </row>
    <row r="1071" spans="1:26" ht="13.2">
      <c r="A1071" s="13">
        <v>44250.529282407406</v>
      </c>
      <c r="B1071" s="6" t="str">
        <f>HYPERLINK("https://twitter.com/UntergrundmannG","@UntergrundmannG")</f>
        <v>@UntergrundmannG</v>
      </c>
      <c r="C1071" s="14" t="s">
        <v>4764</v>
      </c>
      <c r="D1071" s="14" t="s">
        <v>4765</v>
      </c>
      <c r="E1071" s="6" t="str">
        <f>HYPERLINK("https://twitter.com/UntergrundmannG/status/1364178736539607042","1364178736539607042")</f>
        <v>1364178736539607042</v>
      </c>
      <c r="F1071" s="8"/>
      <c r="G1071" s="7" t="s">
        <v>4766</v>
      </c>
      <c r="H1071" s="8"/>
      <c r="I1071" s="14">
        <v>2</v>
      </c>
      <c r="J1071" s="14">
        <v>4</v>
      </c>
      <c r="K1071" s="6" t="str">
        <f>HYPERLINK("https://mobile.twitter.com","Twitter Web App")</f>
        <v>Twitter Web App</v>
      </c>
      <c r="L1071" s="15">
        <v>1934</v>
      </c>
      <c r="M1071" s="15">
        <v>539</v>
      </c>
      <c r="N1071" s="15">
        <v>34</v>
      </c>
      <c r="O1071" s="9"/>
      <c r="P1071" s="10">
        <v>43649.279907407406</v>
      </c>
      <c r="Q1071" s="14" t="s">
        <v>4767</v>
      </c>
      <c r="R1071" s="14" t="s">
        <v>4768</v>
      </c>
      <c r="S1071" s="8"/>
      <c r="T1071" s="8"/>
      <c r="U1071" s="11" t="str">
        <f>HYPERLINK("https://pbs.twimg.com/profile_images/1337016410736771072/yUgvRGyU.jpg","View")</f>
        <v>View</v>
      </c>
      <c r="V1071" s="8"/>
      <c r="W1071" s="8"/>
      <c r="X1071" s="8"/>
      <c r="Y1071" s="8"/>
      <c r="Z1071" s="8"/>
    </row>
    <row r="1072" spans="1:26" ht="13.2">
      <c r="A1072" s="13">
        <v>44250.529189814813</v>
      </c>
      <c r="B1072" s="6" t="str">
        <f>HYPERLINK("https://twitter.com/jobhunt_ai","@jobhunt_ai")</f>
        <v>@jobhunt_ai</v>
      </c>
      <c r="C1072" s="7" t="s">
        <v>4769</v>
      </c>
      <c r="D1072" s="14" t="s">
        <v>4770</v>
      </c>
      <c r="E1072" s="6" t="str">
        <f>HYPERLINK("https://twitter.com/jobhunt_ai/status/1364178700984606722","1364178700984606722")</f>
        <v>1364178700984606722</v>
      </c>
      <c r="F1072" s="7" t="s">
        <v>4771</v>
      </c>
      <c r="G1072" s="8"/>
      <c r="H1072" s="8"/>
      <c r="I1072" s="14">
        <v>0</v>
      </c>
      <c r="J1072" s="14">
        <v>3</v>
      </c>
      <c r="K1072" s="6" t="str">
        <f>HYPERLINK("https://jobhunt.ai/","Jobhunt.ai")</f>
        <v>Jobhunt.ai</v>
      </c>
      <c r="L1072" s="15">
        <v>184</v>
      </c>
      <c r="M1072" s="15">
        <v>400</v>
      </c>
      <c r="N1072" s="15">
        <v>7</v>
      </c>
      <c r="O1072" s="9"/>
      <c r="P1072" s="10">
        <v>43253.826724537037</v>
      </c>
      <c r="Q1072" s="8"/>
      <c r="R1072" s="14" t="s">
        <v>4772</v>
      </c>
      <c r="S1072" s="7" t="s">
        <v>4773</v>
      </c>
      <c r="T1072" s="8"/>
      <c r="U1072" s="11" t="str">
        <f>HYPERLINK("https://pbs.twimg.com/profile_images/1009761698608238592/b4Hxf8Mm.jpg","View")</f>
        <v>View</v>
      </c>
      <c r="V1072" s="8"/>
      <c r="W1072" s="8"/>
      <c r="X1072" s="8"/>
      <c r="Y1072" s="8"/>
      <c r="Z1072" s="8"/>
    </row>
    <row r="1073" spans="1:26" ht="13.2">
      <c r="A1073" s="13">
        <v>44250.528773148151</v>
      </c>
      <c r="B1073" s="6" t="str">
        <f>HYPERLINK("https://twitter.com/Slainstitute","@Slainstitute")</f>
        <v>@Slainstitute</v>
      </c>
      <c r="C1073" s="14" t="s">
        <v>4774</v>
      </c>
      <c r="D1073" s="14" t="s">
        <v>4775</v>
      </c>
      <c r="E1073" s="6" t="str">
        <f>HYPERLINK("https://twitter.com/Slainstitute/status/1364178552996814850","1364178552996814850")</f>
        <v>1364178552996814850</v>
      </c>
      <c r="F1073" s="8"/>
      <c r="G1073" s="7" t="s">
        <v>4776</v>
      </c>
      <c r="H1073" s="8"/>
      <c r="I1073" s="14">
        <v>8</v>
      </c>
      <c r="J1073" s="14">
        <v>1</v>
      </c>
      <c r="K1073" s="6" t="str">
        <f t="shared" ref="K1073:K1074" si="176">HYPERLINK("https://mobile.twitter.com","Twitter Web App")</f>
        <v>Twitter Web App</v>
      </c>
      <c r="L1073" s="15">
        <v>18</v>
      </c>
      <c r="M1073" s="15">
        <v>8</v>
      </c>
      <c r="N1073" s="15">
        <v>0</v>
      </c>
      <c r="O1073" s="9"/>
      <c r="P1073" s="10">
        <v>43508.568842592591</v>
      </c>
      <c r="Q1073" s="14" t="s">
        <v>4777</v>
      </c>
      <c r="R1073" s="14" t="s">
        <v>4778</v>
      </c>
      <c r="S1073" s="7" t="s">
        <v>4779</v>
      </c>
      <c r="T1073" s="8"/>
      <c r="U1073" s="11" t="str">
        <f>HYPERLINK("https://pbs.twimg.com/profile_images/1095306743767158785/zQ1Q771u.jpg","View")</f>
        <v>View</v>
      </c>
      <c r="V1073" s="8"/>
      <c r="W1073" s="8"/>
      <c r="X1073" s="8"/>
      <c r="Y1073" s="8"/>
      <c r="Z1073" s="8"/>
    </row>
    <row r="1074" spans="1:26" ht="13.2">
      <c r="A1074" s="13">
        <v>44250.528738425928</v>
      </c>
      <c r="B1074" s="6" t="str">
        <f>HYPERLINK("https://twitter.com/hadelin2p","@hadelin2p")</f>
        <v>@hadelin2p</v>
      </c>
      <c r="C1074" s="14" t="s">
        <v>4780</v>
      </c>
      <c r="D1074" s="14" t="s">
        <v>4781</v>
      </c>
      <c r="E1074" s="6" t="str">
        <f>HYPERLINK("https://twitter.com/hadelin2p/status/1364178537100500992","1364178537100500992")</f>
        <v>1364178537100500992</v>
      </c>
      <c r="F1074" s="7" t="s">
        <v>4782</v>
      </c>
      <c r="G1074" s="8"/>
      <c r="H1074" s="8"/>
      <c r="I1074" s="14">
        <v>2</v>
      </c>
      <c r="J1074" s="14">
        <v>2</v>
      </c>
      <c r="K1074" s="6" t="str">
        <f t="shared" si="176"/>
        <v>Twitter Web App</v>
      </c>
      <c r="L1074" s="15">
        <v>994</v>
      </c>
      <c r="M1074" s="15">
        <v>9</v>
      </c>
      <c r="N1074" s="15">
        <v>12</v>
      </c>
      <c r="O1074" s="9"/>
      <c r="P1074" s="10">
        <v>43077.173761574071</v>
      </c>
      <c r="Q1074" s="8"/>
      <c r="R1074" s="8"/>
      <c r="S1074" s="8"/>
      <c r="T1074" s="8"/>
      <c r="U1074" s="11" t="str">
        <f>HYPERLINK("https://pbs.twimg.com/profile_images/938973440408682496/filQTM-j.jpg","View")</f>
        <v>View</v>
      </c>
      <c r="V1074" s="8"/>
      <c r="W1074" s="8"/>
      <c r="X1074" s="8"/>
      <c r="Y1074" s="8"/>
      <c r="Z1074" s="8"/>
    </row>
    <row r="1075" spans="1:26" ht="13.2">
      <c r="A1075" s="13">
        <v>44250.528553240743</v>
      </c>
      <c r="B1075" s="6" t="str">
        <f>HYPERLINK("https://twitter.com/PMProuk","@PMProuk")</f>
        <v>@PMProuk</v>
      </c>
      <c r="C1075" s="14" t="s">
        <v>150</v>
      </c>
      <c r="D1075" s="14" t="s">
        <v>3165</v>
      </c>
      <c r="E1075" s="6" t="str">
        <f>HYPERLINK("https://twitter.com/PMProuk/status/1364178471707172870","1364178471707172870")</f>
        <v>1364178471707172870</v>
      </c>
      <c r="F1075" s="7" t="s">
        <v>3166</v>
      </c>
      <c r="G1075" s="8"/>
      <c r="H1075" s="8"/>
      <c r="I1075" s="14">
        <v>0</v>
      </c>
      <c r="J1075" s="14">
        <v>1</v>
      </c>
      <c r="K1075" s="6" t="str">
        <f>HYPERLINK("http://twinybots.com","TwinyBots")</f>
        <v>TwinyBots</v>
      </c>
      <c r="L1075" s="15">
        <v>1439</v>
      </c>
      <c r="M1075" s="15">
        <v>3697</v>
      </c>
      <c r="N1075" s="15">
        <v>73</v>
      </c>
      <c r="O1075" s="9"/>
      <c r="P1075" s="10">
        <v>40577.810150462959</v>
      </c>
      <c r="Q1075" s="14" t="s">
        <v>153</v>
      </c>
      <c r="R1075" s="14" t="s">
        <v>154</v>
      </c>
      <c r="S1075" s="8"/>
      <c r="T1075" s="8"/>
      <c r="U1075" s="11" t="str">
        <f>HYPERLINK("https://pbs.twimg.com/profile_images/1257339284027314177/AhbOFVVY.jpg","View")</f>
        <v>View</v>
      </c>
      <c r="V1075" s="8"/>
      <c r="W1075" s="8"/>
      <c r="X1075" s="8"/>
      <c r="Y1075" s="8"/>
      <c r="Z1075" s="8"/>
    </row>
    <row r="1076" spans="1:26" ht="13.2">
      <c r="A1076" s="13">
        <v>44250.528240740736</v>
      </c>
      <c r="B1076" s="6" t="str">
        <f>HYPERLINK("https://twitter.com/_Sivasai","@_Sivasai")</f>
        <v>@_Sivasai</v>
      </c>
      <c r="C1076" s="14" t="s">
        <v>4783</v>
      </c>
      <c r="D1076" s="14" t="s">
        <v>4784</v>
      </c>
      <c r="E1076" s="6" t="str">
        <f>HYPERLINK("https://twitter.com/_Sivasai/status/1364178357072654336","1364178357072654336")</f>
        <v>1364178357072654336</v>
      </c>
      <c r="F1076" s="14" t="s">
        <v>4785</v>
      </c>
      <c r="G1076" s="8"/>
      <c r="H1076" s="8"/>
      <c r="I1076" s="14">
        <v>1</v>
      </c>
      <c r="J1076" s="14">
        <v>3</v>
      </c>
      <c r="K1076" s="6" t="str">
        <f>HYPERLINK("http://twitter.com/download/android","Twitter for Android")</f>
        <v>Twitter for Android</v>
      </c>
      <c r="L1076" s="15">
        <v>17</v>
      </c>
      <c r="M1076" s="15">
        <v>138</v>
      </c>
      <c r="N1076" s="15">
        <v>1</v>
      </c>
      <c r="O1076" s="9"/>
      <c r="P1076" s="10">
        <v>44151.138344907406</v>
      </c>
      <c r="Q1076" s="8"/>
      <c r="R1076" s="8"/>
      <c r="S1076" s="8"/>
      <c r="T1076" s="8"/>
      <c r="U1076" s="15" t="s">
        <v>1879</v>
      </c>
      <c r="V1076" s="8"/>
      <c r="W1076" s="8"/>
      <c r="X1076" s="8"/>
      <c r="Y1076" s="8"/>
      <c r="Z1076" s="8"/>
    </row>
    <row r="1077" spans="1:26" ht="13.2">
      <c r="A1077" s="13">
        <v>44250.52752314815</v>
      </c>
      <c r="B1077" s="6" t="str">
        <f>HYPERLINK("https://twitter.com/tfcertification","@tfcertification")</f>
        <v>@tfcertification</v>
      </c>
      <c r="C1077" s="14" t="s">
        <v>4786</v>
      </c>
      <c r="D1077" s="14" t="s">
        <v>4787</v>
      </c>
      <c r="E1077" s="6" t="str">
        <f>HYPERLINK("https://twitter.com/tfcertification/status/1364178097227071490","1364178097227071490")</f>
        <v>1364178097227071490</v>
      </c>
      <c r="F1077" s="8"/>
      <c r="G1077" s="7" t="s">
        <v>4788</v>
      </c>
      <c r="H1077" s="8"/>
      <c r="I1077" s="14">
        <v>0</v>
      </c>
      <c r="J1077" s="14">
        <v>3</v>
      </c>
      <c r="K1077" s="6" t="str">
        <f t="shared" ref="K1077:K1078" si="177">HYPERLINK("https://mobile.twitter.com","Twitter Web App")</f>
        <v>Twitter Web App</v>
      </c>
      <c r="L1077" s="15">
        <v>13</v>
      </c>
      <c r="M1077" s="15">
        <v>73</v>
      </c>
      <c r="N1077" s="15">
        <v>0</v>
      </c>
      <c r="O1077" s="9"/>
      <c r="P1077" s="10">
        <v>44214.474293981482</v>
      </c>
      <c r="Q1077" s="14" t="s">
        <v>1890</v>
      </c>
      <c r="R1077" s="14" t="s">
        <v>4789</v>
      </c>
      <c r="S1077" s="7" t="s">
        <v>4790</v>
      </c>
      <c r="T1077" s="8"/>
      <c r="U1077" s="11" t="str">
        <f>HYPERLINK("https://pbs.twimg.com/profile_images/1351112882579243015/K8DFZp_c.jpg","View")</f>
        <v>View</v>
      </c>
      <c r="V1077" s="8"/>
      <c r="W1077" s="8"/>
      <c r="X1077" s="8"/>
      <c r="Y1077" s="8"/>
      <c r="Z1077" s="8"/>
    </row>
    <row r="1078" spans="1:26" ht="13.2">
      <c r="A1078" s="13">
        <v>44250.527418981481</v>
      </c>
      <c r="B1078" s="6" t="str">
        <f>HYPERLINK("https://twitter.com/BristowColin","@BristowColin")</f>
        <v>@BristowColin</v>
      </c>
      <c r="C1078" s="14" t="s">
        <v>596</v>
      </c>
      <c r="D1078" s="14" t="s">
        <v>4791</v>
      </c>
      <c r="E1078" s="6" t="str">
        <f>HYPERLINK("https://twitter.com/BristowColin/status/1364178059117678594","1364178059117678594")</f>
        <v>1364178059117678594</v>
      </c>
      <c r="F1078" s="7" t="s">
        <v>4792</v>
      </c>
      <c r="G1078" s="7" t="s">
        <v>4793</v>
      </c>
      <c r="H1078" s="8"/>
      <c r="I1078" s="14">
        <v>21</v>
      </c>
      <c r="J1078" s="14">
        <v>20</v>
      </c>
      <c r="K1078" s="6" t="str">
        <f t="shared" si="177"/>
        <v>Twitter Web App</v>
      </c>
      <c r="L1078" s="15">
        <v>12149</v>
      </c>
      <c r="M1078" s="15">
        <v>9707</v>
      </c>
      <c r="N1078" s="15">
        <v>155</v>
      </c>
      <c r="O1078" s="9"/>
      <c r="P1078" s="10">
        <v>40900.478090277778</v>
      </c>
      <c r="Q1078" s="14" t="s">
        <v>599</v>
      </c>
      <c r="R1078" s="14" t="s">
        <v>600</v>
      </c>
      <c r="S1078" s="7" t="s">
        <v>601</v>
      </c>
      <c r="T1078" s="8"/>
      <c r="U1078" s="11" t="str">
        <f>HYPERLINK("https://pbs.twimg.com/profile_images/692994884270198784/jQX64C1s.jpg","View")</f>
        <v>View</v>
      </c>
      <c r="V1078" s="8"/>
      <c r="W1078" s="8"/>
      <c r="X1078" s="8"/>
      <c r="Y1078" s="8"/>
      <c r="Z1078" s="8"/>
    </row>
    <row r="1079" spans="1:26" ht="13.2">
      <c r="A1079" s="13">
        <v>44250.527280092589</v>
      </c>
      <c r="B1079" s="6" t="str">
        <f>HYPERLINK("https://twitter.com/cciauri","@cciauri")</f>
        <v>@cciauri</v>
      </c>
      <c r="C1079" s="14" t="s">
        <v>4794</v>
      </c>
      <c r="D1079" s="14" t="s">
        <v>4795</v>
      </c>
      <c r="E1079" s="6" t="str">
        <f>HYPERLINK("https://twitter.com/cciauri/status/1364178011445202953","1364178011445202953")</f>
        <v>1364178011445202953</v>
      </c>
      <c r="F1079" s="7" t="s">
        <v>4796</v>
      </c>
      <c r="G1079" s="8"/>
      <c r="H1079" s="8"/>
      <c r="I1079" s="14">
        <v>3</v>
      </c>
      <c r="J1079" s="14">
        <v>11</v>
      </c>
      <c r="K1079" s="6" t="str">
        <f>HYPERLINK("http://itunes.apple.com/us/app/twitter/id409789998?mt=12","Twitter for Mac")</f>
        <v>Twitter for Mac</v>
      </c>
      <c r="L1079" s="15">
        <v>1911</v>
      </c>
      <c r="M1079" s="15">
        <v>715</v>
      </c>
      <c r="N1079" s="15">
        <v>27</v>
      </c>
      <c r="O1079" s="9"/>
      <c r="P1079" s="10">
        <v>40156.777002314819</v>
      </c>
      <c r="Q1079" s="14" t="s">
        <v>2551</v>
      </c>
      <c r="R1079" s="14" t="s">
        <v>4797</v>
      </c>
      <c r="S1079" s="7" t="s">
        <v>4798</v>
      </c>
      <c r="T1079" s="8"/>
      <c r="U1079" s="11" t="str">
        <f>HYPERLINK("https://pbs.twimg.com/profile_images/1235241156478472193/puObAa6J.jpg","View")</f>
        <v>View</v>
      </c>
      <c r="V1079" s="8"/>
      <c r="W1079" s="8"/>
      <c r="X1079" s="8"/>
      <c r="Y1079" s="8"/>
      <c r="Z1079" s="8"/>
    </row>
    <row r="1080" spans="1:26" ht="13.2">
      <c r="A1080" s="13">
        <v>44250.526944444442</v>
      </c>
      <c r="B1080" s="6" t="str">
        <f>HYPERLINK("https://twitter.com/SuccessAnalytiX","@SuccessAnalytiX")</f>
        <v>@SuccessAnalytiX</v>
      </c>
      <c r="C1080" s="14" t="s">
        <v>1149</v>
      </c>
      <c r="D1080" s="14" t="s">
        <v>4799</v>
      </c>
      <c r="E1080" s="6" t="str">
        <f>HYPERLINK("https://twitter.com/SuccessAnalytiX/status/1364177890187898880","1364177890187898880")</f>
        <v>1364177890187898880</v>
      </c>
      <c r="F1080" s="7" t="s">
        <v>1154</v>
      </c>
      <c r="G1080" s="8"/>
      <c r="H1080" s="8"/>
      <c r="I1080" s="14">
        <v>27</v>
      </c>
      <c r="J1080" s="14">
        <v>12</v>
      </c>
      <c r="K1080" s="6" t="str">
        <f>HYPERLINK("http://twitter.com/download/iphone","Twitter for iPhone")</f>
        <v>Twitter for iPhone</v>
      </c>
      <c r="L1080" s="15">
        <v>2744</v>
      </c>
      <c r="M1080" s="15">
        <v>2908</v>
      </c>
      <c r="N1080" s="15">
        <v>11</v>
      </c>
      <c r="O1080" s="9"/>
      <c r="P1080" s="10">
        <v>43149.839606481481</v>
      </c>
      <c r="Q1080" s="14" t="s">
        <v>1152</v>
      </c>
      <c r="R1080" s="14" t="s">
        <v>1153</v>
      </c>
      <c r="S1080" s="7" t="s">
        <v>1154</v>
      </c>
      <c r="T1080" s="8"/>
      <c r="U1080" s="11" t="str">
        <f>HYPERLINK("https://pbs.twimg.com/profile_images/1154058190545391616/pOYyXv3r.jpg","View")</f>
        <v>View</v>
      </c>
      <c r="V1080" s="8"/>
      <c r="W1080" s="8"/>
      <c r="X1080" s="8"/>
      <c r="Y1080" s="8"/>
      <c r="Z1080" s="8"/>
    </row>
    <row r="1081" spans="1:26" ht="13.2">
      <c r="A1081" s="13">
        <v>44250.526678240742</v>
      </c>
      <c r="B1081" s="6" t="str">
        <f>HYPERLINK("https://twitter.com/masoudshafaghi","@masoudshafaghi")</f>
        <v>@masoudshafaghi</v>
      </c>
      <c r="C1081" s="14" t="s">
        <v>4800</v>
      </c>
      <c r="D1081" s="14" t="s">
        <v>4801</v>
      </c>
      <c r="E1081" s="6" t="str">
        <f>HYPERLINK("https://twitter.com/masoudshafaghi/status/1364177792590577665","1364177792590577665")</f>
        <v>1364177792590577665</v>
      </c>
      <c r="F1081" s="8"/>
      <c r="G1081" s="7" t="s">
        <v>4802</v>
      </c>
      <c r="H1081" s="8"/>
      <c r="I1081" s="14">
        <v>1</v>
      </c>
      <c r="J1081" s="14">
        <v>1</v>
      </c>
      <c r="K1081" s="6" t="str">
        <f t="shared" ref="K1081:K1087" si="178">HYPERLINK("https://mobile.twitter.com","Twitter Web App")</f>
        <v>Twitter Web App</v>
      </c>
      <c r="L1081" s="15">
        <v>93</v>
      </c>
      <c r="M1081" s="15">
        <v>114</v>
      </c>
      <c r="N1081" s="15">
        <v>1</v>
      </c>
      <c r="O1081" s="9"/>
      <c r="P1081" s="10">
        <v>41504.608541666668</v>
      </c>
      <c r="Q1081" s="14" t="s">
        <v>1319</v>
      </c>
      <c r="R1081" s="14" t="s">
        <v>4803</v>
      </c>
      <c r="S1081" s="7" t="s">
        <v>4804</v>
      </c>
      <c r="T1081" s="8"/>
      <c r="U1081" s="11" t="str">
        <f>HYPERLINK("https://pbs.twimg.com/profile_images/879858224018501632/NSQ8GetJ.jpg","View")</f>
        <v>View</v>
      </c>
      <c r="V1081" s="8"/>
      <c r="W1081" s="8"/>
      <c r="X1081" s="8"/>
      <c r="Y1081" s="8"/>
      <c r="Z1081" s="8"/>
    </row>
    <row r="1082" spans="1:26" ht="13.2">
      <c r="A1082" s="13">
        <v>44250.526631944449</v>
      </c>
      <c r="B1082" s="6" t="str">
        <f>HYPERLINK("https://twitter.com/robertSPD","@robertSPD")</f>
        <v>@robertSPD</v>
      </c>
      <c r="C1082" s="14" t="s">
        <v>4805</v>
      </c>
      <c r="D1082" s="14" t="s">
        <v>4806</v>
      </c>
      <c r="E1082" s="6" t="str">
        <f>HYPERLINK("https://twitter.com/robertSPD/status/1364177776400625670","1364177776400625670")</f>
        <v>1364177776400625670</v>
      </c>
      <c r="F1082" s="8"/>
      <c r="G1082" s="8"/>
      <c r="H1082" s="8"/>
      <c r="I1082" s="14">
        <v>0</v>
      </c>
      <c r="J1082" s="14">
        <v>1</v>
      </c>
      <c r="K1082" s="6" t="str">
        <f t="shared" si="178"/>
        <v>Twitter Web App</v>
      </c>
      <c r="L1082" s="15">
        <v>2052</v>
      </c>
      <c r="M1082" s="15">
        <v>3167</v>
      </c>
      <c r="N1082" s="15">
        <v>90</v>
      </c>
      <c r="O1082" s="9"/>
      <c r="P1082" s="10">
        <v>39936.453287037039</v>
      </c>
      <c r="Q1082" s="14" t="s">
        <v>4490</v>
      </c>
      <c r="R1082" s="14" t="s">
        <v>4807</v>
      </c>
      <c r="S1082" s="8"/>
      <c r="T1082" s="8"/>
      <c r="U1082" s="11" t="str">
        <f>HYPERLINK("https://pbs.twimg.com/profile_images/1269289483549184002/aHCZKiVi.jpg","View")</f>
        <v>View</v>
      </c>
      <c r="V1082" s="8"/>
      <c r="W1082" s="8"/>
      <c r="X1082" s="8"/>
      <c r="Y1082" s="8"/>
      <c r="Z1082" s="8"/>
    </row>
    <row r="1083" spans="1:26" ht="13.2">
      <c r="A1083" s="13">
        <v>44250.525648148148</v>
      </c>
      <c r="B1083" s="6" t="str">
        <f>HYPERLINK("https://twitter.com/machinelearnTec","@machinelearnTec")</f>
        <v>@machinelearnTec</v>
      </c>
      <c r="C1083" s="14" t="s">
        <v>279</v>
      </c>
      <c r="D1083" s="14" t="s">
        <v>4808</v>
      </c>
      <c r="E1083" s="6" t="str">
        <f>HYPERLINK("https://twitter.com/machinelearnTec/status/1364177420501192705","1364177420501192705")</f>
        <v>1364177420501192705</v>
      </c>
      <c r="F1083" s="7" t="s">
        <v>4809</v>
      </c>
      <c r="G1083" s="8"/>
      <c r="H1083" s="8"/>
      <c r="I1083" s="14">
        <v>40</v>
      </c>
      <c r="J1083" s="14">
        <v>24</v>
      </c>
      <c r="K1083" s="6" t="str">
        <f t="shared" si="178"/>
        <v>Twitter Web App</v>
      </c>
      <c r="L1083" s="15">
        <v>3980</v>
      </c>
      <c r="M1083" s="15">
        <v>904</v>
      </c>
      <c r="N1083" s="15">
        <v>66</v>
      </c>
      <c r="O1083" s="9"/>
      <c r="P1083" s="10">
        <v>43304.468055555553</v>
      </c>
      <c r="Q1083" s="14" t="s">
        <v>914</v>
      </c>
      <c r="R1083" s="14" t="s">
        <v>4810</v>
      </c>
      <c r="S1083" s="8"/>
      <c r="T1083" s="8"/>
      <c r="U1083" s="11" t="str">
        <f>HYPERLINK("https://pbs.twimg.com/profile_images/1293471801041977344/YORI_3ro.jpg","View")</f>
        <v>View</v>
      </c>
      <c r="V1083" s="8"/>
      <c r="W1083" s="8"/>
      <c r="X1083" s="8"/>
      <c r="Y1083" s="8"/>
      <c r="Z1083" s="8"/>
    </row>
    <row r="1084" spans="1:26" ht="13.2">
      <c r="A1084" s="13">
        <v>44250.525254629625</v>
      </c>
      <c r="B1084" s="6" t="str">
        <f>HYPERLINK("https://twitter.com/inria_paris","@inria_paris")</f>
        <v>@inria_paris</v>
      </c>
      <c r="C1084" s="14" t="s">
        <v>4811</v>
      </c>
      <c r="D1084" s="14" t="s">
        <v>4812</v>
      </c>
      <c r="E1084" s="6" t="str">
        <f>HYPERLINK("https://twitter.com/inria_paris/status/1364177277941141506","1364177277941141506")</f>
        <v>1364177277941141506</v>
      </c>
      <c r="F1084" s="7" t="s">
        <v>4813</v>
      </c>
      <c r="G1084" s="8"/>
      <c r="H1084" s="8"/>
      <c r="I1084" s="14">
        <v>3</v>
      </c>
      <c r="J1084" s="14">
        <v>6</v>
      </c>
      <c r="K1084" s="6" t="str">
        <f t="shared" si="178"/>
        <v>Twitter Web App</v>
      </c>
      <c r="L1084" s="15">
        <v>2907</v>
      </c>
      <c r="M1084" s="15">
        <v>731</v>
      </c>
      <c r="N1084" s="15">
        <v>128</v>
      </c>
      <c r="O1084" s="9"/>
      <c r="P1084" s="10">
        <v>40927.728587962964</v>
      </c>
      <c r="Q1084" s="14" t="s">
        <v>106</v>
      </c>
      <c r="R1084" s="14" t="s">
        <v>4814</v>
      </c>
      <c r="S1084" s="7" t="s">
        <v>4815</v>
      </c>
      <c r="T1084" s="8"/>
      <c r="U1084" s="11" t="str">
        <f>HYPERLINK("https://pbs.twimg.com/profile_images/1097423795596525568/519P3Buo.png","View")</f>
        <v>View</v>
      </c>
      <c r="V1084" s="8"/>
      <c r="W1084" s="8"/>
      <c r="X1084" s="8"/>
      <c r="Y1084" s="8"/>
      <c r="Z1084" s="8"/>
    </row>
    <row r="1085" spans="1:26" ht="13.2">
      <c r="A1085" s="13">
        <v>44250.524965277778</v>
      </c>
      <c r="B1085" s="6" t="str">
        <f>HYPERLINK("https://twitter.com/machinelearnTec","@machinelearnTec")</f>
        <v>@machinelearnTec</v>
      </c>
      <c r="C1085" s="14" t="s">
        <v>279</v>
      </c>
      <c r="D1085" s="14" t="s">
        <v>4816</v>
      </c>
      <c r="E1085" s="6" t="str">
        <f>HYPERLINK("https://twitter.com/machinelearnTec/status/1364177172148015110","1364177172148015110")</f>
        <v>1364177172148015110</v>
      </c>
      <c r="F1085" s="7" t="s">
        <v>4817</v>
      </c>
      <c r="G1085" s="8"/>
      <c r="H1085" s="8"/>
      <c r="I1085" s="14">
        <v>14</v>
      </c>
      <c r="J1085" s="14">
        <v>5</v>
      </c>
      <c r="K1085" s="6" t="str">
        <f t="shared" si="178"/>
        <v>Twitter Web App</v>
      </c>
      <c r="L1085" s="15">
        <v>3980</v>
      </c>
      <c r="M1085" s="15">
        <v>904</v>
      </c>
      <c r="N1085" s="15">
        <v>66</v>
      </c>
      <c r="O1085" s="9"/>
      <c r="P1085" s="10">
        <v>43304.468055555553</v>
      </c>
      <c r="Q1085" s="14" t="s">
        <v>914</v>
      </c>
      <c r="R1085" s="14" t="s">
        <v>4810</v>
      </c>
      <c r="S1085" s="8"/>
      <c r="T1085" s="8"/>
      <c r="U1085" s="11" t="str">
        <f>HYPERLINK("https://pbs.twimg.com/profile_images/1293471801041977344/YORI_3ro.jpg","View")</f>
        <v>View</v>
      </c>
      <c r="V1085" s="8"/>
      <c r="W1085" s="8"/>
      <c r="X1085" s="8"/>
      <c r="Y1085" s="8"/>
      <c r="Z1085" s="8"/>
    </row>
    <row r="1086" spans="1:26" ht="13.2">
      <c r="A1086" s="13">
        <v>44250.524745370371</v>
      </c>
      <c r="B1086" s="6" t="str">
        <f>HYPERLINK("https://twitter.com/SimonPerera","@SimonPerera")</f>
        <v>@SimonPerera</v>
      </c>
      <c r="C1086" s="14" t="s">
        <v>4818</v>
      </c>
      <c r="D1086" s="14" t="s">
        <v>4819</v>
      </c>
      <c r="E1086" s="6" t="str">
        <f>HYPERLINK("https://twitter.com/SimonPerera/status/1364177090615136259","1364177090615136259")</f>
        <v>1364177090615136259</v>
      </c>
      <c r="F1086" s="7" t="s">
        <v>4820</v>
      </c>
      <c r="G1086" s="8"/>
      <c r="H1086" s="8"/>
      <c r="I1086" s="14">
        <v>0</v>
      </c>
      <c r="J1086" s="14">
        <v>2</v>
      </c>
      <c r="K1086" s="6" t="str">
        <f t="shared" si="178"/>
        <v>Twitter Web App</v>
      </c>
      <c r="L1086" s="15">
        <v>5020</v>
      </c>
      <c r="M1086" s="15">
        <v>2483</v>
      </c>
      <c r="N1086" s="15">
        <v>118</v>
      </c>
      <c r="O1086" s="9"/>
      <c r="P1086" s="10">
        <v>40057.15252314815</v>
      </c>
      <c r="Q1086" s="14" t="s">
        <v>3925</v>
      </c>
      <c r="R1086" s="14" t="s">
        <v>4821</v>
      </c>
      <c r="S1086" s="7" t="s">
        <v>4822</v>
      </c>
      <c r="T1086" s="8"/>
      <c r="U1086" s="11" t="str">
        <f>HYPERLINK("https://pbs.twimg.com/profile_images/1260284412547272711/Y5NCRZFU.jpg","View")</f>
        <v>View</v>
      </c>
      <c r="V1086" s="8"/>
      <c r="W1086" s="8"/>
      <c r="X1086" s="8"/>
      <c r="Y1086" s="8"/>
      <c r="Z1086" s="8"/>
    </row>
    <row r="1087" spans="1:26" ht="13.2">
      <c r="A1087" s="13">
        <v>44250.524699074071</v>
      </c>
      <c r="B1087" s="6" t="str">
        <f>HYPERLINK("https://twitter.com/machinelearnTec","@machinelearnTec")</f>
        <v>@machinelearnTec</v>
      </c>
      <c r="C1087" s="14" t="s">
        <v>279</v>
      </c>
      <c r="D1087" s="14" t="s">
        <v>4823</v>
      </c>
      <c r="E1087" s="6" t="str">
        <f>HYPERLINK("https://twitter.com/machinelearnTec/status/1364177075888791556","1364177075888791556")</f>
        <v>1364177075888791556</v>
      </c>
      <c r="F1087" s="7" t="s">
        <v>4824</v>
      </c>
      <c r="G1087" s="8"/>
      <c r="H1087" s="8"/>
      <c r="I1087" s="14">
        <v>15</v>
      </c>
      <c r="J1087" s="14">
        <v>12</v>
      </c>
      <c r="K1087" s="6" t="str">
        <f t="shared" si="178"/>
        <v>Twitter Web App</v>
      </c>
      <c r="L1087" s="15">
        <v>3980</v>
      </c>
      <c r="M1087" s="15">
        <v>904</v>
      </c>
      <c r="N1087" s="15">
        <v>66</v>
      </c>
      <c r="O1087" s="9"/>
      <c r="P1087" s="10">
        <v>43304.468055555553</v>
      </c>
      <c r="Q1087" s="14" t="s">
        <v>914</v>
      </c>
      <c r="R1087" s="14" t="s">
        <v>4810</v>
      </c>
      <c r="S1087" s="8"/>
      <c r="T1087" s="8"/>
      <c r="U1087" s="11" t="str">
        <f>HYPERLINK("https://pbs.twimg.com/profile_images/1293471801041977344/YORI_3ro.jpg","View")</f>
        <v>View</v>
      </c>
      <c r="V1087" s="8"/>
      <c r="W1087" s="8"/>
      <c r="X1087" s="8"/>
      <c r="Y1087" s="8"/>
      <c r="Z1087" s="8"/>
    </row>
    <row r="1088" spans="1:26" ht="13.2">
      <c r="A1088" s="13">
        <v>44250.524537037039</v>
      </c>
      <c r="B1088" s="6" t="str">
        <f>HYPERLINK("https://twitter.com/lulstrup","@lulstrup")</f>
        <v>@lulstrup</v>
      </c>
      <c r="C1088" s="14" t="s">
        <v>4825</v>
      </c>
      <c r="D1088" s="14" t="s">
        <v>4826</v>
      </c>
      <c r="E1088" s="6" t="str">
        <f>HYPERLINK("https://twitter.com/lulstrup/status/1364177015876714502","1364177015876714502")</f>
        <v>1364177015876714502</v>
      </c>
      <c r="F1088" s="7" t="s">
        <v>4827</v>
      </c>
      <c r="G1088" s="8"/>
      <c r="H1088" s="8"/>
      <c r="I1088" s="14">
        <v>0</v>
      </c>
      <c r="J1088" s="14">
        <v>2</v>
      </c>
      <c r="K1088" s="6" t="str">
        <f>HYPERLINK("http://www.linkedin.com/","LinkedIn")</f>
        <v>LinkedIn</v>
      </c>
      <c r="L1088" s="15">
        <v>1179</v>
      </c>
      <c r="M1088" s="15">
        <v>5000</v>
      </c>
      <c r="N1088" s="15">
        <v>111</v>
      </c>
      <c r="O1088" s="9"/>
      <c r="P1088" s="10">
        <v>39885.809224537035</v>
      </c>
      <c r="Q1088" s="14" t="s">
        <v>191</v>
      </c>
      <c r="R1088" s="14" t="s">
        <v>4828</v>
      </c>
      <c r="S1088" s="7" t="s">
        <v>4829</v>
      </c>
      <c r="T1088" s="8"/>
      <c r="U1088" s="11" t="str">
        <f>HYPERLINK("https://pbs.twimg.com/profile_images/1210049124/4398_11LeifTOC.jpg","View")</f>
        <v>View</v>
      </c>
      <c r="V1088" s="8"/>
      <c r="W1088" s="8"/>
      <c r="X1088" s="8"/>
      <c r="Y1088" s="8"/>
      <c r="Z1088" s="8"/>
    </row>
    <row r="1089" spans="1:26" ht="13.2">
      <c r="A1089" s="13">
        <v>44250.524328703701</v>
      </c>
      <c r="B1089" s="6" t="str">
        <f>HYPERLINK("https://twitter.com/machinelearnTec","@machinelearnTec")</f>
        <v>@machinelearnTec</v>
      </c>
      <c r="C1089" s="14" t="s">
        <v>279</v>
      </c>
      <c r="D1089" s="14" t="s">
        <v>4830</v>
      </c>
      <c r="E1089" s="6" t="str">
        <f>HYPERLINK("https://twitter.com/machinelearnTec/status/1364176941822083073","1364176941822083073")</f>
        <v>1364176941822083073</v>
      </c>
      <c r="F1089" s="7" t="s">
        <v>4831</v>
      </c>
      <c r="G1089" s="8"/>
      <c r="H1089" s="8"/>
      <c r="I1089" s="14">
        <v>2</v>
      </c>
      <c r="J1089" s="14">
        <v>4</v>
      </c>
      <c r="K1089" s="6" t="str">
        <f>HYPERLINK("https://mobile.twitter.com","Twitter Web App")</f>
        <v>Twitter Web App</v>
      </c>
      <c r="L1089" s="15">
        <v>3980</v>
      </c>
      <c r="M1089" s="15">
        <v>904</v>
      </c>
      <c r="N1089" s="15">
        <v>66</v>
      </c>
      <c r="O1089" s="9"/>
      <c r="P1089" s="10">
        <v>43304.468055555553</v>
      </c>
      <c r="Q1089" s="14" t="s">
        <v>914</v>
      </c>
      <c r="R1089" s="14" t="s">
        <v>4810</v>
      </c>
      <c r="S1089" s="8"/>
      <c r="T1089" s="8"/>
      <c r="U1089" s="11" t="str">
        <f>HYPERLINK("https://pbs.twimg.com/profile_images/1293471801041977344/YORI_3ro.jpg","View")</f>
        <v>View</v>
      </c>
      <c r="V1089" s="8"/>
      <c r="W1089" s="8"/>
      <c r="X1089" s="8"/>
      <c r="Y1089" s="8"/>
      <c r="Z1089" s="8"/>
    </row>
    <row r="1090" spans="1:26" ht="13.2">
      <c r="A1090" s="13">
        <v>44250.524039351847</v>
      </c>
      <c r="B1090" s="6" t="str">
        <f>HYPERLINK("https://twitter.com/Roboticsindia_","@Roboticsindia_")</f>
        <v>@Roboticsindia_</v>
      </c>
      <c r="C1090" s="14" t="s">
        <v>4832</v>
      </c>
      <c r="D1090" s="14" t="s">
        <v>4833</v>
      </c>
      <c r="E1090" s="6" t="str">
        <f>HYPERLINK("https://twitter.com/Roboticsindia_/status/1364176837341900803","1364176837341900803")</f>
        <v>1364176837341900803</v>
      </c>
      <c r="F1090" s="8"/>
      <c r="G1090" s="7" t="s">
        <v>4834</v>
      </c>
      <c r="H1090" s="8"/>
      <c r="I1090" s="14">
        <v>6</v>
      </c>
      <c r="J1090" s="14">
        <v>10</v>
      </c>
      <c r="K1090" s="6" t="str">
        <f t="shared" ref="K1090:K1092" si="179">HYPERLINK("http://twitter.com/download/android","Twitter for Android")</f>
        <v>Twitter for Android</v>
      </c>
      <c r="L1090" s="15">
        <v>21</v>
      </c>
      <c r="M1090" s="15">
        <v>57</v>
      </c>
      <c r="N1090" s="15">
        <v>0</v>
      </c>
      <c r="O1090" s="9"/>
      <c r="P1090" s="10">
        <v>44189.445810185185</v>
      </c>
      <c r="Q1090" s="14" t="s">
        <v>364</v>
      </c>
      <c r="R1090" s="14" t="s">
        <v>4835</v>
      </c>
      <c r="S1090" s="7" t="s">
        <v>4836</v>
      </c>
      <c r="T1090" s="8"/>
      <c r="U1090" s="11" t="str">
        <f>HYPERLINK("https://pbs.twimg.com/profile_images/1363775015146164224/-AsLTiwM.jpg","View")</f>
        <v>View</v>
      </c>
      <c r="V1090" s="8"/>
      <c r="W1090" s="8"/>
      <c r="X1090" s="8"/>
      <c r="Y1090" s="8"/>
      <c r="Z1090" s="8"/>
    </row>
    <row r="1091" spans="1:26" ht="13.2">
      <c r="A1091" s="13">
        <v>44250.523946759262</v>
      </c>
      <c r="B1091" s="6" t="str">
        <f>HYPERLINK("https://twitter.com/max_jr","@max_jr")</f>
        <v>@max_jr</v>
      </c>
      <c r="C1091" s="14" t="s">
        <v>4837</v>
      </c>
      <c r="D1091" s="14" t="s">
        <v>4838</v>
      </c>
      <c r="E1091" s="6" t="str">
        <f>HYPERLINK("https://twitter.com/max_jr/status/1364176804127404035","1364176804127404035")</f>
        <v>1364176804127404035</v>
      </c>
      <c r="F1091" s="14" t="s">
        <v>4839</v>
      </c>
      <c r="G1091" s="8"/>
      <c r="H1091" s="8"/>
      <c r="I1091" s="14">
        <v>0</v>
      </c>
      <c r="J1091" s="14">
        <v>1</v>
      </c>
      <c r="K1091" s="6" t="str">
        <f t="shared" si="179"/>
        <v>Twitter for Android</v>
      </c>
      <c r="L1091" s="15">
        <v>172</v>
      </c>
      <c r="M1091" s="15">
        <v>352</v>
      </c>
      <c r="N1091" s="15">
        <v>0</v>
      </c>
      <c r="O1091" s="9"/>
      <c r="P1091" s="10">
        <v>39932.205914351856</v>
      </c>
      <c r="Q1091" s="14" t="s">
        <v>69</v>
      </c>
      <c r="R1091" s="14" t="s">
        <v>4840</v>
      </c>
      <c r="S1091" s="8"/>
      <c r="T1091" s="8"/>
      <c r="U1091" s="11" t="str">
        <f>HYPERLINK("https://pbs.twimg.com/profile_images/1249833371804602368/DDGcJWtQ.jpg","View")</f>
        <v>View</v>
      </c>
      <c r="V1091" s="8"/>
      <c r="W1091" s="8"/>
      <c r="X1091" s="8"/>
      <c r="Y1091" s="8"/>
      <c r="Z1091" s="8"/>
    </row>
    <row r="1092" spans="1:26" ht="13.2">
      <c r="A1092" s="13">
        <v>44250.52270833333</v>
      </c>
      <c r="B1092" s="6" t="str">
        <f>HYPERLINK("https://twitter.com/Prashanth_NS","@Prashanth_NS")</f>
        <v>@Prashanth_NS</v>
      </c>
      <c r="C1092" s="14" t="s">
        <v>4423</v>
      </c>
      <c r="D1092" s="14" t="s">
        <v>4841</v>
      </c>
      <c r="E1092" s="6" t="str">
        <f>HYPERLINK("https://twitter.com/Prashanth_NS/status/1364176351863787523","1364176351863787523")</f>
        <v>1364176351863787523</v>
      </c>
      <c r="F1092" s="7" t="s">
        <v>4425</v>
      </c>
      <c r="G1092" s="8"/>
      <c r="H1092" s="8"/>
      <c r="I1092" s="14">
        <v>11</v>
      </c>
      <c r="J1092" s="14">
        <v>5</v>
      </c>
      <c r="K1092" s="6" t="str">
        <f t="shared" si="179"/>
        <v>Twitter for Android</v>
      </c>
      <c r="L1092" s="15">
        <v>1167</v>
      </c>
      <c r="M1092" s="15">
        <v>53</v>
      </c>
      <c r="N1092" s="15">
        <v>140</v>
      </c>
      <c r="O1092" s="9"/>
      <c r="P1092" s="10">
        <v>42120.421909722223</v>
      </c>
      <c r="Q1092" s="14" t="s">
        <v>1742</v>
      </c>
      <c r="R1092" s="14" t="s">
        <v>4426</v>
      </c>
      <c r="S1092" s="8"/>
      <c r="T1092" s="8"/>
      <c r="U1092" s="11" t="str">
        <f>HYPERLINK("https://pbs.twimg.com/profile_images/1301374040414674945/J38_bT2D.jpg","View")</f>
        <v>View</v>
      </c>
      <c r="V1092" s="8"/>
      <c r="W1092" s="8"/>
      <c r="X1092" s="8"/>
      <c r="Y1092" s="8"/>
      <c r="Z1092" s="8"/>
    </row>
    <row r="1093" spans="1:26" ht="13.2">
      <c r="A1093" s="13">
        <v>44250.522395833337</v>
      </c>
      <c r="B1093" s="6" t="str">
        <f>HYPERLINK("https://twitter.com/h2cGmbH","@h2cGmbH")</f>
        <v>@h2cGmbH</v>
      </c>
      <c r="C1093" s="14" t="s">
        <v>4842</v>
      </c>
      <c r="D1093" s="14" t="s">
        <v>4843</v>
      </c>
      <c r="E1093" s="6" t="str">
        <f>HYPERLINK("https://twitter.com/h2cGmbH/status/1364176241918640133","1364176241918640133")</f>
        <v>1364176241918640133</v>
      </c>
      <c r="F1093" s="7" t="s">
        <v>4844</v>
      </c>
      <c r="G1093" s="7" t="s">
        <v>4845</v>
      </c>
      <c r="H1093" s="8"/>
      <c r="I1093" s="14">
        <v>0</v>
      </c>
      <c r="J1093" s="14">
        <v>0</v>
      </c>
      <c r="K1093" s="6" t="str">
        <f>HYPERLINK("https://mobile.twitter.com","Twitter Web App")</f>
        <v>Twitter Web App</v>
      </c>
      <c r="L1093" s="15">
        <v>245</v>
      </c>
      <c r="M1093" s="15">
        <v>81</v>
      </c>
      <c r="N1093" s="15">
        <v>22</v>
      </c>
      <c r="O1093" s="9"/>
      <c r="P1093" s="10">
        <v>39932.539247685185</v>
      </c>
      <c r="Q1093" s="14" t="s">
        <v>4846</v>
      </c>
      <c r="R1093" s="14" t="s">
        <v>4847</v>
      </c>
      <c r="S1093" s="7" t="s">
        <v>4848</v>
      </c>
      <c r="T1093" s="8"/>
      <c r="U1093" s="11" t="str">
        <f>HYPERLINK("https://pbs.twimg.com/profile_images/1240215243575476225/hBklaybX.png","View")</f>
        <v>View</v>
      </c>
      <c r="V1093" s="8"/>
      <c r="W1093" s="8"/>
      <c r="X1093" s="8"/>
      <c r="Y1093" s="8"/>
      <c r="Z1093" s="8"/>
    </row>
    <row r="1094" spans="1:26" ht="13.2">
      <c r="A1094" s="13">
        <v>44250.522222222222</v>
      </c>
      <c r="B1094" s="6" t="str">
        <f>HYPERLINK("https://twitter.com/TechNative","@TechNative")</f>
        <v>@TechNative</v>
      </c>
      <c r="C1094" s="14" t="s">
        <v>866</v>
      </c>
      <c r="D1094" s="14" t="s">
        <v>4849</v>
      </c>
      <c r="E1094" s="6" t="str">
        <f>HYPERLINK("https://twitter.com/TechNative/status/1364176178748284929","1364176178748284929")</f>
        <v>1364176178748284929</v>
      </c>
      <c r="F1094" s="7" t="s">
        <v>4850</v>
      </c>
      <c r="G1094" s="8"/>
      <c r="H1094" s="8"/>
      <c r="I1094" s="14">
        <v>6</v>
      </c>
      <c r="J1094" s="14">
        <v>5</v>
      </c>
      <c r="K1094" s="6" t="str">
        <f t="shared" ref="K1094:K1095" si="180">HYPERLINK("https://sproutsocial.com","Sprout Social")</f>
        <v>Sprout Social</v>
      </c>
      <c r="L1094" s="15">
        <v>84850</v>
      </c>
      <c r="M1094" s="15">
        <v>60575</v>
      </c>
      <c r="N1094" s="15">
        <v>2623</v>
      </c>
      <c r="O1094" s="9"/>
      <c r="P1094" s="10">
        <v>42289.695833333331</v>
      </c>
      <c r="Q1094" s="14" t="s">
        <v>869</v>
      </c>
      <c r="R1094" s="14" t="s">
        <v>870</v>
      </c>
      <c r="S1094" s="7" t="s">
        <v>871</v>
      </c>
      <c r="T1094" s="8"/>
      <c r="U1094" s="11" t="str">
        <f>HYPERLINK("https://pbs.twimg.com/profile_images/877265193818103808/uriy-gaK.jpg","View")</f>
        <v>View</v>
      </c>
      <c r="V1094" s="8"/>
      <c r="W1094" s="8"/>
      <c r="X1094" s="8"/>
      <c r="Y1094" s="8"/>
      <c r="Z1094" s="8"/>
    </row>
    <row r="1095" spans="1:26" ht="13.2">
      <c r="A1095" s="13">
        <v>44250.521539351852</v>
      </c>
      <c r="B1095" s="6" t="str">
        <f>HYPERLINK("https://twitter.com/Dicedotcom","@Dicedotcom")</f>
        <v>@Dicedotcom</v>
      </c>
      <c r="C1095" s="7" t="s">
        <v>4851</v>
      </c>
      <c r="D1095" s="14" t="s">
        <v>4852</v>
      </c>
      <c r="E1095" s="6" t="str">
        <f>HYPERLINK("https://twitter.com/Dicedotcom/status/1364175929631727616","1364175929631727616")</f>
        <v>1364175929631727616</v>
      </c>
      <c r="F1095" s="7" t="s">
        <v>4853</v>
      </c>
      <c r="G1095" s="7" t="s">
        <v>4854</v>
      </c>
      <c r="H1095" s="8"/>
      <c r="I1095" s="14">
        <v>1</v>
      </c>
      <c r="J1095" s="14">
        <v>5</v>
      </c>
      <c r="K1095" s="6" t="str">
        <f t="shared" si="180"/>
        <v>Sprout Social</v>
      </c>
      <c r="L1095" s="15">
        <v>30047</v>
      </c>
      <c r="M1095" s="15">
        <v>18326</v>
      </c>
      <c r="N1095" s="15">
        <v>1194</v>
      </c>
      <c r="O1095" s="15" t="s">
        <v>130</v>
      </c>
      <c r="P1095" s="10">
        <v>39890.53833333333</v>
      </c>
      <c r="Q1095" s="14" t="s">
        <v>4855</v>
      </c>
      <c r="R1095" s="14" t="s">
        <v>4856</v>
      </c>
      <c r="S1095" s="7" t="s">
        <v>4857</v>
      </c>
      <c r="T1095" s="8"/>
      <c r="U1095" s="11" t="str">
        <f>HYPERLINK("https://pbs.twimg.com/profile_images/1270772805244727298/umnQiz8K.png","View")</f>
        <v>View</v>
      </c>
      <c r="V1095" s="8"/>
      <c r="W1095" s="8"/>
      <c r="X1095" s="8"/>
      <c r="Y1095" s="8"/>
      <c r="Z1095" s="8"/>
    </row>
    <row r="1096" spans="1:26" ht="13.2">
      <c r="A1096" s="13">
        <v>44250.521504629629</v>
      </c>
      <c r="B1096" s="6" t="str">
        <f>HYPERLINK("https://twitter.com/Prashanth_NS","@Prashanth_NS")</f>
        <v>@Prashanth_NS</v>
      </c>
      <c r="C1096" s="14" t="s">
        <v>4423</v>
      </c>
      <c r="D1096" s="14" t="s">
        <v>4858</v>
      </c>
      <c r="E1096" s="6" t="str">
        <f>HYPERLINK("https://twitter.com/Prashanth_NS/status/1364175917807853576","1364175917807853576")</f>
        <v>1364175917807853576</v>
      </c>
      <c r="F1096" s="7" t="s">
        <v>4425</v>
      </c>
      <c r="G1096" s="8"/>
      <c r="H1096" s="8"/>
      <c r="I1096" s="14">
        <v>10</v>
      </c>
      <c r="J1096" s="14">
        <v>5</v>
      </c>
      <c r="K1096" s="6" t="str">
        <f>HYPERLINK("http://twitter.com/download/android","Twitter for Android")</f>
        <v>Twitter for Android</v>
      </c>
      <c r="L1096" s="15">
        <v>1167</v>
      </c>
      <c r="M1096" s="15">
        <v>53</v>
      </c>
      <c r="N1096" s="15">
        <v>140</v>
      </c>
      <c r="O1096" s="9"/>
      <c r="P1096" s="10">
        <v>42120.421909722223</v>
      </c>
      <c r="Q1096" s="14" t="s">
        <v>1742</v>
      </c>
      <c r="R1096" s="14" t="s">
        <v>4426</v>
      </c>
      <c r="S1096" s="8"/>
      <c r="T1096" s="8"/>
      <c r="U1096" s="11" t="str">
        <f>HYPERLINK("https://pbs.twimg.com/profile_images/1301374040414674945/J38_bT2D.jpg","View")</f>
        <v>View</v>
      </c>
      <c r="V1096" s="8"/>
      <c r="W1096" s="8"/>
      <c r="X1096" s="8"/>
      <c r="Y1096" s="8"/>
      <c r="Z1096" s="8"/>
    </row>
    <row r="1097" spans="1:26" ht="13.2">
      <c r="A1097" s="13">
        <v>44250.521284722221</v>
      </c>
      <c r="B1097" s="6" t="str">
        <f>HYPERLINK("https://twitter.com/latentview","@latentview")</f>
        <v>@latentview</v>
      </c>
      <c r="C1097" s="14" t="s">
        <v>4859</v>
      </c>
      <c r="D1097" s="14" t="s">
        <v>4860</v>
      </c>
      <c r="E1097" s="6" t="str">
        <f>HYPERLINK("https://twitter.com/latentview/status/1364175839617683456","1364175839617683456")</f>
        <v>1364175839617683456</v>
      </c>
      <c r="F1097" s="7" t="s">
        <v>4861</v>
      </c>
      <c r="G1097" s="7" t="s">
        <v>4862</v>
      </c>
      <c r="H1097" s="8"/>
      <c r="I1097" s="14">
        <v>0</v>
      </c>
      <c r="J1097" s="14">
        <v>3</v>
      </c>
      <c r="K1097" s="6" t="str">
        <f t="shared" ref="K1097:K1098" si="181">HYPERLINK("https://mobile.twitter.com","Twitter Web App")</f>
        <v>Twitter Web App</v>
      </c>
      <c r="L1097" s="15">
        <v>3905</v>
      </c>
      <c r="M1097" s="15">
        <v>557</v>
      </c>
      <c r="N1097" s="15">
        <v>582</v>
      </c>
      <c r="O1097" s="9"/>
      <c r="P1097" s="10">
        <v>40053.602731481486</v>
      </c>
      <c r="Q1097" s="14" t="s">
        <v>2679</v>
      </c>
      <c r="R1097" s="14" t="s">
        <v>4863</v>
      </c>
      <c r="S1097" s="7" t="s">
        <v>4864</v>
      </c>
      <c r="T1097" s="8"/>
      <c r="U1097" s="11" t="str">
        <f>HYPERLINK("https://pbs.twimg.com/profile_images/749814119625203712/6Dn9dBVF.jpg","View")</f>
        <v>View</v>
      </c>
      <c r="V1097" s="8"/>
      <c r="W1097" s="8"/>
      <c r="X1097" s="8"/>
      <c r="Y1097" s="8"/>
      <c r="Z1097" s="8"/>
    </row>
    <row r="1098" spans="1:26" ht="13.2">
      <c r="A1098" s="13">
        <v>44250.521284722221</v>
      </c>
      <c r="B1098" s="6" t="str">
        <f>HYPERLINK("https://twitter.com/urmacht","@urmacht")</f>
        <v>@urmacht</v>
      </c>
      <c r="C1098" s="14" t="s">
        <v>4865</v>
      </c>
      <c r="D1098" s="14" t="s">
        <v>4866</v>
      </c>
      <c r="E1098" s="6" t="str">
        <f>HYPERLINK("https://twitter.com/urmacht/status/1364175839550705669","1364175839550705669")</f>
        <v>1364175839550705669</v>
      </c>
      <c r="F1098" s="14" t="s">
        <v>4867</v>
      </c>
      <c r="G1098" s="7" t="s">
        <v>4868</v>
      </c>
      <c r="H1098" s="8"/>
      <c r="I1098" s="14">
        <v>0</v>
      </c>
      <c r="J1098" s="14">
        <v>3</v>
      </c>
      <c r="K1098" s="6" t="str">
        <f t="shared" si="181"/>
        <v>Twitter Web App</v>
      </c>
      <c r="L1098" s="15">
        <v>47196</v>
      </c>
      <c r="M1098" s="15">
        <v>3173</v>
      </c>
      <c r="N1098" s="15">
        <v>23</v>
      </c>
      <c r="O1098" s="9"/>
      <c r="P1098" s="10">
        <v>41982.50068287037</v>
      </c>
      <c r="Q1098" s="14" t="s">
        <v>4869</v>
      </c>
      <c r="R1098" s="14" t="s">
        <v>4870</v>
      </c>
      <c r="S1098" s="7" t="s">
        <v>4871</v>
      </c>
      <c r="T1098" s="8"/>
      <c r="U1098" s="11" t="str">
        <f>HYPERLINK("https://pbs.twimg.com/profile_images/1280464486743375873/WreJ4oUD.jpg","View")</f>
        <v>View</v>
      </c>
      <c r="V1098" s="8"/>
      <c r="W1098" s="8"/>
      <c r="X1098" s="8"/>
      <c r="Y1098" s="8"/>
      <c r="Z1098" s="8"/>
    </row>
    <row r="1099" spans="1:26" ht="13.2">
      <c r="A1099" s="13">
        <v>44250.521041666667</v>
      </c>
      <c r="B1099" s="6" t="str">
        <f>HYPERLINK("https://twitter.com/SMEBOOK_","@SMEBOOK_")</f>
        <v>@SMEBOOK_</v>
      </c>
      <c r="C1099" s="14" t="s">
        <v>4872</v>
      </c>
      <c r="D1099" s="14" t="s">
        <v>4873</v>
      </c>
      <c r="E1099" s="6" t="str">
        <f>HYPERLINK("https://twitter.com/SMEBOOK_/status/1364175751231201284","1364175751231201284")</f>
        <v>1364175751231201284</v>
      </c>
      <c r="F1099" s="7" t="s">
        <v>4874</v>
      </c>
      <c r="G1099" s="8"/>
      <c r="H1099" s="8"/>
      <c r="I1099" s="14">
        <v>0</v>
      </c>
      <c r="J1099" s="14">
        <v>0</v>
      </c>
      <c r="K1099" s="6" t="str">
        <f>HYPERLINK("https://www.hootsuite.com","Hootsuite Inc.")</f>
        <v>Hootsuite Inc.</v>
      </c>
      <c r="L1099" s="15">
        <v>168</v>
      </c>
      <c r="M1099" s="15">
        <v>158</v>
      </c>
      <c r="N1099" s="15">
        <v>12</v>
      </c>
      <c r="O1099" s="9"/>
      <c r="P1099" s="10">
        <v>41692.667939814812</v>
      </c>
      <c r="Q1099" s="14" t="s">
        <v>2396</v>
      </c>
      <c r="R1099" s="14" t="s">
        <v>4875</v>
      </c>
      <c r="S1099" s="7" t="s">
        <v>4876</v>
      </c>
      <c r="T1099" s="8"/>
      <c r="U1099" s="11" t="str">
        <f>HYPERLINK("https://pbs.twimg.com/profile_images/1175510589143224328/EXuYDoqP.jpg","View")</f>
        <v>View</v>
      </c>
      <c r="V1099" s="8"/>
      <c r="W1099" s="8"/>
      <c r="X1099" s="8"/>
      <c r="Y1099" s="8"/>
      <c r="Z1099" s="8"/>
    </row>
    <row r="1100" spans="1:26" ht="13.2">
      <c r="A1100" s="13">
        <v>44250.521018518513</v>
      </c>
      <c r="B1100" s="6" t="str">
        <f>HYPERLINK("https://twitter.com/JustTwi","@JustTwi")</f>
        <v>@JustTwi</v>
      </c>
      <c r="C1100" s="14" t="s">
        <v>4877</v>
      </c>
      <c r="D1100" s="14" t="s">
        <v>4878</v>
      </c>
      <c r="E1100" s="6" t="str">
        <f>HYPERLINK("https://twitter.com/JustTwi/status/1364175742674874368","1364175742674874368")</f>
        <v>1364175742674874368</v>
      </c>
      <c r="F1100" s="8"/>
      <c r="G1100" s="8"/>
      <c r="H1100" s="8"/>
      <c r="I1100" s="14">
        <v>1</v>
      </c>
      <c r="J1100" s="14">
        <v>1</v>
      </c>
      <c r="K1100" s="6" t="str">
        <f>HYPERLINK("https://buffer.com","Buffer")</f>
        <v>Buffer</v>
      </c>
      <c r="L1100" s="15">
        <v>1436</v>
      </c>
      <c r="M1100" s="15">
        <v>1119</v>
      </c>
      <c r="N1100" s="15">
        <v>258</v>
      </c>
      <c r="O1100" s="9"/>
      <c r="P1100" s="10">
        <v>39981.248993055553</v>
      </c>
      <c r="Q1100" s="14" t="s">
        <v>2167</v>
      </c>
      <c r="R1100" s="14" t="s">
        <v>4879</v>
      </c>
      <c r="S1100" s="7" t="s">
        <v>4880</v>
      </c>
      <c r="T1100" s="8"/>
      <c r="U1100" s="11" t="str">
        <f>HYPERLINK("https://pbs.twimg.com/profile_images/1283637567603130368/A5RQ8_xh.jpg","View")</f>
        <v>View</v>
      </c>
      <c r="V1100" s="8"/>
      <c r="W1100" s="8"/>
      <c r="X1100" s="8"/>
      <c r="Y1100" s="8"/>
      <c r="Z1100" s="8"/>
    </row>
    <row r="1101" spans="1:26" ht="13.2">
      <c r="A1101" s="13">
        <v>44250.520983796298</v>
      </c>
      <c r="B1101" s="6" t="str">
        <f>HYPERLINK("https://twitter.com/BluePi_In","@BluePi_In")</f>
        <v>@BluePi_In</v>
      </c>
      <c r="C1101" s="14" t="s">
        <v>4881</v>
      </c>
      <c r="D1101" s="14" t="s">
        <v>4882</v>
      </c>
      <c r="E1101" s="6" t="str">
        <f>HYPERLINK("https://twitter.com/BluePi_In/status/1364175728380633090","1364175728380633090")</f>
        <v>1364175728380633090</v>
      </c>
      <c r="F1101" s="7" t="s">
        <v>4883</v>
      </c>
      <c r="G1101" s="7" t="s">
        <v>4884</v>
      </c>
      <c r="H1101" s="8"/>
      <c r="I1101" s="14">
        <v>1</v>
      </c>
      <c r="J1101" s="14">
        <v>2</v>
      </c>
      <c r="K1101" s="6" t="str">
        <f t="shared" ref="K1101:K1102" si="182">HYPERLINK("https://www.hootsuite.com","Hootsuite Inc.")</f>
        <v>Hootsuite Inc.</v>
      </c>
      <c r="L1101" s="15">
        <v>1580</v>
      </c>
      <c r="M1101" s="15">
        <v>1577</v>
      </c>
      <c r="N1101" s="15">
        <v>730</v>
      </c>
      <c r="O1101" s="9"/>
      <c r="P1101" s="10">
        <v>41332.308333333334</v>
      </c>
      <c r="Q1101" s="14" t="s">
        <v>2102</v>
      </c>
      <c r="R1101" s="14" t="s">
        <v>4885</v>
      </c>
      <c r="S1101" s="7" t="s">
        <v>4886</v>
      </c>
      <c r="T1101" s="8"/>
      <c r="U1101" s="11" t="str">
        <f>HYPERLINK("https://pbs.twimg.com/profile_images/1214427688905003009/XFVLhGUU.png","View")</f>
        <v>View</v>
      </c>
      <c r="V1101" s="8"/>
      <c r="W1101" s="8"/>
      <c r="X1101" s="8"/>
      <c r="Y1101" s="8"/>
      <c r="Z1101" s="8"/>
    </row>
    <row r="1102" spans="1:26" ht="13.2">
      <c r="A1102" s="13">
        <v>44250.520925925928</v>
      </c>
      <c r="B1102" s="6" t="str">
        <f>HYPERLINK("https://twitter.com/designnation20","@designnation20")</f>
        <v>@designnation20</v>
      </c>
      <c r="C1102" s="14" t="s">
        <v>4887</v>
      </c>
      <c r="D1102" s="14" t="s">
        <v>4888</v>
      </c>
      <c r="E1102" s="6" t="str">
        <f>HYPERLINK("https://twitter.com/designnation20/status/1364175707354632193","1364175707354632193")</f>
        <v>1364175707354632193</v>
      </c>
      <c r="F1102" s="7" t="s">
        <v>4889</v>
      </c>
      <c r="G1102" s="8"/>
      <c r="H1102" s="8"/>
      <c r="I1102" s="14">
        <v>7</v>
      </c>
      <c r="J1102" s="14">
        <v>6</v>
      </c>
      <c r="K1102" s="6" t="str">
        <f t="shared" si="182"/>
        <v>Hootsuite Inc.</v>
      </c>
      <c r="L1102" s="15">
        <v>94</v>
      </c>
      <c r="M1102" s="15">
        <v>161</v>
      </c>
      <c r="N1102" s="15">
        <v>0</v>
      </c>
      <c r="O1102" s="9"/>
      <c r="P1102" s="10">
        <v>43936.451412037037</v>
      </c>
      <c r="Q1102" s="14" t="s">
        <v>4890</v>
      </c>
      <c r="R1102" s="14" t="s">
        <v>4891</v>
      </c>
      <c r="S1102" s="7" t="s">
        <v>4892</v>
      </c>
      <c r="T1102" s="8"/>
      <c r="U1102" s="11" t="str">
        <f>HYPERLINK("https://pbs.twimg.com/profile_images/1285972465571647489/OoVAc2X9.jpg","View")</f>
        <v>View</v>
      </c>
      <c r="V1102" s="8"/>
      <c r="W1102" s="8"/>
      <c r="X1102" s="8"/>
      <c r="Y1102" s="8"/>
      <c r="Z1102" s="8"/>
    </row>
    <row r="1103" spans="1:26" ht="13.2">
      <c r="A1103" s="13">
        <v>44250.520833333328</v>
      </c>
      <c r="B1103" s="6" t="str">
        <f>HYPERLINK("https://twitter.com/enricomolinari","@enricomolinari")</f>
        <v>@enricomolinari</v>
      </c>
      <c r="C1103" s="14" t="s">
        <v>4893</v>
      </c>
      <c r="D1103" s="14" t="s">
        <v>4894</v>
      </c>
      <c r="E1103" s="6" t="str">
        <f>HYPERLINK("https://twitter.com/enricomolinari/status/1364175675599560708","1364175675599560708")</f>
        <v>1364175675599560708</v>
      </c>
      <c r="F1103" s="7" t="s">
        <v>4895</v>
      </c>
      <c r="G1103" s="7" t="s">
        <v>4896</v>
      </c>
      <c r="H1103" s="8"/>
      <c r="I1103" s="14">
        <v>6</v>
      </c>
      <c r="J1103" s="14">
        <v>13</v>
      </c>
      <c r="K1103" s="6" t="str">
        <f>HYPERLINK("https://mobile.twitter.com","Twitter Web App")</f>
        <v>Twitter Web App</v>
      </c>
      <c r="L1103" s="15">
        <v>32104</v>
      </c>
      <c r="M1103" s="15">
        <v>6049</v>
      </c>
      <c r="N1103" s="15">
        <v>468</v>
      </c>
      <c r="O1103" s="9"/>
      <c r="P1103" s="10">
        <v>40076.080335648148</v>
      </c>
      <c r="Q1103" s="14" t="s">
        <v>4897</v>
      </c>
      <c r="R1103" s="14" t="s">
        <v>4898</v>
      </c>
      <c r="S1103" s="7" t="s">
        <v>4899</v>
      </c>
      <c r="T1103" s="8"/>
      <c r="U1103" s="11" t="str">
        <f>HYPERLINK("https://pbs.twimg.com/profile_images/1089894324001742848/rBFMek1N.jpg","View")</f>
        <v>View</v>
      </c>
      <c r="V1103" s="8"/>
      <c r="W1103" s="8"/>
      <c r="X1103" s="8"/>
      <c r="Y1103" s="8"/>
      <c r="Z1103" s="8"/>
    </row>
    <row r="1104" spans="1:26" ht="13.2">
      <c r="A1104" s="13">
        <v>44250.520104166666</v>
      </c>
      <c r="B1104" s="6" t="str">
        <f>HYPERLINK("https://twitter.com/R_Demidchuk","@R_Demidchuk")</f>
        <v>@R_Demidchuk</v>
      </c>
      <c r="C1104" s="14" t="s">
        <v>4900</v>
      </c>
      <c r="D1104" s="14" t="s">
        <v>4901</v>
      </c>
      <c r="E1104" s="6" t="str">
        <f>HYPERLINK("https://twitter.com/R_Demidchuk/status/1364175411060613120","1364175411060613120")</f>
        <v>1364175411060613120</v>
      </c>
      <c r="F1104" s="7" t="s">
        <v>4902</v>
      </c>
      <c r="G1104" s="7" t="s">
        <v>4903</v>
      </c>
      <c r="H1104" s="8"/>
      <c r="I1104" s="14">
        <v>20</v>
      </c>
      <c r="J1104" s="14">
        <v>17</v>
      </c>
      <c r="K1104" s="6" t="str">
        <f>HYPERLINK("http://twitter.com/download/iphone","Twitter for iPhone")</f>
        <v>Twitter for iPhone</v>
      </c>
      <c r="L1104" s="15">
        <v>2850</v>
      </c>
      <c r="M1104" s="15">
        <v>150</v>
      </c>
      <c r="N1104" s="15">
        <v>50</v>
      </c>
      <c r="O1104" s="9"/>
      <c r="P1104" s="10">
        <v>42628.930127314816</v>
      </c>
      <c r="Q1104" s="8"/>
      <c r="R1104" s="14" t="s">
        <v>4904</v>
      </c>
      <c r="S1104" s="8"/>
      <c r="T1104" s="8"/>
      <c r="U1104" s="11" t="str">
        <f>HYPERLINK("https://pbs.twimg.com/profile_images/1191327481778855942/ofxyww5Y.jpg","View")</f>
        <v>View</v>
      </c>
      <c r="V1104" s="8"/>
      <c r="W1104" s="8"/>
      <c r="X1104" s="8"/>
      <c r="Y1104" s="8"/>
      <c r="Z1104" s="8"/>
    </row>
    <row r="1105" spans="1:26" ht="13.2">
      <c r="A1105" s="13">
        <v>44250.52008101852</v>
      </c>
      <c r="B1105" s="6" t="str">
        <f>HYPERLINK("https://twitter.com/FrRonconi","@FrRonconi")</f>
        <v>@FrRonconi</v>
      </c>
      <c r="C1105" s="14" t="s">
        <v>1513</v>
      </c>
      <c r="D1105" s="14" t="s">
        <v>4905</v>
      </c>
      <c r="E1105" s="6" t="str">
        <f>HYPERLINK("https://twitter.com/FrRonconi/status/1364175402835587074","1364175402835587074")</f>
        <v>1364175402835587074</v>
      </c>
      <c r="F1105" s="8"/>
      <c r="G1105" s="7" t="s">
        <v>4906</v>
      </c>
      <c r="H1105" s="8"/>
      <c r="I1105" s="14">
        <v>11</v>
      </c>
      <c r="J1105" s="14">
        <v>11</v>
      </c>
      <c r="K1105" s="6" t="str">
        <f t="shared" ref="K1105:K1107" si="183">HYPERLINK("https://mobile.twitter.com","Twitter Web App")</f>
        <v>Twitter Web App</v>
      </c>
      <c r="L1105" s="15">
        <v>27982</v>
      </c>
      <c r="M1105" s="15">
        <v>2430</v>
      </c>
      <c r="N1105" s="15">
        <v>712</v>
      </c>
      <c r="O1105" s="9"/>
      <c r="P1105" s="10">
        <v>41401.436574074076</v>
      </c>
      <c r="Q1105" s="14" t="s">
        <v>1516</v>
      </c>
      <c r="R1105" s="14" t="s">
        <v>1517</v>
      </c>
      <c r="S1105" s="7" t="s">
        <v>1518</v>
      </c>
      <c r="T1105" s="8"/>
      <c r="U1105" s="11" t="str">
        <f>HYPERLINK("https://pbs.twimg.com/profile_images/1271860204775276547/JPkzj0EM.jpg","View")</f>
        <v>View</v>
      </c>
      <c r="V1105" s="8"/>
      <c r="W1105" s="8"/>
      <c r="X1105" s="8"/>
      <c r="Y1105" s="8"/>
      <c r="Z1105" s="8"/>
    </row>
    <row r="1106" spans="1:26" ht="13.2">
      <c r="A1106" s="13">
        <v>44250.519421296296</v>
      </c>
      <c r="B1106" s="6" t="str">
        <f>HYPERLINK("https://twitter.com/AllaKos_Dev","@AllaKos_Dev")</f>
        <v>@AllaKos_Dev</v>
      </c>
      <c r="C1106" s="14" t="s">
        <v>4907</v>
      </c>
      <c r="D1106" s="14" t="s">
        <v>4908</v>
      </c>
      <c r="E1106" s="6" t="str">
        <f>HYPERLINK("https://twitter.com/AllaKos_Dev/status/1364175161835089921","1364175161835089921")</f>
        <v>1364175161835089921</v>
      </c>
      <c r="F1106" s="7" t="s">
        <v>4909</v>
      </c>
      <c r="G1106" s="7" t="s">
        <v>4910</v>
      </c>
      <c r="H1106" s="8"/>
      <c r="I1106" s="14">
        <v>0</v>
      </c>
      <c r="J1106" s="14">
        <v>2</v>
      </c>
      <c r="K1106" s="6" t="str">
        <f t="shared" si="183"/>
        <v>Twitter Web App</v>
      </c>
      <c r="L1106" s="15">
        <v>3192</v>
      </c>
      <c r="M1106" s="15">
        <v>2221</v>
      </c>
      <c r="N1106" s="15">
        <v>196</v>
      </c>
      <c r="O1106" s="9"/>
      <c r="P1106" s="10">
        <v>42260.03743055556</v>
      </c>
      <c r="Q1106" s="14" t="s">
        <v>1104</v>
      </c>
      <c r="R1106" s="14" t="s">
        <v>4911</v>
      </c>
      <c r="S1106" s="7" t="s">
        <v>4912</v>
      </c>
      <c r="T1106" s="8"/>
      <c r="U1106" s="11" t="str">
        <f>HYPERLINK("https://pbs.twimg.com/profile_images/989573094623842304/ACTAsGCZ.jpg","View")</f>
        <v>View</v>
      </c>
      <c r="V1106" s="8"/>
      <c r="W1106" s="8"/>
      <c r="X1106" s="8"/>
      <c r="Y1106" s="8"/>
      <c r="Z1106" s="8"/>
    </row>
    <row r="1107" spans="1:26" ht="13.2">
      <c r="A1107" s="13">
        <v>44250.519363425927</v>
      </c>
      <c r="B1107" s="6" t="str">
        <f>HYPERLINK("https://twitter.com/BlackWomenInAI","@BlackWomenInAI")</f>
        <v>@BlackWomenInAI</v>
      </c>
      <c r="C1107" s="14" t="s">
        <v>4913</v>
      </c>
      <c r="D1107" s="14" t="s">
        <v>4914</v>
      </c>
      <c r="E1107" s="6" t="str">
        <f>HYPERLINK("https://twitter.com/BlackWomenInAI/status/1364175142784438273","1364175142784438273")</f>
        <v>1364175142784438273</v>
      </c>
      <c r="F1107" s="8"/>
      <c r="G1107" s="7" t="s">
        <v>4915</v>
      </c>
      <c r="H1107" s="8"/>
      <c r="I1107" s="14">
        <v>17</v>
      </c>
      <c r="J1107" s="14">
        <v>11</v>
      </c>
      <c r="K1107" s="6" t="str">
        <f t="shared" si="183"/>
        <v>Twitter Web App</v>
      </c>
      <c r="L1107" s="15">
        <v>2602</v>
      </c>
      <c r="M1107" s="15">
        <v>561</v>
      </c>
      <c r="N1107" s="15">
        <v>62</v>
      </c>
      <c r="O1107" s="9"/>
      <c r="P1107" s="10">
        <v>43093.338275462964</v>
      </c>
      <c r="Q1107" s="14" t="s">
        <v>1815</v>
      </c>
      <c r="R1107" s="14" t="s">
        <v>4916</v>
      </c>
      <c r="S1107" s="7" t="s">
        <v>4917</v>
      </c>
      <c r="T1107" s="8"/>
      <c r="U1107" s="11" t="str">
        <f>HYPERLINK("https://pbs.twimg.com/profile_images/1128561130857742336/HEk8TZ7g.png","View")</f>
        <v>View</v>
      </c>
      <c r="V1107" s="8"/>
      <c r="W1107" s="8"/>
      <c r="X1107" s="8"/>
      <c r="Y1107" s="8"/>
      <c r="Z1107" s="8"/>
    </row>
    <row r="1108" spans="1:26" ht="13.2">
      <c r="A1108" s="13">
        <v>44250.519328703704</v>
      </c>
      <c r="B1108" s="6" t="str">
        <f>HYPERLINK("https://twitter.com/MinuteArticle","@MinuteArticle")</f>
        <v>@MinuteArticle</v>
      </c>
      <c r="C1108" s="14" t="s">
        <v>4918</v>
      </c>
      <c r="D1108" s="14" t="s">
        <v>4919</v>
      </c>
      <c r="E1108" s="6" t="str">
        <f>HYPERLINK("https://twitter.com/MinuteArticle/status/1364175127005589506","1364175127005589506")</f>
        <v>1364175127005589506</v>
      </c>
      <c r="F1108" s="8"/>
      <c r="G1108" s="8"/>
      <c r="H1108" s="8"/>
      <c r="I1108" s="14">
        <v>6</v>
      </c>
      <c r="J1108" s="14">
        <v>3</v>
      </c>
      <c r="K1108" s="6" t="str">
        <f>HYPERLINK("http://twitter.com/#!/download/ipad","Twitter for iPad")</f>
        <v>Twitter for iPad</v>
      </c>
      <c r="L1108" s="15">
        <v>289</v>
      </c>
      <c r="M1108" s="15">
        <v>278</v>
      </c>
      <c r="N1108" s="15">
        <v>1</v>
      </c>
      <c r="O1108" s="9"/>
      <c r="P1108" s="10">
        <v>43982.79487268519</v>
      </c>
      <c r="Q1108" s="8"/>
      <c r="R1108" s="14" t="s">
        <v>4920</v>
      </c>
      <c r="S1108" s="7" t="s">
        <v>4921</v>
      </c>
      <c r="T1108" s="8"/>
      <c r="U1108" s="11" t="str">
        <f>HYPERLINK("https://pbs.twimg.com/profile_images/1278405211250360326/kirhwi-C.jpg","View")</f>
        <v>View</v>
      </c>
      <c r="V1108" s="8"/>
      <c r="W1108" s="8"/>
      <c r="X1108" s="8"/>
      <c r="Y1108" s="8"/>
      <c r="Z1108" s="8"/>
    </row>
    <row r="1109" spans="1:26" ht="13.2">
      <c r="A1109" s="13">
        <v>44250.519201388888</v>
      </c>
      <c r="B1109" s="6" t="str">
        <f>HYPERLINK("https://twitter.com/DS_Analytics","@DS_Analytics")</f>
        <v>@DS_Analytics</v>
      </c>
      <c r="C1109" s="14" t="s">
        <v>2389</v>
      </c>
      <c r="D1109" s="14" t="s">
        <v>4922</v>
      </c>
      <c r="E1109" s="6" t="str">
        <f>HYPERLINK("https://twitter.com/DS_Analytics/status/1364175081333796867","1364175081333796867")</f>
        <v>1364175081333796867</v>
      </c>
      <c r="F1109" s="7" t="s">
        <v>4923</v>
      </c>
      <c r="G1109" s="8"/>
      <c r="H1109" s="8"/>
      <c r="I1109" s="14">
        <v>3</v>
      </c>
      <c r="J1109" s="14">
        <v>3</v>
      </c>
      <c r="K1109" s="6" t="str">
        <f>HYPERLINK("https://ifttt.com","IFTTT")</f>
        <v>IFTTT</v>
      </c>
      <c r="L1109" s="15">
        <v>4945</v>
      </c>
      <c r="M1109" s="15">
        <v>4504</v>
      </c>
      <c r="N1109" s="15">
        <v>46</v>
      </c>
      <c r="O1109" s="9"/>
      <c r="P1109" s="10">
        <v>43019.662314814814</v>
      </c>
      <c r="Q1109" s="8"/>
      <c r="R1109" s="14" t="s">
        <v>2392</v>
      </c>
      <c r="S1109" s="8"/>
      <c r="T1109" s="8"/>
      <c r="U1109" s="11" t="str">
        <f>HYPERLINK("https://pbs.twimg.com/profile_images/955817556635504640/FflsX454.jpg","View")</f>
        <v>View</v>
      </c>
      <c r="V1109" s="8"/>
      <c r="W1109" s="8"/>
      <c r="X1109" s="8"/>
      <c r="Y1109" s="8"/>
      <c r="Z1109" s="8"/>
    </row>
    <row r="1110" spans="1:26" ht="13.2">
      <c r="A1110" s="13">
        <v>44250.519085648149</v>
      </c>
      <c r="B1110" s="6" t="str">
        <f>HYPERLINK("https://twitter.com/max_jr","@max_jr")</f>
        <v>@max_jr</v>
      </c>
      <c r="C1110" s="14" t="s">
        <v>4837</v>
      </c>
      <c r="D1110" s="14" t="s">
        <v>4924</v>
      </c>
      <c r="E1110" s="6" t="str">
        <f>HYPERLINK("https://twitter.com/max_jr/status/1364175039092957186","1364175039092957186")</f>
        <v>1364175039092957186</v>
      </c>
      <c r="F1110" s="14" t="s">
        <v>4925</v>
      </c>
      <c r="G1110" s="7" t="s">
        <v>4926</v>
      </c>
      <c r="H1110" s="8"/>
      <c r="I1110" s="14">
        <v>0</v>
      </c>
      <c r="J1110" s="14">
        <v>0</v>
      </c>
      <c r="K1110" s="6" t="str">
        <f>HYPERLINK("http://twitter.com/download/android","Twitter for Android")</f>
        <v>Twitter for Android</v>
      </c>
      <c r="L1110" s="15">
        <v>172</v>
      </c>
      <c r="M1110" s="15">
        <v>352</v>
      </c>
      <c r="N1110" s="15">
        <v>0</v>
      </c>
      <c r="O1110" s="9"/>
      <c r="P1110" s="10">
        <v>39932.205914351856</v>
      </c>
      <c r="Q1110" s="14" t="s">
        <v>69</v>
      </c>
      <c r="R1110" s="14" t="s">
        <v>4840</v>
      </c>
      <c r="S1110" s="8"/>
      <c r="T1110" s="8"/>
      <c r="U1110" s="11" t="str">
        <f>HYPERLINK("https://pbs.twimg.com/profile_images/1249833371804602368/DDGcJWtQ.jpg","View")</f>
        <v>View</v>
      </c>
      <c r="V1110" s="8"/>
      <c r="W1110" s="8"/>
      <c r="X1110" s="8"/>
      <c r="Y1110" s="8"/>
      <c r="Z1110" s="8"/>
    </row>
    <row r="1111" spans="1:26" ht="13.2">
      <c r="A1111" s="13">
        <v>44250.518842592588</v>
      </c>
      <c r="B1111" s="6" t="str">
        <f>HYPERLINK("https://twitter.com/KimPgch","@KimPgch")</f>
        <v>@KimPgch</v>
      </c>
      <c r="C1111" s="14" t="s">
        <v>1311</v>
      </c>
      <c r="D1111" s="14" t="s">
        <v>4927</v>
      </c>
      <c r="E1111" s="6" t="str">
        <f>HYPERLINK("https://twitter.com/KimPgch/status/1364174952736452614","1364174952736452614")</f>
        <v>1364174952736452614</v>
      </c>
      <c r="F1111" s="14" t="s">
        <v>4928</v>
      </c>
      <c r="G1111" s="8"/>
      <c r="H1111" s="8"/>
      <c r="I1111" s="14">
        <v>3</v>
      </c>
      <c r="J1111" s="14">
        <v>3</v>
      </c>
      <c r="K1111" s="6" t="str">
        <f t="shared" ref="K1111:K1112" si="184">HYPERLINK("http://twinybots.com","TwinyBots")</f>
        <v>TwinyBots</v>
      </c>
      <c r="L1111" s="15">
        <v>5717</v>
      </c>
      <c r="M1111" s="15">
        <v>5802</v>
      </c>
      <c r="N1111" s="15">
        <v>37</v>
      </c>
      <c r="O1111" s="9"/>
      <c r="P1111" s="10">
        <v>41926.214687500003</v>
      </c>
      <c r="Q1111" s="14" t="s">
        <v>650</v>
      </c>
      <c r="R1111" s="14" t="s">
        <v>1314</v>
      </c>
      <c r="S1111" s="7" t="s">
        <v>1315</v>
      </c>
      <c r="T1111" s="8"/>
      <c r="U1111" s="11" t="str">
        <f>HYPERLINK("https://pbs.twimg.com/profile_images/525481353182072832/qd_bfvn9.jpeg","View")</f>
        <v>View</v>
      </c>
      <c r="V1111" s="8"/>
      <c r="W1111" s="8"/>
      <c r="X1111" s="8"/>
      <c r="Y1111" s="8"/>
      <c r="Z1111" s="8"/>
    </row>
    <row r="1112" spans="1:26" ht="13.2">
      <c r="A1112" s="13">
        <v>44250.518842592588</v>
      </c>
      <c r="B1112" s="6" t="str">
        <f>HYPERLINK("https://twitter.com/DigiTogether","@DigiTogether")</f>
        <v>@DigiTogether</v>
      </c>
      <c r="C1112" s="14" t="s">
        <v>4929</v>
      </c>
      <c r="D1112" s="14" t="s">
        <v>3165</v>
      </c>
      <c r="E1112" s="6" t="str">
        <f>HYPERLINK("https://twitter.com/DigiTogether/status/1364174951813681152","1364174951813681152")</f>
        <v>1364174951813681152</v>
      </c>
      <c r="F1112" s="7" t="s">
        <v>3166</v>
      </c>
      <c r="G1112" s="8"/>
      <c r="H1112" s="8"/>
      <c r="I1112" s="14">
        <v>1</v>
      </c>
      <c r="J1112" s="14">
        <v>2</v>
      </c>
      <c r="K1112" s="6" t="str">
        <f t="shared" si="184"/>
        <v>TwinyBots</v>
      </c>
      <c r="L1112" s="15">
        <v>1315</v>
      </c>
      <c r="M1112" s="15">
        <v>1065</v>
      </c>
      <c r="N1112" s="15">
        <v>32</v>
      </c>
      <c r="O1112" s="9"/>
      <c r="P1112" s="10">
        <v>43235.471435185187</v>
      </c>
      <c r="Q1112" s="14" t="s">
        <v>4930</v>
      </c>
      <c r="R1112" s="14" t="s">
        <v>4931</v>
      </c>
      <c r="S1112" s="8"/>
      <c r="T1112" s="8"/>
      <c r="U1112" s="11" t="str">
        <f>HYPERLINK("https://pbs.twimg.com/profile_images/1009625260008718336/9dsSgvwL.jpg","View")</f>
        <v>View</v>
      </c>
      <c r="V1112" s="8"/>
      <c r="W1112" s="8"/>
      <c r="X1112" s="8"/>
      <c r="Y1112" s="8"/>
      <c r="Z1112" s="8"/>
    </row>
    <row r="1113" spans="1:26" ht="13.2">
      <c r="A1113" s="13">
        <v>44250.518229166672</v>
      </c>
      <c r="B1113" s="6" t="str">
        <f>HYPERLINK("https://twitter.com/fenilmaisuria","@fenilmaisuria")</f>
        <v>@fenilmaisuria</v>
      </c>
      <c r="C1113" s="14" t="s">
        <v>4932</v>
      </c>
      <c r="D1113" s="14" t="s">
        <v>4933</v>
      </c>
      <c r="E1113" s="6" t="str">
        <f>HYPERLINK("https://twitter.com/fenilmaisuria/status/1364174728642977801","1364174728642977801")</f>
        <v>1364174728642977801</v>
      </c>
      <c r="F1113" s="8"/>
      <c r="G1113" s="7" t="s">
        <v>4934</v>
      </c>
      <c r="H1113" s="8"/>
      <c r="I1113" s="14">
        <v>1</v>
      </c>
      <c r="J1113" s="14">
        <v>3</v>
      </c>
      <c r="K1113" s="6" t="str">
        <f t="shared" ref="K1113:K1116" si="185">HYPERLINK("https://mobile.twitter.com","Twitter Web App")</f>
        <v>Twitter Web App</v>
      </c>
      <c r="L1113" s="15">
        <v>39</v>
      </c>
      <c r="M1113" s="15">
        <v>241</v>
      </c>
      <c r="N1113" s="15">
        <v>0</v>
      </c>
      <c r="O1113" s="9"/>
      <c r="P1113" s="10">
        <v>40656.406377314815</v>
      </c>
      <c r="Q1113" s="14" t="s">
        <v>4935</v>
      </c>
      <c r="R1113" s="14" t="s">
        <v>4936</v>
      </c>
      <c r="S1113" s="8"/>
      <c r="T1113" s="8"/>
      <c r="U1113" s="11" t="str">
        <f>HYPERLINK("https://pbs.twimg.com/profile_images/781110536968794112/7rbtV5Qk.jpg","View")</f>
        <v>View</v>
      </c>
      <c r="V1113" s="8"/>
      <c r="W1113" s="8"/>
      <c r="X1113" s="8"/>
      <c r="Y1113" s="8"/>
      <c r="Z1113" s="8"/>
    </row>
    <row r="1114" spans="1:26" ht="13.2">
      <c r="A1114" s="13">
        <v>44250.517476851848</v>
      </c>
      <c r="B1114" s="6" t="str">
        <f>HYPERLINK("https://twitter.com/HubPrefer","@HubPrefer")</f>
        <v>@HubPrefer</v>
      </c>
      <c r="C1114" s="14" t="s">
        <v>4937</v>
      </c>
      <c r="D1114" s="14" t="s">
        <v>4938</v>
      </c>
      <c r="E1114" s="6" t="str">
        <f>HYPERLINK("https://twitter.com/HubPrefer/status/1364174459297435656","1364174459297435656")</f>
        <v>1364174459297435656</v>
      </c>
      <c r="F1114" s="7" t="s">
        <v>4939</v>
      </c>
      <c r="G1114" s="8"/>
      <c r="H1114" s="8"/>
      <c r="I1114" s="14">
        <v>1</v>
      </c>
      <c r="J1114" s="14">
        <v>2</v>
      </c>
      <c r="K1114" s="6" t="str">
        <f t="shared" si="185"/>
        <v>Twitter Web App</v>
      </c>
      <c r="L1114" s="15">
        <v>16</v>
      </c>
      <c r="M1114" s="15">
        <v>0</v>
      </c>
      <c r="N1114" s="15">
        <v>0</v>
      </c>
      <c r="O1114" s="9"/>
      <c r="P1114" s="10">
        <v>43728.568113425921</v>
      </c>
      <c r="Q1114" s="8"/>
      <c r="R1114" s="8"/>
      <c r="S1114" s="8"/>
      <c r="T1114" s="8"/>
      <c r="U1114" s="11" t="str">
        <f>HYPERLINK("https://pbs.twimg.com/profile_images/1175011320749416453/XknGFPU5.png","View")</f>
        <v>View</v>
      </c>
      <c r="V1114" s="8"/>
      <c r="W1114" s="8"/>
      <c r="X1114" s="8"/>
      <c r="Y1114" s="8"/>
      <c r="Z1114" s="8"/>
    </row>
    <row r="1115" spans="1:26" ht="13.2">
      <c r="A1115" s="13">
        <v>44250.51734953704</v>
      </c>
      <c r="B1115" s="6" t="str">
        <f>HYPERLINK("https://twitter.com/ujjal95371221","@ujjal95371221")</f>
        <v>@ujjal95371221</v>
      </c>
      <c r="C1115" s="14" t="s">
        <v>4940</v>
      </c>
      <c r="D1115" s="14" t="s">
        <v>4941</v>
      </c>
      <c r="E1115" s="6" t="str">
        <f>HYPERLINK("https://twitter.com/ujjal95371221/status/1364174410228244488","1364174410228244488")</f>
        <v>1364174410228244488</v>
      </c>
      <c r="F1115" s="7" t="s">
        <v>4942</v>
      </c>
      <c r="G1115" s="7" t="s">
        <v>4943</v>
      </c>
      <c r="H1115" s="8"/>
      <c r="I1115" s="14">
        <v>27</v>
      </c>
      <c r="J1115" s="14">
        <v>15</v>
      </c>
      <c r="K1115" s="6" t="str">
        <f t="shared" si="185"/>
        <v>Twitter Web App</v>
      </c>
      <c r="L1115" s="15">
        <v>362</v>
      </c>
      <c r="M1115" s="15">
        <v>3677</v>
      </c>
      <c r="N1115" s="15">
        <v>1</v>
      </c>
      <c r="O1115" s="9"/>
      <c r="P1115" s="10">
        <v>42977.765381944446</v>
      </c>
      <c r="Q1115" s="8"/>
      <c r="R1115" s="14" t="s">
        <v>4944</v>
      </c>
      <c r="S1115" s="7" t="s">
        <v>4945</v>
      </c>
      <c r="T1115" s="8"/>
      <c r="U1115" s="11" t="str">
        <f>HYPERLINK("https://pbs.twimg.com/profile_images/1211649146429378560/Km5ZMQbf.jpg","View")</f>
        <v>View</v>
      </c>
      <c r="V1115" s="8"/>
      <c r="W1115" s="8"/>
      <c r="X1115" s="8"/>
      <c r="Y1115" s="8"/>
      <c r="Z1115" s="8"/>
    </row>
    <row r="1116" spans="1:26" ht="13.2">
      <c r="A1116" s="13">
        <v>44250.517106481479</v>
      </c>
      <c r="B1116" s="6" t="str">
        <f>HYPERLINK("https://twitter.com/getzegami","@getzegami")</f>
        <v>@getzegami</v>
      </c>
      <c r="C1116" s="14" t="s">
        <v>4946</v>
      </c>
      <c r="D1116" s="14" t="s">
        <v>4947</v>
      </c>
      <c r="E1116" s="6" t="str">
        <f>HYPERLINK("https://twitter.com/getzegami/status/1364174323477606405","1364174323477606405")</f>
        <v>1364174323477606405</v>
      </c>
      <c r="F1116" s="7" t="s">
        <v>4948</v>
      </c>
      <c r="G1116" s="7" t="s">
        <v>4949</v>
      </c>
      <c r="H1116" s="8"/>
      <c r="I1116" s="14">
        <v>1</v>
      </c>
      <c r="J1116" s="14">
        <v>2</v>
      </c>
      <c r="K1116" s="6" t="str">
        <f t="shared" si="185"/>
        <v>Twitter Web App</v>
      </c>
      <c r="L1116" s="15">
        <v>1042</v>
      </c>
      <c r="M1116" s="15">
        <v>787</v>
      </c>
      <c r="N1116" s="15">
        <v>96</v>
      </c>
      <c r="O1116" s="9"/>
      <c r="P1116" s="10">
        <v>41949.721122685187</v>
      </c>
      <c r="Q1116" s="14" t="s">
        <v>3679</v>
      </c>
      <c r="R1116" s="14" t="s">
        <v>4950</v>
      </c>
      <c r="S1116" s="7" t="s">
        <v>4951</v>
      </c>
      <c r="T1116" s="8"/>
      <c r="U1116" s="11" t="str">
        <f>HYPERLINK("https://pbs.twimg.com/profile_images/1041659497662607361/XfDv-Lej.jpg","View")</f>
        <v>View</v>
      </c>
      <c r="V1116" s="8"/>
      <c r="W1116" s="8"/>
      <c r="X1116" s="8"/>
      <c r="Y1116" s="8"/>
      <c r="Z1116" s="8"/>
    </row>
    <row r="1117" spans="1:26" ht="13.2">
      <c r="A1117" s="13">
        <v>44250.51697916667</v>
      </c>
      <c r="B1117" s="6" t="str">
        <f>HYPERLINK("https://twitter.com/onesaitplatform","@onesaitplatform")</f>
        <v>@onesaitplatform</v>
      </c>
      <c r="C1117" s="14" t="s">
        <v>4952</v>
      </c>
      <c r="D1117" s="14" t="s">
        <v>4953</v>
      </c>
      <c r="E1117" s="6" t="str">
        <f>HYPERLINK("https://twitter.com/onesaitplatform/status/1364174279345115141","1364174279345115141")</f>
        <v>1364174279345115141</v>
      </c>
      <c r="F1117" s="14" t="s">
        <v>4954</v>
      </c>
      <c r="G1117" s="7" t="s">
        <v>4955</v>
      </c>
      <c r="H1117" s="8"/>
      <c r="I1117" s="14">
        <v>0</v>
      </c>
      <c r="J1117" s="14">
        <v>0</v>
      </c>
      <c r="K1117" s="6" t="str">
        <f>HYPERLINK("http://twitter.com/download/android","Twitter for Android")</f>
        <v>Twitter for Android</v>
      </c>
      <c r="L1117" s="15">
        <v>275</v>
      </c>
      <c r="M1117" s="15">
        <v>13</v>
      </c>
      <c r="N1117" s="15">
        <v>0</v>
      </c>
      <c r="O1117" s="9"/>
      <c r="P1117" s="10">
        <v>43375.031759259262</v>
      </c>
      <c r="Q1117" s="14" t="s">
        <v>2931</v>
      </c>
      <c r="R1117" s="14" t="s">
        <v>4956</v>
      </c>
      <c r="S1117" s="7" t="s">
        <v>4957</v>
      </c>
      <c r="T1117" s="8"/>
      <c r="U1117" s="11" t="str">
        <f>HYPERLINK("https://pbs.twimg.com/profile_images/1169542192576245761/7I-7yI-u.png","View")</f>
        <v>View</v>
      </c>
      <c r="V1117" s="8"/>
      <c r="W1117" s="8"/>
      <c r="X1117" s="8"/>
      <c r="Y1117" s="8"/>
      <c r="Z1117" s="8"/>
    </row>
    <row r="1118" spans="1:26" ht="13.2">
      <c r="A1118" s="13">
        <v>44250.516886574071</v>
      </c>
      <c r="B1118" s="6" t="str">
        <f>HYPERLINK("https://twitter.com/annebonnerdata","@annebonnerdata")</f>
        <v>@annebonnerdata</v>
      </c>
      <c r="C1118" s="14" t="s">
        <v>4958</v>
      </c>
      <c r="D1118" s="14" t="s">
        <v>4959</v>
      </c>
      <c r="E1118" s="6" t="str">
        <f>HYPERLINK("https://twitter.com/annebonnerdata/status/1364174242619736072","1364174242619736072")</f>
        <v>1364174242619736072</v>
      </c>
      <c r="F1118" s="7" t="s">
        <v>4960</v>
      </c>
      <c r="G1118" s="8"/>
      <c r="H1118" s="8"/>
      <c r="I1118" s="14">
        <v>1</v>
      </c>
      <c r="J1118" s="14">
        <v>2</v>
      </c>
      <c r="K1118" s="6" t="str">
        <f>HYPERLINK("https://www.smedian.com","Penname")</f>
        <v>Penname</v>
      </c>
      <c r="L1118" s="15">
        <v>1852</v>
      </c>
      <c r="M1118" s="15">
        <v>1355</v>
      </c>
      <c r="N1118" s="15">
        <v>79</v>
      </c>
      <c r="O1118" s="9"/>
      <c r="P1118" s="10">
        <v>42208.21030092593</v>
      </c>
      <c r="Q1118" s="14" t="s">
        <v>4961</v>
      </c>
      <c r="R1118" s="14" t="s">
        <v>4962</v>
      </c>
      <c r="S1118" s="7" t="s">
        <v>4963</v>
      </c>
      <c r="T1118" s="8"/>
      <c r="U1118" s="11" t="str">
        <f>HYPERLINK("https://pbs.twimg.com/profile_images/1026960582430228481/qYrz9cyx.jpg","View")</f>
        <v>View</v>
      </c>
      <c r="V1118" s="8"/>
      <c r="W1118" s="8"/>
      <c r="X1118" s="8"/>
      <c r="Y1118" s="8"/>
      <c r="Z1118" s="8"/>
    </row>
    <row r="1119" spans="1:26" ht="13.2">
      <c r="A1119" s="13">
        <v>44250.515335648146</v>
      </c>
      <c r="B1119" s="6" t="str">
        <f>HYPERLINK("https://twitter.com/SpeedieCons","@SpeedieCons")</f>
        <v>@SpeedieCons</v>
      </c>
      <c r="C1119" s="14" t="s">
        <v>4964</v>
      </c>
      <c r="D1119" s="14" t="s">
        <v>4965</v>
      </c>
      <c r="E1119" s="6" t="str">
        <f>HYPERLINK("https://twitter.com/SpeedieCons/status/1364173682998935552","1364173682998935552")</f>
        <v>1364173682998935552</v>
      </c>
      <c r="F1119" s="7" t="s">
        <v>4966</v>
      </c>
      <c r="G1119" s="8"/>
      <c r="H1119" s="8"/>
      <c r="I1119" s="14">
        <v>4</v>
      </c>
      <c r="J1119" s="14">
        <v>5</v>
      </c>
      <c r="K1119" s="6" t="str">
        <f>HYPERLINK("https://mobile.twitter.com","Twitter Web App")</f>
        <v>Twitter Web App</v>
      </c>
      <c r="L1119" s="15">
        <v>3131</v>
      </c>
      <c r="M1119" s="15">
        <v>4722</v>
      </c>
      <c r="N1119" s="15">
        <v>59</v>
      </c>
      <c r="O1119" s="9"/>
      <c r="P1119" s="10">
        <v>40694.646840277775</v>
      </c>
      <c r="Q1119" s="14" t="s">
        <v>4967</v>
      </c>
      <c r="R1119" s="14" t="s">
        <v>4968</v>
      </c>
      <c r="S1119" s="7" t="s">
        <v>4969</v>
      </c>
      <c r="T1119" s="8"/>
      <c r="U1119" s="11" t="str">
        <f>HYPERLINK("https://pbs.twimg.com/profile_images/648597565554991104/UDOcyRjq.png","View")</f>
        <v>View</v>
      </c>
      <c r="V1119" s="8"/>
      <c r="W1119" s="8"/>
      <c r="X1119" s="8"/>
      <c r="Y1119" s="8"/>
      <c r="Z1119" s="8"/>
    </row>
    <row r="1120" spans="1:26" ht="13.2">
      <c r="A1120" s="13">
        <v>44250.514699074076</v>
      </c>
      <c r="B1120" s="6" t="str">
        <f>HYPERLINK("https://twitter.com/vivek_0026","@vivek_0026")</f>
        <v>@vivek_0026</v>
      </c>
      <c r="C1120" s="14" t="s">
        <v>4970</v>
      </c>
      <c r="D1120" s="14" t="s">
        <v>4971</v>
      </c>
      <c r="E1120" s="6" t="str">
        <f>HYPERLINK("https://twitter.com/vivek_0026/status/1364173449749438464","1364173449749438464")</f>
        <v>1364173449749438464</v>
      </c>
      <c r="F1120" s="8"/>
      <c r="G1120" s="8"/>
      <c r="H1120" s="8"/>
      <c r="I1120" s="14">
        <v>2</v>
      </c>
      <c r="J1120" s="14">
        <v>3</v>
      </c>
      <c r="K1120" s="6" t="str">
        <f>HYPERLINK("http://twitter.com/download/iphone","Twitter for iPhone")</f>
        <v>Twitter for iPhone</v>
      </c>
      <c r="L1120" s="15">
        <v>112</v>
      </c>
      <c r="M1120" s="15">
        <v>554</v>
      </c>
      <c r="N1120" s="15">
        <v>1</v>
      </c>
      <c r="O1120" s="9"/>
      <c r="P1120" s="10">
        <v>40660.71365740741</v>
      </c>
      <c r="Q1120" s="14" t="s">
        <v>901</v>
      </c>
      <c r="R1120" s="14" t="s">
        <v>4972</v>
      </c>
      <c r="S1120" s="8"/>
      <c r="T1120" s="8"/>
      <c r="U1120" s="11" t="str">
        <f>HYPERLINK("https://pbs.twimg.com/profile_images/1363428364724277254/iqsKkHzZ.jpg","View")</f>
        <v>View</v>
      </c>
      <c r="V1120" s="8"/>
      <c r="W1120" s="8"/>
      <c r="X1120" s="8"/>
      <c r="Y1120" s="8"/>
      <c r="Z1120" s="8"/>
    </row>
    <row r="1121" spans="1:26" ht="13.2">
      <c r="A1121" s="13">
        <v>44250.514583333337</v>
      </c>
      <c r="B1121" s="6" t="str">
        <f>HYPERLINK("https://twitter.com/RichardEudes","@RichardEudes")</f>
        <v>@RichardEudes</v>
      </c>
      <c r="C1121" s="14" t="s">
        <v>341</v>
      </c>
      <c r="D1121" s="14" t="s">
        <v>4973</v>
      </c>
      <c r="E1121" s="6" t="str">
        <f>HYPERLINK("https://twitter.com/RichardEudes/status/1364173410209845255","1364173410209845255")</f>
        <v>1364173410209845255</v>
      </c>
      <c r="F1121" s="7" t="s">
        <v>4974</v>
      </c>
      <c r="G1121" s="8"/>
      <c r="H1121" s="8"/>
      <c r="I1121" s="14">
        <v>3</v>
      </c>
      <c r="J1121" s="14">
        <v>7</v>
      </c>
      <c r="K1121" s="6" t="str">
        <f>HYPERLINK("https://buffer.com","Buffer")</f>
        <v>Buffer</v>
      </c>
      <c r="L1121" s="15">
        <v>16960</v>
      </c>
      <c r="M1121" s="15">
        <v>1979</v>
      </c>
      <c r="N1121" s="15">
        <v>668</v>
      </c>
      <c r="O1121" s="9"/>
      <c r="P1121" s="10">
        <v>39985.961481481485</v>
      </c>
      <c r="Q1121" s="14" t="s">
        <v>106</v>
      </c>
      <c r="R1121" s="14" t="s">
        <v>344</v>
      </c>
      <c r="S1121" s="7" t="s">
        <v>345</v>
      </c>
      <c r="T1121" s="8"/>
      <c r="U1121" s="11" t="str">
        <f>HYPERLINK("https://pbs.twimg.com/profile_images/1332753391886491648/I9fBm3kf.jpg","View")</f>
        <v>View</v>
      </c>
      <c r="V1121" s="8"/>
      <c r="W1121" s="8"/>
      <c r="X1121" s="8"/>
      <c r="Y1121" s="8"/>
      <c r="Z1121" s="8"/>
    </row>
    <row r="1122" spans="1:26" ht="13.2">
      <c r="A1122" s="13">
        <v>44250.512997685189</v>
      </c>
      <c r="B1122" s="6" t="str">
        <f>HYPERLINK("https://twitter.com/imjetlu","@imjetlu")</f>
        <v>@imjetlu</v>
      </c>
      <c r="C1122" s="14" t="s">
        <v>4975</v>
      </c>
      <c r="D1122" s="14" t="s">
        <v>4976</v>
      </c>
      <c r="E1122" s="6" t="str">
        <f>HYPERLINK("https://twitter.com/imjetlu/status/1364172834768052224","1364172834768052224")</f>
        <v>1364172834768052224</v>
      </c>
      <c r="F1122" s="7" t="s">
        <v>4977</v>
      </c>
      <c r="G1122" s="8"/>
      <c r="H1122" s="8"/>
      <c r="I1122" s="14">
        <v>2</v>
      </c>
      <c r="J1122" s="14">
        <v>3</v>
      </c>
      <c r="K1122" s="6" t="str">
        <f>HYPERLINK("https://paper.li","Paper.li")</f>
        <v>Paper.li</v>
      </c>
      <c r="L1122" s="15">
        <v>167</v>
      </c>
      <c r="M1122" s="15">
        <v>441</v>
      </c>
      <c r="N1122" s="15">
        <v>1</v>
      </c>
      <c r="O1122" s="9"/>
      <c r="P1122" s="10">
        <v>42065.728541666671</v>
      </c>
      <c r="Q1122" s="14" t="s">
        <v>990</v>
      </c>
      <c r="R1122" s="14" t="s">
        <v>4978</v>
      </c>
      <c r="S1122" s="8"/>
      <c r="T1122" s="8"/>
      <c r="U1122" s="11" t="str">
        <f>HYPERLINK("https://pbs.twimg.com/profile_images/1222713308299526144/9MRVNWFJ.jpg","View")</f>
        <v>View</v>
      </c>
      <c r="V1122" s="8"/>
      <c r="W1122" s="8"/>
      <c r="X1122" s="8"/>
      <c r="Y1122" s="8"/>
      <c r="Z1122" s="8"/>
    </row>
    <row r="1123" spans="1:26" ht="13.2">
      <c r="A1123" s="13">
        <v>44250.512916666667</v>
      </c>
      <c r="B1123" s="6" t="str">
        <f>HYPERLINK("https://twitter.com/Serchs3D","@Serchs3D")</f>
        <v>@Serchs3D</v>
      </c>
      <c r="C1123" s="14" t="s">
        <v>1488</v>
      </c>
      <c r="D1123" s="14" t="s">
        <v>4979</v>
      </c>
      <c r="E1123" s="6" t="str">
        <f>HYPERLINK("https://twitter.com/Serchs3D/status/1364172805663825921","1364172805663825921")</f>
        <v>1364172805663825921</v>
      </c>
      <c r="F1123" s="7" t="s">
        <v>4980</v>
      </c>
      <c r="G1123" s="8"/>
      <c r="H1123" s="8"/>
      <c r="I1123" s="14">
        <v>0</v>
      </c>
      <c r="J1123" s="14">
        <v>0</v>
      </c>
      <c r="K1123" s="6" t="str">
        <f>HYPERLINK("http://twitter.com/download/android","Twitter for Android")</f>
        <v>Twitter for Android</v>
      </c>
      <c r="L1123" s="15">
        <v>532</v>
      </c>
      <c r="M1123" s="15">
        <v>991</v>
      </c>
      <c r="N1123" s="15">
        <v>1</v>
      </c>
      <c r="O1123" s="9"/>
      <c r="P1123" s="10">
        <v>42412.792615740742</v>
      </c>
      <c r="Q1123" s="14" t="s">
        <v>1492</v>
      </c>
      <c r="R1123" s="14" t="s">
        <v>1493</v>
      </c>
      <c r="S1123" s="8"/>
      <c r="T1123" s="8"/>
      <c r="U1123" s="11" t="str">
        <f>HYPERLINK("https://pbs.twimg.com/profile_images/1339315699395792901/CiCPqd8t.jpg","View")</f>
        <v>View</v>
      </c>
      <c r="V1123" s="8"/>
      <c r="W1123" s="8"/>
      <c r="X1123" s="8"/>
      <c r="Y1123" s="8"/>
      <c r="Z1123" s="8"/>
    </row>
    <row r="1124" spans="1:26" ht="13.2">
      <c r="A1124" s="13">
        <v>44250.51290509259</v>
      </c>
      <c r="B1124" s="6" t="str">
        <f>HYPERLINK("https://twitter.com/HamoyeHQ","@HamoyeHQ")</f>
        <v>@HamoyeHQ</v>
      </c>
      <c r="C1124" s="14" t="s">
        <v>4981</v>
      </c>
      <c r="D1124" s="14" t="s">
        <v>4982</v>
      </c>
      <c r="E1124" s="6" t="str">
        <f>HYPERLINK("https://twitter.com/HamoyeHQ/status/1364172801578594305","1364172801578594305")</f>
        <v>1364172801578594305</v>
      </c>
      <c r="F1124" s="7" t="s">
        <v>4983</v>
      </c>
      <c r="G1124" s="7" t="s">
        <v>4984</v>
      </c>
      <c r="H1124" s="8"/>
      <c r="I1124" s="14">
        <v>3</v>
      </c>
      <c r="J1124" s="14">
        <v>4</v>
      </c>
      <c r="K1124" s="6" t="str">
        <f>HYPERLINK("https://about.twitter.com/products/tweetdeck","TweetDeck")</f>
        <v>TweetDeck</v>
      </c>
      <c r="L1124" s="15">
        <v>548</v>
      </c>
      <c r="M1124" s="15">
        <v>20</v>
      </c>
      <c r="N1124" s="15">
        <v>2</v>
      </c>
      <c r="O1124" s="9"/>
      <c r="P1124" s="10">
        <v>41797.225416666668</v>
      </c>
      <c r="Q1124" s="14" t="s">
        <v>4217</v>
      </c>
      <c r="R1124" s="14" t="s">
        <v>4985</v>
      </c>
      <c r="S1124" s="7" t="s">
        <v>4986</v>
      </c>
      <c r="T1124" s="8"/>
      <c r="U1124" s="11" t="str">
        <f>HYPERLINK("https://pbs.twimg.com/profile_images/1237755810144497673/wwwMsSSW.png","View")</f>
        <v>View</v>
      </c>
      <c r="V1124" s="8"/>
      <c r="W1124" s="8"/>
      <c r="X1124" s="8"/>
      <c r="Y1124" s="8"/>
      <c r="Z1124" s="8"/>
    </row>
    <row r="1125" spans="1:26" ht="13.2">
      <c r="A1125" s="13">
        <v>44250.512673611112</v>
      </c>
      <c r="B1125" s="6" t="str">
        <f>HYPERLINK("https://twitter.com/guidaautonoma","@guidaautonoma")</f>
        <v>@guidaautonoma</v>
      </c>
      <c r="C1125" s="14" t="s">
        <v>2203</v>
      </c>
      <c r="D1125" s="14" t="s">
        <v>4987</v>
      </c>
      <c r="E1125" s="6" t="str">
        <f>HYPERLINK("https://twitter.com/guidaautonoma/status/1364172716853575680","1364172716853575680")</f>
        <v>1364172716853575680</v>
      </c>
      <c r="F1125" s="7" t="s">
        <v>4988</v>
      </c>
      <c r="G1125" s="8"/>
      <c r="H1125" s="8"/>
      <c r="I1125" s="14">
        <v>4</v>
      </c>
      <c r="J1125" s="14">
        <v>3</v>
      </c>
      <c r="K1125" s="6" t="str">
        <f>HYPERLINK("http://twitter.com/download/android","Twitter for Android")</f>
        <v>Twitter for Android</v>
      </c>
      <c r="L1125" s="15">
        <v>7074</v>
      </c>
      <c r="M1125" s="15">
        <v>6991</v>
      </c>
      <c r="N1125" s="15">
        <v>411</v>
      </c>
      <c r="O1125" s="9"/>
      <c r="P1125" s="10">
        <v>42496.270833333328</v>
      </c>
      <c r="Q1125" s="14" t="s">
        <v>2207</v>
      </c>
      <c r="R1125" s="14" t="s">
        <v>2208</v>
      </c>
      <c r="S1125" s="7" t="s">
        <v>2209</v>
      </c>
      <c r="T1125" s="8"/>
      <c r="U1125" s="11" t="str">
        <f>HYPERLINK("https://pbs.twimg.com/profile_images/728675456971583488/AVbaFxlK.jpg","View")</f>
        <v>View</v>
      </c>
      <c r="V1125" s="8"/>
      <c r="W1125" s="8"/>
      <c r="X1125" s="8"/>
      <c r="Y1125" s="8"/>
      <c r="Z1125" s="8"/>
    </row>
    <row r="1126" spans="1:26" ht="13.2">
      <c r="A1126" s="13">
        <v>44250.512604166666</v>
      </c>
      <c r="B1126" s="6" t="str">
        <f>HYPERLINK("https://twitter.com/ReneeLivsey","@ReneeLivsey")</f>
        <v>@ReneeLivsey</v>
      </c>
      <c r="C1126" s="14" t="s">
        <v>4989</v>
      </c>
      <c r="D1126" s="14" t="s">
        <v>4990</v>
      </c>
      <c r="E1126" s="6" t="str">
        <f>HYPERLINK("https://twitter.com/ReneeLivsey/status/1364172692358766594","1364172692358766594")</f>
        <v>1364172692358766594</v>
      </c>
      <c r="F1126" s="7" t="s">
        <v>4991</v>
      </c>
      <c r="G1126" s="8"/>
      <c r="H1126" s="8"/>
      <c r="I1126" s="14">
        <v>4</v>
      </c>
      <c r="J1126" s="14">
        <v>5</v>
      </c>
      <c r="K1126" s="6" t="str">
        <f>HYPERLINK("http://www.linkedin.com/","LinkedIn")</f>
        <v>LinkedIn</v>
      </c>
      <c r="L1126" s="15">
        <v>424</v>
      </c>
      <c r="M1126" s="15">
        <v>1780</v>
      </c>
      <c r="N1126" s="15">
        <v>20</v>
      </c>
      <c r="O1126" s="9"/>
      <c r="P1126" s="10">
        <v>40556.073333333334</v>
      </c>
      <c r="Q1126" s="14" t="s">
        <v>3487</v>
      </c>
      <c r="R1126" s="14" t="s">
        <v>4992</v>
      </c>
      <c r="S1126" s="8"/>
      <c r="T1126" s="8"/>
      <c r="U1126" s="11" t="str">
        <f>HYPERLINK("https://pbs.twimg.com/profile_images/707581472450813953/MWiCWEH6.jpg","View")</f>
        <v>View</v>
      </c>
      <c r="V1126" s="8"/>
      <c r="W1126" s="8"/>
      <c r="X1126" s="8"/>
      <c r="Y1126" s="8"/>
      <c r="Z1126" s="8"/>
    </row>
    <row r="1127" spans="1:26" ht="13.2">
      <c r="A1127" s="13">
        <v>44250.512511574074</v>
      </c>
      <c r="B1127" s="6" t="str">
        <f>HYPERLINK("https://twitter.com/Provectus_inc","@Provectus_inc")</f>
        <v>@Provectus_inc</v>
      </c>
      <c r="C1127" s="14" t="s">
        <v>4993</v>
      </c>
      <c r="D1127" s="14" t="s">
        <v>4994</v>
      </c>
      <c r="E1127" s="6" t="str">
        <f>HYPERLINK("https://twitter.com/Provectus_inc/status/1364172659932692483","1364172659932692483")</f>
        <v>1364172659932692483</v>
      </c>
      <c r="F1127" s="7" t="s">
        <v>4995</v>
      </c>
      <c r="G1127" s="8"/>
      <c r="H1127" s="8"/>
      <c r="I1127" s="14">
        <v>2</v>
      </c>
      <c r="J1127" s="14">
        <v>2</v>
      </c>
      <c r="K1127" s="6" t="str">
        <f>HYPERLINK("https://mobile.twitter.com","Twitter Web App")</f>
        <v>Twitter Web App</v>
      </c>
      <c r="L1127" s="15">
        <v>347</v>
      </c>
      <c r="M1127" s="15">
        <v>191</v>
      </c>
      <c r="N1127" s="15">
        <v>22</v>
      </c>
      <c r="O1127" s="9"/>
      <c r="P1127" s="10">
        <v>40617.697939814811</v>
      </c>
      <c r="Q1127" s="14" t="s">
        <v>4996</v>
      </c>
      <c r="R1127" s="14" t="s">
        <v>4997</v>
      </c>
      <c r="S1127" s="7" t="s">
        <v>4998</v>
      </c>
      <c r="T1127" s="8"/>
      <c r="U1127" s="11" t="str">
        <f>HYPERLINK("https://pbs.twimg.com/profile_images/1090915236109012992/Ojg2LhRW.jpg","View")</f>
        <v>View</v>
      </c>
      <c r="V1127" s="8"/>
      <c r="W1127" s="8"/>
      <c r="X1127" s="8"/>
      <c r="Y1127" s="8"/>
      <c r="Z1127" s="8"/>
    </row>
    <row r="1128" spans="1:26" ht="13.2">
      <c r="A1128" s="13">
        <v>44250.512222222227</v>
      </c>
      <c r="B1128" s="6" t="str">
        <f>HYPERLINK("https://twitter.com/TheAIBook","@TheAIBook")</f>
        <v>@TheAIBook</v>
      </c>
      <c r="C1128" s="14" t="s">
        <v>4999</v>
      </c>
      <c r="D1128" s="14" t="s">
        <v>5000</v>
      </c>
      <c r="E1128" s="6" t="str">
        <f>HYPERLINK("https://twitter.com/TheAIBook/status/1364172551447076867","1364172551447076867")</f>
        <v>1364172551447076867</v>
      </c>
      <c r="F1128" s="7" t="s">
        <v>3690</v>
      </c>
      <c r="G1128" s="8"/>
      <c r="H1128" s="8"/>
      <c r="I1128" s="14">
        <v>10</v>
      </c>
      <c r="J1128" s="14">
        <v>6</v>
      </c>
      <c r="K1128" s="6" t="str">
        <f>HYPERLINK("https://about.twitter.com/products/tweetdeck","TweetDeck")</f>
        <v>TweetDeck</v>
      </c>
      <c r="L1128" s="15">
        <v>628</v>
      </c>
      <c r="M1128" s="15">
        <v>658</v>
      </c>
      <c r="N1128" s="15">
        <v>26</v>
      </c>
      <c r="O1128" s="9"/>
      <c r="P1128" s="10">
        <v>43284.440509259264</v>
      </c>
      <c r="Q1128" s="14" t="s">
        <v>599</v>
      </c>
      <c r="R1128" s="14" t="s">
        <v>5001</v>
      </c>
      <c r="S1128" s="7" t="s">
        <v>5002</v>
      </c>
      <c r="T1128" s="8"/>
      <c r="U1128" s="11" t="str">
        <f>HYPERLINK("https://pbs.twimg.com/profile_images/1093876793642233863/q-g2pd2T.jpg","View")</f>
        <v>View</v>
      </c>
      <c r="V1128" s="8"/>
      <c r="W1128" s="8"/>
      <c r="X1128" s="8"/>
      <c r="Y1128" s="8"/>
      <c r="Z1128" s="8"/>
    </row>
    <row r="1129" spans="1:26" ht="13.2">
      <c r="A1129" s="13">
        <v>44250.512175925927</v>
      </c>
      <c r="B1129" s="6" t="str">
        <f>HYPERLINK("https://twitter.com/Bilplug32","@Bilplug32")</f>
        <v>@Bilplug32</v>
      </c>
      <c r="C1129" s="14" t="s">
        <v>5003</v>
      </c>
      <c r="D1129" s="14" t="s">
        <v>5004</v>
      </c>
      <c r="E1129" s="6" t="str">
        <f>HYPERLINK("https://twitter.com/Bilplug32/status/1364172535106052096","1364172535106052096")</f>
        <v>1364172535106052096</v>
      </c>
      <c r="F1129" s="8"/>
      <c r="G1129" s="7" t="s">
        <v>5005</v>
      </c>
      <c r="H1129" s="8"/>
      <c r="I1129" s="14">
        <v>15</v>
      </c>
      <c r="J1129" s="14">
        <v>4</v>
      </c>
      <c r="K1129" s="6" t="str">
        <f>HYPERLINK("http://twitter.com/download/android","Twitter for Android")</f>
        <v>Twitter for Android</v>
      </c>
      <c r="L1129" s="15">
        <v>3</v>
      </c>
      <c r="M1129" s="15">
        <v>7</v>
      </c>
      <c r="N1129" s="15">
        <v>0</v>
      </c>
      <c r="O1129" s="9"/>
      <c r="P1129" s="10">
        <v>44243.902696759258</v>
      </c>
      <c r="Q1129" s="8"/>
      <c r="R1129" s="8"/>
      <c r="S1129" s="8"/>
      <c r="T1129" s="8"/>
      <c r="U1129" s="11" t="str">
        <f>HYPERLINK("https://pbs.twimg.com/profile_images/1361777605310038021/6dGPLuAj.jpg","View")</f>
        <v>View</v>
      </c>
      <c r="V1129" s="8"/>
      <c r="W1129" s="8"/>
      <c r="X1129" s="8"/>
      <c r="Y1129" s="8"/>
      <c r="Z1129" s="8"/>
    </row>
    <row r="1130" spans="1:26" ht="13.2">
      <c r="A1130" s="13">
        <v>44250.511956018519</v>
      </c>
      <c r="B1130" s="6" t="str">
        <f>HYPERLINK("https://twitter.com/Meaning_2_Life","@Meaning_2_Life")</f>
        <v>@Meaning_2_Life</v>
      </c>
      <c r="C1130" s="14" t="s">
        <v>5006</v>
      </c>
      <c r="D1130" s="14" t="s">
        <v>5007</v>
      </c>
      <c r="E1130" s="6" t="str">
        <f>HYPERLINK("https://twitter.com/Meaning_2_Life/status/1364172455825260544","1364172455825260544")</f>
        <v>1364172455825260544</v>
      </c>
      <c r="F1130" s="7" t="s">
        <v>5008</v>
      </c>
      <c r="G1130" s="8"/>
      <c r="H1130" s="8"/>
      <c r="I1130" s="14">
        <v>1</v>
      </c>
      <c r="J1130" s="14">
        <v>2</v>
      </c>
      <c r="K1130" s="6" t="str">
        <f>HYPERLINK("http://twinybots.com","TwinyBots")</f>
        <v>TwinyBots</v>
      </c>
      <c r="L1130" s="15">
        <v>5786</v>
      </c>
      <c r="M1130" s="15">
        <v>4145</v>
      </c>
      <c r="N1130" s="15">
        <v>24</v>
      </c>
      <c r="O1130" s="9"/>
      <c r="P1130" s="10">
        <v>42839.264849537038</v>
      </c>
      <c r="Q1130" s="14" t="s">
        <v>650</v>
      </c>
      <c r="R1130" s="14" t="s">
        <v>5009</v>
      </c>
      <c r="S1130" s="7" t="s">
        <v>5010</v>
      </c>
      <c r="T1130" s="8"/>
      <c r="U1130" s="11" t="str">
        <f>HYPERLINK("https://pbs.twimg.com/profile_images/864121379221897216/i3B1Z8Ag.jpg","View")</f>
        <v>View</v>
      </c>
      <c r="V1130" s="8"/>
      <c r="W1130" s="8"/>
      <c r="X1130" s="8"/>
      <c r="Y1130" s="8"/>
      <c r="Z1130" s="8"/>
    </row>
    <row r="1131" spans="1:26" ht="13.2">
      <c r="A1131" s="13">
        <v>44250.51163194445</v>
      </c>
      <c r="B1131" s="6" t="str">
        <f>HYPERLINK("https://twitter.com/ClarkMalcolm","@ClarkMalcolm")</f>
        <v>@ClarkMalcolm</v>
      </c>
      <c r="C1131" s="14" t="s">
        <v>5011</v>
      </c>
      <c r="D1131" s="14" t="s">
        <v>2087</v>
      </c>
      <c r="E1131" s="6" t="str">
        <f>HYPERLINK("https://twitter.com/ClarkMalcolm/status/1364172339655700482","1364172339655700482")</f>
        <v>1364172339655700482</v>
      </c>
      <c r="F1131" s="7" t="s">
        <v>5012</v>
      </c>
      <c r="G1131" s="7" t="s">
        <v>5013</v>
      </c>
      <c r="H1131" s="8"/>
      <c r="I1131" s="14">
        <v>1</v>
      </c>
      <c r="J1131" s="14">
        <v>2</v>
      </c>
      <c r="K1131" s="6" t="str">
        <f>HYPERLINK("http://www.everyonesocial.com","EveryoneSocial")</f>
        <v>EveryoneSocial</v>
      </c>
      <c r="L1131" s="15">
        <v>84</v>
      </c>
      <c r="M1131" s="15">
        <v>366</v>
      </c>
      <c r="N1131" s="15">
        <v>0</v>
      </c>
      <c r="O1131" s="9"/>
      <c r="P1131" s="10">
        <v>40697.418946759259</v>
      </c>
      <c r="Q1131" s="14" t="s">
        <v>5014</v>
      </c>
      <c r="R1131" s="14" t="s">
        <v>5015</v>
      </c>
      <c r="S1131" s="7" t="s">
        <v>5016</v>
      </c>
      <c r="T1131" s="8"/>
      <c r="U1131" s="11" t="str">
        <f>HYPERLINK("https://pbs.twimg.com/profile_images/431720858009088000/UtRqAtwA.jpeg","View")</f>
        <v>View</v>
      </c>
      <c r="V1131" s="8"/>
      <c r="W1131" s="8"/>
      <c r="X1131" s="8"/>
      <c r="Y1131" s="8"/>
      <c r="Z1131" s="8"/>
    </row>
    <row r="1132" spans="1:26" ht="13.2">
      <c r="A1132" s="13">
        <v>44250.511284722219</v>
      </c>
      <c r="B1132" s="6" t="str">
        <f>HYPERLINK("https://twitter.com/iamBrianGraham","@iamBrianGraham")</f>
        <v>@iamBrianGraham</v>
      </c>
      <c r="C1132" s="14" t="s">
        <v>4259</v>
      </c>
      <c r="D1132" s="14" t="s">
        <v>5017</v>
      </c>
      <c r="E1132" s="6" t="str">
        <f>HYPERLINK("https://twitter.com/iamBrianGraham/status/1364172215290363906","1364172215290363906")</f>
        <v>1364172215290363906</v>
      </c>
      <c r="F1132" s="8"/>
      <c r="G1132" s="7" t="s">
        <v>5018</v>
      </c>
      <c r="H1132" s="8"/>
      <c r="I1132" s="14">
        <v>12</v>
      </c>
      <c r="J1132" s="14">
        <v>19</v>
      </c>
      <c r="K1132" s="6" t="str">
        <f>HYPERLINK("https://bypeers.net","ByPeers Social CRM (1)")</f>
        <v>ByPeers Social CRM (1)</v>
      </c>
      <c r="L1132" s="15">
        <v>5759</v>
      </c>
      <c r="M1132" s="15">
        <v>4549</v>
      </c>
      <c r="N1132" s="15">
        <v>211</v>
      </c>
      <c r="O1132" s="9"/>
      <c r="P1132" s="10">
        <v>42570.927037037036</v>
      </c>
      <c r="Q1132" s="14" t="s">
        <v>4262</v>
      </c>
      <c r="R1132" s="14" t="s">
        <v>4263</v>
      </c>
      <c r="S1132" s="7" t="s">
        <v>4264</v>
      </c>
      <c r="T1132" s="8"/>
      <c r="U1132" s="11" t="str">
        <f>HYPERLINK("https://pbs.twimg.com/profile_images/1099684609703510017/zcsjRYt2.png","View")</f>
        <v>View</v>
      </c>
      <c r="V1132" s="8"/>
      <c r="W1132" s="8"/>
      <c r="X1132" s="8"/>
      <c r="Y1132" s="8"/>
      <c r="Z1132" s="8"/>
    </row>
    <row r="1133" spans="1:26" ht="13.2">
      <c r="A1133" s="13">
        <v>44250.511284722219</v>
      </c>
      <c r="B1133" s="6" t="str">
        <f>HYPERLINK("https://twitter.com/Bilplug32","@Bilplug32")</f>
        <v>@Bilplug32</v>
      </c>
      <c r="C1133" s="14" t="s">
        <v>5003</v>
      </c>
      <c r="D1133" s="14" t="s">
        <v>5019</v>
      </c>
      <c r="E1133" s="6" t="str">
        <f>HYPERLINK("https://twitter.com/Bilplug32/status/1364172215034540032","1364172215034540032")</f>
        <v>1364172215034540032</v>
      </c>
      <c r="F1133" s="8"/>
      <c r="G1133" s="7" t="s">
        <v>5020</v>
      </c>
      <c r="H1133" s="8"/>
      <c r="I1133" s="14">
        <v>6</v>
      </c>
      <c r="J1133" s="14">
        <v>4</v>
      </c>
      <c r="K1133" s="6" t="str">
        <f>HYPERLINK("http://twitter.com/download/android","Twitter for Android")</f>
        <v>Twitter for Android</v>
      </c>
      <c r="L1133" s="15">
        <v>3</v>
      </c>
      <c r="M1133" s="15">
        <v>7</v>
      </c>
      <c r="N1133" s="15">
        <v>0</v>
      </c>
      <c r="O1133" s="9"/>
      <c r="P1133" s="10">
        <v>44243.902696759258</v>
      </c>
      <c r="Q1133" s="8"/>
      <c r="R1133" s="8"/>
      <c r="S1133" s="8"/>
      <c r="T1133" s="8"/>
      <c r="U1133" s="11" t="str">
        <f>HYPERLINK("https://pbs.twimg.com/profile_images/1361777605310038021/6dGPLuAj.jpg","View")</f>
        <v>View</v>
      </c>
      <c r="V1133" s="8"/>
      <c r="W1133" s="8"/>
      <c r="X1133" s="8"/>
      <c r="Y1133" s="8"/>
      <c r="Z1133" s="8"/>
    </row>
    <row r="1134" spans="1:26" ht="13.2">
      <c r="A1134" s="13">
        <v>44250.511215277773</v>
      </c>
      <c r="B1134" s="6" t="str">
        <f>HYPERLINK("https://twitter.com/DecisionsSmart","@DecisionsSmart")</f>
        <v>@DecisionsSmart</v>
      </c>
      <c r="C1134" s="14" t="s">
        <v>212</v>
      </c>
      <c r="D1134" s="14" t="s">
        <v>5021</v>
      </c>
      <c r="E1134" s="6" t="str">
        <f>HYPERLINK("https://twitter.com/DecisionsSmart/status/1364172189415710720","1364172189415710720")</f>
        <v>1364172189415710720</v>
      </c>
      <c r="F1134" s="14" t="s">
        <v>4928</v>
      </c>
      <c r="G1134" s="8"/>
      <c r="H1134" s="8"/>
      <c r="I1134" s="14">
        <v>3</v>
      </c>
      <c r="J1134" s="14">
        <v>7</v>
      </c>
      <c r="K1134" s="6" t="str">
        <f>HYPERLINK("http://twinybots.com","TwinyBots")</f>
        <v>TwinyBots</v>
      </c>
      <c r="L1134" s="15">
        <v>6690</v>
      </c>
      <c r="M1134" s="15">
        <v>5126</v>
      </c>
      <c r="N1134" s="15">
        <v>88</v>
      </c>
      <c r="O1134" s="9"/>
      <c r="P1134" s="10">
        <v>43282.143495370372</v>
      </c>
      <c r="Q1134" s="14" t="s">
        <v>215</v>
      </c>
      <c r="R1134" s="14" t="s">
        <v>216</v>
      </c>
      <c r="S1134" s="8"/>
      <c r="T1134" s="8"/>
      <c r="U1134" s="11" t="str">
        <f>HYPERLINK("https://pbs.twimg.com/profile_images/1273753380373004289/crFq1msz.jpg","View")</f>
        <v>View</v>
      </c>
      <c r="V1134" s="8"/>
      <c r="W1134" s="8"/>
      <c r="X1134" s="8"/>
      <c r="Y1134" s="8"/>
      <c r="Z1134" s="8"/>
    </row>
    <row r="1135" spans="1:26" ht="13.2">
      <c r="A1135" s="13">
        <v>44250.511064814811</v>
      </c>
      <c r="B1135" s="6" t="str">
        <f>HYPERLINK("https://twitter.com/pauline_francoi","@pauline_francoi")</f>
        <v>@pauline_francoi</v>
      </c>
      <c r="C1135" s="14" t="s">
        <v>5022</v>
      </c>
      <c r="D1135" s="14" t="s">
        <v>90</v>
      </c>
      <c r="E1135" s="6" t="str">
        <f>HYPERLINK("https://twitter.com/pauline_francoi/status/1364172132691959809","1364172132691959809")</f>
        <v>1364172132691959809</v>
      </c>
      <c r="F1135" s="7" t="s">
        <v>5023</v>
      </c>
      <c r="G1135" s="8"/>
      <c r="H1135" s="8"/>
      <c r="I1135" s="14">
        <v>1</v>
      </c>
      <c r="J1135" s="14">
        <v>2</v>
      </c>
      <c r="K1135" s="6" t="str">
        <f>HYPERLINK("http://smarp.com","Smarp.")</f>
        <v>Smarp.</v>
      </c>
      <c r="L1135" s="15">
        <v>290</v>
      </c>
      <c r="M1135" s="15">
        <v>222</v>
      </c>
      <c r="N1135" s="15">
        <v>39</v>
      </c>
      <c r="O1135" s="9"/>
      <c r="P1135" s="10">
        <v>40596.087557870371</v>
      </c>
      <c r="Q1135" s="14" t="s">
        <v>408</v>
      </c>
      <c r="R1135" s="14" t="s">
        <v>5024</v>
      </c>
      <c r="S1135" s="7" t="s">
        <v>5025</v>
      </c>
      <c r="T1135" s="8"/>
      <c r="U1135" s="11" t="str">
        <f>HYPERLINK("https://pbs.twimg.com/profile_images/1169230694205263872/Pa8IuOEI.jpg","View")</f>
        <v>View</v>
      </c>
      <c r="V1135" s="8"/>
      <c r="W1135" s="8"/>
      <c r="X1135" s="8"/>
      <c r="Y1135" s="8"/>
      <c r="Z1135" s="8"/>
    </row>
    <row r="1136" spans="1:26" ht="13.2">
      <c r="A1136" s="13">
        <v>44250.510462962964</v>
      </c>
      <c r="B1136" s="6" t="str">
        <f>HYPERLINK("https://twitter.com/ipfconline1","@ipfconline1")</f>
        <v>@ipfconline1</v>
      </c>
      <c r="C1136" s="14" t="s">
        <v>65</v>
      </c>
      <c r="D1136" s="14" t="s">
        <v>5026</v>
      </c>
      <c r="E1136" s="6" t="str">
        <f>HYPERLINK("https://twitter.com/ipfconline1/status/1364171916332969988","1364171916332969988")</f>
        <v>1364171916332969988</v>
      </c>
      <c r="F1136" s="7" t="s">
        <v>5027</v>
      </c>
      <c r="G1136" s="7" t="s">
        <v>5028</v>
      </c>
      <c r="H1136" s="8"/>
      <c r="I1136" s="14">
        <v>17</v>
      </c>
      <c r="J1136" s="14">
        <v>16</v>
      </c>
      <c r="K1136" s="6" t="str">
        <f>HYPERLINK("https://twittimer.com","Twittimer")</f>
        <v>Twittimer</v>
      </c>
      <c r="L1136" s="15">
        <v>112675</v>
      </c>
      <c r="M1136" s="15">
        <v>107162</v>
      </c>
      <c r="N1136" s="15">
        <v>7806</v>
      </c>
      <c r="O1136" s="9"/>
      <c r="P1136" s="10">
        <v>42433.031967592593</v>
      </c>
      <c r="Q1136" s="14" t="s">
        <v>69</v>
      </c>
      <c r="R1136" s="14" t="s">
        <v>70</v>
      </c>
      <c r="S1136" s="7" t="s">
        <v>71</v>
      </c>
      <c r="T1136" s="8"/>
      <c r="U1136" s="11" t="str">
        <f>HYPERLINK("https://pbs.twimg.com/profile_images/729065804004769793/St2_Pum9.jpg","View")</f>
        <v>View</v>
      </c>
      <c r="V1136" s="8"/>
      <c r="W1136" s="8"/>
      <c r="X1136" s="8"/>
      <c r="Y1136" s="8"/>
      <c r="Z1136" s="8"/>
    </row>
    <row r="1137" spans="1:26" ht="13.2">
      <c r="A1137" s="13">
        <v>44250.510451388887</v>
      </c>
      <c r="B1137" s="6" t="str">
        <f>HYPERLINK("https://twitter.com/Bilplug32","@Bilplug32")</f>
        <v>@Bilplug32</v>
      </c>
      <c r="C1137" s="14" t="s">
        <v>5003</v>
      </c>
      <c r="D1137" s="14" t="s">
        <v>5029</v>
      </c>
      <c r="E1137" s="6" t="str">
        <f>HYPERLINK("https://twitter.com/Bilplug32/status/1364171913791229953","1364171913791229953")</f>
        <v>1364171913791229953</v>
      </c>
      <c r="F1137" s="8"/>
      <c r="G1137" s="8"/>
      <c r="H1137" s="8"/>
      <c r="I1137" s="14">
        <v>9</v>
      </c>
      <c r="J1137" s="14">
        <v>1</v>
      </c>
      <c r="K1137" s="6" t="str">
        <f>HYPERLINK("http://twitter.com/download/android","Twitter for Android")</f>
        <v>Twitter for Android</v>
      </c>
      <c r="L1137" s="15">
        <v>3</v>
      </c>
      <c r="M1137" s="15">
        <v>7</v>
      </c>
      <c r="N1137" s="15">
        <v>0</v>
      </c>
      <c r="O1137" s="9"/>
      <c r="P1137" s="10">
        <v>44243.902696759258</v>
      </c>
      <c r="Q1137" s="8"/>
      <c r="R1137" s="8"/>
      <c r="S1137" s="8"/>
      <c r="T1137" s="8"/>
      <c r="U1137" s="11" t="str">
        <f>HYPERLINK("https://pbs.twimg.com/profile_images/1361777605310038021/6dGPLuAj.jpg","View")</f>
        <v>View</v>
      </c>
      <c r="V1137" s="8"/>
      <c r="W1137" s="8"/>
      <c r="X1137" s="8"/>
      <c r="Y1137" s="8"/>
      <c r="Z1137" s="8"/>
    </row>
    <row r="1138" spans="1:26" ht="13.2">
      <c r="A1138" s="13">
        <v>44250.510405092587</v>
      </c>
      <c r="B1138" s="6" t="str">
        <f>HYPERLINK("https://twitter.com/Radwell_Int_Ltd","@Radwell_Int_Ltd")</f>
        <v>@Radwell_Int_Ltd</v>
      </c>
      <c r="C1138" s="14" t="s">
        <v>5030</v>
      </c>
      <c r="D1138" s="14" t="s">
        <v>5031</v>
      </c>
      <c r="E1138" s="6" t="str">
        <f>HYPERLINK("https://twitter.com/Radwell_Int_Ltd/status/1364171896409964545","1364171896409964545")</f>
        <v>1364171896409964545</v>
      </c>
      <c r="F1138" s="7" t="s">
        <v>5032</v>
      </c>
      <c r="G1138" s="8"/>
      <c r="H1138" s="8"/>
      <c r="I1138" s="14">
        <v>8</v>
      </c>
      <c r="J1138" s="14">
        <v>5</v>
      </c>
      <c r="K1138" s="6" t="str">
        <f>HYPERLINK("http://www.hubspot.com/","HubSpot")</f>
        <v>HubSpot</v>
      </c>
      <c r="L1138" s="15">
        <v>2978</v>
      </c>
      <c r="M1138" s="15">
        <v>2798</v>
      </c>
      <c r="N1138" s="15">
        <v>20</v>
      </c>
      <c r="O1138" s="9"/>
      <c r="P1138" s="10">
        <v>42079.387557870374</v>
      </c>
      <c r="Q1138" s="14" t="s">
        <v>5033</v>
      </c>
      <c r="R1138" s="14" t="s">
        <v>5034</v>
      </c>
      <c r="S1138" s="7" t="s">
        <v>5035</v>
      </c>
      <c r="T1138" s="8"/>
      <c r="U1138" s="11" t="str">
        <f>HYPERLINK("https://pbs.twimg.com/profile_images/895992132573507584/UrFfDNCq.jpg","View")</f>
        <v>View</v>
      </c>
      <c r="V1138" s="8"/>
      <c r="W1138" s="8"/>
      <c r="X1138" s="8"/>
      <c r="Y1138" s="8"/>
      <c r="Z1138" s="8"/>
    </row>
    <row r="1139" spans="1:26" ht="13.2">
      <c r="A1139" s="13">
        <v>44250.510185185187</v>
      </c>
      <c r="B1139" s="6" t="str">
        <f>HYPERLINK("https://twitter.com/GeekInc_","@GeekInc_")</f>
        <v>@GeekInc_</v>
      </c>
      <c r="C1139" s="14" t="s">
        <v>5036</v>
      </c>
      <c r="D1139" s="14" t="s">
        <v>5037</v>
      </c>
      <c r="E1139" s="6" t="str">
        <f>HYPERLINK("https://twitter.com/GeekInc_/status/1364171816890028036","1364171816890028036")</f>
        <v>1364171816890028036</v>
      </c>
      <c r="F1139" s="7" t="s">
        <v>5038</v>
      </c>
      <c r="G1139" s="8"/>
      <c r="H1139" s="8"/>
      <c r="I1139" s="14">
        <v>1</v>
      </c>
      <c r="J1139" s="14">
        <v>0</v>
      </c>
      <c r="K1139" s="6" t="str">
        <f>HYPERLINK("https://www.contentmx.com","ContentMX")</f>
        <v>ContentMX</v>
      </c>
      <c r="L1139" s="15">
        <v>67</v>
      </c>
      <c r="M1139" s="15">
        <v>226</v>
      </c>
      <c r="N1139" s="15">
        <v>5</v>
      </c>
      <c r="O1139" s="9"/>
      <c r="P1139" s="10">
        <v>41792.684756944444</v>
      </c>
      <c r="Q1139" s="14" t="s">
        <v>5039</v>
      </c>
      <c r="R1139" s="14" t="s">
        <v>5040</v>
      </c>
      <c r="S1139" s="7" t="s">
        <v>5041</v>
      </c>
      <c r="T1139" s="8"/>
      <c r="U1139" s="11" t="str">
        <f>HYPERLINK("https://pbs.twimg.com/profile_images/1350113771398848516/m0aCGzUi.jpg","View")</f>
        <v>View</v>
      </c>
      <c r="V1139" s="8"/>
      <c r="W1139" s="8"/>
      <c r="X1139" s="8"/>
      <c r="Y1139" s="8"/>
      <c r="Z1139" s="8"/>
    </row>
    <row r="1140" spans="1:26" ht="13.2">
      <c r="A1140" s="13">
        <v>44250.510115740741</v>
      </c>
      <c r="B1140" s="6" t="str">
        <f>HYPERLINK("https://twitter.com/it_numeric","@it_numeric")</f>
        <v>@it_numeric</v>
      </c>
      <c r="C1140" s="14" t="s">
        <v>405</v>
      </c>
      <c r="D1140" s="14" t="s">
        <v>5042</v>
      </c>
      <c r="E1140" s="6" t="str">
        <f>HYPERLINK("https://twitter.com/it_numeric/status/1364171790440951810","1364171790440951810")</f>
        <v>1364171790440951810</v>
      </c>
      <c r="F1140" s="7" t="s">
        <v>5043</v>
      </c>
      <c r="G1140" s="8"/>
      <c r="H1140" s="8"/>
      <c r="I1140" s="14">
        <v>1</v>
      </c>
      <c r="J1140" s="14">
        <v>2</v>
      </c>
      <c r="K1140" s="6" t="str">
        <f>HYPERLINK("https://mobile.twitter.com","Twitter Web App")</f>
        <v>Twitter Web App</v>
      </c>
      <c r="L1140" s="15">
        <v>539</v>
      </c>
      <c r="M1140" s="15">
        <v>882</v>
      </c>
      <c r="N1140" s="15">
        <v>9</v>
      </c>
      <c r="O1140" s="9"/>
      <c r="P1140" s="10">
        <v>42515.564513888894</v>
      </c>
      <c r="Q1140" s="14" t="s">
        <v>408</v>
      </c>
      <c r="R1140" s="14" t="s">
        <v>409</v>
      </c>
      <c r="S1140" s="7" t="s">
        <v>410</v>
      </c>
      <c r="T1140" s="8"/>
      <c r="U1140" s="11" t="str">
        <f>HYPERLINK("https://pbs.twimg.com/profile_images/735442514665181185/3cfSKZAn.jpg","View")</f>
        <v>View</v>
      </c>
      <c r="V1140" s="8"/>
      <c r="W1140" s="8"/>
      <c r="X1140" s="8"/>
      <c r="Y1140" s="8"/>
      <c r="Z1140" s="8"/>
    </row>
    <row r="1141" spans="1:26" ht="13.2">
      <c r="A1141" s="13">
        <v>44250.509849537033</v>
      </c>
      <c r="B1141" s="6" t="str">
        <f>HYPERLINK("https://twitter.com/Bilplug32","@Bilplug32")</f>
        <v>@Bilplug32</v>
      </c>
      <c r="C1141" s="14" t="s">
        <v>5003</v>
      </c>
      <c r="D1141" s="14" t="s">
        <v>5044</v>
      </c>
      <c r="E1141" s="6" t="str">
        <f>HYPERLINK("https://twitter.com/Bilplug32/status/1364171694139703300","1364171694139703300")</f>
        <v>1364171694139703300</v>
      </c>
      <c r="F1141" s="8"/>
      <c r="G1141" s="7" t="s">
        <v>5045</v>
      </c>
      <c r="H1141" s="8"/>
      <c r="I1141" s="14">
        <v>13</v>
      </c>
      <c r="J1141" s="14">
        <v>0</v>
      </c>
      <c r="K1141" s="6" t="str">
        <f>HYPERLINK("http://twitter.com/download/android","Twitter for Android")</f>
        <v>Twitter for Android</v>
      </c>
      <c r="L1141" s="15">
        <v>3</v>
      </c>
      <c r="M1141" s="15">
        <v>7</v>
      </c>
      <c r="N1141" s="15">
        <v>0</v>
      </c>
      <c r="O1141" s="9"/>
      <c r="P1141" s="10">
        <v>44243.902696759258</v>
      </c>
      <c r="Q1141" s="8"/>
      <c r="R1141" s="8"/>
      <c r="S1141" s="8"/>
      <c r="T1141" s="8"/>
      <c r="U1141" s="11" t="str">
        <f>HYPERLINK("https://pbs.twimg.com/profile_images/1361777605310038021/6dGPLuAj.jpg","View")</f>
        <v>View</v>
      </c>
      <c r="V1141" s="8"/>
      <c r="W1141" s="8"/>
      <c r="X1141" s="8"/>
      <c r="Y1141" s="8"/>
      <c r="Z1141" s="8"/>
    </row>
    <row r="1142" spans="1:26" ht="13.2">
      <c r="A1142" s="13">
        <v>44250.509467592594</v>
      </c>
      <c r="B1142" s="6" t="str">
        <f>HYPERLINK("https://twitter.com/LutechGroup","@LutechGroup")</f>
        <v>@LutechGroup</v>
      </c>
      <c r="C1142" s="14" t="s">
        <v>5046</v>
      </c>
      <c r="D1142" s="14" t="s">
        <v>5047</v>
      </c>
      <c r="E1142" s="6" t="str">
        <f>HYPERLINK("https://twitter.com/LutechGroup/status/1364171555257933824","1364171555257933824")</f>
        <v>1364171555257933824</v>
      </c>
      <c r="F1142" s="7" t="s">
        <v>5048</v>
      </c>
      <c r="G1142" s="7" t="s">
        <v>5049</v>
      </c>
      <c r="H1142" s="8"/>
      <c r="I1142" s="14">
        <v>0</v>
      </c>
      <c r="J1142" s="14">
        <v>0</v>
      </c>
      <c r="K1142" s="6" t="str">
        <f>HYPERLINK("https://mobile.twitter.com","Twitter Web App")</f>
        <v>Twitter Web App</v>
      </c>
      <c r="L1142" s="15">
        <v>914</v>
      </c>
      <c r="M1142" s="15">
        <v>354</v>
      </c>
      <c r="N1142" s="15">
        <v>114</v>
      </c>
      <c r="O1142" s="9"/>
      <c r="P1142" s="10">
        <v>41570.915069444447</v>
      </c>
      <c r="Q1142" s="14" t="s">
        <v>5050</v>
      </c>
      <c r="R1142" s="14" t="s">
        <v>5051</v>
      </c>
      <c r="S1142" s="7" t="s">
        <v>5052</v>
      </c>
      <c r="T1142" s="8"/>
      <c r="U1142" s="11" t="str">
        <f>HYPERLINK("https://pbs.twimg.com/profile_images/1215235584219893765/1Pr1N1BX.png","View")</f>
        <v>View</v>
      </c>
      <c r="V1142" s="8"/>
      <c r="W1142" s="8"/>
      <c r="X1142" s="8"/>
      <c r="Y1142" s="8"/>
      <c r="Z1142" s="8"/>
    </row>
    <row r="1143" spans="1:26" ht="13.2">
      <c r="A1143" s="13">
        <v>44250.509328703702</v>
      </c>
      <c r="B1143" s="6" t="str">
        <f>HYPERLINK("https://twitter.com/Ronald_vanLoon","@Ronald_vanLoon")</f>
        <v>@Ronald_vanLoon</v>
      </c>
      <c r="C1143" s="14" t="s">
        <v>2433</v>
      </c>
      <c r="D1143" s="14" t="s">
        <v>5053</v>
      </c>
      <c r="E1143" s="6" t="str">
        <f>HYPERLINK("https://twitter.com/Ronald_vanLoon/status/1364171503563137024","1364171503563137024")</f>
        <v>1364171503563137024</v>
      </c>
      <c r="F1143" s="7" t="s">
        <v>5054</v>
      </c>
      <c r="G1143" s="7" t="s">
        <v>5055</v>
      </c>
      <c r="H1143" s="8"/>
      <c r="I1143" s="14">
        <v>16</v>
      </c>
      <c r="J1143" s="14">
        <v>8</v>
      </c>
      <c r="K1143" s="6" t="str">
        <f>HYPERLINK("https://about.twitter.com/products/tweetdeck","TweetDeck")</f>
        <v>TweetDeck</v>
      </c>
      <c r="L1143" s="15">
        <v>239362</v>
      </c>
      <c r="M1143" s="15">
        <v>180517</v>
      </c>
      <c r="N1143" s="15">
        <v>5589</v>
      </c>
      <c r="O1143" s="9"/>
      <c r="P1143" s="10">
        <v>41015.413553240738</v>
      </c>
      <c r="Q1143" s="14" t="s">
        <v>1141</v>
      </c>
      <c r="R1143" s="14" t="s">
        <v>2437</v>
      </c>
      <c r="S1143" s="7" t="s">
        <v>2438</v>
      </c>
      <c r="T1143" s="8"/>
      <c r="U1143" s="11" t="str">
        <f>HYPERLINK("https://pbs.twimg.com/profile_images/1107936345769607169/sJKWJd7g.png","View")</f>
        <v>View</v>
      </c>
      <c r="V1143" s="8"/>
      <c r="W1143" s="8"/>
      <c r="X1143" s="8"/>
      <c r="Y1143" s="8"/>
      <c r="Z1143" s="8"/>
    </row>
    <row r="1144" spans="1:26" ht="13.2">
      <c r="A1144" s="13">
        <v>44250.509131944447</v>
      </c>
      <c r="B1144" s="6" t="str">
        <f>HYPERLINK("https://twitter.com/gsoflog","@gsoflog")</f>
        <v>@gsoflog</v>
      </c>
      <c r="C1144" s="14" t="s">
        <v>5056</v>
      </c>
      <c r="D1144" s="14" t="s">
        <v>5057</v>
      </c>
      <c r="E1144" s="6" t="str">
        <f>HYPERLINK("https://twitter.com/gsoflog/status/1364171435632132096","1364171435632132096")</f>
        <v>1364171435632132096</v>
      </c>
      <c r="F1144" s="7" t="s">
        <v>5058</v>
      </c>
      <c r="G1144" s="7" t="s">
        <v>5059</v>
      </c>
      <c r="H1144" s="8"/>
      <c r="I1144" s="14">
        <v>1</v>
      </c>
      <c r="J1144" s="14">
        <v>4</v>
      </c>
      <c r="K1144" s="6" t="str">
        <f>HYPERLINK("https://mobile.twitter.com","Twitter Web App")</f>
        <v>Twitter Web App</v>
      </c>
      <c r="L1144" s="15">
        <v>122</v>
      </c>
      <c r="M1144" s="15">
        <v>53</v>
      </c>
      <c r="N1144" s="15">
        <v>2</v>
      </c>
      <c r="O1144" s="9"/>
      <c r="P1144" s="10">
        <v>43552.475057870368</v>
      </c>
      <c r="Q1144" s="14" t="s">
        <v>5060</v>
      </c>
      <c r="R1144" s="14" t="s">
        <v>5061</v>
      </c>
      <c r="S1144" s="7" t="s">
        <v>5062</v>
      </c>
      <c r="T1144" s="8"/>
      <c r="U1144" s="11" t="str">
        <f>HYPERLINK("https://pbs.twimg.com/profile_images/1111213477664833537/fvCLTvXz.jpg","View")</f>
        <v>View</v>
      </c>
      <c r="V1144" s="8"/>
      <c r="W1144" s="8"/>
      <c r="X1144" s="8"/>
      <c r="Y1144" s="8"/>
      <c r="Z1144" s="8"/>
    </row>
    <row r="1145" spans="1:26" ht="13.2">
      <c r="A1145" s="13">
        <v>44250.509027777778</v>
      </c>
      <c r="B1145" s="6" t="str">
        <f>HYPERLINK("https://twitter.com/campusbigdata","@campusbigdata")</f>
        <v>@campusbigdata</v>
      </c>
      <c r="C1145" s="14" t="s">
        <v>4668</v>
      </c>
      <c r="D1145" s="14" t="s">
        <v>5063</v>
      </c>
      <c r="E1145" s="6" t="str">
        <f>HYPERLINK("https://twitter.com/campusbigdata/status/1364171394951487488","1364171394951487488")</f>
        <v>1364171394951487488</v>
      </c>
      <c r="F1145" s="7" t="s">
        <v>5064</v>
      </c>
      <c r="G1145" s="7" t="s">
        <v>5065</v>
      </c>
      <c r="H1145" s="8"/>
      <c r="I1145" s="14">
        <v>1</v>
      </c>
      <c r="J1145" s="14">
        <v>0</v>
      </c>
      <c r="K1145" s="6" t="str">
        <f>HYPERLINK("https://about.twitter.com/products/tweetdeck","TweetDeck")</f>
        <v>TweetDeck</v>
      </c>
      <c r="L1145" s="15">
        <v>2444</v>
      </c>
      <c r="M1145" s="15">
        <v>563</v>
      </c>
      <c r="N1145" s="15">
        <v>67</v>
      </c>
      <c r="O1145" s="9"/>
      <c r="P1145" s="10">
        <v>42559.493576388893</v>
      </c>
      <c r="Q1145" s="14" t="s">
        <v>4671</v>
      </c>
      <c r="R1145" s="14" t="s">
        <v>4672</v>
      </c>
      <c r="S1145" s="7" t="s">
        <v>4673</v>
      </c>
      <c r="T1145" s="8"/>
      <c r="U1145" s="11" t="str">
        <f>HYPERLINK("https://pbs.twimg.com/profile_images/950276430859993089/E6Gcu9ig.jpg","View")</f>
        <v>View</v>
      </c>
      <c r="V1145" s="8"/>
      <c r="W1145" s="8"/>
      <c r="X1145" s="8"/>
      <c r="Y1145" s="8"/>
      <c r="Z1145" s="8"/>
    </row>
    <row r="1146" spans="1:26" ht="13.2">
      <c r="A1146" s="13">
        <v>44250.508217592593</v>
      </c>
      <c r="B1146" s="6" t="str">
        <f t="shared" ref="B1146:B1147" si="186">HYPERLINK("https://twitter.com/PrasadVenkate11","@PrasadVenkate11")</f>
        <v>@PrasadVenkate11</v>
      </c>
      <c r="C1146" s="14" t="s">
        <v>5066</v>
      </c>
      <c r="D1146" s="14" t="s">
        <v>5067</v>
      </c>
      <c r="E1146" s="6" t="str">
        <f>HYPERLINK("https://twitter.com/PrasadVenkate11/status/1364171101618663428","1364171101618663428")</f>
        <v>1364171101618663428</v>
      </c>
      <c r="F1146" s="7" t="s">
        <v>5068</v>
      </c>
      <c r="G1146" s="7" t="s">
        <v>5069</v>
      </c>
      <c r="H1146" s="8"/>
      <c r="I1146" s="14">
        <v>2</v>
      </c>
      <c r="J1146" s="14">
        <v>1</v>
      </c>
      <c r="K1146" s="6" t="str">
        <f t="shared" ref="K1146:K1147" si="187">HYPERLINK("http://dynamicsignal.com/","Dynamic Signal")</f>
        <v>Dynamic Signal</v>
      </c>
      <c r="L1146" s="15">
        <v>25</v>
      </c>
      <c r="M1146" s="15">
        <v>63</v>
      </c>
      <c r="N1146" s="15">
        <v>0</v>
      </c>
      <c r="O1146" s="9"/>
      <c r="P1146" s="10">
        <v>43560.281805555554</v>
      </c>
      <c r="Q1146" s="8"/>
      <c r="R1146" s="8"/>
      <c r="S1146" s="8"/>
      <c r="T1146" s="8"/>
      <c r="U1146" s="11" t="str">
        <f t="shared" ref="U1146:U1147" si="188">HYPERLINK("https://pbs.twimg.com/profile_images/1198138307932114945/5hUZOnc7.jpg","View")</f>
        <v>View</v>
      </c>
      <c r="V1146" s="8"/>
      <c r="W1146" s="8"/>
      <c r="X1146" s="8"/>
      <c r="Y1146" s="8"/>
      <c r="Z1146" s="8"/>
    </row>
    <row r="1147" spans="1:26" ht="13.2">
      <c r="A1147" s="13">
        <v>44250.507708333331</v>
      </c>
      <c r="B1147" s="6" t="str">
        <f t="shared" si="186"/>
        <v>@PrasadVenkate11</v>
      </c>
      <c r="C1147" s="14" t="s">
        <v>5066</v>
      </c>
      <c r="D1147" s="14" t="s">
        <v>5070</v>
      </c>
      <c r="E1147" s="6" t="str">
        <f>HYPERLINK("https://twitter.com/PrasadVenkate11/status/1364170918000386048","1364170918000386048")</f>
        <v>1364170918000386048</v>
      </c>
      <c r="F1147" s="7" t="s">
        <v>5071</v>
      </c>
      <c r="G1147" s="7" t="s">
        <v>5072</v>
      </c>
      <c r="H1147" s="8"/>
      <c r="I1147" s="14">
        <v>1</v>
      </c>
      <c r="J1147" s="14">
        <v>1</v>
      </c>
      <c r="K1147" s="6" t="str">
        <f t="shared" si="187"/>
        <v>Dynamic Signal</v>
      </c>
      <c r="L1147" s="15">
        <v>25</v>
      </c>
      <c r="M1147" s="15">
        <v>63</v>
      </c>
      <c r="N1147" s="15">
        <v>0</v>
      </c>
      <c r="O1147" s="9"/>
      <c r="P1147" s="10">
        <v>43560.281805555554</v>
      </c>
      <c r="Q1147" s="8"/>
      <c r="R1147" s="8"/>
      <c r="S1147" s="8"/>
      <c r="T1147" s="8"/>
      <c r="U1147" s="11" t="str">
        <f t="shared" si="188"/>
        <v>View</v>
      </c>
      <c r="V1147" s="8"/>
      <c r="W1147" s="8"/>
      <c r="X1147" s="8"/>
      <c r="Y1147" s="8"/>
      <c r="Z1147" s="8"/>
    </row>
    <row r="1148" spans="1:26" ht="13.2">
      <c r="A1148" s="13">
        <v>44250.506747685184</v>
      </c>
      <c r="B1148" s="6" t="str">
        <f>HYPERLINK("https://twitter.com/UAdvisor4","@UAdvisor4")</f>
        <v>@UAdvisor4</v>
      </c>
      <c r="C1148" s="14" t="s">
        <v>5073</v>
      </c>
      <c r="D1148" s="14" t="s">
        <v>5074</v>
      </c>
      <c r="E1148" s="6" t="str">
        <f>HYPERLINK("https://twitter.com/UAdvisor4/status/1364170571211304964","1364170571211304964")</f>
        <v>1364170571211304964</v>
      </c>
      <c r="F1148" s="8"/>
      <c r="G1148" s="7" t="s">
        <v>5075</v>
      </c>
      <c r="H1148" s="8"/>
      <c r="I1148" s="14">
        <v>1</v>
      </c>
      <c r="J1148" s="14">
        <v>1</v>
      </c>
      <c r="K1148" s="6" t="str">
        <f>HYPERLINK("http://twitter.com/download/iphone","Twitter for iPhone")</f>
        <v>Twitter for iPhone</v>
      </c>
      <c r="L1148" s="15">
        <v>24</v>
      </c>
      <c r="M1148" s="15">
        <v>127</v>
      </c>
      <c r="N1148" s="15">
        <v>0</v>
      </c>
      <c r="O1148" s="9"/>
      <c r="P1148" s="10">
        <v>43589.030046296291</v>
      </c>
      <c r="Q1148" s="14" t="s">
        <v>4297</v>
      </c>
      <c r="R1148" s="14" t="s">
        <v>5076</v>
      </c>
      <c r="S1148" s="7" t="s">
        <v>5077</v>
      </c>
      <c r="T1148" s="8"/>
      <c r="U1148" s="11" t="str">
        <f>HYPERLINK("https://pbs.twimg.com/profile_images/1165639191759400960/8kAQDsKL.jpg","View")</f>
        <v>View</v>
      </c>
      <c r="V1148" s="8"/>
      <c r="W1148" s="8"/>
      <c r="X1148" s="8"/>
      <c r="Y1148" s="8"/>
      <c r="Z1148" s="8"/>
    </row>
    <row r="1149" spans="1:26" ht="13.2">
      <c r="A1149" s="13">
        <v>44250.506562499999</v>
      </c>
      <c r="B1149" s="6" t="str">
        <f>HYPERLINK("https://twitter.com/speedymentors","@speedymentors")</f>
        <v>@speedymentors</v>
      </c>
      <c r="C1149" s="14" t="s">
        <v>5078</v>
      </c>
      <c r="D1149" s="14" t="s">
        <v>5079</v>
      </c>
      <c r="E1149" s="6" t="str">
        <f>HYPERLINK("https://twitter.com/speedymentors/status/1364170501329850369","1364170501329850369")</f>
        <v>1364170501329850369</v>
      </c>
      <c r="F1149" s="7" t="s">
        <v>5080</v>
      </c>
      <c r="G1149" s="7" t="s">
        <v>5081</v>
      </c>
      <c r="H1149" s="8"/>
      <c r="I1149" s="14">
        <v>1</v>
      </c>
      <c r="J1149" s="14">
        <v>1</v>
      </c>
      <c r="K1149" s="6" t="str">
        <f>HYPERLINK("https://mobile.twitter.com","Twitter Web App")</f>
        <v>Twitter Web App</v>
      </c>
      <c r="L1149" s="15">
        <v>7</v>
      </c>
      <c r="M1149" s="15">
        <v>1</v>
      </c>
      <c r="N1149" s="15">
        <v>0</v>
      </c>
      <c r="O1149" s="9"/>
      <c r="P1149" s="10">
        <v>43933.812824074077</v>
      </c>
      <c r="Q1149" s="8"/>
      <c r="R1149" s="14" t="s">
        <v>5082</v>
      </c>
      <c r="S1149" s="8"/>
      <c r="T1149" s="8"/>
      <c r="U1149" s="11" t="str">
        <f>HYPERLINK("https://pbs.twimg.com/profile_images/1288896105241927683/B6pvAj5A.png","View")</f>
        <v>View</v>
      </c>
      <c r="V1149" s="8"/>
      <c r="W1149" s="8"/>
      <c r="X1149" s="8"/>
      <c r="Y1149" s="8"/>
      <c r="Z1149" s="8"/>
    </row>
    <row r="1150" spans="1:26" ht="13.2">
      <c r="A1150" s="13">
        <v>44250.506550925929</v>
      </c>
      <c r="B1150" s="6" t="str">
        <f>HYPERLINK("https://twitter.com/UAdvisor4","@UAdvisor4")</f>
        <v>@UAdvisor4</v>
      </c>
      <c r="C1150" s="14" t="s">
        <v>5073</v>
      </c>
      <c r="D1150" s="14" t="s">
        <v>5083</v>
      </c>
      <c r="E1150" s="6" t="str">
        <f>HYPERLINK("https://twitter.com/UAdvisor4/status/1364170499094413315","1364170499094413315")</f>
        <v>1364170499094413315</v>
      </c>
      <c r="F1150" s="8"/>
      <c r="G1150" s="7" t="s">
        <v>5084</v>
      </c>
      <c r="H1150" s="8"/>
      <c r="I1150" s="14">
        <v>1</v>
      </c>
      <c r="J1150" s="14">
        <v>2</v>
      </c>
      <c r="K1150" s="6" t="str">
        <f>HYPERLINK("http://twitter.com/download/iphone","Twitter for iPhone")</f>
        <v>Twitter for iPhone</v>
      </c>
      <c r="L1150" s="15">
        <v>24</v>
      </c>
      <c r="M1150" s="15">
        <v>127</v>
      </c>
      <c r="N1150" s="15">
        <v>0</v>
      </c>
      <c r="O1150" s="9"/>
      <c r="P1150" s="10">
        <v>43589.030046296291</v>
      </c>
      <c r="Q1150" s="14" t="s">
        <v>4297</v>
      </c>
      <c r="R1150" s="14" t="s">
        <v>5076</v>
      </c>
      <c r="S1150" s="7" t="s">
        <v>5077</v>
      </c>
      <c r="T1150" s="8"/>
      <c r="U1150" s="11" t="str">
        <f>HYPERLINK("https://pbs.twimg.com/profile_images/1165639191759400960/8kAQDsKL.jpg","View")</f>
        <v>View</v>
      </c>
      <c r="V1150" s="8"/>
      <c r="W1150" s="8"/>
      <c r="X1150" s="8"/>
      <c r="Y1150" s="8"/>
      <c r="Z1150" s="8"/>
    </row>
    <row r="1151" spans="1:26" ht="13.2">
      <c r="A1151" s="13">
        <v>44250.506412037037</v>
      </c>
      <c r="B1151" s="6" t="str">
        <f>HYPERLINK("https://twitter.com/saqibali_ca","@saqibali_ca")</f>
        <v>@saqibali_ca</v>
      </c>
      <c r="C1151" s="14" t="s">
        <v>965</v>
      </c>
      <c r="D1151" s="14" t="s">
        <v>5085</v>
      </c>
      <c r="E1151" s="6" t="str">
        <f>HYPERLINK("https://twitter.com/saqibali_ca/status/1364170447533658122","1364170447533658122")</f>
        <v>1364170447533658122</v>
      </c>
      <c r="F1151" s="7" t="s">
        <v>5086</v>
      </c>
      <c r="G1151" s="8"/>
      <c r="H1151" s="8"/>
      <c r="I1151" s="14">
        <v>2</v>
      </c>
      <c r="J1151" s="14">
        <v>1</v>
      </c>
      <c r="K1151" s="8"/>
      <c r="L1151" s="15">
        <v>270</v>
      </c>
      <c r="M1151" s="15">
        <v>0</v>
      </c>
      <c r="N1151" s="15">
        <v>3</v>
      </c>
      <c r="O1151" s="9"/>
      <c r="P1151" s="10">
        <v>43119.848680555559</v>
      </c>
      <c r="Q1151" s="14" t="s">
        <v>968</v>
      </c>
      <c r="R1151" s="14" t="s">
        <v>969</v>
      </c>
      <c r="S1151" s="7" t="s">
        <v>970</v>
      </c>
      <c r="T1151" s="8"/>
      <c r="U1151" s="11" t="str">
        <f>HYPERLINK("https://pbs.twimg.com/profile_images/1142963749285855233/c6NRGCvi.jpg","View")</f>
        <v>View</v>
      </c>
      <c r="V1151" s="8"/>
      <c r="W1151" s="8"/>
      <c r="X1151" s="8"/>
      <c r="Y1151" s="8"/>
      <c r="Z1151" s="8"/>
    </row>
    <row r="1152" spans="1:26" ht="13.2">
      <c r="A1152" s="13">
        <v>44250.504560185189</v>
      </c>
      <c r="B1152" s="6" t="str">
        <f>HYPERLINK("https://twitter.com/alveotechnology","@alveotechnology")</f>
        <v>@alveotechnology</v>
      </c>
      <c r="C1152" s="14" t="s">
        <v>5087</v>
      </c>
      <c r="D1152" s="14" t="s">
        <v>5088</v>
      </c>
      <c r="E1152" s="6" t="str">
        <f>HYPERLINK("https://twitter.com/alveotechnology/status/1364169778710069250","1364169778710069250")</f>
        <v>1364169778710069250</v>
      </c>
      <c r="F1152" s="7" t="s">
        <v>5089</v>
      </c>
      <c r="G1152" s="8"/>
      <c r="H1152" s="8"/>
      <c r="I1152" s="14">
        <v>2</v>
      </c>
      <c r="J1152" s="14">
        <v>3</v>
      </c>
      <c r="K1152" s="6" t="str">
        <f t="shared" ref="K1152:K1153" si="189">HYPERLINK("http://www.hubspot.com/","HubSpot")</f>
        <v>HubSpot</v>
      </c>
      <c r="L1152" s="15">
        <v>2168</v>
      </c>
      <c r="M1152" s="15">
        <v>1827</v>
      </c>
      <c r="N1152" s="15">
        <v>99</v>
      </c>
      <c r="O1152" s="9"/>
      <c r="P1152" s="10">
        <v>40716.780775462961</v>
      </c>
      <c r="Q1152" s="14" t="s">
        <v>1815</v>
      </c>
      <c r="R1152" s="14" t="s">
        <v>5090</v>
      </c>
      <c r="S1152" s="7" t="s">
        <v>5091</v>
      </c>
      <c r="T1152" s="8"/>
      <c r="U1152" s="11" t="str">
        <f>HYPERLINK("https://pbs.twimg.com/profile_images/1334415863324225536/NzJG-Azp.jpg","View")</f>
        <v>View</v>
      </c>
      <c r="V1152" s="8"/>
      <c r="W1152" s="8"/>
      <c r="X1152" s="8"/>
      <c r="Y1152" s="8"/>
      <c r="Z1152" s="8"/>
    </row>
    <row r="1153" spans="1:26" ht="13.2">
      <c r="A1153" s="13">
        <v>44250.504212962958</v>
      </c>
      <c r="B1153" s="6" t="str">
        <f>HYPERLINK("https://twitter.com/AQ_AI_","@AQ_AI_")</f>
        <v>@AQ_AI_</v>
      </c>
      <c r="C1153" s="14" t="s">
        <v>5092</v>
      </c>
      <c r="D1153" s="14" t="s">
        <v>5093</v>
      </c>
      <c r="E1153" s="6" t="str">
        <f>HYPERLINK("https://twitter.com/AQ_AI_/status/1364169650251137025","1364169650251137025")</f>
        <v>1364169650251137025</v>
      </c>
      <c r="F1153" s="7" t="s">
        <v>5094</v>
      </c>
      <c r="G1153" s="8"/>
      <c r="H1153" s="8"/>
      <c r="I1153" s="14">
        <v>4</v>
      </c>
      <c r="J1153" s="14">
        <v>2</v>
      </c>
      <c r="K1153" s="6" t="str">
        <f t="shared" si="189"/>
        <v>HubSpot</v>
      </c>
      <c r="L1153" s="15">
        <v>670</v>
      </c>
      <c r="M1153" s="15">
        <v>163</v>
      </c>
      <c r="N1153" s="15">
        <v>2</v>
      </c>
      <c r="O1153" s="9"/>
      <c r="P1153" s="10">
        <v>43801.941157407404</v>
      </c>
      <c r="Q1153" s="14" t="s">
        <v>753</v>
      </c>
      <c r="R1153" s="14" t="s">
        <v>5095</v>
      </c>
      <c r="S1153" s="7" t="s">
        <v>5096</v>
      </c>
      <c r="T1153" s="8"/>
      <c r="U1153" s="11" t="str">
        <f>HYPERLINK("https://pbs.twimg.com/profile_images/1203440695442325504/DquHO687.jpg","View")</f>
        <v>View</v>
      </c>
      <c r="V1153" s="8"/>
      <c r="W1153" s="8"/>
      <c r="X1153" s="8"/>
      <c r="Y1153" s="8"/>
      <c r="Z1153" s="8"/>
    </row>
    <row r="1154" spans="1:26" ht="13.2">
      <c r="A1154" s="13">
        <v>44250.503564814819</v>
      </c>
      <c r="B1154" s="6" t="str">
        <f>HYPERLINK("https://twitter.com/MiriamAsensi","@MiriamAsensi")</f>
        <v>@MiriamAsensi</v>
      </c>
      <c r="C1154" s="14" t="s">
        <v>2634</v>
      </c>
      <c r="D1154" s="14" t="s">
        <v>5097</v>
      </c>
      <c r="E1154" s="6" t="str">
        <f>HYPERLINK("https://twitter.com/MiriamAsensi/status/1364169418134196226","1364169418134196226")</f>
        <v>1364169418134196226</v>
      </c>
      <c r="F1154" s="7" t="s">
        <v>5098</v>
      </c>
      <c r="G1154" s="8"/>
      <c r="H1154" s="8"/>
      <c r="I1154" s="14">
        <v>24</v>
      </c>
      <c r="J1154" s="14">
        <v>12</v>
      </c>
      <c r="K1154" s="6" t="str">
        <f>HYPERLINK("https://socxopte.com/","SocxoPte")</f>
        <v>SocxoPte</v>
      </c>
      <c r="L1154" s="15">
        <v>746</v>
      </c>
      <c r="M1154" s="15">
        <v>882</v>
      </c>
      <c r="N1154" s="15">
        <v>5</v>
      </c>
      <c r="O1154" s="9"/>
      <c r="P1154" s="10">
        <v>43995.357581018514</v>
      </c>
      <c r="Q1154" s="14" t="s">
        <v>599</v>
      </c>
      <c r="R1154" s="14" t="s">
        <v>2637</v>
      </c>
      <c r="S1154" s="7" t="s">
        <v>2638</v>
      </c>
      <c r="T1154" s="8"/>
      <c r="U1154" s="11" t="str">
        <f>HYPERLINK("https://pbs.twimg.com/profile_images/1271692933683699712/Y4d_WLK4.jpg","View")</f>
        <v>View</v>
      </c>
      <c r="V1154" s="8"/>
      <c r="W1154" s="8"/>
      <c r="X1154" s="8"/>
      <c r="Y1154" s="8"/>
      <c r="Z1154" s="8"/>
    </row>
    <row r="1155" spans="1:26" ht="13.2">
      <c r="A1155" s="13">
        <v>44250.503530092596</v>
      </c>
      <c r="B1155" s="6" t="str">
        <f>HYPERLINK("https://twitter.com/BirkbeckBEI","@BirkbeckBEI")</f>
        <v>@BirkbeckBEI</v>
      </c>
      <c r="C1155" s="14" t="s">
        <v>5099</v>
      </c>
      <c r="D1155" s="14" t="s">
        <v>5100</v>
      </c>
      <c r="E1155" s="6" t="str">
        <f>HYPERLINK("https://twitter.com/BirkbeckBEI/status/1364169404045545475","1364169404045545475")</f>
        <v>1364169404045545475</v>
      </c>
      <c r="F1155" s="7" t="s">
        <v>5101</v>
      </c>
      <c r="G1155" s="7" t="s">
        <v>5102</v>
      </c>
      <c r="H1155" s="8"/>
      <c r="I1155" s="14">
        <v>9</v>
      </c>
      <c r="J1155" s="14">
        <v>7</v>
      </c>
      <c r="K1155" s="6" t="str">
        <f>HYPERLINK("https://www.hootsuite.com","Hootsuite Inc.")</f>
        <v>Hootsuite Inc.</v>
      </c>
      <c r="L1155" s="15">
        <v>3369</v>
      </c>
      <c r="M1155" s="15">
        <v>888</v>
      </c>
      <c r="N1155" s="15">
        <v>137</v>
      </c>
      <c r="O1155" s="9"/>
      <c r="P1155" s="10">
        <v>41256.631689814814</v>
      </c>
      <c r="Q1155" s="14" t="s">
        <v>753</v>
      </c>
      <c r="R1155" s="14" t="s">
        <v>5103</v>
      </c>
      <c r="S1155" s="7" t="s">
        <v>5104</v>
      </c>
      <c r="T1155" s="8"/>
      <c r="U1155" s="11" t="str">
        <f>HYPERLINK("https://pbs.twimg.com/profile_images/877183824307814400/seIF7SEy.jpg","View")</f>
        <v>View</v>
      </c>
      <c r="V1155" s="8"/>
      <c r="W1155" s="8"/>
      <c r="X1155" s="8"/>
      <c r="Y1155" s="8"/>
      <c r="Z1155" s="8"/>
    </row>
    <row r="1156" spans="1:26" ht="13.2">
      <c r="A1156" s="13">
        <v>44250.503333333334</v>
      </c>
      <c r="B1156" s="6" t="str">
        <f>HYPERLINK("https://twitter.com/UAdvisor4","@UAdvisor4")</f>
        <v>@UAdvisor4</v>
      </c>
      <c r="C1156" s="14" t="s">
        <v>5073</v>
      </c>
      <c r="D1156" s="14" t="s">
        <v>5105</v>
      </c>
      <c r="E1156" s="6" t="str">
        <f>HYPERLINK("https://twitter.com/UAdvisor4/status/1364169331718950913","1364169331718950913")</f>
        <v>1364169331718950913</v>
      </c>
      <c r="F1156" s="8"/>
      <c r="G1156" s="7" t="s">
        <v>5106</v>
      </c>
      <c r="H1156" s="8"/>
      <c r="I1156" s="14">
        <v>0</v>
      </c>
      <c r="J1156" s="14">
        <v>1</v>
      </c>
      <c r="K1156" s="6" t="str">
        <f>HYPERLINK("http://twitter.com/download/iphone","Twitter for iPhone")</f>
        <v>Twitter for iPhone</v>
      </c>
      <c r="L1156" s="15">
        <v>24</v>
      </c>
      <c r="M1156" s="15">
        <v>127</v>
      </c>
      <c r="N1156" s="15">
        <v>0</v>
      </c>
      <c r="O1156" s="9"/>
      <c r="P1156" s="10">
        <v>43589.030046296291</v>
      </c>
      <c r="Q1156" s="14" t="s">
        <v>4297</v>
      </c>
      <c r="R1156" s="14" t="s">
        <v>5076</v>
      </c>
      <c r="S1156" s="7" t="s">
        <v>5077</v>
      </c>
      <c r="T1156" s="8"/>
      <c r="U1156" s="11" t="str">
        <f>HYPERLINK("https://pbs.twimg.com/profile_images/1165639191759400960/8kAQDsKL.jpg","View")</f>
        <v>View</v>
      </c>
      <c r="V1156" s="8"/>
      <c r="W1156" s="8"/>
      <c r="X1156" s="8"/>
      <c r="Y1156" s="8"/>
      <c r="Z1156" s="8"/>
    </row>
    <row r="1157" spans="1:26" ht="13.2">
      <c r="A1157" s="13">
        <v>44250.503275462965</v>
      </c>
      <c r="B1157" s="6" t="str">
        <f>HYPERLINK("https://twitter.com/Thomas_Harrer","@Thomas_Harrer")</f>
        <v>@Thomas_Harrer</v>
      </c>
      <c r="C1157" s="14" t="s">
        <v>5107</v>
      </c>
      <c r="D1157" s="14" t="s">
        <v>5108</v>
      </c>
      <c r="E1157" s="6" t="str">
        <f>HYPERLINK("https://twitter.com/Thomas_Harrer/status/1364169309803532292","1364169309803532292")</f>
        <v>1364169309803532292</v>
      </c>
      <c r="F1157" s="7" t="s">
        <v>5109</v>
      </c>
      <c r="G1157" s="14" t="s">
        <v>5110</v>
      </c>
      <c r="H1157" s="8"/>
      <c r="I1157" s="14">
        <v>4</v>
      </c>
      <c r="J1157" s="14">
        <v>4</v>
      </c>
      <c r="K1157" s="6" t="str">
        <f>HYPERLINK("https://about.twitter.com/products/tweetdeck","TweetDeck")</f>
        <v>TweetDeck</v>
      </c>
      <c r="L1157" s="15">
        <v>5079</v>
      </c>
      <c r="M1157" s="15">
        <v>969</v>
      </c>
      <c r="N1157" s="15">
        <v>170</v>
      </c>
      <c r="O1157" s="9"/>
      <c r="P1157" s="10">
        <v>41376.789618055554</v>
      </c>
      <c r="Q1157" s="14" t="s">
        <v>3324</v>
      </c>
      <c r="R1157" s="14" t="s">
        <v>5111</v>
      </c>
      <c r="S1157" s="7" t="s">
        <v>5112</v>
      </c>
      <c r="T1157" s="8"/>
      <c r="U1157" s="11" t="str">
        <f>HYPERLINK("https://pbs.twimg.com/profile_images/1313823712395898880/CPEAUxsr.jpg","View")</f>
        <v>View</v>
      </c>
      <c r="V1157" s="8"/>
      <c r="W1157" s="8"/>
      <c r="X1157" s="8"/>
      <c r="Y1157" s="8"/>
      <c r="Z1157" s="8"/>
    </row>
    <row r="1158" spans="1:26" ht="13.2">
      <c r="A1158" s="13">
        <v>44250.502800925926</v>
      </c>
      <c r="B1158" s="6" t="str">
        <f>HYPERLINK("https://twitter.com/FrankVullers","@FrankVullers")</f>
        <v>@FrankVullers</v>
      </c>
      <c r="C1158" s="14" t="s">
        <v>5113</v>
      </c>
      <c r="D1158" s="14" t="s">
        <v>5070</v>
      </c>
      <c r="E1158" s="6" t="str">
        <f>HYPERLINK("https://twitter.com/FrankVullers/status/1364169139586146304","1364169139586146304")</f>
        <v>1364169139586146304</v>
      </c>
      <c r="F1158" s="7" t="s">
        <v>5114</v>
      </c>
      <c r="G1158" s="7" t="s">
        <v>5115</v>
      </c>
      <c r="H1158" s="8"/>
      <c r="I1158" s="14">
        <v>2</v>
      </c>
      <c r="J1158" s="14">
        <v>1</v>
      </c>
      <c r="K1158" s="6" t="str">
        <f>HYPERLINK("http://dynamicsignal.com/","Dynamic Signal")</f>
        <v>Dynamic Signal</v>
      </c>
      <c r="L1158" s="15">
        <v>249</v>
      </c>
      <c r="M1158" s="15">
        <v>302</v>
      </c>
      <c r="N1158" s="15">
        <v>36</v>
      </c>
      <c r="O1158" s="9"/>
      <c r="P1158" s="10">
        <v>39994.911886574075</v>
      </c>
      <c r="Q1158" s="12" t="s">
        <v>5116</v>
      </c>
      <c r="R1158" s="14" t="s">
        <v>5117</v>
      </c>
      <c r="S1158" s="7" t="s">
        <v>5118</v>
      </c>
      <c r="T1158" s="8"/>
      <c r="U1158" s="11" t="str">
        <f>HYPERLINK("https://pbs.twimg.com/profile_images/758566700384223232/8MhgwQYM.jpg","View")</f>
        <v>View</v>
      </c>
      <c r="V1158" s="8"/>
      <c r="W1158" s="8"/>
      <c r="X1158" s="8"/>
      <c r="Y1158" s="8"/>
      <c r="Z1158" s="8"/>
    </row>
    <row r="1159" spans="1:26" ht="13.2">
      <c r="A1159" s="13">
        <v>44250.502662037034</v>
      </c>
      <c r="B1159" s="6" t="str">
        <f>HYPERLINK("https://twitter.com/Inno3news","@Inno3news")</f>
        <v>@Inno3news</v>
      </c>
      <c r="C1159" s="14" t="s">
        <v>5119</v>
      </c>
      <c r="D1159" s="14" t="s">
        <v>5120</v>
      </c>
      <c r="E1159" s="6" t="str">
        <f>HYPERLINK("https://twitter.com/Inno3news/status/1364169087455268864","1364169087455268864")</f>
        <v>1364169087455268864</v>
      </c>
      <c r="F1159" s="7" t="s">
        <v>5121</v>
      </c>
      <c r="G1159" s="8"/>
      <c r="H1159" s="8"/>
      <c r="I1159" s="14">
        <v>1</v>
      </c>
      <c r="J1159" s="14">
        <v>1</v>
      </c>
      <c r="K1159" s="6" t="str">
        <f t="shared" ref="K1159:K1160" si="190">HYPERLINK("https://mobile.twitter.com","Twitter Web App")</f>
        <v>Twitter Web App</v>
      </c>
      <c r="L1159" s="15">
        <v>486</v>
      </c>
      <c r="M1159" s="15">
        <v>109</v>
      </c>
      <c r="N1159" s="15">
        <v>15</v>
      </c>
      <c r="O1159" s="9"/>
      <c r="P1159" s="10">
        <v>43074.416041666671</v>
      </c>
      <c r="Q1159" s="14" t="s">
        <v>5122</v>
      </c>
      <c r="R1159" s="14" t="s">
        <v>5123</v>
      </c>
      <c r="S1159" s="7" t="s">
        <v>5124</v>
      </c>
      <c r="T1159" s="8"/>
      <c r="U1159" s="11" t="str">
        <f>HYPERLINK("https://pbs.twimg.com/profile_images/937971222394097664/h769Wj2y.jpg","View")</f>
        <v>View</v>
      </c>
      <c r="V1159" s="8"/>
      <c r="W1159" s="8"/>
      <c r="X1159" s="8"/>
      <c r="Y1159" s="8"/>
      <c r="Z1159" s="8"/>
    </row>
    <row r="1160" spans="1:26" ht="13.2">
      <c r="A1160" s="13">
        <v>44250.502476851849</v>
      </c>
      <c r="B1160" s="6" t="str">
        <f>HYPERLINK("https://twitter.com/viso_ai","@viso_ai")</f>
        <v>@viso_ai</v>
      </c>
      <c r="C1160" s="7" t="s">
        <v>5125</v>
      </c>
      <c r="D1160" s="14" t="s">
        <v>5126</v>
      </c>
      <c r="E1160" s="6" t="str">
        <f>HYPERLINK("https://twitter.com/viso_ai/status/1364169021411758087","1364169021411758087")</f>
        <v>1364169021411758087</v>
      </c>
      <c r="F1160" s="7" t="s">
        <v>5127</v>
      </c>
      <c r="G1160" s="7" t="s">
        <v>5128</v>
      </c>
      <c r="H1160" s="8"/>
      <c r="I1160" s="14">
        <v>3</v>
      </c>
      <c r="J1160" s="14">
        <v>1</v>
      </c>
      <c r="K1160" s="6" t="str">
        <f t="shared" si="190"/>
        <v>Twitter Web App</v>
      </c>
      <c r="L1160" s="15">
        <v>5</v>
      </c>
      <c r="M1160" s="15">
        <v>0</v>
      </c>
      <c r="N1160" s="15">
        <v>0</v>
      </c>
      <c r="O1160" s="9"/>
      <c r="P1160" s="10">
        <v>44092.940775462965</v>
      </c>
      <c r="Q1160" s="14" t="s">
        <v>2424</v>
      </c>
      <c r="R1160" s="14" t="s">
        <v>5129</v>
      </c>
      <c r="S1160" s="7" t="s">
        <v>5130</v>
      </c>
      <c r="T1160" s="8"/>
      <c r="U1160" s="11" t="str">
        <f>HYPERLINK("https://pbs.twimg.com/profile_images/1307055582130720768/BRTkLNbG.png","View")</f>
        <v>View</v>
      </c>
      <c r="V1160" s="8"/>
      <c r="W1160" s="8"/>
      <c r="X1160" s="8"/>
      <c r="Y1160" s="8"/>
      <c r="Z1160" s="8"/>
    </row>
    <row r="1161" spans="1:26" ht="13.2">
      <c r="A1161" s="13">
        <v>44250.502442129626</v>
      </c>
      <c r="B1161" s="6" t="str">
        <f>HYPERLINK("https://twitter.com/cornichecorp","@cornichecorp")</f>
        <v>@cornichecorp</v>
      </c>
      <c r="C1161" s="14" t="s">
        <v>2271</v>
      </c>
      <c r="D1161" s="14" t="s">
        <v>2481</v>
      </c>
      <c r="E1161" s="6" t="str">
        <f>HYPERLINK("https://twitter.com/cornichecorp/status/1364169011248975873","1364169011248975873")</f>
        <v>1364169011248975873</v>
      </c>
      <c r="F1161" s="14" t="s">
        <v>2482</v>
      </c>
      <c r="G1161" s="8"/>
      <c r="H1161" s="8"/>
      <c r="I1161" s="14">
        <v>1</v>
      </c>
      <c r="J1161" s="14">
        <v>1</v>
      </c>
      <c r="K1161" s="6" t="str">
        <f>HYPERLINK("http://twinybots.com","TwinyBots")</f>
        <v>TwinyBots</v>
      </c>
      <c r="L1161" s="15">
        <v>2349</v>
      </c>
      <c r="M1161" s="15">
        <v>2163</v>
      </c>
      <c r="N1161" s="15">
        <v>30</v>
      </c>
      <c r="O1161" s="9"/>
      <c r="P1161" s="10">
        <v>42246.917499999996</v>
      </c>
      <c r="Q1161" s="14" t="s">
        <v>2274</v>
      </c>
      <c r="R1161" s="14" t="s">
        <v>2275</v>
      </c>
      <c r="S1161" s="8"/>
      <c r="T1161" s="8"/>
      <c r="U1161" s="11" t="str">
        <f>HYPERLINK("https://pbs.twimg.com/profile_images/1135863200396775424/vPe8Htor.png","View")</f>
        <v>View</v>
      </c>
      <c r="V1161" s="8"/>
      <c r="W1161" s="8"/>
      <c r="X1161" s="8"/>
      <c r="Y1161" s="8"/>
      <c r="Z1161" s="8"/>
    </row>
    <row r="1162" spans="1:26" ht="13.2">
      <c r="A1162" s="13">
        <v>44250.502129629633</v>
      </c>
      <c r="B1162" s="6" t="str">
        <f>HYPERLINK("https://twitter.com/lopezunwired","@lopezunwired")</f>
        <v>@lopezunwired</v>
      </c>
      <c r="C1162" s="14" t="s">
        <v>224</v>
      </c>
      <c r="D1162" s="14" t="s">
        <v>5131</v>
      </c>
      <c r="E1162" s="6" t="str">
        <f>HYPERLINK("https://twitter.com/lopezunwired/status/1364168894454243330","1364168894454243330")</f>
        <v>1364168894454243330</v>
      </c>
      <c r="F1162" s="7" t="s">
        <v>5132</v>
      </c>
      <c r="G1162" s="7" t="s">
        <v>5133</v>
      </c>
      <c r="H1162" s="8"/>
      <c r="I1162" s="14">
        <v>1</v>
      </c>
      <c r="J1162" s="14">
        <v>1</v>
      </c>
      <c r="K1162" s="6" t="str">
        <f>HYPERLINK("https://dlvrit.com/","dlvr.it")</f>
        <v>dlvr.it</v>
      </c>
      <c r="L1162" s="15">
        <v>1803</v>
      </c>
      <c r="M1162" s="15">
        <v>800</v>
      </c>
      <c r="N1162" s="15">
        <v>586</v>
      </c>
      <c r="O1162" s="9"/>
      <c r="P1162" s="10">
        <v>39831.947152777779</v>
      </c>
      <c r="Q1162" s="14" t="s">
        <v>228</v>
      </c>
      <c r="R1162" s="14" t="s">
        <v>229</v>
      </c>
      <c r="S1162" s="7" t="s">
        <v>230</v>
      </c>
      <c r="T1162" s="8"/>
      <c r="U1162" s="11" t="str">
        <f>HYPERLINK("https://pbs.twimg.com/profile_images/3326137784/c6c1c2570fc7b9711dd8de812b996a66.jpeg","View")</f>
        <v>View</v>
      </c>
      <c r="V1162" s="8"/>
      <c r="W1162" s="8"/>
      <c r="X1162" s="8"/>
      <c r="Y1162" s="8"/>
      <c r="Z1162" s="8"/>
    </row>
    <row r="1163" spans="1:26" ht="13.2">
      <c r="A1163" s="13">
        <v>44250.501828703702</v>
      </c>
      <c r="B1163" s="6" t="str">
        <f>HYPERLINK("https://twitter.com/TopCyberNews","@TopCyberNews")</f>
        <v>@TopCyberNews</v>
      </c>
      <c r="C1163" s="14" t="s">
        <v>5134</v>
      </c>
      <c r="D1163" s="14" t="s">
        <v>5108</v>
      </c>
      <c r="E1163" s="6" t="str">
        <f>HYPERLINK("https://twitter.com/TopCyberNews/status/1364168788413997056","1364168788413997056")</f>
        <v>1364168788413997056</v>
      </c>
      <c r="F1163" s="7" t="s">
        <v>5109</v>
      </c>
      <c r="G1163" s="7" t="s">
        <v>5135</v>
      </c>
      <c r="H1163" s="8"/>
      <c r="I1163" s="14">
        <v>1</v>
      </c>
      <c r="J1163" s="14">
        <v>2</v>
      </c>
      <c r="K1163" s="6" t="str">
        <f>HYPERLINK("http://twitter.com/download/android","Twitter for Android")</f>
        <v>Twitter for Android</v>
      </c>
      <c r="L1163" s="15">
        <v>29586</v>
      </c>
      <c r="M1163" s="15">
        <v>3443</v>
      </c>
      <c r="N1163" s="15">
        <v>4422</v>
      </c>
      <c r="O1163" s="9"/>
      <c r="P1163" s="10">
        <v>40113.298888888887</v>
      </c>
      <c r="Q1163" s="14" t="s">
        <v>5136</v>
      </c>
      <c r="R1163" s="14" t="s">
        <v>5137</v>
      </c>
      <c r="S1163" s="7" t="s">
        <v>5138</v>
      </c>
      <c r="T1163" s="8"/>
      <c r="U1163" s="11" t="str">
        <f>HYPERLINK("https://pbs.twimg.com/profile_images/1307663222653231104/OFg7I-fj.jpg","View")</f>
        <v>View</v>
      </c>
      <c r="V1163" s="8"/>
      <c r="W1163" s="8"/>
      <c r="X1163" s="8"/>
      <c r="Y1163" s="8"/>
      <c r="Z1163" s="8"/>
    </row>
    <row r="1164" spans="1:26" ht="13.2">
      <c r="A1164" s="13">
        <v>44250.501111111109</v>
      </c>
      <c r="B1164" s="6" t="str">
        <f>HYPERLINK("https://twitter.com/MyrestAi","@MyrestAi")</f>
        <v>@MyrestAi</v>
      </c>
      <c r="C1164" s="7" t="s">
        <v>5139</v>
      </c>
      <c r="D1164" s="14" t="s">
        <v>5140</v>
      </c>
      <c r="E1164" s="6" t="str">
        <f>HYPERLINK("https://twitter.com/MyrestAi/status/1364168528224522245","1364168528224522245")</f>
        <v>1364168528224522245</v>
      </c>
      <c r="F1164" s="8"/>
      <c r="G1164" s="7" t="s">
        <v>5141</v>
      </c>
      <c r="H1164" s="8"/>
      <c r="I1164" s="14">
        <v>0</v>
      </c>
      <c r="J1164" s="14">
        <v>1</v>
      </c>
      <c r="K1164" s="6" t="str">
        <f>HYPERLINK("https://www.later.com","LaterMedia")</f>
        <v>LaterMedia</v>
      </c>
      <c r="L1164" s="15">
        <v>19</v>
      </c>
      <c r="M1164" s="15">
        <v>63</v>
      </c>
      <c r="N1164" s="15">
        <v>0</v>
      </c>
      <c r="O1164" s="9"/>
      <c r="P1164" s="10">
        <v>44244.53087962963</v>
      </c>
      <c r="Q1164" s="14" t="s">
        <v>5142</v>
      </c>
      <c r="R1164" s="14" t="s">
        <v>5143</v>
      </c>
      <c r="S1164" s="7" t="s">
        <v>5144</v>
      </c>
      <c r="T1164" s="8"/>
      <c r="U1164" s="11" t="str">
        <f>HYPERLINK("https://pbs.twimg.com/profile_images/1362005127633268737/JdaBDWbl.jpg","View")</f>
        <v>View</v>
      </c>
      <c r="V1164" s="8"/>
      <c r="W1164" s="8"/>
      <c r="X1164" s="8"/>
      <c r="Y1164" s="8"/>
      <c r="Z1164" s="8"/>
    </row>
    <row r="1165" spans="1:26" ht="13.2">
      <c r="A1165" s="13">
        <v>44250.501030092593</v>
      </c>
      <c r="B1165" s="6" t="str">
        <f>HYPERLINK("https://twitter.com/pythonwebconf","@pythonwebconf")</f>
        <v>@pythonwebconf</v>
      </c>
      <c r="C1165" s="14" t="s">
        <v>5145</v>
      </c>
      <c r="D1165" s="14" t="s">
        <v>5146</v>
      </c>
      <c r="E1165" s="6" t="str">
        <f>HYPERLINK("https://twitter.com/pythonwebconf/status/1364168496851128321","1364168496851128321")</f>
        <v>1364168496851128321</v>
      </c>
      <c r="F1165" s="7" t="s">
        <v>5147</v>
      </c>
      <c r="G1165" s="7" t="s">
        <v>5148</v>
      </c>
      <c r="H1165" s="8"/>
      <c r="I1165" s="14">
        <v>11</v>
      </c>
      <c r="J1165" s="14">
        <v>7</v>
      </c>
      <c r="K1165" s="6" t="str">
        <f>HYPERLINK("https://www.loomly.com/","Loomly")</f>
        <v>Loomly</v>
      </c>
      <c r="L1165" s="15">
        <v>111</v>
      </c>
      <c r="M1165" s="15">
        <v>145</v>
      </c>
      <c r="N1165" s="15">
        <v>3</v>
      </c>
      <c r="O1165" s="9"/>
      <c r="P1165" s="10">
        <v>44099.711886574078</v>
      </c>
      <c r="Q1165" s="14" t="s">
        <v>179</v>
      </c>
      <c r="R1165" s="14" t="s">
        <v>5149</v>
      </c>
      <c r="S1165" s="7" t="s">
        <v>5150</v>
      </c>
      <c r="T1165" s="8"/>
      <c r="U1165" s="11" t="str">
        <f>HYPERLINK("https://pbs.twimg.com/profile_images/1341147078328770563/5DE7iPIB.jpg","View")</f>
        <v>View</v>
      </c>
      <c r="V1165" s="8"/>
      <c r="W1165" s="8"/>
      <c r="X1165" s="8"/>
      <c r="Y1165" s="8"/>
      <c r="Z1165" s="8"/>
    </row>
    <row r="1166" spans="1:26" ht="13.2">
      <c r="A1166" s="13">
        <v>44250.500949074078</v>
      </c>
      <c r="B1166" s="6" t="str">
        <f>HYPERLINK("https://twitter.com/yashdeshpande95","@yashdeshpande95")</f>
        <v>@yashdeshpande95</v>
      </c>
      <c r="C1166" s="14" t="s">
        <v>5151</v>
      </c>
      <c r="D1166" s="14" t="s">
        <v>5152</v>
      </c>
      <c r="E1166" s="6" t="str">
        <f>HYPERLINK("https://twitter.com/yashdeshpande95/status/1364168469835485186","1364168469835485186")</f>
        <v>1364168469835485186</v>
      </c>
      <c r="F1166" s="7" t="s">
        <v>5153</v>
      </c>
      <c r="G1166" s="7" t="s">
        <v>5154</v>
      </c>
      <c r="H1166" s="8"/>
      <c r="I1166" s="14">
        <v>1</v>
      </c>
      <c r="J1166" s="14">
        <v>1</v>
      </c>
      <c r="K1166" s="6" t="str">
        <f>HYPERLINK("http://twitter.com/download/android","Twitter for Android")</f>
        <v>Twitter for Android</v>
      </c>
      <c r="L1166" s="15">
        <v>105</v>
      </c>
      <c r="M1166" s="15">
        <v>663</v>
      </c>
      <c r="N1166" s="15">
        <v>0</v>
      </c>
      <c r="O1166" s="9"/>
      <c r="P1166" s="10">
        <v>41154.732893518521</v>
      </c>
      <c r="Q1166" s="14" t="s">
        <v>5155</v>
      </c>
      <c r="R1166" s="14" t="s">
        <v>5156</v>
      </c>
      <c r="S1166" s="7" t="s">
        <v>5157</v>
      </c>
      <c r="T1166" s="8"/>
      <c r="U1166" s="11" t="str">
        <f>HYPERLINK("https://pbs.twimg.com/profile_images/1206194994861625346/sOr3X3Wk.jpg","View")</f>
        <v>View</v>
      </c>
      <c r="V1166" s="8"/>
      <c r="W1166" s="8"/>
      <c r="X1166" s="8"/>
      <c r="Y1166" s="8"/>
      <c r="Z1166" s="8"/>
    </row>
    <row r="1167" spans="1:26" ht="13.2">
      <c r="A1167" s="13">
        <v>44250.500775462962</v>
      </c>
      <c r="B1167" s="6" t="str">
        <f>HYPERLINK("https://twitter.com/RoyalStatSoc","@RoyalStatSoc")</f>
        <v>@RoyalStatSoc</v>
      </c>
      <c r="C1167" s="14" t="s">
        <v>5158</v>
      </c>
      <c r="D1167" s="14" t="s">
        <v>5159</v>
      </c>
      <c r="E1167" s="6" t="str">
        <f>HYPERLINK("https://twitter.com/RoyalStatSoc/status/1364168404245110784","1364168404245110784")</f>
        <v>1364168404245110784</v>
      </c>
      <c r="F1167" s="7" t="s">
        <v>5160</v>
      </c>
      <c r="G1167" s="7" t="s">
        <v>5161</v>
      </c>
      <c r="H1167" s="8"/>
      <c r="I1167" s="14">
        <v>2</v>
      </c>
      <c r="J1167" s="14">
        <v>5</v>
      </c>
      <c r="K1167" s="6" t="str">
        <f>HYPERLINK("https://www.hootsuite.com","Hootsuite Inc.")</f>
        <v>Hootsuite Inc.</v>
      </c>
      <c r="L1167" s="15">
        <v>29683</v>
      </c>
      <c r="M1167" s="15">
        <v>1007</v>
      </c>
      <c r="N1167" s="15">
        <v>614</v>
      </c>
      <c r="O1167" s="15" t="s">
        <v>130</v>
      </c>
      <c r="P1167" s="10">
        <v>40255.635393518518</v>
      </c>
      <c r="Q1167" s="14" t="s">
        <v>1890</v>
      </c>
      <c r="R1167" s="14" t="s">
        <v>5162</v>
      </c>
      <c r="S1167" s="7" t="s">
        <v>5163</v>
      </c>
      <c r="T1167" s="8"/>
      <c r="U1167" s="11" t="str">
        <f>HYPERLINK("https://pbs.twimg.com/profile_images/1063403685483560960/dVxGKnl8.jpg","View")</f>
        <v>View</v>
      </c>
      <c r="V1167" s="8"/>
      <c r="W1167" s="8"/>
      <c r="X1167" s="8"/>
      <c r="Y1167" s="8"/>
      <c r="Z1167" s="8"/>
    </row>
    <row r="1168" spans="1:26" ht="13.2">
      <c r="A1168" s="13">
        <v>44250.500706018516</v>
      </c>
      <c r="B1168" s="6" t="str">
        <f>HYPERLINK("https://twitter.com/_SanjayDas","@_SanjayDas")</f>
        <v>@_SanjayDas</v>
      </c>
      <c r="C1168" s="14" t="s">
        <v>5164</v>
      </c>
      <c r="D1168" s="14" t="s">
        <v>5165</v>
      </c>
      <c r="E1168" s="6" t="str">
        <f>HYPERLINK("https://twitter.com/_SanjayDas/status/1364168379628724225","1364168379628724225")</f>
        <v>1364168379628724225</v>
      </c>
      <c r="F1168" s="7" t="s">
        <v>5166</v>
      </c>
      <c r="G1168" s="7" t="s">
        <v>5167</v>
      </c>
      <c r="H1168" s="8"/>
      <c r="I1168" s="14">
        <v>1</v>
      </c>
      <c r="J1168" s="14">
        <v>3</v>
      </c>
      <c r="K1168" s="6" t="str">
        <f>HYPERLINK("https://buffer.com","Buffer")</f>
        <v>Buffer</v>
      </c>
      <c r="L1168" s="15">
        <v>1205</v>
      </c>
      <c r="M1168" s="15">
        <v>1409</v>
      </c>
      <c r="N1168" s="15">
        <v>31</v>
      </c>
      <c r="O1168" s="9"/>
      <c r="P1168" s="10">
        <v>42901.267060185186</v>
      </c>
      <c r="Q1168" s="14" t="s">
        <v>5168</v>
      </c>
      <c r="R1168" s="14" t="s">
        <v>5169</v>
      </c>
      <c r="S1168" s="7" t="s">
        <v>5170</v>
      </c>
      <c r="T1168" s="8"/>
      <c r="U1168" s="11" t="str">
        <f>HYPERLINK("https://pbs.twimg.com/profile_images/1324260655675793408/MpciYhRj.jpg","View")</f>
        <v>View</v>
      </c>
      <c r="V1168" s="8"/>
      <c r="W1168" s="8"/>
      <c r="X1168" s="8"/>
      <c r="Y1168" s="8"/>
      <c r="Z1168" s="8"/>
    </row>
    <row r="1169" spans="1:26" ht="13.2">
      <c r="A1169" s="13">
        <v>44250.500555555554</v>
      </c>
      <c r="B1169" s="6" t="str">
        <f>HYPERLINK("https://twitter.com/GroupArray","@GroupArray")</f>
        <v>@GroupArray</v>
      </c>
      <c r="C1169" s="14" t="s">
        <v>5171</v>
      </c>
      <c r="D1169" s="14" t="s">
        <v>5172</v>
      </c>
      <c r="E1169" s="6" t="str">
        <f>HYPERLINK("https://twitter.com/GroupArray/status/1364168324926570499","1364168324926570499")</f>
        <v>1364168324926570499</v>
      </c>
      <c r="F1169" s="7" t="s">
        <v>5173</v>
      </c>
      <c r="G1169" s="8"/>
      <c r="H1169" s="8"/>
      <c r="I1169" s="14">
        <v>1</v>
      </c>
      <c r="J1169" s="14">
        <v>1</v>
      </c>
      <c r="K1169" s="6" t="str">
        <f t="shared" ref="K1169:K1170" si="191">HYPERLINK("https://www.hootsuite.com","Hootsuite Inc.")</f>
        <v>Hootsuite Inc.</v>
      </c>
      <c r="L1169" s="15">
        <v>17</v>
      </c>
      <c r="M1169" s="15">
        <v>70</v>
      </c>
      <c r="N1169" s="15">
        <v>0</v>
      </c>
      <c r="O1169" s="9"/>
      <c r="P1169" s="10">
        <v>43864.911736111113</v>
      </c>
      <c r="Q1169" s="14" t="s">
        <v>5174</v>
      </c>
      <c r="R1169" s="14" t="s">
        <v>5175</v>
      </c>
      <c r="S1169" s="7" t="s">
        <v>5176</v>
      </c>
      <c r="T1169" s="8"/>
      <c r="U1169" s="11" t="str">
        <f>HYPERLINK("https://pbs.twimg.com/profile_images/1224435708695179264/MjPPSyuG.jpg","View")</f>
        <v>View</v>
      </c>
      <c r="V1169" s="8"/>
      <c r="W1169" s="8"/>
      <c r="X1169" s="8"/>
      <c r="Y1169" s="8"/>
      <c r="Z1169" s="8"/>
    </row>
    <row r="1170" spans="1:26" ht="13.2">
      <c r="A1170" s="13">
        <v>44250.500196759254</v>
      </c>
      <c r="B1170" s="6" t="str">
        <f>HYPERLINK("https://twitter.com/TeldatCorp","@TeldatCorp")</f>
        <v>@TeldatCorp</v>
      </c>
      <c r="C1170" s="14" t="s">
        <v>3188</v>
      </c>
      <c r="D1170" s="14" t="s">
        <v>5177</v>
      </c>
      <c r="E1170" s="6" t="str">
        <f>HYPERLINK("https://twitter.com/TeldatCorp/status/1364168197109407746","1364168197109407746")</f>
        <v>1364168197109407746</v>
      </c>
      <c r="F1170" s="7" t="s">
        <v>5178</v>
      </c>
      <c r="G1170" s="7" t="s">
        <v>5179</v>
      </c>
      <c r="H1170" s="8"/>
      <c r="I1170" s="14">
        <v>9</v>
      </c>
      <c r="J1170" s="14">
        <v>1</v>
      </c>
      <c r="K1170" s="6" t="str">
        <f t="shared" si="191"/>
        <v>Hootsuite Inc.</v>
      </c>
      <c r="L1170" s="15">
        <v>2037</v>
      </c>
      <c r="M1170" s="15">
        <v>1491</v>
      </c>
      <c r="N1170" s="15">
        <v>321</v>
      </c>
      <c r="O1170" s="9"/>
      <c r="P1170" s="10">
        <v>41457.489386574074</v>
      </c>
      <c r="Q1170" s="14" t="s">
        <v>75</v>
      </c>
      <c r="R1170" s="14" t="s">
        <v>3192</v>
      </c>
      <c r="S1170" s="7" t="s">
        <v>3193</v>
      </c>
      <c r="T1170" s="8"/>
      <c r="U1170" s="11" t="str">
        <f>HYPERLINK("https://pbs.twimg.com/profile_images/976387744422416384/ECvPSB0l.jpg","View")</f>
        <v>View</v>
      </c>
      <c r="V1170" s="8"/>
      <c r="W1170" s="8"/>
      <c r="X1170" s="8"/>
      <c r="Y1170" s="8"/>
      <c r="Z1170" s="8"/>
    </row>
    <row r="1171" spans="1:26" ht="13.2">
      <c r="A1171" s="13">
        <v>44250.500115740739</v>
      </c>
      <c r="B1171" s="6" t="str">
        <f>HYPERLINK("https://twitter.com/dataartisan1","@dataartisan1")</f>
        <v>@dataartisan1</v>
      </c>
      <c r="C1171" s="14" t="s">
        <v>5180</v>
      </c>
      <c r="D1171" s="14" t="s">
        <v>5181</v>
      </c>
      <c r="E1171" s="6" t="str">
        <f>HYPERLINK("https://twitter.com/dataartisan1/status/1364168166172094467","1364168166172094467")</f>
        <v>1364168166172094467</v>
      </c>
      <c r="F1171" s="8"/>
      <c r="G1171" s="8"/>
      <c r="H1171" s="8"/>
      <c r="I1171" s="14">
        <v>7</v>
      </c>
      <c r="J1171" s="14">
        <v>5</v>
      </c>
      <c r="K1171" s="8"/>
      <c r="L1171" s="15">
        <v>1424</v>
      </c>
      <c r="M1171" s="15">
        <v>245</v>
      </c>
      <c r="N1171" s="15">
        <v>13</v>
      </c>
      <c r="O1171" s="9"/>
      <c r="P1171" s="10">
        <v>43959.967418981483</v>
      </c>
      <c r="Q1171" s="8"/>
      <c r="R1171" s="14" t="s">
        <v>5182</v>
      </c>
      <c r="S1171" s="8"/>
      <c r="T1171" s="8"/>
      <c r="U1171" s="11" t="str">
        <f>HYPERLINK("https://pbs.twimg.com/profile_images/1258867763487166464/cEn_-Uu5.jpg","View")</f>
        <v>View</v>
      </c>
      <c r="V1171" s="8"/>
      <c r="W1171" s="8"/>
      <c r="X1171" s="8"/>
      <c r="Y1171" s="8"/>
      <c r="Z1171" s="8"/>
    </row>
    <row r="1172" spans="1:26" ht="13.2">
      <c r="A1172" s="13">
        <v>44250.500081018516</v>
      </c>
      <c r="B1172" s="6" t="str">
        <f>HYPERLINK("https://twitter.com/couponed_code","@couponed_code")</f>
        <v>@couponed_code</v>
      </c>
      <c r="C1172" s="14" t="s">
        <v>2605</v>
      </c>
      <c r="D1172" s="14" t="s">
        <v>5183</v>
      </c>
      <c r="E1172" s="6" t="str">
        <f>HYPERLINK("https://twitter.com/couponed_code/status/1364168152708313093","1364168152708313093")</f>
        <v>1364168152708313093</v>
      </c>
      <c r="F1172" s="7" t="s">
        <v>5184</v>
      </c>
      <c r="G1172" s="7" t="s">
        <v>5185</v>
      </c>
      <c r="H1172" s="8"/>
      <c r="I1172" s="14">
        <v>17</v>
      </c>
      <c r="J1172" s="14">
        <v>11</v>
      </c>
      <c r="K1172" s="6" t="str">
        <f>HYPERLINK("https://mobile.twitter.com","Twitter Web App")</f>
        <v>Twitter Web App</v>
      </c>
      <c r="L1172" s="15">
        <v>411</v>
      </c>
      <c r="M1172" s="15">
        <v>189</v>
      </c>
      <c r="N1172" s="15">
        <v>12</v>
      </c>
      <c r="O1172" s="9"/>
      <c r="P1172" s="10">
        <v>43795.697094907402</v>
      </c>
      <c r="Q1172" s="8"/>
      <c r="R1172" s="14" t="s">
        <v>2609</v>
      </c>
      <c r="S1172" s="7" t="s">
        <v>249</v>
      </c>
      <c r="T1172" s="8"/>
      <c r="U1172" s="11" t="str">
        <f>HYPERLINK("https://pbs.twimg.com/profile_images/1199354488051515392/yHRbpMAp.jpg","View")</f>
        <v>View</v>
      </c>
      <c r="V1172" s="8"/>
      <c r="W1172" s="8"/>
      <c r="X1172" s="8"/>
      <c r="Y1172" s="8"/>
      <c r="Z1172" s="8"/>
    </row>
    <row r="1173" spans="1:26" ht="13.2">
      <c r="A1173" s="13">
        <v>44250.500034722223</v>
      </c>
      <c r="B1173" s="6" t="str">
        <f>HYPERLINK("https://twitter.com/AnnePordon","@AnnePordon")</f>
        <v>@AnnePordon</v>
      </c>
      <c r="C1173" s="14" t="s">
        <v>1138</v>
      </c>
      <c r="D1173" s="14" t="s">
        <v>5186</v>
      </c>
      <c r="E1173" s="6" t="str">
        <f>HYPERLINK("https://twitter.com/AnnePordon/status/1364168136883200002","1364168136883200002")</f>
        <v>1364168136883200002</v>
      </c>
      <c r="F1173" s="7" t="s">
        <v>5187</v>
      </c>
      <c r="G1173" s="8"/>
      <c r="H1173" s="8"/>
      <c r="I1173" s="14">
        <v>32</v>
      </c>
      <c r="J1173" s="14">
        <v>15</v>
      </c>
      <c r="K1173" s="6" t="str">
        <f>HYPERLINK("http://www.linkedin.com/","LinkedIn")</f>
        <v>LinkedIn</v>
      </c>
      <c r="L1173" s="15">
        <v>265</v>
      </c>
      <c r="M1173" s="15">
        <v>565</v>
      </c>
      <c r="N1173" s="15">
        <v>5</v>
      </c>
      <c r="O1173" s="9"/>
      <c r="P1173" s="10">
        <v>43714.793321759258</v>
      </c>
      <c r="Q1173" s="14" t="s">
        <v>1141</v>
      </c>
      <c r="R1173" s="14" t="s">
        <v>1142</v>
      </c>
      <c r="S1173" s="8"/>
      <c r="T1173" s="8"/>
      <c r="U1173" s="11" t="str">
        <f>HYPERLINK("https://pbs.twimg.com/profile_images/1170020149455462401/KK9I4zZR.jpg","View")</f>
        <v>View</v>
      </c>
      <c r="V1173" s="8"/>
      <c r="W1173" s="8"/>
      <c r="X1173" s="8"/>
      <c r="Y1173" s="8"/>
      <c r="Z1173" s="8"/>
    </row>
    <row r="1174" spans="1:26" ht="13.2">
      <c r="A1174" s="13">
        <v>44250.500023148154</v>
      </c>
      <c r="B1174" s="6" t="str">
        <f>HYPERLINK("https://twitter.com/yywwy3","@yywwy3")</f>
        <v>@yywwy3</v>
      </c>
      <c r="C1174" s="14" t="s">
        <v>3899</v>
      </c>
      <c r="D1174" s="14" t="s">
        <v>5188</v>
      </c>
      <c r="E1174" s="6" t="str">
        <f>HYPERLINK("https://twitter.com/yywwy3/status/1364168132928020485","1364168132928020485")</f>
        <v>1364168132928020485</v>
      </c>
      <c r="F1174" s="8"/>
      <c r="G1174" s="7" t="s">
        <v>5189</v>
      </c>
      <c r="H1174" s="8"/>
      <c r="I1174" s="14">
        <v>15</v>
      </c>
      <c r="J1174" s="14">
        <v>9</v>
      </c>
      <c r="K1174" s="6" t="str">
        <f>HYPERLINK("https://mobile.twitter.com","Twitter Web App")</f>
        <v>Twitter Web App</v>
      </c>
      <c r="L1174" s="15">
        <v>1168</v>
      </c>
      <c r="M1174" s="15">
        <v>1444</v>
      </c>
      <c r="N1174" s="15">
        <v>4</v>
      </c>
      <c r="O1174" s="9"/>
      <c r="P1174" s="10">
        <v>44127.356435185182</v>
      </c>
      <c r="Q1174" s="14" t="s">
        <v>2501</v>
      </c>
      <c r="R1174" s="14" t="s">
        <v>3902</v>
      </c>
      <c r="S1174" s="8"/>
      <c r="T1174" s="8"/>
      <c r="U1174" s="11" t="str">
        <f>HYPERLINK("https://pbs.twimg.com/profile_images/1319539085661200384/VSgFxaju.jpg","View")</f>
        <v>View</v>
      </c>
      <c r="V1174" s="8"/>
      <c r="W1174" s="8"/>
      <c r="X1174" s="8"/>
      <c r="Y1174" s="8"/>
      <c r="Z1174" s="8"/>
    </row>
    <row r="1175" spans="1:26" ht="13.2">
      <c r="A1175" s="13">
        <v>44250.49998842593</v>
      </c>
      <c r="B1175" s="6" t="str">
        <f>HYPERLINK("https://twitter.com/WeAreIntellis","@WeAreIntellis")</f>
        <v>@WeAreIntellis</v>
      </c>
      <c r="C1175" s="14" t="s">
        <v>5190</v>
      </c>
      <c r="D1175" s="14" t="s">
        <v>5191</v>
      </c>
      <c r="E1175" s="6" t="str">
        <f>HYPERLINK("https://twitter.com/WeAreIntellis/status/1364168119745449984","1364168119745449984")</f>
        <v>1364168119745449984</v>
      </c>
      <c r="F1175" s="7" t="s">
        <v>5192</v>
      </c>
      <c r="G1175" s="8"/>
      <c r="H1175" s="8"/>
      <c r="I1175" s="14">
        <v>4</v>
      </c>
      <c r="J1175" s="14">
        <v>3</v>
      </c>
      <c r="K1175" s="6" t="str">
        <f>HYPERLINK("http://www.hubspot.com/","HubSpot")</f>
        <v>HubSpot</v>
      </c>
      <c r="L1175" s="15">
        <v>386</v>
      </c>
      <c r="M1175" s="15">
        <v>772</v>
      </c>
      <c r="N1175" s="15">
        <v>6</v>
      </c>
      <c r="O1175" s="9"/>
      <c r="P1175" s="10">
        <v>40449.747013888889</v>
      </c>
      <c r="Q1175" s="14" t="s">
        <v>215</v>
      </c>
      <c r="R1175" s="14" t="s">
        <v>5193</v>
      </c>
      <c r="S1175" s="7" t="s">
        <v>5194</v>
      </c>
      <c r="T1175" s="8"/>
      <c r="U1175" s="11" t="str">
        <f>HYPERLINK("https://pbs.twimg.com/profile_images/1318978036235177987/gqU30pxJ.jpg","View")</f>
        <v>View</v>
      </c>
      <c r="V1175" s="8"/>
      <c r="W1175" s="8"/>
      <c r="X1175" s="8"/>
      <c r="Y1175" s="8"/>
      <c r="Z1175" s="8"/>
    </row>
    <row r="1176" spans="1:26" ht="13.2">
      <c r="A1176" s="13">
        <v>44250.499791666662</v>
      </c>
      <c r="B1176" s="6" t="str">
        <f>HYPERLINK("https://twitter.com/BAUMEISTERCONS1","@BAUMEISTERCONS1")</f>
        <v>@BAUMEISTERCONS1</v>
      </c>
      <c r="C1176" s="14" t="s">
        <v>5195</v>
      </c>
      <c r="D1176" s="14" t="s">
        <v>5196</v>
      </c>
      <c r="E1176" s="6" t="str">
        <f>HYPERLINK("https://twitter.com/BAUMEISTERCONS1/status/1364168047792168961","1364168047792168961")</f>
        <v>1364168047792168961</v>
      </c>
      <c r="F1176" s="7" t="s">
        <v>5197</v>
      </c>
      <c r="G1176" s="7" t="s">
        <v>5198</v>
      </c>
      <c r="H1176" s="8"/>
      <c r="I1176" s="14">
        <v>3</v>
      </c>
      <c r="J1176" s="14">
        <v>0</v>
      </c>
      <c r="K1176" s="6" t="str">
        <f>HYPERLINK("https://mobile.twitter.com","Twitter Web App")</f>
        <v>Twitter Web App</v>
      </c>
      <c r="L1176" s="15">
        <v>199</v>
      </c>
      <c r="M1176" s="15">
        <v>257</v>
      </c>
      <c r="N1176" s="15">
        <v>0</v>
      </c>
      <c r="O1176" s="9"/>
      <c r="P1176" s="10">
        <v>44236.569803240738</v>
      </c>
      <c r="Q1176" s="14" t="s">
        <v>5199</v>
      </c>
      <c r="R1176" s="14" t="s">
        <v>5200</v>
      </c>
      <c r="S1176" s="7" t="s">
        <v>5201</v>
      </c>
      <c r="T1176" s="8"/>
      <c r="U1176" s="11" t="str">
        <f>HYPERLINK("https://pbs.twimg.com/profile_images/1359123505539866626/tZ-gtCMC.jpg","View")</f>
        <v>View</v>
      </c>
      <c r="V1176" s="8"/>
      <c r="W1176" s="8"/>
      <c r="X1176" s="8"/>
      <c r="Y1176" s="8"/>
      <c r="Z1176" s="8"/>
    </row>
    <row r="1177" spans="1:26" ht="13.2">
      <c r="A1177" s="13">
        <v>44250.499108796299</v>
      </c>
      <c r="B1177" s="6" t="str">
        <f>HYPERLINK("https://twitter.com/niellypie","@niellypie")</f>
        <v>@niellypie</v>
      </c>
      <c r="C1177" s="14" t="s">
        <v>5202</v>
      </c>
      <c r="D1177" s="14" t="s">
        <v>2087</v>
      </c>
      <c r="E1177" s="6" t="str">
        <f>HYPERLINK("https://twitter.com/niellypie/status/1364167801636798464","1364167801636798464")</f>
        <v>1364167801636798464</v>
      </c>
      <c r="F1177" s="7" t="s">
        <v>5203</v>
      </c>
      <c r="G1177" s="7" t="s">
        <v>5204</v>
      </c>
      <c r="H1177" s="8"/>
      <c r="I1177" s="14">
        <v>1</v>
      </c>
      <c r="J1177" s="14">
        <v>1</v>
      </c>
      <c r="K1177" s="6" t="str">
        <f>HYPERLINK("http://www.everyonesocial.com","EveryoneSocial")</f>
        <v>EveryoneSocial</v>
      </c>
      <c r="L1177" s="15">
        <v>147</v>
      </c>
      <c r="M1177" s="15">
        <v>154</v>
      </c>
      <c r="N1177" s="15">
        <v>3</v>
      </c>
      <c r="O1177" s="9"/>
      <c r="P1177" s="10">
        <v>40588.59138888889</v>
      </c>
      <c r="Q1177" s="14" t="s">
        <v>4035</v>
      </c>
      <c r="R1177" s="14" t="s">
        <v>5205</v>
      </c>
      <c r="S1177" s="8"/>
      <c r="T1177" s="8"/>
      <c r="U1177" s="11" t="str">
        <f>HYPERLINK("https://pbs.twimg.com/profile_images/968840652875288581/g4jUSok4.jpg","View")</f>
        <v>View</v>
      </c>
      <c r="V1177" s="8"/>
      <c r="W1177" s="8"/>
      <c r="X1177" s="8"/>
      <c r="Y1177" s="8"/>
      <c r="Z1177" s="8"/>
    </row>
    <row r="1178" spans="1:26" ht="13.2">
      <c r="A1178" s="13">
        <v>44250.498657407406</v>
      </c>
      <c r="B1178" s="6" t="str">
        <f>HYPERLINK("https://twitter.com/Innovat78455398","@Innovat78455398")</f>
        <v>@Innovat78455398</v>
      </c>
      <c r="C1178" s="14" t="s">
        <v>4318</v>
      </c>
      <c r="D1178" s="14" t="s">
        <v>5206</v>
      </c>
      <c r="E1178" s="6" t="str">
        <f>HYPERLINK("https://twitter.com/Innovat78455398/status/1364167638742487042","1364167638742487042")</f>
        <v>1364167638742487042</v>
      </c>
      <c r="F1178" s="7" t="s">
        <v>5207</v>
      </c>
      <c r="G1178" s="7" t="s">
        <v>5208</v>
      </c>
      <c r="H1178" s="8"/>
      <c r="I1178" s="14">
        <v>7</v>
      </c>
      <c r="J1178" s="14">
        <v>6</v>
      </c>
      <c r="K1178" s="6" t="str">
        <f t="shared" ref="K1178:K1189" si="192">HYPERLINK("https://mobile.twitter.com","Twitter Web App")</f>
        <v>Twitter Web App</v>
      </c>
      <c r="L1178" s="15">
        <v>101</v>
      </c>
      <c r="M1178" s="15">
        <v>142</v>
      </c>
      <c r="N1178" s="15">
        <v>1</v>
      </c>
      <c r="O1178" s="9"/>
      <c r="P1178" s="10">
        <v>44075.047534722224</v>
      </c>
      <c r="Q1178" s="14" t="s">
        <v>623</v>
      </c>
      <c r="R1178" s="14" t="s">
        <v>4322</v>
      </c>
      <c r="S1178" s="8"/>
      <c r="T1178" s="8"/>
      <c r="U1178" s="11" t="str">
        <f>HYPERLINK("https://pbs.twimg.com/profile_images/1300571380098850818/YjKI8L9l.jpg","View")</f>
        <v>View</v>
      </c>
      <c r="V1178" s="8"/>
      <c r="W1178" s="8"/>
      <c r="X1178" s="8"/>
      <c r="Y1178" s="8"/>
      <c r="Z1178" s="8"/>
    </row>
    <row r="1179" spans="1:26" ht="13.2">
      <c r="A1179" s="13">
        <v>44250.49836805556</v>
      </c>
      <c r="B1179" s="6" t="str">
        <f>HYPERLINK("https://twitter.com/Eli_Krumova","@Eli_Krumova")</f>
        <v>@Eli_Krumova</v>
      </c>
      <c r="C1179" s="14" t="s">
        <v>947</v>
      </c>
      <c r="D1179" s="14" t="s">
        <v>5209</v>
      </c>
      <c r="E1179" s="6" t="str">
        <f>HYPERLINK("https://twitter.com/Eli_Krumova/status/1364167534400974848","1364167534400974848")</f>
        <v>1364167534400974848</v>
      </c>
      <c r="F1179" s="14" t="s">
        <v>5210</v>
      </c>
      <c r="G1179" s="14" t="s">
        <v>5211</v>
      </c>
      <c r="H1179" s="8"/>
      <c r="I1179" s="14">
        <v>6</v>
      </c>
      <c r="J1179" s="14">
        <v>4</v>
      </c>
      <c r="K1179" s="6" t="str">
        <f t="shared" si="192"/>
        <v>Twitter Web App</v>
      </c>
      <c r="L1179" s="15">
        <v>4471</v>
      </c>
      <c r="M1179" s="15">
        <v>5001</v>
      </c>
      <c r="N1179" s="15">
        <v>79</v>
      </c>
      <c r="O1179" s="9"/>
      <c r="P1179" s="10">
        <v>41346.597002314811</v>
      </c>
      <c r="Q1179" s="14" t="s">
        <v>951</v>
      </c>
      <c r="R1179" s="14" t="s">
        <v>952</v>
      </c>
      <c r="S1179" s="8"/>
      <c r="T1179" s="8"/>
      <c r="U1179" s="11" t="str">
        <f>HYPERLINK("https://pbs.twimg.com/profile_images/1361638888427683840/HqNlplM_.jpg","View")</f>
        <v>View</v>
      </c>
      <c r="V1179" s="8"/>
      <c r="W1179" s="8"/>
      <c r="X1179" s="8"/>
      <c r="Y1179" s="8"/>
      <c r="Z1179" s="8"/>
    </row>
    <row r="1180" spans="1:26" ht="13.2">
      <c r="A1180" s="13">
        <v>44250.497962962967</v>
      </c>
      <c r="B1180" s="6" t="str">
        <f>HYPERLINK("https://twitter.com/TheBrainalytics","@TheBrainalytics")</f>
        <v>@TheBrainalytics</v>
      </c>
      <c r="C1180" s="14" t="s">
        <v>5212</v>
      </c>
      <c r="D1180" s="14" t="s">
        <v>5213</v>
      </c>
      <c r="E1180" s="6" t="str">
        <f>HYPERLINK("https://twitter.com/TheBrainalytics/status/1364167385922506753","1364167385922506753")</f>
        <v>1364167385922506753</v>
      </c>
      <c r="F1180" s="7" t="s">
        <v>5214</v>
      </c>
      <c r="G1180" s="7" t="s">
        <v>5215</v>
      </c>
      <c r="H1180" s="8"/>
      <c r="I1180" s="14">
        <v>1</v>
      </c>
      <c r="J1180" s="14">
        <v>1</v>
      </c>
      <c r="K1180" s="6" t="str">
        <f t="shared" si="192"/>
        <v>Twitter Web App</v>
      </c>
      <c r="L1180" s="15">
        <v>443</v>
      </c>
      <c r="M1180" s="15">
        <v>32</v>
      </c>
      <c r="N1180" s="15">
        <v>0</v>
      </c>
      <c r="O1180" s="9"/>
      <c r="P1180" s="10">
        <v>43985.50680555556</v>
      </c>
      <c r="Q1180" s="8"/>
      <c r="R1180" s="14" t="s">
        <v>5216</v>
      </c>
      <c r="S1180" s="8"/>
      <c r="T1180" s="8"/>
      <c r="U1180" s="11" t="str">
        <f>HYPERLINK("https://pbs.twimg.com/profile_images/1268583237921771522/ZerxTnnh.jpg","View")</f>
        <v>View</v>
      </c>
      <c r="V1180" s="8"/>
      <c r="W1180" s="8"/>
      <c r="X1180" s="8"/>
      <c r="Y1180" s="8"/>
      <c r="Z1180" s="8"/>
    </row>
    <row r="1181" spans="1:26" ht="13.2">
      <c r="A1181" s="13">
        <v>44250.497789351852</v>
      </c>
      <c r="B1181" s="6" t="str">
        <f>HYPERLINK("https://twitter.com/Fisheyebox","@Fisheyebox")</f>
        <v>@Fisheyebox</v>
      </c>
      <c r="C1181" s="14" t="s">
        <v>5217</v>
      </c>
      <c r="D1181" s="14" t="s">
        <v>5218</v>
      </c>
      <c r="E1181" s="6" t="str">
        <f>HYPERLINK("https://twitter.com/Fisheyebox/status/1364167323179835393","1364167323179835393")</f>
        <v>1364167323179835393</v>
      </c>
      <c r="F1181" s="8"/>
      <c r="G1181" s="7" t="s">
        <v>5198</v>
      </c>
      <c r="H1181" s="8"/>
      <c r="I1181" s="14">
        <v>32</v>
      </c>
      <c r="J1181" s="14">
        <v>15</v>
      </c>
      <c r="K1181" s="6" t="str">
        <f t="shared" si="192"/>
        <v>Twitter Web App</v>
      </c>
      <c r="L1181" s="15">
        <v>2143</v>
      </c>
      <c r="M1181" s="15">
        <v>1473</v>
      </c>
      <c r="N1181" s="15">
        <v>42</v>
      </c>
      <c r="O1181" s="9"/>
      <c r="P1181" s="10">
        <v>40722.444189814814</v>
      </c>
      <c r="Q1181" s="14" t="s">
        <v>364</v>
      </c>
      <c r="R1181" s="14" t="s">
        <v>5219</v>
      </c>
      <c r="S1181" s="7" t="s">
        <v>5220</v>
      </c>
      <c r="T1181" s="8"/>
      <c r="U1181" s="11" t="str">
        <f>HYPERLINK("https://pbs.twimg.com/profile_images/1206092231800549376/XVZ2BlIM.jpg","View")</f>
        <v>View</v>
      </c>
      <c r="V1181" s="8"/>
      <c r="W1181" s="8"/>
      <c r="X1181" s="8"/>
      <c r="Y1181" s="8"/>
      <c r="Z1181" s="8"/>
    </row>
    <row r="1182" spans="1:26" ht="13.2">
      <c r="A1182" s="13">
        <v>44250.497523148151</v>
      </c>
      <c r="B1182" s="6" t="str">
        <f>HYPERLINK("https://twitter.com/geniSIGHTS","@geniSIGHTS")</f>
        <v>@geniSIGHTS</v>
      </c>
      <c r="C1182" s="14" t="s">
        <v>5221</v>
      </c>
      <c r="D1182" s="14" t="s">
        <v>5222</v>
      </c>
      <c r="E1182" s="6" t="str">
        <f>HYPERLINK("https://twitter.com/geniSIGHTS/status/1364167225469403138","1364167225469403138")</f>
        <v>1364167225469403138</v>
      </c>
      <c r="F1182" s="8"/>
      <c r="G1182" s="7" t="s">
        <v>5223</v>
      </c>
      <c r="H1182" s="8"/>
      <c r="I1182" s="14">
        <v>1</v>
      </c>
      <c r="J1182" s="14">
        <v>1</v>
      </c>
      <c r="K1182" s="6" t="str">
        <f t="shared" si="192"/>
        <v>Twitter Web App</v>
      </c>
      <c r="L1182" s="15">
        <v>599</v>
      </c>
      <c r="M1182" s="15">
        <v>559</v>
      </c>
      <c r="N1182" s="15">
        <v>3</v>
      </c>
      <c r="O1182" s="9"/>
      <c r="P1182" s="10">
        <v>42583.601689814815</v>
      </c>
      <c r="Q1182" s="14" t="s">
        <v>2759</v>
      </c>
      <c r="R1182" s="14" t="s">
        <v>5224</v>
      </c>
      <c r="S1182" s="7" t="s">
        <v>5225</v>
      </c>
      <c r="T1182" s="8"/>
      <c r="U1182" s="11" t="str">
        <f>HYPERLINK("https://pbs.twimg.com/profile_images/760095436279390209/CYYZKXl2.jpg","View")</f>
        <v>View</v>
      </c>
      <c r="V1182" s="8"/>
      <c r="W1182" s="8"/>
      <c r="X1182" s="8"/>
      <c r="Y1182" s="8"/>
      <c r="Z1182" s="8"/>
    </row>
    <row r="1183" spans="1:26" ht="13.2">
      <c r="A1183" s="13">
        <v>44250.49722222222</v>
      </c>
      <c r="B1183" s="6" t="str">
        <f>HYPERLINK("https://twitter.com/xors","@xors")</f>
        <v>@xors</v>
      </c>
      <c r="C1183" s="14" t="s">
        <v>5226</v>
      </c>
      <c r="D1183" s="14" t="s">
        <v>5227</v>
      </c>
      <c r="E1183" s="6" t="str">
        <f>HYPERLINK("https://twitter.com/xors/status/1364167116564398080","1364167116564398080")</f>
        <v>1364167116564398080</v>
      </c>
      <c r="F1183" s="7" t="s">
        <v>5228</v>
      </c>
      <c r="G1183" s="7" t="s">
        <v>5229</v>
      </c>
      <c r="H1183" s="8"/>
      <c r="I1183" s="14">
        <v>1</v>
      </c>
      <c r="J1183" s="14">
        <v>1</v>
      </c>
      <c r="K1183" s="6" t="str">
        <f t="shared" si="192"/>
        <v>Twitter Web App</v>
      </c>
      <c r="L1183" s="15">
        <v>513</v>
      </c>
      <c r="M1183" s="15">
        <v>1066</v>
      </c>
      <c r="N1183" s="15">
        <v>11</v>
      </c>
      <c r="O1183" s="9"/>
      <c r="P1183" s="10">
        <v>39854.916620370372</v>
      </c>
      <c r="Q1183" s="14" t="s">
        <v>5230</v>
      </c>
      <c r="R1183" s="14" t="s">
        <v>5231</v>
      </c>
      <c r="S1183" s="7" t="s">
        <v>5232</v>
      </c>
      <c r="T1183" s="8"/>
      <c r="U1183" s="11" t="str">
        <f>HYPERLINK("https://pbs.twimg.com/profile_images/699229225346342912/Yibw2TT1.jpg","View")</f>
        <v>View</v>
      </c>
      <c r="V1183" s="8"/>
      <c r="W1183" s="8"/>
      <c r="X1183" s="8"/>
      <c r="Y1183" s="8"/>
      <c r="Z1183" s="8"/>
    </row>
    <row r="1184" spans="1:26" ht="13.2">
      <c r="A1184" s="13">
        <v>44250.497094907405</v>
      </c>
      <c r="B1184" s="6" t="str">
        <f>HYPERLINK("https://twitter.com/AlexRachnog","@AlexRachnog")</f>
        <v>@AlexRachnog</v>
      </c>
      <c r="C1184" s="14" t="s">
        <v>5233</v>
      </c>
      <c r="D1184" s="14" t="s">
        <v>5234</v>
      </c>
      <c r="E1184" s="6" t="str">
        <f>HYPERLINK("https://twitter.com/AlexRachnog/status/1364167070255099905","1364167070255099905")</f>
        <v>1364167070255099905</v>
      </c>
      <c r="F1184" s="14" t="s">
        <v>5235</v>
      </c>
      <c r="G1184" s="7" t="s">
        <v>5236</v>
      </c>
      <c r="H1184" s="8"/>
      <c r="I1184" s="14">
        <v>1</v>
      </c>
      <c r="J1184" s="14">
        <v>2</v>
      </c>
      <c r="K1184" s="6" t="str">
        <f t="shared" si="192"/>
        <v>Twitter Web App</v>
      </c>
      <c r="L1184" s="15">
        <v>543</v>
      </c>
      <c r="M1184" s="15">
        <v>207</v>
      </c>
      <c r="N1184" s="15">
        <v>13</v>
      </c>
      <c r="O1184" s="9"/>
      <c r="P1184" s="10">
        <v>41350.416493055556</v>
      </c>
      <c r="Q1184" s="14" t="s">
        <v>5237</v>
      </c>
      <c r="R1184" s="14" t="s">
        <v>5238</v>
      </c>
      <c r="S1184" s="7" t="s">
        <v>5239</v>
      </c>
      <c r="T1184" s="8"/>
      <c r="U1184" s="11" t="str">
        <f>HYPERLINK("https://pbs.twimg.com/profile_images/1176143167327997952/dHXFgtew.jpg","View")</f>
        <v>View</v>
      </c>
      <c r="V1184" s="8"/>
      <c r="W1184" s="8"/>
      <c r="X1184" s="8"/>
      <c r="Y1184" s="8"/>
      <c r="Z1184" s="8"/>
    </row>
    <row r="1185" spans="1:26" ht="13.2">
      <c r="A1185" s="13">
        <v>44250.496979166666</v>
      </c>
      <c r="B1185" s="6" t="str">
        <f>HYPERLINK("https://twitter.com/Eli_Krumova","@Eli_Krumova")</f>
        <v>@Eli_Krumova</v>
      </c>
      <c r="C1185" s="14" t="s">
        <v>947</v>
      </c>
      <c r="D1185" s="14" t="s">
        <v>5240</v>
      </c>
      <c r="E1185" s="6" t="str">
        <f>HYPERLINK("https://twitter.com/Eli_Krumova/status/1364167029880717314","1364167029880717314")</f>
        <v>1364167029880717314</v>
      </c>
      <c r="F1185" s="8"/>
      <c r="G1185" s="8"/>
      <c r="H1185" s="8"/>
      <c r="I1185" s="14">
        <v>1</v>
      </c>
      <c r="J1185" s="14">
        <v>2</v>
      </c>
      <c r="K1185" s="6" t="str">
        <f t="shared" si="192"/>
        <v>Twitter Web App</v>
      </c>
      <c r="L1185" s="15">
        <v>4471</v>
      </c>
      <c r="M1185" s="15">
        <v>5001</v>
      </c>
      <c r="N1185" s="15">
        <v>79</v>
      </c>
      <c r="O1185" s="9"/>
      <c r="P1185" s="10">
        <v>41346.597002314811</v>
      </c>
      <c r="Q1185" s="14" t="s">
        <v>951</v>
      </c>
      <c r="R1185" s="14" t="s">
        <v>952</v>
      </c>
      <c r="S1185" s="8"/>
      <c r="T1185" s="8"/>
      <c r="U1185" s="11" t="str">
        <f>HYPERLINK("https://pbs.twimg.com/profile_images/1361638888427683840/HqNlplM_.jpg","View")</f>
        <v>View</v>
      </c>
      <c r="V1185" s="8"/>
      <c r="W1185" s="8"/>
      <c r="X1185" s="8"/>
      <c r="Y1185" s="8"/>
      <c r="Z1185" s="8"/>
    </row>
    <row r="1186" spans="1:26" ht="13.2">
      <c r="A1186" s="13">
        <v>44250.496817129635</v>
      </c>
      <c r="B1186" s="6" t="str">
        <f>HYPERLINK("https://twitter.com/Fisheyebox","@Fisheyebox")</f>
        <v>@Fisheyebox</v>
      </c>
      <c r="C1186" s="14" t="s">
        <v>5217</v>
      </c>
      <c r="D1186" s="14" t="s">
        <v>5241</v>
      </c>
      <c r="E1186" s="6" t="str">
        <f>HYPERLINK("https://twitter.com/Fisheyebox/status/1364166971508449282","1364166971508449282")</f>
        <v>1364166971508449282</v>
      </c>
      <c r="F1186" s="7" t="s">
        <v>5242</v>
      </c>
      <c r="G1186" s="8"/>
      <c r="H1186" s="8"/>
      <c r="I1186" s="14">
        <v>4</v>
      </c>
      <c r="J1186" s="14">
        <v>8</v>
      </c>
      <c r="K1186" s="6" t="str">
        <f t="shared" si="192"/>
        <v>Twitter Web App</v>
      </c>
      <c r="L1186" s="15">
        <v>2143</v>
      </c>
      <c r="M1186" s="15">
        <v>1473</v>
      </c>
      <c r="N1186" s="15">
        <v>42</v>
      </c>
      <c r="O1186" s="9"/>
      <c r="P1186" s="10">
        <v>40722.444189814814</v>
      </c>
      <c r="Q1186" s="14" t="s">
        <v>364</v>
      </c>
      <c r="R1186" s="14" t="s">
        <v>5219</v>
      </c>
      <c r="S1186" s="7" t="s">
        <v>5220</v>
      </c>
      <c r="T1186" s="8"/>
      <c r="U1186" s="11" t="str">
        <f>HYPERLINK("https://pbs.twimg.com/profile_images/1206092231800549376/XVZ2BlIM.jpg","View")</f>
        <v>View</v>
      </c>
      <c r="V1186" s="8"/>
      <c r="W1186" s="8"/>
      <c r="X1186" s="8"/>
      <c r="Y1186" s="8"/>
      <c r="Z1186" s="8"/>
    </row>
    <row r="1187" spans="1:26" ht="13.2">
      <c r="A1187" s="13">
        <v>44250.496307870373</v>
      </c>
      <c r="B1187" s="6" t="str">
        <f>HYPERLINK("https://twitter.com/CALLISTO_H2020","@CALLISTO_H2020")</f>
        <v>@CALLISTO_H2020</v>
      </c>
      <c r="C1187" s="14" t="s">
        <v>5243</v>
      </c>
      <c r="D1187" s="14" t="s">
        <v>5244</v>
      </c>
      <c r="E1187" s="6" t="str">
        <f>HYPERLINK("https://twitter.com/CALLISTO_H2020/status/1364166785621233671","1364166785621233671")</f>
        <v>1364166785621233671</v>
      </c>
      <c r="F1187" s="7" t="s">
        <v>5245</v>
      </c>
      <c r="G1187" s="8"/>
      <c r="H1187" s="8"/>
      <c r="I1187" s="14">
        <v>3</v>
      </c>
      <c r="J1187" s="14">
        <v>7</v>
      </c>
      <c r="K1187" s="6" t="str">
        <f t="shared" si="192"/>
        <v>Twitter Web App</v>
      </c>
      <c r="L1187" s="15">
        <v>70</v>
      </c>
      <c r="M1187" s="15">
        <v>159</v>
      </c>
      <c r="N1187" s="15">
        <v>0</v>
      </c>
      <c r="O1187" s="9"/>
      <c r="P1187" s="10">
        <v>44203.355416666665</v>
      </c>
      <c r="Q1187" s="8"/>
      <c r="R1187" s="14" t="s">
        <v>5246</v>
      </c>
      <c r="S1187" s="8"/>
      <c r="T1187" s="8"/>
      <c r="U1187" s="11" t="str">
        <f>HYPERLINK("https://pbs.twimg.com/profile_images/1351148455981428738/9yizbGqW.png","View")</f>
        <v>View</v>
      </c>
      <c r="V1187" s="8"/>
      <c r="W1187" s="8"/>
      <c r="X1187" s="8"/>
      <c r="Y1187" s="8"/>
      <c r="Z1187" s="8"/>
    </row>
    <row r="1188" spans="1:26" ht="13.2">
      <c r="A1188" s="13">
        <v>44250.496261574073</v>
      </c>
      <c r="B1188" s="6" t="str">
        <f>HYPERLINK("https://twitter.com/EXTENTIA","@EXTENTIA")</f>
        <v>@EXTENTIA</v>
      </c>
      <c r="C1188" s="14" t="s">
        <v>5247</v>
      </c>
      <c r="D1188" s="14" t="s">
        <v>5248</v>
      </c>
      <c r="E1188" s="6" t="str">
        <f>HYPERLINK("https://twitter.com/EXTENTIA/status/1364166770777415690","1364166770777415690")</f>
        <v>1364166770777415690</v>
      </c>
      <c r="F1188" s="7" t="s">
        <v>5249</v>
      </c>
      <c r="G1188" s="8"/>
      <c r="H1188" s="8"/>
      <c r="I1188" s="14">
        <v>1</v>
      </c>
      <c r="J1188" s="14">
        <v>1</v>
      </c>
      <c r="K1188" s="6" t="str">
        <f t="shared" si="192"/>
        <v>Twitter Web App</v>
      </c>
      <c r="L1188" s="15">
        <v>2122</v>
      </c>
      <c r="M1188" s="15">
        <v>1755</v>
      </c>
      <c r="N1188" s="15">
        <v>710</v>
      </c>
      <c r="O1188" s="9"/>
      <c r="P1188" s="10">
        <v>40198.58252314815</v>
      </c>
      <c r="Q1188" s="14" t="s">
        <v>364</v>
      </c>
      <c r="R1188" s="14" t="s">
        <v>5250</v>
      </c>
      <c r="S1188" s="7" t="s">
        <v>5251</v>
      </c>
      <c r="T1188" s="8"/>
      <c r="U1188" s="11" t="str">
        <f>HYPERLINK("https://pbs.twimg.com/profile_images/1214149597943123968/A50qec6g.jpg","View")</f>
        <v>View</v>
      </c>
      <c r="V1188" s="8"/>
      <c r="W1188" s="8"/>
      <c r="X1188" s="8"/>
      <c r="Y1188" s="8"/>
      <c r="Z1188" s="8"/>
    </row>
    <row r="1189" spans="1:26" ht="13.2">
      <c r="A1189" s="13">
        <v>44250.495636574073</v>
      </c>
      <c r="B1189" s="6" t="str">
        <f>HYPERLINK("https://twitter.com/Vaarst1","@Vaarst1")</f>
        <v>@Vaarst1</v>
      </c>
      <c r="C1189" s="14" t="s">
        <v>5252</v>
      </c>
      <c r="D1189" s="14" t="s">
        <v>5253</v>
      </c>
      <c r="E1189" s="6" t="str">
        <f>HYPERLINK("https://twitter.com/Vaarst1/status/1364166542720696320","1364166542720696320")</f>
        <v>1364166542720696320</v>
      </c>
      <c r="F1189" s="7" t="s">
        <v>5254</v>
      </c>
      <c r="G1189" s="7" t="s">
        <v>5255</v>
      </c>
      <c r="H1189" s="8"/>
      <c r="I1189" s="14">
        <v>4</v>
      </c>
      <c r="J1189" s="14">
        <v>4</v>
      </c>
      <c r="K1189" s="6" t="str">
        <f t="shared" si="192"/>
        <v>Twitter Web App</v>
      </c>
      <c r="L1189" s="15">
        <v>11</v>
      </c>
      <c r="M1189" s="15">
        <v>3</v>
      </c>
      <c r="N1189" s="15">
        <v>0</v>
      </c>
      <c r="O1189" s="9"/>
      <c r="P1189" s="10">
        <v>44174.776192129633</v>
      </c>
      <c r="Q1189" s="14" t="s">
        <v>5256</v>
      </c>
      <c r="R1189" s="14" t="s">
        <v>5257</v>
      </c>
      <c r="S1189" s="7" t="s">
        <v>5254</v>
      </c>
      <c r="T1189" s="8"/>
      <c r="U1189" s="11" t="str">
        <f>HYPERLINK("https://pbs.twimg.com/profile_images/1336729476345032705/dddYAwZR.jpg","View")</f>
        <v>View</v>
      </c>
      <c r="V1189" s="8"/>
      <c r="W1189" s="8"/>
      <c r="X1189" s="8"/>
      <c r="Y1189" s="8"/>
      <c r="Z1189" s="8"/>
    </row>
    <row r="1190" spans="1:26" ht="13.2">
      <c r="A1190" s="13">
        <v>44250.495428240742</v>
      </c>
      <c r="B1190" s="6" t="str">
        <f>HYPERLINK("https://twitter.com/Isantosian","@Isantosian")</f>
        <v>@Isantosian</v>
      </c>
      <c r="C1190" s="14" t="s">
        <v>5258</v>
      </c>
      <c r="D1190" s="14" t="s">
        <v>5259</v>
      </c>
      <c r="E1190" s="6" t="str">
        <f>HYPERLINK("https://twitter.com/Isantosian/status/1364166466484994051","1364166466484994051")</f>
        <v>1364166466484994051</v>
      </c>
      <c r="F1190" s="8"/>
      <c r="G1190" s="7" t="s">
        <v>5260</v>
      </c>
      <c r="H1190" s="8"/>
      <c r="I1190" s="14">
        <v>20</v>
      </c>
      <c r="J1190" s="14">
        <v>7</v>
      </c>
      <c r="K1190" s="6" t="str">
        <f>HYPERLINK("http://twitter.com/download/android","Twitter for Android")</f>
        <v>Twitter for Android</v>
      </c>
      <c r="L1190" s="15">
        <v>448</v>
      </c>
      <c r="M1190" s="15">
        <v>382</v>
      </c>
      <c r="N1190" s="15">
        <v>6</v>
      </c>
      <c r="O1190" s="9"/>
      <c r="P1190" s="10">
        <v>40737.343634259261</v>
      </c>
      <c r="Q1190" s="14" t="s">
        <v>5261</v>
      </c>
      <c r="R1190" s="14" t="s">
        <v>5262</v>
      </c>
      <c r="S1190" s="8"/>
      <c r="T1190" s="8"/>
      <c r="U1190" s="11" t="str">
        <f>HYPERLINK("https://pbs.twimg.com/profile_images/1332192381203075072/2_xzj3AW.jpg","View")</f>
        <v>View</v>
      </c>
      <c r="V1190" s="8"/>
      <c r="W1190" s="8"/>
      <c r="X1190" s="8"/>
      <c r="Y1190" s="8"/>
      <c r="Z1190" s="8"/>
    </row>
    <row r="1191" spans="1:26" ht="13.2">
      <c r="A1191" s="13">
        <v>44250.495358796295</v>
      </c>
      <c r="B1191" s="6" t="str">
        <f>HYPERLINK("https://twitter.com/Innovat78455398","@Innovat78455398")</f>
        <v>@Innovat78455398</v>
      </c>
      <c r="C1191" s="14" t="s">
        <v>4318</v>
      </c>
      <c r="D1191" s="14" t="s">
        <v>5263</v>
      </c>
      <c r="E1191" s="6" t="str">
        <f>HYPERLINK("https://twitter.com/Innovat78455398/status/1364166444401840132","1364166444401840132")</f>
        <v>1364166444401840132</v>
      </c>
      <c r="F1191" s="7" t="s">
        <v>5264</v>
      </c>
      <c r="G1191" s="7" t="s">
        <v>5265</v>
      </c>
      <c r="H1191" s="8"/>
      <c r="I1191" s="14">
        <v>10</v>
      </c>
      <c r="J1191" s="14">
        <v>8</v>
      </c>
      <c r="K1191" s="6" t="str">
        <f>HYPERLINK("https://mobile.twitter.com","Twitter Web App")</f>
        <v>Twitter Web App</v>
      </c>
      <c r="L1191" s="15">
        <v>101</v>
      </c>
      <c r="M1191" s="15">
        <v>142</v>
      </c>
      <c r="N1191" s="15">
        <v>1</v>
      </c>
      <c r="O1191" s="9"/>
      <c r="P1191" s="10">
        <v>44075.047534722224</v>
      </c>
      <c r="Q1191" s="14" t="s">
        <v>623</v>
      </c>
      <c r="R1191" s="14" t="s">
        <v>4322</v>
      </c>
      <c r="S1191" s="8"/>
      <c r="T1191" s="8"/>
      <c r="U1191" s="11" t="str">
        <f>HYPERLINK("https://pbs.twimg.com/profile_images/1300571380098850818/YjKI8L9l.jpg","View")</f>
        <v>View</v>
      </c>
      <c r="V1191" s="8"/>
      <c r="W1191" s="8"/>
      <c r="X1191" s="8"/>
      <c r="Y1191" s="8"/>
      <c r="Z1191" s="8"/>
    </row>
    <row r="1192" spans="1:26" ht="13.2">
      <c r="A1192" s="13">
        <v>44250.495196759264</v>
      </c>
      <c r="B1192" s="6" t="str">
        <f t="shared" ref="B1192:B1193" si="193">HYPERLINK("https://twitter.com/IainLJBrown","@IainLJBrown")</f>
        <v>@IainLJBrown</v>
      </c>
      <c r="C1192" s="14" t="s">
        <v>2776</v>
      </c>
      <c r="D1192" s="14" t="s">
        <v>5266</v>
      </c>
      <c r="E1192" s="6" t="str">
        <f>HYPERLINK("https://twitter.com/IainLJBrown/status/1364166383702052865","1364166383702052865")</f>
        <v>1364166383702052865</v>
      </c>
      <c r="F1192" s="7" t="s">
        <v>5267</v>
      </c>
      <c r="G1192" s="8"/>
      <c r="H1192" s="8"/>
      <c r="I1192" s="14">
        <v>17</v>
      </c>
      <c r="J1192" s="14">
        <v>11</v>
      </c>
      <c r="K1192" s="6" t="str">
        <f t="shared" ref="K1192:K1193" si="194">HYPERLINK("https://ifttt.com","IFTTT")</f>
        <v>IFTTT</v>
      </c>
      <c r="L1192" s="15">
        <v>115543</v>
      </c>
      <c r="M1192" s="15">
        <v>98727</v>
      </c>
      <c r="N1192" s="15">
        <v>423</v>
      </c>
      <c r="O1192" s="9"/>
      <c r="P1192" s="10">
        <v>40926.673900462964</v>
      </c>
      <c r="Q1192" s="14" t="s">
        <v>753</v>
      </c>
      <c r="R1192" s="14" t="s">
        <v>2779</v>
      </c>
      <c r="S1192" s="7" t="s">
        <v>2780</v>
      </c>
      <c r="T1192" s="8"/>
      <c r="U1192" s="11" t="str">
        <f t="shared" ref="U1192:U1193" si="195">HYPERLINK("https://pbs.twimg.com/profile_images/1352606177352364032/jQ7AI0vG.jpg","View")</f>
        <v>View</v>
      </c>
      <c r="V1192" s="8"/>
      <c r="W1192" s="8"/>
      <c r="X1192" s="8"/>
      <c r="Y1192" s="8"/>
      <c r="Z1192" s="8"/>
    </row>
    <row r="1193" spans="1:26" ht="13.2">
      <c r="A1193" s="13">
        <v>44250.49518518518</v>
      </c>
      <c r="B1193" s="6" t="str">
        <f t="shared" si="193"/>
        <v>@IainLJBrown</v>
      </c>
      <c r="C1193" s="14" t="s">
        <v>2776</v>
      </c>
      <c r="D1193" s="14" t="s">
        <v>5268</v>
      </c>
      <c r="E1193" s="6" t="str">
        <f>HYPERLINK("https://twitter.com/IainLJBrown/status/1364166381520969728","1364166381520969728")</f>
        <v>1364166381520969728</v>
      </c>
      <c r="F1193" s="7" t="s">
        <v>5269</v>
      </c>
      <c r="G1193" s="8"/>
      <c r="H1193" s="8"/>
      <c r="I1193" s="14">
        <v>21</v>
      </c>
      <c r="J1193" s="14">
        <v>12</v>
      </c>
      <c r="K1193" s="6" t="str">
        <f t="shared" si="194"/>
        <v>IFTTT</v>
      </c>
      <c r="L1193" s="15">
        <v>115543</v>
      </c>
      <c r="M1193" s="15">
        <v>98727</v>
      </c>
      <c r="N1193" s="15">
        <v>423</v>
      </c>
      <c r="O1193" s="9"/>
      <c r="P1193" s="10">
        <v>40926.673900462964</v>
      </c>
      <c r="Q1193" s="14" t="s">
        <v>753</v>
      </c>
      <c r="R1193" s="14" t="s">
        <v>2779</v>
      </c>
      <c r="S1193" s="7" t="s">
        <v>2780</v>
      </c>
      <c r="T1193" s="8"/>
      <c r="U1193" s="11" t="str">
        <f t="shared" si="195"/>
        <v>View</v>
      </c>
      <c r="V1193" s="8"/>
      <c r="W1193" s="8"/>
      <c r="X1193" s="8"/>
      <c r="Y1193" s="8"/>
      <c r="Z1193" s="8"/>
    </row>
    <row r="1194" spans="1:26" ht="13.2">
      <c r="A1194" s="13">
        <v>44250.494803240741</v>
      </c>
      <c r="B1194" s="6" t="str">
        <f>HYPERLINK("https://twitter.com/TheBrainalytics","@TheBrainalytics")</f>
        <v>@TheBrainalytics</v>
      </c>
      <c r="C1194" s="14" t="s">
        <v>5212</v>
      </c>
      <c r="D1194" s="14" t="s">
        <v>5270</v>
      </c>
      <c r="E1194" s="6" t="str">
        <f>HYPERLINK("https://twitter.com/TheBrainalytics/status/1364166238994272256","1364166238994272256")</f>
        <v>1364166238994272256</v>
      </c>
      <c r="F1194" s="7" t="s">
        <v>5214</v>
      </c>
      <c r="G1194" s="7" t="s">
        <v>5271</v>
      </c>
      <c r="H1194" s="8"/>
      <c r="I1194" s="14">
        <v>1</v>
      </c>
      <c r="J1194" s="14">
        <v>1</v>
      </c>
      <c r="K1194" s="6" t="str">
        <f t="shared" ref="K1194:K1195" si="196">HYPERLINK("https://mobile.twitter.com","Twitter Web App")</f>
        <v>Twitter Web App</v>
      </c>
      <c r="L1194" s="15">
        <v>443</v>
      </c>
      <c r="M1194" s="15">
        <v>32</v>
      </c>
      <c r="N1194" s="15">
        <v>0</v>
      </c>
      <c r="O1194" s="9"/>
      <c r="P1194" s="10">
        <v>43985.50680555556</v>
      </c>
      <c r="Q1194" s="8"/>
      <c r="R1194" s="14" t="s">
        <v>5216</v>
      </c>
      <c r="S1194" s="8"/>
      <c r="T1194" s="8"/>
      <c r="U1194" s="11" t="str">
        <f>HYPERLINK("https://pbs.twimg.com/profile_images/1268583237921771522/ZerxTnnh.jpg","View")</f>
        <v>View</v>
      </c>
      <c r="V1194" s="8"/>
      <c r="W1194" s="8"/>
      <c r="X1194" s="8"/>
      <c r="Y1194" s="8"/>
      <c r="Z1194" s="8"/>
    </row>
    <row r="1195" spans="1:26" ht="13.2">
      <c r="A1195" s="13">
        <v>44250.494444444441</v>
      </c>
      <c r="B1195" s="6" t="str">
        <f>HYPERLINK("https://twitter.com/FSecure_IT","@FSecure_IT")</f>
        <v>@FSecure_IT</v>
      </c>
      <c r="C1195" s="14" t="s">
        <v>5272</v>
      </c>
      <c r="D1195" s="14" t="s">
        <v>5273</v>
      </c>
      <c r="E1195" s="6" t="str">
        <f>HYPERLINK("https://twitter.com/FSecure_IT/status/1364166110078062597","1364166110078062597")</f>
        <v>1364166110078062597</v>
      </c>
      <c r="F1195" s="7" t="s">
        <v>5274</v>
      </c>
      <c r="G1195" s="8"/>
      <c r="H1195" s="8"/>
      <c r="I1195" s="14">
        <v>2</v>
      </c>
      <c r="J1195" s="14">
        <v>1</v>
      </c>
      <c r="K1195" s="6" t="str">
        <f t="shared" si="196"/>
        <v>Twitter Web App</v>
      </c>
      <c r="L1195" s="15">
        <v>849</v>
      </c>
      <c r="M1195" s="15">
        <v>528</v>
      </c>
      <c r="N1195" s="15">
        <v>145</v>
      </c>
      <c r="O1195" s="9"/>
      <c r="P1195" s="10">
        <v>42307.451828703706</v>
      </c>
      <c r="Q1195" s="14" t="s">
        <v>1685</v>
      </c>
      <c r="R1195" s="14" t="s">
        <v>5275</v>
      </c>
      <c r="S1195" s="7" t="s">
        <v>5276</v>
      </c>
      <c r="T1195" s="8"/>
      <c r="U1195" s="11" t="str">
        <f>HYPERLINK("https://pbs.twimg.com/profile_images/1130446551569129472/SvJdPTPt.jpg","View")</f>
        <v>View</v>
      </c>
      <c r="V1195" s="8"/>
      <c r="W1195" s="8"/>
      <c r="X1195" s="8"/>
      <c r="Y1195" s="8"/>
      <c r="Z1195" s="8"/>
    </row>
    <row r="1196" spans="1:26" ht="13.2">
      <c r="A1196" s="13">
        <v>44250.494050925925</v>
      </c>
      <c r="B1196" s="6" t="str">
        <f>HYPERLINK("https://twitter.com/Aditics2","@Aditics2")</f>
        <v>@Aditics2</v>
      </c>
      <c r="C1196" s="14" t="s">
        <v>5277</v>
      </c>
      <c r="D1196" s="14" t="s">
        <v>5278</v>
      </c>
      <c r="E1196" s="6" t="str">
        <f>HYPERLINK("https://twitter.com/Aditics2/status/1364165967606149121","1364165967606149121")</f>
        <v>1364165967606149121</v>
      </c>
      <c r="F1196" s="14" t="s">
        <v>3456</v>
      </c>
      <c r="G1196" s="8"/>
      <c r="H1196" s="8"/>
      <c r="I1196" s="14">
        <v>1</v>
      </c>
      <c r="J1196" s="14">
        <v>1</v>
      </c>
      <c r="K1196" s="6" t="str">
        <f>HYPERLINK("http://twinybots.com","TwinyBots")</f>
        <v>TwinyBots</v>
      </c>
      <c r="L1196" s="15">
        <v>223</v>
      </c>
      <c r="M1196" s="15">
        <v>245</v>
      </c>
      <c r="N1196" s="15">
        <v>4</v>
      </c>
      <c r="O1196" s="9"/>
      <c r="P1196" s="10">
        <v>43756.425138888888</v>
      </c>
      <c r="Q1196" s="14" t="s">
        <v>5279</v>
      </c>
      <c r="R1196" s="14" t="s">
        <v>5280</v>
      </c>
      <c r="S1196" s="7" t="s">
        <v>5281</v>
      </c>
      <c r="T1196" s="8"/>
      <c r="U1196" s="11" t="str">
        <f>HYPERLINK("https://pbs.twimg.com/profile_images/1185106494653513728/tTN_r8EY.jpg","View")</f>
        <v>View</v>
      </c>
      <c r="V1196" s="8"/>
      <c r="W1196" s="8"/>
      <c r="X1196" s="8"/>
      <c r="Y1196" s="8"/>
      <c r="Z1196" s="8"/>
    </row>
    <row r="1197" spans="1:26" ht="13.2">
      <c r="A1197" s="13">
        <v>44250.494004629625</v>
      </c>
      <c r="B1197" s="6" t="str">
        <f t="shared" ref="B1197:B1198" si="197">HYPERLINK("https://twitter.com/arXiv__ml","@arXiv__ml")</f>
        <v>@arXiv__ml</v>
      </c>
      <c r="C1197" s="14" t="s">
        <v>2812</v>
      </c>
      <c r="D1197" s="14" t="s">
        <v>5282</v>
      </c>
      <c r="E1197" s="6" t="str">
        <f>HYPERLINK("https://twitter.com/arXiv__ml/status/1364165951059591170","1364165951059591170")</f>
        <v>1364165951059591170</v>
      </c>
      <c r="F1197" s="7" t="s">
        <v>5283</v>
      </c>
      <c r="G1197" s="8"/>
      <c r="H1197" s="8"/>
      <c r="I1197" s="14">
        <v>1</v>
      </c>
      <c r="J1197" s="14">
        <v>2</v>
      </c>
      <c r="K1197" s="6" t="str">
        <f t="shared" ref="K1197:K1198" si="198">HYPERLINK("https://ifttt.com","IFTTT")</f>
        <v>IFTTT</v>
      </c>
      <c r="L1197" s="15">
        <v>2542</v>
      </c>
      <c r="M1197" s="15">
        <v>1470</v>
      </c>
      <c r="N1197" s="15">
        <v>73</v>
      </c>
      <c r="O1197" s="9"/>
      <c r="P1197" s="10">
        <v>43387.731759259259</v>
      </c>
      <c r="Q1197" s="14" t="s">
        <v>1036</v>
      </c>
      <c r="R1197" s="14" t="s">
        <v>2815</v>
      </c>
      <c r="S1197" s="7" t="s">
        <v>2816</v>
      </c>
      <c r="T1197" s="8"/>
      <c r="U1197" s="11" t="str">
        <f t="shared" ref="U1197:U1198" si="199">HYPERLINK("https://pbs.twimg.com/profile_images/1067085474131394560/QOHl5dzN.jpg","View")</f>
        <v>View</v>
      </c>
      <c r="V1197" s="8"/>
      <c r="W1197" s="8"/>
      <c r="X1197" s="8"/>
      <c r="Y1197" s="8"/>
      <c r="Z1197" s="8"/>
    </row>
    <row r="1198" spans="1:26" ht="13.2">
      <c r="A1198" s="13">
        <v>44250.493981481486</v>
      </c>
      <c r="B1198" s="6" t="str">
        <f t="shared" si="197"/>
        <v>@arXiv__ml</v>
      </c>
      <c r="C1198" s="14" t="s">
        <v>2812</v>
      </c>
      <c r="D1198" s="14" t="s">
        <v>5284</v>
      </c>
      <c r="E1198" s="6" t="str">
        <f>HYPERLINK("https://twitter.com/arXiv__ml/status/1364165944189349889","1364165944189349889")</f>
        <v>1364165944189349889</v>
      </c>
      <c r="F1198" s="7" t="s">
        <v>5285</v>
      </c>
      <c r="G1198" s="8"/>
      <c r="H1198" s="8"/>
      <c r="I1198" s="14">
        <v>1</v>
      </c>
      <c r="J1198" s="14">
        <v>3</v>
      </c>
      <c r="K1198" s="6" t="str">
        <f t="shared" si="198"/>
        <v>IFTTT</v>
      </c>
      <c r="L1198" s="15">
        <v>2542</v>
      </c>
      <c r="M1198" s="15">
        <v>1470</v>
      </c>
      <c r="N1198" s="15">
        <v>73</v>
      </c>
      <c r="O1198" s="9"/>
      <c r="P1198" s="10">
        <v>43387.731759259259</v>
      </c>
      <c r="Q1198" s="14" t="s">
        <v>1036</v>
      </c>
      <c r="R1198" s="14" t="s">
        <v>2815</v>
      </c>
      <c r="S1198" s="7" t="s">
        <v>2816</v>
      </c>
      <c r="T1198" s="8"/>
      <c r="U1198" s="11" t="str">
        <f t="shared" si="199"/>
        <v>View</v>
      </c>
      <c r="V1198" s="8"/>
      <c r="W1198" s="8"/>
      <c r="X1198" s="8"/>
      <c r="Y1198" s="8"/>
      <c r="Z1198" s="8"/>
    </row>
    <row r="1199" spans="1:26" ht="13.2">
      <c r="A1199" s="13">
        <v>44250.493368055555</v>
      </c>
      <c r="B1199" s="6" t="str">
        <f>HYPERLINK("https://twitter.com/Innovat78455398","@Innovat78455398")</f>
        <v>@Innovat78455398</v>
      </c>
      <c r="C1199" s="14" t="s">
        <v>4318</v>
      </c>
      <c r="D1199" s="14" t="s">
        <v>5286</v>
      </c>
      <c r="E1199" s="6" t="str">
        <f>HYPERLINK("https://twitter.com/Innovat78455398/status/1364165719957508098","1364165719957508098")</f>
        <v>1364165719957508098</v>
      </c>
      <c r="F1199" s="7" t="s">
        <v>5287</v>
      </c>
      <c r="G1199" s="7" t="s">
        <v>5288</v>
      </c>
      <c r="H1199" s="8"/>
      <c r="I1199" s="14">
        <v>3</v>
      </c>
      <c r="J1199" s="14">
        <v>3</v>
      </c>
      <c r="K1199" s="6" t="str">
        <f>HYPERLINK("https://mobile.twitter.com","Twitter Web App")</f>
        <v>Twitter Web App</v>
      </c>
      <c r="L1199" s="15">
        <v>101</v>
      </c>
      <c r="M1199" s="15">
        <v>142</v>
      </c>
      <c r="N1199" s="15">
        <v>1</v>
      </c>
      <c r="O1199" s="9"/>
      <c r="P1199" s="10">
        <v>44075.047534722224</v>
      </c>
      <c r="Q1199" s="14" t="s">
        <v>623</v>
      </c>
      <c r="R1199" s="14" t="s">
        <v>4322</v>
      </c>
      <c r="S1199" s="8"/>
      <c r="T1199" s="8"/>
      <c r="U1199" s="11" t="str">
        <f>HYPERLINK("https://pbs.twimg.com/profile_images/1300571380098850818/YjKI8L9l.jpg","View")</f>
        <v>View</v>
      </c>
      <c r="V1199" s="8"/>
      <c r="W1199" s="8"/>
      <c r="X1199" s="8"/>
      <c r="Y1199" s="8"/>
      <c r="Z1199" s="8"/>
    </row>
    <row r="1200" spans="1:26" ht="13.2">
      <c r="A1200" s="13">
        <v>44250.493148148147</v>
      </c>
      <c r="B1200" s="6" t="str">
        <f>HYPERLINK("https://twitter.com/TesseractAcade1","@TesseractAcade1")</f>
        <v>@TesseractAcade1</v>
      </c>
      <c r="C1200" s="14" t="s">
        <v>750</v>
      </c>
      <c r="D1200" s="14" t="s">
        <v>5289</v>
      </c>
      <c r="E1200" s="6" t="str">
        <f>HYPERLINK("https://twitter.com/TesseractAcade1/status/1364165641612189702","1364165641612189702")</f>
        <v>1364165641612189702</v>
      </c>
      <c r="F1200" s="7" t="s">
        <v>5290</v>
      </c>
      <c r="G1200" s="8"/>
      <c r="H1200" s="8"/>
      <c r="I1200" s="14">
        <v>0</v>
      </c>
      <c r="J1200" s="14">
        <v>1</v>
      </c>
      <c r="K1200" s="6" t="str">
        <f>HYPERLINK("https://crowdfireapp.com","Crowdfire App")</f>
        <v>Crowdfire App</v>
      </c>
      <c r="L1200" s="15">
        <v>678</v>
      </c>
      <c r="M1200" s="15">
        <v>796</v>
      </c>
      <c r="N1200" s="15">
        <v>14</v>
      </c>
      <c r="O1200" s="9"/>
      <c r="P1200" s="10">
        <v>43371.73810185185</v>
      </c>
      <c r="Q1200" s="14" t="s">
        <v>753</v>
      </c>
      <c r="R1200" s="14" t="s">
        <v>754</v>
      </c>
      <c r="S1200" s="7" t="s">
        <v>755</v>
      </c>
      <c r="T1200" s="8"/>
      <c r="U1200" s="11" t="str">
        <f>HYPERLINK("https://pbs.twimg.com/profile_images/1045702404187066368/KvYhTAxM.jpg","View")</f>
        <v>View</v>
      </c>
      <c r="V1200" s="8"/>
      <c r="W1200" s="8"/>
      <c r="X1200" s="8"/>
      <c r="Y1200" s="8"/>
      <c r="Z1200" s="8"/>
    </row>
    <row r="1201" spans="1:26" ht="13.2">
      <c r="A1201" s="13">
        <v>44250.492523148147</v>
      </c>
      <c r="B1201" s="6" t="str">
        <f>HYPERLINK("https://twitter.com/RovcoSubsea","@RovcoSubsea")</f>
        <v>@RovcoSubsea</v>
      </c>
      <c r="C1201" s="14" t="s">
        <v>5291</v>
      </c>
      <c r="D1201" s="14" t="s">
        <v>5292</v>
      </c>
      <c r="E1201" s="6" t="str">
        <f>HYPERLINK("https://twitter.com/RovcoSubsea/status/1364165414532636673","1364165414532636673")</f>
        <v>1364165414532636673</v>
      </c>
      <c r="F1201" s="8"/>
      <c r="G1201" s="7" t="s">
        <v>5293</v>
      </c>
      <c r="H1201" s="8"/>
      <c r="I1201" s="14">
        <v>0</v>
      </c>
      <c r="J1201" s="14">
        <v>2</v>
      </c>
      <c r="K1201" s="6" t="str">
        <f>HYPERLINK("https://mobile.twitter.com","Twitter Web App")</f>
        <v>Twitter Web App</v>
      </c>
      <c r="L1201" s="15">
        <v>619</v>
      </c>
      <c r="M1201" s="15">
        <v>179</v>
      </c>
      <c r="N1201" s="15">
        <v>15</v>
      </c>
      <c r="O1201" s="9"/>
      <c r="P1201" s="10">
        <v>42586.428726851853</v>
      </c>
      <c r="Q1201" s="14" t="s">
        <v>5230</v>
      </c>
      <c r="R1201" s="14" t="s">
        <v>5294</v>
      </c>
      <c r="S1201" s="7" t="s">
        <v>5295</v>
      </c>
      <c r="T1201" s="8"/>
      <c r="U1201" s="11" t="str">
        <f>HYPERLINK("https://pbs.twimg.com/profile_images/1156191194470342657/wdBLKu1P.jpg","View")</f>
        <v>View</v>
      </c>
      <c r="V1201" s="8"/>
      <c r="W1201" s="8"/>
      <c r="X1201" s="8"/>
      <c r="Y1201" s="8"/>
      <c r="Z1201" s="8"/>
    </row>
    <row r="1202" spans="1:26" ht="13.2">
      <c r="A1202" s="13">
        <v>44250.492511574077</v>
      </c>
      <c r="B1202" s="6" t="str">
        <f>HYPERLINK("https://twitter.com/socialpathZA","@socialpathZA")</f>
        <v>@socialpathZA</v>
      </c>
      <c r="C1202" s="14" t="s">
        <v>5296</v>
      </c>
      <c r="D1202" s="14" t="s">
        <v>5297</v>
      </c>
      <c r="E1202" s="6" t="str">
        <f>HYPERLINK("https://twitter.com/socialpathZA/status/1364165411210747904","1364165411210747904")</f>
        <v>1364165411210747904</v>
      </c>
      <c r="F1202" s="7" t="s">
        <v>5298</v>
      </c>
      <c r="G1202" s="8"/>
      <c r="H1202" s="8"/>
      <c r="I1202" s="14">
        <v>0</v>
      </c>
      <c r="J1202" s="14">
        <v>0</v>
      </c>
      <c r="K1202" s="6" t="str">
        <f>HYPERLINK("https://paper.li","Paper.li")</f>
        <v>Paper.li</v>
      </c>
      <c r="L1202" s="15">
        <v>251</v>
      </c>
      <c r="M1202" s="15">
        <v>191</v>
      </c>
      <c r="N1202" s="15">
        <v>52</v>
      </c>
      <c r="O1202" s="9"/>
      <c r="P1202" s="10">
        <v>42701.470451388886</v>
      </c>
      <c r="Q1202" s="14" t="s">
        <v>1152</v>
      </c>
      <c r="R1202" s="14" t="s">
        <v>5299</v>
      </c>
      <c r="S1202" s="7" t="s">
        <v>5300</v>
      </c>
      <c r="T1202" s="8"/>
      <c r="U1202" s="11" t="str">
        <f>HYPERLINK("https://pbs.twimg.com/profile_images/1178633259808362497/0HeQxEvK.jpg","View")</f>
        <v>View</v>
      </c>
      <c r="V1202" s="8"/>
      <c r="W1202" s="8"/>
      <c r="X1202" s="8"/>
      <c r="Y1202" s="8"/>
      <c r="Z1202" s="8"/>
    </row>
    <row r="1203" spans="1:26" ht="13.2">
      <c r="A1203" s="13">
        <v>44250.492418981477</v>
      </c>
      <c r="B1203" s="6" t="str">
        <f>HYPERLINK("https://twitter.com/ConvitGmbH","@ConvitGmbH")</f>
        <v>@ConvitGmbH</v>
      </c>
      <c r="C1203" s="14" t="s">
        <v>5301</v>
      </c>
      <c r="D1203" s="14" t="s">
        <v>5302</v>
      </c>
      <c r="E1203" s="6" t="str">
        <f>HYPERLINK("https://twitter.com/ConvitGmbH/status/1364165378377732096","1364165378377732096")</f>
        <v>1364165378377732096</v>
      </c>
      <c r="F1203" s="7" t="s">
        <v>5303</v>
      </c>
      <c r="G1203" s="7" t="s">
        <v>5304</v>
      </c>
      <c r="H1203" s="8"/>
      <c r="I1203" s="14">
        <v>1</v>
      </c>
      <c r="J1203" s="14">
        <v>1</v>
      </c>
      <c r="K1203" s="6" t="str">
        <f>HYPERLINK("https://mobile.twitter.com","Twitter Web App")</f>
        <v>Twitter Web App</v>
      </c>
      <c r="L1203" s="15">
        <v>56</v>
      </c>
      <c r="M1203" s="15">
        <v>229</v>
      </c>
      <c r="N1203" s="15">
        <v>2</v>
      </c>
      <c r="O1203" s="9"/>
      <c r="P1203" s="10">
        <v>43573.637453703705</v>
      </c>
      <c r="Q1203" s="14" t="s">
        <v>5305</v>
      </c>
      <c r="R1203" s="14" t="s">
        <v>5306</v>
      </c>
      <c r="S1203" s="7" t="s">
        <v>5307</v>
      </c>
      <c r="T1203" s="8"/>
      <c r="U1203" s="11" t="str">
        <f>HYPERLINK("https://pbs.twimg.com/profile_images/1276501854034235394/361qAcAA.png","View")</f>
        <v>View</v>
      </c>
      <c r="V1203" s="8"/>
      <c r="W1203" s="8"/>
      <c r="X1203" s="8"/>
      <c r="Y1203" s="8"/>
      <c r="Z1203" s="8"/>
    </row>
    <row r="1204" spans="1:26" ht="13.2">
      <c r="A1204" s="13">
        <v>44250.491689814815</v>
      </c>
      <c r="B1204" s="6" t="str">
        <f>HYPERLINK("https://twitter.com/Arnold_Haine","@Arnold_Haine")</f>
        <v>@Arnold_Haine</v>
      </c>
      <c r="C1204" s="14" t="s">
        <v>2128</v>
      </c>
      <c r="D1204" s="14" t="s">
        <v>5308</v>
      </c>
      <c r="E1204" s="6" t="str">
        <f>HYPERLINK("https://twitter.com/Arnold_Haine/status/1364165113297666049","1364165113297666049")</f>
        <v>1364165113297666049</v>
      </c>
      <c r="F1204" s="7" t="s">
        <v>5309</v>
      </c>
      <c r="G1204" s="7" t="s">
        <v>5310</v>
      </c>
      <c r="H1204" s="8"/>
      <c r="I1204" s="14">
        <v>1</v>
      </c>
      <c r="J1204" s="14">
        <v>1</v>
      </c>
      <c r="K1204" s="6" t="str">
        <f>HYPERLINK("https://buffer.com","Buffer")</f>
        <v>Buffer</v>
      </c>
      <c r="L1204" s="15">
        <v>8235</v>
      </c>
      <c r="M1204" s="15">
        <v>3987</v>
      </c>
      <c r="N1204" s="15">
        <v>3414</v>
      </c>
      <c r="O1204" s="9"/>
      <c r="P1204" s="10">
        <v>39883.2815162037</v>
      </c>
      <c r="Q1204" s="14" t="s">
        <v>1446</v>
      </c>
      <c r="R1204" s="14" t="s">
        <v>2132</v>
      </c>
      <c r="S1204" s="7" t="s">
        <v>2133</v>
      </c>
      <c r="T1204" s="8"/>
      <c r="U1204" s="11" t="str">
        <f>HYPERLINK("https://pbs.twimg.com/profile_images/788408495452393473/J53k5sL8.jpg","View")</f>
        <v>View</v>
      </c>
      <c r="V1204" s="8"/>
      <c r="W1204" s="8"/>
      <c r="X1204" s="8"/>
      <c r="Y1204" s="8"/>
      <c r="Z1204" s="8"/>
    </row>
    <row r="1205" spans="1:26" ht="13.2">
      <c r="A1205" s="13">
        <v>44250.491319444445</v>
      </c>
      <c r="B1205" s="6" t="str">
        <f>HYPERLINK("https://twitter.com/machinelearnflx","@machinelearnflx")</f>
        <v>@machinelearnflx</v>
      </c>
      <c r="C1205" s="14" t="s">
        <v>279</v>
      </c>
      <c r="D1205" s="14" t="s">
        <v>5311</v>
      </c>
      <c r="E1205" s="6" t="str">
        <f>HYPERLINK("https://twitter.com/machinelearnflx/status/1364164979369398272","1364164979369398272")</f>
        <v>1364164979369398272</v>
      </c>
      <c r="F1205" s="7" t="s">
        <v>5312</v>
      </c>
      <c r="G1205" s="8"/>
      <c r="H1205" s="8"/>
      <c r="I1205" s="14">
        <v>3</v>
      </c>
      <c r="J1205" s="14">
        <v>6</v>
      </c>
      <c r="K1205" s="6" t="str">
        <f>HYPERLINK("https://twitter.com/pythonbot_","Postmatico")</f>
        <v>Postmatico</v>
      </c>
      <c r="L1205" s="15">
        <v>90451</v>
      </c>
      <c r="M1205" s="15">
        <v>35464</v>
      </c>
      <c r="N1205" s="15">
        <v>2227</v>
      </c>
      <c r="O1205" s="9"/>
      <c r="P1205" s="10">
        <v>42386.538865740746</v>
      </c>
      <c r="Q1205" s="8"/>
      <c r="R1205" s="14" t="s">
        <v>282</v>
      </c>
      <c r="S1205" s="7" t="s">
        <v>283</v>
      </c>
      <c r="T1205" s="8"/>
      <c r="U1205" s="11" t="str">
        <f>HYPERLINK("https://pbs.twimg.com/profile_images/688735459892195329/v8sHaWSG.jpg","View")</f>
        <v>View</v>
      </c>
      <c r="V1205" s="8"/>
      <c r="W1205" s="8"/>
      <c r="X1205" s="8"/>
      <c r="Y1205" s="8"/>
      <c r="Z1205" s="8"/>
    </row>
    <row r="1206" spans="1:26" ht="13.2">
      <c r="A1206" s="13">
        <v>44250.491087962961</v>
      </c>
      <c r="B1206" s="6" t="str">
        <f>HYPERLINK("https://twitter.com/StanleyEpstein","@StanleyEpstein")</f>
        <v>@StanleyEpstein</v>
      </c>
      <c r="C1206" s="14" t="s">
        <v>4226</v>
      </c>
      <c r="D1206" s="14" t="s">
        <v>5313</v>
      </c>
      <c r="E1206" s="6" t="str">
        <f>HYPERLINK("https://twitter.com/StanleyEpstein/status/1364164896343138312","1364164896343138312")</f>
        <v>1364164896343138312</v>
      </c>
      <c r="F1206" s="14" t="s">
        <v>5314</v>
      </c>
      <c r="G1206" s="8"/>
      <c r="H1206" s="8"/>
      <c r="I1206" s="14">
        <v>0</v>
      </c>
      <c r="J1206" s="14">
        <v>0</v>
      </c>
      <c r="K1206" s="6" t="str">
        <f>HYPERLINK("http://twinybots.com","TwinyBots")</f>
        <v>TwinyBots</v>
      </c>
      <c r="L1206" s="15">
        <v>4627</v>
      </c>
      <c r="M1206" s="15">
        <v>209</v>
      </c>
      <c r="N1206" s="15">
        <v>1099</v>
      </c>
      <c r="O1206" s="9"/>
      <c r="P1206" s="10">
        <v>39959.662395833337</v>
      </c>
      <c r="Q1206" s="8"/>
      <c r="R1206" s="14" t="s">
        <v>4230</v>
      </c>
      <c r="S1206" s="7" t="s">
        <v>4231</v>
      </c>
      <c r="T1206" s="8"/>
      <c r="U1206" s="11" t="str">
        <f>HYPERLINK("https://pbs.twimg.com/profile_images/1029382278399631362/IFzuMwnm.jpg","View")</f>
        <v>View</v>
      </c>
      <c r="V1206" s="8"/>
      <c r="W1206" s="8"/>
      <c r="X1206" s="8"/>
      <c r="Y1206" s="8"/>
      <c r="Z1206" s="8"/>
    </row>
    <row r="1207" spans="1:26" ht="13.2">
      <c r="A1207" s="13">
        <v>44250.490972222222</v>
      </c>
      <c r="B1207" s="6" t="str">
        <f>HYPERLINK("https://twitter.com/QAValley","@QAValley")</f>
        <v>@QAValley</v>
      </c>
      <c r="C1207" s="14" t="s">
        <v>5315</v>
      </c>
      <c r="D1207" s="14" t="s">
        <v>5316</v>
      </c>
      <c r="E1207" s="6" t="str">
        <f>HYPERLINK("https://twitter.com/QAValley/status/1364164851728142340","1364164851728142340")</f>
        <v>1364164851728142340</v>
      </c>
      <c r="F1207" s="7" t="s">
        <v>5317</v>
      </c>
      <c r="G1207" s="7" t="s">
        <v>5318</v>
      </c>
      <c r="H1207" s="8"/>
      <c r="I1207" s="14">
        <v>1</v>
      </c>
      <c r="J1207" s="14">
        <v>0</v>
      </c>
      <c r="K1207" s="6" t="str">
        <f t="shared" ref="K1207:K1209" si="200">HYPERLINK("https://mobile.twitter.com","Twitter Web App")</f>
        <v>Twitter Web App</v>
      </c>
      <c r="L1207" s="15">
        <v>6419</v>
      </c>
      <c r="M1207" s="15">
        <v>7053</v>
      </c>
      <c r="N1207" s="15">
        <v>15</v>
      </c>
      <c r="O1207" s="9"/>
      <c r="P1207" s="10">
        <v>42058.749386574069</v>
      </c>
      <c r="Q1207" s="14" t="s">
        <v>191</v>
      </c>
      <c r="R1207" s="14" t="s">
        <v>5319</v>
      </c>
      <c r="S1207" s="7" t="s">
        <v>5320</v>
      </c>
      <c r="T1207" s="8"/>
      <c r="U1207" s="11" t="str">
        <f>HYPERLINK("https://pbs.twimg.com/profile_images/976909546240307200/3Gy-rd2X.jpg","View")</f>
        <v>View</v>
      </c>
      <c r="V1207" s="8"/>
      <c r="W1207" s="8"/>
      <c r="X1207" s="8"/>
      <c r="Y1207" s="8"/>
      <c r="Z1207" s="8"/>
    </row>
    <row r="1208" spans="1:26" ht="13.2">
      <c r="A1208" s="13">
        <v>44250.490891203706</v>
      </c>
      <c r="B1208" s="6" t="str">
        <f>HYPERLINK("https://twitter.com/ishika_tailor","@ishika_tailor")</f>
        <v>@ishika_tailor</v>
      </c>
      <c r="C1208" s="14" t="s">
        <v>5321</v>
      </c>
      <c r="D1208" s="14" t="s">
        <v>5322</v>
      </c>
      <c r="E1208" s="6" t="str">
        <f>HYPERLINK("https://twitter.com/ishika_tailor/status/1364164823647326209","1364164823647326209")</f>
        <v>1364164823647326209</v>
      </c>
      <c r="F1208" s="8"/>
      <c r="G1208" s="7" t="s">
        <v>5323</v>
      </c>
      <c r="H1208" s="8"/>
      <c r="I1208" s="14">
        <v>1</v>
      </c>
      <c r="J1208" s="14">
        <v>4</v>
      </c>
      <c r="K1208" s="6" t="str">
        <f t="shared" si="200"/>
        <v>Twitter Web App</v>
      </c>
      <c r="L1208" s="15">
        <v>292</v>
      </c>
      <c r="M1208" s="15">
        <v>304</v>
      </c>
      <c r="N1208" s="15">
        <v>0</v>
      </c>
      <c r="O1208" s="9"/>
      <c r="P1208" s="10">
        <v>43555.295127314814</v>
      </c>
      <c r="Q1208" s="14" t="s">
        <v>5324</v>
      </c>
      <c r="R1208" s="14" t="s">
        <v>5325</v>
      </c>
      <c r="S1208" s="8"/>
      <c r="T1208" s="8"/>
      <c r="U1208" s="11" t="str">
        <f>HYPERLINK("https://pbs.twimg.com/profile_images/1293092310754811905/lw3h_C0e.jpg","View")</f>
        <v>View</v>
      </c>
      <c r="V1208" s="8"/>
      <c r="W1208" s="8"/>
      <c r="X1208" s="8"/>
      <c r="Y1208" s="8"/>
      <c r="Z1208" s="8"/>
    </row>
    <row r="1209" spans="1:26" ht="13.2">
      <c r="A1209" s="13">
        <v>44250.490752314814</v>
      </c>
      <c r="B1209" s="6" t="str">
        <f>HYPERLINK("https://twitter.com/Innovat78455398","@Innovat78455398")</f>
        <v>@Innovat78455398</v>
      </c>
      <c r="C1209" s="14" t="s">
        <v>4318</v>
      </c>
      <c r="D1209" s="14" t="s">
        <v>5326</v>
      </c>
      <c r="E1209" s="6" t="str">
        <f>HYPERLINK("https://twitter.com/Innovat78455398/status/1364164774536179713","1364164774536179713")</f>
        <v>1364164774536179713</v>
      </c>
      <c r="F1209" s="7" t="s">
        <v>5327</v>
      </c>
      <c r="G1209" s="7" t="s">
        <v>5328</v>
      </c>
      <c r="H1209" s="8"/>
      <c r="I1209" s="14">
        <v>6</v>
      </c>
      <c r="J1209" s="14">
        <v>2</v>
      </c>
      <c r="K1209" s="6" t="str">
        <f t="shared" si="200"/>
        <v>Twitter Web App</v>
      </c>
      <c r="L1209" s="15">
        <v>101</v>
      </c>
      <c r="M1209" s="15">
        <v>142</v>
      </c>
      <c r="N1209" s="15">
        <v>1</v>
      </c>
      <c r="O1209" s="9"/>
      <c r="P1209" s="10">
        <v>44075.047534722224</v>
      </c>
      <c r="Q1209" s="14" t="s">
        <v>623</v>
      </c>
      <c r="R1209" s="14" t="s">
        <v>4322</v>
      </c>
      <c r="S1209" s="8"/>
      <c r="T1209" s="8"/>
      <c r="U1209" s="11" t="str">
        <f>HYPERLINK("https://pbs.twimg.com/profile_images/1300571380098850818/YjKI8L9l.jpg","View")</f>
        <v>View</v>
      </c>
      <c r="V1209" s="8"/>
      <c r="W1209" s="8"/>
      <c r="X1209" s="8"/>
      <c r="Y1209" s="8"/>
      <c r="Z1209" s="8"/>
    </row>
    <row r="1210" spans="1:26" ht="13.2">
      <c r="A1210" s="13">
        <v>44250.489629629628</v>
      </c>
      <c r="B1210" s="6" t="str">
        <f>HYPERLINK("https://twitter.com/CoDiSLabGraz","@CoDiSLabGraz")</f>
        <v>@CoDiSLabGraz</v>
      </c>
      <c r="C1210" s="14" t="s">
        <v>5329</v>
      </c>
      <c r="D1210" s="14" t="s">
        <v>5330</v>
      </c>
      <c r="E1210" s="6" t="str">
        <f>HYPERLINK("https://twitter.com/CoDiSLabGraz/status/1364164367344885765","1364164367344885765")</f>
        <v>1364164367344885765</v>
      </c>
      <c r="F1210" s="8"/>
      <c r="G1210" s="7" t="s">
        <v>5331</v>
      </c>
      <c r="H1210" s="8"/>
      <c r="I1210" s="14">
        <v>2</v>
      </c>
      <c r="J1210" s="14">
        <v>3</v>
      </c>
      <c r="K1210" s="6" t="str">
        <f t="shared" ref="K1210:K1212" si="201">HYPERLINK("https://www.hootsuite.com","Hootsuite Inc.")</f>
        <v>Hootsuite Inc.</v>
      </c>
      <c r="L1210" s="15">
        <v>41</v>
      </c>
      <c r="M1210" s="15">
        <v>39</v>
      </c>
      <c r="N1210" s="15">
        <v>0</v>
      </c>
      <c r="O1210" s="9"/>
      <c r="P1210" s="10">
        <v>44067.377326388887</v>
      </c>
      <c r="Q1210" s="14" t="s">
        <v>5332</v>
      </c>
      <c r="R1210" s="14" t="s">
        <v>5333</v>
      </c>
      <c r="S1210" s="7" t="s">
        <v>5334</v>
      </c>
      <c r="T1210" s="8"/>
      <c r="U1210" s="11" t="str">
        <f>HYPERLINK("https://pbs.twimg.com/profile_images/1297791648949309440/CtlMbR7H.png","View")</f>
        <v>View</v>
      </c>
      <c r="V1210" s="8"/>
      <c r="W1210" s="8"/>
      <c r="X1210" s="8"/>
      <c r="Y1210" s="8"/>
      <c r="Z1210" s="8"/>
    </row>
    <row r="1211" spans="1:26" ht="13.2">
      <c r="A1211" s="13">
        <v>44250.489629629628</v>
      </c>
      <c r="B1211" s="6" t="str">
        <f>HYPERLINK("https://twitter.com/rvhooijdonk","@rvhooijdonk")</f>
        <v>@rvhooijdonk</v>
      </c>
      <c r="C1211" s="14" t="s">
        <v>5335</v>
      </c>
      <c r="D1211" s="14" t="s">
        <v>5336</v>
      </c>
      <c r="E1211" s="6" t="str">
        <f>HYPERLINK("https://twitter.com/rvhooijdonk/status/1364164365998514176","1364164365998514176")</f>
        <v>1364164365998514176</v>
      </c>
      <c r="F1211" s="7" t="s">
        <v>5337</v>
      </c>
      <c r="G1211" s="7" t="s">
        <v>5338</v>
      </c>
      <c r="H1211" s="8"/>
      <c r="I1211" s="14">
        <v>1</v>
      </c>
      <c r="J1211" s="14">
        <v>0</v>
      </c>
      <c r="K1211" s="6" t="str">
        <f t="shared" si="201"/>
        <v>Hootsuite Inc.</v>
      </c>
      <c r="L1211" s="15">
        <v>13465</v>
      </c>
      <c r="M1211" s="15">
        <v>1549</v>
      </c>
      <c r="N1211" s="15">
        <v>644</v>
      </c>
      <c r="O1211" s="9"/>
      <c r="P1211" s="10">
        <v>39162.843657407408</v>
      </c>
      <c r="Q1211" s="14" t="s">
        <v>5339</v>
      </c>
      <c r="R1211" s="14" t="s">
        <v>5340</v>
      </c>
      <c r="S1211" s="7" t="s">
        <v>5341</v>
      </c>
      <c r="T1211" s="8"/>
      <c r="U1211" s="11" t="str">
        <f>HYPERLINK("https://pbs.twimg.com/profile_images/698088212850466816/xNPRyN3k.jpg","View")</f>
        <v>View</v>
      </c>
      <c r="V1211" s="8"/>
      <c r="W1211" s="8"/>
      <c r="X1211" s="8"/>
      <c r="Y1211" s="8"/>
      <c r="Z1211" s="8"/>
    </row>
    <row r="1212" spans="1:26" ht="13.2">
      <c r="A1212" s="13">
        <v>44250.489618055552</v>
      </c>
      <c r="B1212" s="6" t="str">
        <f>HYPERLINK("https://twitter.com/Agenda_Empresa","@Agenda_Empresa")</f>
        <v>@Agenda_Empresa</v>
      </c>
      <c r="C1212" s="14" t="s">
        <v>5342</v>
      </c>
      <c r="D1212" s="14" t="s">
        <v>5343</v>
      </c>
      <c r="E1212" s="6" t="str">
        <f>HYPERLINK("https://twitter.com/Agenda_Empresa/status/1364164360835395590","1364164360835395590")</f>
        <v>1364164360835395590</v>
      </c>
      <c r="F1212" s="7" t="s">
        <v>5344</v>
      </c>
      <c r="G1212" s="7" t="s">
        <v>5345</v>
      </c>
      <c r="H1212" s="8"/>
      <c r="I1212" s="14">
        <v>1</v>
      </c>
      <c r="J1212" s="14">
        <v>0</v>
      </c>
      <c r="K1212" s="6" t="str">
        <f t="shared" si="201"/>
        <v>Hootsuite Inc.</v>
      </c>
      <c r="L1212" s="15">
        <v>2908</v>
      </c>
      <c r="M1212" s="15">
        <v>927</v>
      </c>
      <c r="N1212" s="15">
        <v>124</v>
      </c>
      <c r="O1212" s="9"/>
      <c r="P1212" s="10">
        <v>41155.582048611112</v>
      </c>
      <c r="Q1212" s="14" t="s">
        <v>5346</v>
      </c>
      <c r="R1212" s="14" t="s">
        <v>5347</v>
      </c>
      <c r="S1212" s="7" t="s">
        <v>5348</v>
      </c>
      <c r="T1212" s="8"/>
      <c r="U1212" s="11" t="str">
        <f>HYPERLINK("https://pbs.twimg.com/profile_images/921345666772799489/DattJ65l.jpg","View")</f>
        <v>View</v>
      </c>
      <c r="V1212" s="8"/>
      <c r="W1212" s="8"/>
      <c r="X1212" s="8"/>
      <c r="Y1212" s="8"/>
      <c r="Z1212" s="8"/>
    </row>
    <row r="1213" spans="1:26" ht="13.2">
      <c r="A1213" s="13">
        <v>44250.488576388889</v>
      </c>
      <c r="B1213" s="6" t="str">
        <f>HYPERLINK("https://twitter.com/datamining_24","@datamining_24")</f>
        <v>@datamining_24</v>
      </c>
      <c r="C1213" s="14" t="s">
        <v>5349</v>
      </c>
      <c r="D1213" s="14" t="s">
        <v>156</v>
      </c>
      <c r="E1213" s="6" t="str">
        <f>HYPERLINK("https://twitter.com/datamining_24/status/1364163984245555202","1364163984245555202")</f>
        <v>1364163984245555202</v>
      </c>
      <c r="F1213" s="7" t="s">
        <v>157</v>
      </c>
      <c r="G1213" s="8"/>
      <c r="H1213" s="8"/>
      <c r="I1213" s="14">
        <v>0</v>
      </c>
      <c r="J1213" s="14">
        <v>3</v>
      </c>
      <c r="K1213" s="6" t="str">
        <f>HYPERLINK("http://twitter.com/download/android","Twitter for Android")</f>
        <v>Twitter for Android</v>
      </c>
      <c r="L1213" s="15">
        <v>10</v>
      </c>
      <c r="M1213" s="15">
        <v>64</v>
      </c>
      <c r="N1213" s="15">
        <v>0</v>
      </c>
      <c r="O1213" s="9"/>
      <c r="P1213" s="10">
        <v>44077.727986111116</v>
      </c>
      <c r="Q1213" s="8"/>
      <c r="R1213" s="14" t="s">
        <v>5350</v>
      </c>
      <c r="S1213" s="7" t="s">
        <v>5351</v>
      </c>
      <c r="T1213" s="8"/>
      <c r="U1213" s="11" t="str">
        <f>HYPERLINK("https://pbs.twimg.com/profile_images/1359662871639171072/-0MK8SxD.jpg","View")</f>
        <v>View</v>
      </c>
      <c r="V1213" s="8"/>
      <c r="W1213" s="8"/>
      <c r="X1213" s="8"/>
      <c r="Y1213" s="8"/>
      <c r="Z1213" s="8"/>
    </row>
    <row r="1214" spans="1:26" ht="13.2">
      <c r="A1214" s="13">
        <v>44250.487777777773</v>
      </c>
      <c r="B1214" s="6" t="str">
        <f>HYPERLINK("https://twitter.com/BrankoBoro","@BrankoBoro")</f>
        <v>@BrankoBoro</v>
      </c>
      <c r="C1214" s="14" t="s">
        <v>3146</v>
      </c>
      <c r="D1214" s="14" t="s">
        <v>5352</v>
      </c>
      <c r="E1214" s="6" t="str">
        <f>HYPERLINK("https://twitter.com/BrankoBoro/status/1364163693836177410","1364163693836177410")</f>
        <v>1364163693836177410</v>
      </c>
      <c r="F1214" s="14" t="s">
        <v>5353</v>
      </c>
      <c r="G1214" s="8"/>
      <c r="H1214" s="8"/>
      <c r="I1214" s="14">
        <v>2</v>
      </c>
      <c r="J1214" s="14">
        <v>0</v>
      </c>
      <c r="K1214" s="6" t="str">
        <f>HYPERLINK("http://twinybots.com","TwinyBots")</f>
        <v>TwinyBots</v>
      </c>
      <c r="L1214" s="15">
        <v>1564</v>
      </c>
      <c r="M1214" s="15">
        <v>1414</v>
      </c>
      <c r="N1214" s="15">
        <v>16</v>
      </c>
      <c r="O1214" s="9"/>
      <c r="P1214" s="10">
        <v>41758.65792824074</v>
      </c>
      <c r="Q1214" s="14" t="s">
        <v>3149</v>
      </c>
      <c r="R1214" s="14" t="s">
        <v>3150</v>
      </c>
      <c r="S1214" s="7" t="s">
        <v>3151</v>
      </c>
      <c r="T1214" s="8"/>
      <c r="U1214" s="11" t="str">
        <f>HYPERLINK("https://pbs.twimg.com/profile_images/1137048121459060739/c9tNcG8J.png","View")</f>
        <v>View</v>
      </c>
      <c r="V1214" s="8"/>
      <c r="W1214" s="8"/>
      <c r="X1214" s="8"/>
      <c r="Y1214" s="8"/>
      <c r="Z1214" s="8"/>
    </row>
    <row r="1215" spans="1:26" ht="13.2">
      <c r="A1215" s="13">
        <v>44250.487407407403</v>
      </c>
      <c r="B1215" s="6" t="str">
        <f>HYPERLINK("https://twitter.com/CoastData","@CoastData")</f>
        <v>@CoastData</v>
      </c>
      <c r="C1215" s="14" t="s">
        <v>5354</v>
      </c>
      <c r="D1215" s="14" t="s">
        <v>5355</v>
      </c>
      <c r="E1215" s="6" t="str">
        <f>HYPERLINK("https://twitter.com/CoastData/status/1364163559320608770","1364163559320608770")</f>
        <v>1364163559320608770</v>
      </c>
      <c r="F1215" s="7" t="s">
        <v>5356</v>
      </c>
      <c r="G1215" s="8"/>
      <c r="H1215" s="8"/>
      <c r="I1215" s="14">
        <v>0</v>
      </c>
      <c r="J1215" s="14">
        <v>1</v>
      </c>
      <c r="K1215" s="6" t="str">
        <f>HYPERLINK("https://www.hootsuite.com","Hootsuite Inc.")</f>
        <v>Hootsuite Inc.</v>
      </c>
      <c r="L1215" s="15">
        <v>79</v>
      </c>
      <c r="M1215" s="15">
        <v>172</v>
      </c>
      <c r="N1215" s="15">
        <v>0</v>
      </c>
      <c r="O1215" s="9"/>
      <c r="P1215" s="10">
        <v>44053.590578703705</v>
      </c>
      <c r="Q1215" s="14" t="s">
        <v>5357</v>
      </c>
      <c r="R1215" s="14" t="s">
        <v>5358</v>
      </c>
      <c r="S1215" s="7" t="s">
        <v>5359</v>
      </c>
      <c r="T1215" s="8"/>
      <c r="U1215" s="11" t="str">
        <f>HYPERLINK("https://pbs.twimg.com/profile_images/1292795510462402563/BqY3kiqa.jpg","View")</f>
        <v>View</v>
      </c>
      <c r="V1215" s="8"/>
      <c r="W1215" s="8"/>
      <c r="X1215" s="8"/>
      <c r="Y1215" s="8"/>
      <c r="Z1215" s="8"/>
    </row>
    <row r="1216" spans="1:26" ht="13.2">
      <c r="A1216" s="13">
        <v>44250.485798611116</v>
      </c>
      <c r="B1216" s="6" t="str">
        <f>HYPERLINK("https://twitter.com/saqibali_ca","@saqibali_ca")</f>
        <v>@saqibali_ca</v>
      </c>
      <c r="C1216" s="14" t="s">
        <v>965</v>
      </c>
      <c r="D1216" s="14" t="s">
        <v>5360</v>
      </c>
      <c r="E1216" s="6" t="str">
        <f>HYPERLINK("https://twitter.com/saqibali_ca/status/1364162976215756802","1364162976215756802")</f>
        <v>1364162976215756802</v>
      </c>
      <c r="F1216" s="7" t="s">
        <v>5361</v>
      </c>
      <c r="G1216" s="8"/>
      <c r="H1216" s="8"/>
      <c r="I1216" s="14">
        <v>0</v>
      </c>
      <c r="J1216" s="14">
        <v>0</v>
      </c>
      <c r="K1216" s="8"/>
      <c r="L1216" s="15">
        <v>270</v>
      </c>
      <c r="M1216" s="15">
        <v>0</v>
      </c>
      <c r="N1216" s="15">
        <v>3</v>
      </c>
      <c r="O1216" s="9"/>
      <c r="P1216" s="10">
        <v>43119.848680555559</v>
      </c>
      <c r="Q1216" s="14" t="s">
        <v>968</v>
      </c>
      <c r="R1216" s="14" t="s">
        <v>969</v>
      </c>
      <c r="S1216" s="7" t="s">
        <v>970</v>
      </c>
      <c r="T1216" s="8"/>
      <c r="U1216" s="11" t="str">
        <f>HYPERLINK("https://pbs.twimg.com/profile_images/1142963749285855233/c6NRGCvi.jpg","View")</f>
        <v>View</v>
      </c>
      <c r="V1216" s="8"/>
      <c r="W1216" s="8"/>
      <c r="X1216" s="8"/>
      <c r="Y1216" s="8"/>
      <c r="Z1216" s="8"/>
    </row>
    <row r="1217" spans="1:26" ht="13.2">
      <c r="A1217" s="13">
        <v>44250.485196759255</v>
      </c>
      <c r="B1217" s="6" t="str">
        <f>HYPERLINK("https://twitter.com/CoastData","@CoastData")</f>
        <v>@CoastData</v>
      </c>
      <c r="C1217" s="14" t="s">
        <v>5354</v>
      </c>
      <c r="D1217" s="14" t="s">
        <v>5362</v>
      </c>
      <c r="E1217" s="6" t="str">
        <f>HYPERLINK("https://twitter.com/CoastData/status/1364162761677303811","1364162761677303811")</f>
        <v>1364162761677303811</v>
      </c>
      <c r="F1217" s="7" t="s">
        <v>5363</v>
      </c>
      <c r="G1217" s="8"/>
      <c r="H1217" s="8"/>
      <c r="I1217" s="14">
        <v>1</v>
      </c>
      <c r="J1217" s="14">
        <v>0</v>
      </c>
      <c r="K1217" s="6" t="str">
        <f>HYPERLINK("https://www.hootsuite.com","Hootsuite Inc.")</f>
        <v>Hootsuite Inc.</v>
      </c>
      <c r="L1217" s="15">
        <v>79</v>
      </c>
      <c r="M1217" s="15">
        <v>172</v>
      </c>
      <c r="N1217" s="15">
        <v>0</v>
      </c>
      <c r="O1217" s="9"/>
      <c r="P1217" s="10">
        <v>44053.590578703705</v>
      </c>
      <c r="Q1217" s="14" t="s">
        <v>5357</v>
      </c>
      <c r="R1217" s="14" t="s">
        <v>5358</v>
      </c>
      <c r="S1217" s="7" t="s">
        <v>5359</v>
      </c>
      <c r="T1217" s="8"/>
      <c r="U1217" s="11" t="str">
        <f>HYPERLINK("https://pbs.twimg.com/profile_images/1292795510462402563/BqY3kiqa.jpg","View")</f>
        <v>View</v>
      </c>
      <c r="V1217" s="8"/>
      <c r="W1217" s="8"/>
      <c r="X1217" s="8"/>
      <c r="Y1217" s="8"/>
      <c r="Z1217" s="8"/>
    </row>
    <row r="1218" spans="1:26" ht="13.2">
      <c r="A1218" s="13">
        <v>44250.484317129631</v>
      </c>
      <c r="B1218" s="6" t="str">
        <f>HYPERLINK("https://twitter.com/native_stack","@native_stack")</f>
        <v>@native_stack</v>
      </c>
      <c r="C1218" s="14" t="s">
        <v>5364</v>
      </c>
      <c r="D1218" s="14" t="s">
        <v>5365</v>
      </c>
      <c r="E1218" s="6" t="str">
        <f>HYPERLINK("https://twitter.com/native_stack/status/1364162441999839232","1364162441999839232")</f>
        <v>1364162441999839232</v>
      </c>
      <c r="F1218" s="7" t="s">
        <v>5366</v>
      </c>
      <c r="G1218" s="8"/>
      <c r="H1218" s="8"/>
      <c r="I1218" s="14">
        <v>1</v>
      </c>
      <c r="J1218" s="14">
        <v>1</v>
      </c>
      <c r="K1218" s="6" t="str">
        <f>HYPERLINK("https://www.cloudnativestack.io","CloudNativeStack")</f>
        <v>CloudNativeStack</v>
      </c>
      <c r="L1218" s="15">
        <v>118</v>
      </c>
      <c r="M1218" s="15">
        <v>84</v>
      </c>
      <c r="N1218" s="15">
        <v>3</v>
      </c>
      <c r="O1218" s="9"/>
      <c r="P1218" s="10">
        <v>43961.584606481483</v>
      </c>
      <c r="Q1218" s="8"/>
      <c r="R1218" s="14" t="s">
        <v>5367</v>
      </c>
      <c r="S1218" s="8"/>
      <c r="T1218" s="8"/>
      <c r="U1218" s="11" t="str">
        <f>HYPERLINK("https://pbs.twimg.com/profile_images/1363016278596722691/CZnOW4HN.jpg","View")</f>
        <v>View</v>
      </c>
      <c r="V1218" s="8"/>
      <c r="W1218" s="8"/>
      <c r="X1218" s="8"/>
      <c r="Y1218" s="8"/>
      <c r="Z1218" s="8"/>
    </row>
    <row r="1219" spans="1:26" ht="13.2">
      <c r="A1219" s="13">
        <v>44250.484317129631</v>
      </c>
      <c r="B1219" s="6" t="str">
        <f>HYPERLINK("https://twitter.com/Tutor_Eduonix","@Tutor_Eduonix")</f>
        <v>@Tutor_Eduonix</v>
      </c>
      <c r="C1219" s="14" t="s">
        <v>5368</v>
      </c>
      <c r="D1219" s="14" t="s">
        <v>5369</v>
      </c>
      <c r="E1219" s="6" t="str">
        <f>HYPERLINK("https://twitter.com/Tutor_Eduonix/status/1364162441727389697","1364162441727389697")</f>
        <v>1364162441727389697</v>
      </c>
      <c r="F1219" s="7" t="s">
        <v>5370</v>
      </c>
      <c r="G1219" s="8"/>
      <c r="H1219" s="8"/>
      <c r="I1219" s="14">
        <v>4</v>
      </c>
      <c r="J1219" s="14">
        <v>5</v>
      </c>
      <c r="K1219" s="6" t="str">
        <f>HYPERLINK("https://www.hootsuite.com","Hootsuite Inc.")</f>
        <v>Hootsuite Inc.</v>
      </c>
      <c r="L1219" s="15">
        <v>4181</v>
      </c>
      <c r="M1219" s="15">
        <v>149</v>
      </c>
      <c r="N1219" s="15">
        <v>82</v>
      </c>
      <c r="O1219" s="9"/>
      <c r="P1219" s="10">
        <v>41260.802511574075</v>
      </c>
      <c r="Q1219" s="14" t="s">
        <v>364</v>
      </c>
      <c r="R1219" s="14" t="s">
        <v>5371</v>
      </c>
      <c r="S1219" s="7" t="s">
        <v>5372</v>
      </c>
      <c r="T1219" s="8"/>
      <c r="U1219" s="11" t="str">
        <f>HYPERLINK("https://pbs.twimg.com/profile_images/1069862229921722373/a1PPTME2.jpg","View")</f>
        <v>View</v>
      </c>
      <c r="V1219" s="8"/>
      <c r="W1219" s="8"/>
      <c r="X1219" s="8"/>
      <c r="Y1219" s="8"/>
      <c r="Z1219" s="8"/>
    </row>
    <row r="1220" spans="1:26" ht="13.2">
      <c r="A1220" s="13">
        <v>44250.483842592592</v>
      </c>
      <c r="B1220" s="6" t="str">
        <f>HYPERLINK("https://twitter.com/couponed_code","@couponed_code")</f>
        <v>@couponed_code</v>
      </c>
      <c r="C1220" s="14" t="s">
        <v>2605</v>
      </c>
      <c r="D1220" s="14" t="s">
        <v>5373</v>
      </c>
      <c r="E1220" s="6" t="str">
        <f>HYPERLINK("https://twitter.com/couponed_code/status/1364162269106475010","1364162269106475010")</f>
        <v>1364162269106475010</v>
      </c>
      <c r="F1220" s="7" t="s">
        <v>5374</v>
      </c>
      <c r="G1220" s="7" t="s">
        <v>5375</v>
      </c>
      <c r="H1220" s="8"/>
      <c r="I1220" s="14">
        <v>43</v>
      </c>
      <c r="J1220" s="14">
        <v>19</v>
      </c>
      <c r="K1220" s="6" t="str">
        <f t="shared" ref="K1220:K1221" si="202">HYPERLINK("https://mobile.twitter.com","Twitter Web App")</f>
        <v>Twitter Web App</v>
      </c>
      <c r="L1220" s="15">
        <v>411</v>
      </c>
      <c r="M1220" s="15">
        <v>189</v>
      </c>
      <c r="N1220" s="15">
        <v>12</v>
      </c>
      <c r="O1220" s="9"/>
      <c r="P1220" s="10">
        <v>43795.697094907402</v>
      </c>
      <c r="Q1220" s="8"/>
      <c r="R1220" s="14" t="s">
        <v>2609</v>
      </c>
      <c r="S1220" s="7" t="s">
        <v>249</v>
      </c>
      <c r="T1220" s="8"/>
      <c r="U1220" s="11" t="str">
        <f>HYPERLINK("https://pbs.twimg.com/profile_images/1199354488051515392/yHRbpMAp.jpg","View")</f>
        <v>View</v>
      </c>
      <c r="V1220" s="8"/>
      <c r="W1220" s="8"/>
      <c r="X1220" s="8"/>
      <c r="Y1220" s="8"/>
      <c r="Z1220" s="8"/>
    </row>
    <row r="1221" spans="1:26" ht="13.2">
      <c r="A1221" s="13">
        <v>44250.483541666668</v>
      </c>
      <c r="B1221" s="6" t="str">
        <f>HYPERLINK("https://twitter.com/7PeaksSoftware","@7PeaksSoftware")</f>
        <v>@7PeaksSoftware</v>
      </c>
      <c r="C1221" s="14" t="s">
        <v>5376</v>
      </c>
      <c r="D1221" s="14" t="s">
        <v>5377</v>
      </c>
      <c r="E1221" s="6" t="str">
        <f>HYPERLINK("https://twitter.com/7PeaksSoftware/status/1364162158217465856","1364162158217465856")</f>
        <v>1364162158217465856</v>
      </c>
      <c r="F1221" s="8"/>
      <c r="G1221" s="7" t="s">
        <v>5378</v>
      </c>
      <c r="H1221" s="8"/>
      <c r="I1221" s="14">
        <v>3</v>
      </c>
      <c r="J1221" s="14">
        <v>1</v>
      </c>
      <c r="K1221" s="6" t="str">
        <f t="shared" si="202"/>
        <v>Twitter Web App</v>
      </c>
      <c r="L1221" s="15">
        <v>58</v>
      </c>
      <c r="M1221" s="15">
        <v>56</v>
      </c>
      <c r="N1221" s="15">
        <v>0</v>
      </c>
      <c r="O1221" s="9"/>
      <c r="P1221" s="10">
        <v>41814.225590277776</v>
      </c>
      <c r="Q1221" s="14" t="s">
        <v>5379</v>
      </c>
      <c r="R1221" s="14" t="s">
        <v>5380</v>
      </c>
      <c r="S1221" s="7" t="s">
        <v>5381</v>
      </c>
      <c r="T1221" s="8"/>
      <c r="U1221" s="11" t="str">
        <f>HYPERLINK("https://pbs.twimg.com/profile_images/1290144033772199936/WF7lvI2-.jpg","View")</f>
        <v>View</v>
      </c>
      <c r="V1221" s="8"/>
      <c r="W1221" s="8"/>
      <c r="X1221" s="8"/>
      <c r="Y1221" s="8"/>
      <c r="Z1221" s="8"/>
    </row>
    <row r="1222" spans="1:26" ht="13.2">
      <c r="A1222" s="13">
        <v>44250.483437499999</v>
      </c>
      <c r="B1222" s="6" t="str">
        <f>HYPERLINK("https://twitter.com/CoastData","@CoastData")</f>
        <v>@CoastData</v>
      </c>
      <c r="C1222" s="14" t="s">
        <v>5354</v>
      </c>
      <c r="D1222" s="14" t="s">
        <v>5382</v>
      </c>
      <c r="E1222" s="6" t="str">
        <f>HYPERLINK("https://twitter.com/CoastData/status/1364162121328648208","1364162121328648208")</f>
        <v>1364162121328648208</v>
      </c>
      <c r="F1222" s="7" t="s">
        <v>5383</v>
      </c>
      <c r="G1222" s="8"/>
      <c r="H1222" s="8"/>
      <c r="I1222" s="14">
        <v>0</v>
      </c>
      <c r="J1222" s="14">
        <v>0</v>
      </c>
      <c r="K1222" s="6" t="str">
        <f>HYPERLINK("https://www.hootsuite.com","Hootsuite Inc.")</f>
        <v>Hootsuite Inc.</v>
      </c>
      <c r="L1222" s="15">
        <v>79</v>
      </c>
      <c r="M1222" s="15">
        <v>172</v>
      </c>
      <c r="N1222" s="15">
        <v>0</v>
      </c>
      <c r="O1222" s="9"/>
      <c r="P1222" s="10">
        <v>44053.590578703705</v>
      </c>
      <c r="Q1222" s="14" t="s">
        <v>5357</v>
      </c>
      <c r="R1222" s="14" t="s">
        <v>5358</v>
      </c>
      <c r="S1222" s="7" t="s">
        <v>5359</v>
      </c>
      <c r="T1222" s="8"/>
      <c r="U1222" s="11" t="str">
        <f>HYPERLINK("https://pbs.twimg.com/profile_images/1292795510462402563/BqY3kiqa.jpg","View")</f>
        <v>View</v>
      </c>
      <c r="V1222" s="8"/>
      <c r="W1222" s="8"/>
      <c r="X1222" s="8"/>
      <c r="Y1222" s="8"/>
      <c r="Z1222" s="8"/>
    </row>
    <row r="1223" spans="1:26" ht="13.2">
      <c r="A1223" s="13">
        <v>44250.483333333337</v>
      </c>
      <c r="B1223" s="6" t="str">
        <f>HYPERLINK("https://twitter.com/SKlausDev","@SKlausDev")</f>
        <v>@SKlausDev</v>
      </c>
      <c r="C1223" s="14" t="s">
        <v>1404</v>
      </c>
      <c r="D1223" s="14" t="s">
        <v>5384</v>
      </c>
      <c r="E1223" s="6" t="str">
        <f>HYPERLINK("https://twitter.com/SKlausDev/status/1364162083441373186","1364162083441373186")</f>
        <v>1364162083441373186</v>
      </c>
      <c r="F1223" s="7" t="s">
        <v>5385</v>
      </c>
      <c r="G1223" s="8"/>
      <c r="H1223" s="8"/>
      <c r="I1223" s="14">
        <v>8</v>
      </c>
      <c r="J1223" s="14">
        <v>6</v>
      </c>
      <c r="K1223" s="6" t="str">
        <f>HYPERLINK("https://mobile.twitter.com","Twitter Web App")</f>
        <v>Twitter Web App</v>
      </c>
      <c r="L1223" s="15">
        <v>1288</v>
      </c>
      <c r="M1223" s="15">
        <v>910</v>
      </c>
      <c r="N1223" s="15">
        <v>505</v>
      </c>
      <c r="O1223" s="9"/>
      <c r="P1223" s="10">
        <v>42492.59207175926</v>
      </c>
      <c r="Q1223" s="14" t="s">
        <v>1407</v>
      </c>
      <c r="R1223" s="14" t="s">
        <v>1408</v>
      </c>
      <c r="S1223" s="8"/>
      <c r="T1223" s="8"/>
      <c r="U1223" s="11" t="str">
        <f>HYPERLINK("https://pbs.twimg.com/profile_images/727109083283726336/pMHGSHGB.jpg","View")</f>
        <v>View</v>
      </c>
      <c r="V1223" s="8"/>
      <c r="W1223" s="8"/>
      <c r="X1223" s="8"/>
      <c r="Y1223" s="8"/>
      <c r="Z1223" s="8"/>
    </row>
    <row r="1224" spans="1:26" ht="13.2">
      <c r="A1224" s="13">
        <v>44250.482685185183</v>
      </c>
      <c r="B1224" s="6" t="str">
        <f>HYPERLINK("https://twitter.com/RadiologyGamuts","@RadiologyGamuts")</f>
        <v>@RadiologyGamuts</v>
      </c>
      <c r="C1224" s="14" t="s">
        <v>1481</v>
      </c>
      <c r="D1224" s="14" t="s">
        <v>5386</v>
      </c>
      <c r="E1224" s="6" t="str">
        <f>HYPERLINK("https://twitter.com/RadiologyGamuts/status/1364161849025961986","1364161849025961986")</f>
        <v>1364161849025961986</v>
      </c>
      <c r="F1224" s="7" t="s">
        <v>5387</v>
      </c>
      <c r="G1224" s="7" t="s">
        <v>5388</v>
      </c>
      <c r="H1224" s="8"/>
      <c r="I1224" s="14">
        <v>0</v>
      </c>
      <c r="J1224" s="14">
        <v>3</v>
      </c>
      <c r="K1224" s="6" t="str">
        <f>HYPERLINK("https://www.gamuts.net","RadiologyGamuts")</f>
        <v>RadiologyGamuts</v>
      </c>
      <c r="L1224" s="15">
        <v>4633</v>
      </c>
      <c r="M1224" s="15">
        <v>3528</v>
      </c>
      <c r="N1224" s="15">
        <v>62</v>
      </c>
      <c r="O1224" s="9"/>
      <c r="P1224" s="10">
        <v>41019.020555555559</v>
      </c>
      <c r="Q1224" s="14" t="s">
        <v>1485</v>
      </c>
      <c r="R1224" s="14" t="s">
        <v>1486</v>
      </c>
      <c r="S1224" s="7" t="s">
        <v>1487</v>
      </c>
      <c r="T1224" s="8"/>
      <c r="U1224" s="11" t="str">
        <f>HYPERLINK("https://pbs.twimg.com/profile_images/2148080535/color-wheel.jpg","View")</f>
        <v>View</v>
      </c>
      <c r="V1224" s="8"/>
      <c r="W1224" s="8"/>
      <c r="X1224" s="8"/>
      <c r="Y1224" s="8"/>
      <c r="Z1224" s="8"/>
    </row>
    <row r="1225" spans="1:26" ht="13.2">
      <c r="A1225" s="13">
        <v>44250.482581018514</v>
      </c>
      <c r="B1225" s="6" t="str">
        <f>HYPERLINK("https://twitter.com/chiradio","@chiradio")</f>
        <v>@chiradio</v>
      </c>
      <c r="C1225" s="14" t="s">
        <v>5389</v>
      </c>
      <c r="D1225" s="14" t="s">
        <v>5390</v>
      </c>
      <c r="E1225" s="6" t="str">
        <f>HYPERLINK("https://twitter.com/chiradio/status/1364161811336089600","1364161811336089600")</f>
        <v>1364161811336089600</v>
      </c>
      <c r="F1225" s="14" t="s">
        <v>5391</v>
      </c>
      <c r="G1225" s="8"/>
      <c r="H1225" s="8"/>
      <c r="I1225" s="14">
        <v>0</v>
      </c>
      <c r="J1225" s="14">
        <v>0</v>
      </c>
      <c r="K1225" s="6" t="str">
        <f>HYPERLINK("https://paper.li","Paper.li")</f>
        <v>Paper.li</v>
      </c>
      <c r="L1225" s="15">
        <v>1405</v>
      </c>
      <c r="M1225" s="15">
        <v>1072</v>
      </c>
      <c r="N1225" s="15">
        <v>44</v>
      </c>
      <c r="O1225" s="9"/>
      <c r="P1225" s="10">
        <v>39219.54210648148</v>
      </c>
      <c r="Q1225" s="14" t="s">
        <v>5392</v>
      </c>
      <c r="R1225" s="14" t="s">
        <v>5393</v>
      </c>
      <c r="S1225" s="7" t="s">
        <v>5394</v>
      </c>
      <c r="T1225" s="8"/>
      <c r="U1225" s="11" t="str">
        <f>HYPERLINK("https://pbs.twimg.com/profile_images/567991692/chiradio_circle.jpg","View")</f>
        <v>View</v>
      </c>
      <c r="V1225" s="8"/>
      <c r="W1225" s="8"/>
      <c r="X1225" s="8"/>
      <c r="Y1225" s="8"/>
      <c r="Z1225" s="8"/>
    </row>
    <row r="1226" spans="1:26" ht="13.2">
      <c r="A1226" s="13">
        <v>44250.481666666667</v>
      </c>
      <c r="B1226" s="6" t="str">
        <f>HYPERLINK("https://twitter.com/MENTOR_EID","@MENTOR_EID")</f>
        <v>@MENTOR_EID</v>
      </c>
      <c r="C1226" s="14" t="s">
        <v>5395</v>
      </c>
      <c r="D1226" s="14" t="s">
        <v>5396</v>
      </c>
      <c r="E1226" s="6" t="str">
        <f>HYPERLINK("https://twitter.com/MENTOR_EID/status/1364161480845889536","1364161480845889536")</f>
        <v>1364161480845889536</v>
      </c>
      <c r="F1226" s="7" t="s">
        <v>5397</v>
      </c>
      <c r="G1226" s="7" t="s">
        <v>5398</v>
      </c>
      <c r="H1226" s="8"/>
      <c r="I1226" s="14">
        <v>9</v>
      </c>
      <c r="J1226" s="14">
        <v>15</v>
      </c>
      <c r="K1226" s="6" t="str">
        <f t="shared" ref="K1226:K1227" si="203">HYPERLINK("https://mobile.twitter.com","Twitter Web App")</f>
        <v>Twitter Web App</v>
      </c>
      <c r="L1226" s="15">
        <v>84</v>
      </c>
      <c r="M1226" s="15">
        <v>143</v>
      </c>
      <c r="N1226" s="15">
        <v>0</v>
      </c>
      <c r="O1226" s="9"/>
      <c r="P1226" s="10">
        <v>44183.451412037037</v>
      </c>
      <c r="Q1226" s="14" t="s">
        <v>5399</v>
      </c>
      <c r="R1226" s="14" t="s">
        <v>5400</v>
      </c>
      <c r="S1226" s="7" t="s">
        <v>5401</v>
      </c>
      <c r="T1226" s="8"/>
      <c r="U1226" s="11" t="str">
        <f>HYPERLINK("https://pbs.twimg.com/profile_images/1339987639076868098/NfJfDb7v.jpg","View")</f>
        <v>View</v>
      </c>
      <c r="V1226" s="8"/>
      <c r="W1226" s="8"/>
      <c r="X1226" s="8"/>
      <c r="Y1226" s="8"/>
      <c r="Z1226" s="8"/>
    </row>
    <row r="1227" spans="1:26" ht="13.2">
      <c r="A1227" s="13">
        <v>44250.481249999997</v>
      </c>
      <c r="B1227" s="6" t="str">
        <f>HYPERLINK("https://twitter.com/Nicochan33","@Nicochan33")</f>
        <v>@Nicochan33</v>
      </c>
      <c r="C1227" s="14" t="s">
        <v>2244</v>
      </c>
      <c r="D1227" s="14" t="s">
        <v>5402</v>
      </c>
      <c r="E1227" s="6" t="str">
        <f>HYPERLINK("https://twitter.com/Nicochan33/status/1364161328504582145","1364161328504582145")</f>
        <v>1364161328504582145</v>
      </c>
      <c r="F1227" s="7" t="s">
        <v>5403</v>
      </c>
      <c r="G1227" s="8"/>
      <c r="H1227" s="8"/>
      <c r="I1227" s="14">
        <v>1</v>
      </c>
      <c r="J1227" s="14">
        <v>1</v>
      </c>
      <c r="K1227" s="6" t="str">
        <f t="shared" si="203"/>
        <v>Twitter Web App</v>
      </c>
      <c r="L1227" s="15">
        <v>86054</v>
      </c>
      <c r="M1227" s="15">
        <v>78930</v>
      </c>
      <c r="N1227" s="15">
        <v>3711</v>
      </c>
      <c r="O1227" s="9"/>
      <c r="P1227" s="10">
        <v>39834.541168981479</v>
      </c>
      <c r="Q1227" s="14" t="s">
        <v>1468</v>
      </c>
      <c r="R1227" s="14" t="s">
        <v>2247</v>
      </c>
      <c r="S1227" s="7" t="s">
        <v>2248</v>
      </c>
      <c r="T1227" s="8"/>
      <c r="U1227" s="11" t="str">
        <f>HYPERLINK("https://pbs.twimg.com/profile_images/773909130352402432/XKlKwdPG.jpg","View")</f>
        <v>View</v>
      </c>
      <c r="V1227" s="8"/>
      <c r="W1227" s="8"/>
      <c r="X1227" s="8"/>
      <c r="Y1227" s="8"/>
      <c r="Z1227" s="8"/>
    </row>
    <row r="1228" spans="1:26" ht="13.2">
      <c r="A1228" s="13">
        <v>44250.480138888888</v>
      </c>
      <c r="B1228" s="6" t="str">
        <f>HYPERLINK("https://twitter.com/Jadirectivestwt","@Jadirectivestwt")</f>
        <v>@Jadirectivestwt</v>
      </c>
      <c r="C1228" s="14" t="s">
        <v>5404</v>
      </c>
      <c r="D1228" s="14" t="s">
        <v>5405</v>
      </c>
      <c r="E1228" s="6" t="str">
        <f>HYPERLINK("https://twitter.com/Jadirectivestwt/status/1364160927738834949","1364160927738834949")</f>
        <v>1364160927738834949</v>
      </c>
      <c r="F1228" s="7" t="s">
        <v>5406</v>
      </c>
      <c r="G1228" s="8"/>
      <c r="H1228" s="8"/>
      <c r="I1228" s="14">
        <v>0</v>
      </c>
      <c r="J1228" s="14">
        <v>0</v>
      </c>
      <c r="K1228" s="6" t="str">
        <f>HYPERLINK("https://app.socialpilot.co/","SocialPilot.co")</f>
        <v>SocialPilot.co</v>
      </c>
      <c r="L1228" s="15">
        <v>5733</v>
      </c>
      <c r="M1228" s="15">
        <v>5891</v>
      </c>
      <c r="N1228" s="15">
        <v>849</v>
      </c>
      <c r="O1228" s="9"/>
      <c r="P1228" s="10">
        <v>42216.877835648149</v>
      </c>
      <c r="Q1228" s="8"/>
      <c r="R1228" s="14" t="s">
        <v>5407</v>
      </c>
      <c r="S1228" s="7" t="s">
        <v>5408</v>
      </c>
      <c r="T1228" s="8"/>
      <c r="U1228" s="11" t="str">
        <f>HYPERLINK("https://pbs.twimg.com/profile_images/1292933771977617410/Tf1ixrZG.jpg","View")</f>
        <v>View</v>
      </c>
      <c r="V1228" s="8"/>
      <c r="W1228" s="8"/>
      <c r="X1228" s="8"/>
      <c r="Y1228" s="8"/>
      <c r="Z1228" s="8"/>
    </row>
    <row r="1229" spans="1:26" ht="13.2">
      <c r="A1229" s="13">
        <v>44250.480046296296</v>
      </c>
      <c r="B1229" s="6" t="str">
        <f>HYPERLINK("https://twitter.com/OlivierMi5","@OlivierMi5")</f>
        <v>@OlivierMi5</v>
      </c>
      <c r="C1229" s="14" t="s">
        <v>5409</v>
      </c>
      <c r="D1229" s="14" t="s">
        <v>5410</v>
      </c>
      <c r="E1229" s="6" t="str">
        <f>HYPERLINK("https://twitter.com/OlivierMi5/status/1364160892003360769","1364160892003360769")</f>
        <v>1364160892003360769</v>
      </c>
      <c r="F1229" s="14" t="s">
        <v>5411</v>
      </c>
      <c r="G1229" s="8"/>
      <c r="H1229" s="8"/>
      <c r="I1229" s="14">
        <v>0</v>
      </c>
      <c r="J1229" s="14">
        <v>0</v>
      </c>
      <c r="K1229" s="6" t="str">
        <f>HYPERLINK("http://smarp.com","Smarp.")</f>
        <v>Smarp.</v>
      </c>
      <c r="L1229" s="15">
        <v>77</v>
      </c>
      <c r="M1229" s="15">
        <v>126</v>
      </c>
      <c r="N1229" s="15">
        <v>0</v>
      </c>
      <c r="O1229" s="9"/>
      <c r="P1229" s="10">
        <v>41676.779629629629</v>
      </c>
      <c r="Q1229" s="8"/>
      <c r="R1229" s="8"/>
      <c r="S1229" s="8"/>
      <c r="T1229" s="8"/>
      <c r="U1229" s="11" t="str">
        <f>HYPERLINK("https://pbs.twimg.com/profile_images/880717476778135553/EzXlSoIy.jpg","View")</f>
        <v>View</v>
      </c>
      <c r="V1229" s="8"/>
      <c r="W1229" s="8"/>
      <c r="X1229" s="8"/>
      <c r="Y1229" s="8"/>
      <c r="Z1229" s="8"/>
    </row>
    <row r="1230" spans="1:26" ht="13.2">
      <c r="A1230" s="13">
        <v>44250.479895833334</v>
      </c>
      <c r="B1230" s="6" t="str">
        <f>HYPERLINK("https://twitter.com/ipfconline1","@ipfconline1")</f>
        <v>@ipfconline1</v>
      </c>
      <c r="C1230" s="14" t="s">
        <v>65</v>
      </c>
      <c r="D1230" s="14" t="s">
        <v>5412</v>
      </c>
      <c r="E1230" s="6" t="str">
        <f>HYPERLINK("https://twitter.com/ipfconline1/status/1364160837821333504","1364160837821333504")</f>
        <v>1364160837821333504</v>
      </c>
      <c r="F1230" s="7" t="s">
        <v>5413</v>
      </c>
      <c r="G1230" s="7" t="s">
        <v>5414</v>
      </c>
      <c r="H1230" s="8"/>
      <c r="I1230" s="14">
        <v>16</v>
      </c>
      <c r="J1230" s="14">
        <v>19</v>
      </c>
      <c r="K1230" s="6" t="str">
        <f>HYPERLINK("https://twittimer.com","Twittimer")</f>
        <v>Twittimer</v>
      </c>
      <c r="L1230" s="15">
        <v>112675</v>
      </c>
      <c r="M1230" s="15">
        <v>107162</v>
      </c>
      <c r="N1230" s="15">
        <v>7806</v>
      </c>
      <c r="O1230" s="9"/>
      <c r="P1230" s="10">
        <v>42433.031967592593</v>
      </c>
      <c r="Q1230" s="14" t="s">
        <v>69</v>
      </c>
      <c r="R1230" s="14" t="s">
        <v>70</v>
      </c>
      <c r="S1230" s="7" t="s">
        <v>71</v>
      </c>
      <c r="T1230" s="8"/>
      <c r="U1230" s="11" t="str">
        <f>HYPERLINK("https://pbs.twimg.com/profile_images/729065804004769793/St2_Pum9.jpg","View")</f>
        <v>View</v>
      </c>
      <c r="V1230" s="8"/>
      <c r="W1230" s="8"/>
      <c r="X1230" s="8"/>
      <c r="Y1230" s="8"/>
      <c r="Z1230" s="8"/>
    </row>
    <row r="1231" spans="1:26" ht="13.2">
      <c r="A1231" s="13">
        <v>44250.479861111111</v>
      </c>
      <c r="B1231" s="6" t="str">
        <f>HYPERLINK("https://twitter.com/RichardEudes","@RichardEudes")</f>
        <v>@RichardEudes</v>
      </c>
      <c r="C1231" s="14" t="s">
        <v>341</v>
      </c>
      <c r="D1231" s="14" t="s">
        <v>5415</v>
      </c>
      <c r="E1231" s="6" t="str">
        <f>HYPERLINK("https://twitter.com/RichardEudes/status/1364160827775975428","1364160827775975428")</f>
        <v>1364160827775975428</v>
      </c>
      <c r="F1231" s="7" t="s">
        <v>5416</v>
      </c>
      <c r="G1231" s="8"/>
      <c r="H1231" s="8"/>
      <c r="I1231" s="14">
        <v>1</v>
      </c>
      <c r="J1231" s="14">
        <v>0</v>
      </c>
      <c r="K1231" s="6" t="str">
        <f>HYPERLINK("https://buffer.com","Buffer")</f>
        <v>Buffer</v>
      </c>
      <c r="L1231" s="15">
        <v>16960</v>
      </c>
      <c r="M1231" s="15">
        <v>1979</v>
      </c>
      <c r="N1231" s="15">
        <v>668</v>
      </c>
      <c r="O1231" s="9"/>
      <c r="P1231" s="10">
        <v>39985.961481481485</v>
      </c>
      <c r="Q1231" s="14" t="s">
        <v>106</v>
      </c>
      <c r="R1231" s="14" t="s">
        <v>344</v>
      </c>
      <c r="S1231" s="7" t="s">
        <v>345</v>
      </c>
      <c r="T1231" s="8"/>
      <c r="U1231" s="11" t="str">
        <f>HYPERLINK("https://pbs.twimg.com/profile_images/1332753391886491648/I9fBm3kf.jpg","View")</f>
        <v>View</v>
      </c>
      <c r="V1231" s="8"/>
      <c r="W1231" s="8"/>
      <c r="X1231" s="8"/>
      <c r="Y1231" s="8"/>
      <c r="Z1231" s="8"/>
    </row>
    <row r="1232" spans="1:26" ht="13.2">
      <c r="A1232" s="13">
        <v>44250.479780092588</v>
      </c>
      <c r="B1232" s="6" t="str">
        <f>HYPERLINK("https://twitter.com/michaelm_info","@michaelm_info")</f>
        <v>@michaelm_info</v>
      </c>
      <c r="C1232" s="14" t="s">
        <v>5417</v>
      </c>
      <c r="D1232" s="14" t="s">
        <v>2087</v>
      </c>
      <c r="E1232" s="6" t="str">
        <f>HYPERLINK("https://twitter.com/michaelm_info/status/1364160797308575744","1364160797308575744")</f>
        <v>1364160797308575744</v>
      </c>
      <c r="F1232" s="7" t="s">
        <v>5418</v>
      </c>
      <c r="G1232" s="7" t="s">
        <v>5419</v>
      </c>
      <c r="H1232" s="8"/>
      <c r="I1232" s="14">
        <v>0</v>
      </c>
      <c r="J1232" s="14">
        <v>0</v>
      </c>
      <c r="K1232" s="6" t="str">
        <f>HYPERLINK("http://www.everyonesocial.com","EveryoneSocial")</f>
        <v>EveryoneSocial</v>
      </c>
      <c r="L1232" s="15">
        <v>54</v>
      </c>
      <c r="M1232" s="15">
        <v>27</v>
      </c>
      <c r="N1232" s="15">
        <v>2</v>
      </c>
      <c r="O1232" s="9"/>
      <c r="P1232" s="10">
        <v>39927.621076388888</v>
      </c>
      <c r="Q1232" s="14" t="s">
        <v>5420</v>
      </c>
      <c r="R1232" s="14" t="s">
        <v>5421</v>
      </c>
      <c r="S1232" s="8"/>
      <c r="T1232" s="8"/>
      <c r="U1232" s="11" t="str">
        <f>HYPERLINK("https://pbs.twimg.com/profile_images/1499762071/Mike_1311509462806.jpg","View")</f>
        <v>View</v>
      </c>
      <c r="V1232" s="8"/>
      <c r="W1232" s="8"/>
      <c r="X1232" s="8"/>
      <c r="Y1232" s="8"/>
      <c r="Z1232" s="8"/>
    </row>
    <row r="1233" spans="1:26" ht="13.2">
      <c r="A1233" s="13">
        <v>44250.479398148149</v>
      </c>
      <c r="B1233" s="6" t="str">
        <f>HYPERLINK("https://twitter.com/royhachache","@royhachache")</f>
        <v>@royhachache</v>
      </c>
      <c r="C1233" s="14" t="s">
        <v>4674</v>
      </c>
      <c r="D1233" s="14" t="s">
        <v>4675</v>
      </c>
      <c r="E1233" s="6" t="str">
        <f>HYPERLINK("https://twitter.com/royhachache/status/1364160657323659267","1364160657323659267")</f>
        <v>1364160657323659267</v>
      </c>
      <c r="F1233" s="7" t="s">
        <v>4676</v>
      </c>
      <c r="G1233" s="7" t="s">
        <v>5422</v>
      </c>
      <c r="H1233" s="8"/>
      <c r="I1233" s="14">
        <v>0</v>
      </c>
      <c r="J1233" s="14">
        <v>0</v>
      </c>
      <c r="K1233" s="6" t="str">
        <f>HYPERLINK("https://readyforsocial.com/","ReadyForSocial App")</f>
        <v>ReadyForSocial App</v>
      </c>
      <c r="L1233" s="15">
        <v>63</v>
      </c>
      <c r="M1233" s="15">
        <v>11</v>
      </c>
      <c r="N1233" s="15">
        <v>0</v>
      </c>
      <c r="O1233" s="9"/>
      <c r="P1233" s="10">
        <v>40895.908703703702</v>
      </c>
      <c r="Q1233" s="8"/>
      <c r="R1233" s="14" t="s">
        <v>4678</v>
      </c>
      <c r="S1233" s="8"/>
      <c r="T1233" s="8"/>
      <c r="U1233" s="11" t="str">
        <f>HYPERLINK("https://pbs.twimg.com/profile_images/1356211989517914117/LxB-fnh7.jpg","View")</f>
        <v>View</v>
      </c>
      <c r="V1233" s="8"/>
      <c r="W1233" s="8"/>
      <c r="X1233" s="8"/>
      <c r="Y1233" s="8"/>
      <c r="Z1233" s="8"/>
    </row>
    <row r="1234" spans="1:26" ht="13.2">
      <c r="A1234" s="13">
        <v>44250.47923611111</v>
      </c>
      <c r="B1234" s="6" t="str">
        <f>HYPERLINK("https://twitter.com/henry_education","@henry_education")</f>
        <v>@henry_education</v>
      </c>
      <c r="C1234" s="14" t="s">
        <v>5423</v>
      </c>
      <c r="D1234" s="14" t="s">
        <v>5424</v>
      </c>
      <c r="E1234" s="6" t="str">
        <f>HYPERLINK("https://twitter.com/henry_education/status/1364160598385315840","1364160598385315840")</f>
        <v>1364160598385315840</v>
      </c>
      <c r="F1234" s="8"/>
      <c r="G1234" s="7" t="s">
        <v>5425</v>
      </c>
      <c r="H1234" s="8"/>
      <c r="I1234" s="14">
        <v>1</v>
      </c>
      <c r="J1234" s="14">
        <v>1</v>
      </c>
      <c r="K1234" s="6" t="str">
        <f>HYPERLINK("https://buffer.com","Buffer")</f>
        <v>Buffer</v>
      </c>
      <c r="L1234" s="15">
        <v>25</v>
      </c>
      <c r="M1234" s="15">
        <v>3</v>
      </c>
      <c r="N1234" s="15">
        <v>0</v>
      </c>
      <c r="O1234" s="9"/>
      <c r="P1234" s="10">
        <v>43973.601597222223</v>
      </c>
      <c r="Q1234" s="14" t="s">
        <v>5426</v>
      </c>
      <c r="R1234" s="14" t="s">
        <v>5427</v>
      </c>
      <c r="S1234" s="7" t="s">
        <v>5428</v>
      </c>
      <c r="T1234" s="8"/>
      <c r="U1234" s="11" t="str">
        <f>HYPERLINK("https://pbs.twimg.com/profile_images/1264068748710801409/xjp42EEi.jpg","View")</f>
        <v>View</v>
      </c>
      <c r="V1234" s="8"/>
      <c r="W1234" s="8"/>
      <c r="X1234" s="8"/>
      <c r="Y1234" s="8"/>
      <c r="Z1234" s="8"/>
    </row>
    <row r="1235" spans="1:26" ht="13.2">
      <c r="A1235" s="13">
        <v>44250.479166666672</v>
      </c>
      <c r="B1235" s="6" t="str">
        <f>HYPERLINK("https://twitter.com/VisiveAI","@VisiveAI")</f>
        <v>@VisiveAI</v>
      </c>
      <c r="C1235" s="14" t="s">
        <v>1586</v>
      </c>
      <c r="D1235" s="14" t="s">
        <v>5429</v>
      </c>
      <c r="E1235" s="6" t="str">
        <f>HYPERLINK("https://twitter.com/VisiveAI/status/1364160574758789120","1364160574758789120")</f>
        <v>1364160574758789120</v>
      </c>
      <c r="F1235" s="8"/>
      <c r="G1235" s="7" t="s">
        <v>5430</v>
      </c>
      <c r="H1235" s="8"/>
      <c r="I1235" s="14">
        <v>6</v>
      </c>
      <c r="J1235" s="14">
        <v>7</v>
      </c>
      <c r="K1235" s="6" t="str">
        <f>HYPERLINK("https://about.twitter.com/products/tweetdeck","TweetDeck")</f>
        <v>TweetDeck</v>
      </c>
      <c r="L1235" s="15">
        <v>1370</v>
      </c>
      <c r="M1235" s="15">
        <v>722</v>
      </c>
      <c r="N1235" s="15">
        <v>19</v>
      </c>
      <c r="O1235" s="9"/>
      <c r="P1235" s="10">
        <v>44020.318541666667</v>
      </c>
      <c r="Q1235" s="14" t="s">
        <v>914</v>
      </c>
      <c r="R1235" s="14" t="s">
        <v>1589</v>
      </c>
      <c r="S1235" s="7" t="s">
        <v>1590</v>
      </c>
      <c r="T1235" s="8"/>
      <c r="U1235" s="11" t="str">
        <f>HYPERLINK("https://pbs.twimg.com/profile_images/1280742386784546816/yppKuStA.jpg","View")</f>
        <v>View</v>
      </c>
      <c r="V1235" s="8"/>
      <c r="W1235" s="8"/>
      <c r="X1235" s="8"/>
      <c r="Y1235" s="8"/>
      <c r="Z1235" s="8"/>
    </row>
    <row r="1236" spans="1:26" ht="13.2">
      <c r="A1236" s="13">
        <v>44250.479166666672</v>
      </c>
      <c r="B1236" s="6" t="str">
        <f>HYPERLINK("https://twitter.com/audioanalytic","@audioanalytic")</f>
        <v>@audioanalytic</v>
      </c>
      <c r="C1236" s="14" t="s">
        <v>5431</v>
      </c>
      <c r="D1236" s="14" t="s">
        <v>5432</v>
      </c>
      <c r="E1236" s="6" t="str">
        <f>HYPERLINK("https://twitter.com/audioanalytic/status/1364160573232005121","1364160573232005121")</f>
        <v>1364160573232005121</v>
      </c>
      <c r="F1236" s="7" t="s">
        <v>5433</v>
      </c>
      <c r="G1236" s="8"/>
      <c r="H1236" s="8"/>
      <c r="I1236" s="14">
        <v>4</v>
      </c>
      <c r="J1236" s="14">
        <v>0</v>
      </c>
      <c r="K1236" s="6" t="str">
        <f>HYPERLINK("http://www.hubspot.com/","HubSpot")</f>
        <v>HubSpot</v>
      </c>
      <c r="L1236" s="15">
        <v>6192</v>
      </c>
      <c r="M1236" s="15">
        <v>3550</v>
      </c>
      <c r="N1236" s="15">
        <v>201</v>
      </c>
      <c r="O1236" s="9"/>
      <c r="P1236" s="10">
        <v>40706.660879629628</v>
      </c>
      <c r="Q1236" s="14" t="s">
        <v>5434</v>
      </c>
      <c r="R1236" s="14" t="s">
        <v>5435</v>
      </c>
      <c r="S1236" s="7" t="s">
        <v>5436</v>
      </c>
      <c r="T1236" s="8"/>
      <c r="U1236" s="11" t="str">
        <f>HYPERLINK("https://pbs.twimg.com/profile_images/1356993621841559554/0Mr6Rver.jpg","View")</f>
        <v>View</v>
      </c>
      <c r="V1236" s="8"/>
      <c r="W1236" s="8"/>
      <c r="X1236" s="8"/>
      <c r="Y1236" s="8"/>
      <c r="Z1236" s="8"/>
    </row>
    <row r="1237" spans="1:26" ht="13.2">
      <c r="A1237" s="13">
        <v>44250.479027777779</v>
      </c>
      <c r="B1237" s="6" t="str">
        <f>HYPERLINK("https://twitter.com/rasangarocks","@rasangarocks")</f>
        <v>@rasangarocks</v>
      </c>
      <c r="C1237" s="14" t="s">
        <v>5437</v>
      </c>
      <c r="D1237" s="14" t="s">
        <v>5438</v>
      </c>
      <c r="E1237" s="6" t="str">
        <f>HYPERLINK("https://twitter.com/rasangarocks/status/1364160522803847168","1364160522803847168")</f>
        <v>1364160522803847168</v>
      </c>
      <c r="F1237" s="7" t="s">
        <v>5439</v>
      </c>
      <c r="G1237" s="8"/>
      <c r="H1237" s="8"/>
      <c r="I1237" s="14">
        <v>10</v>
      </c>
      <c r="J1237" s="14">
        <v>5</v>
      </c>
      <c r="K1237" s="6" t="str">
        <f t="shared" ref="K1237:K1240" si="204">HYPERLINK("https://mobile.twitter.com","Twitter Web App")</f>
        <v>Twitter Web App</v>
      </c>
      <c r="L1237" s="15">
        <v>50654</v>
      </c>
      <c r="M1237" s="15">
        <v>49987</v>
      </c>
      <c r="N1237" s="15">
        <v>624</v>
      </c>
      <c r="O1237" s="9"/>
      <c r="P1237" s="10">
        <v>42071.75949074074</v>
      </c>
      <c r="Q1237" s="8"/>
      <c r="R1237" s="14" t="s">
        <v>5440</v>
      </c>
      <c r="S1237" s="7" t="s">
        <v>5441</v>
      </c>
      <c r="T1237" s="8"/>
      <c r="U1237" s="11" t="str">
        <f>HYPERLINK("https://pbs.twimg.com/profile_images/771872242300956672/j1H-OInO.jpg","View")</f>
        <v>View</v>
      </c>
      <c r="V1237" s="8"/>
      <c r="W1237" s="8"/>
      <c r="X1237" s="8"/>
      <c r="Y1237" s="8"/>
      <c r="Z1237" s="8"/>
    </row>
    <row r="1238" spans="1:26" ht="13.2">
      <c r="A1238" s="13">
        <v>44250.478506944448</v>
      </c>
      <c r="B1238" s="6" t="str">
        <f>HYPERLINK("https://twitter.com/decide4AI","@decide4AI")</f>
        <v>@decide4AI</v>
      </c>
      <c r="C1238" s="14" t="s">
        <v>5442</v>
      </c>
      <c r="D1238" s="14" t="s">
        <v>5443</v>
      </c>
      <c r="E1238" s="6" t="str">
        <f>HYPERLINK("https://twitter.com/decide4AI/status/1364160334169276418","1364160334169276418")</f>
        <v>1364160334169276418</v>
      </c>
      <c r="F1238" s="7" t="s">
        <v>5444</v>
      </c>
      <c r="G1238" s="8"/>
      <c r="H1238" s="8"/>
      <c r="I1238" s="14">
        <v>2</v>
      </c>
      <c r="J1238" s="14">
        <v>1</v>
      </c>
      <c r="K1238" s="6" t="str">
        <f t="shared" si="204"/>
        <v>Twitter Web App</v>
      </c>
      <c r="L1238" s="15">
        <v>779</v>
      </c>
      <c r="M1238" s="15">
        <v>736</v>
      </c>
      <c r="N1238" s="15">
        <v>56</v>
      </c>
      <c r="O1238" s="9"/>
      <c r="P1238" s="10">
        <v>40472.461261574077</v>
      </c>
      <c r="Q1238" s="14" t="s">
        <v>5445</v>
      </c>
      <c r="R1238" s="14" t="s">
        <v>5446</v>
      </c>
      <c r="S1238" s="7" t="s">
        <v>5447</v>
      </c>
      <c r="T1238" s="8"/>
      <c r="U1238" s="11" t="str">
        <f>HYPERLINK("https://pbs.twimg.com/profile_images/1347173966813790211/ANaxWa2p.jpg","View")</f>
        <v>View</v>
      </c>
      <c r="V1238" s="8"/>
      <c r="W1238" s="8"/>
      <c r="X1238" s="8"/>
      <c r="Y1238" s="8"/>
      <c r="Z1238" s="8"/>
    </row>
    <row r="1239" spans="1:26" ht="13.2">
      <c r="A1239" s="13">
        <v>44250.477962962963</v>
      </c>
      <c r="B1239" s="6" t="str">
        <f>HYPERLINK("https://twitter.com/marketsmarkets","@marketsmarkets")</f>
        <v>@marketsmarkets</v>
      </c>
      <c r="C1239" s="14" t="s">
        <v>5448</v>
      </c>
      <c r="D1239" s="14" t="s">
        <v>5449</v>
      </c>
      <c r="E1239" s="6" t="str">
        <f>HYPERLINK("https://twitter.com/marketsmarkets/status/1364160137628246016","1364160137628246016")</f>
        <v>1364160137628246016</v>
      </c>
      <c r="F1239" s="7" t="s">
        <v>5450</v>
      </c>
      <c r="G1239" s="7" t="s">
        <v>5451</v>
      </c>
      <c r="H1239" s="8"/>
      <c r="I1239" s="14">
        <v>3</v>
      </c>
      <c r="J1239" s="14">
        <v>1</v>
      </c>
      <c r="K1239" s="6" t="str">
        <f t="shared" si="204"/>
        <v>Twitter Web App</v>
      </c>
      <c r="L1239" s="15">
        <v>4772</v>
      </c>
      <c r="M1239" s="15">
        <v>2671</v>
      </c>
      <c r="N1239" s="15">
        <v>211</v>
      </c>
      <c r="O1239" s="9"/>
      <c r="P1239" s="10">
        <v>39920.609710648147</v>
      </c>
      <c r="Q1239" s="14" t="s">
        <v>5452</v>
      </c>
      <c r="R1239" s="14" t="s">
        <v>5453</v>
      </c>
      <c r="S1239" s="7" t="s">
        <v>5454</v>
      </c>
      <c r="T1239" s="8"/>
      <c r="U1239" s="11" t="str">
        <f>HYPERLINK("https://pbs.twimg.com/profile_images/1034042190375215105/-PIzaRmQ.jpg","View")</f>
        <v>View</v>
      </c>
      <c r="V1239" s="8"/>
      <c r="W1239" s="8"/>
      <c r="X1239" s="8"/>
      <c r="Y1239" s="8"/>
      <c r="Z1239" s="8"/>
    </row>
    <row r="1240" spans="1:26" ht="13.2">
      <c r="A1240" s="13">
        <v>44250.477777777778</v>
      </c>
      <c r="B1240" s="6" t="str">
        <f>HYPERLINK("https://twitter.com/KatherineAMunro","@KatherineAMunro")</f>
        <v>@KatherineAMunro</v>
      </c>
      <c r="C1240" s="14" t="s">
        <v>5455</v>
      </c>
      <c r="D1240" s="14" t="s">
        <v>5456</v>
      </c>
      <c r="E1240" s="6" t="str">
        <f>HYPERLINK("https://twitter.com/KatherineAMunro/status/1364160070058209284","1364160070058209284")</f>
        <v>1364160070058209284</v>
      </c>
      <c r="F1240" s="7" t="s">
        <v>5457</v>
      </c>
      <c r="G1240" s="7" t="s">
        <v>5458</v>
      </c>
      <c r="H1240" s="8"/>
      <c r="I1240" s="14">
        <v>3</v>
      </c>
      <c r="J1240" s="14">
        <v>5</v>
      </c>
      <c r="K1240" s="6" t="str">
        <f t="shared" si="204"/>
        <v>Twitter Web App</v>
      </c>
      <c r="L1240" s="15">
        <v>365</v>
      </c>
      <c r="M1240" s="15">
        <v>807</v>
      </c>
      <c r="N1240" s="15">
        <v>8</v>
      </c>
      <c r="O1240" s="9"/>
      <c r="P1240" s="10">
        <v>44014.767384259263</v>
      </c>
      <c r="Q1240" s="14" t="s">
        <v>5459</v>
      </c>
      <c r="R1240" s="14" t="s">
        <v>5460</v>
      </c>
      <c r="S1240" s="7" t="s">
        <v>5461</v>
      </c>
      <c r="T1240" s="8"/>
      <c r="U1240" s="11" t="str">
        <f>HYPERLINK("https://pbs.twimg.com/profile_images/1317402764675252226/0Mz_JiO3.jpg","View")</f>
        <v>View</v>
      </c>
      <c r="V1240" s="8"/>
      <c r="W1240" s="8"/>
      <c r="X1240" s="8"/>
      <c r="Y1240" s="8"/>
      <c r="Z1240" s="8"/>
    </row>
    <row r="1241" spans="1:26" ht="13.2">
      <c r="A1241" s="13">
        <v>44250.477754629625</v>
      </c>
      <c r="B1241" s="6" t="str">
        <f>HYPERLINK("https://twitter.com/theshankaransh","@theshankaransh")</f>
        <v>@theshankaransh</v>
      </c>
      <c r="C1241" s="14" t="s">
        <v>5462</v>
      </c>
      <c r="D1241" s="14" t="s">
        <v>5463</v>
      </c>
      <c r="E1241" s="6" t="str">
        <f>HYPERLINK("https://twitter.com/theshankaransh/status/1364160061442940937","1364160061442940937")</f>
        <v>1364160061442940937</v>
      </c>
      <c r="F1241" s="7" t="s">
        <v>5464</v>
      </c>
      <c r="G1241" s="7" t="s">
        <v>5465</v>
      </c>
      <c r="H1241" s="8"/>
      <c r="I1241" s="14">
        <v>0</v>
      </c>
      <c r="J1241" s="14">
        <v>2</v>
      </c>
      <c r="K1241" s="6" t="str">
        <f>HYPERLINK("http://twitter.com/download/android","Twitter for Android")</f>
        <v>Twitter for Android</v>
      </c>
      <c r="L1241" s="15">
        <v>77</v>
      </c>
      <c r="M1241" s="15">
        <v>438</v>
      </c>
      <c r="N1241" s="15">
        <v>0</v>
      </c>
      <c r="O1241" s="9"/>
      <c r="P1241" s="10">
        <v>43515.489803240736</v>
      </c>
      <c r="Q1241" s="8"/>
      <c r="R1241" s="14" t="s">
        <v>5466</v>
      </c>
      <c r="S1241" s="8"/>
      <c r="T1241" s="8"/>
      <c r="U1241" s="11" t="str">
        <f>HYPERLINK("https://pbs.twimg.com/profile_images/1097809763239247874/bDJLW6sM.jpg","View")</f>
        <v>View</v>
      </c>
      <c r="V1241" s="8"/>
      <c r="W1241" s="8"/>
      <c r="X1241" s="8"/>
      <c r="Y1241" s="8"/>
      <c r="Z1241" s="8"/>
    </row>
    <row r="1242" spans="1:26" ht="13.2">
      <c r="A1242" s="13">
        <v>44250.477372685185</v>
      </c>
      <c r="B1242" s="6" t="str">
        <f>HYPERLINK("https://twitter.com/JourneyHeroTech","@JourneyHeroTech")</f>
        <v>@JourneyHeroTech</v>
      </c>
      <c r="C1242" s="14" t="s">
        <v>1061</v>
      </c>
      <c r="D1242" s="14" t="s">
        <v>5467</v>
      </c>
      <c r="E1242" s="6" t="str">
        <f>HYPERLINK("https://twitter.com/JourneyHeroTech/status/1364159925929320448","1364159925929320448")</f>
        <v>1364159925929320448</v>
      </c>
      <c r="F1242" s="14" t="s">
        <v>5468</v>
      </c>
      <c r="G1242" s="7" t="s">
        <v>5469</v>
      </c>
      <c r="H1242" s="8"/>
      <c r="I1242" s="14">
        <v>13</v>
      </c>
      <c r="J1242" s="14">
        <v>5</v>
      </c>
      <c r="K1242" s="6" t="str">
        <f>HYPERLINK("http://twitter.com/download/iphone","Twitter for iPhone")</f>
        <v>Twitter for iPhone</v>
      </c>
      <c r="L1242" s="15">
        <v>418</v>
      </c>
      <c r="M1242" s="15">
        <v>1469</v>
      </c>
      <c r="N1242" s="15">
        <v>4</v>
      </c>
      <c r="O1242" s="9"/>
      <c r="P1242" s="10">
        <v>43958.737557870365</v>
      </c>
      <c r="Q1242" s="8"/>
      <c r="R1242" s="14" t="s">
        <v>1065</v>
      </c>
      <c r="S1242" s="7" t="s">
        <v>1066</v>
      </c>
      <c r="T1242" s="8"/>
      <c r="U1242" s="11" t="str">
        <f>HYPERLINK("https://pbs.twimg.com/profile_images/1258421949493100544/99J8Ehfn.jpg","View")</f>
        <v>View</v>
      </c>
      <c r="V1242" s="8"/>
      <c r="W1242" s="8"/>
      <c r="X1242" s="8"/>
      <c r="Y1242" s="8"/>
      <c r="Z1242" s="8"/>
    </row>
    <row r="1243" spans="1:26" ht="13.2">
      <c r="A1243" s="13">
        <v>44250.477314814816</v>
      </c>
      <c r="B1243" s="6" t="str">
        <f t="shared" ref="B1243:B1244" si="205">HYPERLINK("https://twitter.com/DS_Analytics","@DS_Analytics")</f>
        <v>@DS_Analytics</v>
      </c>
      <c r="C1243" s="14" t="s">
        <v>2389</v>
      </c>
      <c r="D1243" s="14" t="s">
        <v>5470</v>
      </c>
      <c r="E1243" s="6" t="str">
        <f>HYPERLINK("https://twitter.com/DS_Analytics/status/1364159902223106050","1364159902223106050")</f>
        <v>1364159902223106050</v>
      </c>
      <c r="F1243" s="7" t="s">
        <v>5471</v>
      </c>
      <c r="G1243" s="8"/>
      <c r="H1243" s="8"/>
      <c r="I1243" s="14">
        <v>0</v>
      </c>
      <c r="J1243" s="14">
        <v>1</v>
      </c>
      <c r="K1243" s="6" t="str">
        <f t="shared" ref="K1243:K1244" si="206">HYPERLINK("https://ifttt.com","IFTTT")</f>
        <v>IFTTT</v>
      </c>
      <c r="L1243" s="15">
        <v>4945</v>
      </c>
      <c r="M1243" s="15">
        <v>4504</v>
      </c>
      <c r="N1243" s="15">
        <v>46</v>
      </c>
      <c r="O1243" s="9"/>
      <c r="P1243" s="10">
        <v>43019.662314814814</v>
      </c>
      <c r="Q1243" s="8"/>
      <c r="R1243" s="14" t="s">
        <v>2392</v>
      </c>
      <c r="S1243" s="8"/>
      <c r="T1243" s="8"/>
      <c r="U1243" s="11" t="str">
        <f t="shared" ref="U1243:U1244" si="207">HYPERLINK("https://pbs.twimg.com/profile_images/955817556635504640/FflsX454.jpg","View")</f>
        <v>View</v>
      </c>
      <c r="V1243" s="8"/>
      <c r="W1243" s="8"/>
      <c r="X1243" s="8"/>
      <c r="Y1243" s="8"/>
      <c r="Z1243" s="8"/>
    </row>
    <row r="1244" spans="1:26" ht="13.2">
      <c r="A1244" s="13">
        <v>44250.477303240739</v>
      </c>
      <c r="B1244" s="6" t="str">
        <f t="shared" si="205"/>
        <v>@DS_Analytics</v>
      </c>
      <c r="C1244" s="14" t="s">
        <v>2389</v>
      </c>
      <c r="D1244" s="14" t="s">
        <v>5472</v>
      </c>
      <c r="E1244" s="6" t="str">
        <f>HYPERLINK("https://twitter.com/DS_Analytics/status/1364159897722617857","1364159897722617857")</f>
        <v>1364159897722617857</v>
      </c>
      <c r="F1244" s="7" t="s">
        <v>5473</v>
      </c>
      <c r="G1244" s="8"/>
      <c r="H1244" s="8"/>
      <c r="I1244" s="14">
        <v>0</v>
      </c>
      <c r="J1244" s="14">
        <v>1</v>
      </c>
      <c r="K1244" s="6" t="str">
        <f t="shared" si="206"/>
        <v>IFTTT</v>
      </c>
      <c r="L1244" s="15">
        <v>4945</v>
      </c>
      <c r="M1244" s="15">
        <v>4504</v>
      </c>
      <c r="N1244" s="15">
        <v>46</v>
      </c>
      <c r="O1244" s="9"/>
      <c r="P1244" s="10">
        <v>43019.662314814814</v>
      </c>
      <c r="Q1244" s="8"/>
      <c r="R1244" s="14" t="s">
        <v>2392</v>
      </c>
      <c r="S1244" s="8"/>
      <c r="T1244" s="8"/>
      <c r="U1244" s="11" t="str">
        <f t="shared" si="207"/>
        <v>View</v>
      </c>
      <c r="V1244" s="8"/>
      <c r="W1244" s="8"/>
      <c r="X1244" s="8"/>
      <c r="Y1244" s="8"/>
      <c r="Z1244" s="8"/>
    </row>
    <row r="1245" spans="1:26" ht="13.2">
      <c r="A1245" s="13">
        <v>44250.47719907407</v>
      </c>
      <c r="B1245" s="6" t="str">
        <f>HYPERLINK("https://twitter.com/ground_limo","@ground_limo")</f>
        <v>@ground_limo</v>
      </c>
      <c r="C1245" s="14" t="s">
        <v>5474</v>
      </c>
      <c r="D1245" s="14" t="s">
        <v>5475</v>
      </c>
      <c r="E1245" s="6" t="str">
        <f>HYPERLINK("https://twitter.com/ground_limo/status/1364159859600494595","1364159859600494595")</f>
        <v>1364159859600494595</v>
      </c>
      <c r="F1245" s="7" t="s">
        <v>5476</v>
      </c>
      <c r="G1245" s="7" t="s">
        <v>5477</v>
      </c>
      <c r="H1245" s="8"/>
      <c r="I1245" s="14">
        <v>8</v>
      </c>
      <c r="J1245" s="14">
        <v>5</v>
      </c>
      <c r="K1245" s="6" t="str">
        <f>HYPERLINK("https://mobile.twitter.com","Twitter Web App")</f>
        <v>Twitter Web App</v>
      </c>
      <c r="L1245" s="15">
        <v>450</v>
      </c>
      <c r="M1245" s="15">
        <v>691</v>
      </c>
      <c r="N1245" s="15">
        <v>0</v>
      </c>
      <c r="O1245" s="9"/>
      <c r="P1245" s="10">
        <v>44201.36440972222</v>
      </c>
      <c r="Q1245" s="14" t="s">
        <v>5478</v>
      </c>
      <c r="R1245" s="14" t="s">
        <v>5479</v>
      </c>
      <c r="S1245" s="7" t="s">
        <v>5476</v>
      </c>
      <c r="T1245" s="8"/>
      <c r="U1245" s="11" t="str">
        <f>HYPERLINK("https://pbs.twimg.com/profile_images/1346362028592668672/TJcMfhuZ.jpg","View")</f>
        <v>View</v>
      </c>
      <c r="V1245" s="8"/>
      <c r="W1245" s="8"/>
      <c r="X1245" s="8"/>
      <c r="Y1245" s="8"/>
      <c r="Z1245" s="8"/>
    </row>
    <row r="1246" spans="1:26" ht="13.2">
      <c r="A1246" s="13">
        <v>44250.476979166662</v>
      </c>
      <c r="B1246" s="6" t="str">
        <f>HYPERLINK("https://twitter.com/WriteX12","@WriteX12")</f>
        <v>@WriteX12</v>
      </c>
      <c r="C1246" s="14" t="s">
        <v>5480</v>
      </c>
      <c r="D1246" s="14" t="s">
        <v>5481</v>
      </c>
      <c r="E1246" s="6" t="str">
        <f>HYPERLINK("https://twitter.com/WriteX12/status/1364159783624794112","1364159783624794112")</f>
        <v>1364159783624794112</v>
      </c>
      <c r="F1246" s="7" t="s">
        <v>5482</v>
      </c>
      <c r="G1246" s="8"/>
      <c r="H1246" s="8"/>
      <c r="I1246" s="14">
        <v>1</v>
      </c>
      <c r="J1246" s="14">
        <v>2</v>
      </c>
      <c r="K1246" s="6" t="str">
        <f t="shared" ref="K1246:K1247" si="208">HYPERLINK("http://twitter.com/download/android","Twitter for Android")</f>
        <v>Twitter for Android</v>
      </c>
      <c r="L1246" s="15">
        <v>21</v>
      </c>
      <c r="M1246" s="15">
        <v>178</v>
      </c>
      <c r="N1246" s="15">
        <v>0</v>
      </c>
      <c r="O1246" s="9"/>
      <c r="P1246" s="10">
        <v>44118.455312499995</v>
      </c>
      <c r="Q1246" s="8"/>
      <c r="R1246" s="14" t="s">
        <v>5483</v>
      </c>
      <c r="S1246" s="7" t="s">
        <v>5484</v>
      </c>
      <c r="T1246" s="8"/>
      <c r="U1246" s="11" t="str">
        <f>HYPERLINK("https://pbs.twimg.com/profile_images/1316301767731109888/kmWlNQMs.jpg","View")</f>
        <v>View</v>
      </c>
      <c r="V1246" s="8"/>
      <c r="W1246" s="8"/>
      <c r="X1246" s="8"/>
      <c r="Y1246" s="8"/>
      <c r="Z1246" s="8"/>
    </row>
    <row r="1247" spans="1:26" ht="13.2">
      <c r="A1247" s="13">
        <v>44250.476238425923</v>
      </c>
      <c r="B1247" s="6" t="str">
        <f>HYPERLINK("https://twitter.com/guidaautonoma","@guidaautonoma")</f>
        <v>@guidaautonoma</v>
      </c>
      <c r="C1247" s="14" t="s">
        <v>2203</v>
      </c>
      <c r="D1247" s="14" t="s">
        <v>5485</v>
      </c>
      <c r="E1247" s="6" t="str">
        <f>HYPERLINK("https://twitter.com/guidaautonoma/status/1364159515059499010","1364159515059499010")</f>
        <v>1364159515059499010</v>
      </c>
      <c r="F1247" s="7" t="s">
        <v>5486</v>
      </c>
      <c r="G1247" s="8"/>
      <c r="H1247" s="8"/>
      <c r="I1247" s="14">
        <v>2</v>
      </c>
      <c r="J1247" s="14">
        <v>2</v>
      </c>
      <c r="K1247" s="6" t="str">
        <f t="shared" si="208"/>
        <v>Twitter for Android</v>
      </c>
      <c r="L1247" s="15">
        <v>7074</v>
      </c>
      <c r="M1247" s="15">
        <v>6991</v>
      </c>
      <c r="N1247" s="15">
        <v>411</v>
      </c>
      <c r="O1247" s="9"/>
      <c r="P1247" s="10">
        <v>42496.270833333328</v>
      </c>
      <c r="Q1247" s="14" t="s">
        <v>2207</v>
      </c>
      <c r="R1247" s="14" t="s">
        <v>2208</v>
      </c>
      <c r="S1247" s="7" t="s">
        <v>2209</v>
      </c>
      <c r="T1247" s="8"/>
      <c r="U1247" s="11" t="str">
        <f>HYPERLINK("https://pbs.twimg.com/profile_images/728675456971583488/AVbaFxlK.jpg","View")</f>
        <v>View</v>
      </c>
      <c r="V1247" s="8"/>
      <c r="W1247" s="8"/>
      <c r="X1247" s="8"/>
      <c r="Y1247" s="8"/>
      <c r="Z1247" s="8"/>
    </row>
    <row r="1248" spans="1:26" ht="13.2">
      <c r="A1248" s="13">
        <v>44250.475729166668</v>
      </c>
      <c r="B1248" s="6" t="str">
        <f>HYPERLINK("https://twitter.com/UKRobotics","@UKRobotics")</f>
        <v>@UKRobotics</v>
      </c>
      <c r="C1248" s="14" t="s">
        <v>5487</v>
      </c>
      <c r="D1248" s="14" t="s">
        <v>5488</v>
      </c>
      <c r="E1248" s="6" t="str">
        <f>HYPERLINK("https://twitter.com/UKRobotics/status/1364159326772985856","1364159326772985856")</f>
        <v>1364159326772985856</v>
      </c>
      <c r="F1248" s="7" t="s">
        <v>5489</v>
      </c>
      <c r="G1248" s="8"/>
      <c r="H1248" s="8"/>
      <c r="I1248" s="14">
        <v>0</v>
      </c>
      <c r="J1248" s="14">
        <v>0</v>
      </c>
      <c r="K1248" s="6" t="str">
        <f>HYPERLINK("https://www.hootsuite.com","Hootsuite Inc.")</f>
        <v>Hootsuite Inc.</v>
      </c>
      <c r="L1248" s="15">
        <v>6770</v>
      </c>
      <c r="M1248" s="15">
        <v>5618</v>
      </c>
      <c r="N1248" s="15">
        <v>145</v>
      </c>
      <c r="O1248" s="9"/>
      <c r="P1248" s="10">
        <v>41733.701099537036</v>
      </c>
      <c r="Q1248" s="14" t="s">
        <v>203</v>
      </c>
      <c r="R1248" s="14" t="s">
        <v>5490</v>
      </c>
      <c r="S1248" s="7" t="s">
        <v>5491</v>
      </c>
      <c r="T1248" s="8"/>
      <c r="U1248" s="11" t="str">
        <f>HYPERLINK("https://pbs.twimg.com/profile_images/1356672453695701001/ypPMr24R.jpg","View")</f>
        <v>View</v>
      </c>
      <c r="V1248" s="8"/>
      <c r="W1248" s="8"/>
      <c r="X1248" s="8"/>
      <c r="Y1248" s="8"/>
      <c r="Z1248" s="8"/>
    </row>
    <row r="1249" spans="1:26" ht="13.2">
      <c r="A1249" s="13">
        <v>44250.475590277776</v>
      </c>
      <c r="B1249" s="6" t="str">
        <f>HYPERLINK("https://twitter.com/josejuhala","@josejuhala")</f>
        <v>@josejuhala</v>
      </c>
      <c r="C1249" s="14" t="s">
        <v>5492</v>
      </c>
      <c r="D1249" s="14" t="s">
        <v>2087</v>
      </c>
      <c r="E1249" s="6" t="str">
        <f>HYPERLINK("https://twitter.com/josejuhala/status/1364159279784226817","1364159279784226817")</f>
        <v>1364159279784226817</v>
      </c>
      <c r="F1249" s="7" t="s">
        <v>5493</v>
      </c>
      <c r="G1249" s="7" t="s">
        <v>5494</v>
      </c>
      <c r="H1249" s="8"/>
      <c r="I1249" s="14">
        <v>0</v>
      </c>
      <c r="J1249" s="14">
        <v>1</v>
      </c>
      <c r="K1249" s="6" t="str">
        <f>HYPERLINK("http://www.everyonesocial.com","EveryoneSocial")</f>
        <v>EveryoneSocial</v>
      </c>
      <c r="L1249" s="15">
        <v>109</v>
      </c>
      <c r="M1249" s="15">
        <v>153</v>
      </c>
      <c r="N1249" s="15">
        <v>6</v>
      </c>
      <c r="O1249" s="9"/>
      <c r="P1249" s="10">
        <v>40309.550810185188</v>
      </c>
      <c r="Q1249" s="8"/>
      <c r="R1249" s="14" t="s">
        <v>5495</v>
      </c>
      <c r="S1249" s="8"/>
      <c r="T1249" s="8"/>
      <c r="U1249" s="11" t="str">
        <f>HYPERLINK("https://pbs.twimg.com/profile_images/1321721035713105920/SeFCSg0t.jpg","View")</f>
        <v>View</v>
      </c>
      <c r="V1249" s="8"/>
      <c r="W1249" s="8"/>
      <c r="X1249" s="8"/>
      <c r="Y1249" s="8"/>
      <c r="Z1249" s="8"/>
    </row>
    <row r="1250" spans="1:26" ht="13.2">
      <c r="A1250" s="13">
        <v>44250.475219907406</v>
      </c>
      <c r="B1250" s="6" t="str">
        <f>HYPERLINK("https://twitter.com/LetsTalkB2B","@LetsTalkB2B")</f>
        <v>@LetsTalkB2B</v>
      </c>
      <c r="C1250" s="14" t="s">
        <v>5496</v>
      </c>
      <c r="D1250" s="14" t="s">
        <v>5497</v>
      </c>
      <c r="E1250" s="6" t="str">
        <f>HYPERLINK("https://twitter.com/LetsTalkB2B/status/1364159144370991114","1364159144370991114")</f>
        <v>1364159144370991114</v>
      </c>
      <c r="F1250" s="7" t="s">
        <v>5498</v>
      </c>
      <c r="G1250" s="7" t="s">
        <v>5499</v>
      </c>
      <c r="H1250" s="8"/>
      <c r="I1250" s="14">
        <v>0</v>
      </c>
      <c r="J1250" s="14">
        <v>1</v>
      </c>
      <c r="K1250" s="6" t="str">
        <f>HYPERLINK("https://mobile.twitter.com","Twitter Web App")</f>
        <v>Twitter Web App</v>
      </c>
      <c r="L1250" s="15">
        <v>237</v>
      </c>
      <c r="M1250" s="15">
        <v>2022</v>
      </c>
      <c r="N1250" s="15">
        <v>0</v>
      </c>
      <c r="O1250" s="9"/>
      <c r="P1250" s="10">
        <v>43259.431273148148</v>
      </c>
      <c r="Q1250" s="14" t="s">
        <v>1742</v>
      </c>
      <c r="R1250" s="14" t="s">
        <v>5500</v>
      </c>
      <c r="S1250" s="7" t="s">
        <v>5501</v>
      </c>
      <c r="T1250" s="8"/>
      <c r="U1250" s="11" t="str">
        <f>HYPERLINK("https://pbs.twimg.com/profile_images/1351098185217880065/FC-gU2HN.png","View")</f>
        <v>View</v>
      </c>
      <c r="V1250" s="8"/>
      <c r="W1250" s="8"/>
      <c r="X1250" s="8"/>
      <c r="Y1250" s="8"/>
      <c r="Z1250" s="8"/>
    </row>
    <row r="1251" spans="1:26" ht="13.2">
      <c r="A1251" s="13">
        <v>44250.474259259259</v>
      </c>
      <c r="B1251" s="6" t="str">
        <f>HYPERLINK("https://twitter.com/dopamineharvest","@dopamineharvest")</f>
        <v>@dopamineharvest</v>
      </c>
      <c r="C1251" s="14" t="s">
        <v>1288</v>
      </c>
      <c r="D1251" s="14" t="s">
        <v>5502</v>
      </c>
      <c r="E1251" s="6" t="str">
        <f>HYPERLINK("https://twitter.com/dopamineharvest/status/1364158795539185667","1364158795539185667")</f>
        <v>1364158795539185667</v>
      </c>
      <c r="F1251" s="8"/>
      <c r="G1251" s="7" t="s">
        <v>5503</v>
      </c>
      <c r="H1251" s="8"/>
      <c r="I1251" s="14">
        <v>0</v>
      </c>
      <c r="J1251" s="14">
        <v>9</v>
      </c>
      <c r="K1251" s="6" t="str">
        <f>HYPERLINK("http://pascal.cc/blog/glitches","GlitchDemon")</f>
        <v>GlitchDemon</v>
      </c>
      <c r="L1251" s="15">
        <v>2199</v>
      </c>
      <c r="M1251" s="15">
        <v>269</v>
      </c>
      <c r="N1251" s="15">
        <v>25</v>
      </c>
      <c r="O1251" s="9"/>
      <c r="P1251" s="10">
        <v>43004.538657407407</v>
      </c>
      <c r="Q1251" s="14" t="s">
        <v>1291</v>
      </c>
      <c r="R1251" s="14" t="s">
        <v>1292</v>
      </c>
      <c r="S1251" s="7" t="s">
        <v>1293</v>
      </c>
      <c r="T1251" s="8"/>
      <c r="U1251" s="11" t="str">
        <f>HYPERLINK("https://pbs.twimg.com/profile_images/931549616268627968/t0seYJqQ.jpg","View")</f>
        <v>View</v>
      </c>
      <c r="V1251" s="8"/>
      <c r="W1251" s="8"/>
      <c r="X1251" s="8"/>
      <c r="Y1251" s="8"/>
      <c r="Z1251" s="8"/>
    </row>
    <row r="1252" spans="1:26" ht="13.2">
      <c r="A1252" s="13">
        <v>44250.474247685182</v>
      </c>
      <c r="B1252" s="6" t="str">
        <f t="shared" ref="B1252:B1257" si="209">HYPERLINK("https://twitter.com/into_AI","@into_AI")</f>
        <v>@into_AI</v>
      </c>
      <c r="C1252" s="14" t="s">
        <v>2021</v>
      </c>
      <c r="D1252" s="14" t="s">
        <v>5504</v>
      </c>
      <c r="E1252" s="6" t="str">
        <f>HYPERLINK("https://twitter.com/into_AI/status/1364158793345622016","1364158793345622016")</f>
        <v>1364158793345622016</v>
      </c>
      <c r="F1252" s="7" t="s">
        <v>5505</v>
      </c>
      <c r="G1252" s="8"/>
      <c r="H1252" s="8"/>
      <c r="I1252" s="14">
        <v>0</v>
      </c>
      <c r="J1252" s="14">
        <v>0</v>
      </c>
      <c r="K1252" s="6" t="str">
        <f t="shared" ref="K1252:K1257" si="210">HYPERLINK("http://into.AI","into.AI")</f>
        <v>into.AI</v>
      </c>
      <c r="L1252" s="15">
        <v>19374</v>
      </c>
      <c r="M1252" s="15">
        <v>1707</v>
      </c>
      <c r="N1252" s="15">
        <v>3164</v>
      </c>
      <c r="O1252" s="9"/>
      <c r="P1252" s="10">
        <v>42133.721620370372</v>
      </c>
      <c r="Q1252" s="14" t="s">
        <v>2024</v>
      </c>
      <c r="R1252" s="14" t="s">
        <v>2025</v>
      </c>
      <c r="S1252" s="7" t="s">
        <v>2026</v>
      </c>
      <c r="T1252" s="8"/>
      <c r="U1252" s="11" t="str">
        <f t="shared" ref="U1252:U1257" si="211">HYPERLINK("https://pbs.twimg.com/profile_images/967341160124608512/LM2Y5Q5m.jpg","View")</f>
        <v>View</v>
      </c>
      <c r="V1252" s="8"/>
      <c r="W1252" s="8"/>
      <c r="X1252" s="8"/>
      <c r="Y1252" s="8"/>
      <c r="Z1252" s="8"/>
    </row>
    <row r="1253" spans="1:26" ht="13.2">
      <c r="A1253" s="13">
        <v>44250.474166666667</v>
      </c>
      <c r="B1253" s="6" t="str">
        <f t="shared" si="209"/>
        <v>@into_AI</v>
      </c>
      <c r="C1253" s="14" t="s">
        <v>2021</v>
      </c>
      <c r="D1253" s="14" t="s">
        <v>5506</v>
      </c>
      <c r="E1253" s="6" t="str">
        <f>HYPERLINK("https://twitter.com/into_AI/status/1364158762962059265","1364158762962059265")</f>
        <v>1364158762962059265</v>
      </c>
      <c r="F1253" s="7" t="s">
        <v>5507</v>
      </c>
      <c r="G1253" s="8"/>
      <c r="H1253" s="8"/>
      <c r="I1253" s="14">
        <v>0</v>
      </c>
      <c r="J1253" s="14">
        <v>1</v>
      </c>
      <c r="K1253" s="6" t="str">
        <f t="shared" si="210"/>
        <v>into.AI</v>
      </c>
      <c r="L1253" s="15">
        <v>19374</v>
      </c>
      <c r="M1253" s="15">
        <v>1707</v>
      </c>
      <c r="N1253" s="15">
        <v>3164</v>
      </c>
      <c r="O1253" s="9"/>
      <c r="P1253" s="10">
        <v>42133.721620370372</v>
      </c>
      <c r="Q1253" s="14" t="s">
        <v>2024</v>
      </c>
      <c r="R1253" s="14" t="s">
        <v>2025</v>
      </c>
      <c r="S1253" s="7" t="s">
        <v>2026</v>
      </c>
      <c r="T1253" s="8"/>
      <c r="U1253" s="11" t="str">
        <f t="shared" si="211"/>
        <v>View</v>
      </c>
      <c r="V1253" s="8"/>
      <c r="W1253" s="8"/>
      <c r="X1253" s="8"/>
      <c r="Y1253" s="8"/>
      <c r="Z1253" s="8"/>
    </row>
    <row r="1254" spans="1:26" ht="13.2">
      <c r="A1254" s="13">
        <v>44250.474085648151</v>
      </c>
      <c r="B1254" s="6" t="str">
        <f t="shared" si="209"/>
        <v>@into_AI</v>
      </c>
      <c r="C1254" s="14" t="s">
        <v>2021</v>
      </c>
      <c r="D1254" s="14" t="s">
        <v>5508</v>
      </c>
      <c r="E1254" s="6" t="str">
        <f>HYPERLINK("https://twitter.com/into_AI/status/1364158733190914049","1364158733190914049")</f>
        <v>1364158733190914049</v>
      </c>
      <c r="F1254" s="7" t="s">
        <v>5509</v>
      </c>
      <c r="G1254" s="8"/>
      <c r="H1254" s="8"/>
      <c r="I1254" s="14">
        <v>0</v>
      </c>
      <c r="J1254" s="14">
        <v>1</v>
      </c>
      <c r="K1254" s="6" t="str">
        <f t="shared" si="210"/>
        <v>into.AI</v>
      </c>
      <c r="L1254" s="15">
        <v>19374</v>
      </c>
      <c r="M1254" s="15">
        <v>1707</v>
      </c>
      <c r="N1254" s="15">
        <v>3164</v>
      </c>
      <c r="O1254" s="9"/>
      <c r="P1254" s="10">
        <v>42133.721620370372</v>
      </c>
      <c r="Q1254" s="14" t="s">
        <v>2024</v>
      </c>
      <c r="R1254" s="14" t="s">
        <v>2025</v>
      </c>
      <c r="S1254" s="7" t="s">
        <v>2026</v>
      </c>
      <c r="T1254" s="8"/>
      <c r="U1254" s="11" t="str">
        <f t="shared" si="211"/>
        <v>View</v>
      </c>
      <c r="V1254" s="8"/>
      <c r="W1254" s="8"/>
      <c r="X1254" s="8"/>
      <c r="Y1254" s="8"/>
      <c r="Z1254" s="8"/>
    </row>
    <row r="1255" spans="1:26" ht="13.2">
      <c r="A1255" s="13">
        <v>44250.473993055552</v>
      </c>
      <c r="B1255" s="6" t="str">
        <f t="shared" si="209"/>
        <v>@into_AI</v>
      </c>
      <c r="C1255" s="14" t="s">
        <v>2021</v>
      </c>
      <c r="D1255" s="14" t="s">
        <v>5510</v>
      </c>
      <c r="E1255" s="6" t="str">
        <f>HYPERLINK("https://twitter.com/into_AI/status/1364158698667532293","1364158698667532293")</f>
        <v>1364158698667532293</v>
      </c>
      <c r="F1255" s="7" t="s">
        <v>5511</v>
      </c>
      <c r="G1255" s="8"/>
      <c r="H1255" s="8"/>
      <c r="I1255" s="14">
        <v>0</v>
      </c>
      <c r="J1255" s="14">
        <v>0</v>
      </c>
      <c r="K1255" s="6" t="str">
        <f t="shared" si="210"/>
        <v>into.AI</v>
      </c>
      <c r="L1255" s="15">
        <v>19374</v>
      </c>
      <c r="M1255" s="15">
        <v>1707</v>
      </c>
      <c r="N1255" s="15">
        <v>3164</v>
      </c>
      <c r="O1255" s="9"/>
      <c r="P1255" s="10">
        <v>42133.721620370372</v>
      </c>
      <c r="Q1255" s="14" t="s">
        <v>2024</v>
      </c>
      <c r="R1255" s="14" t="s">
        <v>2025</v>
      </c>
      <c r="S1255" s="7" t="s">
        <v>2026</v>
      </c>
      <c r="T1255" s="8"/>
      <c r="U1255" s="11" t="str">
        <f t="shared" si="211"/>
        <v>View</v>
      </c>
      <c r="V1255" s="8"/>
      <c r="W1255" s="8"/>
      <c r="X1255" s="8"/>
      <c r="Y1255" s="8"/>
      <c r="Z1255" s="8"/>
    </row>
    <row r="1256" spans="1:26" ht="13.2">
      <c r="A1256" s="13">
        <v>44250.47388888889</v>
      </c>
      <c r="B1256" s="6" t="str">
        <f t="shared" si="209"/>
        <v>@into_AI</v>
      </c>
      <c r="C1256" s="14" t="s">
        <v>2021</v>
      </c>
      <c r="D1256" s="14" t="s">
        <v>5512</v>
      </c>
      <c r="E1256" s="6" t="str">
        <f>HYPERLINK("https://twitter.com/into_AI/status/1364158663854858240","1364158663854858240")</f>
        <v>1364158663854858240</v>
      </c>
      <c r="F1256" s="7" t="s">
        <v>5513</v>
      </c>
      <c r="G1256" s="8"/>
      <c r="H1256" s="8"/>
      <c r="I1256" s="14">
        <v>0</v>
      </c>
      <c r="J1256" s="14">
        <v>0</v>
      </c>
      <c r="K1256" s="6" t="str">
        <f t="shared" si="210"/>
        <v>into.AI</v>
      </c>
      <c r="L1256" s="15">
        <v>19374</v>
      </c>
      <c r="M1256" s="15">
        <v>1707</v>
      </c>
      <c r="N1256" s="15">
        <v>3164</v>
      </c>
      <c r="O1256" s="9"/>
      <c r="P1256" s="10">
        <v>42133.721620370372</v>
      </c>
      <c r="Q1256" s="14" t="s">
        <v>2024</v>
      </c>
      <c r="R1256" s="14" t="s">
        <v>2025</v>
      </c>
      <c r="S1256" s="7" t="s">
        <v>2026</v>
      </c>
      <c r="T1256" s="8"/>
      <c r="U1256" s="11" t="str">
        <f t="shared" si="211"/>
        <v>View</v>
      </c>
      <c r="V1256" s="8"/>
      <c r="W1256" s="8"/>
      <c r="X1256" s="8"/>
      <c r="Y1256" s="8"/>
      <c r="Z1256" s="8"/>
    </row>
    <row r="1257" spans="1:26" ht="13.2">
      <c r="A1257" s="13">
        <v>44250.473796296297</v>
      </c>
      <c r="B1257" s="6" t="str">
        <f t="shared" si="209"/>
        <v>@into_AI</v>
      </c>
      <c r="C1257" s="14" t="s">
        <v>2021</v>
      </c>
      <c r="D1257" s="14" t="s">
        <v>5514</v>
      </c>
      <c r="E1257" s="6" t="str">
        <f>HYPERLINK("https://twitter.com/into_AI/status/1364158629419614209","1364158629419614209")</f>
        <v>1364158629419614209</v>
      </c>
      <c r="F1257" s="7" t="s">
        <v>5515</v>
      </c>
      <c r="G1257" s="8"/>
      <c r="H1257" s="8"/>
      <c r="I1257" s="14">
        <v>0</v>
      </c>
      <c r="J1257" s="14">
        <v>1</v>
      </c>
      <c r="K1257" s="6" t="str">
        <f t="shared" si="210"/>
        <v>into.AI</v>
      </c>
      <c r="L1257" s="15">
        <v>19374</v>
      </c>
      <c r="M1257" s="15">
        <v>1707</v>
      </c>
      <c r="N1257" s="15">
        <v>3164</v>
      </c>
      <c r="O1257" s="9"/>
      <c r="P1257" s="10">
        <v>42133.721620370372</v>
      </c>
      <c r="Q1257" s="14" t="s">
        <v>2024</v>
      </c>
      <c r="R1257" s="14" t="s">
        <v>2025</v>
      </c>
      <c r="S1257" s="7" t="s">
        <v>2026</v>
      </c>
      <c r="T1257" s="8"/>
      <c r="U1257" s="11" t="str">
        <f t="shared" si="211"/>
        <v>View</v>
      </c>
      <c r="V1257" s="8"/>
      <c r="W1257" s="8"/>
      <c r="X1257" s="8"/>
      <c r="Y1257" s="8"/>
      <c r="Z1257" s="8"/>
    </row>
    <row r="1258" spans="1:26" ht="13.2">
      <c r="A1258" s="13">
        <v>44250.473622685182</v>
      </c>
      <c r="B1258" s="6" t="str">
        <f>HYPERLINK("https://twitter.com/MicroFocusSec","@MicroFocusSec")</f>
        <v>@MicroFocusSec</v>
      </c>
      <c r="C1258" s="14" t="s">
        <v>5516</v>
      </c>
      <c r="D1258" s="14" t="s">
        <v>5517</v>
      </c>
      <c r="E1258" s="6" t="str">
        <f>HYPERLINK("https://twitter.com/MicroFocusSec/status/1364158563967467522","1364158563967467522")</f>
        <v>1364158563967467522</v>
      </c>
      <c r="F1258" s="7" t="s">
        <v>5518</v>
      </c>
      <c r="G1258" s="7" t="s">
        <v>5519</v>
      </c>
      <c r="H1258" s="8"/>
      <c r="I1258" s="14">
        <v>0</v>
      </c>
      <c r="J1258" s="14">
        <v>0</v>
      </c>
      <c r="K1258" s="6" t="str">
        <f>HYPERLINK("https://prod1.sprinklr.com","Sprinklr Publishing")</f>
        <v>Sprinklr Publishing</v>
      </c>
      <c r="L1258" s="15">
        <v>16556</v>
      </c>
      <c r="M1258" s="15">
        <v>1324</v>
      </c>
      <c r="N1258" s="15">
        <v>617</v>
      </c>
      <c r="O1258" s="9"/>
      <c r="P1258" s="10">
        <v>40772.844918981486</v>
      </c>
      <c r="Q1258" s="14" t="s">
        <v>1815</v>
      </c>
      <c r="R1258" s="14" t="s">
        <v>5520</v>
      </c>
      <c r="S1258" s="7" t="s">
        <v>5521</v>
      </c>
      <c r="T1258" s="8"/>
      <c r="U1258" s="11" t="str">
        <f>HYPERLINK("https://pbs.twimg.com/profile_images/1322653615509495810/I6No6rNf.jpg","View")</f>
        <v>View</v>
      </c>
      <c r="V1258" s="8"/>
      <c r="W1258" s="8"/>
      <c r="X1258" s="8"/>
      <c r="Y1258" s="8"/>
      <c r="Z1258" s="8"/>
    </row>
    <row r="1259" spans="1:26" ht="13.2">
      <c r="A1259" s="13">
        <v>44250.472326388888</v>
      </c>
      <c r="B1259" s="6" t="str">
        <f>HYPERLINK("https://twitter.com/HarbRimah","@HarbRimah")</f>
        <v>@HarbRimah</v>
      </c>
      <c r="C1259" s="14" t="s">
        <v>2837</v>
      </c>
      <c r="D1259" s="14" t="s">
        <v>5522</v>
      </c>
      <c r="E1259" s="6" t="str">
        <f>HYPERLINK("https://twitter.com/HarbRimah/status/1364158096290029573","1364158096290029573")</f>
        <v>1364158096290029573</v>
      </c>
      <c r="F1259" s="7" t="s">
        <v>4029</v>
      </c>
      <c r="G1259" s="8"/>
      <c r="H1259" s="8"/>
      <c r="I1259" s="14">
        <v>43</v>
      </c>
      <c r="J1259" s="14">
        <v>19</v>
      </c>
      <c r="K1259" s="6" t="str">
        <f>HYPERLINK("https://mobile.twitter.com","Twitter Web App")</f>
        <v>Twitter Web App</v>
      </c>
      <c r="L1259" s="15">
        <v>8983</v>
      </c>
      <c r="M1259" s="15">
        <v>4886</v>
      </c>
      <c r="N1259" s="15">
        <v>675</v>
      </c>
      <c r="O1259" s="9"/>
      <c r="P1259" s="10">
        <v>41198.440601851849</v>
      </c>
      <c r="Q1259" s="8"/>
      <c r="R1259" s="14" t="s">
        <v>2838</v>
      </c>
      <c r="S1259" s="8"/>
      <c r="T1259" s="8"/>
      <c r="U1259" s="11" t="str">
        <f>HYPERLINK("https://pbs.twimg.com/profile_images/909317895355863040/ls7cAjxm.jpg","View")</f>
        <v>View</v>
      </c>
      <c r="V1259" s="8"/>
      <c r="W1259" s="8"/>
      <c r="X1259" s="8"/>
      <c r="Y1259" s="8"/>
      <c r="Z1259" s="8"/>
    </row>
    <row r="1260" spans="1:26" ht="13.2">
      <c r="A1260" s="13">
        <v>44250.471006944441</v>
      </c>
      <c r="B1260" s="6" t="str">
        <f>HYPERLINK("https://twitter.com/Actomedia","@Actomedia")</f>
        <v>@Actomedia</v>
      </c>
      <c r="C1260" s="14" t="s">
        <v>5523</v>
      </c>
      <c r="D1260" s="14" t="s">
        <v>5524</v>
      </c>
      <c r="E1260" s="6" t="str">
        <f>HYPERLINK("https://twitter.com/Actomedia/status/1364157617178890240","1364157617178890240")</f>
        <v>1364157617178890240</v>
      </c>
      <c r="F1260" s="7" t="s">
        <v>5525</v>
      </c>
      <c r="G1260" s="8"/>
      <c r="H1260" s="8"/>
      <c r="I1260" s="14">
        <v>4</v>
      </c>
      <c r="J1260" s="14">
        <v>0</v>
      </c>
      <c r="K1260" s="6" t="str">
        <f>HYPERLINK("https://www.postpickr.com","PostPickr")</f>
        <v>PostPickr</v>
      </c>
      <c r="L1260" s="15">
        <v>208</v>
      </c>
      <c r="M1260" s="15">
        <v>313</v>
      </c>
      <c r="N1260" s="15">
        <v>9</v>
      </c>
      <c r="O1260" s="9"/>
      <c r="P1260" s="10">
        <v>41246.705729166664</v>
      </c>
      <c r="Q1260" s="14" t="s">
        <v>5526</v>
      </c>
      <c r="R1260" s="14" t="s">
        <v>5527</v>
      </c>
      <c r="S1260" s="7" t="s">
        <v>5528</v>
      </c>
      <c r="T1260" s="8"/>
      <c r="U1260" s="11" t="str">
        <f>HYPERLINK("https://pbs.twimg.com/profile_images/1205822491417088005/zChqxrFL.jpg","View")</f>
        <v>View</v>
      </c>
      <c r="V1260" s="8"/>
      <c r="W1260" s="8"/>
      <c r="X1260" s="8"/>
      <c r="Y1260" s="8"/>
      <c r="Z1260" s="8"/>
    </row>
    <row r="1261" spans="1:26" ht="13.2">
      <c r="A1261" s="13">
        <v>44250.470995370371</v>
      </c>
      <c r="B1261" s="6" t="str">
        <f>HYPERLINK("https://twitter.com/pierrepinna","@pierrepinna")</f>
        <v>@pierrepinna</v>
      </c>
      <c r="C1261" s="14" t="s">
        <v>5529</v>
      </c>
      <c r="D1261" s="14" t="s">
        <v>5530</v>
      </c>
      <c r="E1261" s="6" t="str">
        <f>HYPERLINK("https://twitter.com/pierrepinna/status/1364157613710200833","1364157613710200833")</f>
        <v>1364157613710200833</v>
      </c>
      <c r="F1261" s="7" t="s">
        <v>5531</v>
      </c>
      <c r="G1261" s="7" t="s">
        <v>5532</v>
      </c>
      <c r="H1261" s="8"/>
      <c r="I1261" s="14">
        <v>22</v>
      </c>
      <c r="J1261" s="14">
        <v>18</v>
      </c>
      <c r="K1261" s="6" t="str">
        <f t="shared" ref="K1261:K1262" si="212">HYPERLINK("http://twitter.com/download/android","Twitter for Android")</f>
        <v>Twitter for Android</v>
      </c>
      <c r="L1261" s="15">
        <v>53153</v>
      </c>
      <c r="M1261" s="15">
        <v>50390</v>
      </c>
      <c r="N1261" s="15">
        <v>3609</v>
      </c>
      <c r="O1261" s="9"/>
      <c r="P1261" s="10">
        <v>41673.717303240745</v>
      </c>
      <c r="Q1261" s="14" t="s">
        <v>69</v>
      </c>
      <c r="R1261" s="14" t="s">
        <v>5533</v>
      </c>
      <c r="S1261" s="7" t="s">
        <v>5534</v>
      </c>
      <c r="T1261" s="8"/>
      <c r="U1261" s="11" t="str">
        <f>HYPERLINK("https://pbs.twimg.com/profile_images/783316835135549440/3s8jGlBb.jpg","View")</f>
        <v>View</v>
      </c>
      <c r="V1261" s="8"/>
      <c r="W1261" s="8"/>
      <c r="X1261" s="8"/>
      <c r="Y1261" s="8"/>
      <c r="Z1261" s="8"/>
    </row>
    <row r="1262" spans="1:26" ht="13.2">
      <c r="A1262" s="13">
        <v>44250.470717592594</v>
      </c>
      <c r="B1262" s="6" t="str">
        <f>HYPERLINK("https://twitter.com/AmeliaS26018837","@AmeliaS26018837")</f>
        <v>@AmeliaS26018837</v>
      </c>
      <c r="C1262" s="14" t="s">
        <v>5535</v>
      </c>
      <c r="D1262" s="14" t="s">
        <v>5536</v>
      </c>
      <c r="E1262" s="6" t="str">
        <f>HYPERLINK("https://twitter.com/AmeliaS26018837/status/1364157513965268995","1364157513965268995")</f>
        <v>1364157513965268995</v>
      </c>
      <c r="F1262" s="7" t="s">
        <v>4419</v>
      </c>
      <c r="G1262" s="8"/>
      <c r="H1262" s="8"/>
      <c r="I1262" s="14">
        <v>1</v>
      </c>
      <c r="J1262" s="14">
        <v>4</v>
      </c>
      <c r="K1262" s="6" t="str">
        <f t="shared" si="212"/>
        <v>Twitter for Android</v>
      </c>
      <c r="L1262" s="15">
        <v>24</v>
      </c>
      <c r="M1262" s="15">
        <v>124</v>
      </c>
      <c r="N1262" s="15">
        <v>0</v>
      </c>
      <c r="O1262" s="9"/>
      <c r="P1262" s="10">
        <v>44196.243113425924</v>
      </c>
      <c r="Q1262" s="14" t="s">
        <v>5537</v>
      </c>
      <c r="R1262" s="14" t="s">
        <v>5538</v>
      </c>
      <c r="S1262" s="8"/>
      <c r="T1262" s="8"/>
      <c r="U1262" s="11" t="str">
        <f>HYPERLINK("https://pbs.twimg.com/profile_images/1346310768329781249/d-czbKE0.jpg","View")</f>
        <v>View</v>
      </c>
      <c r="V1262" s="8"/>
      <c r="W1262" s="8"/>
      <c r="X1262" s="8"/>
      <c r="Y1262" s="8"/>
      <c r="Z1262" s="8"/>
    </row>
    <row r="1263" spans="1:26" ht="13.2">
      <c r="A1263" s="13">
        <v>44250.470590277779</v>
      </c>
      <c r="B1263" s="6" t="str">
        <f>HYPERLINK("https://twitter.com/HarbRimah","@HarbRimah")</f>
        <v>@HarbRimah</v>
      </c>
      <c r="C1263" s="14" t="s">
        <v>2837</v>
      </c>
      <c r="D1263" s="14" t="s">
        <v>5539</v>
      </c>
      <c r="E1263" s="6" t="str">
        <f>HYPERLINK("https://twitter.com/HarbRimah/status/1364157466687242240","1364157466687242240")</f>
        <v>1364157466687242240</v>
      </c>
      <c r="F1263" s="7" t="s">
        <v>5540</v>
      </c>
      <c r="G1263" s="8"/>
      <c r="H1263" s="8"/>
      <c r="I1263" s="14">
        <v>17</v>
      </c>
      <c r="J1263" s="14">
        <v>7</v>
      </c>
      <c r="K1263" s="6" t="str">
        <f>HYPERLINK("https://mobile.twitter.com","Twitter Web App")</f>
        <v>Twitter Web App</v>
      </c>
      <c r="L1263" s="15">
        <v>8983</v>
      </c>
      <c r="M1263" s="15">
        <v>4886</v>
      </c>
      <c r="N1263" s="15">
        <v>675</v>
      </c>
      <c r="O1263" s="9"/>
      <c r="P1263" s="10">
        <v>41198.440601851849</v>
      </c>
      <c r="Q1263" s="8"/>
      <c r="R1263" s="14" t="s">
        <v>2838</v>
      </c>
      <c r="S1263" s="8"/>
      <c r="T1263" s="8"/>
      <c r="U1263" s="11" t="str">
        <f>HYPERLINK("https://pbs.twimg.com/profile_images/909317895355863040/ls7cAjxm.jpg","View")</f>
        <v>View</v>
      </c>
      <c r="V1263" s="8"/>
      <c r="W1263" s="8"/>
      <c r="X1263" s="8"/>
      <c r="Y1263" s="8"/>
      <c r="Z1263" s="8"/>
    </row>
    <row r="1264" spans="1:26" ht="13.2">
      <c r="A1264" s="13">
        <v>44250.470335648148</v>
      </c>
      <c r="B1264" s="6" t="str">
        <f>HYPERLINK("https://twitter.com/GowriShankr_GS","@GowriShankr_GS")</f>
        <v>@GowriShankr_GS</v>
      </c>
      <c r="C1264" s="14" t="s">
        <v>5541</v>
      </c>
      <c r="D1264" s="14" t="s">
        <v>5542</v>
      </c>
      <c r="E1264" s="6" t="str">
        <f>HYPERLINK("https://twitter.com/GowriShankr_GS/status/1364157374886469637","1364157374886469637")</f>
        <v>1364157374886469637</v>
      </c>
      <c r="F1264" s="14" t="s">
        <v>5543</v>
      </c>
      <c r="G1264" s="8"/>
      <c r="H1264" s="8"/>
      <c r="I1264" s="14">
        <v>0</v>
      </c>
      <c r="J1264" s="14">
        <v>0</v>
      </c>
      <c r="K1264" s="6" t="str">
        <f>HYPERLINK("http://twinybots.com","TwinyBots")</f>
        <v>TwinyBots</v>
      </c>
      <c r="L1264" s="15">
        <v>295</v>
      </c>
      <c r="M1264" s="15">
        <v>359</v>
      </c>
      <c r="N1264" s="15">
        <v>12</v>
      </c>
      <c r="O1264" s="9"/>
      <c r="P1264" s="10">
        <v>40489.134305555555</v>
      </c>
      <c r="Q1264" s="14" t="s">
        <v>3826</v>
      </c>
      <c r="R1264" s="14" t="s">
        <v>5544</v>
      </c>
      <c r="S1264" s="7" t="s">
        <v>5545</v>
      </c>
      <c r="T1264" s="8"/>
      <c r="U1264" s="11" t="str">
        <f>HYPERLINK("https://pbs.twimg.com/profile_images/1351087432217858050/TSd6vEJJ.jpg","View")</f>
        <v>View</v>
      </c>
      <c r="V1264" s="8"/>
      <c r="W1264" s="8"/>
      <c r="X1264" s="8"/>
      <c r="Y1264" s="8"/>
      <c r="Z1264" s="8"/>
    </row>
    <row r="1265" spans="1:26" ht="13.2">
      <c r="A1265" s="13">
        <v>44250.470300925925</v>
      </c>
      <c r="B1265" s="6" t="str">
        <f>HYPERLINK("https://twitter.com/sp6hunna","@sp6hunna")</f>
        <v>@sp6hunna</v>
      </c>
      <c r="C1265" s="14" t="s">
        <v>5546</v>
      </c>
      <c r="D1265" s="14" t="s">
        <v>5547</v>
      </c>
      <c r="E1265" s="6" t="str">
        <f>HYPERLINK("https://twitter.com/sp6hunna/status/1364157359803822082","1364157359803822082")</f>
        <v>1364157359803822082</v>
      </c>
      <c r="F1265" s="8"/>
      <c r="G1265" s="7" t="s">
        <v>5548</v>
      </c>
      <c r="H1265" s="8"/>
      <c r="I1265" s="14">
        <v>10</v>
      </c>
      <c r="J1265" s="14">
        <v>3</v>
      </c>
      <c r="K1265" s="6" t="str">
        <f>HYPERLINK("http://twitter.com/download/iphone","Twitter for iPhone")</f>
        <v>Twitter for iPhone</v>
      </c>
      <c r="L1265" s="15">
        <v>3</v>
      </c>
      <c r="M1265" s="15">
        <v>16</v>
      </c>
      <c r="N1265" s="15">
        <v>0</v>
      </c>
      <c r="O1265" s="9"/>
      <c r="P1265" s="10">
        <v>44246.819490740745</v>
      </c>
      <c r="Q1265" s="8"/>
      <c r="R1265" s="14" t="s">
        <v>5549</v>
      </c>
      <c r="S1265" s="8"/>
      <c r="T1265" s="8"/>
      <c r="U1265" s="11" t="str">
        <f>HYPERLINK("https://pbs.twimg.com/profile_images/1362834483934863366/7LrFTrXJ.jpg","View")</f>
        <v>View</v>
      </c>
      <c r="V1265" s="8"/>
      <c r="W1265" s="8"/>
      <c r="X1265" s="8"/>
      <c r="Y1265" s="8"/>
      <c r="Z1265" s="8"/>
    </row>
    <row r="1266" spans="1:26" ht="13.2">
      <c r="A1266" s="13">
        <v>44250.469039351854</v>
      </c>
      <c r="B1266" s="6" t="str">
        <f>HYPERLINK("https://twitter.com/native_stack","@native_stack")</f>
        <v>@native_stack</v>
      </c>
      <c r="C1266" s="14" t="s">
        <v>5364</v>
      </c>
      <c r="D1266" s="14" t="s">
        <v>5550</v>
      </c>
      <c r="E1266" s="6" t="str">
        <f>HYPERLINK("https://twitter.com/native_stack/status/1364156905925451781","1364156905925451781")</f>
        <v>1364156905925451781</v>
      </c>
      <c r="F1266" s="7" t="s">
        <v>5551</v>
      </c>
      <c r="G1266" s="8"/>
      <c r="H1266" s="8"/>
      <c r="I1266" s="14">
        <v>0</v>
      </c>
      <c r="J1266" s="14">
        <v>0</v>
      </c>
      <c r="K1266" s="6" t="str">
        <f>HYPERLINK("https://www.cloudnativestack.io","CloudNativeStack")</f>
        <v>CloudNativeStack</v>
      </c>
      <c r="L1266" s="15">
        <v>118</v>
      </c>
      <c r="M1266" s="15">
        <v>84</v>
      </c>
      <c r="N1266" s="15">
        <v>3</v>
      </c>
      <c r="O1266" s="9"/>
      <c r="P1266" s="10">
        <v>43961.584606481483</v>
      </c>
      <c r="Q1266" s="8"/>
      <c r="R1266" s="14" t="s">
        <v>5367</v>
      </c>
      <c r="S1266" s="8"/>
      <c r="T1266" s="8"/>
      <c r="U1266" s="11" t="str">
        <f>HYPERLINK("https://pbs.twimg.com/profile_images/1363016278596722691/CZnOW4HN.jpg","View")</f>
        <v>View</v>
      </c>
      <c r="V1266" s="8"/>
      <c r="W1266" s="8"/>
      <c r="X1266" s="8"/>
      <c r="Y1266" s="8"/>
      <c r="Z1266" s="8"/>
    </row>
    <row r="1267" spans="1:26" ht="13.2">
      <c r="A1267" s="13">
        <v>44250.469027777777</v>
      </c>
      <c r="B1267" s="6" t="str">
        <f>HYPERLINK("https://twitter.com/cornichecorp","@cornichecorp")</f>
        <v>@cornichecorp</v>
      </c>
      <c r="C1267" s="14" t="s">
        <v>2271</v>
      </c>
      <c r="D1267" s="14" t="s">
        <v>5552</v>
      </c>
      <c r="E1267" s="6" t="str">
        <f>HYPERLINK("https://twitter.com/cornichecorp/status/1364156898317066241","1364156898317066241")</f>
        <v>1364156898317066241</v>
      </c>
      <c r="F1267" s="14" t="s">
        <v>5553</v>
      </c>
      <c r="G1267" s="8"/>
      <c r="H1267" s="8"/>
      <c r="I1267" s="14">
        <v>0</v>
      </c>
      <c r="J1267" s="14">
        <v>0</v>
      </c>
      <c r="K1267" s="6" t="str">
        <f>HYPERLINK("http://twinybots.com","TwinyBots")</f>
        <v>TwinyBots</v>
      </c>
      <c r="L1267" s="15">
        <v>2349</v>
      </c>
      <c r="M1267" s="15">
        <v>2163</v>
      </c>
      <c r="N1267" s="15">
        <v>30</v>
      </c>
      <c r="O1267" s="9"/>
      <c r="P1267" s="10">
        <v>42246.917499999996</v>
      </c>
      <c r="Q1267" s="14" t="s">
        <v>2274</v>
      </c>
      <c r="R1267" s="14" t="s">
        <v>2275</v>
      </c>
      <c r="S1267" s="8"/>
      <c r="T1267" s="8"/>
      <c r="U1267" s="11" t="str">
        <f>HYPERLINK("https://pbs.twimg.com/profile_images/1135863200396775424/vPe8Htor.png","View")</f>
        <v>View</v>
      </c>
      <c r="V1267" s="8"/>
      <c r="W1267" s="8"/>
      <c r="X1267" s="8"/>
      <c r="Y1267" s="8"/>
      <c r="Z1267" s="8"/>
    </row>
    <row r="1268" spans="1:26" ht="13.2">
      <c r="A1268" s="13">
        <v>44250.467534722222</v>
      </c>
      <c r="B1268" s="6" t="str">
        <f>HYPERLINK("https://twitter.com/HarbRimah","@HarbRimah")</f>
        <v>@HarbRimah</v>
      </c>
      <c r="C1268" s="14" t="s">
        <v>2837</v>
      </c>
      <c r="D1268" s="14" t="s">
        <v>5554</v>
      </c>
      <c r="E1268" s="6" t="str">
        <f>HYPERLINK("https://twitter.com/HarbRimah/status/1364156360364089346","1364156360364089346")</f>
        <v>1364156360364089346</v>
      </c>
      <c r="F1268" s="7" t="s">
        <v>302</v>
      </c>
      <c r="G1268" s="8"/>
      <c r="H1268" s="8"/>
      <c r="I1268" s="14">
        <v>24</v>
      </c>
      <c r="J1268" s="14">
        <v>10</v>
      </c>
      <c r="K1268" s="6" t="str">
        <f t="shared" ref="K1268:K1269" si="213">HYPERLINK("https://mobile.twitter.com","Twitter Web App")</f>
        <v>Twitter Web App</v>
      </c>
      <c r="L1268" s="15">
        <v>8983</v>
      </c>
      <c r="M1268" s="15">
        <v>4886</v>
      </c>
      <c r="N1268" s="15">
        <v>675</v>
      </c>
      <c r="O1268" s="9"/>
      <c r="P1268" s="10">
        <v>41198.440601851849</v>
      </c>
      <c r="Q1268" s="8"/>
      <c r="R1268" s="14" t="s">
        <v>2838</v>
      </c>
      <c r="S1268" s="8"/>
      <c r="T1268" s="8"/>
      <c r="U1268" s="11" t="str">
        <f>HYPERLINK("https://pbs.twimg.com/profile_images/909317895355863040/ls7cAjxm.jpg","View")</f>
        <v>View</v>
      </c>
      <c r="V1268" s="8"/>
      <c r="W1268" s="8"/>
      <c r="X1268" s="8"/>
      <c r="Y1268" s="8"/>
      <c r="Z1268" s="8"/>
    </row>
    <row r="1269" spans="1:26" ht="13.2">
      <c r="A1269" s="13">
        <v>44250.467523148152</v>
      </c>
      <c r="B1269" s="6" t="str">
        <f>HYPERLINK("https://twitter.com/salhaj","@salhaj")</f>
        <v>@salhaj</v>
      </c>
      <c r="C1269" s="14" t="s">
        <v>5555</v>
      </c>
      <c r="D1269" s="14" t="s">
        <v>5556</v>
      </c>
      <c r="E1269" s="6" t="str">
        <f>HYPERLINK("https://twitter.com/salhaj/status/1364156355632848896","1364156355632848896")</f>
        <v>1364156355632848896</v>
      </c>
      <c r="F1269" s="7" t="s">
        <v>5557</v>
      </c>
      <c r="G1269" s="8"/>
      <c r="H1269" s="8"/>
      <c r="I1269" s="14">
        <v>4</v>
      </c>
      <c r="J1269" s="14">
        <v>7</v>
      </c>
      <c r="K1269" s="6" t="str">
        <f t="shared" si="213"/>
        <v>Twitter Web App</v>
      </c>
      <c r="L1269" s="15">
        <v>5457</v>
      </c>
      <c r="M1269" s="15">
        <v>6005</v>
      </c>
      <c r="N1269" s="15">
        <v>27</v>
      </c>
      <c r="O1269" s="9"/>
      <c r="P1269" s="10">
        <v>39987.919502314813</v>
      </c>
      <c r="Q1269" s="14" t="s">
        <v>5558</v>
      </c>
      <c r="R1269" s="14" t="s">
        <v>5559</v>
      </c>
      <c r="S1269" s="7" t="s">
        <v>5560</v>
      </c>
      <c r="T1269" s="8"/>
      <c r="U1269" s="11" t="str">
        <f>HYPERLINK("https://pbs.twimg.com/profile_images/1333792545780875265/99muTjiu.jpg","View")</f>
        <v>View</v>
      </c>
      <c r="V1269" s="8"/>
      <c r="W1269" s="8"/>
      <c r="X1269" s="8"/>
      <c r="Y1269" s="8"/>
      <c r="Z1269" s="8"/>
    </row>
    <row r="1270" spans="1:26" ht="13.2">
      <c r="A1270" s="13">
        <v>44250.467453703706</v>
      </c>
      <c r="B1270" s="6" t="str">
        <f>HYPERLINK("https://twitter.com/CNRIAC","@CNRIAC")</f>
        <v>@CNRIAC</v>
      </c>
      <c r="C1270" s="14" t="s">
        <v>3610</v>
      </c>
      <c r="D1270" s="14" t="s">
        <v>5561</v>
      </c>
      <c r="E1270" s="6" t="str">
        <f>HYPERLINK("https://twitter.com/CNRIAC/status/1364156329015795713","1364156329015795713")</f>
        <v>1364156329015795713</v>
      </c>
      <c r="F1270" s="7" t="s">
        <v>5562</v>
      </c>
      <c r="G1270" s="7" t="s">
        <v>5563</v>
      </c>
      <c r="H1270" s="8"/>
      <c r="I1270" s="14">
        <v>1</v>
      </c>
      <c r="J1270" s="14">
        <v>1</v>
      </c>
      <c r="K1270" s="6" t="str">
        <f>HYPERLINK("https://www.canva.com","Canva")</f>
        <v>Canva</v>
      </c>
      <c r="L1270" s="15">
        <v>146</v>
      </c>
      <c r="M1270" s="15">
        <v>221</v>
      </c>
      <c r="N1270" s="15">
        <v>1</v>
      </c>
      <c r="O1270" s="9"/>
      <c r="P1270" s="10">
        <v>44123.418611111112</v>
      </c>
      <c r="Q1270" s="14" t="s">
        <v>3614</v>
      </c>
      <c r="R1270" s="14" t="s">
        <v>3615</v>
      </c>
      <c r="S1270" s="7" t="s">
        <v>3616</v>
      </c>
      <c r="T1270" s="8"/>
      <c r="U1270" s="11" t="str">
        <f>HYPERLINK("https://pbs.twimg.com/profile_images/1318100461724012545/iF-IEgN1.jpg","View")</f>
        <v>View</v>
      </c>
      <c r="V1270" s="8"/>
      <c r="W1270" s="8"/>
      <c r="X1270" s="8"/>
      <c r="Y1270" s="8"/>
      <c r="Z1270" s="8"/>
    </row>
    <row r="1271" spans="1:26" ht="13.2">
      <c r="A1271" s="13">
        <v>44250.466979166667</v>
      </c>
      <c r="B1271" s="6" t="str">
        <f>HYPERLINK("https://twitter.com/botosynthesis","@botosynthesis")</f>
        <v>@botosynthesis</v>
      </c>
      <c r="C1271" s="14" t="s">
        <v>1563</v>
      </c>
      <c r="D1271" s="14" t="s">
        <v>5564</v>
      </c>
      <c r="E1271" s="6" t="str">
        <f>HYPERLINK("https://twitter.com/botosynthesis/status/1364156156680282120","1364156156680282120")</f>
        <v>1364156156680282120</v>
      </c>
      <c r="F1271" s="7" t="s">
        <v>5565</v>
      </c>
      <c r="G1271" s="7" t="s">
        <v>5566</v>
      </c>
      <c r="H1271" s="8"/>
      <c r="I1271" s="14">
        <v>0</v>
      </c>
      <c r="J1271" s="14">
        <v>2</v>
      </c>
      <c r="K1271" s="6" t="str">
        <f>HYPERLINK("https://publer.io","Publer ")</f>
        <v xml:space="preserve">Publer </v>
      </c>
      <c r="L1271" s="15">
        <v>10052</v>
      </c>
      <c r="M1271" s="15">
        <v>9639</v>
      </c>
      <c r="N1271" s="15">
        <v>42</v>
      </c>
      <c r="O1271" s="9"/>
      <c r="P1271" s="10">
        <v>43806.763773148152</v>
      </c>
      <c r="Q1271" s="14" t="s">
        <v>1566</v>
      </c>
      <c r="R1271" s="14" t="s">
        <v>1567</v>
      </c>
      <c r="S1271" s="7" t="s">
        <v>1568</v>
      </c>
      <c r="T1271" s="8"/>
      <c r="U1271" s="11" t="str">
        <f>HYPERLINK("https://pbs.twimg.com/profile_images/1212680524600242176/-88PCrRa.jpg","View")</f>
        <v>View</v>
      </c>
      <c r="V1271" s="8"/>
      <c r="W1271" s="8"/>
      <c r="X1271" s="8"/>
      <c r="Y1271" s="8"/>
      <c r="Z1271" s="8"/>
    </row>
    <row r="1272" spans="1:26" ht="13.2">
      <c r="A1272" s="13">
        <v>44250.466863425929</v>
      </c>
      <c r="B1272" s="6" t="str">
        <f>HYPERLINK("https://twitter.com/HarbRimah","@HarbRimah")</f>
        <v>@HarbRimah</v>
      </c>
      <c r="C1272" s="14" t="s">
        <v>2837</v>
      </c>
      <c r="D1272" s="14" t="s">
        <v>5567</v>
      </c>
      <c r="E1272" s="6" t="str">
        <f>HYPERLINK("https://twitter.com/HarbRimah/status/1364156114225496065","1364156114225496065")</f>
        <v>1364156114225496065</v>
      </c>
      <c r="F1272" s="7" t="s">
        <v>5568</v>
      </c>
      <c r="G1272" s="8"/>
      <c r="H1272" s="8"/>
      <c r="I1272" s="14">
        <v>31</v>
      </c>
      <c r="J1272" s="14">
        <v>11</v>
      </c>
      <c r="K1272" s="6" t="str">
        <f t="shared" ref="K1272:K1275" si="214">HYPERLINK("https://mobile.twitter.com","Twitter Web App")</f>
        <v>Twitter Web App</v>
      </c>
      <c r="L1272" s="15">
        <v>8983</v>
      </c>
      <c r="M1272" s="15">
        <v>4886</v>
      </c>
      <c r="N1272" s="15">
        <v>675</v>
      </c>
      <c r="O1272" s="9"/>
      <c r="P1272" s="10">
        <v>41198.440601851849</v>
      </c>
      <c r="Q1272" s="8"/>
      <c r="R1272" s="14" t="s">
        <v>2838</v>
      </c>
      <c r="S1272" s="8"/>
      <c r="T1272" s="8"/>
      <c r="U1272" s="11" t="str">
        <f>HYPERLINK("https://pbs.twimg.com/profile_images/909317895355863040/ls7cAjxm.jpg","View")</f>
        <v>View</v>
      </c>
      <c r="V1272" s="8"/>
      <c r="W1272" s="8"/>
      <c r="X1272" s="8"/>
      <c r="Y1272" s="8"/>
      <c r="Z1272" s="8"/>
    </row>
    <row r="1273" spans="1:26" ht="13.2">
      <c r="A1273" s="13">
        <v>44250.466099537036</v>
      </c>
      <c r="B1273" s="6" t="str">
        <f>HYPERLINK("https://twitter.com/DivyeshArdeshan","@DivyeshArdeshan")</f>
        <v>@DivyeshArdeshan</v>
      </c>
      <c r="C1273" s="14" t="s">
        <v>5569</v>
      </c>
      <c r="D1273" s="14" t="s">
        <v>5570</v>
      </c>
      <c r="E1273" s="6" t="str">
        <f>HYPERLINK("https://twitter.com/DivyeshArdeshan/status/1364155837791436801","1364155837791436801")</f>
        <v>1364155837791436801</v>
      </c>
      <c r="F1273" s="14" t="s">
        <v>5571</v>
      </c>
      <c r="G1273" s="8"/>
      <c r="H1273" s="8"/>
      <c r="I1273" s="14">
        <v>0</v>
      </c>
      <c r="J1273" s="14">
        <v>0</v>
      </c>
      <c r="K1273" s="6" t="str">
        <f t="shared" si="214"/>
        <v>Twitter Web App</v>
      </c>
      <c r="L1273" s="15">
        <v>978</v>
      </c>
      <c r="M1273" s="15">
        <v>728</v>
      </c>
      <c r="N1273" s="15">
        <v>43</v>
      </c>
      <c r="O1273" s="9"/>
      <c r="P1273" s="10">
        <v>41253.552129629628</v>
      </c>
      <c r="Q1273" s="14" t="s">
        <v>5572</v>
      </c>
      <c r="R1273" s="14" t="s">
        <v>5573</v>
      </c>
      <c r="S1273" s="7" t="s">
        <v>5574</v>
      </c>
      <c r="T1273" s="8"/>
      <c r="U1273" s="11" t="str">
        <f>HYPERLINK("https://pbs.twimg.com/profile_images/1185586762950815745/9t7vwYWb.jpg","View")</f>
        <v>View</v>
      </c>
      <c r="V1273" s="8"/>
      <c r="W1273" s="8"/>
      <c r="X1273" s="8"/>
      <c r="Y1273" s="8"/>
      <c r="Z1273" s="8"/>
    </row>
    <row r="1274" spans="1:26" ht="13.2">
      <c r="A1274" s="13">
        <v>44250.465555555551</v>
      </c>
      <c r="B1274" s="6" t="str">
        <f>HYPERLINK("https://twitter.com/AISciNet","@AISciNet")</f>
        <v>@AISciNet</v>
      </c>
      <c r="C1274" s="14" t="s">
        <v>3646</v>
      </c>
      <c r="D1274" s="14" t="s">
        <v>5575</v>
      </c>
      <c r="E1274" s="6" t="str">
        <f>HYPERLINK("https://twitter.com/AISciNet/status/1364155641707843585","1364155641707843585")</f>
        <v>1364155641707843585</v>
      </c>
      <c r="F1274" s="14" t="s">
        <v>5576</v>
      </c>
      <c r="G1274" s="8"/>
      <c r="H1274" s="8"/>
      <c r="I1274" s="14">
        <v>0</v>
      </c>
      <c r="J1274" s="14">
        <v>0</v>
      </c>
      <c r="K1274" s="6" t="str">
        <f t="shared" si="214"/>
        <v>Twitter Web App</v>
      </c>
      <c r="L1274" s="15">
        <v>573</v>
      </c>
      <c r="M1274" s="15">
        <v>291</v>
      </c>
      <c r="N1274" s="15">
        <v>10</v>
      </c>
      <c r="O1274" s="9"/>
      <c r="P1274" s="10">
        <v>43285.630162037036</v>
      </c>
      <c r="Q1274" s="14" t="s">
        <v>3650</v>
      </c>
      <c r="R1274" s="14" t="s">
        <v>3651</v>
      </c>
      <c r="S1274" s="7" t="s">
        <v>3652</v>
      </c>
      <c r="T1274" s="8"/>
      <c r="U1274" s="11" t="str">
        <f>HYPERLINK("https://pbs.twimg.com/profile_images/1014529603040358401/QSvRJkdk.jpg","View")</f>
        <v>View</v>
      </c>
      <c r="V1274" s="8"/>
      <c r="W1274" s="8"/>
      <c r="X1274" s="8"/>
      <c r="Y1274" s="8"/>
      <c r="Z1274" s="8"/>
    </row>
    <row r="1275" spans="1:26" ht="13.2">
      <c r="A1275" s="13">
        <v>44250.46539351852</v>
      </c>
      <c r="B1275" s="6" t="str">
        <f>HYPERLINK("https://twitter.com/HarbRimah","@HarbRimah")</f>
        <v>@HarbRimah</v>
      </c>
      <c r="C1275" s="14" t="s">
        <v>2837</v>
      </c>
      <c r="D1275" s="14" t="s">
        <v>5577</v>
      </c>
      <c r="E1275" s="6" t="str">
        <f>HYPERLINK("https://twitter.com/HarbRimah/status/1364155584283627523","1364155584283627523")</f>
        <v>1364155584283627523</v>
      </c>
      <c r="F1275" s="7" t="s">
        <v>5578</v>
      </c>
      <c r="G1275" s="8"/>
      <c r="H1275" s="8"/>
      <c r="I1275" s="14">
        <v>26</v>
      </c>
      <c r="J1275" s="14">
        <v>10</v>
      </c>
      <c r="K1275" s="6" t="str">
        <f t="shared" si="214"/>
        <v>Twitter Web App</v>
      </c>
      <c r="L1275" s="15">
        <v>8983</v>
      </c>
      <c r="M1275" s="15">
        <v>4886</v>
      </c>
      <c r="N1275" s="15">
        <v>675</v>
      </c>
      <c r="O1275" s="9"/>
      <c r="P1275" s="10">
        <v>41198.440601851849</v>
      </c>
      <c r="Q1275" s="8"/>
      <c r="R1275" s="14" t="s">
        <v>2838</v>
      </c>
      <c r="S1275" s="8"/>
      <c r="T1275" s="8"/>
      <c r="U1275" s="11" t="str">
        <f>HYPERLINK("https://pbs.twimg.com/profile_images/909317895355863040/ls7cAjxm.jpg","View")</f>
        <v>View</v>
      </c>
      <c r="V1275" s="8"/>
      <c r="W1275" s="8"/>
      <c r="X1275" s="8"/>
      <c r="Y1275" s="8"/>
      <c r="Z1275" s="8"/>
    </row>
    <row r="1276" spans="1:26" ht="13.2">
      <c r="A1276" s="13">
        <v>44250.465300925927</v>
      </c>
      <c r="B1276" s="6" t="str">
        <f>HYPERLINK("https://twitter.com/OliviaS97037757","@OliviaS97037757")</f>
        <v>@OliviaS97037757</v>
      </c>
      <c r="C1276" s="14" t="s">
        <v>5579</v>
      </c>
      <c r="D1276" s="14" t="s">
        <v>5580</v>
      </c>
      <c r="E1276" s="6" t="str">
        <f>HYPERLINK("https://twitter.com/OliviaS97037757/status/1364155549491884036","1364155549491884036")</f>
        <v>1364155549491884036</v>
      </c>
      <c r="F1276" s="7" t="s">
        <v>5581</v>
      </c>
      <c r="G1276" s="8"/>
      <c r="H1276" s="8"/>
      <c r="I1276" s="14">
        <v>2</v>
      </c>
      <c r="J1276" s="14">
        <v>2</v>
      </c>
      <c r="K1276" s="6" t="str">
        <f>HYPERLINK("https://www.hootsuite.com","Hootsuite Inc.")</f>
        <v>Hootsuite Inc.</v>
      </c>
      <c r="L1276" s="15">
        <v>4124</v>
      </c>
      <c r="M1276" s="15">
        <v>4534</v>
      </c>
      <c r="N1276" s="15">
        <v>12</v>
      </c>
      <c r="O1276" s="9"/>
      <c r="P1276" s="10">
        <v>43257.405416666668</v>
      </c>
      <c r="Q1276" s="14" t="s">
        <v>322</v>
      </c>
      <c r="R1276" s="14" t="s">
        <v>5582</v>
      </c>
      <c r="S1276" s="7" t="s">
        <v>5583</v>
      </c>
      <c r="T1276" s="8"/>
      <c r="U1276" s="11" t="str">
        <f>HYPERLINK("https://pbs.twimg.com/profile_images/1004271434426920960/w-GBQLJZ.jpg","View")</f>
        <v>View</v>
      </c>
      <c r="V1276" s="8"/>
      <c r="W1276" s="8"/>
      <c r="X1276" s="8"/>
      <c r="Y1276" s="8"/>
      <c r="Z1276" s="8"/>
    </row>
    <row r="1277" spans="1:26" ht="13.2">
      <c r="A1277" s="13">
        <v>44250.465277777781</v>
      </c>
      <c r="B1277" s="6" t="str">
        <f>HYPERLINK("https://twitter.com/BotPoetsSociety","@BotPoetsSociety")</f>
        <v>@BotPoetsSociety</v>
      </c>
      <c r="C1277" s="14" t="s">
        <v>27</v>
      </c>
      <c r="D1277" s="14" t="s">
        <v>5584</v>
      </c>
      <c r="E1277" s="6" t="str">
        <f>HYPERLINK("https://twitter.com/BotPoetsSociety/status/1364155540302139392","1364155540302139392")</f>
        <v>1364155540302139392</v>
      </c>
      <c r="F1277" s="8"/>
      <c r="G1277" s="7" t="s">
        <v>5585</v>
      </c>
      <c r="H1277" s="8"/>
      <c r="I1277" s="14">
        <v>7</v>
      </c>
      <c r="J1277" s="14">
        <v>2</v>
      </c>
      <c r="K1277" s="6" t="str">
        <f>HYPERLINK("https://mobile.twitter.com","Twitter Web App")</f>
        <v>Twitter Web App</v>
      </c>
      <c r="L1277" s="15">
        <v>28</v>
      </c>
      <c r="M1277" s="15">
        <v>49</v>
      </c>
      <c r="N1277" s="15">
        <v>1</v>
      </c>
      <c r="O1277" s="9"/>
      <c r="P1277" s="10">
        <v>44130.486342592594</v>
      </c>
      <c r="Q1277" s="8"/>
      <c r="R1277" s="14" t="s">
        <v>30</v>
      </c>
      <c r="S1277" s="7" t="s">
        <v>31</v>
      </c>
      <c r="T1277" s="8"/>
      <c r="U1277" s="11" t="str">
        <f>HYPERLINK("https://pbs.twimg.com/profile_images/1320676707683258368/Ne9-DmuD.jpg","View")</f>
        <v>View</v>
      </c>
      <c r="V1277" s="8"/>
      <c r="W1277" s="8"/>
      <c r="X1277" s="8"/>
      <c r="Y1277" s="8"/>
      <c r="Z1277" s="8"/>
    </row>
    <row r="1278" spans="1:26" ht="13.2">
      <c r="A1278" s="13">
        <v>44250.465277777781</v>
      </c>
      <c r="B1278" s="6" t="str">
        <f>HYPERLINK("https://twitter.com/VisageTech","@VisageTech")</f>
        <v>@VisageTech</v>
      </c>
      <c r="C1278" s="14" t="s">
        <v>5586</v>
      </c>
      <c r="D1278" s="14" t="s">
        <v>5587</v>
      </c>
      <c r="E1278" s="6" t="str">
        <f>HYPERLINK("https://twitter.com/VisageTech/status/1364155539983327236","1364155539983327236")</f>
        <v>1364155539983327236</v>
      </c>
      <c r="F1278" s="7" t="s">
        <v>5588</v>
      </c>
      <c r="G1278" s="7" t="s">
        <v>5589</v>
      </c>
      <c r="H1278" s="8"/>
      <c r="I1278" s="14">
        <v>0</v>
      </c>
      <c r="J1278" s="14">
        <v>0</v>
      </c>
      <c r="K1278" s="6" t="str">
        <f>HYPERLINK("https://www.semrush.com/","SEMrush Social Media Tool")</f>
        <v>SEMrush Social Media Tool</v>
      </c>
      <c r="L1278" s="15">
        <v>647</v>
      </c>
      <c r="M1278" s="15">
        <v>705</v>
      </c>
      <c r="N1278" s="15">
        <v>176</v>
      </c>
      <c r="O1278" s="9"/>
      <c r="P1278" s="10">
        <v>42228.581550925926</v>
      </c>
      <c r="Q1278" s="8"/>
      <c r="R1278" s="14" t="s">
        <v>5590</v>
      </c>
      <c r="S1278" s="7" t="s">
        <v>5591</v>
      </c>
      <c r="T1278" s="8"/>
      <c r="U1278" s="11" t="str">
        <f>HYPERLINK("https://pbs.twimg.com/profile_images/1196774854206410752/VomCJXjz.jpg","View")</f>
        <v>View</v>
      </c>
      <c r="V1278" s="8"/>
      <c r="W1278" s="8"/>
      <c r="X1278" s="8"/>
      <c r="Y1278" s="8"/>
      <c r="Z1278" s="8"/>
    </row>
    <row r="1279" spans="1:26" ht="13.2">
      <c r="A1279" s="13">
        <v>44250.464467592596</v>
      </c>
      <c r="B1279" s="6" t="str">
        <f>HYPERLINK("https://twitter.com/Chirpy_Geek","@Chirpy_Geek")</f>
        <v>@Chirpy_Geek</v>
      </c>
      <c r="C1279" s="14" t="s">
        <v>5592</v>
      </c>
      <c r="D1279" s="14" t="s">
        <v>5593</v>
      </c>
      <c r="E1279" s="6" t="str">
        <f>HYPERLINK("https://twitter.com/Chirpy_Geek/status/1364155246012817417","1364155246012817417")</f>
        <v>1364155246012817417</v>
      </c>
      <c r="F1279" s="7" t="s">
        <v>5594</v>
      </c>
      <c r="G1279" s="8"/>
      <c r="H1279" s="8"/>
      <c r="I1279" s="14">
        <v>2</v>
      </c>
      <c r="J1279" s="14">
        <v>3</v>
      </c>
      <c r="K1279" s="6" t="str">
        <f>HYPERLINK("http://dynamicsignal.com/","Dynamic Signal")</f>
        <v>Dynamic Signal</v>
      </c>
      <c r="L1279" s="15">
        <v>322</v>
      </c>
      <c r="M1279" s="15">
        <v>442</v>
      </c>
      <c r="N1279" s="15">
        <v>1</v>
      </c>
      <c r="O1279" s="9"/>
      <c r="P1279" s="10">
        <v>42665.393923611111</v>
      </c>
      <c r="Q1279" s="14" t="s">
        <v>1742</v>
      </c>
      <c r="R1279" s="14" t="s">
        <v>5595</v>
      </c>
      <c r="S1279" s="8"/>
      <c r="T1279" s="8"/>
      <c r="U1279" s="11" t="str">
        <f>HYPERLINK("https://pbs.twimg.com/profile_images/1323811776052355074/h6gMQyMe.jpg","View")</f>
        <v>View</v>
      </c>
      <c r="V1279" s="8"/>
      <c r="W1279" s="8"/>
      <c r="X1279" s="8"/>
      <c r="Y1279" s="8"/>
      <c r="Z1279" s="8"/>
    </row>
    <row r="1280" spans="1:26" ht="13.2">
      <c r="A1280" s="13">
        <v>44250.463993055557</v>
      </c>
      <c r="B1280" s="6" t="str">
        <f>HYPERLINK("https://twitter.com/MarineBonduell1","@MarineBonduell1")</f>
        <v>@MarineBonduell1</v>
      </c>
      <c r="C1280" s="14" t="s">
        <v>733</v>
      </c>
      <c r="D1280" s="14" t="s">
        <v>5596</v>
      </c>
      <c r="E1280" s="6" t="str">
        <f>HYPERLINK("https://twitter.com/MarineBonduell1/status/1364155076869312514","1364155076869312514")</f>
        <v>1364155076869312514</v>
      </c>
      <c r="F1280" s="14" t="s">
        <v>5597</v>
      </c>
      <c r="G1280" s="7" t="s">
        <v>5598</v>
      </c>
      <c r="H1280" s="8"/>
      <c r="I1280" s="14">
        <v>29</v>
      </c>
      <c r="J1280" s="14">
        <v>13</v>
      </c>
      <c r="K1280" s="6" t="str">
        <f>HYPERLINK("https://socxopte.com/","SocxoPte")</f>
        <v>SocxoPte</v>
      </c>
      <c r="L1280" s="15">
        <v>155</v>
      </c>
      <c r="M1280" s="15">
        <v>148</v>
      </c>
      <c r="N1280" s="15">
        <v>3</v>
      </c>
      <c r="O1280" s="9"/>
      <c r="P1280" s="10">
        <v>44029.710879629631</v>
      </c>
      <c r="Q1280" s="8"/>
      <c r="R1280" s="14" t="s">
        <v>737</v>
      </c>
      <c r="S1280" s="8"/>
      <c r="T1280" s="8"/>
      <c r="U1280" s="11" t="str">
        <f>HYPERLINK("https://pbs.twimg.com/profile_images/1284141799905341441/I_BIa5zR.jpg","View")</f>
        <v>View</v>
      </c>
      <c r="V1280" s="8"/>
      <c r="W1280" s="8"/>
      <c r="X1280" s="8"/>
      <c r="Y1280" s="8"/>
      <c r="Z1280" s="8"/>
    </row>
    <row r="1281" spans="1:26" ht="13.2">
      <c r="A1281" s="13">
        <v>44250.463599537034</v>
      </c>
      <c r="B1281" s="6" t="str">
        <f>HYPERLINK("https://twitter.com/sharsha315","@sharsha315")</f>
        <v>@sharsha315</v>
      </c>
      <c r="C1281" s="14" t="s">
        <v>5599</v>
      </c>
      <c r="D1281" s="14" t="s">
        <v>5600</v>
      </c>
      <c r="E1281" s="6" t="str">
        <f>HYPERLINK("https://twitter.com/sharsha315/status/1364154932283244550","1364154932283244550")</f>
        <v>1364154932283244550</v>
      </c>
      <c r="F1281" s="7" t="s">
        <v>5601</v>
      </c>
      <c r="G1281" s="8"/>
      <c r="H1281" s="8"/>
      <c r="I1281" s="14">
        <v>2</v>
      </c>
      <c r="J1281" s="14">
        <v>2</v>
      </c>
      <c r="K1281" s="6" t="str">
        <f t="shared" ref="K1281:K1283" si="215">HYPERLINK("https://mobile.twitter.com","Twitter Web App")</f>
        <v>Twitter Web App</v>
      </c>
      <c r="L1281" s="15">
        <v>46</v>
      </c>
      <c r="M1281" s="15">
        <v>1487</v>
      </c>
      <c r="N1281" s="15">
        <v>0</v>
      </c>
      <c r="O1281" s="9"/>
      <c r="P1281" s="10">
        <v>40877.656643518516</v>
      </c>
      <c r="Q1281" s="14" t="s">
        <v>3176</v>
      </c>
      <c r="R1281" s="8"/>
      <c r="S1281" s="8"/>
      <c r="T1281" s="8"/>
      <c r="U1281" s="15" t="s">
        <v>1879</v>
      </c>
      <c r="V1281" s="8"/>
      <c r="W1281" s="8"/>
      <c r="X1281" s="8"/>
      <c r="Y1281" s="8"/>
      <c r="Z1281" s="8"/>
    </row>
    <row r="1282" spans="1:26" ht="13.2">
      <c r="A1282" s="13">
        <v>44250.463182870371</v>
      </c>
      <c r="B1282" s="6" t="str">
        <f>HYPERLINK("https://twitter.com/kennethzolum2","@kennethzolum2")</f>
        <v>@kennethzolum2</v>
      </c>
      <c r="C1282" s="14" t="s">
        <v>5602</v>
      </c>
      <c r="D1282" s="14" t="s">
        <v>5603</v>
      </c>
      <c r="E1282" s="6" t="str">
        <f>HYPERLINK("https://twitter.com/kennethzolum2/status/1364154784232730624","1364154784232730624")</f>
        <v>1364154784232730624</v>
      </c>
      <c r="F1282" s="8"/>
      <c r="G1282" s="7" t="s">
        <v>5604</v>
      </c>
      <c r="H1282" s="8"/>
      <c r="I1282" s="14">
        <v>2</v>
      </c>
      <c r="J1282" s="14">
        <v>0</v>
      </c>
      <c r="K1282" s="6" t="str">
        <f t="shared" si="215"/>
        <v>Twitter Web App</v>
      </c>
      <c r="L1282" s="15">
        <v>1213</v>
      </c>
      <c r="M1282" s="15">
        <v>5001</v>
      </c>
      <c r="N1282" s="15">
        <v>3</v>
      </c>
      <c r="O1282" s="9"/>
      <c r="P1282" s="10">
        <v>40688.627916666665</v>
      </c>
      <c r="Q1282" s="14" t="s">
        <v>5605</v>
      </c>
      <c r="R1282" s="14" t="s">
        <v>5606</v>
      </c>
      <c r="S1282" s="8"/>
      <c r="T1282" s="8"/>
      <c r="U1282" s="11" t="str">
        <f>HYPERLINK("https://pbs.twimg.com/profile_images/1021530816927752194/HcFhqWnP.jpg","View")</f>
        <v>View</v>
      </c>
      <c r="V1282" s="8"/>
      <c r="W1282" s="8"/>
      <c r="X1282" s="8"/>
      <c r="Y1282" s="8"/>
      <c r="Z1282" s="8"/>
    </row>
    <row r="1283" spans="1:26" ht="13.2">
      <c r="A1283" s="13">
        <v>44250.463171296295</v>
      </c>
      <c r="B1283" s="6" t="str">
        <f>HYPERLINK("https://twitter.com/alvascience","@alvascience")</f>
        <v>@alvascience</v>
      </c>
      <c r="C1283" s="14" t="s">
        <v>5607</v>
      </c>
      <c r="D1283" s="14" t="s">
        <v>5608</v>
      </c>
      <c r="E1283" s="6" t="str">
        <f>HYPERLINK("https://twitter.com/alvascience/status/1364154778570342400","1364154778570342400")</f>
        <v>1364154778570342400</v>
      </c>
      <c r="F1283" s="7" t="s">
        <v>5609</v>
      </c>
      <c r="G1283" s="8"/>
      <c r="H1283" s="8"/>
      <c r="I1283" s="14">
        <v>1</v>
      </c>
      <c r="J1283" s="14">
        <v>2</v>
      </c>
      <c r="K1283" s="6" t="str">
        <f t="shared" si="215"/>
        <v>Twitter Web App</v>
      </c>
      <c r="L1283" s="15">
        <v>98</v>
      </c>
      <c r="M1283" s="15">
        <v>285</v>
      </c>
      <c r="N1283" s="15">
        <v>1</v>
      </c>
      <c r="O1283" s="9"/>
      <c r="P1283" s="10">
        <v>43502.717407407406</v>
      </c>
      <c r="Q1283" s="8"/>
      <c r="R1283" s="14" t="s">
        <v>5610</v>
      </c>
      <c r="S1283" s="7" t="s">
        <v>5611</v>
      </c>
      <c r="T1283" s="8"/>
      <c r="U1283" s="11" t="str">
        <f>HYPERLINK("https://pbs.twimg.com/profile_images/1093181072240726016/dvuK-1Vr.jpg","View")</f>
        <v>View</v>
      </c>
      <c r="V1283" s="8"/>
      <c r="W1283" s="8"/>
      <c r="X1283" s="8"/>
      <c r="Y1283" s="8"/>
      <c r="Z1283" s="8"/>
    </row>
    <row r="1284" spans="1:26" ht="13.2">
      <c r="A1284" s="13">
        <v>44250.462835648148</v>
      </c>
      <c r="B1284" s="6" t="str">
        <f>HYPERLINK("https://twitter.com/ACTICO_de","@ACTICO_de")</f>
        <v>@ACTICO_de</v>
      </c>
      <c r="C1284" s="14" t="s">
        <v>5612</v>
      </c>
      <c r="D1284" s="14" t="s">
        <v>5613</v>
      </c>
      <c r="E1284" s="6" t="str">
        <f>HYPERLINK("https://twitter.com/ACTICO_de/status/1364154657640226817","1364154657640226817")</f>
        <v>1364154657640226817</v>
      </c>
      <c r="F1284" s="7" t="s">
        <v>5614</v>
      </c>
      <c r="G1284" s="8"/>
      <c r="H1284" s="8"/>
      <c r="I1284" s="14">
        <v>0</v>
      </c>
      <c r="J1284" s="14">
        <v>0</v>
      </c>
      <c r="K1284" s="6" t="str">
        <f>HYPERLINK("http://www.hubspot.com/","HubSpot")</f>
        <v>HubSpot</v>
      </c>
      <c r="L1284" s="15">
        <v>115</v>
      </c>
      <c r="M1284" s="15">
        <v>68</v>
      </c>
      <c r="N1284" s="15">
        <v>3</v>
      </c>
      <c r="O1284" s="9"/>
      <c r="P1284" s="10">
        <v>42328.567025462966</v>
      </c>
      <c r="Q1284" s="14" t="s">
        <v>5615</v>
      </c>
      <c r="R1284" s="14" t="s">
        <v>5616</v>
      </c>
      <c r="S1284" s="7" t="s">
        <v>5617</v>
      </c>
      <c r="T1284" s="8"/>
      <c r="U1284" s="11" t="str">
        <f>HYPERLINK("https://pbs.twimg.com/profile_images/687213907195359232/P_qEBRKE.png","View")</f>
        <v>View</v>
      </c>
      <c r="V1284" s="8"/>
      <c r="W1284" s="8"/>
      <c r="X1284" s="8"/>
      <c r="Y1284" s="8"/>
      <c r="Z1284" s="8"/>
    </row>
    <row r="1285" spans="1:26" ht="13.2">
      <c r="A1285" s="13">
        <v>44250.462280092594</v>
      </c>
      <c r="B1285" s="6" t="str">
        <f>HYPERLINK("https://twitter.com/automeme","@automeme")</f>
        <v>@automeme</v>
      </c>
      <c r="C1285" s="14" t="s">
        <v>5618</v>
      </c>
      <c r="D1285" s="14" t="s">
        <v>4830</v>
      </c>
      <c r="E1285" s="6" t="str">
        <f>HYPERLINK("https://twitter.com/automeme/status/1364154456204484608","1364154456204484608")</f>
        <v>1364154456204484608</v>
      </c>
      <c r="F1285" s="7" t="s">
        <v>4831</v>
      </c>
      <c r="G1285" s="8"/>
      <c r="H1285" s="8"/>
      <c r="I1285" s="14">
        <v>11</v>
      </c>
      <c r="J1285" s="14">
        <v>6</v>
      </c>
      <c r="K1285" s="6" t="str">
        <f t="shared" ref="K1285:K1286" si="216">HYPERLINK("https://mobile.twitter.com","Twitter Web App")</f>
        <v>Twitter Web App</v>
      </c>
      <c r="L1285" s="15">
        <v>8583</v>
      </c>
      <c r="M1285" s="15">
        <v>1301</v>
      </c>
      <c r="N1285" s="15">
        <v>150</v>
      </c>
      <c r="O1285" s="9"/>
      <c r="P1285" s="10">
        <v>43300.587627314817</v>
      </c>
      <c r="Q1285" s="14" t="s">
        <v>914</v>
      </c>
      <c r="R1285" s="14" t="s">
        <v>5619</v>
      </c>
      <c r="S1285" s="7" t="s">
        <v>5620</v>
      </c>
      <c r="T1285" s="8"/>
      <c r="U1285" s="11" t="str">
        <f>HYPERLINK("https://pbs.twimg.com/profile_images/1083681521876287488/62YGTQqT.jpg","View")</f>
        <v>View</v>
      </c>
      <c r="V1285" s="8"/>
      <c r="W1285" s="8"/>
      <c r="X1285" s="8"/>
      <c r="Y1285" s="8"/>
      <c r="Z1285" s="8"/>
    </row>
    <row r="1286" spans="1:26" ht="13.2">
      <c r="A1286" s="13">
        <v>44250.462118055555</v>
      </c>
      <c r="B1286" s="6" t="str">
        <f>HYPERLINK("https://twitter.com/HarbRimah","@HarbRimah")</f>
        <v>@HarbRimah</v>
      </c>
      <c r="C1286" s="14" t="s">
        <v>2837</v>
      </c>
      <c r="D1286" s="14" t="s">
        <v>5621</v>
      </c>
      <c r="E1286" s="6" t="str">
        <f>HYPERLINK("https://twitter.com/HarbRimah/status/1364154395454234628","1364154395454234628")</f>
        <v>1364154395454234628</v>
      </c>
      <c r="F1286" s="7" t="s">
        <v>5622</v>
      </c>
      <c r="G1286" s="8"/>
      <c r="H1286" s="8"/>
      <c r="I1286" s="14">
        <v>24</v>
      </c>
      <c r="J1286" s="14">
        <v>14</v>
      </c>
      <c r="K1286" s="6" t="str">
        <f t="shared" si="216"/>
        <v>Twitter Web App</v>
      </c>
      <c r="L1286" s="15">
        <v>8983</v>
      </c>
      <c r="M1286" s="15">
        <v>4886</v>
      </c>
      <c r="N1286" s="15">
        <v>675</v>
      </c>
      <c r="O1286" s="9"/>
      <c r="P1286" s="10">
        <v>41198.440601851849</v>
      </c>
      <c r="Q1286" s="8"/>
      <c r="R1286" s="14" t="s">
        <v>2838</v>
      </c>
      <c r="S1286" s="8"/>
      <c r="T1286" s="8"/>
      <c r="U1286" s="11" t="str">
        <f>HYPERLINK("https://pbs.twimg.com/profile_images/909317895355863040/ls7cAjxm.jpg","View")</f>
        <v>View</v>
      </c>
      <c r="V1286" s="8"/>
      <c r="W1286" s="8"/>
      <c r="X1286" s="8"/>
      <c r="Y1286" s="8"/>
      <c r="Z1286" s="8"/>
    </row>
    <row r="1287" spans="1:26" ht="13.2">
      <c r="A1287" s="13">
        <v>44250.461875000001</v>
      </c>
      <c r="B1287" s="6" t="str">
        <f>HYPERLINK("https://twitter.com/singhavneets","@singhavneets")</f>
        <v>@singhavneets</v>
      </c>
      <c r="C1287" s="14" t="s">
        <v>5623</v>
      </c>
      <c r="D1287" s="14" t="s">
        <v>5624</v>
      </c>
      <c r="E1287" s="6" t="str">
        <f>HYPERLINK("https://twitter.com/singhavneets/status/1364154306631397377","1364154306631397377")</f>
        <v>1364154306631397377</v>
      </c>
      <c r="F1287" s="7" t="s">
        <v>5625</v>
      </c>
      <c r="G1287" s="8"/>
      <c r="H1287" s="8"/>
      <c r="I1287" s="14">
        <v>1</v>
      </c>
      <c r="J1287" s="14">
        <v>0</v>
      </c>
      <c r="K1287" s="6" t="str">
        <f>HYPERLINK("http://dynamicsignal.com/","Dynamic Signal")</f>
        <v>Dynamic Signal</v>
      </c>
      <c r="L1287" s="15">
        <v>185</v>
      </c>
      <c r="M1287" s="15">
        <v>348</v>
      </c>
      <c r="N1287" s="15">
        <v>3</v>
      </c>
      <c r="O1287" s="9"/>
      <c r="P1287" s="10">
        <v>40321.246423611112</v>
      </c>
      <c r="Q1287" s="14" t="s">
        <v>1742</v>
      </c>
      <c r="R1287" s="14" t="s">
        <v>5626</v>
      </c>
      <c r="S1287" s="8"/>
      <c r="T1287" s="8"/>
      <c r="U1287" s="11" t="str">
        <f>HYPERLINK("https://pbs.twimg.com/profile_images/817735243926884352/AFF7YslL.jpg","View")</f>
        <v>View</v>
      </c>
      <c r="V1287" s="8"/>
      <c r="W1287" s="8"/>
      <c r="X1287" s="8"/>
      <c r="Y1287" s="8"/>
      <c r="Z1287" s="8"/>
    </row>
    <row r="1288" spans="1:26" ht="13.2">
      <c r="A1288" s="13">
        <v>44250.461851851855</v>
      </c>
      <c r="B1288" s="6" t="str">
        <f>HYPERLINK("https://twitter.com/ipfconline1","@ipfconline1")</f>
        <v>@ipfconline1</v>
      </c>
      <c r="C1288" s="14" t="s">
        <v>65</v>
      </c>
      <c r="D1288" s="14" t="s">
        <v>5627</v>
      </c>
      <c r="E1288" s="6" t="str">
        <f>HYPERLINK("https://twitter.com/ipfconline1/status/1364154300176470022","1364154300176470022")</f>
        <v>1364154300176470022</v>
      </c>
      <c r="F1288" s="7" t="s">
        <v>5628</v>
      </c>
      <c r="G1288" s="7" t="s">
        <v>5629</v>
      </c>
      <c r="H1288" s="8"/>
      <c r="I1288" s="14">
        <v>11</v>
      </c>
      <c r="J1288" s="14">
        <v>10</v>
      </c>
      <c r="K1288" s="6" t="str">
        <f>HYPERLINK("https://twittimer.com","Twittimer")</f>
        <v>Twittimer</v>
      </c>
      <c r="L1288" s="15">
        <v>112675</v>
      </c>
      <c r="M1288" s="15">
        <v>107162</v>
      </c>
      <c r="N1288" s="15">
        <v>7806</v>
      </c>
      <c r="O1288" s="9"/>
      <c r="P1288" s="10">
        <v>42433.031967592593</v>
      </c>
      <c r="Q1288" s="14" t="s">
        <v>69</v>
      </c>
      <c r="R1288" s="14" t="s">
        <v>70</v>
      </c>
      <c r="S1288" s="7" t="s">
        <v>71</v>
      </c>
      <c r="T1288" s="8"/>
      <c r="U1288" s="11" t="str">
        <f>HYPERLINK("https://pbs.twimg.com/profile_images/729065804004769793/St2_Pum9.jpg","View")</f>
        <v>View</v>
      </c>
      <c r="V1288" s="8"/>
      <c r="W1288" s="8"/>
      <c r="X1288" s="8"/>
      <c r="Y1288" s="8"/>
      <c r="Z1288" s="8"/>
    </row>
    <row r="1289" spans="1:26" ht="13.2">
      <c r="A1289" s="13">
        <v>44250.461747685185</v>
      </c>
      <c r="B1289" s="6" t="str">
        <f>HYPERLINK("https://twitter.com/UK_CIF","@UK_CIF")</f>
        <v>@UK_CIF</v>
      </c>
      <c r="C1289" s="14" t="s">
        <v>5630</v>
      </c>
      <c r="D1289" s="14" t="s">
        <v>5631</v>
      </c>
      <c r="E1289" s="6" t="str">
        <f>HYPERLINK("https://twitter.com/UK_CIF/status/1364154261144285186","1364154261144285186")</f>
        <v>1364154261144285186</v>
      </c>
      <c r="F1289" s="7" t="s">
        <v>5632</v>
      </c>
      <c r="G1289" s="8"/>
      <c r="H1289" s="8"/>
      <c r="I1289" s="14">
        <v>1</v>
      </c>
      <c r="J1289" s="14">
        <v>1</v>
      </c>
      <c r="K1289" s="6" t="str">
        <f>HYPERLINK("https://paper.li","Paper.li")</f>
        <v>Paper.li</v>
      </c>
      <c r="L1289" s="15">
        <v>3795</v>
      </c>
      <c r="M1289" s="15">
        <v>1917</v>
      </c>
      <c r="N1289" s="15">
        <v>180</v>
      </c>
      <c r="O1289" s="9"/>
      <c r="P1289" s="10">
        <v>40681.477650462963</v>
      </c>
      <c r="Q1289" s="14" t="s">
        <v>5633</v>
      </c>
      <c r="R1289" s="14" t="s">
        <v>5634</v>
      </c>
      <c r="S1289" s="7" t="s">
        <v>5635</v>
      </c>
      <c r="T1289" s="8"/>
      <c r="U1289" s="11" t="str">
        <f>HYPERLINK("https://pbs.twimg.com/profile_images/3323613136/2314a9e73697d6aebfae7fca00a9325a.jpeg","View")</f>
        <v>View</v>
      </c>
      <c r="V1289" s="8"/>
      <c r="W1289" s="8"/>
      <c r="X1289" s="8"/>
      <c r="Y1289" s="8"/>
      <c r="Z1289" s="8"/>
    </row>
    <row r="1290" spans="1:26" ht="13.2">
      <c r="A1290" s="13">
        <v>44250.461180555554</v>
      </c>
      <c r="B1290" s="6" t="str">
        <f>HYPERLINK("https://twitter.com/CodingPers_Bot","@CodingPers_Bot")</f>
        <v>@CodingPers_Bot</v>
      </c>
      <c r="C1290" s="14" t="s">
        <v>1899</v>
      </c>
      <c r="D1290" s="14" t="s">
        <v>5636</v>
      </c>
      <c r="E1290" s="6" t="str">
        <f>HYPERLINK("https://twitter.com/CodingPers_Bot/status/1364154055103287296","1364154055103287296")</f>
        <v>1364154055103287296</v>
      </c>
      <c r="F1290" s="7" t="s">
        <v>5637</v>
      </c>
      <c r="G1290" s="8"/>
      <c r="H1290" s="8"/>
      <c r="I1290" s="14">
        <v>2</v>
      </c>
      <c r="J1290" s="14">
        <v>0</v>
      </c>
      <c r="K1290" s="8"/>
      <c r="L1290" s="15">
        <v>7</v>
      </c>
      <c r="M1290" s="15">
        <v>1</v>
      </c>
      <c r="N1290" s="15">
        <v>0</v>
      </c>
      <c r="O1290" s="9"/>
      <c r="P1290" s="10">
        <v>44209.357442129629</v>
      </c>
      <c r="Q1290" s="8"/>
      <c r="R1290" s="14" t="s">
        <v>1902</v>
      </c>
      <c r="S1290" s="7" t="s">
        <v>1903</v>
      </c>
      <c r="T1290" s="8"/>
      <c r="U1290" s="11" t="str">
        <f>HYPERLINK("https://pbs.twimg.com/profile_images/1354492057025449990/GKDFizO-.jpg","View")</f>
        <v>View</v>
      </c>
      <c r="V1290" s="8"/>
      <c r="W1290" s="8"/>
      <c r="X1290" s="8"/>
      <c r="Y1290" s="8"/>
      <c r="Z1290" s="8"/>
    </row>
    <row r="1291" spans="1:26" ht="13.2">
      <c r="A1291" s="13">
        <v>44250.461134259254</v>
      </c>
      <c r="B1291" s="6" t="str">
        <f>HYPERLINK("https://twitter.com/FrankVullers","@FrankVullers")</f>
        <v>@FrankVullers</v>
      </c>
      <c r="C1291" s="14" t="s">
        <v>5113</v>
      </c>
      <c r="D1291" s="14" t="s">
        <v>5638</v>
      </c>
      <c r="E1291" s="6" t="str">
        <f>HYPERLINK("https://twitter.com/FrankVullers/status/1364154037919117313","1364154037919117313")</f>
        <v>1364154037919117313</v>
      </c>
      <c r="F1291" s="7" t="s">
        <v>5639</v>
      </c>
      <c r="G1291" s="7" t="s">
        <v>5640</v>
      </c>
      <c r="H1291" s="8"/>
      <c r="I1291" s="14">
        <v>0</v>
      </c>
      <c r="J1291" s="14">
        <v>0</v>
      </c>
      <c r="K1291" s="6" t="str">
        <f>HYPERLINK("http://dynamicsignal.com/","Dynamic Signal")</f>
        <v>Dynamic Signal</v>
      </c>
      <c r="L1291" s="15">
        <v>249</v>
      </c>
      <c r="M1291" s="15">
        <v>302</v>
      </c>
      <c r="N1291" s="15">
        <v>36</v>
      </c>
      <c r="O1291" s="9"/>
      <c r="P1291" s="10">
        <v>39994.911886574075</v>
      </c>
      <c r="Q1291" s="12" t="s">
        <v>5116</v>
      </c>
      <c r="R1291" s="14" t="s">
        <v>5117</v>
      </c>
      <c r="S1291" s="7" t="s">
        <v>5118</v>
      </c>
      <c r="T1291" s="8"/>
      <c r="U1291" s="11" t="str">
        <f>HYPERLINK("https://pbs.twimg.com/profile_images/758566700384223232/8MhgwQYM.jpg","View")</f>
        <v>View</v>
      </c>
      <c r="V1291" s="8"/>
      <c r="W1291" s="8"/>
      <c r="X1291" s="8"/>
      <c r="Y1291" s="8"/>
      <c r="Z1291" s="8"/>
    </row>
    <row r="1292" spans="1:26" ht="13.2">
      <c r="A1292" s="13">
        <v>44250.460740740746</v>
      </c>
      <c r="B1292" s="6" t="str">
        <f>HYPERLINK("https://twitter.com/corizance","@corizance")</f>
        <v>@corizance</v>
      </c>
      <c r="C1292" s="14" t="s">
        <v>2550</v>
      </c>
      <c r="D1292" s="14" t="s">
        <v>5542</v>
      </c>
      <c r="E1292" s="6" t="str">
        <f>HYPERLINK("https://twitter.com/corizance/status/1364153897636536320","1364153897636536320")</f>
        <v>1364153897636536320</v>
      </c>
      <c r="F1292" s="14" t="s">
        <v>5543</v>
      </c>
      <c r="G1292" s="8"/>
      <c r="H1292" s="8"/>
      <c r="I1292" s="14">
        <v>0</v>
      </c>
      <c r="J1292" s="14">
        <v>0</v>
      </c>
      <c r="K1292" s="6" t="str">
        <f>HYPERLINK("http://twinybots.com","TwinyBots")</f>
        <v>TwinyBots</v>
      </c>
      <c r="L1292" s="15">
        <v>488</v>
      </c>
      <c r="M1292" s="15">
        <v>434</v>
      </c>
      <c r="N1292" s="15">
        <v>13</v>
      </c>
      <c r="O1292" s="9"/>
      <c r="P1292" s="10">
        <v>43789.49145833333</v>
      </c>
      <c r="Q1292" s="14" t="s">
        <v>2551</v>
      </c>
      <c r="R1292" s="14" t="s">
        <v>2552</v>
      </c>
      <c r="S1292" s="7" t="s">
        <v>2553</v>
      </c>
      <c r="T1292" s="8"/>
      <c r="U1292" s="11" t="str">
        <f>HYPERLINK("https://pbs.twimg.com/profile_images/1223176339697565697/q38i7r9K.jpg","View")</f>
        <v>View</v>
      </c>
      <c r="V1292" s="8"/>
      <c r="W1292" s="8"/>
      <c r="X1292" s="8"/>
      <c r="Y1292" s="8"/>
      <c r="Z1292" s="8"/>
    </row>
    <row r="1293" spans="1:26" ht="13.2">
      <c r="A1293" s="13">
        <v>44250.460324074069</v>
      </c>
      <c r="B1293" s="6" t="str">
        <f>HYPERLINK("https://twitter.com/imbotpenguin","@imbotpenguin")</f>
        <v>@imbotpenguin</v>
      </c>
      <c r="C1293" s="14" t="s">
        <v>5641</v>
      </c>
      <c r="D1293" s="14" t="s">
        <v>5642</v>
      </c>
      <c r="E1293" s="6" t="str">
        <f>HYPERLINK("https://twitter.com/imbotpenguin/status/1364153746557530112","1364153746557530112")</f>
        <v>1364153746557530112</v>
      </c>
      <c r="F1293" s="8"/>
      <c r="G1293" s="7" t="s">
        <v>5643</v>
      </c>
      <c r="H1293" s="8"/>
      <c r="I1293" s="14">
        <v>8</v>
      </c>
      <c r="J1293" s="14">
        <v>4</v>
      </c>
      <c r="K1293" s="6" t="str">
        <f>HYPERLINK("https://mobile.twitter.com","Twitter Web App")</f>
        <v>Twitter Web App</v>
      </c>
      <c r="L1293" s="15">
        <v>236</v>
      </c>
      <c r="M1293" s="15">
        <v>401</v>
      </c>
      <c r="N1293" s="15">
        <v>0</v>
      </c>
      <c r="O1293" s="9"/>
      <c r="P1293" s="10">
        <v>43474.307708333334</v>
      </c>
      <c r="Q1293" s="14" t="s">
        <v>660</v>
      </c>
      <c r="R1293" s="14" t="s">
        <v>5644</v>
      </c>
      <c r="S1293" s="7" t="s">
        <v>5645</v>
      </c>
      <c r="T1293" s="8"/>
      <c r="U1293" s="11" t="str">
        <f>HYPERLINK("https://pbs.twimg.com/profile_images/1082994262835380225/JPvnK8FN.jpg","View")</f>
        <v>View</v>
      </c>
      <c r="V1293" s="8"/>
      <c r="W1293" s="8"/>
      <c r="X1293" s="8"/>
      <c r="Y1293" s="8"/>
      <c r="Z1293" s="8"/>
    </row>
    <row r="1294" spans="1:26" ht="13.2">
      <c r="A1294" s="13">
        <v>44250.460312499999</v>
      </c>
      <c r="B1294" s="6" t="str">
        <f>HYPERLINK("https://twitter.com/EmmaNewmanVRS","@EmmaNewmanVRS")</f>
        <v>@EmmaNewmanVRS</v>
      </c>
      <c r="C1294" s="14" t="s">
        <v>5646</v>
      </c>
      <c r="D1294" s="14" t="s">
        <v>5647</v>
      </c>
      <c r="E1294" s="6" t="str">
        <f>HYPERLINK("https://twitter.com/EmmaNewmanVRS/status/1364153741914570754","1364153741914570754")</f>
        <v>1364153741914570754</v>
      </c>
      <c r="F1294" s="7" t="s">
        <v>5648</v>
      </c>
      <c r="G1294" s="7" t="s">
        <v>5649</v>
      </c>
      <c r="H1294" s="8"/>
      <c r="I1294" s="14">
        <v>0</v>
      </c>
      <c r="J1294" s="14">
        <v>0</v>
      </c>
      <c r="K1294" s="6" t="str">
        <f>HYPERLINK("https://www.oktopost.com","Oktopost")</f>
        <v>Oktopost</v>
      </c>
      <c r="L1294" s="15">
        <v>7</v>
      </c>
      <c r="M1294" s="15">
        <v>15</v>
      </c>
      <c r="N1294" s="15">
        <v>0</v>
      </c>
      <c r="O1294" s="9"/>
      <c r="P1294" s="10">
        <v>44161.376435185186</v>
      </c>
      <c r="Q1294" s="14" t="s">
        <v>5650</v>
      </c>
      <c r="R1294" s="14" t="s">
        <v>5651</v>
      </c>
      <c r="S1294" s="8"/>
      <c r="T1294" s="8"/>
      <c r="U1294" s="11" t="str">
        <f>HYPERLINK("https://pbs.twimg.com/profile_images/1331871637310935041/yAN-_K6D.jpg","View")</f>
        <v>View</v>
      </c>
      <c r="V1294" s="8"/>
      <c r="W1294" s="8"/>
      <c r="X1294" s="8"/>
      <c r="Y1294" s="8"/>
      <c r="Z1294" s="8"/>
    </row>
    <row r="1295" spans="1:26" ht="13.2">
      <c r="A1295" s="13">
        <v>44250.460231481484</v>
      </c>
      <c r="B1295" s="6" t="str">
        <f>HYPERLINK("https://twitter.com/automeme","@automeme")</f>
        <v>@automeme</v>
      </c>
      <c r="C1295" s="14" t="s">
        <v>5618</v>
      </c>
      <c r="D1295" s="14" t="s">
        <v>5652</v>
      </c>
      <c r="E1295" s="6" t="str">
        <f>HYPERLINK("https://twitter.com/automeme/status/1364153713095438336","1364153713095438336")</f>
        <v>1364153713095438336</v>
      </c>
      <c r="F1295" s="7" t="s">
        <v>5653</v>
      </c>
      <c r="G1295" s="8"/>
      <c r="H1295" s="8"/>
      <c r="I1295" s="14">
        <v>3</v>
      </c>
      <c r="J1295" s="14">
        <v>4</v>
      </c>
      <c r="K1295" s="6" t="str">
        <f>HYPERLINK("https://mobile.twitter.com","Twitter Web App")</f>
        <v>Twitter Web App</v>
      </c>
      <c r="L1295" s="15">
        <v>8583</v>
      </c>
      <c r="M1295" s="15">
        <v>1301</v>
      </c>
      <c r="N1295" s="15">
        <v>150</v>
      </c>
      <c r="O1295" s="9"/>
      <c r="P1295" s="10">
        <v>43300.587627314817</v>
      </c>
      <c r="Q1295" s="14" t="s">
        <v>914</v>
      </c>
      <c r="R1295" s="14" t="s">
        <v>5619</v>
      </c>
      <c r="S1295" s="7" t="s">
        <v>5620</v>
      </c>
      <c r="T1295" s="8"/>
      <c r="U1295" s="11" t="str">
        <f>HYPERLINK("https://pbs.twimg.com/profile_images/1083681521876287488/62YGTQqT.jpg","View")</f>
        <v>View</v>
      </c>
      <c r="V1295" s="8"/>
      <c r="W1295" s="8"/>
      <c r="X1295" s="8"/>
      <c r="Y1295" s="8"/>
      <c r="Z1295" s="8"/>
    </row>
    <row r="1296" spans="1:26" ht="13.2">
      <c r="A1296" s="13">
        <v>44250.459687499999</v>
      </c>
      <c r="B1296" s="6" t="str">
        <f>HYPERLINK("https://twitter.com/AiGhostwriter","@AiGhostwriter")</f>
        <v>@AiGhostwriter</v>
      </c>
      <c r="C1296" s="7" t="s">
        <v>5654</v>
      </c>
      <c r="D1296" s="14" t="s">
        <v>5655</v>
      </c>
      <c r="E1296" s="6" t="str">
        <f>HYPERLINK("https://twitter.com/AiGhostwriter/status/1364153515376058371","1364153515376058371")</f>
        <v>1364153515376058371</v>
      </c>
      <c r="F1296" s="7" t="s">
        <v>5656</v>
      </c>
      <c r="G1296" s="8"/>
      <c r="H1296" s="8"/>
      <c r="I1296" s="14">
        <v>0</v>
      </c>
      <c r="J1296" s="14">
        <v>0</v>
      </c>
      <c r="K1296" s="6" t="str">
        <f>HYPERLINK("https://www.postpickr.com","PostPickr")</f>
        <v>PostPickr</v>
      </c>
      <c r="L1296" s="15">
        <v>318</v>
      </c>
      <c r="M1296" s="15">
        <v>865</v>
      </c>
      <c r="N1296" s="15">
        <v>6</v>
      </c>
      <c r="O1296" s="9"/>
      <c r="P1296" s="10">
        <v>43837.506412037037</v>
      </c>
      <c r="Q1296" s="14" t="s">
        <v>650</v>
      </c>
      <c r="R1296" s="14" t="s">
        <v>5657</v>
      </c>
      <c r="S1296" s="7" t="s">
        <v>5658</v>
      </c>
      <c r="T1296" s="8"/>
      <c r="U1296" s="11" t="str">
        <f>HYPERLINK("https://pbs.twimg.com/profile_images/1214505670009139201/K6Y-YgiA.jpg","View")</f>
        <v>View</v>
      </c>
      <c r="V1296" s="8"/>
      <c r="W1296" s="8"/>
      <c r="X1296" s="8"/>
      <c r="Y1296" s="8"/>
      <c r="Z1296" s="8"/>
    </row>
    <row r="1297" spans="1:26" ht="13.2">
      <c r="A1297" s="13">
        <v>44250.459374999999</v>
      </c>
      <c r="B1297" s="6" t="str">
        <f>HYPERLINK("https://twitter.com/HarbRimah","@HarbRimah")</f>
        <v>@HarbRimah</v>
      </c>
      <c r="C1297" s="14" t="s">
        <v>2837</v>
      </c>
      <c r="D1297" s="14" t="s">
        <v>5659</v>
      </c>
      <c r="E1297" s="6" t="str">
        <f>HYPERLINK("https://twitter.com/HarbRimah/status/1364153403643994113","1364153403643994113")</f>
        <v>1364153403643994113</v>
      </c>
      <c r="F1297" s="7" t="s">
        <v>5660</v>
      </c>
      <c r="G1297" s="8"/>
      <c r="H1297" s="8"/>
      <c r="I1297" s="14">
        <v>28</v>
      </c>
      <c r="J1297" s="14">
        <v>11</v>
      </c>
      <c r="K1297" s="6" t="str">
        <f>HYPERLINK("https://mobile.twitter.com","Twitter Web App")</f>
        <v>Twitter Web App</v>
      </c>
      <c r="L1297" s="15">
        <v>8983</v>
      </c>
      <c r="M1297" s="15">
        <v>4886</v>
      </c>
      <c r="N1297" s="15">
        <v>675</v>
      </c>
      <c r="O1297" s="9"/>
      <c r="P1297" s="10">
        <v>41198.440601851849</v>
      </c>
      <c r="Q1297" s="8"/>
      <c r="R1297" s="14" t="s">
        <v>2838</v>
      </c>
      <c r="S1297" s="8"/>
      <c r="T1297" s="8"/>
      <c r="U1297" s="11" t="str">
        <f>HYPERLINK("https://pbs.twimg.com/profile_images/909317895355863040/ls7cAjxm.jpg","View")</f>
        <v>View</v>
      </c>
      <c r="V1297" s="8"/>
      <c r="W1297" s="8"/>
      <c r="X1297" s="8"/>
      <c r="Y1297" s="8"/>
      <c r="Z1297" s="8"/>
    </row>
    <row r="1298" spans="1:26" ht="13.2">
      <c r="A1298" s="13">
        <v>44250.459351851852</v>
      </c>
      <c r="B1298" s="6" t="str">
        <f>HYPERLINK("https://twitter.com/CmccClimate","@CmccClimate")</f>
        <v>@CmccClimate</v>
      </c>
      <c r="C1298" s="14" t="s">
        <v>5661</v>
      </c>
      <c r="D1298" s="14" t="s">
        <v>5662</v>
      </c>
      <c r="E1298" s="6" t="str">
        <f>HYPERLINK("https://twitter.com/CmccClimate/status/1364153395599269889","1364153395599269889")</f>
        <v>1364153395599269889</v>
      </c>
      <c r="F1298" s="7" t="s">
        <v>5663</v>
      </c>
      <c r="G1298" s="7" t="s">
        <v>5664</v>
      </c>
      <c r="H1298" s="8"/>
      <c r="I1298" s="14">
        <v>0</v>
      </c>
      <c r="J1298" s="14">
        <v>0</v>
      </c>
      <c r="K1298" s="6" t="str">
        <f>HYPERLINK("https://www.hootsuite.com","Hootsuite Inc.")</f>
        <v>Hootsuite Inc.</v>
      </c>
      <c r="L1298" s="15">
        <v>3931</v>
      </c>
      <c r="M1298" s="15">
        <v>1489</v>
      </c>
      <c r="N1298" s="15">
        <v>131</v>
      </c>
      <c r="O1298" s="9"/>
      <c r="P1298" s="10">
        <v>40868.767685185187</v>
      </c>
      <c r="Q1298" s="14" t="s">
        <v>1685</v>
      </c>
      <c r="R1298" s="14" t="s">
        <v>5665</v>
      </c>
      <c r="S1298" s="7" t="s">
        <v>5666</v>
      </c>
      <c r="T1298" s="8"/>
      <c r="U1298" s="11" t="str">
        <f>HYPERLINK("https://pbs.twimg.com/profile_images/928635065978048517/poFWF_R0.jpg","View")</f>
        <v>View</v>
      </c>
      <c r="V1298" s="8"/>
      <c r="W1298" s="8"/>
      <c r="X1298" s="8"/>
      <c r="Y1298" s="8"/>
      <c r="Z1298" s="8"/>
    </row>
    <row r="1299" spans="1:26" ht="13.2">
      <c r="A1299" s="13">
        <v>44250.459328703699</v>
      </c>
      <c r="B1299" s="6" t="str">
        <f>HYPERLINK("https://twitter.com/automeme","@automeme")</f>
        <v>@automeme</v>
      </c>
      <c r="C1299" s="14" t="s">
        <v>5618</v>
      </c>
      <c r="D1299" s="14" t="s">
        <v>4823</v>
      </c>
      <c r="E1299" s="6" t="str">
        <f>HYPERLINK("https://twitter.com/automeme/status/1364153383427313666","1364153383427313666")</f>
        <v>1364153383427313666</v>
      </c>
      <c r="F1299" s="7" t="s">
        <v>4824</v>
      </c>
      <c r="G1299" s="8"/>
      <c r="H1299" s="8"/>
      <c r="I1299" s="14">
        <v>16</v>
      </c>
      <c r="J1299" s="14">
        <v>7</v>
      </c>
      <c r="K1299" s="6" t="str">
        <f>HYPERLINK("https://mobile.twitter.com","Twitter Web App")</f>
        <v>Twitter Web App</v>
      </c>
      <c r="L1299" s="15">
        <v>8583</v>
      </c>
      <c r="M1299" s="15">
        <v>1301</v>
      </c>
      <c r="N1299" s="15">
        <v>150</v>
      </c>
      <c r="O1299" s="9"/>
      <c r="P1299" s="10">
        <v>43300.587627314817</v>
      </c>
      <c r="Q1299" s="14" t="s">
        <v>914</v>
      </c>
      <c r="R1299" s="14" t="s">
        <v>5619</v>
      </c>
      <c r="S1299" s="7" t="s">
        <v>5620</v>
      </c>
      <c r="T1299" s="8"/>
      <c r="U1299" s="11" t="str">
        <f>HYPERLINK("https://pbs.twimg.com/profile_images/1083681521876287488/62YGTQqT.jpg","View")</f>
        <v>View</v>
      </c>
      <c r="V1299" s="8"/>
      <c r="W1299" s="8"/>
      <c r="X1299" s="8"/>
      <c r="Y1299" s="8"/>
      <c r="Z1299" s="8"/>
    </row>
    <row r="1300" spans="1:26" ht="13.2">
      <c r="A1300" s="13">
        <v>44250.458715277782</v>
      </c>
      <c r="B1300" s="6" t="str">
        <f>HYPERLINK("https://twitter.com/sp6hunna","@sp6hunna")</f>
        <v>@sp6hunna</v>
      </c>
      <c r="C1300" s="14" t="s">
        <v>5546</v>
      </c>
      <c r="D1300" s="14" t="s">
        <v>5667</v>
      </c>
      <c r="E1300" s="6" t="str">
        <f>HYPERLINK("https://twitter.com/sp6hunna/status/1364153164782575616","1364153164782575616")</f>
        <v>1364153164782575616</v>
      </c>
      <c r="F1300" s="8"/>
      <c r="G1300" s="7" t="s">
        <v>5668</v>
      </c>
      <c r="H1300" s="8"/>
      <c r="I1300" s="14">
        <v>9</v>
      </c>
      <c r="J1300" s="14">
        <v>1</v>
      </c>
      <c r="K1300" s="6" t="str">
        <f>HYPERLINK("http://twitter.com/download/iphone","Twitter for iPhone")</f>
        <v>Twitter for iPhone</v>
      </c>
      <c r="L1300" s="15">
        <v>3</v>
      </c>
      <c r="M1300" s="15">
        <v>16</v>
      </c>
      <c r="N1300" s="15">
        <v>0</v>
      </c>
      <c r="O1300" s="9"/>
      <c r="P1300" s="10">
        <v>44246.819490740745</v>
      </c>
      <c r="Q1300" s="8"/>
      <c r="R1300" s="14" t="s">
        <v>5549</v>
      </c>
      <c r="S1300" s="8"/>
      <c r="T1300" s="8"/>
      <c r="U1300" s="11" t="str">
        <f>HYPERLINK("https://pbs.twimg.com/profile_images/1362834483934863366/7LrFTrXJ.jpg","View")</f>
        <v>View</v>
      </c>
      <c r="V1300" s="8"/>
      <c r="W1300" s="8"/>
      <c r="X1300" s="8"/>
      <c r="Y1300" s="8"/>
      <c r="Z1300" s="8"/>
    </row>
    <row r="1301" spans="1:26" ht="13.2">
      <c r="A1301" s="13">
        <v>44250.458703703705</v>
      </c>
      <c r="B1301" s="6" t="str">
        <f>HYPERLINK("https://twitter.com/ment_at","@ment_at")</f>
        <v>@ment_at</v>
      </c>
      <c r="C1301" s="14" t="s">
        <v>5669</v>
      </c>
      <c r="D1301" s="14" t="s">
        <v>5670</v>
      </c>
      <c r="E1301" s="6" t="str">
        <f>HYPERLINK("https://twitter.com/ment_at/status/1364153157589286914","1364153157589286914")</f>
        <v>1364153157589286914</v>
      </c>
      <c r="F1301" s="7" t="s">
        <v>5671</v>
      </c>
      <c r="G1301" s="7" t="s">
        <v>5672</v>
      </c>
      <c r="H1301" s="8"/>
      <c r="I1301" s="14">
        <v>1</v>
      </c>
      <c r="J1301" s="14">
        <v>1</v>
      </c>
      <c r="K1301" s="6" t="str">
        <f>HYPERLINK("https://buffer.com","Buffer")</f>
        <v>Buffer</v>
      </c>
      <c r="L1301" s="15">
        <v>336</v>
      </c>
      <c r="M1301" s="15">
        <v>91</v>
      </c>
      <c r="N1301" s="15">
        <v>34</v>
      </c>
      <c r="O1301" s="9"/>
      <c r="P1301" s="10">
        <v>40941.770856481482</v>
      </c>
      <c r="Q1301" s="14" t="s">
        <v>3259</v>
      </c>
      <c r="R1301" s="14" t="s">
        <v>5673</v>
      </c>
      <c r="S1301" s="7" t="s">
        <v>5674</v>
      </c>
      <c r="T1301" s="8"/>
      <c r="U1301" s="11" t="str">
        <f>HYPERLINK("https://pbs.twimg.com/profile_images/1103983205978460160/5apE70vV.jpg","View")</f>
        <v>View</v>
      </c>
      <c r="V1301" s="8"/>
      <c r="W1301" s="8"/>
      <c r="X1301" s="8"/>
      <c r="Y1301" s="8"/>
      <c r="Z1301" s="8"/>
    </row>
    <row r="1302" spans="1:26" ht="13.2">
      <c r="A1302" s="13">
        <v>44250.458634259259</v>
      </c>
      <c r="B1302" s="6" t="str">
        <f>HYPERLINK("https://twitter.com/PinakiLaskar","@PinakiLaskar")</f>
        <v>@PinakiLaskar</v>
      </c>
      <c r="C1302" s="14" t="s">
        <v>5675</v>
      </c>
      <c r="D1302" s="14" t="s">
        <v>5241</v>
      </c>
      <c r="E1302" s="6" t="str">
        <f>HYPERLINK("https://twitter.com/PinakiLaskar/status/1364153132754694149","1364153132754694149")</f>
        <v>1364153132754694149</v>
      </c>
      <c r="F1302" s="7" t="s">
        <v>5242</v>
      </c>
      <c r="G1302" s="8"/>
      <c r="H1302" s="8"/>
      <c r="I1302" s="14">
        <v>5</v>
      </c>
      <c r="J1302" s="14">
        <v>10</v>
      </c>
      <c r="K1302" s="6" t="str">
        <f t="shared" ref="K1302:K1303" si="217">HYPERLINK("https://mobile.twitter.com","Twitter Web App")</f>
        <v>Twitter Web App</v>
      </c>
      <c r="L1302" s="15">
        <v>1660</v>
      </c>
      <c r="M1302" s="15">
        <v>528</v>
      </c>
      <c r="N1302" s="15">
        <v>26</v>
      </c>
      <c r="O1302" s="9"/>
      <c r="P1302" s="10">
        <v>43393.806643518517</v>
      </c>
      <c r="Q1302" s="14" t="s">
        <v>5676</v>
      </c>
      <c r="R1302" s="14" t="s">
        <v>5677</v>
      </c>
      <c r="S1302" s="7" t="s">
        <v>5678</v>
      </c>
      <c r="T1302" s="8"/>
      <c r="U1302" s="11" t="str">
        <f>HYPERLINK("https://pbs.twimg.com/profile_images/1277223966705192966/aIT6N-WJ.jpg","View")</f>
        <v>View</v>
      </c>
      <c r="V1302" s="8"/>
      <c r="W1302" s="8"/>
      <c r="X1302" s="8"/>
      <c r="Y1302" s="8"/>
      <c r="Z1302" s="8"/>
    </row>
    <row r="1303" spans="1:26" ht="13.2">
      <c r="A1303" s="13">
        <v>44250.458611111113</v>
      </c>
      <c r="B1303" s="6" t="str">
        <f>HYPERLINK("https://twitter.com/HarbRimah","@HarbRimah")</f>
        <v>@HarbRimah</v>
      </c>
      <c r="C1303" s="14" t="s">
        <v>2837</v>
      </c>
      <c r="D1303" s="14" t="s">
        <v>5679</v>
      </c>
      <c r="E1303" s="6" t="str">
        <f>HYPERLINK("https://twitter.com/HarbRimah/status/1364153126022955009","1364153126022955009")</f>
        <v>1364153126022955009</v>
      </c>
      <c r="F1303" s="7" t="s">
        <v>5680</v>
      </c>
      <c r="G1303" s="8"/>
      <c r="H1303" s="8"/>
      <c r="I1303" s="14">
        <v>11</v>
      </c>
      <c r="J1303" s="14">
        <v>5</v>
      </c>
      <c r="K1303" s="6" t="str">
        <f t="shared" si="217"/>
        <v>Twitter Web App</v>
      </c>
      <c r="L1303" s="15">
        <v>8983</v>
      </c>
      <c r="M1303" s="15">
        <v>4886</v>
      </c>
      <c r="N1303" s="15">
        <v>675</v>
      </c>
      <c r="O1303" s="9"/>
      <c r="P1303" s="10">
        <v>41198.440601851849</v>
      </c>
      <c r="Q1303" s="8"/>
      <c r="R1303" s="14" t="s">
        <v>2838</v>
      </c>
      <c r="S1303" s="8"/>
      <c r="T1303" s="8"/>
      <c r="U1303" s="11" t="str">
        <f>HYPERLINK("https://pbs.twimg.com/profile_images/909317895355863040/ls7cAjxm.jpg","View")</f>
        <v>View</v>
      </c>
      <c r="V1303" s="8"/>
      <c r="W1303" s="8"/>
      <c r="X1303" s="8"/>
      <c r="Y1303" s="8"/>
      <c r="Z1303" s="8"/>
    </row>
    <row r="1304" spans="1:26" ht="13.2">
      <c r="A1304" s="13">
        <v>44250.458483796298</v>
      </c>
      <c r="B1304" s="6" t="str">
        <f>HYPERLINK("https://twitter.com/Deep_In_Depth","@Deep_In_Depth")</f>
        <v>@Deep_In_Depth</v>
      </c>
      <c r="C1304" s="14" t="s">
        <v>312</v>
      </c>
      <c r="D1304" s="14" t="s">
        <v>5681</v>
      </c>
      <c r="E1304" s="6" t="str">
        <f>HYPERLINK("https://twitter.com/Deep_In_Depth/status/1364153078237265922","1364153078237265922")</f>
        <v>1364153078237265922</v>
      </c>
      <c r="F1304" s="7" t="s">
        <v>5682</v>
      </c>
      <c r="G1304" s="8"/>
      <c r="H1304" s="8"/>
      <c r="I1304" s="14">
        <v>1</v>
      </c>
      <c r="J1304" s="14">
        <v>2</v>
      </c>
      <c r="K1304" s="6" t="str">
        <f t="shared" ref="K1304:K1305" si="218">HYPERLINK("https://buffer.com","Buffer")</f>
        <v>Buffer</v>
      </c>
      <c r="L1304" s="15">
        <v>10954</v>
      </c>
      <c r="M1304" s="15">
        <v>9176</v>
      </c>
      <c r="N1304" s="15">
        <v>159</v>
      </c>
      <c r="O1304" s="9"/>
      <c r="P1304" s="10">
        <v>42864.439525462964</v>
      </c>
      <c r="Q1304" s="14" t="s">
        <v>315</v>
      </c>
      <c r="R1304" s="14" t="s">
        <v>316</v>
      </c>
      <c r="S1304" s="7" t="s">
        <v>317</v>
      </c>
      <c r="T1304" s="8"/>
      <c r="U1304" s="11" t="str">
        <f>HYPERLINK("https://pbs.twimg.com/profile_images/861866967493431296/PIjaSD4g.jpg","View")</f>
        <v>View</v>
      </c>
      <c r="V1304" s="8"/>
      <c r="W1304" s="8"/>
      <c r="X1304" s="8"/>
      <c r="Y1304" s="8"/>
      <c r="Z1304" s="8"/>
    </row>
    <row r="1305" spans="1:26" ht="13.2">
      <c r="A1305" s="13">
        <v>44250.458437499998</v>
      </c>
      <c r="B1305" s="6" t="str">
        <f>HYPERLINK("https://twitter.com/RichardEudes","@RichardEudes")</f>
        <v>@RichardEudes</v>
      </c>
      <c r="C1305" s="14" t="s">
        <v>341</v>
      </c>
      <c r="D1305" s="14" t="s">
        <v>5683</v>
      </c>
      <c r="E1305" s="6" t="str">
        <f>HYPERLINK("https://twitter.com/RichardEudes/status/1364153062550609923","1364153062550609923")</f>
        <v>1364153062550609923</v>
      </c>
      <c r="F1305" s="7" t="s">
        <v>5684</v>
      </c>
      <c r="G1305" s="8"/>
      <c r="H1305" s="8"/>
      <c r="I1305" s="14">
        <v>0</v>
      </c>
      <c r="J1305" s="14">
        <v>0</v>
      </c>
      <c r="K1305" s="6" t="str">
        <f t="shared" si="218"/>
        <v>Buffer</v>
      </c>
      <c r="L1305" s="15">
        <v>16960</v>
      </c>
      <c r="M1305" s="15">
        <v>1979</v>
      </c>
      <c r="N1305" s="15">
        <v>668</v>
      </c>
      <c r="O1305" s="9"/>
      <c r="P1305" s="10">
        <v>39985.961481481485</v>
      </c>
      <c r="Q1305" s="14" t="s">
        <v>106</v>
      </c>
      <c r="R1305" s="14" t="s">
        <v>344</v>
      </c>
      <c r="S1305" s="7" t="s">
        <v>345</v>
      </c>
      <c r="T1305" s="8"/>
      <c r="U1305" s="11" t="str">
        <f>HYPERLINK("https://pbs.twimg.com/profile_images/1332753391886491648/I9fBm3kf.jpg","View")</f>
        <v>View</v>
      </c>
      <c r="V1305" s="8"/>
      <c r="W1305" s="8"/>
      <c r="X1305" s="8"/>
      <c r="Y1305" s="8"/>
      <c r="Z1305" s="8"/>
    </row>
    <row r="1306" spans="1:26" ht="13.2">
      <c r="A1306" s="13">
        <v>44250.458425925928</v>
      </c>
      <c r="B1306" s="6" t="str">
        <f>HYPERLINK("https://twitter.com/HaroldSinnott","@HaroldSinnott")</f>
        <v>@HaroldSinnott</v>
      </c>
      <c r="C1306" s="14" t="s">
        <v>4015</v>
      </c>
      <c r="D1306" s="14" t="s">
        <v>5685</v>
      </c>
      <c r="E1306" s="6" t="str">
        <f>HYPERLINK("https://twitter.com/HaroldSinnott/status/1364153060411531264","1364153060411531264")</f>
        <v>1364153060411531264</v>
      </c>
      <c r="F1306" s="7" t="s">
        <v>4824</v>
      </c>
      <c r="G1306" s="7" t="s">
        <v>5686</v>
      </c>
      <c r="H1306" s="8"/>
      <c r="I1306" s="14">
        <v>56</v>
      </c>
      <c r="J1306" s="14">
        <v>49</v>
      </c>
      <c r="K1306" s="6" t="str">
        <f>HYPERLINK("https://crowdfireapp.com","Crowdfire App")</f>
        <v>Crowdfire App</v>
      </c>
      <c r="L1306" s="15">
        <v>76726</v>
      </c>
      <c r="M1306" s="15">
        <v>46267</v>
      </c>
      <c r="N1306" s="15">
        <v>2484</v>
      </c>
      <c r="O1306" s="9"/>
      <c r="P1306" s="10">
        <v>40465.568553240737</v>
      </c>
      <c r="Q1306" s="14" t="s">
        <v>2904</v>
      </c>
      <c r="R1306" s="14" t="s">
        <v>4019</v>
      </c>
      <c r="S1306" s="7" t="s">
        <v>4020</v>
      </c>
      <c r="T1306" s="8"/>
      <c r="U1306" s="11" t="str">
        <f>HYPERLINK("https://pbs.twimg.com/profile_images/1214348334841901056/QSdqkzO-.jpg","View")</f>
        <v>View</v>
      </c>
      <c r="V1306" s="8"/>
      <c r="W1306" s="8"/>
      <c r="X1306" s="8"/>
      <c r="Y1306" s="8"/>
      <c r="Z1306" s="8"/>
    </row>
    <row r="1307" spans="1:26" ht="13.2">
      <c r="A1307" s="13">
        <v>44250.458391203705</v>
      </c>
      <c r="B1307" s="6" t="str">
        <f>HYPERLINK("https://twitter.com/themlguru","@themlguru")</f>
        <v>@themlguru</v>
      </c>
      <c r="C1307" s="14" t="s">
        <v>362</v>
      </c>
      <c r="D1307" s="14" t="s">
        <v>5687</v>
      </c>
      <c r="E1307" s="6" t="str">
        <f>HYPERLINK("https://twitter.com/themlguru/status/1364153044934529024","1364153044934529024")</f>
        <v>1364153044934529024</v>
      </c>
      <c r="F1307" s="8"/>
      <c r="G1307" s="8"/>
      <c r="H1307" s="8"/>
      <c r="I1307" s="14">
        <v>0</v>
      </c>
      <c r="J1307" s="14">
        <v>0</v>
      </c>
      <c r="K1307" s="6" t="str">
        <f>HYPERLINK("https://twittimer.com","Twittimer")</f>
        <v>Twittimer</v>
      </c>
      <c r="L1307" s="15">
        <v>10</v>
      </c>
      <c r="M1307" s="15">
        <v>33</v>
      </c>
      <c r="N1307" s="15">
        <v>0</v>
      </c>
      <c r="O1307" s="9"/>
      <c r="P1307" s="10">
        <v>44242.188148148147</v>
      </c>
      <c r="Q1307" s="14" t="s">
        <v>364</v>
      </c>
      <c r="R1307" s="8"/>
      <c r="S1307" s="8"/>
      <c r="T1307" s="8"/>
      <c r="U1307" s="11" t="str">
        <f>HYPERLINK("https://pbs.twimg.com/profile_images/1361967087623700484/-6UQQ_sZ.jpg","View")</f>
        <v>View</v>
      </c>
      <c r="V1307" s="8"/>
      <c r="W1307" s="8"/>
      <c r="X1307" s="8"/>
      <c r="Y1307" s="8"/>
      <c r="Z1307" s="8"/>
    </row>
    <row r="1308" spans="1:26" ht="13.2">
      <c r="A1308" s="13">
        <v>44250.458298611113</v>
      </c>
      <c r="B1308" s="6" t="str">
        <f>HYPERLINK("https://twitter.com/automeme","@automeme")</f>
        <v>@automeme</v>
      </c>
      <c r="C1308" s="14" t="s">
        <v>5618</v>
      </c>
      <c r="D1308" s="14" t="s">
        <v>4816</v>
      </c>
      <c r="E1308" s="6" t="str">
        <f>HYPERLINK("https://twitter.com/automeme/status/1364153013674237954","1364153013674237954")</f>
        <v>1364153013674237954</v>
      </c>
      <c r="F1308" s="7" t="s">
        <v>4817</v>
      </c>
      <c r="G1308" s="8"/>
      <c r="H1308" s="8"/>
      <c r="I1308" s="14">
        <v>8</v>
      </c>
      <c r="J1308" s="14">
        <v>4</v>
      </c>
      <c r="K1308" s="6" t="str">
        <f t="shared" ref="K1308:K1309" si="219">HYPERLINK("https://mobile.twitter.com","Twitter Web App")</f>
        <v>Twitter Web App</v>
      </c>
      <c r="L1308" s="15">
        <v>8583</v>
      </c>
      <c r="M1308" s="15">
        <v>1301</v>
      </c>
      <c r="N1308" s="15">
        <v>150</v>
      </c>
      <c r="O1308" s="9"/>
      <c r="P1308" s="10">
        <v>43300.587627314817</v>
      </c>
      <c r="Q1308" s="14" t="s">
        <v>914</v>
      </c>
      <c r="R1308" s="14" t="s">
        <v>5619</v>
      </c>
      <c r="S1308" s="7" t="s">
        <v>5620</v>
      </c>
      <c r="T1308" s="8"/>
      <c r="U1308" s="11" t="str">
        <f>HYPERLINK("https://pbs.twimg.com/profile_images/1083681521876287488/62YGTQqT.jpg","View")</f>
        <v>View</v>
      </c>
      <c r="V1308" s="8"/>
      <c r="W1308" s="8"/>
      <c r="X1308" s="8"/>
      <c r="Y1308" s="8"/>
      <c r="Z1308" s="8"/>
    </row>
    <row r="1309" spans="1:26" ht="13.2">
      <c r="A1309" s="13">
        <v>44250.458171296297</v>
      </c>
      <c r="B1309" s="6" t="str">
        <f>HYPERLINK("https://twitter.com/MotorcycleTwitt","@MotorcycleTwitt")</f>
        <v>@MotorcycleTwitt</v>
      </c>
      <c r="C1309" s="14" t="s">
        <v>4699</v>
      </c>
      <c r="D1309" s="14" t="s">
        <v>5688</v>
      </c>
      <c r="E1309" s="6" t="str">
        <f>HYPERLINK("https://twitter.com/MotorcycleTwitt/status/1364152964764459009","1364152964764459009")</f>
        <v>1364152964764459009</v>
      </c>
      <c r="F1309" s="7" t="s">
        <v>5689</v>
      </c>
      <c r="G1309" s="7" t="s">
        <v>5690</v>
      </c>
      <c r="H1309" s="8"/>
      <c r="I1309" s="14">
        <v>5</v>
      </c>
      <c r="J1309" s="14">
        <v>7</v>
      </c>
      <c r="K1309" s="6" t="str">
        <f t="shared" si="219"/>
        <v>Twitter Web App</v>
      </c>
      <c r="L1309" s="15">
        <v>19217</v>
      </c>
      <c r="M1309" s="15">
        <v>11790</v>
      </c>
      <c r="N1309" s="15">
        <v>1483</v>
      </c>
      <c r="O1309" s="9"/>
      <c r="P1309" s="10">
        <v>41657.304791666669</v>
      </c>
      <c r="Q1309" s="14" t="s">
        <v>390</v>
      </c>
      <c r="R1309" s="14" t="s">
        <v>4703</v>
      </c>
      <c r="S1309" s="7" t="s">
        <v>4704</v>
      </c>
      <c r="T1309" s="8"/>
      <c r="U1309" s="11" t="str">
        <f>HYPERLINK("https://pbs.twimg.com/profile_images/976706803533725698/-B5y-7mI.jpg","View")</f>
        <v>View</v>
      </c>
      <c r="V1309" s="8"/>
      <c r="W1309" s="8"/>
      <c r="X1309" s="8"/>
      <c r="Y1309" s="8"/>
      <c r="Z1309" s="8"/>
    </row>
    <row r="1310" spans="1:26" ht="13.2">
      <c r="A1310" s="13">
        <v>44250.457905092597</v>
      </c>
      <c r="B1310" s="6" t="str">
        <f>HYPERLINK("https://twitter.com/NeurAutomata","@NeurAutomata")</f>
        <v>@NeurAutomata</v>
      </c>
      <c r="C1310" s="14" t="s">
        <v>400</v>
      </c>
      <c r="D1310" s="14" t="s">
        <v>401</v>
      </c>
      <c r="E1310" s="6" t="str">
        <f>HYPERLINK("https://twitter.com/NeurAutomata/status/1364152868144615426","1364152868144615426")</f>
        <v>1364152868144615426</v>
      </c>
      <c r="F1310" s="7" t="s">
        <v>5691</v>
      </c>
      <c r="G1310" s="8"/>
      <c r="H1310" s="8"/>
      <c r="I1310" s="14">
        <v>0</v>
      </c>
      <c r="J1310" s="14">
        <v>0</v>
      </c>
      <c r="K1310" s="6" t="str">
        <f>HYPERLINK("https://ifttt.com","IFTTT")</f>
        <v>IFTTT</v>
      </c>
      <c r="L1310" s="15">
        <v>83</v>
      </c>
      <c r="M1310" s="15">
        <v>14</v>
      </c>
      <c r="N1310" s="15">
        <v>3</v>
      </c>
      <c r="O1310" s="9"/>
      <c r="P1310" s="10">
        <v>42862.083414351851</v>
      </c>
      <c r="Q1310" s="14" t="s">
        <v>403</v>
      </c>
      <c r="R1310" s="14" t="s">
        <v>404</v>
      </c>
      <c r="S1310" s="8"/>
      <c r="T1310" s="8"/>
      <c r="U1310" s="11" t="str">
        <f>HYPERLINK("https://pbs.twimg.com/profile_images/861050448672718848/oHUlrvEK.jpg","View")</f>
        <v>View</v>
      </c>
      <c r="V1310" s="8"/>
      <c r="W1310" s="8"/>
      <c r="X1310" s="8"/>
      <c r="Y1310" s="8"/>
      <c r="Z1310" s="8"/>
    </row>
    <row r="1311" spans="1:26" ht="13.2">
      <c r="A1311" s="13">
        <v>44250.457719907412</v>
      </c>
      <c r="B1311" s="6" t="str">
        <f>HYPERLINK("https://twitter.com/sajidmirza","@sajidmirza")</f>
        <v>@sajidmirza</v>
      </c>
      <c r="C1311" s="14" t="s">
        <v>200</v>
      </c>
      <c r="D1311" s="14" t="s">
        <v>5542</v>
      </c>
      <c r="E1311" s="6" t="str">
        <f>HYPERLINK("https://twitter.com/sajidmirza/status/1364152803019620355","1364152803019620355")</f>
        <v>1364152803019620355</v>
      </c>
      <c r="F1311" s="14" t="s">
        <v>5543</v>
      </c>
      <c r="G1311" s="8"/>
      <c r="H1311" s="8"/>
      <c r="I1311" s="14">
        <v>0</v>
      </c>
      <c r="J1311" s="14">
        <v>0</v>
      </c>
      <c r="K1311" s="6" t="str">
        <f>HYPERLINK("http://twinybots.com","TwinyBots")</f>
        <v>TwinyBots</v>
      </c>
      <c r="L1311" s="15">
        <v>2160</v>
      </c>
      <c r="M1311" s="15">
        <v>1495</v>
      </c>
      <c r="N1311" s="15">
        <v>43</v>
      </c>
      <c r="O1311" s="9"/>
      <c r="P1311" s="10">
        <v>39986.264884259261</v>
      </c>
      <c r="Q1311" s="14" t="s">
        <v>203</v>
      </c>
      <c r="R1311" s="14" t="s">
        <v>204</v>
      </c>
      <c r="S1311" s="7" t="s">
        <v>205</v>
      </c>
      <c r="T1311" s="8"/>
      <c r="U1311" s="11" t="str">
        <f>HYPERLINK("https://pbs.twimg.com/profile_images/900709336309276672/M5XpdeQJ.jpg","View")</f>
        <v>View</v>
      </c>
      <c r="V1311" s="8"/>
      <c r="W1311" s="8"/>
      <c r="X1311" s="8"/>
      <c r="Y1311" s="8"/>
      <c r="Z1311" s="8"/>
    </row>
    <row r="1312" spans="1:26" ht="13.2">
      <c r="A1312" s="13">
        <v>44250.457638888889</v>
      </c>
      <c r="B1312" s="6" t="str">
        <f>HYPERLINK("https://twitter.com/Datascience__","@Datascience__")</f>
        <v>@Datascience__</v>
      </c>
      <c r="C1312" s="14" t="s">
        <v>1082</v>
      </c>
      <c r="D1312" s="14" t="s">
        <v>5692</v>
      </c>
      <c r="E1312" s="6" t="str">
        <f>HYPERLINK("https://twitter.com/Datascience__/status/1364152772602564610","1364152772602564610")</f>
        <v>1364152772602564610</v>
      </c>
      <c r="F1312" s="7" t="s">
        <v>5693</v>
      </c>
      <c r="G1312" s="8"/>
      <c r="H1312" s="8"/>
      <c r="I1312" s="14">
        <v>2</v>
      </c>
      <c r="J1312" s="14">
        <v>1</v>
      </c>
      <c r="K1312" s="6" t="str">
        <f>HYPERLINK("https://twitter.com/pythonbot_","Postmatico")</f>
        <v>Postmatico</v>
      </c>
      <c r="L1312" s="15">
        <v>21499</v>
      </c>
      <c r="M1312" s="15">
        <v>11071</v>
      </c>
      <c r="N1312" s="15">
        <v>0</v>
      </c>
      <c r="O1312" s="9"/>
      <c r="P1312" s="10">
        <v>42735.551377314812</v>
      </c>
      <c r="Q1312" s="8"/>
      <c r="R1312" s="14" t="s">
        <v>1085</v>
      </c>
      <c r="S1312" s="7" t="s">
        <v>1086</v>
      </c>
      <c r="T1312" s="8"/>
      <c r="U1312" s="11" t="str">
        <f>HYPERLINK("https://pbs.twimg.com/profile_images/989066461435097088/AQZSFyuk.jpg","View")</f>
        <v>View</v>
      </c>
      <c r="V1312" s="8"/>
      <c r="W1312" s="8"/>
      <c r="X1312" s="8"/>
      <c r="Y1312" s="8"/>
      <c r="Z1312" s="8"/>
    </row>
    <row r="1313" spans="1:26" ht="13.2">
      <c r="A1313" s="13">
        <v>44250.457384259258</v>
      </c>
      <c r="B1313" s="6" t="str">
        <f>HYPERLINK("https://twitter.com/automeme","@automeme")</f>
        <v>@automeme</v>
      </c>
      <c r="C1313" s="14" t="s">
        <v>5618</v>
      </c>
      <c r="D1313" s="14" t="s">
        <v>5694</v>
      </c>
      <c r="E1313" s="6" t="str">
        <f>HYPERLINK("https://twitter.com/automeme/status/1364152682630377475","1364152682630377475")</f>
        <v>1364152682630377475</v>
      </c>
      <c r="F1313" s="7" t="s">
        <v>5695</v>
      </c>
      <c r="G1313" s="8"/>
      <c r="H1313" s="8"/>
      <c r="I1313" s="14">
        <v>5</v>
      </c>
      <c r="J1313" s="14">
        <v>3</v>
      </c>
      <c r="K1313" s="6" t="str">
        <f t="shared" ref="K1313:K1314" si="220">HYPERLINK("https://mobile.twitter.com","Twitter Web App")</f>
        <v>Twitter Web App</v>
      </c>
      <c r="L1313" s="15">
        <v>8583</v>
      </c>
      <c r="M1313" s="15">
        <v>1301</v>
      </c>
      <c r="N1313" s="15">
        <v>150</v>
      </c>
      <c r="O1313" s="9"/>
      <c r="P1313" s="10">
        <v>43300.587627314817</v>
      </c>
      <c r="Q1313" s="14" t="s">
        <v>914</v>
      </c>
      <c r="R1313" s="14" t="s">
        <v>5619</v>
      </c>
      <c r="S1313" s="7" t="s">
        <v>5620</v>
      </c>
      <c r="T1313" s="8"/>
      <c r="U1313" s="11" t="str">
        <f>HYPERLINK("https://pbs.twimg.com/profile_images/1083681521876287488/62YGTQqT.jpg","View")</f>
        <v>View</v>
      </c>
      <c r="V1313" s="8"/>
      <c r="W1313" s="8"/>
      <c r="X1313" s="8"/>
      <c r="Y1313" s="8"/>
      <c r="Z1313" s="8"/>
    </row>
    <row r="1314" spans="1:26" ht="13.2">
      <c r="A1314" s="13">
        <v>44250.457361111112</v>
      </c>
      <c r="B1314" s="6" t="str">
        <f>HYPERLINK("https://twitter.com/HarbRimah","@HarbRimah")</f>
        <v>@HarbRimah</v>
      </c>
      <c r="C1314" s="14" t="s">
        <v>2837</v>
      </c>
      <c r="D1314" s="14" t="s">
        <v>5696</v>
      </c>
      <c r="E1314" s="6" t="str">
        <f>HYPERLINK("https://twitter.com/HarbRimah/status/1364152673486974976","1364152673486974976")</f>
        <v>1364152673486974976</v>
      </c>
      <c r="F1314" s="7" t="s">
        <v>5697</v>
      </c>
      <c r="G1314" s="8"/>
      <c r="H1314" s="8"/>
      <c r="I1314" s="14">
        <v>20</v>
      </c>
      <c r="J1314" s="14">
        <v>8</v>
      </c>
      <c r="K1314" s="6" t="str">
        <f t="shared" si="220"/>
        <v>Twitter Web App</v>
      </c>
      <c r="L1314" s="15">
        <v>8983</v>
      </c>
      <c r="M1314" s="15">
        <v>4886</v>
      </c>
      <c r="N1314" s="15">
        <v>675</v>
      </c>
      <c r="O1314" s="9"/>
      <c r="P1314" s="10">
        <v>41198.440601851849</v>
      </c>
      <c r="Q1314" s="8"/>
      <c r="R1314" s="14" t="s">
        <v>2838</v>
      </c>
      <c r="S1314" s="8"/>
      <c r="T1314" s="8"/>
      <c r="U1314" s="11" t="str">
        <f>HYPERLINK("https://pbs.twimg.com/profile_images/909317895355863040/ls7cAjxm.jpg","View")</f>
        <v>View</v>
      </c>
      <c r="V1314" s="8"/>
      <c r="W1314" s="8"/>
      <c r="X1314" s="8"/>
      <c r="Y1314" s="8"/>
      <c r="Z1314" s="8"/>
    </row>
    <row r="1315" spans="1:26" ht="13.2">
      <c r="A1315" s="13">
        <v>44250.45694444445</v>
      </c>
      <c r="B1315" s="6" t="str">
        <f>HYPERLINK("https://twitter.com/TechNative","@TechNative")</f>
        <v>@TechNative</v>
      </c>
      <c r="C1315" s="14" t="s">
        <v>866</v>
      </c>
      <c r="D1315" s="14" t="s">
        <v>5652</v>
      </c>
      <c r="E1315" s="6" t="str">
        <f>HYPERLINK("https://twitter.com/TechNative/status/1364152522462683137","1364152522462683137")</f>
        <v>1364152522462683137</v>
      </c>
      <c r="F1315" s="7" t="s">
        <v>5653</v>
      </c>
      <c r="G1315" s="8"/>
      <c r="H1315" s="8"/>
      <c r="I1315" s="14">
        <v>7</v>
      </c>
      <c r="J1315" s="14">
        <v>5</v>
      </c>
      <c r="K1315" s="6" t="str">
        <f>HYPERLINK("https://sproutsocial.com","Sprout Social")</f>
        <v>Sprout Social</v>
      </c>
      <c r="L1315" s="15">
        <v>84850</v>
      </c>
      <c r="M1315" s="15">
        <v>60575</v>
      </c>
      <c r="N1315" s="15">
        <v>2623</v>
      </c>
      <c r="O1315" s="9"/>
      <c r="P1315" s="10">
        <v>42289.695833333331</v>
      </c>
      <c r="Q1315" s="14" t="s">
        <v>869</v>
      </c>
      <c r="R1315" s="14" t="s">
        <v>870</v>
      </c>
      <c r="S1315" s="7" t="s">
        <v>871</v>
      </c>
      <c r="T1315" s="8"/>
      <c r="U1315" s="11" t="str">
        <f>HYPERLINK("https://pbs.twimg.com/profile_images/877265193818103808/uriy-gaK.jpg","View")</f>
        <v>View</v>
      </c>
      <c r="V1315" s="8"/>
      <c r="W1315" s="8"/>
      <c r="X1315" s="8"/>
      <c r="Y1315" s="8"/>
      <c r="Z1315" s="8"/>
    </row>
    <row r="1316" spans="1:26" ht="13.2">
      <c r="A1316" s="13">
        <v>44250.456620370373</v>
      </c>
      <c r="B1316" s="6" t="str">
        <f>HYPERLINK("https://twitter.com/automeme","@automeme")</f>
        <v>@automeme</v>
      </c>
      <c r="C1316" s="14" t="s">
        <v>5618</v>
      </c>
      <c r="D1316" s="14" t="s">
        <v>4808</v>
      </c>
      <c r="E1316" s="6" t="str">
        <f>HYPERLINK("https://twitter.com/automeme/status/1364152403293921282","1364152403293921282")</f>
        <v>1364152403293921282</v>
      </c>
      <c r="F1316" s="7" t="s">
        <v>4809</v>
      </c>
      <c r="G1316" s="8"/>
      <c r="H1316" s="8"/>
      <c r="I1316" s="14">
        <v>29</v>
      </c>
      <c r="J1316" s="14">
        <v>16</v>
      </c>
      <c r="K1316" s="6" t="str">
        <f>HYPERLINK("https://mobile.twitter.com","Twitter Web App")</f>
        <v>Twitter Web App</v>
      </c>
      <c r="L1316" s="15">
        <v>8583</v>
      </c>
      <c r="M1316" s="15">
        <v>1301</v>
      </c>
      <c r="N1316" s="15">
        <v>150</v>
      </c>
      <c r="O1316" s="9"/>
      <c r="P1316" s="10">
        <v>43300.587627314817</v>
      </c>
      <c r="Q1316" s="14" t="s">
        <v>914</v>
      </c>
      <c r="R1316" s="14" t="s">
        <v>5619</v>
      </c>
      <c r="S1316" s="7" t="s">
        <v>5620</v>
      </c>
      <c r="T1316" s="8"/>
      <c r="U1316" s="11" t="str">
        <f>HYPERLINK("https://pbs.twimg.com/profile_images/1083681521876287488/62YGTQqT.jpg","View")</f>
        <v>View</v>
      </c>
      <c r="V1316" s="8"/>
      <c r="W1316" s="8"/>
      <c r="X1316" s="8"/>
      <c r="Y1316" s="8"/>
      <c r="Z1316" s="8"/>
    </row>
    <row r="1317" spans="1:26" ht="13.2">
      <c r="A1317" s="13">
        <v>44250.456331018519</v>
      </c>
      <c r="B1317" s="6" t="str">
        <f>HYPERLINK("https://twitter.com/Necio_news","@Necio_news")</f>
        <v>@Necio_news</v>
      </c>
      <c r="C1317" s="14" t="s">
        <v>4073</v>
      </c>
      <c r="D1317" s="14" t="s">
        <v>5007</v>
      </c>
      <c r="E1317" s="6" t="str">
        <f>HYPERLINK("https://twitter.com/Necio_news/status/1364152300177088512","1364152300177088512")</f>
        <v>1364152300177088512</v>
      </c>
      <c r="F1317" s="7" t="s">
        <v>5698</v>
      </c>
      <c r="G1317" s="8"/>
      <c r="H1317" s="8"/>
      <c r="I1317" s="14">
        <v>0</v>
      </c>
      <c r="J1317" s="14">
        <v>1</v>
      </c>
      <c r="K1317" s="6" t="str">
        <f>HYPERLINK("http://twinybots.com","TwinyBots")</f>
        <v>TwinyBots</v>
      </c>
      <c r="L1317" s="15">
        <v>10032</v>
      </c>
      <c r="M1317" s="15">
        <v>3391</v>
      </c>
      <c r="N1317" s="15">
        <v>1115</v>
      </c>
      <c r="O1317" s="9"/>
      <c r="P1317" s="10">
        <v>42430.515879629631</v>
      </c>
      <c r="Q1317" s="14" t="s">
        <v>4074</v>
      </c>
      <c r="R1317" s="14" t="s">
        <v>4075</v>
      </c>
      <c r="S1317" s="7" t="s">
        <v>4076</v>
      </c>
      <c r="T1317" s="8"/>
      <c r="U1317" s="11" t="str">
        <f>HYPERLINK("https://pbs.twimg.com/profile_images/756504133985767425/ulCoCLvF.jpg","View")</f>
        <v>View</v>
      </c>
      <c r="V1317" s="8"/>
      <c r="W1317" s="8"/>
      <c r="X1317" s="8"/>
      <c r="Y1317" s="8"/>
      <c r="Z1317" s="8"/>
    </row>
    <row r="1318" spans="1:26" ht="13.2">
      <c r="A1318" s="13">
        <v>44250.456030092595</v>
      </c>
      <c r="B1318" s="6" t="str">
        <f>HYPERLINK("https://twitter.com/HarbRimah","@HarbRimah")</f>
        <v>@HarbRimah</v>
      </c>
      <c r="C1318" s="14" t="s">
        <v>2837</v>
      </c>
      <c r="D1318" s="14" t="s">
        <v>5699</v>
      </c>
      <c r="E1318" s="6" t="str">
        <f>HYPERLINK("https://twitter.com/HarbRimah/status/1364152191632760834","1364152191632760834")</f>
        <v>1364152191632760834</v>
      </c>
      <c r="F1318" s="7" t="s">
        <v>3458</v>
      </c>
      <c r="G1318" s="8"/>
      <c r="H1318" s="8"/>
      <c r="I1318" s="14">
        <v>16</v>
      </c>
      <c r="J1318" s="14">
        <v>10</v>
      </c>
      <c r="K1318" s="6" t="str">
        <f t="shared" ref="K1318:K1322" si="221">HYPERLINK("https://mobile.twitter.com","Twitter Web App")</f>
        <v>Twitter Web App</v>
      </c>
      <c r="L1318" s="15">
        <v>8983</v>
      </c>
      <c r="M1318" s="15">
        <v>4886</v>
      </c>
      <c r="N1318" s="15">
        <v>675</v>
      </c>
      <c r="O1318" s="9"/>
      <c r="P1318" s="10">
        <v>41198.440601851849</v>
      </c>
      <c r="Q1318" s="8"/>
      <c r="R1318" s="14" t="s">
        <v>2838</v>
      </c>
      <c r="S1318" s="8"/>
      <c r="T1318" s="8"/>
      <c r="U1318" s="11" t="str">
        <f>HYPERLINK("https://pbs.twimg.com/profile_images/909317895355863040/ls7cAjxm.jpg","View")</f>
        <v>View</v>
      </c>
      <c r="V1318" s="8"/>
      <c r="W1318" s="8"/>
      <c r="X1318" s="8"/>
      <c r="Y1318" s="8"/>
      <c r="Z1318" s="8"/>
    </row>
    <row r="1319" spans="1:26" ht="13.2">
      <c r="A1319" s="13">
        <v>44250.455937499995</v>
      </c>
      <c r="B1319" s="6" t="str">
        <f>HYPERLINK("https://twitter.com/Mindbreeze","@Mindbreeze")</f>
        <v>@Mindbreeze</v>
      </c>
      <c r="C1319" s="14" t="s">
        <v>5700</v>
      </c>
      <c r="D1319" s="14" t="s">
        <v>5701</v>
      </c>
      <c r="E1319" s="6" t="str">
        <f>HYPERLINK("https://twitter.com/Mindbreeze/status/1364152155146436608","1364152155146436608")</f>
        <v>1364152155146436608</v>
      </c>
      <c r="F1319" s="7" t="s">
        <v>5702</v>
      </c>
      <c r="G1319" s="8"/>
      <c r="H1319" s="8"/>
      <c r="I1319" s="14">
        <v>1</v>
      </c>
      <c r="J1319" s="14">
        <v>3</v>
      </c>
      <c r="K1319" s="6" t="str">
        <f t="shared" si="221"/>
        <v>Twitter Web App</v>
      </c>
      <c r="L1319" s="15">
        <v>454</v>
      </c>
      <c r="M1319" s="15">
        <v>331</v>
      </c>
      <c r="N1319" s="15">
        <v>46</v>
      </c>
      <c r="O1319" s="9"/>
      <c r="P1319" s="10">
        <v>40221.516689814816</v>
      </c>
      <c r="Q1319" s="14" t="s">
        <v>5703</v>
      </c>
      <c r="R1319" s="14" t="s">
        <v>5704</v>
      </c>
      <c r="S1319" s="7" t="s">
        <v>5705</v>
      </c>
      <c r="T1319" s="8"/>
      <c r="U1319" s="11" t="str">
        <f>HYPERLINK("https://pbs.twimg.com/profile_images/3690261843/da953afe91406e7f57f8ff7adc3d26fa.png","View")</f>
        <v>View</v>
      </c>
      <c r="V1319" s="8"/>
      <c r="W1319" s="8"/>
      <c r="X1319" s="8"/>
      <c r="Y1319" s="8"/>
      <c r="Z1319" s="8"/>
    </row>
    <row r="1320" spans="1:26" ht="13.2">
      <c r="A1320" s="13">
        <v>44250.455925925926</v>
      </c>
      <c r="B1320" s="6" t="str">
        <f>HYPERLINK("https://twitter.com/rasangarocks","@rasangarocks")</f>
        <v>@rasangarocks</v>
      </c>
      <c r="C1320" s="14" t="s">
        <v>5437</v>
      </c>
      <c r="D1320" s="14" t="s">
        <v>5706</v>
      </c>
      <c r="E1320" s="6" t="str">
        <f>HYPERLINK("https://twitter.com/rasangarocks/status/1364152150280925185","1364152150280925185")</f>
        <v>1364152150280925185</v>
      </c>
      <c r="F1320" s="7" t="s">
        <v>5707</v>
      </c>
      <c r="G1320" s="8"/>
      <c r="H1320" s="8"/>
      <c r="I1320" s="14">
        <v>9</v>
      </c>
      <c r="J1320" s="14">
        <v>2</v>
      </c>
      <c r="K1320" s="6" t="str">
        <f t="shared" si="221"/>
        <v>Twitter Web App</v>
      </c>
      <c r="L1320" s="15">
        <v>50654</v>
      </c>
      <c r="M1320" s="15">
        <v>49987</v>
      </c>
      <c r="N1320" s="15">
        <v>624</v>
      </c>
      <c r="O1320" s="9"/>
      <c r="P1320" s="10">
        <v>42071.75949074074</v>
      </c>
      <c r="Q1320" s="8"/>
      <c r="R1320" s="14" t="s">
        <v>5440</v>
      </c>
      <c r="S1320" s="7" t="s">
        <v>5441</v>
      </c>
      <c r="T1320" s="8"/>
      <c r="U1320" s="11" t="str">
        <f>HYPERLINK("https://pbs.twimg.com/profile_images/771872242300956672/j1H-OInO.jpg","View")</f>
        <v>View</v>
      </c>
      <c r="V1320" s="8"/>
      <c r="W1320" s="8"/>
      <c r="X1320" s="8"/>
      <c r="Y1320" s="8"/>
      <c r="Z1320" s="8"/>
    </row>
    <row r="1321" spans="1:26" ht="13.2">
      <c r="A1321" s="13">
        <v>44250.455706018518</v>
      </c>
      <c r="B1321" s="6" t="str">
        <f>HYPERLINK("https://twitter.com/Pangaea_X_","@Pangaea_X_")</f>
        <v>@Pangaea_X_</v>
      </c>
      <c r="C1321" s="14" t="s">
        <v>5708</v>
      </c>
      <c r="D1321" s="14" t="s">
        <v>5709</v>
      </c>
      <c r="E1321" s="6" t="str">
        <f>HYPERLINK("https://twitter.com/Pangaea_X_/status/1364152072204148737","1364152072204148737")</f>
        <v>1364152072204148737</v>
      </c>
      <c r="F1321" s="7" t="s">
        <v>5710</v>
      </c>
      <c r="G1321" s="7" t="s">
        <v>5711</v>
      </c>
      <c r="H1321" s="8"/>
      <c r="I1321" s="14">
        <v>3</v>
      </c>
      <c r="J1321" s="14">
        <v>3</v>
      </c>
      <c r="K1321" s="6" t="str">
        <f t="shared" si="221"/>
        <v>Twitter Web App</v>
      </c>
      <c r="L1321" s="15">
        <v>12</v>
      </c>
      <c r="M1321" s="15">
        <v>1</v>
      </c>
      <c r="N1321" s="15">
        <v>0</v>
      </c>
      <c r="O1321" s="9"/>
      <c r="P1321" s="10">
        <v>44084.455497685187</v>
      </c>
      <c r="Q1321" s="14" t="s">
        <v>5572</v>
      </c>
      <c r="R1321" s="14" t="s">
        <v>5712</v>
      </c>
      <c r="S1321" s="7" t="s">
        <v>5713</v>
      </c>
      <c r="T1321" s="8"/>
      <c r="U1321" s="11" t="str">
        <f>HYPERLINK("https://pbs.twimg.com/profile_images/1305431111791783936/h_F1G2xz.jpg","View")</f>
        <v>View</v>
      </c>
      <c r="V1321" s="8"/>
      <c r="W1321" s="8"/>
      <c r="X1321" s="8"/>
      <c r="Y1321" s="8"/>
      <c r="Z1321" s="8"/>
    </row>
    <row r="1322" spans="1:26" ht="13.2">
      <c r="A1322" s="13">
        <v>44250.455057870371</v>
      </c>
      <c r="B1322" s="6" t="str">
        <f>HYPERLINK("https://twitter.com/dzakarya","@dzakarya")</f>
        <v>@dzakarya</v>
      </c>
      <c r="C1322" s="14" t="s">
        <v>5714</v>
      </c>
      <c r="D1322" s="14" t="s">
        <v>5715</v>
      </c>
      <c r="E1322" s="6" t="str">
        <f>HYPERLINK("https://twitter.com/dzakarya/status/1364151839520821248","1364151839520821248")</f>
        <v>1364151839520821248</v>
      </c>
      <c r="F1322" s="7" t="s">
        <v>5716</v>
      </c>
      <c r="G1322" s="7" t="s">
        <v>5717</v>
      </c>
      <c r="H1322" s="8"/>
      <c r="I1322" s="14">
        <v>0</v>
      </c>
      <c r="J1322" s="14">
        <v>3</v>
      </c>
      <c r="K1322" s="6" t="str">
        <f t="shared" si="221"/>
        <v>Twitter Web App</v>
      </c>
      <c r="L1322" s="15">
        <v>202</v>
      </c>
      <c r="M1322" s="15">
        <v>214</v>
      </c>
      <c r="N1322" s="15">
        <v>0</v>
      </c>
      <c r="O1322" s="9"/>
      <c r="P1322" s="10">
        <v>40189.102766203701</v>
      </c>
      <c r="Q1322" s="14" t="s">
        <v>5718</v>
      </c>
      <c r="R1322" s="14" t="s">
        <v>5719</v>
      </c>
      <c r="S1322" s="7" t="s">
        <v>5720</v>
      </c>
      <c r="T1322" s="8"/>
      <c r="U1322" s="11" t="str">
        <f>HYPERLINK("https://pbs.twimg.com/profile_images/1331070256081559560/RP-HeXVi.jpg","View")</f>
        <v>View</v>
      </c>
      <c r="V1322" s="8"/>
      <c r="W1322" s="8"/>
      <c r="X1322" s="8"/>
      <c r="Y1322" s="8"/>
      <c r="Z1322" s="8"/>
    </row>
    <row r="1323" spans="1:26" ht="13.2">
      <c r="A1323" s="13">
        <v>44250.454884259263</v>
      </c>
      <c r="B1323" s="6" t="str">
        <f>HYPERLINK("https://twitter.com/SwissCognitive","@SwissCognitive")</f>
        <v>@SwissCognitive</v>
      </c>
      <c r="C1323" s="14" t="s">
        <v>2420</v>
      </c>
      <c r="D1323" s="14" t="s">
        <v>5721</v>
      </c>
      <c r="E1323" s="6" t="str">
        <f>HYPERLINK("https://twitter.com/SwissCognitive/status/1364151773569683459","1364151773569683459")</f>
        <v>1364151773569683459</v>
      </c>
      <c r="F1323" s="7" t="s">
        <v>5722</v>
      </c>
      <c r="G1323" s="8"/>
      <c r="H1323" s="8"/>
      <c r="I1323" s="14">
        <v>3</v>
      </c>
      <c r="J1323" s="14">
        <v>1</v>
      </c>
      <c r="K1323" s="6" t="str">
        <f>HYPERLINK("https://www.hootsuite.com","Hootsuite Inc.")</f>
        <v>Hootsuite Inc.</v>
      </c>
      <c r="L1323" s="15">
        <v>137757</v>
      </c>
      <c r="M1323" s="15">
        <v>68339</v>
      </c>
      <c r="N1323" s="15">
        <v>1365</v>
      </c>
      <c r="O1323" s="9"/>
      <c r="P1323" s="10">
        <v>42715.910520833335</v>
      </c>
      <c r="Q1323" s="14" t="s">
        <v>2424</v>
      </c>
      <c r="R1323" s="14" t="s">
        <v>2425</v>
      </c>
      <c r="S1323" s="7" t="s">
        <v>2426</v>
      </c>
      <c r="T1323" s="8"/>
      <c r="U1323" s="11" t="str">
        <f>HYPERLINK("https://pbs.twimg.com/profile_images/808057095035752448/7gjlLmVA.jpg","View")</f>
        <v>View</v>
      </c>
      <c r="V1323" s="8"/>
      <c r="W1323" s="8"/>
      <c r="X1323" s="8"/>
      <c r="Y1323" s="8"/>
      <c r="Z1323" s="8"/>
    </row>
    <row r="1324" spans="1:26" ht="13.2">
      <c r="A1324" s="13">
        <v>44250.454537037032</v>
      </c>
      <c r="B1324" s="6" t="str">
        <f>HYPERLINK("https://twitter.com/HarbRimah","@HarbRimah")</f>
        <v>@HarbRimah</v>
      </c>
      <c r="C1324" s="14" t="s">
        <v>2837</v>
      </c>
      <c r="D1324" s="14" t="s">
        <v>5723</v>
      </c>
      <c r="E1324" s="6" t="str">
        <f>HYPERLINK("https://twitter.com/HarbRimah/status/1364151647547629569","1364151647547629569")</f>
        <v>1364151647547629569</v>
      </c>
      <c r="F1324" s="7" t="s">
        <v>5724</v>
      </c>
      <c r="G1324" s="8"/>
      <c r="H1324" s="8"/>
      <c r="I1324" s="14">
        <v>7</v>
      </c>
      <c r="J1324" s="14">
        <v>2</v>
      </c>
      <c r="K1324" s="6" t="str">
        <f t="shared" ref="K1324:K1325" si="222">HYPERLINK("https://mobile.twitter.com","Twitter Web App")</f>
        <v>Twitter Web App</v>
      </c>
      <c r="L1324" s="15">
        <v>8983</v>
      </c>
      <c r="M1324" s="15">
        <v>4886</v>
      </c>
      <c r="N1324" s="15">
        <v>675</v>
      </c>
      <c r="O1324" s="9"/>
      <c r="P1324" s="10">
        <v>41198.440601851849</v>
      </c>
      <c r="Q1324" s="8"/>
      <c r="R1324" s="14" t="s">
        <v>2838</v>
      </c>
      <c r="S1324" s="8"/>
      <c r="T1324" s="8"/>
      <c r="U1324" s="11" t="str">
        <f>HYPERLINK("https://pbs.twimg.com/profile_images/909317895355863040/ls7cAjxm.jpg","View")</f>
        <v>View</v>
      </c>
      <c r="V1324" s="8"/>
      <c r="W1324" s="8"/>
      <c r="X1324" s="8"/>
      <c r="Y1324" s="8"/>
      <c r="Z1324" s="8"/>
    </row>
    <row r="1325" spans="1:26" ht="13.2">
      <c r="A1325" s="13">
        <v>44250.454236111109</v>
      </c>
      <c r="B1325" s="6" t="str">
        <f>HYPERLINK("https://twitter.com/ProgrammingHero","@ProgrammingHero")</f>
        <v>@ProgrammingHero</v>
      </c>
      <c r="C1325" s="14" t="s">
        <v>5725</v>
      </c>
      <c r="D1325" s="14" t="s">
        <v>5726</v>
      </c>
      <c r="E1325" s="6" t="str">
        <f>HYPERLINK("https://twitter.com/ProgrammingHero/status/1364151542035537930","1364151542035537930")</f>
        <v>1364151542035537930</v>
      </c>
      <c r="F1325" s="8"/>
      <c r="G1325" s="7" t="s">
        <v>5727</v>
      </c>
      <c r="H1325" s="8"/>
      <c r="I1325" s="14">
        <v>7</v>
      </c>
      <c r="J1325" s="14">
        <v>7</v>
      </c>
      <c r="K1325" s="6" t="str">
        <f t="shared" si="222"/>
        <v>Twitter Web App</v>
      </c>
      <c r="L1325" s="15">
        <v>504</v>
      </c>
      <c r="M1325" s="15">
        <v>57</v>
      </c>
      <c r="N1325" s="15">
        <v>4</v>
      </c>
      <c r="O1325" s="9"/>
      <c r="P1325" s="10">
        <v>43948.936331018514</v>
      </c>
      <c r="Q1325" s="8"/>
      <c r="R1325" s="14" t="s">
        <v>5728</v>
      </c>
      <c r="S1325" s="7" t="s">
        <v>1223</v>
      </c>
      <c r="T1325" s="8"/>
      <c r="U1325" s="11" t="str">
        <f>HYPERLINK("https://pbs.twimg.com/profile_images/1342876680579211264/Deu16VBY.jpg","View")</f>
        <v>View</v>
      </c>
      <c r="V1325" s="8"/>
      <c r="W1325" s="8"/>
      <c r="X1325" s="8"/>
      <c r="Y1325" s="8"/>
      <c r="Z1325" s="8"/>
    </row>
    <row r="1326" spans="1:26" ht="13.2">
      <c r="A1326" s="13">
        <v>44250.453634259262</v>
      </c>
      <c r="B1326" s="6" t="str">
        <f>HYPERLINK("https://twitter.com/IainLJBrown","@IainLJBrown")</f>
        <v>@IainLJBrown</v>
      </c>
      <c r="C1326" s="14" t="s">
        <v>2776</v>
      </c>
      <c r="D1326" s="14" t="s">
        <v>5729</v>
      </c>
      <c r="E1326" s="6" t="str">
        <f>HYPERLINK("https://twitter.com/IainLJBrown/status/1364151320249307137","1364151320249307137")</f>
        <v>1364151320249307137</v>
      </c>
      <c r="F1326" s="7" t="s">
        <v>5730</v>
      </c>
      <c r="G1326" s="8"/>
      <c r="H1326" s="8"/>
      <c r="I1326" s="14">
        <v>20</v>
      </c>
      <c r="J1326" s="14">
        <v>12</v>
      </c>
      <c r="K1326" s="6" t="str">
        <f>HYPERLINK("https://ifttt.com","IFTTT")</f>
        <v>IFTTT</v>
      </c>
      <c r="L1326" s="15">
        <v>115543</v>
      </c>
      <c r="M1326" s="15">
        <v>98727</v>
      </c>
      <c r="N1326" s="15">
        <v>423</v>
      </c>
      <c r="O1326" s="9"/>
      <c r="P1326" s="10">
        <v>40926.673900462964</v>
      </c>
      <c r="Q1326" s="14" t="s">
        <v>753</v>
      </c>
      <c r="R1326" s="14" t="s">
        <v>2779</v>
      </c>
      <c r="S1326" s="7" t="s">
        <v>2780</v>
      </c>
      <c r="T1326" s="8"/>
      <c r="U1326" s="11" t="str">
        <f>HYPERLINK("https://pbs.twimg.com/profile_images/1352606177352364032/jQ7AI0vG.jpg","View")</f>
        <v>View</v>
      </c>
      <c r="V1326" s="8"/>
      <c r="W1326" s="8"/>
      <c r="X1326" s="8"/>
      <c r="Y1326" s="8"/>
      <c r="Z1326" s="8"/>
    </row>
    <row r="1327" spans="1:26" ht="13.2">
      <c r="A1327" s="13">
        <v>44250.453611111108</v>
      </c>
      <c r="B1327" s="6" t="str">
        <f>HYPERLINK("https://twitter.com/HarbRimah","@HarbRimah")</f>
        <v>@HarbRimah</v>
      </c>
      <c r="C1327" s="14" t="s">
        <v>2837</v>
      </c>
      <c r="D1327" s="14" t="s">
        <v>4808</v>
      </c>
      <c r="E1327" s="6" t="str">
        <f>HYPERLINK("https://twitter.com/HarbRimah/status/1364151313756487682","1364151313756487682")</f>
        <v>1364151313756487682</v>
      </c>
      <c r="F1327" s="7" t="s">
        <v>2603</v>
      </c>
      <c r="G1327" s="8"/>
      <c r="H1327" s="8"/>
      <c r="I1327" s="14">
        <v>18</v>
      </c>
      <c r="J1327" s="14">
        <v>11</v>
      </c>
      <c r="K1327" s="6" t="str">
        <f>HYPERLINK("https://mobile.twitter.com","Twitter Web App")</f>
        <v>Twitter Web App</v>
      </c>
      <c r="L1327" s="15">
        <v>8983</v>
      </c>
      <c r="M1327" s="15">
        <v>4886</v>
      </c>
      <c r="N1327" s="15">
        <v>675</v>
      </c>
      <c r="O1327" s="9"/>
      <c r="P1327" s="10">
        <v>41198.440601851849</v>
      </c>
      <c r="Q1327" s="8"/>
      <c r="R1327" s="14" t="s">
        <v>2838</v>
      </c>
      <c r="S1327" s="8"/>
      <c r="T1327" s="8"/>
      <c r="U1327" s="11" t="str">
        <f>HYPERLINK("https://pbs.twimg.com/profile_images/909317895355863040/ls7cAjxm.jpg","View")</f>
        <v>View</v>
      </c>
      <c r="V1327" s="8"/>
      <c r="W1327" s="8"/>
      <c r="X1327" s="8"/>
      <c r="Y1327" s="8"/>
      <c r="Z1327" s="8"/>
    </row>
    <row r="1328" spans="1:26" ht="13.2">
      <c r="A1328" s="13">
        <v>44250.453587962962</v>
      </c>
      <c r="B1328" s="6" t="str">
        <f>HYPERLINK("https://twitter.com/SalomonOli","@SalomonOli")</f>
        <v>@SalomonOli</v>
      </c>
      <c r="C1328" s="14" t="s">
        <v>5731</v>
      </c>
      <c r="D1328" s="14" t="s">
        <v>5313</v>
      </c>
      <c r="E1328" s="6" t="str">
        <f>HYPERLINK("https://twitter.com/SalomonOli/status/1364151303824433152","1364151303824433152")</f>
        <v>1364151303824433152</v>
      </c>
      <c r="F1328" s="14" t="s">
        <v>5314</v>
      </c>
      <c r="G1328" s="8"/>
      <c r="H1328" s="8"/>
      <c r="I1328" s="14">
        <v>0</v>
      </c>
      <c r="J1328" s="14">
        <v>0</v>
      </c>
      <c r="K1328" s="6" t="str">
        <f t="shared" ref="K1328:K1329" si="223">HYPERLINK("http://twinybots.com","TwinyBots")</f>
        <v>TwinyBots</v>
      </c>
      <c r="L1328" s="15">
        <v>3207</v>
      </c>
      <c r="M1328" s="15">
        <v>2673</v>
      </c>
      <c r="N1328" s="15">
        <v>242</v>
      </c>
      <c r="O1328" s="9"/>
      <c r="P1328" s="10">
        <v>42449.350486111114</v>
      </c>
      <c r="Q1328" s="14" t="s">
        <v>5732</v>
      </c>
      <c r="R1328" s="14" t="s">
        <v>5733</v>
      </c>
      <c r="S1328" s="7" t="s">
        <v>5734</v>
      </c>
      <c r="T1328" s="8"/>
      <c r="U1328" s="11" t="str">
        <f>HYPERLINK("https://pbs.twimg.com/profile_images/1245323945924087808/p3xtOUw4.jpg","View")</f>
        <v>View</v>
      </c>
      <c r="V1328" s="8"/>
      <c r="W1328" s="8"/>
      <c r="X1328" s="8"/>
      <c r="Y1328" s="8"/>
      <c r="Z1328" s="8"/>
    </row>
    <row r="1329" spans="1:26" ht="13.2">
      <c r="A1329" s="13">
        <v>44250.453553240739</v>
      </c>
      <c r="B1329" s="6" t="str">
        <f>HYPERLINK("https://twitter.com/ilceruttino","@ilceruttino")</f>
        <v>@ilceruttino</v>
      </c>
      <c r="C1329" s="14" t="s">
        <v>5735</v>
      </c>
      <c r="D1329" s="14" t="s">
        <v>5736</v>
      </c>
      <c r="E1329" s="6" t="str">
        <f>HYPERLINK("https://twitter.com/ilceruttino/status/1364151291526717442","1364151291526717442")</f>
        <v>1364151291526717442</v>
      </c>
      <c r="F1329" s="7" t="s">
        <v>5698</v>
      </c>
      <c r="G1329" s="8"/>
      <c r="H1329" s="8"/>
      <c r="I1329" s="14">
        <v>0</v>
      </c>
      <c r="J1329" s="14">
        <v>1</v>
      </c>
      <c r="K1329" s="6" t="str">
        <f t="shared" si="223"/>
        <v>TwinyBots</v>
      </c>
      <c r="L1329" s="15">
        <v>2452</v>
      </c>
      <c r="M1329" s="15">
        <v>3982</v>
      </c>
      <c r="N1329" s="15">
        <v>65</v>
      </c>
      <c r="O1329" s="9"/>
      <c r="P1329" s="10">
        <v>40010.475960648146</v>
      </c>
      <c r="Q1329" s="14" t="s">
        <v>5737</v>
      </c>
      <c r="R1329" s="14" t="s">
        <v>5738</v>
      </c>
      <c r="S1329" s="8"/>
      <c r="T1329" s="8"/>
      <c r="U1329" s="11" t="str">
        <f>HYPERLINK("https://pbs.twimg.com/profile_images/1325581745299853314/S-f9TACm.jpg","View")</f>
        <v>View</v>
      </c>
      <c r="V1329" s="8"/>
      <c r="W1329" s="8"/>
      <c r="X1329" s="8"/>
      <c r="Y1329" s="8"/>
      <c r="Z1329" s="8"/>
    </row>
    <row r="1330" spans="1:26" ht="13.2">
      <c r="A1330" s="13">
        <v>44250.453530092593</v>
      </c>
      <c r="B1330" s="6" t="str">
        <f>HYPERLINK("https://twitter.com/FraunhoferHHI","@FraunhoferHHI")</f>
        <v>@FraunhoferHHI</v>
      </c>
      <c r="C1330" s="14" t="s">
        <v>5739</v>
      </c>
      <c r="D1330" s="14" t="s">
        <v>5740</v>
      </c>
      <c r="E1330" s="6" t="str">
        <f>HYPERLINK("https://twitter.com/FraunhoferHHI/status/1364151284887130114","1364151284887130114")</f>
        <v>1364151284887130114</v>
      </c>
      <c r="F1330" s="7" t="s">
        <v>5741</v>
      </c>
      <c r="G1330" s="7" t="s">
        <v>5742</v>
      </c>
      <c r="H1330" s="8"/>
      <c r="I1330" s="14">
        <v>3</v>
      </c>
      <c r="J1330" s="14">
        <v>16</v>
      </c>
      <c r="K1330" s="6" t="str">
        <f>HYPERLINK("https://mobile.twitter.com","Twitter Web App")</f>
        <v>Twitter Web App</v>
      </c>
      <c r="L1330" s="15">
        <v>2048</v>
      </c>
      <c r="M1330" s="15">
        <v>618</v>
      </c>
      <c r="N1330" s="15">
        <v>86</v>
      </c>
      <c r="O1330" s="9"/>
      <c r="P1330" s="10">
        <v>40715.623229166667</v>
      </c>
      <c r="Q1330" s="14" t="s">
        <v>4490</v>
      </c>
      <c r="R1330" s="14" t="s">
        <v>5743</v>
      </c>
      <c r="S1330" s="7" t="s">
        <v>5744</v>
      </c>
      <c r="T1330" s="8"/>
      <c r="U1330" s="11" t="str">
        <f>HYPERLINK("https://pbs.twimg.com/profile_images/1113428424536805376/ryA8tAg-.png","View")</f>
        <v>View</v>
      </c>
      <c r="V1330" s="8"/>
      <c r="W1330" s="8"/>
      <c r="X1330" s="8"/>
      <c r="Y1330" s="8"/>
      <c r="Z1330" s="8"/>
    </row>
    <row r="1331" spans="1:26" ht="13.2">
      <c r="A1331" s="13">
        <v>44250.45311342593</v>
      </c>
      <c r="B1331" s="6" t="str">
        <f>HYPERLINK("https://twitter.com/slashML","@slashML")</f>
        <v>@slashML</v>
      </c>
      <c r="C1331" s="14" t="s">
        <v>779</v>
      </c>
      <c r="D1331" s="14" t="s">
        <v>5745</v>
      </c>
      <c r="E1331" s="6" t="str">
        <f>HYPERLINK("https://twitter.com/slashML/status/1364151132465995779","1364151132465995779")</f>
        <v>1364151132465995779</v>
      </c>
      <c r="F1331" s="7" t="s">
        <v>4655</v>
      </c>
      <c r="G1331" s="8"/>
      <c r="H1331" s="8"/>
      <c r="I1331" s="14">
        <v>2</v>
      </c>
      <c r="J1331" s="14">
        <v>5</v>
      </c>
      <c r="K1331" s="6" t="str">
        <f>HYPERLINK("https://www.reddit.com/r/MachineLearning/","From /r/MachineLearning")</f>
        <v>From /r/MachineLearning</v>
      </c>
      <c r="L1331" s="15">
        <v>44297</v>
      </c>
      <c r="M1331" s="15">
        <v>1</v>
      </c>
      <c r="N1331" s="15">
        <v>600</v>
      </c>
      <c r="O1331" s="9"/>
      <c r="P1331" s="10">
        <v>42710.818564814814</v>
      </c>
      <c r="Q1331" s="8"/>
      <c r="R1331" s="14" t="s">
        <v>782</v>
      </c>
      <c r="S1331" s="8"/>
      <c r="T1331" s="8"/>
      <c r="U1331" s="11" t="str">
        <f>HYPERLINK("https://pbs.twimg.com/profile_images/806213385545273344/s7sE4E8a.jpg","View")</f>
        <v>View</v>
      </c>
      <c r="V1331" s="8"/>
      <c r="W1331" s="8"/>
      <c r="X1331" s="8"/>
      <c r="Y1331" s="8"/>
      <c r="Z1331" s="8"/>
    </row>
    <row r="1332" spans="1:26" ht="13.2">
      <c r="A1332" s="13">
        <v>44250.452789351853</v>
      </c>
      <c r="B1332" s="6" t="str">
        <f>HYPERLINK("https://twitter.com/BristowColin","@BristowColin")</f>
        <v>@BristowColin</v>
      </c>
      <c r="C1332" s="14" t="s">
        <v>596</v>
      </c>
      <c r="D1332" s="14" t="s">
        <v>5746</v>
      </c>
      <c r="E1332" s="6" t="str">
        <f>HYPERLINK("https://twitter.com/BristowColin/status/1364151016409559041","1364151016409559041")</f>
        <v>1364151016409559041</v>
      </c>
      <c r="F1332" s="7" t="s">
        <v>5747</v>
      </c>
      <c r="G1332" s="8"/>
      <c r="H1332" s="8"/>
      <c r="I1332" s="14">
        <v>8</v>
      </c>
      <c r="J1332" s="14">
        <v>2</v>
      </c>
      <c r="K1332" s="6" t="str">
        <f>HYPERLINK("http://dynamicsignal.com/","Dynamic Signal")</f>
        <v>Dynamic Signal</v>
      </c>
      <c r="L1332" s="15">
        <v>12149</v>
      </c>
      <c r="M1332" s="15">
        <v>9707</v>
      </c>
      <c r="N1332" s="15">
        <v>155</v>
      </c>
      <c r="O1332" s="9"/>
      <c r="P1332" s="10">
        <v>40900.478090277778</v>
      </c>
      <c r="Q1332" s="14" t="s">
        <v>599</v>
      </c>
      <c r="R1332" s="14" t="s">
        <v>600</v>
      </c>
      <c r="S1332" s="7" t="s">
        <v>601</v>
      </c>
      <c r="T1332" s="8"/>
      <c r="U1332" s="11" t="str">
        <f>HYPERLINK("https://pbs.twimg.com/profile_images/692994884270198784/jQX64C1s.jpg","View")</f>
        <v>View</v>
      </c>
      <c r="V1332" s="8"/>
      <c r="W1332" s="8"/>
      <c r="X1332" s="8"/>
      <c r="Y1332" s="8"/>
      <c r="Z1332" s="8"/>
    </row>
    <row r="1333" spans="1:26" ht="13.2">
      <c r="A1333" s="13">
        <v>44250.452453703707</v>
      </c>
      <c r="B1333" s="6" t="str">
        <f>HYPERLINK("https://twitter.com/HarbRimah","@HarbRimah")</f>
        <v>@HarbRimah</v>
      </c>
      <c r="C1333" s="14" t="s">
        <v>2837</v>
      </c>
      <c r="D1333" s="14" t="s">
        <v>5748</v>
      </c>
      <c r="E1333" s="6" t="str">
        <f>HYPERLINK("https://twitter.com/HarbRimah/status/1364150894338727944","1364150894338727944")</f>
        <v>1364150894338727944</v>
      </c>
      <c r="F1333" s="7" t="s">
        <v>5749</v>
      </c>
      <c r="G1333" s="8"/>
      <c r="H1333" s="8"/>
      <c r="I1333" s="14">
        <v>12</v>
      </c>
      <c r="J1333" s="14">
        <v>3</v>
      </c>
      <c r="K1333" s="6" t="str">
        <f>HYPERLINK("https://mobile.twitter.com","Twitter Web App")</f>
        <v>Twitter Web App</v>
      </c>
      <c r="L1333" s="15">
        <v>8983</v>
      </c>
      <c r="M1333" s="15">
        <v>4886</v>
      </c>
      <c r="N1333" s="15">
        <v>675</v>
      </c>
      <c r="O1333" s="9"/>
      <c r="P1333" s="10">
        <v>41198.440601851849</v>
      </c>
      <c r="Q1333" s="8"/>
      <c r="R1333" s="14" t="s">
        <v>2838</v>
      </c>
      <c r="S1333" s="8"/>
      <c r="T1333" s="8"/>
      <c r="U1333" s="11" t="str">
        <f>HYPERLINK("https://pbs.twimg.com/profile_images/909317895355863040/ls7cAjxm.jpg","View")</f>
        <v>View</v>
      </c>
      <c r="V1333" s="8"/>
      <c r="W1333" s="8"/>
      <c r="X1333" s="8"/>
      <c r="Y1333" s="8"/>
      <c r="Z1333" s="8"/>
    </row>
    <row r="1334" spans="1:26" ht="13.2">
      <c r="A1334" s="13">
        <v>44250.45244212963</v>
      </c>
      <c r="B1334" s="6" t="str">
        <f>HYPERLINK("https://twitter.com/guidaautonoma","@guidaautonoma")</f>
        <v>@guidaautonoma</v>
      </c>
      <c r="C1334" s="14" t="s">
        <v>2203</v>
      </c>
      <c r="D1334" s="14" t="s">
        <v>5750</v>
      </c>
      <c r="E1334" s="6" t="str">
        <f>HYPERLINK("https://twitter.com/guidaautonoma/status/1364150889066430466","1364150889066430466")</f>
        <v>1364150889066430466</v>
      </c>
      <c r="F1334" s="7" t="s">
        <v>5751</v>
      </c>
      <c r="G1334" s="8"/>
      <c r="H1334" s="8"/>
      <c r="I1334" s="14">
        <v>0</v>
      </c>
      <c r="J1334" s="14">
        <v>0</v>
      </c>
      <c r="K1334" s="6" t="str">
        <f>HYPERLINK("http://twitter.com/download/android","Twitter for Android")</f>
        <v>Twitter for Android</v>
      </c>
      <c r="L1334" s="15">
        <v>7074</v>
      </c>
      <c r="M1334" s="15">
        <v>6991</v>
      </c>
      <c r="N1334" s="15">
        <v>411</v>
      </c>
      <c r="O1334" s="9"/>
      <c r="P1334" s="10">
        <v>42496.270833333328</v>
      </c>
      <c r="Q1334" s="14" t="s">
        <v>2207</v>
      </c>
      <c r="R1334" s="14" t="s">
        <v>2208</v>
      </c>
      <c r="S1334" s="7" t="s">
        <v>2209</v>
      </c>
      <c r="T1334" s="8"/>
      <c r="U1334" s="11" t="str">
        <f>HYPERLINK("https://pbs.twimg.com/profile_images/728675456971583488/AVbaFxlK.jpg","View")</f>
        <v>View</v>
      </c>
      <c r="V1334" s="8"/>
      <c r="W1334" s="8"/>
      <c r="X1334" s="8"/>
      <c r="Y1334" s="8"/>
      <c r="Z1334" s="8"/>
    </row>
    <row r="1335" spans="1:26" ht="13.2">
      <c r="A1335" s="13">
        <v>44250.452407407407</v>
      </c>
      <c r="B1335" s="6" t="str">
        <f>HYPERLINK("https://twitter.com/PrintableEtsy","@PrintableEtsy")</f>
        <v>@PrintableEtsy</v>
      </c>
      <c r="C1335" s="14" t="s">
        <v>5752</v>
      </c>
      <c r="D1335" s="14" t="s">
        <v>5753</v>
      </c>
      <c r="E1335" s="6" t="str">
        <f>HYPERLINK("https://twitter.com/PrintableEtsy/status/1364150876206735360","1364150876206735360")</f>
        <v>1364150876206735360</v>
      </c>
      <c r="F1335" s="14" t="s">
        <v>2482</v>
      </c>
      <c r="G1335" s="8"/>
      <c r="H1335" s="8"/>
      <c r="I1335" s="14">
        <v>0</v>
      </c>
      <c r="J1335" s="14">
        <v>0</v>
      </c>
      <c r="K1335" s="6" t="str">
        <f>HYPERLINK("http://twinybots.com","TwinyBots")</f>
        <v>TwinyBots</v>
      </c>
      <c r="L1335" s="15">
        <v>302</v>
      </c>
      <c r="M1335" s="15">
        <v>705</v>
      </c>
      <c r="N1335" s="15">
        <v>7</v>
      </c>
      <c r="O1335" s="9"/>
      <c r="P1335" s="10">
        <v>43319.598854166667</v>
      </c>
      <c r="Q1335" s="14" t="s">
        <v>5754</v>
      </c>
      <c r="R1335" s="14" t="s">
        <v>5755</v>
      </c>
      <c r="S1335" s="7" t="s">
        <v>5756</v>
      </c>
      <c r="T1335" s="8"/>
      <c r="U1335" s="11" t="str">
        <f>HYPERLINK("https://pbs.twimg.com/profile_images/1329742869914136582/sVdyU9dn.jpg","View")</f>
        <v>View</v>
      </c>
      <c r="V1335" s="8"/>
      <c r="W1335" s="8"/>
      <c r="X1335" s="8"/>
      <c r="Y1335" s="8"/>
      <c r="Z1335" s="8"/>
    </row>
    <row r="1336" spans="1:26" ht="13.2">
      <c r="A1336" s="13">
        <v>44250.452233796299</v>
      </c>
      <c r="B1336" s="6" t="str">
        <f>HYPERLINK("https://twitter.com/lyrium_global","@lyrium_global")</f>
        <v>@lyrium_global</v>
      </c>
      <c r="C1336" s="14" t="s">
        <v>5757</v>
      </c>
      <c r="D1336" s="14" t="s">
        <v>5758</v>
      </c>
      <c r="E1336" s="6" t="str">
        <f>HYPERLINK("https://twitter.com/lyrium_global/status/1364150815426977794","1364150815426977794")</f>
        <v>1364150815426977794</v>
      </c>
      <c r="F1336" s="7" t="s">
        <v>5759</v>
      </c>
      <c r="G1336" s="8"/>
      <c r="H1336" s="8"/>
      <c r="I1336" s="14">
        <v>0</v>
      </c>
      <c r="J1336" s="14">
        <v>0</v>
      </c>
      <c r="K1336" s="6" t="str">
        <f t="shared" ref="K1336:K1339" si="224">HYPERLINK("https://mobile.twitter.com","Twitter Web App")</f>
        <v>Twitter Web App</v>
      </c>
      <c r="L1336" s="15">
        <v>30</v>
      </c>
      <c r="M1336" s="15">
        <v>30</v>
      </c>
      <c r="N1336" s="15">
        <v>19</v>
      </c>
      <c r="O1336" s="9"/>
      <c r="P1336" s="10">
        <v>40314.637627314813</v>
      </c>
      <c r="Q1336" s="14" t="s">
        <v>5760</v>
      </c>
      <c r="R1336" s="14" t="s">
        <v>5761</v>
      </c>
      <c r="S1336" s="7" t="s">
        <v>5762</v>
      </c>
      <c r="T1336" s="8"/>
      <c r="U1336" s="11" t="str">
        <f>HYPERLINK("https://pbs.twimg.com/profile_images/2951921396/a4543606d59101b4c6e1a3d87e611d7e.jpeg","View")</f>
        <v>View</v>
      </c>
      <c r="V1336" s="8"/>
      <c r="W1336" s="8"/>
      <c r="X1336" s="8"/>
      <c r="Y1336" s="8"/>
      <c r="Z1336" s="8"/>
    </row>
    <row r="1337" spans="1:26" ht="13.2">
      <c r="A1337" s="13">
        <v>44250.451793981483</v>
      </c>
      <c r="B1337" s="6" t="str">
        <f>HYPERLINK("https://twitter.com/HarbRimah","@HarbRimah")</f>
        <v>@HarbRimah</v>
      </c>
      <c r="C1337" s="14" t="s">
        <v>2837</v>
      </c>
      <c r="D1337" s="14" t="s">
        <v>5763</v>
      </c>
      <c r="E1337" s="6" t="str">
        <f>HYPERLINK("https://twitter.com/HarbRimah/status/1364150656060321793","1364150656060321793")</f>
        <v>1364150656060321793</v>
      </c>
      <c r="F1337" s="7" t="s">
        <v>721</v>
      </c>
      <c r="G1337" s="8"/>
      <c r="H1337" s="8"/>
      <c r="I1337" s="14">
        <v>23</v>
      </c>
      <c r="J1337" s="14">
        <v>7</v>
      </c>
      <c r="K1337" s="6" t="str">
        <f t="shared" si="224"/>
        <v>Twitter Web App</v>
      </c>
      <c r="L1337" s="15">
        <v>8983</v>
      </c>
      <c r="M1337" s="15">
        <v>4886</v>
      </c>
      <c r="N1337" s="15">
        <v>675</v>
      </c>
      <c r="O1337" s="9"/>
      <c r="P1337" s="10">
        <v>41198.440601851849</v>
      </c>
      <c r="Q1337" s="8"/>
      <c r="R1337" s="14" t="s">
        <v>2838</v>
      </c>
      <c r="S1337" s="8"/>
      <c r="T1337" s="8"/>
      <c r="U1337" s="11" t="str">
        <f>HYPERLINK("https://pbs.twimg.com/profile_images/909317895355863040/ls7cAjxm.jpg","View")</f>
        <v>View</v>
      </c>
      <c r="V1337" s="8"/>
      <c r="W1337" s="8"/>
      <c r="X1337" s="8"/>
      <c r="Y1337" s="8"/>
      <c r="Z1337" s="8"/>
    </row>
    <row r="1338" spans="1:26" ht="13.2">
      <c r="A1338" s="13">
        <v>44250.451550925922</v>
      </c>
      <c r="B1338" s="6" t="str">
        <f>HYPERLINK("https://twitter.com/meisshaily","@meisshaily")</f>
        <v>@meisshaily</v>
      </c>
      <c r="C1338" s="14" t="s">
        <v>5764</v>
      </c>
      <c r="D1338" s="14" t="s">
        <v>5765</v>
      </c>
      <c r="E1338" s="6" t="str">
        <f>HYPERLINK("https://twitter.com/meisshaily/status/1364150567036051456","1364150567036051456")</f>
        <v>1364150567036051456</v>
      </c>
      <c r="F1338" s="7" t="s">
        <v>5766</v>
      </c>
      <c r="G1338" s="8"/>
      <c r="H1338" s="8"/>
      <c r="I1338" s="14">
        <v>0</v>
      </c>
      <c r="J1338" s="14">
        <v>1</v>
      </c>
      <c r="K1338" s="6" t="str">
        <f t="shared" si="224"/>
        <v>Twitter Web App</v>
      </c>
      <c r="L1338" s="15">
        <v>51270</v>
      </c>
      <c r="M1338" s="15">
        <v>38485</v>
      </c>
      <c r="N1338" s="15">
        <v>881</v>
      </c>
      <c r="O1338" s="9"/>
      <c r="P1338" s="10">
        <v>42315.205775462964</v>
      </c>
      <c r="Q1338" s="14" t="s">
        <v>5767</v>
      </c>
      <c r="R1338" s="14" t="s">
        <v>5768</v>
      </c>
      <c r="S1338" s="7" t="s">
        <v>5769</v>
      </c>
      <c r="T1338" s="8"/>
      <c r="U1338" s="11" t="str">
        <f>HYPERLINK("https://pbs.twimg.com/profile_images/1036229921075425280/09bXnSZJ.jpg","View")</f>
        <v>View</v>
      </c>
      <c r="V1338" s="8"/>
      <c r="W1338" s="8"/>
      <c r="X1338" s="8"/>
      <c r="Y1338" s="8"/>
      <c r="Z1338" s="8"/>
    </row>
    <row r="1339" spans="1:26" ht="13.2">
      <c r="A1339" s="13">
        <v>44250.451435185183</v>
      </c>
      <c r="B1339" s="6" t="str">
        <f>HYPERLINK("https://twitter.com/AremDzemal","@AremDzemal")</f>
        <v>@AremDzemal</v>
      </c>
      <c r="C1339" s="14" t="s">
        <v>5770</v>
      </c>
      <c r="D1339" s="14" t="s">
        <v>5771</v>
      </c>
      <c r="E1339" s="6" t="str">
        <f>HYPERLINK("https://twitter.com/AremDzemal/status/1364150525206401027","1364150525206401027")</f>
        <v>1364150525206401027</v>
      </c>
      <c r="F1339" s="7" t="s">
        <v>5772</v>
      </c>
      <c r="G1339" s="7" t="s">
        <v>5773</v>
      </c>
      <c r="H1339" s="8"/>
      <c r="I1339" s="14">
        <v>0</v>
      </c>
      <c r="J1339" s="14">
        <v>0</v>
      </c>
      <c r="K1339" s="6" t="str">
        <f t="shared" si="224"/>
        <v>Twitter Web App</v>
      </c>
      <c r="L1339" s="15">
        <v>1592</v>
      </c>
      <c r="M1339" s="15">
        <v>1775</v>
      </c>
      <c r="N1339" s="15">
        <v>16</v>
      </c>
      <c r="O1339" s="9"/>
      <c r="P1339" s="10">
        <v>43513.969027777777</v>
      </c>
      <c r="Q1339" s="14" t="s">
        <v>3596</v>
      </c>
      <c r="R1339" s="14" t="s">
        <v>5774</v>
      </c>
      <c r="S1339" s="8"/>
      <c r="T1339" s="8"/>
      <c r="U1339" s="11" t="str">
        <f>HYPERLINK("https://pbs.twimg.com/profile_images/1097261547213213701/8Pl01wLU.jpg","View")</f>
        <v>View</v>
      </c>
      <c r="V1339" s="8"/>
      <c r="W1339" s="8"/>
      <c r="X1339" s="8"/>
      <c r="Y1339" s="8"/>
      <c r="Z1339" s="8"/>
    </row>
    <row r="1340" spans="1:26" ht="13.2">
      <c r="A1340" s="13">
        <v>44250.451261574075</v>
      </c>
      <c r="B1340" s="6" t="str">
        <f>HYPERLINK("https://twitter.com/dmtemis","@dmtemis")</f>
        <v>@dmtemis</v>
      </c>
      <c r="C1340" s="14" t="s">
        <v>5775</v>
      </c>
      <c r="D1340" s="14" t="s">
        <v>5776</v>
      </c>
      <c r="E1340" s="6" t="str">
        <f>HYPERLINK("https://twitter.com/dmtemis/status/1364150460983037956","1364150460983037956")</f>
        <v>1364150460983037956</v>
      </c>
      <c r="F1340" s="14" t="s">
        <v>5777</v>
      </c>
      <c r="G1340" s="8"/>
      <c r="H1340" s="8"/>
      <c r="I1340" s="14">
        <v>0</v>
      </c>
      <c r="J1340" s="14">
        <v>0</v>
      </c>
      <c r="K1340" s="6" t="str">
        <f>HYPERLINK("http://www.linkedin.com/","LinkedIn")</f>
        <v>LinkedIn</v>
      </c>
      <c r="L1340" s="15">
        <v>228</v>
      </c>
      <c r="M1340" s="15">
        <v>305</v>
      </c>
      <c r="N1340" s="15">
        <v>24</v>
      </c>
      <c r="O1340" s="9"/>
      <c r="P1340" s="10">
        <v>40980.054178240738</v>
      </c>
      <c r="Q1340" s="14" t="s">
        <v>5778</v>
      </c>
      <c r="R1340" s="14" t="s">
        <v>5779</v>
      </c>
      <c r="S1340" s="7" t="s">
        <v>5780</v>
      </c>
      <c r="T1340" s="8"/>
      <c r="U1340" s="11" t="str">
        <f>HYPERLINK("https://pbs.twimg.com/profile_images/3216737340/cd5261ad157338dd025823b04311805b.jpeg","View")</f>
        <v>View</v>
      </c>
      <c r="V1340" s="8"/>
      <c r="W1340" s="8"/>
      <c r="X1340" s="8"/>
      <c r="Y1340" s="8"/>
      <c r="Z1340" s="8"/>
    </row>
    <row r="1341" spans="1:26" ht="13.2">
      <c r="A1341" s="13">
        <v>44250.450740740736</v>
      </c>
      <c r="B1341" s="6" t="str">
        <f>HYPERLINK("https://twitter.com/INSOFEedu","@INSOFEedu")</f>
        <v>@INSOFEedu</v>
      </c>
      <c r="C1341" s="14" t="s">
        <v>5781</v>
      </c>
      <c r="D1341" s="14" t="s">
        <v>5782</v>
      </c>
      <c r="E1341" s="6" t="str">
        <f>HYPERLINK("https://twitter.com/INSOFEedu/status/1364150271538982914","1364150271538982914")</f>
        <v>1364150271538982914</v>
      </c>
      <c r="F1341" s="7" t="s">
        <v>5783</v>
      </c>
      <c r="G1341" s="7" t="s">
        <v>5784</v>
      </c>
      <c r="H1341" s="8"/>
      <c r="I1341" s="14">
        <v>0</v>
      </c>
      <c r="J1341" s="14">
        <v>1</v>
      </c>
      <c r="K1341" s="6" t="str">
        <f>HYPERLINK("https://about.twitter.com/products/tweetdeck","TweetDeck")</f>
        <v>TweetDeck</v>
      </c>
      <c r="L1341" s="15">
        <v>1351</v>
      </c>
      <c r="M1341" s="15">
        <v>651</v>
      </c>
      <c r="N1341" s="15">
        <v>229</v>
      </c>
      <c r="O1341" s="9"/>
      <c r="P1341" s="10">
        <v>40615.23605324074</v>
      </c>
      <c r="Q1341" s="14" t="s">
        <v>5785</v>
      </c>
      <c r="R1341" s="14" t="s">
        <v>5786</v>
      </c>
      <c r="S1341" s="7" t="s">
        <v>5787</v>
      </c>
      <c r="T1341" s="8"/>
      <c r="U1341" s="11" t="str">
        <f>HYPERLINK("https://pbs.twimg.com/profile_images/2682404701/f24f29ab6cb400fc167f4237d4c58ef7.jpeg","View")</f>
        <v>View</v>
      </c>
      <c r="V1341" s="8"/>
      <c r="W1341" s="8"/>
      <c r="X1341" s="8"/>
      <c r="Y1341" s="8"/>
      <c r="Z1341" s="8"/>
    </row>
    <row r="1342" spans="1:26" ht="13.2">
      <c r="A1342" s="13">
        <v>44250.450717592597</v>
      </c>
      <c r="B1342" s="6" t="str">
        <f>HYPERLINK("https://twitter.com/xors","@xors")</f>
        <v>@xors</v>
      </c>
      <c r="C1342" s="14" t="s">
        <v>5226</v>
      </c>
      <c r="D1342" s="14" t="s">
        <v>5788</v>
      </c>
      <c r="E1342" s="6" t="str">
        <f>HYPERLINK("https://twitter.com/xors/status/1364150264719114241","1364150264719114241")</f>
        <v>1364150264719114241</v>
      </c>
      <c r="F1342" s="7" t="s">
        <v>5789</v>
      </c>
      <c r="G1342" s="7" t="s">
        <v>5790</v>
      </c>
      <c r="H1342" s="8"/>
      <c r="I1342" s="14">
        <v>1</v>
      </c>
      <c r="J1342" s="14">
        <v>0</v>
      </c>
      <c r="K1342" s="6" t="str">
        <f>HYPERLINK("https://buffer.com","Buffer")</f>
        <v>Buffer</v>
      </c>
      <c r="L1342" s="15">
        <v>513</v>
      </c>
      <c r="M1342" s="15">
        <v>1066</v>
      </c>
      <c r="N1342" s="15">
        <v>11</v>
      </c>
      <c r="O1342" s="9"/>
      <c r="P1342" s="10">
        <v>39854.916620370372</v>
      </c>
      <c r="Q1342" s="14" t="s">
        <v>5230</v>
      </c>
      <c r="R1342" s="14" t="s">
        <v>5231</v>
      </c>
      <c r="S1342" s="7" t="s">
        <v>5232</v>
      </c>
      <c r="T1342" s="8"/>
      <c r="U1342" s="11" t="str">
        <f>HYPERLINK("https://pbs.twimg.com/profile_images/699229225346342912/Yibw2TT1.jpg","View")</f>
        <v>View</v>
      </c>
      <c r="V1342" s="8"/>
      <c r="W1342" s="8"/>
      <c r="X1342" s="8"/>
      <c r="Y1342" s="8"/>
      <c r="Z1342" s="8"/>
    </row>
    <row r="1343" spans="1:26" ht="13.2">
      <c r="A1343" s="13">
        <v>44250.450694444444</v>
      </c>
      <c r="B1343" s="6" t="str">
        <f>HYPERLINK("https://twitter.com/MrsCaroline_C","@MrsCaroline_C")</f>
        <v>@MrsCaroline_C</v>
      </c>
      <c r="C1343" s="14" t="s">
        <v>5791</v>
      </c>
      <c r="D1343" s="14" t="s">
        <v>5792</v>
      </c>
      <c r="E1343" s="6" t="str">
        <f>HYPERLINK("https://twitter.com/MrsCaroline_C/status/1364150255332319233","1364150255332319233")</f>
        <v>1364150255332319233</v>
      </c>
      <c r="F1343" s="7" t="s">
        <v>5793</v>
      </c>
      <c r="G1343" s="8"/>
      <c r="H1343" s="8"/>
      <c r="I1343" s="14">
        <v>1</v>
      </c>
      <c r="J1343" s="14">
        <v>6</v>
      </c>
      <c r="K1343" s="6" t="str">
        <f t="shared" ref="K1343:K1345" si="225">HYPERLINK("https://mobile.twitter.com","Twitter Web App")</f>
        <v>Twitter Web App</v>
      </c>
      <c r="L1343" s="15">
        <v>3896</v>
      </c>
      <c r="M1343" s="15">
        <v>5001</v>
      </c>
      <c r="N1343" s="15">
        <v>284</v>
      </c>
      <c r="O1343" s="9"/>
      <c r="P1343" s="10">
        <v>41207.446469907409</v>
      </c>
      <c r="Q1343" s="14" t="s">
        <v>106</v>
      </c>
      <c r="R1343" s="14" t="s">
        <v>5794</v>
      </c>
      <c r="S1343" s="7" t="s">
        <v>5795</v>
      </c>
      <c r="T1343" s="8"/>
      <c r="U1343" s="11" t="str">
        <f>HYPERLINK("https://pbs.twimg.com/profile_images/1189197849516564480/SRIBF3Og.jpg","View")</f>
        <v>View</v>
      </c>
      <c r="V1343" s="8"/>
      <c r="W1343" s="8"/>
      <c r="X1343" s="8"/>
      <c r="Y1343" s="8"/>
      <c r="Z1343" s="8"/>
    </row>
    <row r="1344" spans="1:26" ht="13.2">
      <c r="A1344" s="13">
        <v>44250.450254629628</v>
      </c>
      <c r="B1344" s="6" t="str">
        <f>HYPERLINK("https://twitter.com/BristowColin","@BristowColin")</f>
        <v>@BristowColin</v>
      </c>
      <c r="C1344" s="14" t="s">
        <v>596</v>
      </c>
      <c r="D1344" s="14" t="s">
        <v>5796</v>
      </c>
      <c r="E1344" s="6" t="str">
        <f>HYPERLINK("https://twitter.com/BristowColin/status/1364150098356297730","1364150098356297730")</f>
        <v>1364150098356297730</v>
      </c>
      <c r="F1344" s="14" t="s">
        <v>5797</v>
      </c>
      <c r="G1344" s="7" t="s">
        <v>5798</v>
      </c>
      <c r="H1344" s="8"/>
      <c r="I1344" s="14">
        <v>18</v>
      </c>
      <c r="J1344" s="14">
        <v>5</v>
      </c>
      <c r="K1344" s="6" t="str">
        <f t="shared" si="225"/>
        <v>Twitter Web App</v>
      </c>
      <c r="L1344" s="15">
        <v>12149</v>
      </c>
      <c r="M1344" s="15">
        <v>9707</v>
      </c>
      <c r="N1344" s="15">
        <v>155</v>
      </c>
      <c r="O1344" s="9"/>
      <c r="P1344" s="10">
        <v>40900.478090277778</v>
      </c>
      <c r="Q1344" s="14" t="s">
        <v>599</v>
      </c>
      <c r="R1344" s="14" t="s">
        <v>600</v>
      </c>
      <c r="S1344" s="7" t="s">
        <v>601</v>
      </c>
      <c r="T1344" s="8"/>
      <c r="U1344" s="11" t="str">
        <f>HYPERLINK("https://pbs.twimg.com/profile_images/692994884270198784/jQX64C1s.jpg","View")</f>
        <v>View</v>
      </c>
      <c r="V1344" s="8"/>
      <c r="W1344" s="8"/>
      <c r="X1344" s="8"/>
      <c r="Y1344" s="8"/>
      <c r="Z1344" s="8"/>
    </row>
    <row r="1345" spans="1:26" ht="13.2">
      <c r="A1345" s="13">
        <v>44250.449097222227</v>
      </c>
      <c r="B1345" s="6" t="str">
        <f>HYPERLINK("https://twitter.com/ahousley","@ahousley")</f>
        <v>@ahousley</v>
      </c>
      <c r="C1345" s="14" t="s">
        <v>5799</v>
      </c>
      <c r="D1345" s="14" t="s">
        <v>5800</v>
      </c>
      <c r="E1345" s="6" t="str">
        <f>HYPERLINK("https://twitter.com/ahousley/status/1364149678716182530","1364149678716182530")</f>
        <v>1364149678716182530</v>
      </c>
      <c r="F1345" s="14" t="s">
        <v>5801</v>
      </c>
      <c r="G1345" s="7" t="s">
        <v>5802</v>
      </c>
      <c r="H1345" s="8"/>
      <c r="I1345" s="14">
        <v>1</v>
      </c>
      <c r="J1345" s="14">
        <v>3</v>
      </c>
      <c r="K1345" s="6" t="str">
        <f t="shared" si="225"/>
        <v>Twitter Web App</v>
      </c>
      <c r="L1345" s="15">
        <v>2533</v>
      </c>
      <c r="M1345" s="15">
        <v>2437</v>
      </c>
      <c r="N1345" s="15">
        <v>265</v>
      </c>
      <c r="O1345" s="9"/>
      <c r="P1345" s="10">
        <v>39517.436712962961</v>
      </c>
      <c r="Q1345" s="14" t="s">
        <v>753</v>
      </c>
      <c r="R1345" s="14" t="s">
        <v>5803</v>
      </c>
      <c r="S1345" s="7" t="s">
        <v>5804</v>
      </c>
      <c r="T1345" s="8"/>
      <c r="U1345" s="11" t="str">
        <f>HYPERLINK("https://pbs.twimg.com/profile_images/1328466209591922689/qlSvfRf7.jpg","View")</f>
        <v>View</v>
      </c>
      <c r="V1345" s="8"/>
      <c r="W1345" s="8"/>
      <c r="X1345" s="8"/>
      <c r="Y1345" s="8"/>
      <c r="Z1345" s="8"/>
    </row>
    <row r="1346" spans="1:26" ht="13.2">
      <c r="A1346" s="13">
        <v>44250.448958333334</v>
      </c>
      <c r="B1346" s="6" t="str">
        <f>HYPERLINK("https://twitter.com/machinelearnflx","@machinelearnflx")</f>
        <v>@machinelearnflx</v>
      </c>
      <c r="C1346" s="14" t="s">
        <v>279</v>
      </c>
      <c r="D1346" s="14" t="s">
        <v>5805</v>
      </c>
      <c r="E1346" s="6" t="str">
        <f>HYPERLINK("https://twitter.com/machinelearnflx/status/1364149626161553408","1364149626161553408")</f>
        <v>1364149626161553408</v>
      </c>
      <c r="F1346" s="7" t="s">
        <v>5806</v>
      </c>
      <c r="G1346" s="8"/>
      <c r="H1346" s="8"/>
      <c r="I1346" s="14">
        <v>4</v>
      </c>
      <c r="J1346" s="14">
        <v>9</v>
      </c>
      <c r="K1346" s="6" t="str">
        <f>HYPERLINK("https://twitter.com/pythonbot_","Postmatico")</f>
        <v>Postmatico</v>
      </c>
      <c r="L1346" s="15">
        <v>90451</v>
      </c>
      <c r="M1346" s="15">
        <v>35464</v>
      </c>
      <c r="N1346" s="15">
        <v>2227</v>
      </c>
      <c r="O1346" s="9"/>
      <c r="P1346" s="10">
        <v>42386.538865740746</v>
      </c>
      <c r="Q1346" s="8"/>
      <c r="R1346" s="14" t="s">
        <v>282</v>
      </c>
      <c r="S1346" s="7" t="s">
        <v>283</v>
      </c>
      <c r="T1346" s="8"/>
      <c r="U1346" s="11" t="str">
        <f>HYPERLINK("https://pbs.twimg.com/profile_images/688735459892195329/v8sHaWSG.jpg","View")</f>
        <v>View</v>
      </c>
      <c r="V1346" s="8"/>
      <c r="W1346" s="8"/>
      <c r="X1346" s="8"/>
      <c r="Y1346" s="8"/>
      <c r="Z1346" s="8"/>
    </row>
    <row r="1347" spans="1:26" ht="13.2">
      <c r="A1347" s="13">
        <v>44250.448506944449</v>
      </c>
      <c r="B1347" s="6" t="str">
        <f>HYPERLINK("https://twitter.com/DsfKotaro","@DsfKotaro")</f>
        <v>@DsfKotaro</v>
      </c>
      <c r="C1347" s="14" t="s">
        <v>5807</v>
      </c>
      <c r="D1347" s="14" t="s">
        <v>5808</v>
      </c>
      <c r="E1347" s="6" t="str">
        <f>HYPERLINK("https://twitter.com/DsfKotaro/status/1364149462675857413","1364149462675857413")</f>
        <v>1364149462675857413</v>
      </c>
      <c r="F1347" s="7" t="s">
        <v>5809</v>
      </c>
      <c r="G1347" s="8"/>
      <c r="H1347" s="8"/>
      <c r="I1347" s="14">
        <v>1</v>
      </c>
      <c r="J1347" s="14">
        <v>17</v>
      </c>
      <c r="K1347" s="6" t="str">
        <f>HYPERLINK("http://twitter.com/download/android","Twitter for Android")</f>
        <v>Twitter for Android</v>
      </c>
      <c r="L1347" s="15">
        <v>154</v>
      </c>
      <c r="M1347" s="15">
        <v>152</v>
      </c>
      <c r="N1347" s="15">
        <v>0</v>
      </c>
      <c r="O1347" s="9"/>
      <c r="P1347" s="10">
        <v>44226.367129629631</v>
      </c>
      <c r="Q1347" s="8"/>
      <c r="R1347" s="14" t="s">
        <v>5810</v>
      </c>
      <c r="S1347" s="7" t="s">
        <v>5811</v>
      </c>
      <c r="T1347" s="8"/>
      <c r="U1347" s="11" t="str">
        <f>HYPERLINK("https://pbs.twimg.com/profile_images/1355422815239892992/48NybEI9.jpg","View")</f>
        <v>View</v>
      </c>
      <c r="V1347" s="8"/>
      <c r="W1347" s="8"/>
      <c r="X1347" s="8"/>
      <c r="Y1347" s="8"/>
      <c r="Z1347" s="8"/>
    </row>
    <row r="1348" spans="1:26" ht="13.2">
      <c r="A1348" s="13">
        <v>44250.448252314818</v>
      </c>
      <c r="B1348" s="6" t="str">
        <f>HYPERLINK("https://twitter.com/AnnetteSophonie","@AnnetteSophonie")</f>
        <v>@AnnetteSophonie</v>
      </c>
      <c r="C1348" s="14" t="s">
        <v>2177</v>
      </c>
      <c r="D1348" s="14" t="s">
        <v>5812</v>
      </c>
      <c r="E1348" s="6" t="str">
        <f>HYPERLINK("https://twitter.com/AnnetteSophonie/status/1364149373613920256","1364149373613920256")</f>
        <v>1364149373613920256</v>
      </c>
      <c r="F1348" s="7" t="s">
        <v>5813</v>
      </c>
      <c r="G1348" s="7" t="s">
        <v>5814</v>
      </c>
      <c r="H1348" s="8"/>
      <c r="I1348" s="14">
        <v>0</v>
      </c>
      <c r="J1348" s="14">
        <v>0</v>
      </c>
      <c r="K1348" s="6" t="str">
        <f>HYPERLINK("https://mobile.twitter.com","Twitter Web App")</f>
        <v>Twitter Web App</v>
      </c>
      <c r="L1348" s="15">
        <v>1254</v>
      </c>
      <c r="M1348" s="15">
        <v>1237</v>
      </c>
      <c r="N1348" s="15">
        <v>11</v>
      </c>
      <c r="O1348" s="9"/>
      <c r="P1348" s="10">
        <v>43514.004745370374</v>
      </c>
      <c r="Q1348" s="14" t="s">
        <v>2181</v>
      </c>
      <c r="R1348" s="14" t="s">
        <v>2182</v>
      </c>
      <c r="S1348" s="8"/>
      <c r="T1348" s="8"/>
      <c r="U1348" s="11" t="str">
        <f>HYPERLINK("https://pbs.twimg.com/profile_images/1097274157040128000/kbJdFYDd.jpg","View")</f>
        <v>View</v>
      </c>
      <c r="V1348" s="8"/>
      <c r="W1348" s="8"/>
      <c r="X1348" s="8"/>
      <c r="Y1348" s="8"/>
      <c r="Z1348" s="8"/>
    </row>
    <row r="1349" spans="1:26" ht="13.2">
      <c r="A1349" s="13">
        <v>44250.447939814811</v>
      </c>
      <c r="B1349" s="6" t="str">
        <f>HYPERLINK("https://twitter.com/beyond_machine","@beyond_machine")</f>
        <v>@beyond_machine</v>
      </c>
      <c r="C1349" s="14" t="s">
        <v>3461</v>
      </c>
      <c r="D1349" s="14" t="s">
        <v>5815</v>
      </c>
      <c r="E1349" s="6" t="str">
        <f>HYPERLINK("https://twitter.com/beyond_machine/status/1364149258165878786","1364149258165878786")</f>
        <v>1364149258165878786</v>
      </c>
      <c r="F1349" s="7" t="s">
        <v>5816</v>
      </c>
      <c r="G1349" s="8"/>
      <c r="H1349" s="8"/>
      <c r="I1349" s="14">
        <v>0</v>
      </c>
      <c r="J1349" s="14">
        <v>0</v>
      </c>
      <c r="K1349" s="6" t="str">
        <f>HYPERLINK("https://crowdfireapp.com","Crowdfire App")</f>
        <v>Crowdfire App</v>
      </c>
      <c r="L1349" s="15">
        <v>333</v>
      </c>
      <c r="M1349" s="15">
        <v>1059</v>
      </c>
      <c r="N1349" s="15">
        <v>48</v>
      </c>
      <c r="O1349" s="9"/>
      <c r="P1349" s="10">
        <v>42555.596180555556</v>
      </c>
      <c r="Q1349" s="14" t="s">
        <v>3464</v>
      </c>
      <c r="R1349" s="14" t="s">
        <v>3465</v>
      </c>
      <c r="S1349" s="7" t="s">
        <v>3466</v>
      </c>
      <c r="T1349" s="8"/>
      <c r="U1349" s="11" t="str">
        <f>HYPERLINK("https://pbs.twimg.com/profile_images/929034669781344257/RizBrVJT.jpg","View")</f>
        <v>View</v>
      </c>
      <c r="V1349" s="8"/>
      <c r="W1349" s="8"/>
      <c r="X1349" s="8"/>
      <c r="Y1349" s="8"/>
      <c r="Z1349" s="8"/>
    </row>
    <row r="1350" spans="1:26" ht="13.2">
      <c r="A1350" s="13">
        <v>44250.447280092594</v>
      </c>
      <c r="B1350" s="6" t="str">
        <f>HYPERLINK("https://twitter.com/TheInsaneApp","@TheInsaneApp")</f>
        <v>@TheInsaneApp</v>
      </c>
      <c r="C1350" s="14" t="s">
        <v>5817</v>
      </c>
      <c r="D1350" s="14" t="s">
        <v>5818</v>
      </c>
      <c r="E1350" s="6" t="str">
        <f>HYPERLINK("https://twitter.com/TheInsaneApp/status/1364149018142511106","1364149018142511106")</f>
        <v>1364149018142511106</v>
      </c>
      <c r="F1350" s="8"/>
      <c r="G1350" s="7" t="s">
        <v>5819</v>
      </c>
      <c r="H1350" s="8"/>
      <c r="I1350" s="14">
        <v>15</v>
      </c>
      <c r="J1350" s="14">
        <v>15</v>
      </c>
      <c r="K1350" s="6" t="str">
        <f>HYPERLINK("http://twitter.com/download/android","Twitter for Android")</f>
        <v>Twitter for Android</v>
      </c>
      <c r="L1350" s="15">
        <v>11709</v>
      </c>
      <c r="M1350" s="15">
        <v>50</v>
      </c>
      <c r="N1350" s="15">
        <v>111</v>
      </c>
      <c r="O1350" s="9"/>
      <c r="P1350" s="10">
        <v>43423.316921296297</v>
      </c>
      <c r="Q1350" s="8"/>
      <c r="R1350" s="14" t="s">
        <v>5820</v>
      </c>
      <c r="S1350" s="8"/>
      <c r="T1350" s="8"/>
      <c r="U1350" s="11" t="str">
        <f>HYPERLINK("https://pbs.twimg.com/profile_images/1211253505916166147/ge8jiGt7.jpg","View")</f>
        <v>View</v>
      </c>
      <c r="V1350" s="8"/>
      <c r="W1350" s="8"/>
      <c r="X1350" s="8"/>
      <c r="Y1350" s="8"/>
      <c r="Z1350" s="8"/>
    </row>
    <row r="1351" spans="1:26" ht="13.2">
      <c r="A1351" s="13">
        <v>44250.447106481486</v>
      </c>
      <c r="B1351" s="6" t="str">
        <f>HYPERLINK("https://twitter.com/Arden_Manning","@Arden_Manning")</f>
        <v>@Arden_Manning</v>
      </c>
      <c r="C1351" s="14" t="s">
        <v>5821</v>
      </c>
      <c r="D1351" s="14" t="s">
        <v>5822</v>
      </c>
      <c r="E1351" s="6" t="str">
        <f>HYPERLINK("https://twitter.com/Arden_Manning/status/1364148957476253698","1364148957476253698")</f>
        <v>1364148957476253698</v>
      </c>
      <c r="F1351" s="7" t="s">
        <v>5823</v>
      </c>
      <c r="G1351" s="8"/>
      <c r="H1351" s="8"/>
      <c r="I1351" s="14">
        <v>0</v>
      </c>
      <c r="J1351" s="14">
        <v>1</v>
      </c>
      <c r="K1351" s="6" t="str">
        <f>HYPERLINK("https://about.twitter.com/products/tweetdeck","TweetDeck")</f>
        <v>TweetDeck</v>
      </c>
      <c r="L1351" s="15">
        <v>755</v>
      </c>
      <c r="M1351" s="15">
        <v>2342</v>
      </c>
      <c r="N1351" s="15">
        <v>45</v>
      </c>
      <c r="O1351" s="9"/>
      <c r="P1351" s="10">
        <v>39903.709444444445</v>
      </c>
      <c r="Q1351" s="14" t="s">
        <v>3679</v>
      </c>
      <c r="R1351" s="14" t="s">
        <v>5824</v>
      </c>
      <c r="S1351" s="7" t="s">
        <v>5825</v>
      </c>
      <c r="T1351" s="8"/>
      <c r="U1351" s="11" t="str">
        <f>HYPERLINK("https://pbs.twimg.com/profile_images/1362093219522220035/xB2Yci6j.jpg","View")</f>
        <v>View</v>
      </c>
      <c r="V1351" s="8"/>
      <c r="W1351" s="8"/>
      <c r="X1351" s="8"/>
      <c r="Y1351" s="8"/>
      <c r="Z1351" s="8"/>
    </row>
    <row r="1352" spans="1:26" ht="13.2">
      <c r="A1352" s="13">
        <v>44250.446504629625</v>
      </c>
      <c r="B1352" s="6" t="str">
        <f>HYPERLINK("https://twitter.com/ErikKnol","@ErikKnol")</f>
        <v>@ErikKnol</v>
      </c>
      <c r="C1352" s="14" t="s">
        <v>5826</v>
      </c>
      <c r="D1352" s="14" t="s">
        <v>5827</v>
      </c>
      <c r="E1352" s="6" t="str">
        <f>HYPERLINK("https://twitter.com/ErikKnol/status/1364148739720441857","1364148739720441857")</f>
        <v>1364148739720441857</v>
      </c>
      <c r="F1352" s="7" t="s">
        <v>5828</v>
      </c>
      <c r="G1352" s="8"/>
      <c r="H1352" s="8"/>
      <c r="I1352" s="14">
        <v>2</v>
      </c>
      <c r="J1352" s="14">
        <v>1</v>
      </c>
      <c r="K1352" s="6" t="str">
        <f>HYPERLINK("http://twitter.com/download/android","Twitter for Android")</f>
        <v>Twitter for Android</v>
      </c>
      <c r="L1352" s="15">
        <v>612</v>
      </c>
      <c r="M1352" s="15">
        <v>264</v>
      </c>
      <c r="N1352" s="15">
        <v>74</v>
      </c>
      <c r="O1352" s="9"/>
      <c r="P1352" s="10">
        <v>40161.876516203702</v>
      </c>
      <c r="Q1352" s="8"/>
      <c r="R1352" s="14" t="s">
        <v>5829</v>
      </c>
      <c r="S1352" s="7" t="s">
        <v>5830</v>
      </c>
      <c r="T1352" s="8"/>
      <c r="U1352" s="11" t="str">
        <f>HYPERLINK("https://pbs.twimg.com/profile_images/1302964384382230528/Av1dTrTX.jpg","View")</f>
        <v>View</v>
      </c>
      <c r="V1352" s="8"/>
      <c r="W1352" s="8"/>
      <c r="X1352" s="8"/>
      <c r="Y1352" s="8"/>
      <c r="Z1352" s="8"/>
    </row>
    <row r="1353" spans="1:26" ht="13.2">
      <c r="A1353" s="13">
        <v>44250.446284722224</v>
      </c>
      <c r="B1353" s="6" t="str">
        <f>HYPERLINK("https://twitter.com/thebeebs","@thebeebs")</f>
        <v>@thebeebs</v>
      </c>
      <c r="C1353" s="14" t="s">
        <v>5831</v>
      </c>
      <c r="D1353" s="14" t="s">
        <v>2087</v>
      </c>
      <c r="E1353" s="6" t="str">
        <f>HYPERLINK("https://twitter.com/thebeebs/status/1364148658929811456","1364148658929811456")</f>
        <v>1364148658929811456</v>
      </c>
      <c r="F1353" s="7" t="s">
        <v>5832</v>
      </c>
      <c r="G1353" s="7" t="s">
        <v>5833</v>
      </c>
      <c r="H1353" s="8"/>
      <c r="I1353" s="14">
        <v>2</v>
      </c>
      <c r="J1353" s="14">
        <v>6</v>
      </c>
      <c r="K1353" s="6" t="str">
        <f>HYPERLINK("http://www.everyonesocial.com","EveryoneSocial")</f>
        <v>EveryoneSocial</v>
      </c>
      <c r="L1353" s="15">
        <v>7535</v>
      </c>
      <c r="M1353" s="15">
        <v>2795</v>
      </c>
      <c r="N1353" s="15">
        <v>354</v>
      </c>
      <c r="O1353" s="9"/>
      <c r="P1353" s="10">
        <v>39728.988900462966</v>
      </c>
      <c r="Q1353" s="14" t="s">
        <v>5834</v>
      </c>
      <c r="R1353" s="14" t="s">
        <v>5835</v>
      </c>
      <c r="S1353" s="7" t="s">
        <v>5836</v>
      </c>
      <c r="T1353" s="8"/>
      <c r="U1353" s="11" t="str">
        <f>HYPERLINK("https://pbs.twimg.com/profile_images/1145980458439716865/2qoHcPgA.png","View")</f>
        <v>View</v>
      </c>
      <c r="V1353" s="8"/>
      <c r="W1353" s="8"/>
      <c r="X1353" s="8"/>
      <c r="Y1353" s="8"/>
      <c r="Z1353" s="8"/>
    </row>
    <row r="1354" spans="1:26" ht="13.2">
      <c r="A1354" s="13">
        <v>44250.444837962961</v>
      </c>
      <c r="B1354" s="6" t="str">
        <f>HYPERLINK("https://twitter.com/theymakedesign","@theymakedesign")</f>
        <v>@theymakedesign</v>
      </c>
      <c r="C1354" s="14" t="s">
        <v>5837</v>
      </c>
      <c r="D1354" s="14" t="s">
        <v>5838</v>
      </c>
      <c r="E1354" s="6" t="str">
        <f>HYPERLINK("https://twitter.com/theymakedesign/status/1364148132179808267","1364148132179808267")</f>
        <v>1364148132179808267</v>
      </c>
      <c r="F1354" s="7" t="s">
        <v>5839</v>
      </c>
      <c r="G1354" s="8"/>
      <c r="H1354" s="8"/>
      <c r="I1354" s="14">
        <v>21</v>
      </c>
      <c r="J1354" s="14">
        <v>8</v>
      </c>
      <c r="K1354" s="6" t="str">
        <f t="shared" ref="K1354:K1355" si="226">HYPERLINK("https://mobile.twitter.com","Twitter Web App")</f>
        <v>Twitter Web App</v>
      </c>
      <c r="L1354" s="15">
        <v>23997</v>
      </c>
      <c r="M1354" s="15">
        <v>7489</v>
      </c>
      <c r="N1354" s="15">
        <v>555</v>
      </c>
      <c r="O1354" s="9"/>
      <c r="P1354" s="10">
        <v>41424.645196759258</v>
      </c>
      <c r="Q1354" s="14" t="s">
        <v>215</v>
      </c>
      <c r="R1354" s="14" t="s">
        <v>5840</v>
      </c>
      <c r="S1354" s="7" t="s">
        <v>5841</v>
      </c>
      <c r="T1354" s="8"/>
      <c r="U1354" s="11" t="str">
        <f>HYPERLINK("https://pbs.twimg.com/profile_images/610428935634087936/v1JZtBKh.png","View")</f>
        <v>View</v>
      </c>
      <c r="V1354" s="8"/>
      <c r="W1354" s="8"/>
      <c r="X1354" s="8"/>
      <c r="Y1354" s="8"/>
      <c r="Z1354" s="8"/>
    </row>
    <row r="1355" spans="1:26" ht="13.2">
      <c r="A1355" s="13">
        <v>44250.444131944445</v>
      </c>
      <c r="B1355" s="6" t="str">
        <f>HYPERLINK("https://twitter.com/Xbond49","@Xbond49")</f>
        <v>@Xbond49</v>
      </c>
      <c r="C1355" s="14" t="s">
        <v>5842</v>
      </c>
      <c r="D1355" s="14" t="s">
        <v>5843</v>
      </c>
      <c r="E1355" s="6" t="str">
        <f>HYPERLINK("https://twitter.com/Xbond49/status/1364147877640028161","1364147877640028161")</f>
        <v>1364147877640028161</v>
      </c>
      <c r="F1355" s="7" t="s">
        <v>5844</v>
      </c>
      <c r="G1355" s="7" t="s">
        <v>5845</v>
      </c>
      <c r="H1355" s="8"/>
      <c r="I1355" s="14">
        <v>13</v>
      </c>
      <c r="J1355" s="14">
        <v>14</v>
      </c>
      <c r="K1355" s="6" t="str">
        <f t="shared" si="226"/>
        <v>Twitter Web App</v>
      </c>
      <c r="L1355" s="15">
        <v>19979</v>
      </c>
      <c r="M1355" s="15">
        <v>3755</v>
      </c>
      <c r="N1355" s="15">
        <v>1294</v>
      </c>
      <c r="O1355" s="9"/>
      <c r="P1355" s="10">
        <v>40551.916805555556</v>
      </c>
      <c r="Q1355" s="14" t="s">
        <v>1815</v>
      </c>
      <c r="R1355" s="14" t="s">
        <v>5846</v>
      </c>
      <c r="S1355" s="8"/>
      <c r="T1355" s="8"/>
      <c r="U1355" s="11" t="str">
        <f>HYPERLINK("https://pbs.twimg.com/profile_images/1135171816597725185/CX0mmH2t.jpg","View")</f>
        <v>View</v>
      </c>
      <c r="V1355" s="8"/>
      <c r="W1355" s="8"/>
      <c r="X1355" s="8"/>
      <c r="Y1355" s="8"/>
      <c r="Z1355" s="8"/>
    </row>
    <row r="1356" spans="1:26" ht="13.2">
      <c r="A1356" s="13">
        <v>44250.444120370375</v>
      </c>
      <c r="B1356" s="6" t="str">
        <f>HYPERLINK("https://twitter.com/ArunNairID","@ArunNairID")</f>
        <v>@ArunNairID</v>
      </c>
      <c r="C1356" s="14" t="s">
        <v>4116</v>
      </c>
      <c r="D1356" s="14" t="s">
        <v>5847</v>
      </c>
      <c r="E1356" s="6" t="str">
        <f>HYPERLINK("https://twitter.com/ArunNairID/status/1364147873282068482","1364147873282068482")</f>
        <v>1364147873282068482</v>
      </c>
      <c r="F1356" s="7" t="s">
        <v>5848</v>
      </c>
      <c r="G1356" s="8"/>
      <c r="H1356" s="8"/>
      <c r="I1356" s="14">
        <v>0</v>
      </c>
      <c r="J1356" s="14">
        <v>0</v>
      </c>
      <c r="K1356" s="6" t="str">
        <f t="shared" ref="K1356:K1357" si="227">HYPERLINK("https://dlvrit.com/","dlvr.it")</f>
        <v>dlvr.it</v>
      </c>
      <c r="L1356" s="15">
        <v>550</v>
      </c>
      <c r="M1356" s="15">
        <v>225</v>
      </c>
      <c r="N1356" s="15">
        <v>108</v>
      </c>
      <c r="O1356" s="9"/>
      <c r="P1356" s="10">
        <v>42752.977175925931</v>
      </c>
      <c r="Q1356" s="14" t="s">
        <v>4117</v>
      </c>
      <c r="R1356" s="14" t="s">
        <v>4118</v>
      </c>
      <c r="S1356" s="7" t="s">
        <v>4119</v>
      </c>
      <c r="T1356" s="8"/>
      <c r="U1356" s="11" t="str">
        <f>HYPERLINK("https://pbs.twimg.com/profile_images/821588636168814593/0gMtpnrf.jpg","View")</f>
        <v>View</v>
      </c>
      <c r="V1356" s="8"/>
      <c r="W1356" s="8"/>
      <c r="X1356" s="8"/>
      <c r="Y1356" s="8"/>
      <c r="Z1356" s="8"/>
    </row>
    <row r="1357" spans="1:26" ht="13.2">
      <c r="A1357" s="13">
        <v>44250.444108796291</v>
      </c>
      <c r="B1357" s="6" t="str">
        <f>HYPERLINK("https://twitter.com/IIoTML","@IIoTML")</f>
        <v>@IIoTML</v>
      </c>
      <c r="C1357" s="14" t="s">
        <v>4112</v>
      </c>
      <c r="D1357" s="14" t="s">
        <v>5847</v>
      </c>
      <c r="E1357" s="6" t="str">
        <f>HYPERLINK("https://twitter.com/IIoTML/status/1364147871696646149","1364147871696646149")</f>
        <v>1364147871696646149</v>
      </c>
      <c r="F1357" s="7" t="s">
        <v>5848</v>
      </c>
      <c r="G1357" s="8"/>
      <c r="H1357" s="8"/>
      <c r="I1357" s="14">
        <v>0</v>
      </c>
      <c r="J1357" s="14">
        <v>0</v>
      </c>
      <c r="K1357" s="6" t="str">
        <f t="shared" si="227"/>
        <v>dlvr.it</v>
      </c>
      <c r="L1357" s="15">
        <v>3939</v>
      </c>
      <c r="M1357" s="15">
        <v>563</v>
      </c>
      <c r="N1357" s="15">
        <v>778</v>
      </c>
      <c r="O1357" s="9"/>
      <c r="P1357" s="10">
        <v>42425.534363425926</v>
      </c>
      <c r="Q1357" s="8"/>
      <c r="R1357" s="14" t="s">
        <v>4115</v>
      </c>
      <c r="S1357" s="8"/>
      <c r="T1357" s="8"/>
      <c r="U1357" s="11" t="str">
        <f>HYPERLINK("https://pbs.twimg.com/profile_images/749384984100610048/0AWZDMUi.jpg","View")</f>
        <v>View</v>
      </c>
      <c r="V1357" s="8"/>
      <c r="W1357" s="8"/>
      <c r="X1357" s="8"/>
      <c r="Y1357" s="8"/>
      <c r="Z1357" s="8"/>
    </row>
    <row r="1358" spans="1:26" ht="13.2">
      <c r="A1358" s="13">
        <v>44250.443055555559</v>
      </c>
      <c r="B1358" s="6" t="str">
        <f>HYPERLINK("https://twitter.com/TechNative","@TechNative")</f>
        <v>@TechNative</v>
      </c>
      <c r="C1358" s="14" t="s">
        <v>866</v>
      </c>
      <c r="D1358" s="14" t="s">
        <v>5849</v>
      </c>
      <c r="E1358" s="6" t="str">
        <f>HYPERLINK("https://twitter.com/TechNative/status/1364147489167863809","1364147489167863809")</f>
        <v>1364147489167863809</v>
      </c>
      <c r="F1358" s="7" t="s">
        <v>5850</v>
      </c>
      <c r="G1358" s="8"/>
      <c r="H1358" s="8"/>
      <c r="I1358" s="14">
        <v>8</v>
      </c>
      <c r="J1358" s="14">
        <v>4</v>
      </c>
      <c r="K1358" s="6" t="str">
        <f>HYPERLINK("https://sproutsocial.com","Sprout Social")</f>
        <v>Sprout Social</v>
      </c>
      <c r="L1358" s="15">
        <v>84850</v>
      </c>
      <c r="M1358" s="15">
        <v>60575</v>
      </c>
      <c r="N1358" s="15">
        <v>2623</v>
      </c>
      <c r="O1358" s="9"/>
      <c r="P1358" s="10">
        <v>42289.695833333331</v>
      </c>
      <c r="Q1358" s="14" t="s">
        <v>869</v>
      </c>
      <c r="R1358" s="14" t="s">
        <v>870</v>
      </c>
      <c r="S1358" s="7" t="s">
        <v>871</v>
      </c>
      <c r="T1358" s="8"/>
      <c r="U1358" s="11" t="str">
        <f>HYPERLINK("https://pbs.twimg.com/profile_images/877265193818103808/uriy-gaK.jpg","View")</f>
        <v>View</v>
      </c>
      <c r="V1358" s="8"/>
      <c r="W1358" s="8"/>
      <c r="X1358" s="8"/>
      <c r="Y1358" s="8"/>
      <c r="Z1358" s="8"/>
    </row>
    <row r="1359" spans="1:26" ht="13.2">
      <c r="A1359" s="13">
        <v>44250.442060185189</v>
      </c>
      <c r="B1359" s="6" t="str">
        <f>HYPERLINK("https://twitter.com/Psik_Network","@Psik_Network")</f>
        <v>@Psik_Network</v>
      </c>
      <c r="C1359" s="14" t="s">
        <v>3320</v>
      </c>
      <c r="D1359" s="14" t="s">
        <v>5851</v>
      </c>
      <c r="E1359" s="6" t="str">
        <f>HYPERLINK("https://twitter.com/Psik_Network/status/1364147125685256198","1364147125685256198")</f>
        <v>1364147125685256198</v>
      </c>
      <c r="F1359" s="7" t="s">
        <v>5852</v>
      </c>
      <c r="G1359" s="7" t="s">
        <v>5853</v>
      </c>
      <c r="H1359" s="8"/>
      <c r="I1359" s="14">
        <v>0</v>
      </c>
      <c r="J1359" s="14">
        <v>1</v>
      </c>
      <c r="K1359" s="6" t="str">
        <f>HYPERLINK("https://mobile.twitter.com","Twitter Web App")</f>
        <v>Twitter Web App</v>
      </c>
      <c r="L1359" s="15">
        <v>1715</v>
      </c>
      <c r="M1359" s="15">
        <v>1565</v>
      </c>
      <c r="N1359" s="15">
        <v>15</v>
      </c>
      <c r="O1359" s="9"/>
      <c r="P1359" s="10">
        <v>41473.466296296298</v>
      </c>
      <c r="Q1359" s="14" t="s">
        <v>3324</v>
      </c>
      <c r="R1359" s="14" t="s">
        <v>3325</v>
      </c>
      <c r="S1359" s="7" t="s">
        <v>3326</v>
      </c>
      <c r="T1359" s="8"/>
      <c r="U1359" s="11" t="str">
        <f>HYPERLINK("https://pbs.twimg.com/profile_images/981195067347079170/CaycnmyF.jpg","View")</f>
        <v>View</v>
      </c>
      <c r="V1359" s="8"/>
      <c r="W1359" s="8"/>
      <c r="X1359" s="8"/>
      <c r="Y1359" s="8"/>
      <c r="Z1359" s="8"/>
    </row>
    <row r="1360" spans="1:26" ht="13.2">
      <c r="A1360" s="13">
        <v>44250.441354166665</v>
      </c>
      <c r="B1360" s="6" t="str">
        <f>HYPERLINK("https://twitter.com/corizance","@corizance")</f>
        <v>@corizance</v>
      </c>
      <c r="C1360" s="14" t="s">
        <v>2550</v>
      </c>
      <c r="D1360" s="14" t="s">
        <v>5854</v>
      </c>
      <c r="E1360" s="6" t="str">
        <f>HYPERLINK("https://twitter.com/corizance/status/1364146871267192834","1364146871267192834")</f>
        <v>1364146871267192834</v>
      </c>
      <c r="F1360" s="14" t="s">
        <v>5855</v>
      </c>
      <c r="G1360" s="8"/>
      <c r="H1360" s="8"/>
      <c r="I1360" s="14">
        <v>0</v>
      </c>
      <c r="J1360" s="14">
        <v>0</v>
      </c>
      <c r="K1360" s="6" t="str">
        <f>HYPERLINK("http://twinybots.com","TwinyBots")</f>
        <v>TwinyBots</v>
      </c>
      <c r="L1360" s="15">
        <v>488</v>
      </c>
      <c r="M1360" s="15">
        <v>434</v>
      </c>
      <c r="N1360" s="15">
        <v>13</v>
      </c>
      <c r="O1360" s="9"/>
      <c r="P1360" s="10">
        <v>43789.49145833333</v>
      </c>
      <c r="Q1360" s="14" t="s">
        <v>2551</v>
      </c>
      <c r="R1360" s="14" t="s">
        <v>2552</v>
      </c>
      <c r="S1360" s="7" t="s">
        <v>2553</v>
      </c>
      <c r="T1360" s="8"/>
      <c r="U1360" s="11" t="str">
        <f>HYPERLINK("https://pbs.twimg.com/profile_images/1223176339697565697/q38i7r9K.jpg","View")</f>
        <v>View</v>
      </c>
      <c r="V1360" s="8"/>
      <c r="W1360" s="8"/>
      <c r="X1360" s="8"/>
      <c r="Y1360" s="8"/>
      <c r="Z1360" s="8"/>
    </row>
    <row r="1361" spans="1:26" ht="13.2">
      <c r="A1361" s="13">
        <v>44250.440266203703</v>
      </c>
      <c r="B1361" s="6" t="str">
        <f>HYPERLINK("https://twitter.com/Datascience__","@Datascience__")</f>
        <v>@Datascience__</v>
      </c>
      <c r="C1361" s="14" t="s">
        <v>1082</v>
      </c>
      <c r="D1361" s="14" t="s">
        <v>5856</v>
      </c>
      <c r="E1361" s="6" t="str">
        <f>HYPERLINK("https://twitter.com/Datascience__/status/1364146479166816256","1364146479166816256")</f>
        <v>1364146479166816256</v>
      </c>
      <c r="F1361" s="7" t="s">
        <v>5857</v>
      </c>
      <c r="G1361" s="8"/>
      <c r="H1361" s="8"/>
      <c r="I1361" s="14">
        <v>3</v>
      </c>
      <c r="J1361" s="14">
        <v>1</v>
      </c>
      <c r="K1361" s="6" t="str">
        <f>HYPERLINK("https://twitter.com/pythonbot_","Postmatico")</f>
        <v>Postmatico</v>
      </c>
      <c r="L1361" s="15">
        <v>21499</v>
      </c>
      <c r="M1361" s="15">
        <v>11071</v>
      </c>
      <c r="N1361" s="15">
        <v>0</v>
      </c>
      <c r="O1361" s="9"/>
      <c r="P1361" s="10">
        <v>42735.551377314812</v>
      </c>
      <c r="Q1361" s="8"/>
      <c r="R1361" s="14" t="s">
        <v>1085</v>
      </c>
      <c r="S1361" s="7" t="s">
        <v>1086</v>
      </c>
      <c r="T1361" s="8"/>
      <c r="U1361" s="11" t="str">
        <f>HYPERLINK("https://pbs.twimg.com/profile_images/989066461435097088/AQZSFyuk.jpg","View")</f>
        <v>View</v>
      </c>
      <c r="V1361" s="8"/>
      <c r="W1361" s="8"/>
      <c r="X1361" s="8"/>
      <c r="Y1361" s="8"/>
      <c r="Z1361" s="8"/>
    </row>
    <row r="1362" spans="1:26" ht="13.2">
      <c r="A1362" s="13">
        <v>44250.439583333333</v>
      </c>
      <c r="B1362" s="6" t="str">
        <f>HYPERLINK("https://twitter.com/ENERGYandAI","@ENERGYandAI")</f>
        <v>@ENERGYandAI</v>
      </c>
      <c r="C1362" s="14" t="s">
        <v>5858</v>
      </c>
      <c r="D1362" s="14" t="s">
        <v>5859</v>
      </c>
      <c r="E1362" s="6" t="str">
        <f>HYPERLINK("https://twitter.com/ENERGYandAI/status/1364146228024537089","1364146228024537089")</f>
        <v>1364146228024537089</v>
      </c>
      <c r="F1362" s="7" t="s">
        <v>5860</v>
      </c>
      <c r="G1362" s="8"/>
      <c r="H1362" s="8"/>
      <c r="I1362" s="14">
        <v>1</v>
      </c>
      <c r="J1362" s="14">
        <v>3</v>
      </c>
      <c r="K1362" s="6" t="str">
        <f>HYPERLINK("https://mobile.twitter.com","Twitter Web App")</f>
        <v>Twitter Web App</v>
      </c>
      <c r="L1362" s="15">
        <v>148</v>
      </c>
      <c r="M1362" s="15">
        <v>7</v>
      </c>
      <c r="N1362" s="15">
        <v>2</v>
      </c>
      <c r="O1362" s="9"/>
      <c r="P1362" s="10">
        <v>43979.466319444444</v>
      </c>
      <c r="Q1362" s="8"/>
      <c r="R1362" s="14" t="s">
        <v>5861</v>
      </c>
      <c r="S1362" s="7" t="s">
        <v>5862</v>
      </c>
      <c r="T1362" s="8"/>
      <c r="U1362" s="11" t="str">
        <f>HYPERLINK("https://pbs.twimg.com/profile_images/1265934807235735552/waH5qh5N.jpg","View")</f>
        <v>View</v>
      </c>
      <c r="V1362" s="8"/>
      <c r="W1362" s="8"/>
      <c r="X1362" s="8"/>
      <c r="Y1362" s="8"/>
      <c r="Z1362" s="8"/>
    </row>
    <row r="1363" spans="1:26" ht="13.2">
      <c r="A1363" s="13">
        <v>44250.439386574071</v>
      </c>
      <c r="B1363" s="6" t="str">
        <f>HYPERLINK("https://twitter.com/jucktion","@jucktion")</f>
        <v>@jucktion</v>
      </c>
      <c r="C1363" s="14" t="s">
        <v>3490</v>
      </c>
      <c r="D1363" s="14" t="s">
        <v>5863</v>
      </c>
      <c r="E1363" s="6" t="str">
        <f>HYPERLINK("https://twitter.com/jucktion/status/1364146156830392320","1364146156830392320")</f>
        <v>1364146156830392320</v>
      </c>
      <c r="F1363" s="7" t="s">
        <v>5864</v>
      </c>
      <c r="G1363" s="8"/>
      <c r="H1363" s="8"/>
      <c r="I1363" s="14">
        <v>21</v>
      </c>
      <c r="J1363" s="14">
        <v>4</v>
      </c>
      <c r="K1363" s="6" t="str">
        <f>HYPERLINK("https://amplifr.com","Amplifr")</f>
        <v>Amplifr</v>
      </c>
      <c r="L1363" s="15">
        <v>8348</v>
      </c>
      <c r="M1363" s="15">
        <v>3946</v>
      </c>
      <c r="N1363" s="15">
        <v>237</v>
      </c>
      <c r="O1363" s="9"/>
      <c r="P1363" s="10">
        <v>40555.287349537037</v>
      </c>
      <c r="Q1363" s="14" t="s">
        <v>3492</v>
      </c>
      <c r="R1363" s="14" t="s">
        <v>3493</v>
      </c>
      <c r="S1363" s="7" t="s">
        <v>3494</v>
      </c>
      <c r="T1363" s="8"/>
      <c r="U1363" s="11" t="str">
        <f>HYPERLINK("https://pbs.twimg.com/profile_images/764116951425622021/mtvK_yjw.jpg","View")</f>
        <v>View</v>
      </c>
      <c r="V1363" s="8"/>
      <c r="W1363" s="8"/>
      <c r="X1363" s="8"/>
      <c r="Y1363" s="8"/>
      <c r="Z1363" s="8"/>
    </row>
    <row r="1364" spans="1:26" ht="13.2">
      <c r="A1364" s="13">
        <v>44250.439375000002</v>
      </c>
      <c r="B1364" s="6" t="str">
        <f>HYPERLINK("https://twitter.com/TrendingNews_7","@TrendingNews_7")</f>
        <v>@TrendingNews_7</v>
      </c>
      <c r="C1364" s="14" t="s">
        <v>5865</v>
      </c>
      <c r="D1364" s="14" t="s">
        <v>5866</v>
      </c>
      <c r="E1364" s="6" t="str">
        <f>HYPERLINK("https://twitter.com/TrendingNews_7/status/1364146152774504448","1364146152774504448")</f>
        <v>1364146152774504448</v>
      </c>
      <c r="F1364" s="7" t="s">
        <v>5867</v>
      </c>
      <c r="G1364" s="7" t="s">
        <v>5868</v>
      </c>
      <c r="H1364" s="8"/>
      <c r="I1364" s="14">
        <v>17</v>
      </c>
      <c r="J1364" s="14">
        <v>4</v>
      </c>
      <c r="K1364" s="6" t="str">
        <f>HYPERLINK("https://buffer.com","Buffer")</f>
        <v>Buffer</v>
      </c>
      <c r="L1364" s="15">
        <v>894</v>
      </c>
      <c r="M1364" s="15">
        <v>5002</v>
      </c>
      <c r="N1364" s="15">
        <v>16</v>
      </c>
      <c r="O1364" s="9"/>
      <c r="P1364" s="10">
        <v>43968.856678240743</v>
      </c>
      <c r="Q1364" s="14" t="s">
        <v>1120</v>
      </c>
      <c r="R1364" s="14" t="s">
        <v>5869</v>
      </c>
      <c r="S1364" s="8"/>
      <c r="T1364" s="8"/>
      <c r="U1364" s="11" t="str">
        <f>HYPERLINK("https://pbs.twimg.com/profile_images/1262090919035187206/97qzbsZa.jpg","View")</f>
        <v>View</v>
      </c>
      <c r="V1364" s="8"/>
      <c r="W1364" s="8"/>
      <c r="X1364" s="8"/>
      <c r="Y1364" s="8"/>
      <c r="Z1364" s="8"/>
    </row>
    <row r="1365" spans="1:26" ht="13.2">
      <c r="A1365" s="13">
        <v>44250.438888888893</v>
      </c>
      <c r="B1365" s="6" t="str">
        <f>HYPERLINK("https://twitter.com/Analyticsindiam","@Analyticsindiam")</f>
        <v>@Analyticsindiam</v>
      </c>
      <c r="C1365" s="14" t="s">
        <v>5870</v>
      </c>
      <c r="D1365" s="14" t="s">
        <v>5871</v>
      </c>
      <c r="E1365" s="6" t="str">
        <f>HYPERLINK("https://twitter.com/Analyticsindiam/status/1364145978438131715","1364145978438131715")</f>
        <v>1364145978438131715</v>
      </c>
      <c r="F1365" s="7" t="s">
        <v>5872</v>
      </c>
      <c r="G1365" s="8"/>
      <c r="H1365" s="8"/>
      <c r="I1365" s="14">
        <v>20</v>
      </c>
      <c r="J1365" s="14">
        <v>5</v>
      </c>
      <c r="K1365" s="6" t="str">
        <f>HYPERLINK("https://social.zoho.com","Zoho Social")</f>
        <v>Zoho Social</v>
      </c>
      <c r="L1365" s="15">
        <v>12466</v>
      </c>
      <c r="M1365" s="15">
        <v>353</v>
      </c>
      <c r="N1365" s="15">
        <v>284</v>
      </c>
      <c r="O1365" s="9"/>
      <c r="P1365" s="10">
        <v>41209.688425925924</v>
      </c>
      <c r="Q1365" s="14" t="s">
        <v>1742</v>
      </c>
      <c r="R1365" s="14" t="s">
        <v>5873</v>
      </c>
      <c r="S1365" s="7" t="s">
        <v>5874</v>
      </c>
      <c r="T1365" s="8"/>
      <c r="U1365" s="11" t="str">
        <f>HYPERLINK("https://pbs.twimg.com/profile_images/1346368144391118848/X7OaLwQ5.jpg","View")</f>
        <v>View</v>
      </c>
      <c r="V1365" s="8"/>
      <c r="W1365" s="8"/>
      <c r="X1365" s="8"/>
      <c r="Y1365" s="8"/>
      <c r="Z1365" s="8"/>
    </row>
    <row r="1366" spans="1:26" ht="13.2">
      <c r="A1366" s="13">
        <v>44250.43885416667</v>
      </c>
      <c r="B1366" s="6" t="str">
        <f>HYPERLINK("https://twitter.com/AWSCloudSEAsia","@AWSCloudSEAsia")</f>
        <v>@AWSCloudSEAsia</v>
      </c>
      <c r="C1366" s="14" t="s">
        <v>5875</v>
      </c>
      <c r="D1366" s="14" t="s">
        <v>5876</v>
      </c>
      <c r="E1366" s="6" t="str">
        <f>HYPERLINK("https://twitter.com/AWSCloudSEAsia/status/1364145966450962439","1364145966450962439")</f>
        <v>1364145966450962439</v>
      </c>
      <c r="F1366" s="7" t="s">
        <v>5877</v>
      </c>
      <c r="G1366" s="7" t="s">
        <v>5878</v>
      </c>
      <c r="H1366" s="8"/>
      <c r="I1366" s="14">
        <v>3</v>
      </c>
      <c r="J1366" s="14">
        <v>6</v>
      </c>
      <c r="K1366" s="6" t="str">
        <f>HYPERLINK("https://www.sprinklr.com","Sprinklr")</f>
        <v>Sprinklr</v>
      </c>
      <c r="L1366" s="15">
        <v>5247</v>
      </c>
      <c r="M1366" s="15">
        <v>59</v>
      </c>
      <c r="N1366" s="15">
        <v>127</v>
      </c>
      <c r="O1366" s="9"/>
      <c r="P1366" s="10">
        <v>41555.512766203705</v>
      </c>
      <c r="Q1366" s="14" t="s">
        <v>5879</v>
      </c>
      <c r="R1366" s="14" t="s">
        <v>5880</v>
      </c>
      <c r="S1366" s="7" t="s">
        <v>5881</v>
      </c>
      <c r="T1366" s="8"/>
      <c r="U1366" s="11" t="str">
        <f>HYPERLINK("https://pbs.twimg.com/profile_images/1351700750993223681/NNJK6vzE.jpg","View")</f>
        <v>View</v>
      </c>
      <c r="V1366" s="8"/>
      <c r="W1366" s="8"/>
      <c r="X1366" s="8"/>
      <c r="Y1366" s="8"/>
      <c r="Z1366" s="8"/>
    </row>
    <row r="1367" spans="1:26" ht="13.2">
      <c r="A1367" s="13">
        <v>44250.438842592594</v>
      </c>
      <c r="B1367" s="6" t="str">
        <f>HYPERLINK("https://twitter.com/GannyMcGANFace","@GannyMcGANFace")</f>
        <v>@GannyMcGANFace</v>
      </c>
      <c r="C1367" s="14" t="s">
        <v>677</v>
      </c>
      <c r="D1367" s="14" t="s">
        <v>5882</v>
      </c>
      <c r="E1367" s="6" t="str">
        <f>HYPERLINK("https://twitter.com/GannyMcGANFace/status/1364145961828761603","1364145961828761603")</f>
        <v>1364145961828761603</v>
      </c>
      <c r="F1367" s="8"/>
      <c r="G1367" s="7" t="s">
        <v>5883</v>
      </c>
      <c r="H1367" s="8"/>
      <c r="I1367" s="14">
        <v>0</v>
      </c>
      <c r="J1367" s="14">
        <v>1</v>
      </c>
      <c r="K1367" s="6" t="str">
        <f>HYPERLINK("https://cheapbotsdonequick.com","Cheap Bots, Done Quick!")</f>
        <v>Cheap Bots, Done Quick!</v>
      </c>
      <c r="L1367" s="15">
        <v>109</v>
      </c>
      <c r="M1367" s="15">
        <v>241</v>
      </c>
      <c r="N1367" s="15">
        <v>1</v>
      </c>
      <c r="O1367" s="9"/>
      <c r="P1367" s="10">
        <v>42779.006909722222</v>
      </c>
      <c r="Q1367" s="8"/>
      <c r="R1367" s="14" t="s">
        <v>680</v>
      </c>
      <c r="S1367" s="8"/>
      <c r="T1367" s="8"/>
      <c r="U1367" s="11" t="str">
        <f>HYPERLINK("https://pbs.twimg.com/profile_images/1323328546505428994/-DcHTlvo.png","View")</f>
        <v>View</v>
      </c>
      <c r="V1367" s="8"/>
      <c r="W1367" s="8"/>
      <c r="X1367" s="8"/>
      <c r="Y1367" s="8"/>
      <c r="Z1367" s="8"/>
    </row>
    <row r="1368" spans="1:26" ht="13.2">
      <c r="A1368" s="13">
        <v>44250.438738425924</v>
      </c>
      <c r="B1368" s="6" t="str">
        <f>HYPERLINK("https://twitter.com/GrupoCMCOficial","@GrupoCMCOficial")</f>
        <v>@GrupoCMCOficial</v>
      </c>
      <c r="C1368" s="14" t="s">
        <v>5884</v>
      </c>
      <c r="D1368" s="14" t="s">
        <v>5885</v>
      </c>
      <c r="E1368" s="6" t="str">
        <f>HYPERLINK("https://twitter.com/GrupoCMCOficial/status/1364145924444991488","1364145924444991488")</f>
        <v>1364145924444991488</v>
      </c>
      <c r="F1368" s="7" t="s">
        <v>5886</v>
      </c>
      <c r="G1368" s="8"/>
      <c r="H1368" s="8"/>
      <c r="I1368" s="14">
        <v>0</v>
      </c>
      <c r="J1368" s="14">
        <v>0</v>
      </c>
      <c r="K1368" s="6" t="str">
        <f>HYPERLINK("https://mobile.twitter.com","Twitter Web App")</f>
        <v>Twitter Web App</v>
      </c>
      <c r="L1368" s="15">
        <v>839</v>
      </c>
      <c r="M1368" s="15">
        <v>1028</v>
      </c>
      <c r="N1368" s="15">
        <v>12</v>
      </c>
      <c r="O1368" s="9"/>
      <c r="P1368" s="10">
        <v>42921.465555555551</v>
      </c>
      <c r="Q1368" s="14" t="s">
        <v>5887</v>
      </c>
      <c r="R1368" s="14" t="s">
        <v>5888</v>
      </c>
      <c r="S1368" s="7" t="s">
        <v>5889</v>
      </c>
      <c r="T1368" s="8"/>
      <c r="U1368" s="11" t="str">
        <f>HYPERLINK("https://pbs.twimg.com/profile_images/1269935005159079936/IQ4xcVuk.png","View")</f>
        <v>View</v>
      </c>
      <c r="V1368" s="8"/>
      <c r="W1368" s="8"/>
      <c r="X1368" s="8"/>
      <c r="Y1368" s="8"/>
      <c r="Z1368" s="8"/>
    </row>
    <row r="1369" spans="1:26" ht="13.2">
      <c r="A1369" s="13">
        <v>44250.438252314816</v>
      </c>
      <c r="B1369" s="6" t="str">
        <f>HYPERLINK("https://twitter.com/ipfconline1","@ipfconline1")</f>
        <v>@ipfconline1</v>
      </c>
      <c r="C1369" s="14" t="s">
        <v>65</v>
      </c>
      <c r="D1369" s="14" t="s">
        <v>5890</v>
      </c>
      <c r="E1369" s="6" t="str">
        <f>HYPERLINK("https://twitter.com/ipfconline1/status/1364145748766568449","1364145748766568449")</f>
        <v>1364145748766568449</v>
      </c>
      <c r="F1369" s="7" t="s">
        <v>5891</v>
      </c>
      <c r="G1369" s="7" t="s">
        <v>5892</v>
      </c>
      <c r="H1369" s="8"/>
      <c r="I1369" s="14">
        <v>9</v>
      </c>
      <c r="J1369" s="14">
        <v>15</v>
      </c>
      <c r="K1369" s="6" t="str">
        <f>HYPERLINK("https://twittimer.com","Twittimer")</f>
        <v>Twittimer</v>
      </c>
      <c r="L1369" s="15">
        <v>112675</v>
      </c>
      <c r="M1369" s="15">
        <v>107162</v>
      </c>
      <c r="N1369" s="15">
        <v>7806</v>
      </c>
      <c r="O1369" s="9"/>
      <c r="P1369" s="10">
        <v>42433.031967592593</v>
      </c>
      <c r="Q1369" s="14" t="s">
        <v>69</v>
      </c>
      <c r="R1369" s="14" t="s">
        <v>70</v>
      </c>
      <c r="S1369" s="7" t="s">
        <v>71</v>
      </c>
      <c r="T1369" s="8"/>
      <c r="U1369" s="11" t="str">
        <f>HYPERLINK("https://pbs.twimg.com/profile_images/729065804004769793/St2_Pum9.jpg","View")</f>
        <v>View</v>
      </c>
      <c r="V1369" s="8"/>
      <c r="W1369" s="8"/>
      <c r="X1369" s="8"/>
      <c r="Y1369" s="8"/>
      <c r="Z1369" s="8"/>
    </row>
    <row r="1370" spans="1:26" ht="13.2">
      <c r="A1370" s="13">
        <v>44250.438194444447</v>
      </c>
      <c r="B1370" s="6" t="str">
        <f>HYPERLINK("https://twitter.com/Jadirectivestwt","@Jadirectivestwt")</f>
        <v>@Jadirectivestwt</v>
      </c>
      <c r="C1370" s="14" t="s">
        <v>5404</v>
      </c>
      <c r="D1370" s="14" t="s">
        <v>5893</v>
      </c>
      <c r="E1370" s="6" t="str">
        <f>HYPERLINK("https://twitter.com/Jadirectivestwt/status/1364145728143114242","1364145728143114242")</f>
        <v>1364145728143114242</v>
      </c>
      <c r="F1370" s="7" t="s">
        <v>5894</v>
      </c>
      <c r="G1370" s="8"/>
      <c r="H1370" s="8"/>
      <c r="I1370" s="14">
        <v>7</v>
      </c>
      <c r="J1370" s="14">
        <v>2</v>
      </c>
      <c r="K1370" s="6" t="str">
        <f>HYPERLINK("https://app.socialpilot.co/","SocialPilot.co")</f>
        <v>SocialPilot.co</v>
      </c>
      <c r="L1370" s="15">
        <v>5733</v>
      </c>
      <c r="M1370" s="15">
        <v>5891</v>
      </c>
      <c r="N1370" s="15">
        <v>849</v>
      </c>
      <c r="O1370" s="9"/>
      <c r="P1370" s="10">
        <v>42216.877835648149</v>
      </c>
      <c r="Q1370" s="8"/>
      <c r="R1370" s="14" t="s">
        <v>5407</v>
      </c>
      <c r="S1370" s="7" t="s">
        <v>5408</v>
      </c>
      <c r="T1370" s="8"/>
      <c r="U1370" s="11" t="str">
        <f>HYPERLINK("https://pbs.twimg.com/profile_images/1292933771977617410/Tf1ixrZG.jpg","View")</f>
        <v>View</v>
      </c>
      <c r="V1370" s="8"/>
      <c r="W1370" s="8"/>
      <c r="X1370" s="8"/>
      <c r="Y1370" s="8"/>
      <c r="Z1370" s="8"/>
    </row>
    <row r="1371" spans="1:26" ht="13.2">
      <c r="A1371" s="13">
        <v>44250.438078703708</v>
      </c>
      <c r="B1371" s="6" t="str">
        <f>HYPERLINK("https://twitter.com/GSTICseries","@GSTICseries")</f>
        <v>@GSTICseries</v>
      </c>
      <c r="C1371" s="14" t="s">
        <v>5895</v>
      </c>
      <c r="D1371" s="14" t="s">
        <v>5896</v>
      </c>
      <c r="E1371" s="6" t="str">
        <f>HYPERLINK("https://twitter.com/GSTICseries/status/1364145685076074506","1364145685076074506")</f>
        <v>1364145685076074506</v>
      </c>
      <c r="F1371" s="7" t="s">
        <v>5897</v>
      </c>
      <c r="G1371" s="7" t="s">
        <v>5898</v>
      </c>
      <c r="H1371" s="8"/>
      <c r="I1371" s="14">
        <v>1</v>
      </c>
      <c r="J1371" s="14">
        <v>1</v>
      </c>
      <c r="K1371" s="6" t="str">
        <f>HYPERLINK("https://mobile.twitter.com","Twitter Web App")</f>
        <v>Twitter Web App</v>
      </c>
      <c r="L1371" s="15">
        <v>1513</v>
      </c>
      <c r="M1371" s="15">
        <v>1511</v>
      </c>
      <c r="N1371" s="15">
        <v>11</v>
      </c>
      <c r="O1371" s="9"/>
      <c r="P1371" s="10">
        <v>42901.556111111116</v>
      </c>
      <c r="Q1371" s="14" t="s">
        <v>4930</v>
      </c>
      <c r="R1371" s="14" t="s">
        <v>5899</v>
      </c>
      <c r="S1371" s="7" t="s">
        <v>5900</v>
      </c>
      <c r="T1371" s="8"/>
      <c r="U1371" s="11" t="str">
        <f>HYPERLINK("https://pbs.twimg.com/profile_images/875623570436575233/tndS3CqJ.jpg","View")</f>
        <v>View</v>
      </c>
      <c r="V1371" s="8"/>
      <c r="W1371" s="8"/>
      <c r="X1371" s="8"/>
      <c r="Y1371" s="8"/>
      <c r="Z1371" s="8"/>
    </row>
    <row r="1372" spans="1:26" ht="13.2">
      <c r="A1372" s="13">
        <v>44250.4375</v>
      </c>
      <c r="B1372" s="6" t="str">
        <f>HYPERLINK("https://twitter.com/SmartMi71261326","@SmartMi71261326")</f>
        <v>@SmartMi71261326</v>
      </c>
      <c r="C1372" s="14" t="s">
        <v>5901</v>
      </c>
      <c r="D1372" s="14" t="s">
        <v>5902</v>
      </c>
      <c r="E1372" s="6" t="str">
        <f>HYPERLINK("https://twitter.com/SmartMi71261326/status/1364145475092287489","1364145475092287489")</f>
        <v>1364145475092287489</v>
      </c>
      <c r="F1372" s="7" t="s">
        <v>5903</v>
      </c>
      <c r="G1372" s="8"/>
      <c r="H1372" s="8"/>
      <c r="I1372" s="14">
        <v>1</v>
      </c>
      <c r="J1372" s="14">
        <v>1</v>
      </c>
      <c r="K1372" s="6" t="str">
        <f>HYPERLINK("https://about.twitter.com/products/tweetdeck","TweetDeck")</f>
        <v>TweetDeck</v>
      </c>
      <c r="L1372" s="15">
        <v>1</v>
      </c>
      <c r="M1372" s="15">
        <v>16</v>
      </c>
      <c r="N1372" s="15">
        <v>0</v>
      </c>
      <c r="O1372" s="9"/>
      <c r="P1372" s="10">
        <v>44075.399039351847</v>
      </c>
      <c r="Q1372" s="8"/>
      <c r="R1372" s="14" t="s">
        <v>5904</v>
      </c>
      <c r="S1372" s="8"/>
      <c r="T1372" s="8"/>
      <c r="U1372" s="11" t="str">
        <f>HYPERLINK("https://pbs.twimg.com/profile_images/1300698814337048576/yfM7jIE0.jpg","View")</f>
        <v>View</v>
      </c>
      <c r="V1372" s="8"/>
      <c r="W1372" s="8"/>
      <c r="X1372" s="8"/>
      <c r="Y1372" s="8"/>
      <c r="Z1372" s="8"/>
    </row>
    <row r="1373" spans="1:26" ht="13.2">
      <c r="A1373" s="13">
        <v>44250.437465277777</v>
      </c>
      <c r="B1373" s="6" t="str">
        <f>HYPERLINK("https://twitter.com/humanoid_info","@humanoid_info")</f>
        <v>@humanoid_info</v>
      </c>
      <c r="C1373" s="14" t="s">
        <v>5905</v>
      </c>
      <c r="D1373" s="14" t="s">
        <v>5906</v>
      </c>
      <c r="E1373" s="6" t="str">
        <f>HYPERLINK("https://twitter.com/humanoid_info/status/1364145464308768769","1364145464308768769")</f>
        <v>1364145464308768769</v>
      </c>
      <c r="F1373" s="7" t="s">
        <v>5907</v>
      </c>
      <c r="G1373" s="7" t="s">
        <v>5908</v>
      </c>
      <c r="H1373" s="8"/>
      <c r="I1373" s="14">
        <v>0</v>
      </c>
      <c r="J1373" s="14">
        <v>2</v>
      </c>
      <c r="K1373" s="6" t="str">
        <f t="shared" ref="K1373:K1375" si="228">HYPERLINK("https://mobile.twitter.com","Twitter Web App")</f>
        <v>Twitter Web App</v>
      </c>
      <c r="L1373" s="15">
        <v>1971</v>
      </c>
      <c r="M1373" s="15">
        <v>560</v>
      </c>
      <c r="N1373" s="15">
        <v>31</v>
      </c>
      <c r="O1373" s="9"/>
      <c r="P1373" s="10">
        <v>43301.412766203706</v>
      </c>
      <c r="Q1373" s="14" t="s">
        <v>914</v>
      </c>
      <c r="R1373" s="14" t="s">
        <v>5909</v>
      </c>
      <c r="S1373" s="8"/>
      <c r="T1373" s="8"/>
      <c r="U1373" s="11" t="str">
        <f>HYPERLINK("https://pbs.twimg.com/profile_images/1107609479804317697/5NKG0qmu.png","View")</f>
        <v>View</v>
      </c>
      <c r="V1373" s="8"/>
      <c r="W1373" s="8"/>
      <c r="X1373" s="8"/>
      <c r="Y1373" s="8"/>
      <c r="Z1373" s="8"/>
    </row>
    <row r="1374" spans="1:26" ht="13.2">
      <c r="A1374" s="13">
        <v>44250.437430555554</v>
      </c>
      <c r="B1374" s="6" t="str">
        <f t="shared" ref="B1374:B1375" si="229">HYPERLINK("https://twitter.com/TrendingNews_7","@TrendingNews_7")</f>
        <v>@TrendingNews_7</v>
      </c>
      <c r="C1374" s="14" t="s">
        <v>5865</v>
      </c>
      <c r="D1374" s="14" t="s">
        <v>5910</v>
      </c>
      <c r="E1374" s="6" t="str">
        <f>HYPERLINK("https://twitter.com/TrendingNews_7/status/1364145449343410177","1364145449343410177")</f>
        <v>1364145449343410177</v>
      </c>
      <c r="F1374" s="7" t="s">
        <v>2603</v>
      </c>
      <c r="G1374" s="8"/>
      <c r="H1374" s="8"/>
      <c r="I1374" s="14">
        <v>0</v>
      </c>
      <c r="J1374" s="14">
        <v>2</v>
      </c>
      <c r="K1374" s="6" t="str">
        <f t="shared" si="228"/>
        <v>Twitter Web App</v>
      </c>
      <c r="L1374" s="15">
        <v>894</v>
      </c>
      <c r="M1374" s="15">
        <v>5002</v>
      </c>
      <c r="N1374" s="15">
        <v>16</v>
      </c>
      <c r="O1374" s="9"/>
      <c r="P1374" s="10">
        <v>43968.856678240743</v>
      </c>
      <c r="Q1374" s="14" t="s">
        <v>1120</v>
      </c>
      <c r="R1374" s="14" t="s">
        <v>5869</v>
      </c>
      <c r="S1374" s="8"/>
      <c r="T1374" s="8"/>
      <c r="U1374" s="11" t="str">
        <f t="shared" ref="U1374:U1375" si="230">HYPERLINK("https://pbs.twimg.com/profile_images/1262090919035187206/97qzbsZa.jpg","View")</f>
        <v>View</v>
      </c>
      <c r="V1374" s="8"/>
      <c r="W1374" s="8"/>
      <c r="X1374" s="8"/>
      <c r="Y1374" s="8"/>
      <c r="Z1374" s="8"/>
    </row>
    <row r="1375" spans="1:26" ht="13.2">
      <c r="A1375" s="13">
        <v>44250.436851851853</v>
      </c>
      <c r="B1375" s="6" t="str">
        <f t="shared" si="229"/>
        <v>@TrendingNews_7</v>
      </c>
      <c r="C1375" s="14" t="s">
        <v>5865</v>
      </c>
      <c r="D1375" s="14" t="s">
        <v>5911</v>
      </c>
      <c r="E1375" s="6" t="str">
        <f>HYPERLINK("https://twitter.com/TrendingNews_7/status/1364145241951858690","1364145241951858690")</f>
        <v>1364145241951858690</v>
      </c>
      <c r="F1375" s="7" t="s">
        <v>5912</v>
      </c>
      <c r="G1375" s="8"/>
      <c r="H1375" s="8"/>
      <c r="I1375" s="14">
        <v>1</v>
      </c>
      <c r="J1375" s="14">
        <v>5</v>
      </c>
      <c r="K1375" s="6" t="str">
        <f t="shared" si="228"/>
        <v>Twitter Web App</v>
      </c>
      <c r="L1375" s="15">
        <v>894</v>
      </c>
      <c r="M1375" s="15">
        <v>5002</v>
      </c>
      <c r="N1375" s="15">
        <v>16</v>
      </c>
      <c r="O1375" s="9"/>
      <c r="P1375" s="10">
        <v>43968.856678240743</v>
      </c>
      <c r="Q1375" s="14" t="s">
        <v>1120</v>
      </c>
      <c r="R1375" s="14" t="s">
        <v>5869</v>
      </c>
      <c r="S1375" s="8"/>
      <c r="T1375" s="8"/>
      <c r="U1375" s="11" t="str">
        <f t="shared" si="230"/>
        <v>View</v>
      </c>
      <c r="V1375" s="8"/>
      <c r="W1375" s="8"/>
      <c r="X1375" s="8"/>
      <c r="Y1375" s="8"/>
      <c r="Z1375" s="8"/>
    </row>
    <row r="1376" spans="1:26" ht="13.2">
      <c r="A1376" s="13">
        <v>44250.436643518522</v>
      </c>
      <c r="B1376" s="6" t="str">
        <f>HYPERLINK("https://twitter.com/DFTGames","@DFTGames")</f>
        <v>@DFTGames</v>
      </c>
      <c r="C1376" s="14" t="s">
        <v>5913</v>
      </c>
      <c r="D1376" s="14" t="s">
        <v>5914</v>
      </c>
      <c r="E1376" s="6" t="str">
        <f>HYPERLINK("https://twitter.com/DFTGames/status/1364145165536014337","1364145165536014337")</f>
        <v>1364145165536014337</v>
      </c>
      <c r="F1376" s="7" t="s">
        <v>5915</v>
      </c>
      <c r="G1376" s="8"/>
      <c r="H1376" s="8"/>
      <c r="I1376" s="14">
        <v>2</v>
      </c>
      <c r="J1376" s="14">
        <v>0</v>
      </c>
      <c r="K1376" s="6" t="str">
        <f>HYPERLINK("https://paper.li","Paper.li")</f>
        <v>Paper.li</v>
      </c>
      <c r="L1376" s="15">
        <v>1246</v>
      </c>
      <c r="M1376" s="15">
        <v>938</v>
      </c>
      <c r="N1376" s="15">
        <v>72</v>
      </c>
      <c r="O1376" s="9"/>
      <c r="P1376" s="10">
        <v>39951.568043981482</v>
      </c>
      <c r="Q1376" s="14" t="s">
        <v>5916</v>
      </c>
      <c r="R1376" s="14" t="s">
        <v>5917</v>
      </c>
      <c r="S1376" s="7" t="s">
        <v>5918</v>
      </c>
      <c r="T1376" s="8"/>
      <c r="U1376" s="11" t="str">
        <f>HYPERLINK("https://pbs.twimg.com/profile_images/378800000347433436/f9fbb3af9d7d7d47f6d6dff3e6d87d86.png","View")</f>
        <v>View</v>
      </c>
      <c r="V1376" s="8"/>
      <c r="W1376" s="8"/>
      <c r="X1376" s="8"/>
      <c r="Y1376" s="8"/>
      <c r="Z1376" s="8"/>
    </row>
    <row r="1377" spans="1:26" ht="13.2">
      <c r="A1377" s="13">
        <v>44250.436354166668</v>
      </c>
      <c r="B1377" s="6" t="str">
        <f>HYPERLINK("https://twitter.com/TrendingNews_7","@TrendingNews_7")</f>
        <v>@TrendingNews_7</v>
      </c>
      <c r="C1377" s="14" t="s">
        <v>5865</v>
      </c>
      <c r="D1377" s="14" t="s">
        <v>5919</v>
      </c>
      <c r="E1377" s="6" t="str">
        <f>HYPERLINK("https://twitter.com/TrendingNews_7/status/1364145061772992513","1364145061772992513")</f>
        <v>1364145061772992513</v>
      </c>
      <c r="F1377" s="7" t="s">
        <v>5920</v>
      </c>
      <c r="G1377" s="8"/>
      <c r="H1377" s="8"/>
      <c r="I1377" s="14">
        <v>2</v>
      </c>
      <c r="J1377" s="14">
        <v>2</v>
      </c>
      <c r="K1377" s="6" t="str">
        <f>HYPERLINK("https://mobile.twitter.com","Twitter Web App")</f>
        <v>Twitter Web App</v>
      </c>
      <c r="L1377" s="15">
        <v>894</v>
      </c>
      <c r="M1377" s="15">
        <v>5002</v>
      </c>
      <c r="N1377" s="15">
        <v>16</v>
      </c>
      <c r="O1377" s="9"/>
      <c r="P1377" s="10">
        <v>43968.856678240743</v>
      </c>
      <c r="Q1377" s="14" t="s">
        <v>1120</v>
      </c>
      <c r="R1377" s="14" t="s">
        <v>5869</v>
      </c>
      <c r="S1377" s="8"/>
      <c r="T1377" s="8"/>
      <c r="U1377" s="11" t="str">
        <f>HYPERLINK("https://pbs.twimg.com/profile_images/1262090919035187206/97qzbsZa.jpg","View")</f>
        <v>View</v>
      </c>
      <c r="V1377" s="8"/>
      <c r="W1377" s="8"/>
      <c r="X1377" s="8"/>
      <c r="Y1377" s="8"/>
      <c r="Z1377" s="8"/>
    </row>
    <row r="1378" spans="1:26" ht="13.2">
      <c r="A1378" s="13">
        <v>44250.435486111106</v>
      </c>
      <c r="B1378" s="6" t="str">
        <f>HYPERLINK("https://twitter.com/Blogging__Guide","@Blogging__Guide")</f>
        <v>@Blogging__Guide</v>
      </c>
      <c r="C1378" s="14" t="s">
        <v>5921</v>
      </c>
      <c r="D1378" s="14" t="s">
        <v>5922</v>
      </c>
      <c r="E1378" s="6" t="str">
        <f>HYPERLINK("https://twitter.com/Blogging__Guide/status/1364144743886766080","1364144743886766080")</f>
        <v>1364144743886766080</v>
      </c>
      <c r="F1378" s="7" t="s">
        <v>5923</v>
      </c>
      <c r="G1378" s="8"/>
      <c r="H1378" s="8"/>
      <c r="I1378" s="14">
        <v>0</v>
      </c>
      <c r="J1378" s="14">
        <v>0</v>
      </c>
      <c r="K1378" s="6" t="str">
        <f>HYPERLINK("https://www.smedian.com","Penname")</f>
        <v>Penname</v>
      </c>
      <c r="L1378" s="15">
        <v>3520</v>
      </c>
      <c r="M1378" s="15">
        <v>566</v>
      </c>
      <c r="N1378" s="15">
        <v>49</v>
      </c>
      <c r="O1378" s="9"/>
      <c r="P1378" s="10">
        <v>40934.055127314816</v>
      </c>
      <c r="Q1378" s="14" t="s">
        <v>191</v>
      </c>
      <c r="R1378" s="14" t="s">
        <v>5924</v>
      </c>
      <c r="S1378" s="7" t="s">
        <v>5925</v>
      </c>
      <c r="T1378" s="8"/>
      <c r="U1378" s="11" t="str">
        <f>HYPERLINK("https://pbs.twimg.com/profile_images/1288753123750752256/JJb2XW20.jpg","View")</f>
        <v>View</v>
      </c>
      <c r="V1378" s="8"/>
      <c r="W1378" s="8"/>
      <c r="X1378" s="8"/>
      <c r="Y1378" s="8"/>
      <c r="Z1378" s="8"/>
    </row>
    <row r="1379" spans="1:26" ht="13.2">
      <c r="A1379" s="13">
        <v>44250.435462962967</v>
      </c>
      <c r="B1379" s="6" t="str">
        <f>HYPERLINK("https://twitter.com/DS_Analytics","@DS_Analytics")</f>
        <v>@DS_Analytics</v>
      </c>
      <c r="C1379" s="14" t="s">
        <v>2389</v>
      </c>
      <c r="D1379" s="14" t="s">
        <v>5926</v>
      </c>
      <c r="E1379" s="6" t="str">
        <f>HYPERLINK("https://twitter.com/DS_Analytics/status/1364144738761400321","1364144738761400321")</f>
        <v>1364144738761400321</v>
      </c>
      <c r="F1379" s="7" t="s">
        <v>5927</v>
      </c>
      <c r="G1379" s="8"/>
      <c r="H1379" s="8"/>
      <c r="I1379" s="14">
        <v>6</v>
      </c>
      <c r="J1379" s="14">
        <v>1</v>
      </c>
      <c r="K1379" s="6" t="str">
        <f>HYPERLINK("https://ifttt.com","IFTTT")</f>
        <v>IFTTT</v>
      </c>
      <c r="L1379" s="15">
        <v>4945</v>
      </c>
      <c r="M1379" s="15">
        <v>4504</v>
      </c>
      <c r="N1379" s="15">
        <v>46</v>
      </c>
      <c r="O1379" s="9"/>
      <c r="P1379" s="10">
        <v>43019.662314814814</v>
      </c>
      <c r="Q1379" s="8"/>
      <c r="R1379" s="14" t="s">
        <v>2392</v>
      </c>
      <c r="S1379" s="8"/>
      <c r="T1379" s="8"/>
      <c r="U1379" s="11" t="str">
        <f>HYPERLINK("https://pbs.twimg.com/profile_images/955817556635504640/FflsX454.jpg","View")</f>
        <v>View</v>
      </c>
      <c r="V1379" s="8"/>
      <c r="W1379" s="8"/>
      <c r="X1379" s="8"/>
      <c r="Y1379" s="8"/>
      <c r="Z1379" s="8"/>
    </row>
    <row r="1380" spans="1:26" ht="13.2">
      <c r="A1380" s="13">
        <v>44250.435416666667</v>
      </c>
      <c r="B1380" s="6" t="str">
        <f>HYPERLINK("https://twitter.com/Nicochan33","@Nicochan33")</f>
        <v>@Nicochan33</v>
      </c>
      <c r="C1380" s="14" t="s">
        <v>2244</v>
      </c>
      <c r="D1380" s="14" t="s">
        <v>5007</v>
      </c>
      <c r="E1380" s="6" t="str">
        <f>HYPERLINK("https://twitter.com/Nicochan33/status/1364144718905364482","1364144718905364482")</f>
        <v>1364144718905364482</v>
      </c>
      <c r="F1380" s="7" t="s">
        <v>5698</v>
      </c>
      <c r="G1380" s="8"/>
      <c r="H1380" s="8"/>
      <c r="I1380" s="14">
        <v>9</v>
      </c>
      <c r="J1380" s="14">
        <v>9</v>
      </c>
      <c r="K1380" s="6" t="str">
        <f>HYPERLINK("https://mobile.twitter.com","Twitter Web App")</f>
        <v>Twitter Web App</v>
      </c>
      <c r="L1380" s="15">
        <v>86054</v>
      </c>
      <c r="M1380" s="15">
        <v>78930</v>
      </c>
      <c r="N1380" s="15">
        <v>3711</v>
      </c>
      <c r="O1380" s="9"/>
      <c r="P1380" s="10">
        <v>39834.541168981479</v>
      </c>
      <c r="Q1380" s="14" t="s">
        <v>1468</v>
      </c>
      <c r="R1380" s="14" t="s">
        <v>2247</v>
      </c>
      <c r="S1380" s="7" t="s">
        <v>2248</v>
      </c>
      <c r="T1380" s="8"/>
      <c r="U1380" s="11" t="str">
        <f>HYPERLINK("https://pbs.twimg.com/profile_images/773909130352402432/XKlKwdPG.jpg","View")</f>
        <v>View</v>
      </c>
      <c r="V1380" s="8"/>
      <c r="W1380" s="8"/>
      <c r="X1380" s="8"/>
      <c r="Y1380" s="8"/>
      <c r="Z1380" s="8"/>
    </row>
    <row r="1381" spans="1:26" ht="13.2">
      <c r="A1381" s="13">
        <v>44250.434062500004</v>
      </c>
      <c r="B1381" s="6" t="str">
        <f>HYPERLINK("https://twitter.com/andresvilarino","@andresvilarino")</f>
        <v>@andresvilarino</v>
      </c>
      <c r="C1381" s="14" t="s">
        <v>72</v>
      </c>
      <c r="D1381" s="14" t="s">
        <v>5928</v>
      </c>
      <c r="E1381" s="6" t="str">
        <f>HYPERLINK("https://twitter.com/andresvilarino/status/1364144229740666881","1364144229740666881")</f>
        <v>1364144229740666881</v>
      </c>
      <c r="F1381" s="7" t="s">
        <v>5929</v>
      </c>
      <c r="G1381" s="7" t="s">
        <v>5930</v>
      </c>
      <c r="H1381" s="8"/>
      <c r="I1381" s="14">
        <v>0</v>
      </c>
      <c r="J1381" s="14">
        <v>1</v>
      </c>
      <c r="K1381" s="6" t="str">
        <f>HYPERLINK("https://www.hootsuite.com","Hootsuite Inc.")</f>
        <v>Hootsuite Inc.</v>
      </c>
      <c r="L1381" s="15">
        <v>5136</v>
      </c>
      <c r="M1381" s="15">
        <v>5043</v>
      </c>
      <c r="N1381" s="15">
        <v>79</v>
      </c>
      <c r="O1381" s="9"/>
      <c r="P1381" s="10">
        <v>40346.43136574074</v>
      </c>
      <c r="Q1381" s="14" t="s">
        <v>75</v>
      </c>
      <c r="R1381" s="14" t="s">
        <v>76</v>
      </c>
      <c r="S1381" s="7" t="s">
        <v>77</v>
      </c>
      <c r="T1381" s="8"/>
      <c r="U1381" s="11" t="str">
        <f>HYPERLINK("https://pbs.twimg.com/profile_images/1015329397929177088/9OR3sIzf.jpg","View")</f>
        <v>View</v>
      </c>
      <c r="V1381" s="8"/>
      <c r="W1381" s="8"/>
      <c r="X1381" s="8"/>
      <c r="Y1381" s="8"/>
      <c r="Z1381" s="8"/>
    </row>
    <row r="1382" spans="1:26" ht="13.2">
      <c r="A1382" s="13">
        <v>44250.434027777781</v>
      </c>
      <c r="B1382" s="6" t="str">
        <f>HYPERLINK("https://twitter.com/MLJARofficial","@MLJARofficial")</f>
        <v>@MLJARofficial</v>
      </c>
      <c r="C1382" s="14" t="s">
        <v>5931</v>
      </c>
      <c r="D1382" s="14" t="s">
        <v>5932</v>
      </c>
      <c r="E1382" s="6" t="str">
        <f>HYPERLINK("https://twitter.com/MLJARofficial/status/1364144217375862784","1364144217375862784")</f>
        <v>1364144217375862784</v>
      </c>
      <c r="F1382" s="7" t="s">
        <v>5933</v>
      </c>
      <c r="G1382" s="7" t="s">
        <v>5934</v>
      </c>
      <c r="H1382" s="8"/>
      <c r="I1382" s="14">
        <v>2</v>
      </c>
      <c r="J1382" s="14">
        <v>2</v>
      </c>
      <c r="K1382" s="6" t="str">
        <f>HYPERLINK("https://mobile.twitter.com","Twitter Web App")</f>
        <v>Twitter Web App</v>
      </c>
      <c r="L1382" s="15">
        <v>529</v>
      </c>
      <c r="M1382" s="15">
        <v>88</v>
      </c>
      <c r="N1382" s="15">
        <v>54</v>
      </c>
      <c r="O1382" s="9"/>
      <c r="P1382" s="10">
        <v>42408.799780092595</v>
      </c>
      <c r="Q1382" s="14" t="s">
        <v>5935</v>
      </c>
      <c r="R1382" s="7" t="s">
        <v>5936</v>
      </c>
      <c r="S1382" s="7" t="s">
        <v>5937</v>
      </c>
      <c r="T1382" s="8"/>
      <c r="U1382" s="11" t="str">
        <f>HYPERLINK("https://pbs.twimg.com/profile_images/1255047924662370304/rTsEg7MR.png","View")</f>
        <v>View</v>
      </c>
      <c r="V1382" s="8"/>
      <c r="W1382" s="8"/>
      <c r="X1382" s="8"/>
      <c r="Y1382" s="8"/>
      <c r="Z1382" s="8"/>
    </row>
    <row r="1383" spans="1:26" ht="13.2">
      <c r="A1383" s="13">
        <v>44250.434027777781</v>
      </c>
      <c r="B1383" s="6" t="str">
        <f>HYPERLINK("https://twitter.com/selfdriving360","@selfdriving360")</f>
        <v>@selfdriving360</v>
      </c>
      <c r="C1383" s="14" t="s">
        <v>5938</v>
      </c>
      <c r="D1383" s="14" t="s">
        <v>5939</v>
      </c>
      <c r="E1383" s="6" t="str">
        <f>HYPERLINK("https://twitter.com/selfdriving360/status/1364144215517777922","1364144215517777922")</f>
        <v>1364144215517777922</v>
      </c>
      <c r="F1383" s="7" t="s">
        <v>5940</v>
      </c>
      <c r="G1383" s="7" t="s">
        <v>5941</v>
      </c>
      <c r="H1383" s="8"/>
      <c r="I1383" s="14">
        <v>0</v>
      </c>
      <c r="J1383" s="14">
        <v>2</v>
      </c>
      <c r="K1383" s="6" t="str">
        <f>HYPERLINK("https://about.twitter.com/products/tweetdeck","TweetDeck")</f>
        <v>TweetDeck</v>
      </c>
      <c r="L1383" s="15">
        <v>2550</v>
      </c>
      <c r="M1383" s="15">
        <v>4510</v>
      </c>
      <c r="N1383" s="15">
        <v>35</v>
      </c>
      <c r="O1383" s="9"/>
      <c r="P1383" s="10">
        <v>43214.737951388888</v>
      </c>
      <c r="Q1383" s="8"/>
      <c r="R1383" s="14" t="s">
        <v>5942</v>
      </c>
      <c r="S1383" s="7" t="s">
        <v>5943</v>
      </c>
      <c r="T1383" s="8"/>
      <c r="U1383" s="11" t="str">
        <f>HYPERLINK("https://pbs.twimg.com/profile_images/1191932725734850562/0EjaL8Ga.jpg","View")</f>
        <v>View</v>
      </c>
      <c r="V1383" s="8"/>
      <c r="W1383" s="8"/>
      <c r="X1383" s="8"/>
      <c r="Y1383" s="8"/>
      <c r="Z1383" s="8"/>
    </row>
    <row r="1384" spans="1:26" ht="13.2">
      <c r="A1384" s="13">
        <v>44250.432928240742</v>
      </c>
      <c r="B1384" s="6" t="str">
        <f>HYPERLINK("https://twitter.com/QuantumBIS","@QuantumBIS")</f>
        <v>@QuantumBIS</v>
      </c>
      <c r="C1384" s="14" t="s">
        <v>5944</v>
      </c>
      <c r="D1384" s="14" t="s">
        <v>5945</v>
      </c>
      <c r="E1384" s="6" t="str">
        <f>HYPERLINK("https://twitter.com/QuantumBIS/status/1364143819080560642","1364143819080560642")</f>
        <v>1364143819080560642</v>
      </c>
      <c r="F1384" s="7" t="s">
        <v>5946</v>
      </c>
      <c r="G1384" s="7" t="s">
        <v>5947</v>
      </c>
      <c r="H1384" s="8"/>
      <c r="I1384" s="14">
        <v>2</v>
      </c>
      <c r="J1384" s="14">
        <v>2</v>
      </c>
      <c r="K1384" s="6" t="str">
        <f t="shared" ref="K1384:K1387" si="231">HYPERLINK("https://mobile.twitter.com","Twitter Web App")</f>
        <v>Twitter Web App</v>
      </c>
      <c r="L1384" s="15">
        <v>224</v>
      </c>
      <c r="M1384" s="15">
        <v>408</v>
      </c>
      <c r="N1384" s="15">
        <v>0</v>
      </c>
      <c r="O1384" s="9"/>
      <c r="P1384" s="10">
        <v>41351.41233796296</v>
      </c>
      <c r="Q1384" s="14" t="s">
        <v>5948</v>
      </c>
      <c r="R1384" s="14" t="s">
        <v>5949</v>
      </c>
      <c r="S1384" s="7" t="s">
        <v>5950</v>
      </c>
      <c r="T1384" s="8"/>
      <c r="U1384" s="11" t="str">
        <f>HYPERLINK("https://pbs.twimg.com/profile_images/875597117347184640/sR1LduUW.jpg","View")</f>
        <v>View</v>
      </c>
      <c r="V1384" s="8"/>
      <c r="W1384" s="8"/>
      <c r="X1384" s="8"/>
      <c r="Y1384" s="8"/>
      <c r="Z1384" s="8"/>
    </row>
    <row r="1385" spans="1:26" ht="13.2">
      <c r="A1385" s="13">
        <v>44250.432118055556</v>
      </c>
      <c r="B1385" s="6" t="str">
        <f>HYPERLINK("https://twitter.com/CerroDaniele","@CerroDaniele")</f>
        <v>@CerroDaniele</v>
      </c>
      <c r="C1385" s="14" t="s">
        <v>5951</v>
      </c>
      <c r="D1385" s="14" t="s">
        <v>5952</v>
      </c>
      <c r="E1385" s="6" t="str">
        <f>HYPERLINK("https://twitter.com/CerroDaniele/status/1364143525437317120","1364143525437317120")</f>
        <v>1364143525437317120</v>
      </c>
      <c r="F1385" s="14" t="s">
        <v>5953</v>
      </c>
      <c r="G1385" s="8"/>
      <c r="H1385" s="8"/>
      <c r="I1385" s="14">
        <v>1</v>
      </c>
      <c r="J1385" s="14">
        <v>1</v>
      </c>
      <c r="K1385" s="6" t="str">
        <f t="shared" si="231"/>
        <v>Twitter Web App</v>
      </c>
      <c r="L1385" s="15">
        <v>190</v>
      </c>
      <c r="M1385" s="15">
        <v>819</v>
      </c>
      <c r="N1385" s="15">
        <v>1</v>
      </c>
      <c r="O1385" s="9"/>
      <c r="P1385" s="10">
        <v>43260.785462962958</v>
      </c>
      <c r="Q1385" s="14" t="s">
        <v>2545</v>
      </c>
      <c r="R1385" s="14" t="s">
        <v>5954</v>
      </c>
      <c r="S1385" s="8"/>
      <c r="T1385" s="8"/>
      <c r="U1385" s="11" t="str">
        <f>HYPERLINK("https://pbs.twimg.com/profile_images/1315577044743401474/eBZ4cCiY.jpg","View")</f>
        <v>View</v>
      </c>
      <c r="V1385" s="8"/>
      <c r="W1385" s="8"/>
      <c r="X1385" s="8"/>
      <c r="Y1385" s="8"/>
      <c r="Z1385" s="8"/>
    </row>
    <row r="1386" spans="1:26" ht="13.2">
      <c r="A1386" s="13">
        <v>44250.43173611111</v>
      </c>
      <c r="B1386" s="6" t="str">
        <f>HYPERLINK("https://twitter.com/M6sp2004","@M6sp2004")</f>
        <v>@M6sp2004</v>
      </c>
      <c r="C1386" s="14" t="s">
        <v>5955</v>
      </c>
      <c r="D1386" s="14" t="s">
        <v>5956</v>
      </c>
      <c r="E1386" s="6" t="str">
        <f>HYPERLINK("https://twitter.com/M6sp2004/status/1364143385163030531","1364143385163030531")</f>
        <v>1364143385163030531</v>
      </c>
      <c r="F1386" s="7" t="s">
        <v>5957</v>
      </c>
      <c r="G1386" s="8"/>
      <c r="H1386" s="8"/>
      <c r="I1386" s="14">
        <v>0</v>
      </c>
      <c r="J1386" s="14">
        <v>0</v>
      </c>
      <c r="K1386" s="6" t="str">
        <f t="shared" si="231"/>
        <v>Twitter Web App</v>
      </c>
      <c r="L1386" s="15">
        <v>103</v>
      </c>
      <c r="M1386" s="15">
        <v>146</v>
      </c>
      <c r="N1386" s="15">
        <v>1</v>
      </c>
      <c r="O1386" s="9"/>
      <c r="P1386" s="10">
        <v>42391.69122685185</v>
      </c>
      <c r="Q1386" s="8"/>
      <c r="R1386" s="14" t="s">
        <v>5958</v>
      </c>
      <c r="S1386" s="7" t="s">
        <v>5959</v>
      </c>
      <c r="T1386" s="8"/>
      <c r="U1386" s="11" t="str">
        <f>HYPERLINK("https://pbs.twimg.com/profile_images/1320862248378814475/whlMxu6t.jpg","View")</f>
        <v>View</v>
      </c>
      <c r="V1386" s="8"/>
      <c r="W1386" s="8"/>
      <c r="X1386" s="8"/>
      <c r="Y1386" s="8"/>
      <c r="Z1386" s="8"/>
    </row>
    <row r="1387" spans="1:26" ht="13.2">
      <c r="A1387" s="13">
        <v>44250.431435185186</v>
      </c>
      <c r="B1387" s="6" t="str">
        <f>HYPERLINK("https://twitter.com/Malinovskiy_V_V","@Malinovskiy_V_V")</f>
        <v>@Malinovskiy_V_V</v>
      </c>
      <c r="C1387" s="14" t="s">
        <v>5960</v>
      </c>
      <c r="D1387" s="14" t="s">
        <v>5961</v>
      </c>
      <c r="E1387" s="6" t="str">
        <f>HYPERLINK("https://twitter.com/Malinovskiy_V_V/status/1364143278115946504","1364143278115946504")</f>
        <v>1364143278115946504</v>
      </c>
      <c r="F1387" s="8"/>
      <c r="G1387" s="7" t="s">
        <v>5962</v>
      </c>
      <c r="H1387" s="8"/>
      <c r="I1387" s="14">
        <v>17</v>
      </c>
      <c r="J1387" s="14">
        <v>8</v>
      </c>
      <c r="K1387" s="6" t="str">
        <f t="shared" si="231"/>
        <v>Twitter Web App</v>
      </c>
      <c r="L1387" s="15">
        <v>32</v>
      </c>
      <c r="M1387" s="15">
        <v>275</v>
      </c>
      <c r="N1387" s="15">
        <v>1</v>
      </c>
      <c r="O1387" s="9"/>
      <c r="P1387" s="10">
        <v>42445.410451388889</v>
      </c>
      <c r="Q1387" s="8"/>
      <c r="R1387" s="8"/>
      <c r="S1387" s="7" t="s">
        <v>5963</v>
      </c>
      <c r="T1387" s="8"/>
      <c r="U1387" s="11" t="str">
        <f>HYPERLINK("https://pbs.twimg.com/profile_images/1346067960650207233/AI-S3ZiH.jpg","View")</f>
        <v>View</v>
      </c>
      <c r="V1387" s="8"/>
      <c r="W1387" s="8"/>
      <c r="X1387" s="8"/>
      <c r="Y1387" s="8"/>
      <c r="Z1387" s="8"/>
    </row>
    <row r="1388" spans="1:26" ht="13.2">
      <c r="A1388" s="13">
        <v>44250.431250000001</v>
      </c>
      <c r="B1388" s="6" t="str">
        <f>HYPERLINK("https://twitter.com/chemanager","@chemanager")</f>
        <v>@chemanager</v>
      </c>
      <c r="C1388" s="14" t="s">
        <v>5964</v>
      </c>
      <c r="D1388" s="14" t="s">
        <v>5965</v>
      </c>
      <c r="E1388" s="6" t="str">
        <f>HYPERLINK("https://twitter.com/chemanager/status/1364143209060835330","1364143209060835330")</f>
        <v>1364143209060835330</v>
      </c>
      <c r="F1388" s="7" t="s">
        <v>5966</v>
      </c>
      <c r="G1388" s="8"/>
      <c r="H1388" s="8"/>
      <c r="I1388" s="14">
        <v>1</v>
      </c>
      <c r="J1388" s="14">
        <v>0</v>
      </c>
      <c r="K1388" s="6" t="str">
        <f>HYPERLINK("https://about.twitter.com/products/tweetdeck","TweetDeck")</f>
        <v>TweetDeck</v>
      </c>
      <c r="L1388" s="15">
        <v>3004</v>
      </c>
      <c r="M1388" s="15">
        <v>1800</v>
      </c>
      <c r="N1388" s="15">
        <v>66</v>
      </c>
      <c r="O1388" s="9"/>
      <c r="P1388" s="10">
        <v>40030.485034722224</v>
      </c>
      <c r="Q1388" s="14" t="s">
        <v>5967</v>
      </c>
      <c r="R1388" s="14" t="s">
        <v>5968</v>
      </c>
      <c r="S1388" s="7" t="s">
        <v>5969</v>
      </c>
      <c r="T1388" s="8"/>
      <c r="U1388" s="11" t="str">
        <f>HYPERLINK("https://pbs.twimg.com/profile_images/1083026508854251527/611-UUBZ.jpg","View")</f>
        <v>View</v>
      </c>
      <c r="V1388" s="8"/>
      <c r="W1388" s="8"/>
      <c r="X1388" s="8"/>
      <c r="Y1388" s="8"/>
      <c r="Z1388" s="8"/>
    </row>
    <row r="1389" spans="1:26" ht="13.2">
      <c r="A1389" s="13">
        <v>44250.431226851855</v>
      </c>
      <c r="B1389" s="6" t="str">
        <f>HYPERLINK("https://twitter.com/uniworldnews","@uniworldnews")</f>
        <v>@uniworldnews</v>
      </c>
      <c r="C1389" s="14" t="s">
        <v>5970</v>
      </c>
      <c r="D1389" s="14" t="s">
        <v>5971</v>
      </c>
      <c r="E1389" s="6" t="str">
        <f>HYPERLINK("https://twitter.com/uniworldnews/status/1364143201389543426","1364143201389543426")</f>
        <v>1364143201389543426</v>
      </c>
      <c r="F1389" s="7" t="s">
        <v>5972</v>
      </c>
      <c r="G1389" s="8"/>
      <c r="H1389" s="8"/>
      <c r="I1389" s="14">
        <v>0</v>
      </c>
      <c r="J1389" s="14">
        <v>0</v>
      </c>
      <c r="K1389" s="6" t="str">
        <f>HYPERLINK("https://www.hootsuite.com","Hootsuite Inc.")</f>
        <v>Hootsuite Inc.</v>
      </c>
      <c r="L1389" s="15">
        <v>20756</v>
      </c>
      <c r="M1389" s="15">
        <v>1100</v>
      </c>
      <c r="N1389" s="15">
        <v>763</v>
      </c>
      <c r="O1389" s="9"/>
      <c r="P1389" s="10">
        <v>40153.915925925925</v>
      </c>
      <c r="Q1389" s="8"/>
      <c r="R1389" s="14" t="s">
        <v>5973</v>
      </c>
      <c r="S1389" s="7" t="s">
        <v>5974</v>
      </c>
      <c r="T1389" s="8"/>
      <c r="U1389" s="11" t="str">
        <f>HYPERLINK("https://pbs.twimg.com/profile_images/1318251484149055490/KqkRTWPH.jpg","View")</f>
        <v>View</v>
      </c>
      <c r="V1389" s="8"/>
      <c r="W1389" s="8"/>
      <c r="X1389" s="8"/>
      <c r="Y1389" s="8"/>
      <c r="Z1389" s="8"/>
    </row>
    <row r="1390" spans="1:26" ht="13.2">
      <c r="A1390" s="13">
        <v>44250.431122685186</v>
      </c>
      <c r="B1390" s="6" t="str">
        <f>HYPERLINK("https://twitter.com/tobiaskintzel","@tobiaskintzel")</f>
        <v>@tobiaskintzel</v>
      </c>
      <c r="C1390" s="14" t="s">
        <v>5975</v>
      </c>
      <c r="D1390" s="14" t="s">
        <v>5976</v>
      </c>
      <c r="E1390" s="6" t="str">
        <f>HYPERLINK("https://twitter.com/tobiaskintzel/status/1364143163888332800","1364143163888332800")</f>
        <v>1364143163888332800</v>
      </c>
      <c r="F1390" s="7" t="s">
        <v>5977</v>
      </c>
      <c r="G1390" s="8"/>
      <c r="H1390" s="8"/>
      <c r="I1390" s="14">
        <v>0</v>
      </c>
      <c r="J1390" s="14">
        <v>1</v>
      </c>
      <c r="K1390" s="6" t="str">
        <f t="shared" ref="K1390:K1392" si="232">HYPERLINK("https://mobile.twitter.com","Twitter Web App")</f>
        <v>Twitter Web App</v>
      </c>
      <c r="L1390" s="15">
        <v>4734</v>
      </c>
      <c r="M1390" s="15">
        <v>4520</v>
      </c>
      <c r="N1390" s="15">
        <v>363</v>
      </c>
      <c r="O1390" s="9"/>
      <c r="P1390" s="10">
        <v>40284.455405092594</v>
      </c>
      <c r="Q1390" s="14" t="s">
        <v>5978</v>
      </c>
      <c r="R1390" s="14" t="s">
        <v>5979</v>
      </c>
      <c r="S1390" s="8"/>
      <c r="T1390" s="8"/>
      <c r="U1390" s="11" t="str">
        <f>HYPERLINK("https://pbs.twimg.com/profile_images/1118176403374129154/kogmnGB0.png","View")</f>
        <v>View</v>
      </c>
      <c r="V1390" s="8"/>
      <c r="W1390" s="8"/>
      <c r="X1390" s="8"/>
      <c r="Y1390" s="8"/>
      <c r="Z1390" s="8"/>
    </row>
    <row r="1391" spans="1:26" ht="13.2">
      <c r="A1391" s="13">
        <v>44250.430960648147</v>
      </c>
      <c r="B1391" s="6" t="str">
        <f>HYPERLINK("https://twitter.com/Ind_Prod","@Ind_Prod")</f>
        <v>@Ind_Prod</v>
      </c>
      <c r="C1391" s="14" t="s">
        <v>5980</v>
      </c>
      <c r="D1391" s="14" t="s">
        <v>5981</v>
      </c>
      <c r="E1391" s="6" t="str">
        <f>HYPERLINK("https://twitter.com/Ind_Prod/status/1364143107000983552","1364143107000983552")</f>
        <v>1364143107000983552</v>
      </c>
      <c r="F1391" s="7" t="s">
        <v>5982</v>
      </c>
      <c r="G1391" s="8"/>
      <c r="H1391" s="8"/>
      <c r="I1391" s="14">
        <v>2</v>
      </c>
      <c r="J1391" s="14">
        <v>1</v>
      </c>
      <c r="K1391" s="6" t="str">
        <f t="shared" si="232"/>
        <v>Twitter Web App</v>
      </c>
      <c r="L1391" s="15">
        <v>3247</v>
      </c>
      <c r="M1391" s="15">
        <v>1604</v>
      </c>
      <c r="N1391" s="15">
        <v>180</v>
      </c>
      <c r="O1391" s="9"/>
      <c r="P1391" s="10">
        <v>40064.605393518519</v>
      </c>
      <c r="Q1391" s="14" t="s">
        <v>5983</v>
      </c>
      <c r="R1391" s="14" t="s">
        <v>5984</v>
      </c>
      <c r="S1391" s="7" t="s">
        <v>5985</v>
      </c>
      <c r="T1391" s="8"/>
      <c r="U1391" s="11" t="str">
        <f>HYPERLINK("https://pbs.twimg.com/profile_images/1306148105889476609/zhySd9YH.png","View")</f>
        <v>View</v>
      </c>
      <c r="V1391" s="8"/>
      <c r="W1391" s="8"/>
      <c r="X1391" s="8"/>
      <c r="Y1391" s="8"/>
      <c r="Z1391" s="8"/>
    </row>
    <row r="1392" spans="1:26" ht="13.2">
      <c r="A1392" s="13">
        <v>44250.429571759261</v>
      </c>
      <c r="B1392" s="6" t="str">
        <f>HYPERLINK("https://twitter.com/TudipTech","@TudipTech")</f>
        <v>@TudipTech</v>
      </c>
      <c r="C1392" s="14" t="s">
        <v>5986</v>
      </c>
      <c r="D1392" s="14" t="s">
        <v>5987</v>
      </c>
      <c r="E1392" s="6" t="str">
        <f>HYPERLINK("https://twitter.com/TudipTech/status/1364142601725612033","1364142601725612033")</f>
        <v>1364142601725612033</v>
      </c>
      <c r="F1392" s="7" t="s">
        <v>5988</v>
      </c>
      <c r="G1392" s="8"/>
      <c r="H1392" s="8"/>
      <c r="I1392" s="14">
        <v>3</v>
      </c>
      <c r="J1392" s="14">
        <v>2</v>
      </c>
      <c r="K1392" s="6" t="str">
        <f t="shared" si="232"/>
        <v>Twitter Web App</v>
      </c>
      <c r="L1392" s="15">
        <v>356</v>
      </c>
      <c r="M1392" s="15">
        <v>248</v>
      </c>
      <c r="N1392" s="15">
        <v>28</v>
      </c>
      <c r="O1392" s="9"/>
      <c r="P1392" s="10">
        <v>41670.631585648152</v>
      </c>
      <c r="Q1392" s="14" t="s">
        <v>2167</v>
      </c>
      <c r="R1392" s="14" t="s">
        <v>5989</v>
      </c>
      <c r="S1392" s="7" t="s">
        <v>5990</v>
      </c>
      <c r="T1392" s="8"/>
      <c r="U1392" s="11" t="str">
        <f>HYPERLINK("https://pbs.twimg.com/profile_images/1287050069196173317/a_CuPMK4.jpg","View")</f>
        <v>View</v>
      </c>
      <c r="V1392" s="8"/>
      <c r="W1392" s="8"/>
      <c r="X1392" s="8"/>
      <c r="Y1392" s="8"/>
      <c r="Z1392" s="8"/>
    </row>
    <row r="1393" spans="1:26" ht="13.2">
      <c r="A1393" s="13">
        <v>44250.42931712963</v>
      </c>
      <c r="B1393" s="6" t="str">
        <f>HYPERLINK("https://twitter.com/AIAdamUK","@AIAdamUK")</f>
        <v>@AIAdamUK</v>
      </c>
      <c r="C1393" s="14" t="s">
        <v>5991</v>
      </c>
      <c r="D1393" s="14" t="s">
        <v>5992</v>
      </c>
      <c r="E1393" s="6" t="str">
        <f>HYPERLINK("https://twitter.com/AIAdamUK/status/1364142508620578816","1364142508620578816")</f>
        <v>1364142508620578816</v>
      </c>
      <c r="F1393" s="7" t="s">
        <v>5993</v>
      </c>
      <c r="G1393" s="8"/>
      <c r="H1393" s="8"/>
      <c r="I1393" s="14">
        <v>2</v>
      </c>
      <c r="J1393" s="14">
        <v>0</v>
      </c>
      <c r="K1393" s="6" t="str">
        <f>HYPERLINK("https://paper.li","Paper.li")</f>
        <v>Paper.li</v>
      </c>
      <c r="L1393" s="15">
        <v>569</v>
      </c>
      <c r="M1393" s="15">
        <v>570</v>
      </c>
      <c r="N1393" s="15">
        <v>16</v>
      </c>
      <c r="O1393" s="9"/>
      <c r="P1393" s="10">
        <v>43005.701099537036</v>
      </c>
      <c r="Q1393" s="14" t="s">
        <v>599</v>
      </c>
      <c r="R1393" s="14" t="s">
        <v>5994</v>
      </c>
      <c r="S1393" s="7" t="s">
        <v>5995</v>
      </c>
      <c r="T1393" s="8"/>
      <c r="U1393" s="11" t="str">
        <f>HYPERLINK("https://pbs.twimg.com/profile_images/939143336090271744/UKbNTleL.jpg","View")</f>
        <v>View</v>
      </c>
      <c r="V1393" s="8"/>
      <c r="W1393" s="8"/>
      <c r="X1393" s="8"/>
      <c r="Y1393" s="8"/>
      <c r="Z1393" s="8"/>
    </row>
    <row r="1394" spans="1:26" ht="13.2">
      <c r="A1394" s="13">
        <v>44250.428981481484</v>
      </c>
      <c r="B1394" s="6" t="str">
        <f>HYPERLINK("https://twitter.com/Innovat78455398","@Innovat78455398")</f>
        <v>@Innovat78455398</v>
      </c>
      <c r="C1394" s="14" t="s">
        <v>4318</v>
      </c>
      <c r="D1394" s="14" t="s">
        <v>5996</v>
      </c>
      <c r="E1394" s="6" t="str">
        <f>HYPERLINK("https://twitter.com/Innovat78455398/status/1364142386247532545","1364142386247532545")</f>
        <v>1364142386247532545</v>
      </c>
      <c r="F1394" s="7" t="s">
        <v>5997</v>
      </c>
      <c r="G1394" s="7" t="s">
        <v>5998</v>
      </c>
      <c r="H1394" s="8"/>
      <c r="I1394" s="14">
        <v>11</v>
      </c>
      <c r="J1394" s="14">
        <v>3</v>
      </c>
      <c r="K1394" s="6" t="str">
        <f t="shared" ref="K1394:K1396" si="233">HYPERLINK("https://mobile.twitter.com","Twitter Web App")</f>
        <v>Twitter Web App</v>
      </c>
      <c r="L1394" s="15">
        <v>101</v>
      </c>
      <c r="M1394" s="15">
        <v>142</v>
      </c>
      <c r="N1394" s="15">
        <v>1</v>
      </c>
      <c r="O1394" s="9"/>
      <c r="P1394" s="10">
        <v>44075.047534722224</v>
      </c>
      <c r="Q1394" s="14" t="s">
        <v>623</v>
      </c>
      <c r="R1394" s="14" t="s">
        <v>4322</v>
      </c>
      <c r="S1394" s="8"/>
      <c r="T1394" s="8"/>
      <c r="U1394" s="11" t="str">
        <f>HYPERLINK("https://pbs.twimg.com/profile_images/1300571380098850818/YjKI8L9l.jpg","View")</f>
        <v>View</v>
      </c>
      <c r="V1394" s="8"/>
      <c r="W1394" s="8"/>
      <c r="X1394" s="8"/>
      <c r="Y1394" s="8"/>
      <c r="Z1394" s="8"/>
    </row>
    <row r="1395" spans="1:26" ht="13.2">
      <c r="A1395" s="13">
        <v>44250.428923611107</v>
      </c>
      <c r="B1395" s="6" t="str">
        <f>HYPERLINK("https://twitter.com/Karunadutechno","@Karunadutechno")</f>
        <v>@Karunadutechno</v>
      </c>
      <c r="C1395" s="14" t="s">
        <v>5999</v>
      </c>
      <c r="D1395" s="14" t="s">
        <v>6000</v>
      </c>
      <c r="E1395" s="6" t="str">
        <f>HYPERLINK("https://twitter.com/Karunadutechno/status/1364142367687675906","1364142367687675906")</f>
        <v>1364142367687675906</v>
      </c>
      <c r="F1395" s="7" t="s">
        <v>6001</v>
      </c>
      <c r="G1395" s="7" t="s">
        <v>6002</v>
      </c>
      <c r="H1395" s="8"/>
      <c r="I1395" s="14">
        <v>3</v>
      </c>
      <c r="J1395" s="14">
        <v>1</v>
      </c>
      <c r="K1395" s="6" t="str">
        <f t="shared" si="233"/>
        <v>Twitter Web App</v>
      </c>
      <c r="L1395" s="15">
        <v>11</v>
      </c>
      <c r="M1395" s="15">
        <v>6</v>
      </c>
      <c r="N1395" s="15">
        <v>0</v>
      </c>
      <c r="O1395" s="9"/>
      <c r="P1395" s="10">
        <v>41967.73369212963</v>
      </c>
      <c r="Q1395" s="14" t="s">
        <v>6003</v>
      </c>
      <c r="R1395" s="14" t="s">
        <v>6004</v>
      </c>
      <c r="S1395" s="7" t="s">
        <v>6005</v>
      </c>
      <c r="T1395" s="8"/>
      <c r="U1395" s="11" t="str">
        <f>HYPERLINK("https://pbs.twimg.com/profile_images/1198568064322654208/rO4F-kPT.jpg","View")</f>
        <v>View</v>
      </c>
      <c r="V1395" s="8"/>
      <c r="W1395" s="8"/>
      <c r="X1395" s="8"/>
      <c r="Y1395" s="8"/>
      <c r="Z1395" s="8"/>
    </row>
    <row r="1396" spans="1:26" ht="13.2">
      <c r="A1396" s="13">
        <v>44250.428784722222</v>
      </c>
      <c r="B1396" s="6" t="str">
        <f>HYPERLINK("https://twitter.com/Desfufor","@Desfufor")</f>
        <v>@Desfufor</v>
      </c>
      <c r="C1396" s="14" t="s">
        <v>6006</v>
      </c>
      <c r="D1396" s="14" t="s">
        <v>6007</v>
      </c>
      <c r="E1396" s="6" t="str">
        <f>HYPERLINK("https://twitter.com/Desfufor/status/1364142316898893824","1364142316898893824")</f>
        <v>1364142316898893824</v>
      </c>
      <c r="F1396" s="7" t="s">
        <v>6008</v>
      </c>
      <c r="G1396" s="8"/>
      <c r="H1396" s="8"/>
      <c r="I1396" s="14">
        <v>0</v>
      </c>
      <c r="J1396" s="14">
        <v>0</v>
      </c>
      <c r="K1396" s="6" t="str">
        <f t="shared" si="233"/>
        <v>Twitter Web App</v>
      </c>
      <c r="L1396" s="15">
        <v>742</v>
      </c>
      <c r="M1396" s="15">
        <v>829</v>
      </c>
      <c r="N1396" s="15">
        <v>47</v>
      </c>
      <c r="O1396" s="9"/>
      <c r="P1396" s="10">
        <v>40902.603229166663</v>
      </c>
      <c r="Q1396" s="14" t="s">
        <v>75</v>
      </c>
      <c r="R1396" s="14" t="s">
        <v>6009</v>
      </c>
      <c r="S1396" s="7" t="s">
        <v>6010</v>
      </c>
      <c r="T1396" s="8"/>
      <c r="U1396" s="11" t="str">
        <f>HYPERLINK("https://pbs.twimg.com/profile_images/721419362314371072/2UZix68O.jpg","View")</f>
        <v>View</v>
      </c>
      <c r="V1396" s="8"/>
      <c r="W1396" s="8"/>
      <c r="X1396" s="8"/>
      <c r="Y1396" s="8"/>
      <c r="Z1396" s="8"/>
    </row>
    <row r="1397" spans="1:26" ht="13.2">
      <c r="A1397" s="13">
        <v>44250.42868055556</v>
      </c>
      <c r="B1397" s="6" t="str">
        <f>HYPERLINK("https://twitter.com/_AlexLuciani_","@_AlexLuciani_")</f>
        <v>@_AlexLuciani_</v>
      </c>
      <c r="C1397" s="14" t="s">
        <v>2480</v>
      </c>
      <c r="D1397" s="14" t="s">
        <v>6011</v>
      </c>
      <c r="E1397" s="6" t="str">
        <f>HYPERLINK("https://twitter.com/_AlexLuciani_/status/1364142277929684992","1364142277929684992")</f>
        <v>1364142277929684992</v>
      </c>
      <c r="F1397" s="14" t="s">
        <v>4483</v>
      </c>
      <c r="G1397" s="8"/>
      <c r="H1397" s="8"/>
      <c r="I1397" s="14">
        <v>2</v>
      </c>
      <c r="J1397" s="14">
        <v>0</v>
      </c>
      <c r="K1397" s="6" t="str">
        <f>HYPERLINK("http://twinybots.com","TwinyBots")</f>
        <v>TwinyBots</v>
      </c>
      <c r="L1397" s="15">
        <v>362</v>
      </c>
      <c r="M1397" s="15">
        <v>290</v>
      </c>
      <c r="N1397" s="15">
        <v>4</v>
      </c>
      <c r="O1397" s="9"/>
      <c r="P1397" s="10">
        <v>40430.911168981482</v>
      </c>
      <c r="Q1397" s="14" t="s">
        <v>2483</v>
      </c>
      <c r="R1397" s="14" t="s">
        <v>2484</v>
      </c>
      <c r="S1397" s="7" t="s">
        <v>2485</v>
      </c>
      <c r="T1397" s="8"/>
      <c r="U1397" s="11" t="str">
        <f>HYPERLINK("https://pbs.twimg.com/profile_images/1176902203149303810/4WyorLOR.jpg","View")</f>
        <v>View</v>
      </c>
      <c r="V1397" s="8"/>
      <c r="W1397" s="8"/>
      <c r="X1397" s="8"/>
      <c r="Y1397" s="8"/>
      <c r="Z1397" s="8"/>
    </row>
    <row r="1398" spans="1:26" ht="13.2">
      <c r="A1398" s="13">
        <v>44250.428576388891</v>
      </c>
      <c r="B1398" s="6" t="str">
        <f>HYPERLINK("https://twitter.com/PreeyaRajah","@PreeyaRajah")</f>
        <v>@PreeyaRajah</v>
      </c>
      <c r="C1398" s="14" t="s">
        <v>6012</v>
      </c>
      <c r="D1398" s="14" t="s">
        <v>6013</v>
      </c>
      <c r="E1398" s="6" t="str">
        <f>HYPERLINK("https://twitter.com/PreeyaRajah/status/1364142241011261442","1364142241011261442")</f>
        <v>1364142241011261442</v>
      </c>
      <c r="F1398" s="7" t="s">
        <v>6014</v>
      </c>
      <c r="G1398" s="8"/>
      <c r="H1398" s="8"/>
      <c r="I1398" s="14">
        <v>2</v>
      </c>
      <c r="J1398" s="14">
        <v>2</v>
      </c>
      <c r="K1398" s="6" t="str">
        <f t="shared" ref="K1398:K1401" si="234">HYPERLINK("https://mobile.twitter.com","Twitter Web App")</f>
        <v>Twitter Web App</v>
      </c>
      <c r="L1398" s="15">
        <v>443</v>
      </c>
      <c r="M1398" s="15">
        <v>1196</v>
      </c>
      <c r="N1398" s="15">
        <v>343</v>
      </c>
      <c r="O1398" s="9"/>
      <c r="P1398" s="10">
        <v>40976.967800925922</v>
      </c>
      <c r="Q1398" s="14" t="s">
        <v>792</v>
      </c>
      <c r="R1398" s="14" t="s">
        <v>6015</v>
      </c>
      <c r="S1398" s="8"/>
      <c r="T1398" s="8"/>
      <c r="U1398" s="11" t="str">
        <f>HYPERLINK("https://pbs.twimg.com/profile_images/1357623837366517760/XsWialgl.jpg","View")</f>
        <v>View</v>
      </c>
      <c r="V1398" s="8"/>
      <c r="W1398" s="8"/>
      <c r="X1398" s="8"/>
      <c r="Y1398" s="8"/>
      <c r="Z1398" s="8"/>
    </row>
    <row r="1399" spans="1:26" ht="13.2">
      <c r="A1399" s="13">
        <v>44250.42796296296</v>
      </c>
      <c r="B1399" s="6" t="str">
        <f>HYPERLINK("https://twitter.com/Innovat78455398","@Innovat78455398")</f>
        <v>@Innovat78455398</v>
      </c>
      <c r="C1399" s="14" t="s">
        <v>4318</v>
      </c>
      <c r="D1399" s="14" t="s">
        <v>6016</v>
      </c>
      <c r="E1399" s="6" t="str">
        <f>HYPERLINK("https://twitter.com/Innovat78455398/status/1364142017182265349","1364142017182265349")</f>
        <v>1364142017182265349</v>
      </c>
      <c r="F1399" s="7" t="s">
        <v>6017</v>
      </c>
      <c r="G1399" s="7" t="s">
        <v>6018</v>
      </c>
      <c r="H1399" s="8"/>
      <c r="I1399" s="14">
        <v>10</v>
      </c>
      <c r="J1399" s="14">
        <v>3</v>
      </c>
      <c r="K1399" s="6" t="str">
        <f t="shared" si="234"/>
        <v>Twitter Web App</v>
      </c>
      <c r="L1399" s="15">
        <v>101</v>
      </c>
      <c r="M1399" s="15">
        <v>142</v>
      </c>
      <c r="N1399" s="15">
        <v>1</v>
      </c>
      <c r="O1399" s="9"/>
      <c r="P1399" s="10">
        <v>44075.047534722224</v>
      </c>
      <c r="Q1399" s="14" t="s">
        <v>623</v>
      </c>
      <c r="R1399" s="14" t="s">
        <v>4322</v>
      </c>
      <c r="S1399" s="8"/>
      <c r="T1399" s="8"/>
      <c r="U1399" s="11" t="str">
        <f>HYPERLINK("https://pbs.twimg.com/profile_images/1300571380098850818/YjKI8L9l.jpg","View")</f>
        <v>View</v>
      </c>
      <c r="V1399" s="8"/>
      <c r="W1399" s="8"/>
      <c r="X1399" s="8"/>
      <c r="Y1399" s="8"/>
      <c r="Z1399" s="8"/>
    </row>
    <row r="1400" spans="1:26" ht="13.2">
      <c r="A1400" s="13">
        <v>44250.427546296298</v>
      </c>
      <c r="B1400" s="6" t="str">
        <f>HYPERLINK("https://twitter.com/crismolerorio","@crismolerorio")</f>
        <v>@crismolerorio</v>
      </c>
      <c r="C1400" s="14" t="s">
        <v>6019</v>
      </c>
      <c r="D1400" s="14" t="s">
        <v>6020</v>
      </c>
      <c r="E1400" s="6" t="str">
        <f>HYPERLINK("https://twitter.com/crismolerorio/status/1364141868456501249","1364141868456501249")</f>
        <v>1364141868456501249</v>
      </c>
      <c r="F1400" s="14" t="s">
        <v>6021</v>
      </c>
      <c r="G1400" s="7" t="s">
        <v>6022</v>
      </c>
      <c r="H1400" s="8"/>
      <c r="I1400" s="14">
        <v>5</v>
      </c>
      <c r="J1400" s="14">
        <v>5</v>
      </c>
      <c r="K1400" s="6" t="str">
        <f t="shared" si="234"/>
        <v>Twitter Web App</v>
      </c>
      <c r="L1400" s="15">
        <v>138</v>
      </c>
      <c r="M1400" s="15">
        <v>155</v>
      </c>
      <c r="N1400" s="15">
        <v>1</v>
      </c>
      <c r="O1400" s="9"/>
      <c r="P1400" s="10">
        <v>43498.501111111109</v>
      </c>
      <c r="Q1400" s="8"/>
      <c r="R1400" s="8"/>
      <c r="S1400" s="8"/>
      <c r="T1400" s="8"/>
      <c r="U1400" s="11" t="str">
        <f>HYPERLINK("https://pbs.twimg.com/profile_images/1091666539957444610/1-dGgfLS.jpg","View")</f>
        <v>View</v>
      </c>
      <c r="V1400" s="8"/>
      <c r="W1400" s="8"/>
      <c r="X1400" s="8"/>
      <c r="Y1400" s="8"/>
      <c r="Z1400" s="8"/>
    </row>
    <row r="1401" spans="1:26" ht="13.2">
      <c r="A1401" s="13">
        <v>44250.427384259259</v>
      </c>
      <c r="B1401" s="6" t="str">
        <f>HYPERLINK("https://twitter.com/kgourg","@kgourg")</f>
        <v>@kgourg</v>
      </c>
      <c r="C1401" s="14" t="s">
        <v>6023</v>
      </c>
      <c r="D1401" s="14" t="s">
        <v>6024</v>
      </c>
      <c r="E1401" s="6" t="str">
        <f>HYPERLINK("https://twitter.com/kgourg/status/1364141810155745282","1364141810155745282")</f>
        <v>1364141810155745282</v>
      </c>
      <c r="F1401" s="8"/>
      <c r="G1401" s="7" t="s">
        <v>6025</v>
      </c>
      <c r="H1401" s="8"/>
      <c r="I1401" s="14">
        <v>3</v>
      </c>
      <c r="J1401" s="14">
        <v>3</v>
      </c>
      <c r="K1401" s="6" t="str">
        <f t="shared" si="234"/>
        <v>Twitter Web App</v>
      </c>
      <c r="L1401" s="15">
        <v>457</v>
      </c>
      <c r="M1401" s="15">
        <v>1728</v>
      </c>
      <c r="N1401" s="15">
        <v>20</v>
      </c>
      <c r="O1401" s="9"/>
      <c r="P1401" s="10">
        <v>41726.024259259255</v>
      </c>
      <c r="Q1401" s="8"/>
      <c r="R1401" s="14" t="s">
        <v>6026</v>
      </c>
      <c r="S1401" s="7" t="s">
        <v>6027</v>
      </c>
      <c r="T1401" s="8"/>
      <c r="U1401" s="11" t="str">
        <f>HYPERLINK("https://pbs.twimg.com/profile_images/1174765988471922688/q56r0GtQ.jpg","View")</f>
        <v>View</v>
      </c>
      <c r="V1401" s="8"/>
      <c r="W1401" s="8"/>
      <c r="X1401" s="8"/>
      <c r="Y1401" s="8"/>
      <c r="Z1401" s="8"/>
    </row>
    <row r="1402" spans="1:26" ht="13.2">
      <c r="A1402" s="13">
        <v>44250.427129629628</v>
      </c>
      <c r="B1402" s="6" t="str">
        <f>HYPERLINK("https://twitter.com/nigewillson","@nigewillson")</f>
        <v>@nigewillson</v>
      </c>
      <c r="C1402" s="14" t="s">
        <v>95</v>
      </c>
      <c r="D1402" s="14" t="s">
        <v>6028</v>
      </c>
      <c r="E1402" s="6" t="str">
        <f>HYPERLINK("https://twitter.com/nigewillson/status/1364141718124257281","1364141718124257281")</f>
        <v>1364141718124257281</v>
      </c>
      <c r="F1402" s="7" t="s">
        <v>6029</v>
      </c>
      <c r="G1402" s="7" t="s">
        <v>6030</v>
      </c>
      <c r="H1402" s="8"/>
      <c r="I1402" s="14">
        <v>19</v>
      </c>
      <c r="J1402" s="14">
        <v>20</v>
      </c>
      <c r="K1402" s="6" t="str">
        <f>HYPERLINK("https://buffer.com","Buffer")</f>
        <v>Buffer</v>
      </c>
      <c r="L1402" s="15">
        <v>57515</v>
      </c>
      <c r="M1402" s="15">
        <v>49523</v>
      </c>
      <c r="N1402" s="15">
        <v>1688</v>
      </c>
      <c r="O1402" s="9"/>
      <c r="P1402" s="10">
        <v>40530.666805555556</v>
      </c>
      <c r="Q1402" s="14" t="s">
        <v>99</v>
      </c>
      <c r="R1402" s="14" t="s">
        <v>100</v>
      </c>
      <c r="S1402" s="7" t="s">
        <v>101</v>
      </c>
      <c r="T1402" s="8"/>
      <c r="U1402" s="11" t="str">
        <f>HYPERLINK("https://pbs.twimg.com/profile_images/1085251590997622784/x9mWVQ1d.jpg","View")</f>
        <v>View</v>
      </c>
      <c r="V1402" s="8"/>
      <c r="W1402" s="8"/>
      <c r="X1402" s="8"/>
      <c r="Y1402" s="8"/>
      <c r="Z1402" s="8"/>
    </row>
    <row r="1403" spans="1:26" ht="13.2">
      <c r="A1403" s="13">
        <v>44250.426655092597</v>
      </c>
      <c r="B1403" s="6" t="str">
        <f>HYPERLINK("https://twitter.com/Innovat78455398","@Innovat78455398")</f>
        <v>@Innovat78455398</v>
      </c>
      <c r="C1403" s="14" t="s">
        <v>4318</v>
      </c>
      <c r="D1403" s="14" t="s">
        <v>6031</v>
      </c>
      <c r="E1403" s="6" t="str">
        <f>HYPERLINK("https://twitter.com/Innovat78455398/status/1364141544043810819","1364141544043810819")</f>
        <v>1364141544043810819</v>
      </c>
      <c r="F1403" s="7" t="s">
        <v>6032</v>
      </c>
      <c r="G1403" s="7" t="s">
        <v>6033</v>
      </c>
      <c r="H1403" s="8"/>
      <c r="I1403" s="14">
        <v>5</v>
      </c>
      <c r="J1403" s="14">
        <v>3</v>
      </c>
      <c r="K1403" s="6" t="str">
        <f>HYPERLINK("https://mobile.twitter.com","Twitter Web App")</f>
        <v>Twitter Web App</v>
      </c>
      <c r="L1403" s="15">
        <v>101</v>
      </c>
      <c r="M1403" s="15">
        <v>142</v>
      </c>
      <c r="N1403" s="15">
        <v>1</v>
      </c>
      <c r="O1403" s="9"/>
      <c r="P1403" s="10">
        <v>44075.047534722224</v>
      </c>
      <c r="Q1403" s="14" t="s">
        <v>623</v>
      </c>
      <c r="R1403" s="14" t="s">
        <v>4322</v>
      </c>
      <c r="S1403" s="8"/>
      <c r="T1403" s="8"/>
      <c r="U1403" s="11" t="str">
        <f>HYPERLINK("https://pbs.twimg.com/profile_images/1300571380098850818/YjKI8L9l.jpg","View")</f>
        <v>View</v>
      </c>
      <c r="V1403" s="8"/>
      <c r="W1403" s="8"/>
      <c r="X1403" s="8"/>
      <c r="Y1403" s="8"/>
      <c r="Z1403" s="8"/>
    </row>
    <row r="1404" spans="1:26" ht="13.2">
      <c r="A1404" s="13">
        <v>44250.426516203705</v>
      </c>
      <c r="B1404" s="6" t="str">
        <f>HYPERLINK("https://twitter.com/CourseOp","@CourseOp")</f>
        <v>@CourseOp</v>
      </c>
      <c r="C1404" s="14" t="s">
        <v>3434</v>
      </c>
      <c r="D1404" s="14" t="s">
        <v>5863</v>
      </c>
      <c r="E1404" s="6" t="str">
        <f>HYPERLINK("https://twitter.com/CourseOp/status/1364141495452901377","1364141495452901377")</f>
        <v>1364141495452901377</v>
      </c>
      <c r="F1404" s="7" t="s">
        <v>6034</v>
      </c>
      <c r="G1404" s="8"/>
      <c r="H1404" s="8"/>
      <c r="I1404" s="14">
        <v>8</v>
      </c>
      <c r="J1404" s="14">
        <v>4</v>
      </c>
      <c r="K1404" s="6" t="str">
        <f>HYPERLINK("https://www.jucktion.com","Jucktion")</f>
        <v>Jucktion</v>
      </c>
      <c r="L1404" s="15">
        <v>2371</v>
      </c>
      <c r="M1404" s="15">
        <v>3349</v>
      </c>
      <c r="N1404" s="15">
        <v>33</v>
      </c>
      <c r="O1404" s="9"/>
      <c r="P1404" s="10">
        <v>43363.274502314816</v>
      </c>
      <c r="Q1404" s="14" t="s">
        <v>3437</v>
      </c>
      <c r="R1404" s="14" t="s">
        <v>3438</v>
      </c>
      <c r="S1404" s="7" t="s">
        <v>3439</v>
      </c>
      <c r="T1404" s="8"/>
      <c r="U1404" s="11" t="str">
        <f>HYPERLINK("https://pbs.twimg.com/profile_images/1042752273716326400/4fXbScZ1.jpg","View")</f>
        <v>View</v>
      </c>
      <c r="V1404" s="8"/>
      <c r="W1404" s="8"/>
      <c r="X1404" s="8"/>
      <c r="Y1404" s="8"/>
      <c r="Z1404" s="8"/>
    </row>
    <row r="1405" spans="1:26" ht="13.2">
      <c r="A1405" s="13">
        <v>44250.426273148143</v>
      </c>
      <c r="B1405" s="6" t="str">
        <f>HYPERLINK("https://twitter.com/SuccessAnalytiX","@SuccessAnalytiX")</f>
        <v>@SuccessAnalytiX</v>
      </c>
      <c r="C1405" s="14" t="s">
        <v>1149</v>
      </c>
      <c r="D1405" s="14" t="s">
        <v>4799</v>
      </c>
      <c r="E1405" s="6" t="str">
        <f>HYPERLINK("https://twitter.com/SuccessAnalytiX/status/1364141404960804865","1364141404960804865")</f>
        <v>1364141404960804865</v>
      </c>
      <c r="F1405" s="7" t="s">
        <v>6035</v>
      </c>
      <c r="G1405" s="8"/>
      <c r="H1405" s="8"/>
      <c r="I1405" s="14">
        <v>33</v>
      </c>
      <c r="J1405" s="14">
        <v>10</v>
      </c>
      <c r="K1405" s="6" t="str">
        <f>HYPERLINK("http://twitter.com/download/iphone","Twitter for iPhone")</f>
        <v>Twitter for iPhone</v>
      </c>
      <c r="L1405" s="15">
        <v>2744</v>
      </c>
      <c r="M1405" s="15">
        <v>2908</v>
      </c>
      <c r="N1405" s="15">
        <v>11</v>
      </c>
      <c r="O1405" s="9"/>
      <c r="P1405" s="10">
        <v>43149.839606481481</v>
      </c>
      <c r="Q1405" s="14" t="s">
        <v>1152</v>
      </c>
      <c r="R1405" s="14" t="s">
        <v>1153</v>
      </c>
      <c r="S1405" s="7" t="s">
        <v>1154</v>
      </c>
      <c r="T1405" s="8"/>
      <c r="U1405" s="11" t="str">
        <f>HYPERLINK("https://pbs.twimg.com/profile_images/1154058190545391616/pOYyXv3r.jpg","View")</f>
        <v>View</v>
      </c>
      <c r="V1405" s="8"/>
      <c r="W1405" s="8"/>
      <c r="X1405" s="8"/>
      <c r="Y1405" s="8"/>
      <c r="Z1405" s="8"/>
    </row>
    <row r="1406" spans="1:26" ht="13.2">
      <c r="A1406" s="13">
        <v>44250.426145833335</v>
      </c>
      <c r="B1406" s="6" t="str">
        <f>HYPERLINK("https://twitter.com/machinelearnflx","@machinelearnflx")</f>
        <v>@machinelearnflx</v>
      </c>
      <c r="C1406" s="14" t="s">
        <v>279</v>
      </c>
      <c r="D1406" s="14" t="s">
        <v>6036</v>
      </c>
      <c r="E1406" s="6" t="str">
        <f>HYPERLINK("https://twitter.com/machinelearnflx/status/1364141360413093889","1364141360413093889")</f>
        <v>1364141360413093889</v>
      </c>
      <c r="F1406" s="7" t="s">
        <v>6037</v>
      </c>
      <c r="G1406" s="8"/>
      <c r="H1406" s="8"/>
      <c r="I1406" s="14">
        <v>16</v>
      </c>
      <c r="J1406" s="14">
        <v>26</v>
      </c>
      <c r="K1406" s="6" t="str">
        <f>HYPERLINK("https://twitter.com/pythonbot_","Postmatico")</f>
        <v>Postmatico</v>
      </c>
      <c r="L1406" s="15">
        <v>90451</v>
      </c>
      <c r="M1406" s="15">
        <v>35464</v>
      </c>
      <c r="N1406" s="15">
        <v>2227</v>
      </c>
      <c r="O1406" s="9"/>
      <c r="P1406" s="10">
        <v>42386.538865740746</v>
      </c>
      <c r="Q1406" s="8"/>
      <c r="R1406" s="14" t="s">
        <v>282</v>
      </c>
      <c r="S1406" s="7" t="s">
        <v>283</v>
      </c>
      <c r="T1406" s="8"/>
      <c r="U1406" s="11" t="str">
        <f>HYPERLINK("https://pbs.twimg.com/profile_images/688735459892195329/v8sHaWSG.jpg","View")</f>
        <v>View</v>
      </c>
      <c r="V1406" s="8"/>
      <c r="W1406" s="8"/>
      <c r="X1406" s="8"/>
      <c r="Y1406" s="8"/>
      <c r="Z1406" s="8"/>
    </row>
    <row r="1407" spans="1:26" ht="13.2">
      <c r="A1407" s="13">
        <v>44250.426099537042</v>
      </c>
      <c r="B1407" s="6" t="str">
        <f>HYPERLINK("https://twitter.com/LancetDigitalH","@LancetDigitalH")</f>
        <v>@LancetDigitalH</v>
      </c>
      <c r="C1407" s="14" t="s">
        <v>6038</v>
      </c>
      <c r="D1407" s="14" t="s">
        <v>6039</v>
      </c>
      <c r="E1407" s="6" t="str">
        <f>HYPERLINK("https://twitter.com/LancetDigitalH/status/1364141344223096835","1364141344223096835")</f>
        <v>1364141344223096835</v>
      </c>
      <c r="F1407" s="7" t="s">
        <v>6040</v>
      </c>
      <c r="G1407" s="7" t="s">
        <v>6041</v>
      </c>
      <c r="H1407" s="8"/>
      <c r="I1407" s="14">
        <v>17</v>
      </c>
      <c r="J1407" s="14">
        <v>23</v>
      </c>
      <c r="K1407" s="6" t="str">
        <f t="shared" ref="K1407:K1408" si="235">HYPERLINK("https://mobile.twitter.com","Twitter Web App")</f>
        <v>Twitter Web App</v>
      </c>
      <c r="L1407" s="15">
        <v>8581</v>
      </c>
      <c r="M1407" s="15">
        <v>200</v>
      </c>
      <c r="N1407" s="15">
        <v>179</v>
      </c>
      <c r="O1407" s="9"/>
      <c r="P1407" s="10">
        <v>43469.706585648149</v>
      </c>
      <c r="Q1407" s="14" t="s">
        <v>599</v>
      </c>
      <c r="R1407" s="14" t="s">
        <v>6042</v>
      </c>
      <c r="S1407" s="7" t="s">
        <v>6043</v>
      </c>
      <c r="T1407" s="8"/>
      <c r="U1407" s="11" t="str">
        <f>HYPERLINK("https://pbs.twimg.com/profile_images/1081230080427417602/t6H9x5Aa.jpg","View")</f>
        <v>View</v>
      </c>
      <c r="V1407" s="8"/>
      <c r="W1407" s="8"/>
      <c r="X1407" s="8"/>
      <c r="Y1407" s="8"/>
      <c r="Z1407" s="8"/>
    </row>
    <row r="1408" spans="1:26" ht="13.2">
      <c r="A1408" s="13">
        <v>44250.425613425927</v>
      </c>
      <c r="B1408" s="6" t="str">
        <f>HYPERLINK("https://twitter.com/ayanpaul","@ayanpaul")</f>
        <v>@ayanpaul</v>
      </c>
      <c r="C1408" s="14" t="s">
        <v>6044</v>
      </c>
      <c r="D1408" s="14" t="s">
        <v>6045</v>
      </c>
      <c r="E1408" s="6" t="str">
        <f>HYPERLINK("https://twitter.com/ayanpaul/status/1364141168200732676","1364141168200732676")</f>
        <v>1364141168200732676</v>
      </c>
      <c r="F1408" s="7" t="s">
        <v>6046</v>
      </c>
      <c r="G1408" s="7" t="s">
        <v>6047</v>
      </c>
      <c r="H1408" s="8"/>
      <c r="I1408" s="14">
        <v>4</v>
      </c>
      <c r="J1408" s="14">
        <v>3</v>
      </c>
      <c r="K1408" s="6" t="str">
        <f t="shared" si="235"/>
        <v>Twitter Web App</v>
      </c>
      <c r="L1408" s="15">
        <v>119</v>
      </c>
      <c r="M1408" s="15">
        <v>42</v>
      </c>
      <c r="N1408" s="15">
        <v>0</v>
      </c>
      <c r="O1408" s="9"/>
      <c r="P1408" s="10">
        <v>39985.835983796293</v>
      </c>
      <c r="Q1408" s="14" t="s">
        <v>3464</v>
      </c>
      <c r="R1408" s="14" t="s">
        <v>6048</v>
      </c>
      <c r="S1408" s="7" t="s">
        <v>6049</v>
      </c>
      <c r="T1408" s="8"/>
      <c r="U1408" s="11" t="str">
        <f>HYPERLINK("https://pbs.twimg.com/profile_images/1248194868570017792/b51Ggemg.jpg","View")</f>
        <v>View</v>
      </c>
      <c r="V1408" s="8"/>
      <c r="W1408" s="8"/>
      <c r="X1408" s="8"/>
      <c r="Y1408" s="8"/>
      <c r="Z1408" s="8"/>
    </row>
    <row r="1409" spans="1:26" ht="13.2">
      <c r="A1409" s="13">
        <v>44250.425000000003</v>
      </c>
      <c r="B1409" s="6" t="str">
        <f>HYPERLINK("https://twitter.com/Nicolas2Pinto","@Nicolas2Pinto")</f>
        <v>@Nicolas2Pinto</v>
      </c>
      <c r="C1409" s="14" t="s">
        <v>2864</v>
      </c>
      <c r="D1409" s="14" t="s">
        <v>6050</v>
      </c>
      <c r="E1409" s="6" t="str">
        <f>HYPERLINK("https://twitter.com/Nicolas2Pinto/status/1364140944115703809","1364140944115703809")</f>
        <v>1364140944115703809</v>
      </c>
      <c r="F1409" s="7" t="s">
        <v>6051</v>
      </c>
      <c r="G1409" s="7" t="s">
        <v>6052</v>
      </c>
      <c r="H1409" s="8"/>
      <c r="I1409" s="14">
        <v>6</v>
      </c>
      <c r="J1409" s="14">
        <v>4</v>
      </c>
      <c r="K1409" s="6" t="str">
        <f>HYPERLINK("https://about.twitter.com/products/tweetdeck","TweetDeck")</f>
        <v>TweetDeck</v>
      </c>
      <c r="L1409" s="15">
        <v>6358</v>
      </c>
      <c r="M1409" s="15">
        <v>4896</v>
      </c>
      <c r="N1409" s="15">
        <v>605</v>
      </c>
      <c r="O1409" s="9"/>
      <c r="P1409" s="10">
        <v>41558.83252314815</v>
      </c>
      <c r="Q1409" s="14" t="s">
        <v>106</v>
      </c>
      <c r="R1409" s="14" t="s">
        <v>2868</v>
      </c>
      <c r="S1409" s="7" t="s">
        <v>2869</v>
      </c>
      <c r="T1409" s="8"/>
      <c r="U1409" s="11" t="str">
        <f>HYPERLINK("https://pbs.twimg.com/profile_images/798896302276956160/cbW0VBL2.jpg","View")</f>
        <v>View</v>
      </c>
      <c r="V1409" s="8"/>
      <c r="W1409" s="8"/>
      <c r="X1409" s="8"/>
      <c r="Y1409" s="8"/>
      <c r="Z1409" s="8"/>
    </row>
    <row r="1410" spans="1:26" ht="13.2">
      <c r="A1410" s="13">
        <v>44250.424988425926</v>
      </c>
      <c r="B1410" s="6" t="str">
        <f>HYPERLINK("https://twitter.com/CXPORTAL1","@CXPORTAL1")</f>
        <v>@CXPORTAL1</v>
      </c>
      <c r="C1410" s="14" t="s">
        <v>6053</v>
      </c>
      <c r="D1410" s="14" t="s">
        <v>6054</v>
      </c>
      <c r="E1410" s="6" t="str">
        <f>HYPERLINK("https://twitter.com/CXPORTAL1/status/1364140942928846850","1364140942928846850")</f>
        <v>1364140942928846850</v>
      </c>
      <c r="F1410" s="7" t="s">
        <v>6055</v>
      </c>
      <c r="G1410" s="8"/>
      <c r="H1410" s="8"/>
      <c r="I1410" s="14">
        <v>4</v>
      </c>
      <c r="J1410" s="14">
        <v>2</v>
      </c>
      <c r="K1410" s="6" t="str">
        <f t="shared" ref="K1410:K1412" si="236">HYPERLINK("https://mobile.twitter.com","Twitter Web App")</f>
        <v>Twitter Web App</v>
      </c>
      <c r="L1410" s="15">
        <v>74</v>
      </c>
      <c r="M1410" s="15">
        <v>373</v>
      </c>
      <c r="N1410" s="15">
        <v>1</v>
      </c>
      <c r="O1410" s="9"/>
      <c r="P1410" s="10">
        <v>43857.738657407404</v>
      </c>
      <c r="Q1410" s="14" t="s">
        <v>1815</v>
      </c>
      <c r="R1410" s="14" t="s">
        <v>6056</v>
      </c>
      <c r="S1410" s="7" t="s">
        <v>6057</v>
      </c>
      <c r="T1410" s="8"/>
      <c r="U1410" s="11" t="str">
        <f>HYPERLINK("https://pbs.twimg.com/profile_images/1346603429926461440/hC6BPJsf.jpg","View")</f>
        <v>View</v>
      </c>
      <c r="V1410" s="8"/>
      <c r="W1410" s="8"/>
      <c r="X1410" s="8"/>
      <c r="Y1410" s="8"/>
      <c r="Z1410" s="8"/>
    </row>
    <row r="1411" spans="1:26" ht="13.2">
      <c r="A1411" s="13">
        <v>44250.424537037034</v>
      </c>
      <c r="B1411" s="6" t="str">
        <f>HYPERLINK("https://twitter.com/Innovat78455398","@Innovat78455398")</f>
        <v>@Innovat78455398</v>
      </c>
      <c r="C1411" s="14" t="s">
        <v>4318</v>
      </c>
      <c r="D1411" s="14" t="s">
        <v>6058</v>
      </c>
      <c r="E1411" s="6" t="str">
        <f>HYPERLINK("https://twitter.com/Innovat78455398/status/1364140777564114948","1364140777564114948")</f>
        <v>1364140777564114948</v>
      </c>
      <c r="F1411" s="7" t="s">
        <v>6059</v>
      </c>
      <c r="G1411" s="7" t="s">
        <v>6060</v>
      </c>
      <c r="H1411" s="8"/>
      <c r="I1411" s="14">
        <v>7</v>
      </c>
      <c r="J1411" s="14">
        <v>2</v>
      </c>
      <c r="K1411" s="6" t="str">
        <f t="shared" si="236"/>
        <v>Twitter Web App</v>
      </c>
      <c r="L1411" s="15">
        <v>101</v>
      </c>
      <c r="M1411" s="15">
        <v>142</v>
      </c>
      <c r="N1411" s="15">
        <v>1</v>
      </c>
      <c r="O1411" s="9"/>
      <c r="P1411" s="10">
        <v>44075.047534722224</v>
      </c>
      <c r="Q1411" s="14" t="s">
        <v>623</v>
      </c>
      <c r="R1411" s="14" t="s">
        <v>4322</v>
      </c>
      <c r="S1411" s="8"/>
      <c r="T1411" s="8"/>
      <c r="U1411" s="11" t="str">
        <f>HYPERLINK("https://pbs.twimg.com/profile_images/1300571380098850818/YjKI8L9l.jpg","View")</f>
        <v>View</v>
      </c>
      <c r="V1411" s="8"/>
      <c r="W1411" s="8"/>
      <c r="X1411" s="8"/>
      <c r="Y1411" s="8"/>
      <c r="Z1411" s="8"/>
    </row>
    <row r="1412" spans="1:26" ht="13.2">
      <c r="A1412" s="13">
        <v>44250.424293981487</v>
      </c>
      <c r="B1412" s="6" t="str">
        <f>HYPERLINK("https://twitter.com/WSIeMarketing","@WSIeMarketing")</f>
        <v>@WSIeMarketing</v>
      </c>
      <c r="C1412" s="14" t="s">
        <v>6061</v>
      </c>
      <c r="D1412" s="14" t="s">
        <v>6062</v>
      </c>
      <c r="E1412" s="6" t="str">
        <f>HYPERLINK("https://twitter.com/WSIeMarketing/status/1364140691102855168","1364140691102855168")</f>
        <v>1364140691102855168</v>
      </c>
      <c r="F1412" s="14" t="s">
        <v>6063</v>
      </c>
      <c r="G1412" s="8"/>
      <c r="H1412" s="8"/>
      <c r="I1412" s="14">
        <v>3</v>
      </c>
      <c r="J1412" s="14">
        <v>0</v>
      </c>
      <c r="K1412" s="6" t="str">
        <f t="shared" si="236"/>
        <v>Twitter Web App</v>
      </c>
      <c r="L1412" s="15">
        <v>5018</v>
      </c>
      <c r="M1412" s="15">
        <v>3963</v>
      </c>
      <c r="N1412" s="15">
        <v>332</v>
      </c>
      <c r="O1412" s="9"/>
      <c r="P1412" s="10">
        <v>40093.637870370367</v>
      </c>
      <c r="Q1412" s="14" t="s">
        <v>6064</v>
      </c>
      <c r="R1412" s="14" t="s">
        <v>6065</v>
      </c>
      <c r="S1412" s="7" t="s">
        <v>6066</v>
      </c>
      <c r="T1412" s="8"/>
      <c r="U1412" s="11" t="str">
        <f>HYPERLINK("https://pbs.twimg.com/profile_images/683966487053205505/jo_bcKqm.jpg","View")</f>
        <v>View</v>
      </c>
      <c r="V1412" s="8"/>
      <c r="W1412" s="8"/>
      <c r="X1412" s="8"/>
      <c r="Y1412" s="8"/>
      <c r="Z1412" s="8"/>
    </row>
    <row r="1413" spans="1:26" ht="13.2">
      <c r="A1413" s="13">
        <v>44250.423807870371</v>
      </c>
      <c r="B1413" s="6" t="str">
        <f>HYPERLINK("https://twitter.com/RaynoReport","@RaynoReport")</f>
        <v>@RaynoReport</v>
      </c>
      <c r="C1413" s="14" t="s">
        <v>6067</v>
      </c>
      <c r="D1413" s="14" t="s">
        <v>6068</v>
      </c>
      <c r="E1413" s="6" t="str">
        <f>HYPERLINK("https://twitter.com/RaynoReport/status/1364140513255960579","1364140513255960579")</f>
        <v>1364140513255960579</v>
      </c>
      <c r="F1413" s="7" t="s">
        <v>6069</v>
      </c>
      <c r="G1413" s="8"/>
      <c r="H1413" s="8"/>
      <c r="I1413" s="14">
        <v>2</v>
      </c>
      <c r="J1413" s="14">
        <v>0</v>
      </c>
      <c r="K1413" s="6" t="str">
        <f>HYPERLINK("https://buffer.com","Buffer")</f>
        <v>Buffer</v>
      </c>
      <c r="L1413" s="15">
        <v>4030</v>
      </c>
      <c r="M1413" s="15">
        <v>3</v>
      </c>
      <c r="N1413" s="15">
        <v>130</v>
      </c>
      <c r="O1413" s="9"/>
      <c r="P1413" s="10">
        <v>41716.706064814818</v>
      </c>
      <c r="Q1413" s="14" t="s">
        <v>6070</v>
      </c>
      <c r="R1413" s="14" t="s">
        <v>6071</v>
      </c>
      <c r="S1413" s="7" t="s">
        <v>6072</v>
      </c>
      <c r="T1413" s="8"/>
      <c r="U1413" s="11" t="str">
        <f>HYPERLINK("https://pbs.twimg.com/profile_images/1303816109334781953/ieNgs2Zj.png","View")</f>
        <v>View</v>
      </c>
      <c r="V1413" s="8"/>
      <c r="W1413" s="8"/>
      <c r="X1413" s="8"/>
      <c r="Y1413" s="8"/>
      <c r="Z1413" s="8"/>
    </row>
    <row r="1414" spans="1:26" ht="13.2">
      <c r="A1414" s="13">
        <v>44250.423773148148</v>
      </c>
      <c r="B1414" s="6" t="str">
        <f>HYPERLINK("https://twitter.com/OlivierMi5","@OlivierMi5")</f>
        <v>@OlivierMi5</v>
      </c>
      <c r="C1414" s="14" t="s">
        <v>5409</v>
      </c>
      <c r="D1414" s="14" t="s">
        <v>6073</v>
      </c>
      <c r="E1414" s="6" t="str">
        <f>HYPERLINK("https://twitter.com/OlivierMi5/status/1364140499171442690","1364140499171442690")</f>
        <v>1364140499171442690</v>
      </c>
      <c r="F1414" s="7" t="s">
        <v>6074</v>
      </c>
      <c r="G1414" s="8"/>
      <c r="H1414" s="8"/>
      <c r="I1414" s="14">
        <v>3</v>
      </c>
      <c r="J1414" s="14">
        <v>0</v>
      </c>
      <c r="K1414" s="6" t="str">
        <f>HYPERLINK("http://smarp.com","Smarp.")</f>
        <v>Smarp.</v>
      </c>
      <c r="L1414" s="15">
        <v>77</v>
      </c>
      <c r="M1414" s="15">
        <v>126</v>
      </c>
      <c r="N1414" s="15">
        <v>0</v>
      </c>
      <c r="O1414" s="9"/>
      <c r="P1414" s="10">
        <v>41676.779629629629</v>
      </c>
      <c r="Q1414" s="8"/>
      <c r="R1414" s="8"/>
      <c r="S1414" s="8"/>
      <c r="T1414" s="8"/>
      <c r="U1414" s="11" t="str">
        <f>HYPERLINK("https://pbs.twimg.com/profile_images/880717476778135553/EzXlSoIy.jpg","View")</f>
        <v>View</v>
      </c>
      <c r="V1414" s="8"/>
      <c r="W1414" s="8"/>
      <c r="X1414" s="8"/>
      <c r="Y1414" s="8"/>
      <c r="Z1414" s="8"/>
    </row>
    <row r="1415" spans="1:26" ht="13.2">
      <c r="A1415" s="13">
        <v>44250.423657407402</v>
      </c>
      <c r="B1415" s="6" t="str">
        <f>HYPERLINK("https://twitter.com/MariaFariello1","@MariaFariello1")</f>
        <v>@MariaFariello1</v>
      </c>
      <c r="C1415" s="14" t="s">
        <v>6075</v>
      </c>
      <c r="D1415" s="14" t="s">
        <v>6076</v>
      </c>
      <c r="E1415" s="6" t="str">
        <f>HYPERLINK("https://twitter.com/MariaFariello1/status/1364140457442373632","1364140457442373632")</f>
        <v>1364140457442373632</v>
      </c>
      <c r="F1415" s="7" t="s">
        <v>6077</v>
      </c>
      <c r="G1415" s="7" t="s">
        <v>6078</v>
      </c>
      <c r="H1415" s="8"/>
      <c r="I1415" s="14">
        <v>9</v>
      </c>
      <c r="J1415" s="14">
        <v>3</v>
      </c>
      <c r="K1415" s="6" t="str">
        <f t="shared" ref="K1415:K1416" si="237">HYPERLINK("https://buffer.com","Buffer")</f>
        <v>Buffer</v>
      </c>
      <c r="L1415" s="15">
        <v>177</v>
      </c>
      <c r="M1415" s="15">
        <v>255</v>
      </c>
      <c r="N1415" s="15">
        <v>1</v>
      </c>
      <c r="O1415" s="9"/>
      <c r="P1415" s="10">
        <v>43358.650555555556</v>
      </c>
      <c r="Q1415" s="14" t="s">
        <v>1120</v>
      </c>
      <c r="R1415" s="14" t="s">
        <v>6079</v>
      </c>
      <c r="S1415" s="8"/>
      <c r="T1415" s="8"/>
      <c r="U1415" s="11" t="str">
        <f>HYPERLINK("https://pbs.twimg.com/profile_images/1358432293401088000/khQX9Nag.jpg","View")</f>
        <v>View</v>
      </c>
      <c r="V1415" s="8"/>
      <c r="W1415" s="8"/>
      <c r="X1415" s="8"/>
      <c r="Y1415" s="8"/>
      <c r="Z1415" s="8"/>
    </row>
    <row r="1416" spans="1:26" ht="13.2">
      <c r="A1416" s="13">
        <v>44250.423634259263</v>
      </c>
      <c r="B1416" s="6" t="str">
        <f>HYPERLINK("https://twitter.com/nigewillson","@nigewillson")</f>
        <v>@nigewillson</v>
      </c>
      <c r="C1416" s="14" t="s">
        <v>95</v>
      </c>
      <c r="D1416" s="14" t="s">
        <v>96</v>
      </c>
      <c r="E1416" s="6" t="str">
        <f>HYPERLINK("https://twitter.com/nigewillson/status/1364140450127491072","1364140450127491072")</f>
        <v>1364140450127491072</v>
      </c>
      <c r="F1416" s="7" t="s">
        <v>97</v>
      </c>
      <c r="G1416" s="7" t="s">
        <v>6080</v>
      </c>
      <c r="H1416" s="8"/>
      <c r="I1416" s="14">
        <v>10</v>
      </c>
      <c r="J1416" s="14">
        <v>5</v>
      </c>
      <c r="K1416" s="6" t="str">
        <f t="shared" si="237"/>
        <v>Buffer</v>
      </c>
      <c r="L1416" s="15">
        <v>57515</v>
      </c>
      <c r="M1416" s="15">
        <v>49523</v>
      </c>
      <c r="N1416" s="15">
        <v>1688</v>
      </c>
      <c r="O1416" s="9"/>
      <c r="P1416" s="10">
        <v>40530.666805555556</v>
      </c>
      <c r="Q1416" s="14" t="s">
        <v>99</v>
      </c>
      <c r="R1416" s="14" t="s">
        <v>100</v>
      </c>
      <c r="S1416" s="7" t="s">
        <v>101</v>
      </c>
      <c r="T1416" s="8"/>
      <c r="U1416" s="11" t="str">
        <f>HYPERLINK("https://pbs.twimg.com/profile_images/1085251590997622784/x9mWVQ1d.jpg","View")</f>
        <v>View</v>
      </c>
      <c r="V1416" s="8"/>
      <c r="W1416" s="8"/>
      <c r="X1416" s="8"/>
      <c r="Y1416" s="8"/>
      <c r="Z1416" s="8"/>
    </row>
    <row r="1417" spans="1:26" ht="13.2">
      <c r="A1417" s="13">
        <v>44250.423391203702</v>
      </c>
      <c r="B1417" s="6" t="str">
        <f>HYPERLINK("https://twitter.com/analyticsinme","@analyticsinme")</f>
        <v>@analyticsinme</v>
      </c>
      <c r="C1417" s="14" t="s">
        <v>6081</v>
      </c>
      <c r="D1417" s="14" t="s">
        <v>6082</v>
      </c>
      <c r="E1417" s="6" t="str">
        <f>HYPERLINK("https://twitter.com/analyticsinme/status/1364140362374152193","1364140362374152193")</f>
        <v>1364140362374152193</v>
      </c>
      <c r="F1417" s="7" t="s">
        <v>6083</v>
      </c>
      <c r="G1417" s="7" t="s">
        <v>6084</v>
      </c>
      <c r="H1417" s="8"/>
      <c r="I1417" s="14">
        <v>2</v>
      </c>
      <c r="J1417" s="14">
        <v>1</v>
      </c>
      <c r="K1417" s="6" t="str">
        <f t="shared" ref="K1417:K1419" si="238">HYPERLINK("https://mobile.twitter.com","Twitter Web App")</f>
        <v>Twitter Web App</v>
      </c>
      <c r="L1417" s="15">
        <v>5594</v>
      </c>
      <c r="M1417" s="15">
        <v>4025</v>
      </c>
      <c r="N1417" s="15">
        <v>93</v>
      </c>
      <c r="O1417" s="9"/>
      <c r="P1417" s="10">
        <v>42454.516319444447</v>
      </c>
      <c r="Q1417" s="14" t="s">
        <v>364</v>
      </c>
      <c r="R1417" s="14" t="s">
        <v>6085</v>
      </c>
      <c r="S1417" s="7" t="s">
        <v>6086</v>
      </c>
      <c r="T1417" s="8"/>
      <c r="U1417" s="11" t="str">
        <f>HYPERLINK("https://pbs.twimg.com/profile_images/1029251124908371968/aF1HVctH.jpg","View")</f>
        <v>View</v>
      </c>
      <c r="V1417" s="8"/>
      <c r="W1417" s="8"/>
      <c r="X1417" s="8"/>
      <c r="Y1417" s="8"/>
      <c r="Z1417" s="8"/>
    </row>
    <row r="1418" spans="1:26" ht="13.2">
      <c r="A1418" s="13">
        <v>44250.423067129625</v>
      </c>
      <c r="B1418" s="6" t="str">
        <f>HYPERLINK("https://twitter.com/HubPrefer","@HubPrefer")</f>
        <v>@HubPrefer</v>
      </c>
      <c r="C1418" s="14" t="s">
        <v>4937</v>
      </c>
      <c r="D1418" s="14" t="s">
        <v>6087</v>
      </c>
      <c r="E1418" s="6" t="str">
        <f>HYPERLINK("https://twitter.com/HubPrefer/status/1364140246196101120","1364140246196101120")</f>
        <v>1364140246196101120</v>
      </c>
      <c r="F1418" s="7" t="s">
        <v>5622</v>
      </c>
      <c r="G1418" s="8"/>
      <c r="H1418" s="8"/>
      <c r="I1418" s="14">
        <v>6</v>
      </c>
      <c r="J1418" s="14">
        <v>1</v>
      </c>
      <c r="K1418" s="6" t="str">
        <f t="shared" si="238"/>
        <v>Twitter Web App</v>
      </c>
      <c r="L1418" s="15">
        <v>16</v>
      </c>
      <c r="M1418" s="15">
        <v>0</v>
      </c>
      <c r="N1418" s="15">
        <v>0</v>
      </c>
      <c r="O1418" s="9"/>
      <c r="P1418" s="10">
        <v>43728.568113425921</v>
      </c>
      <c r="Q1418" s="8"/>
      <c r="R1418" s="8"/>
      <c r="S1418" s="8"/>
      <c r="T1418" s="8"/>
      <c r="U1418" s="11" t="str">
        <f>HYPERLINK("https://pbs.twimg.com/profile_images/1175011320749416453/XknGFPU5.png","View")</f>
        <v>View</v>
      </c>
      <c r="V1418" s="8"/>
      <c r="W1418" s="8"/>
      <c r="X1418" s="8"/>
      <c r="Y1418" s="8"/>
      <c r="Z1418" s="8"/>
    </row>
    <row r="1419" spans="1:26" ht="13.2">
      <c r="A1419" s="13">
        <v>44250.422708333332</v>
      </c>
      <c r="B1419" s="6" t="str">
        <f>HYPERLINK("https://twitter.com/Innovat78455398","@Innovat78455398")</f>
        <v>@Innovat78455398</v>
      </c>
      <c r="C1419" s="14" t="s">
        <v>4318</v>
      </c>
      <c r="D1419" s="14" t="s">
        <v>6088</v>
      </c>
      <c r="E1419" s="6" t="str">
        <f>HYPERLINK("https://twitter.com/Innovat78455398/status/1364140114968911872","1364140114968911872")</f>
        <v>1364140114968911872</v>
      </c>
      <c r="F1419" s="7" t="s">
        <v>6089</v>
      </c>
      <c r="G1419" s="7" t="s">
        <v>6090</v>
      </c>
      <c r="H1419" s="8"/>
      <c r="I1419" s="14">
        <v>3</v>
      </c>
      <c r="J1419" s="14">
        <v>0</v>
      </c>
      <c r="K1419" s="6" t="str">
        <f t="shared" si="238"/>
        <v>Twitter Web App</v>
      </c>
      <c r="L1419" s="15">
        <v>101</v>
      </c>
      <c r="M1419" s="15">
        <v>142</v>
      </c>
      <c r="N1419" s="15">
        <v>1</v>
      </c>
      <c r="O1419" s="9"/>
      <c r="P1419" s="10">
        <v>44075.047534722224</v>
      </c>
      <c r="Q1419" s="14" t="s">
        <v>623</v>
      </c>
      <c r="R1419" s="14" t="s">
        <v>4322</v>
      </c>
      <c r="S1419" s="8"/>
      <c r="T1419" s="8"/>
      <c r="U1419" s="11" t="str">
        <f>HYPERLINK("https://pbs.twimg.com/profile_images/1300571380098850818/YjKI8L9l.jpg","View")</f>
        <v>View</v>
      </c>
      <c r="V1419" s="8"/>
      <c r="W1419" s="8"/>
      <c r="X1419" s="8"/>
      <c r="Y1419" s="8"/>
      <c r="Z1419" s="8"/>
    </row>
    <row r="1420" spans="1:26" ht="13.2">
      <c r="A1420" s="13">
        <v>44250.422430555554</v>
      </c>
      <c r="B1420" s="6" t="str">
        <f>HYPERLINK("https://twitter.com/New081082","@New081082")</f>
        <v>@New081082</v>
      </c>
      <c r="C1420" s="14" t="s">
        <v>6091</v>
      </c>
      <c r="D1420" s="14" t="s">
        <v>6092</v>
      </c>
      <c r="E1420" s="6" t="str">
        <f>HYPERLINK("https://twitter.com/New081082/status/1364140012191670272","1364140012191670272")</f>
        <v>1364140012191670272</v>
      </c>
      <c r="F1420" s="7" t="s">
        <v>6093</v>
      </c>
      <c r="G1420" s="7" t="s">
        <v>6094</v>
      </c>
      <c r="H1420" s="8"/>
      <c r="I1420" s="14">
        <v>6</v>
      </c>
      <c r="J1420" s="14">
        <v>2</v>
      </c>
      <c r="K1420" s="6" t="str">
        <f>HYPERLINK("http://twitter.com/download/iphone","Twitter for iPhone")</f>
        <v>Twitter for iPhone</v>
      </c>
      <c r="L1420" s="15">
        <v>767</v>
      </c>
      <c r="M1420" s="15">
        <v>760</v>
      </c>
      <c r="N1420" s="15">
        <v>4</v>
      </c>
      <c r="O1420" s="9"/>
      <c r="P1420" s="10">
        <v>44049.665451388893</v>
      </c>
      <c r="Q1420" s="14" t="s">
        <v>926</v>
      </c>
      <c r="R1420" s="14" t="s">
        <v>6095</v>
      </c>
      <c r="S1420" s="8"/>
      <c r="T1420" s="8"/>
      <c r="U1420" s="11" t="str">
        <f>HYPERLINK("https://pbs.twimg.com/profile_images/1362418074616401921/FBJcHVg8.jpg","View")</f>
        <v>View</v>
      </c>
      <c r="V1420" s="8"/>
      <c r="W1420" s="8"/>
      <c r="X1420" s="8"/>
      <c r="Y1420" s="8"/>
      <c r="Z1420" s="8"/>
    </row>
    <row r="1421" spans="1:26" ht="13.2">
      <c r="A1421" s="13">
        <v>44250.422361111108</v>
      </c>
      <c r="B1421" s="6" t="str">
        <f>HYPERLINK("https://twitter.com/_M_Dey","@_M_Dey")</f>
        <v>@_M_Dey</v>
      </c>
      <c r="C1421" s="14" t="s">
        <v>2112</v>
      </c>
      <c r="D1421" s="14" t="s">
        <v>6096</v>
      </c>
      <c r="E1421" s="6" t="str">
        <f>HYPERLINK("https://twitter.com/_M_Dey/status/1364139990712655876","1364139990712655876")</f>
        <v>1364139990712655876</v>
      </c>
      <c r="F1421" s="7" t="s">
        <v>6097</v>
      </c>
      <c r="G1421" s="8"/>
      <c r="H1421" s="8"/>
      <c r="I1421" s="14">
        <v>7</v>
      </c>
      <c r="J1421" s="14">
        <v>4</v>
      </c>
      <c r="K1421" s="6" t="str">
        <f>HYPERLINK("http://dynamicsignal.com/","Dynamic Signal")</f>
        <v>Dynamic Signal</v>
      </c>
      <c r="L1421" s="15">
        <v>1174</v>
      </c>
      <c r="M1421" s="15">
        <v>4503</v>
      </c>
      <c r="N1421" s="15">
        <v>19</v>
      </c>
      <c r="O1421" s="9"/>
      <c r="P1421" s="10">
        <v>42691.486655092594</v>
      </c>
      <c r="Q1421" s="14" t="s">
        <v>106</v>
      </c>
      <c r="R1421" s="14" t="s">
        <v>2115</v>
      </c>
      <c r="S1421" s="7" t="s">
        <v>2116</v>
      </c>
      <c r="T1421" s="8"/>
      <c r="U1421" s="11" t="str">
        <f>HYPERLINK("https://pbs.twimg.com/profile_images/799206549025603584/G1d1duXU.jpg","View")</f>
        <v>View</v>
      </c>
      <c r="V1421" s="8"/>
      <c r="W1421" s="8"/>
      <c r="X1421" s="8"/>
      <c r="Y1421" s="8"/>
      <c r="Z1421" s="8"/>
    </row>
    <row r="1422" spans="1:26" ht="13.2">
      <c r="A1422" s="13">
        <v>44250.421631944446</v>
      </c>
      <c r="B1422" s="6" t="str">
        <f>HYPERLINK("https://twitter.com/BradLadewig","@BradLadewig")</f>
        <v>@BradLadewig</v>
      </c>
      <c r="C1422" s="14" t="s">
        <v>6098</v>
      </c>
      <c r="D1422" s="14" t="s">
        <v>6099</v>
      </c>
      <c r="E1422" s="6" t="str">
        <f>HYPERLINK("https://twitter.com/BradLadewig/status/1364139725406281732","1364139725406281732")</f>
        <v>1364139725406281732</v>
      </c>
      <c r="F1422" s="7" t="s">
        <v>6100</v>
      </c>
      <c r="G1422" s="7" t="s">
        <v>6101</v>
      </c>
      <c r="H1422" s="8"/>
      <c r="I1422" s="14">
        <v>2</v>
      </c>
      <c r="J1422" s="14">
        <v>2</v>
      </c>
      <c r="K1422" s="6" t="str">
        <f t="shared" ref="K1422:K1423" si="239">HYPERLINK("https://mobile.twitter.com","Twitter Web App")</f>
        <v>Twitter Web App</v>
      </c>
      <c r="L1422" s="15">
        <v>782</v>
      </c>
      <c r="M1422" s="15">
        <v>883</v>
      </c>
      <c r="N1422" s="15">
        <v>3</v>
      </c>
      <c r="O1422" s="9"/>
      <c r="P1422" s="10">
        <v>41017.647314814814</v>
      </c>
      <c r="Q1422" s="14" t="s">
        <v>6102</v>
      </c>
      <c r="R1422" s="14" t="s">
        <v>6103</v>
      </c>
      <c r="S1422" s="8"/>
      <c r="T1422" s="8"/>
      <c r="U1422" s="11" t="str">
        <f>HYPERLINK("https://pbs.twimg.com/profile_images/1327279601362538502/pStMzgi1.jpg","View")</f>
        <v>View</v>
      </c>
      <c r="V1422" s="8"/>
      <c r="W1422" s="8"/>
      <c r="X1422" s="8"/>
      <c r="Y1422" s="8"/>
      <c r="Z1422" s="8"/>
    </row>
    <row r="1423" spans="1:26" ht="13.2">
      <c r="A1423" s="13">
        <v>44250.421631944446</v>
      </c>
      <c r="B1423" s="6" t="str">
        <f>HYPERLINK("https://twitter.com/Innovat78455398","@Innovat78455398")</f>
        <v>@Innovat78455398</v>
      </c>
      <c r="C1423" s="14" t="s">
        <v>4318</v>
      </c>
      <c r="D1423" s="14" t="s">
        <v>6104</v>
      </c>
      <c r="E1423" s="6" t="str">
        <f>HYPERLINK("https://twitter.com/Innovat78455398/status/1364139724697337856","1364139724697337856")</f>
        <v>1364139724697337856</v>
      </c>
      <c r="F1423" s="7" t="s">
        <v>6105</v>
      </c>
      <c r="G1423" s="7" t="s">
        <v>6106</v>
      </c>
      <c r="H1423" s="8"/>
      <c r="I1423" s="14">
        <v>9</v>
      </c>
      <c r="J1423" s="14">
        <v>2</v>
      </c>
      <c r="K1423" s="6" t="str">
        <f t="shared" si="239"/>
        <v>Twitter Web App</v>
      </c>
      <c r="L1423" s="15">
        <v>101</v>
      </c>
      <c r="M1423" s="15">
        <v>142</v>
      </c>
      <c r="N1423" s="15">
        <v>1</v>
      </c>
      <c r="O1423" s="9"/>
      <c r="P1423" s="10">
        <v>44075.047534722224</v>
      </c>
      <c r="Q1423" s="14" t="s">
        <v>623</v>
      </c>
      <c r="R1423" s="14" t="s">
        <v>4322</v>
      </c>
      <c r="S1423" s="8"/>
      <c r="T1423" s="8"/>
      <c r="U1423" s="11" t="str">
        <f>HYPERLINK("https://pbs.twimg.com/profile_images/1300571380098850818/YjKI8L9l.jpg","View")</f>
        <v>View</v>
      </c>
      <c r="V1423" s="8"/>
      <c r="W1423" s="8"/>
      <c r="X1423" s="8"/>
      <c r="Y1423" s="8"/>
      <c r="Z1423" s="8"/>
    </row>
    <row r="1424" spans="1:26" ht="13.2">
      <c r="A1424" s="13">
        <v>44250.421331018515</v>
      </c>
      <c r="B1424" s="6" t="str">
        <f>HYPERLINK("https://twitter.com/New081082","@New081082")</f>
        <v>@New081082</v>
      </c>
      <c r="C1424" s="14" t="s">
        <v>6091</v>
      </c>
      <c r="D1424" s="14" t="s">
        <v>6107</v>
      </c>
      <c r="E1424" s="6" t="str">
        <f>HYPERLINK("https://twitter.com/New081082/status/1364139614433239044","1364139614433239044")</f>
        <v>1364139614433239044</v>
      </c>
      <c r="F1424" s="14" t="s">
        <v>6108</v>
      </c>
      <c r="G1424" s="7" t="s">
        <v>6094</v>
      </c>
      <c r="H1424" s="8"/>
      <c r="I1424" s="14">
        <v>25</v>
      </c>
      <c r="J1424" s="14">
        <v>16</v>
      </c>
      <c r="K1424" s="6" t="str">
        <f>HYPERLINK("http://twitter.com/download/iphone","Twitter for iPhone")</f>
        <v>Twitter for iPhone</v>
      </c>
      <c r="L1424" s="15">
        <v>767</v>
      </c>
      <c r="M1424" s="15">
        <v>760</v>
      </c>
      <c r="N1424" s="15">
        <v>4</v>
      </c>
      <c r="O1424" s="9"/>
      <c r="P1424" s="10">
        <v>44049.665451388893</v>
      </c>
      <c r="Q1424" s="14" t="s">
        <v>926</v>
      </c>
      <c r="R1424" s="14" t="s">
        <v>6095</v>
      </c>
      <c r="S1424" s="8"/>
      <c r="T1424" s="8"/>
      <c r="U1424" s="11" t="str">
        <f>HYPERLINK("https://pbs.twimg.com/profile_images/1362418074616401921/FBJcHVg8.jpg","View")</f>
        <v>View</v>
      </c>
      <c r="V1424" s="8"/>
      <c r="W1424" s="8"/>
      <c r="X1424" s="8"/>
      <c r="Y1424" s="8"/>
      <c r="Z1424" s="8"/>
    </row>
    <row r="1425" spans="1:26" ht="13.2">
      <c r="A1425" s="13">
        <v>44250.420902777776</v>
      </c>
      <c r="B1425" s="6" t="str">
        <f>HYPERLINK("https://twitter.com/graphcoreai","@graphcoreai")</f>
        <v>@graphcoreai</v>
      </c>
      <c r="C1425" s="14" t="s">
        <v>6109</v>
      </c>
      <c r="D1425" s="14" t="s">
        <v>6110</v>
      </c>
      <c r="E1425" s="6" t="str">
        <f>HYPERLINK("https://twitter.com/graphcoreai/status/1364139460301099009","1364139460301099009")</f>
        <v>1364139460301099009</v>
      </c>
      <c r="F1425" s="7" t="s">
        <v>6111</v>
      </c>
      <c r="G1425" s="7" t="s">
        <v>6112</v>
      </c>
      <c r="H1425" s="8"/>
      <c r="I1425" s="14">
        <v>8</v>
      </c>
      <c r="J1425" s="14">
        <v>2</v>
      </c>
      <c r="K1425" s="6" t="str">
        <f>HYPERLINK("http://www.hubspot.com/","HubSpot")</f>
        <v>HubSpot</v>
      </c>
      <c r="L1425" s="15">
        <v>6881</v>
      </c>
      <c r="M1425" s="15">
        <v>687</v>
      </c>
      <c r="N1425" s="15">
        <v>276</v>
      </c>
      <c r="O1425" s="9"/>
      <c r="P1425" s="10">
        <v>42594.637511574074</v>
      </c>
      <c r="Q1425" s="14" t="s">
        <v>5230</v>
      </c>
      <c r="R1425" s="14" t="s">
        <v>6113</v>
      </c>
      <c r="S1425" s="7" t="s">
        <v>6114</v>
      </c>
      <c r="T1425" s="8"/>
      <c r="U1425" s="11" t="str">
        <f>HYPERLINK("https://pbs.twimg.com/profile_images/877225025874653184/vITaYmsB.jpg","View")</f>
        <v>View</v>
      </c>
      <c r="V1425" s="8"/>
      <c r="W1425" s="8"/>
      <c r="X1425" s="8"/>
      <c r="Y1425" s="8"/>
      <c r="Z1425" s="8"/>
    </row>
    <row r="1426" spans="1:26" ht="13.2">
      <c r="A1426" s="13">
        <v>44250.420162037037</v>
      </c>
      <c r="B1426" s="6" t="str">
        <f>HYPERLINK("https://twitter.com/nigewillson","@nigewillson")</f>
        <v>@nigewillson</v>
      </c>
      <c r="C1426" s="14" t="s">
        <v>95</v>
      </c>
      <c r="D1426" s="14" t="s">
        <v>171</v>
      </c>
      <c r="E1426" s="6" t="str">
        <f>HYPERLINK("https://twitter.com/nigewillson/status/1364139192633217026","1364139192633217026")</f>
        <v>1364139192633217026</v>
      </c>
      <c r="F1426" s="7" t="s">
        <v>172</v>
      </c>
      <c r="G1426" s="7" t="s">
        <v>6115</v>
      </c>
      <c r="H1426" s="8"/>
      <c r="I1426" s="14">
        <v>7</v>
      </c>
      <c r="J1426" s="14">
        <v>4</v>
      </c>
      <c r="K1426" s="6" t="str">
        <f>HYPERLINK("https://buffer.com","Buffer")</f>
        <v>Buffer</v>
      </c>
      <c r="L1426" s="15">
        <v>57515</v>
      </c>
      <c r="M1426" s="15">
        <v>49523</v>
      </c>
      <c r="N1426" s="15">
        <v>1688</v>
      </c>
      <c r="O1426" s="9"/>
      <c r="P1426" s="10">
        <v>40530.666805555556</v>
      </c>
      <c r="Q1426" s="14" t="s">
        <v>99</v>
      </c>
      <c r="R1426" s="14" t="s">
        <v>100</v>
      </c>
      <c r="S1426" s="7" t="s">
        <v>101</v>
      </c>
      <c r="T1426" s="8"/>
      <c r="U1426" s="11" t="str">
        <f>HYPERLINK("https://pbs.twimg.com/profile_images/1085251590997622784/x9mWVQ1d.jpg","View")</f>
        <v>View</v>
      </c>
      <c r="V1426" s="8"/>
      <c r="W1426" s="8"/>
      <c r="X1426" s="8"/>
      <c r="Y1426" s="8"/>
      <c r="Z1426" s="8"/>
    </row>
    <row r="1427" spans="1:26" ht="13.2">
      <c r="A1427" s="13">
        <v>44250.420081018514</v>
      </c>
      <c r="B1427" s="6" t="str">
        <f>HYPERLINK("https://twitter.com/Innovat78455398","@Innovat78455398")</f>
        <v>@Innovat78455398</v>
      </c>
      <c r="C1427" s="14" t="s">
        <v>4318</v>
      </c>
      <c r="D1427" s="14" t="s">
        <v>6116</v>
      </c>
      <c r="E1427" s="6" t="str">
        <f>HYPERLINK("https://twitter.com/Innovat78455398/status/1364139164191498244","1364139164191498244")</f>
        <v>1364139164191498244</v>
      </c>
      <c r="F1427" s="7" t="s">
        <v>6117</v>
      </c>
      <c r="G1427" s="7" t="s">
        <v>6118</v>
      </c>
      <c r="H1427" s="8"/>
      <c r="I1427" s="14">
        <v>1</v>
      </c>
      <c r="J1427" s="14">
        <v>0</v>
      </c>
      <c r="K1427" s="6" t="str">
        <f t="shared" ref="K1427:K1428" si="240">HYPERLINK("https://mobile.twitter.com","Twitter Web App")</f>
        <v>Twitter Web App</v>
      </c>
      <c r="L1427" s="15">
        <v>101</v>
      </c>
      <c r="M1427" s="15">
        <v>142</v>
      </c>
      <c r="N1427" s="15">
        <v>1</v>
      </c>
      <c r="O1427" s="9"/>
      <c r="P1427" s="10">
        <v>44075.047534722224</v>
      </c>
      <c r="Q1427" s="14" t="s">
        <v>623</v>
      </c>
      <c r="R1427" s="14" t="s">
        <v>4322</v>
      </c>
      <c r="S1427" s="8"/>
      <c r="T1427" s="8"/>
      <c r="U1427" s="11" t="str">
        <f>HYPERLINK("https://pbs.twimg.com/profile_images/1300571380098850818/YjKI8L9l.jpg","View")</f>
        <v>View</v>
      </c>
      <c r="V1427" s="8"/>
      <c r="W1427" s="8"/>
      <c r="X1427" s="8"/>
      <c r="Y1427" s="8"/>
      <c r="Z1427" s="8"/>
    </row>
    <row r="1428" spans="1:26" ht="13.2">
      <c r="A1428" s="13">
        <v>44250.420081018514</v>
      </c>
      <c r="B1428" s="6" t="str">
        <f>HYPERLINK("https://twitter.com/eeghor","@eeghor")</f>
        <v>@eeghor</v>
      </c>
      <c r="C1428" s="14" t="s">
        <v>6119</v>
      </c>
      <c r="D1428" s="14" t="s">
        <v>6120</v>
      </c>
      <c r="E1428" s="6" t="str">
        <f>HYPERLINK("https://twitter.com/eeghor/status/1364139161238708229","1364139161238708229")</f>
        <v>1364139161238708229</v>
      </c>
      <c r="F1428" s="7" t="s">
        <v>6121</v>
      </c>
      <c r="G1428" s="8"/>
      <c r="H1428" s="8"/>
      <c r="I1428" s="14">
        <v>2</v>
      </c>
      <c r="J1428" s="14">
        <v>1</v>
      </c>
      <c r="K1428" s="6" t="str">
        <f t="shared" si="240"/>
        <v>Twitter Web App</v>
      </c>
      <c r="L1428" s="15">
        <v>430</v>
      </c>
      <c r="M1428" s="15">
        <v>389</v>
      </c>
      <c r="N1428" s="15">
        <v>79</v>
      </c>
      <c r="O1428" s="9"/>
      <c r="P1428" s="10">
        <v>42558.63894675926</v>
      </c>
      <c r="Q1428" s="14" t="s">
        <v>1965</v>
      </c>
      <c r="R1428" s="14" t="s">
        <v>6122</v>
      </c>
      <c r="S1428" s="8"/>
      <c r="T1428" s="8"/>
      <c r="U1428" s="11" t="str">
        <f>HYPERLINK("https://pbs.twimg.com/profile_images/1356110210327146496/2_UMFwUE.jpg","View")</f>
        <v>View</v>
      </c>
      <c r="V1428" s="8"/>
      <c r="W1428" s="8"/>
      <c r="X1428" s="8"/>
      <c r="Y1428" s="8"/>
      <c r="Z1428" s="8"/>
    </row>
    <row r="1429" spans="1:26" ht="13.2">
      <c r="A1429" s="13">
        <v>44250.41988425926</v>
      </c>
      <c r="B1429" s="6" t="str">
        <f>HYPERLINK("https://twitter.com/Kattenkopjes","@Kattenkopjes")</f>
        <v>@Kattenkopjes</v>
      </c>
      <c r="C1429" s="14" t="s">
        <v>6123</v>
      </c>
      <c r="D1429" s="14" t="s">
        <v>6124</v>
      </c>
      <c r="E1429" s="6" t="str">
        <f>HYPERLINK("https://twitter.com/Kattenkopjes/status/1364139092846534656","1364139092846534656")</f>
        <v>1364139092846534656</v>
      </c>
      <c r="F1429" s="7" t="s">
        <v>6125</v>
      </c>
      <c r="G1429" s="7" t="s">
        <v>6126</v>
      </c>
      <c r="H1429" s="8"/>
      <c r="I1429" s="14">
        <v>5</v>
      </c>
      <c r="J1429" s="14">
        <v>2</v>
      </c>
      <c r="K1429" s="6" t="str">
        <f>HYPERLINK("https://about.twitter.com/products/tweetdeck","TweetDeck")</f>
        <v>TweetDeck</v>
      </c>
      <c r="L1429" s="15">
        <v>1035</v>
      </c>
      <c r="M1429" s="15">
        <v>1027</v>
      </c>
      <c r="N1429" s="15">
        <v>757</v>
      </c>
      <c r="O1429" s="9"/>
      <c r="P1429" s="10">
        <v>42305.493587962963</v>
      </c>
      <c r="Q1429" s="14" t="s">
        <v>1826</v>
      </c>
      <c r="R1429" s="14" t="s">
        <v>6127</v>
      </c>
      <c r="S1429" s="7" t="s">
        <v>6128</v>
      </c>
      <c r="T1429" s="8"/>
      <c r="U1429" s="11" t="str">
        <f>HYPERLINK("https://pbs.twimg.com/profile_images/669103897869422592/VgZSsXA5.jpg","View")</f>
        <v>View</v>
      </c>
      <c r="V1429" s="8"/>
      <c r="W1429" s="8"/>
      <c r="X1429" s="8"/>
      <c r="Y1429" s="8"/>
      <c r="Z1429" s="8"/>
    </row>
    <row r="1430" spans="1:26" ht="13.2">
      <c r="A1430" s="13">
        <v>44250.41988425926</v>
      </c>
      <c r="B1430" s="6" t="str">
        <f>HYPERLINK("https://twitter.com/Tanguy_lrx","@Tanguy_lrx")</f>
        <v>@Tanguy_lrx</v>
      </c>
      <c r="C1430" s="14" t="s">
        <v>4505</v>
      </c>
      <c r="D1430" s="14" t="s">
        <v>6129</v>
      </c>
      <c r="E1430" s="6" t="str">
        <f>HYPERLINK("https://twitter.com/Tanguy_lrx/status/1364139092028628992","1364139092028628992")</f>
        <v>1364139092028628992</v>
      </c>
      <c r="F1430" s="7" t="s">
        <v>6130</v>
      </c>
      <c r="G1430" s="8"/>
      <c r="H1430" s="8"/>
      <c r="I1430" s="14">
        <v>23</v>
      </c>
      <c r="J1430" s="14">
        <v>12</v>
      </c>
      <c r="K1430" s="6" t="str">
        <f>HYPERLINK("https://socxopte.com/","SocxoPte")</f>
        <v>SocxoPte</v>
      </c>
      <c r="L1430" s="15">
        <v>302</v>
      </c>
      <c r="M1430" s="15">
        <v>129</v>
      </c>
      <c r="N1430" s="15">
        <v>6</v>
      </c>
      <c r="O1430" s="9"/>
      <c r="P1430" s="10">
        <v>44022.449062500003</v>
      </c>
      <c r="Q1430" s="14" t="s">
        <v>106</v>
      </c>
      <c r="R1430" s="14" t="s">
        <v>4508</v>
      </c>
      <c r="S1430" s="8"/>
      <c r="T1430" s="8"/>
      <c r="U1430" s="11" t="str">
        <f>HYPERLINK("https://pbs.twimg.com/profile_images/1281687432698658816/cEqJDj6D.jpg","View")</f>
        <v>View</v>
      </c>
      <c r="V1430" s="8"/>
      <c r="W1430" s="8"/>
      <c r="X1430" s="8"/>
      <c r="Y1430" s="8"/>
      <c r="Z1430" s="8"/>
    </row>
    <row r="1431" spans="1:26" ht="13.2">
      <c r="A1431" s="13">
        <v>44250.419444444444</v>
      </c>
      <c r="B1431" s="6" t="str">
        <f>HYPERLINK("https://twitter.com/QAValley","@QAValley")</f>
        <v>@QAValley</v>
      </c>
      <c r="C1431" s="14" t="s">
        <v>5315</v>
      </c>
      <c r="D1431" s="14" t="s">
        <v>6131</v>
      </c>
      <c r="E1431" s="6" t="str">
        <f>HYPERLINK("https://twitter.com/QAValley/status/1364138931386654720","1364138931386654720")</f>
        <v>1364138931386654720</v>
      </c>
      <c r="F1431" s="7" t="s">
        <v>6132</v>
      </c>
      <c r="G1431" s="8"/>
      <c r="H1431" s="8"/>
      <c r="I1431" s="14">
        <v>6</v>
      </c>
      <c r="J1431" s="14">
        <v>2</v>
      </c>
      <c r="K1431" s="6" t="str">
        <f>HYPERLINK("https://mobile.twitter.com","Twitter Web App")</f>
        <v>Twitter Web App</v>
      </c>
      <c r="L1431" s="15">
        <v>6419</v>
      </c>
      <c r="M1431" s="15">
        <v>7053</v>
      </c>
      <c r="N1431" s="15">
        <v>15</v>
      </c>
      <c r="O1431" s="9"/>
      <c r="P1431" s="10">
        <v>42058.749386574069</v>
      </c>
      <c r="Q1431" s="14" t="s">
        <v>191</v>
      </c>
      <c r="R1431" s="14" t="s">
        <v>5319</v>
      </c>
      <c r="S1431" s="7" t="s">
        <v>5320</v>
      </c>
      <c r="T1431" s="8"/>
      <c r="U1431" s="11" t="str">
        <f>HYPERLINK("https://pbs.twimg.com/profile_images/976909546240307200/3Gy-rd2X.jpg","View")</f>
        <v>View</v>
      </c>
      <c r="V1431" s="8"/>
      <c r="W1431" s="8"/>
      <c r="X1431" s="8"/>
      <c r="Y1431" s="8"/>
      <c r="Z1431" s="8"/>
    </row>
    <row r="1432" spans="1:26" ht="13.2">
      <c r="A1432" s="13">
        <v>44250.419305555552</v>
      </c>
      <c r="B1432" s="6" t="str">
        <f>HYPERLINK("https://twitter.com/stratorob","@stratorob")</f>
        <v>@stratorob</v>
      </c>
      <c r="C1432" s="14" t="s">
        <v>263</v>
      </c>
      <c r="D1432" s="14" t="s">
        <v>6133</v>
      </c>
      <c r="E1432" s="6" t="str">
        <f>HYPERLINK("https://twitter.com/stratorob/status/1364138882619609089","1364138882619609089")</f>
        <v>1364138882619609089</v>
      </c>
      <c r="F1432" s="7" t="s">
        <v>6134</v>
      </c>
      <c r="G1432" s="7" t="s">
        <v>6135</v>
      </c>
      <c r="H1432" s="8"/>
      <c r="I1432" s="14">
        <v>23</v>
      </c>
      <c r="J1432" s="14">
        <v>21</v>
      </c>
      <c r="K1432" s="6" t="str">
        <f>HYPERLINK("https://app.socialpilot.co/","SocialPilot.co")</f>
        <v>SocialPilot.co</v>
      </c>
      <c r="L1432" s="15">
        <v>32477</v>
      </c>
      <c r="M1432" s="15">
        <v>12996</v>
      </c>
      <c r="N1432" s="15">
        <v>657</v>
      </c>
      <c r="O1432" s="9"/>
      <c r="P1432" s="10">
        <v>40570.461076388892</v>
      </c>
      <c r="Q1432" s="14" t="s">
        <v>266</v>
      </c>
      <c r="R1432" s="14" t="s">
        <v>267</v>
      </c>
      <c r="S1432" s="7" t="s">
        <v>268</v>
      </c>
      <c r="T1432" s="8"/>
      <c r="U1432" s="11" t="str">
        <f>HYPERLINK("https://pbs.twimg.com/profile_images/1081644975333478401/_Csd-JKp.jpg","View")</f>
        <v>View</v>
      </c>
      <c r="V1432" s="8"/>
      <c r="W1432" s="8"/>
      <c r="X1432" s="8"/>
      <c r="Y1432" s="8"/>
      <c r="Z1432" s="8"/>
    </row>
    <row r="1433" spans="1:26" ht="13.2">
      <c r="A1433" s="13">
        <v>44250.419293981482</v>
      </c>
      <c r="B1433" s="6" t="str">
        <f>HYPERLINK("https://twitter.com/Innovat78455398","@Innovat78455398")</f>
        <v>@Innovat78455398</v>
      </c>
      <c r="C1433" s="14" t="s">
        <v>4318</v>
      </c>
      <c r="D1433" s="14" t="s">
        <v>6136</v>
      </c>
      <c r="E1433" s="6" t="str">
        <f>HYPERLINK("https://twitter.com/Innovat78455398/status/1364138876000825350","1364138876000825350")</f>
        <v>1364138876000825350</v>
      </c>
      <c r="F1433" s="7" t="s">
        <v>6137</v>
      </c>
      <c r="G1433" s="7" t="s">
        <v>6138</v>
      </c>
      <c r="H1433" s="8"/>
      <c r="I1433" s="14">
        <v>10</v>
      </c>
      <c r="J1433" s="14">
        <v>2</v>
      </c>
      <c r="K1433" s="6" t="str">
        <f t="shared" ref="K1433:K1436" si="241">HYPERLINK("https://mobile.twitter.com","Twitter Web App")</f>
        <v>Twitter Web App</v>
      </c>
      <c r="L1433" s="15">
        <v>101</v>
      </c>
      <c r="M1433" s="15">
        <v>142</v>
      </c>
      <c r="N1433" s="15">
        <v>1</v>
      </c>
      <c r="O1433" s="9"/>
      <c r="P1433" s="10">
        <v>44075.047534722224</v>
      </c>
      <c r="Q1433" s="14" t="s">
        <v>623</v>
      </c>
      <c r="R1433" s="14" t="s">
        <v>4322</v>
      </c>
      <c r="S1433" s="8"/>
      <c r="T1433" s="8"/>
      <c r="U1433" s="11" t="str">
        <f>HYPERLINK("https://pbs.twimg.com/profile_images/1300571380098850818/YjKI8L9l.jpg","View")</f>
        <v>View</v>
      </c>
      <c r="V1433" s="8"/>
      <c r="W1433" s="8"/>
      <c r="X1433" s="8"/>
      <c r="Y1433" s="8"/>
      <c r="Z1433" s="8"/>
    </row>
    <row r="1434" spans="1:26" ht="13.2">
      <c r="A1434" s="13">
        <v>44250.418900462959</v>
      </c>
      <c r="B1434" s="6" t="str">
        <f>HYPERLINK("https://twitter.com/Computers_MDPI","@Computers_MDPI")</f>
        <v>@Computers_MDPI</v>
      </c>
      <c r="C1434" s="14" t="s">
        <v>6139</v>
      </c>
      <c r="D1434" s="14" t="s">
        <v>6140</v>
      </c>
      <c r="E1434" s="6" t="str">
        <f>HYPERLINK("https://twitter.com/Computers_MDPI/status/1364138732966744065","1364138732966744065")</f>
        <v>1364138732966744065</v>
      </c>
      <c r="F1434" s="7" t="s">
        <v>6141</v>
      </c>
      <c r="G1434" s="7" t="s">
        <v>6142</v>
      </c>
      <c r="H1434" s="8"/>
      <c r="I1434" s="14">
        <v>2</v>
      </c>
      <c r="J1434" s="14">
        <v>0</v>
      </c>
      <c r="K1434" s="6" t="str">
        <f t="shared" si="241"/>
        <v>Twitter Web App</v>
      </c>
      <c r="L1434" s="15">
        <v>298</v>
      </c>
      <c r="M1434" s="15">
        <v>418</v>
      </c>
      <c r="N1434" s="15">
        <v>4</v>
      </c>
      <c r="O1434" s="9"/>
      <c r="P1434" s="10">
        <v>42775.118703703702</v>
      </c>
      <c r="Q1434" s="14" t="s">
        <v>6143</v>
      </c>
      <c r="R1434" s="14" t="s">
        <v>6144</v>
      </c>
      <c r="S1434" s="7" t="s">
        <v>6145</v>
      </c>
      <c r="T1434" s="8"/>
      <c r="U1434" s="11" t="str">
        <f>HYPERLINK("https://pbs.twimg.com/profile_images/829878407617933313/Cv6XzLjD.jpg","View")</f>
        <v>View</v>
      </c>
      <c r="V1434" s="8"/>
      <c r="W1434" s="8"/>
      <c r="X1434" s="8"/>
      <c r="Y1434" s="8"/>
      <c r="Z1434" s="8"/>
    </row>
    <row r="1435" spans="1:26" ht="13.2">
      <c r="A1435" s="13">
        <v>44250.417997685188</v>
      </c>
      <c r="B1435" s="6" t="str">
        <f>HYPERLINK("https://twitter.com/Innovat78455398","@Innovat78455398")</f>
        <v>@Innovat78455398</v>
      </c>
      <c r="C1435" s="14" t="s">
        <v>4318</v>
      </c>
      <c r="D1435" s="14" t="s">
        <v>6146</v>
      </c>
      <c r="E1435" s="6" t="str">
        <f>HYPERLINK("https://twitter.com/Innovat78455398/status/1364138405995507713","1364138405995507713")</f>
        <v>1364138405995507713</v>
      </c>
      <c r="F1435" s="7" t="s">
        <v>6147</v>
      </c>
      <c r="G1435" s="7" t="s">
        <v>6148</v>
      </c>
      <c r="H1435" s="8"/>
      <c r="I1435" s="14">
        <v>13</v>
      </c>
      <c r="J1435" s="14">
        <v>6</v>
      </c>
      <c r="K1435" s="6" t="str">
        <f t="shared" si="241"/>
        <v>Twitter Web App</v>
      </c>
      <c r="L1435" s="15">
        <v>101</v>
      </c>
      <c r="M1435" s="15">
        <v>142</v>
      </c>
      <c r="N1435" s="15">
        <v>1</v>
      </c>
      <c r="O1435" s="9"/>
      <c r="P1435" s="10">
        <v>44075.047534722224</v>
      </c>
      <c r="Q1435" s="14" t="s">
        <v>623</v>
      </c>
      <c r="R1435" s="14" t="s">
        <v>4322</v>
      </c>
      <c r="S1435" s="8"/>
      <c r="T1435" s="8"/>
      <c r="U1435" s="11" t="str">
        <f>HYPERLINK("https://pbs.twimg.com/profile_images/1300571380098850818/YjKI8L9l.jpg","View")</f>
        <v>View</v>
      </c>
      <c r="V1435" s="8"/>
      <c r="W1435" s="8"/>
      <c r="X1435" s="8"/>
      <c r="Y1435" s="8"/>
      <c r="Z1435" s="8"/>
    </row>
    <row r="1436" spans="1:26" ht="13.2">
      <c r="A1436" s="13">
        <v>44250.417696759258</v>
      </c>
      <c r="B1436" s="6" t="str">
        <f>HYPERLINK("https://twitter.com/BBVAInnovation","@BBVAInnovation")</f>
        <v>@BBVAInnovation</v>
      </c>
      <c r="C1436" s="14" t="s">
        <v>6149</v>
      </c>
      <c r="D1436" s="14" t="s">
        <v>6150</v>
      </c>
      <c r="E1436" s="6" t="str">
        <f>HYPERLINK("https://twitter.com/BBVAInnovation/status/1364138296801132544","1364138296801132544")</f>
        <v>1364138296801132544</v>
      </c>
      <c r="F1436" s="7" t="s">
        <v>6151</v>
      </c>
      <c r="G1436" s="7" t="s">
        <v>6152</v>
      </c>
      <c r="H1436" s="8"/>
      <c r="I1436" s="14">
        <v>1</v>
      </c>
      <c r="J1436" s="14">
        <v>3</v>
      </c>
      <c r="K1436" s="6" t="str">
        <f t="shared" si="241"/>
        <v>Twitter Web App</v>
      </c>
      <c r="L1436" s="15">
        <v>57140</v>
      </c>
      <c r="M1436" s="15">
        <v>12662</v>
      </c>
      <c r="N1436" s="15">
        <v>2728</v>
      </c>
      <c r="O1436" s="9"/>
      <c r="P1436" s="10">
        <v>39523.602442129632</v>
      </c>
      <c r="Q1436" s="14" t="s">
        <v>6153</v>
      </c>
      <c r="R1436" s="14" t="s">
        <v>6154</v>
      </c>
      <c r="S1436" s="7" t="s">
        <v>6155</v>
      </c>
      <c r="T1436" s="8"/>
      <c r="U1436" s="11" t="str">
        <f>HYPERLINK("https://pbs.twimg.com/profile_images/1277509120501977088/7Q8SiHvH.png","View")</f>
        <v>View</v>
      </c>
      <c r="V1436" s="8"/>
      <c r="W1436" s="8"/>
      <c r="X1436" s="8"/>
      <c r="Y1436" s="8"/>
      <c r="Z1436" s="8"/>
    </row>
    <row r="1437" spans="1:26" ht="13.2">
      <c r="A1437" s="13">
        <v>44250.417581018519</v>
      </c>
      <c r="B1437" s="6" t="str">
        <f>HYPERLINK("https://twitter.com/baobabsolucione","@baobabsolucione")</f>
        <v>@baobabsolucione</v>
      </c>
      <c r="C1437" s="14" t="s">
        <v>6156</v>
      </c>
      <c r="D1437" s="14" t="s">
        <v>6157</v>
      </c>
      <c r="E1437" s="6" t="str">
        <f>HYPERLINK("https://twitter.com/baobabsolucione/status/1364138254849695744","1364138254849695744")</f>
        <v>1364138254849695744</v>
      </c>
      <c r="F1437" s="7" t="s">
        <v>6158</v>
      </c>
      <c r="G1437" s="8"/>
      <c r="H1437" s="8"/>
      <c r="I1437" s="14">
        <v>2</v>
      </c>
      <c r="J1437" s="14">
        <v>1</v>
      </c>
      <c r="K1437" s="6" t="str">
        <f>HYPERLINK("https://about.twitter.com/products/tweetdeck","TweetDeck")</f>
        <v>TweetDeck</v>
      </c>
      <c r="L1437" s="15">
        <v>156</v>
      </c>
      <c r="M1437" s="15">
        <v>137</v>
      </c>
      <c r="N1437" s="15">
        <v>5</v>
      </c>
      <c r="O1437" s="9"/>
      <c r="P1437" s="10">
        <v>41438.440787037034</v>
      </c>
      <c r="Q1437" s="14" t="s">
        <v>6159</v>
      </c>
      <c r="R1437" s="14" t="s">
        <v>6160</v>
      </c>
      <c r="S1437" s="7" t="s">
        <v>6161</v>
      </c>
      <c r="T1437" s="8"/>
      <c r="U1437" s="11" t="str">
        <f>HYPERLINK("https://pbs.twimg.com/profile_images/1185125774929616900/P9mWQyo8.jpg","View")</f>
        <v>View</v>
      </c>
      <c r="V1437" s="8"/>
      <c r="W1437" s="8"/>
      <c r="X1437" s="8"/>
      <c r="Y1437" s="8"/>
      <c r="Z1437" s="8"/>
    </row>
    <row r="1438" spans="1:26" ht="13.2">
      <c r="A1438" s="13">
        <v>44250.417442129634</v>
      </c>
      <c r="B1438" s="6" t="str">
        <f>HYPERLINK("https://twitter.com/TheNextTech2018","@TheNextTech2018")</f>
        <v>@TheNextTech2018</v>
      </c>
      <c r="C1438" s="14" t="s">
        <v>6162</v>
      </c>
      <c r="D1438" s="14" t="s">
        <v>6163</v>
      </c>
      <c r="E1438" s="6" t="str">
        <f>HYPERLINK("https://twitter.com/TheNextTech2018/status/1364138204656525313","1364138204656525313")</f>
        <v>1364138204656525313</v>
      </c>
      <c r="F1438" s="7" t="s">
        <v>6164</v>
      </c>
      <c r="G1438" s="8"/>
      <c r="H1438" s="8"/>
      <c r="I1438" s="14">
        <v>4</v>
      </c>
      <c r="J1438" s="14">
        <v>4</v>
      </c>
      <c r="K1438" s="6" t="str">
        <f>HYPERLINK("https://revive.social/","Revive Social App")</f>
        <v>Revive Social App</v>
      </c>
      <c r="L1438" s="15">
        <v>3333</v>
      </c>
      <c r="M1438" s="15">
        <v>4385</v>
      </c>
      <c r="N1438" s="15">
        <v>28</v>
      </c>
      <c r="O1438" s="9"/>
      <c r="P1438" s="10">
        <v>43445.304942129631</v>
      </c>
      <c r="Q1438" s="14" t="s">
        <v>650</v>
      </c>
      <c r="R1438" s="14" t="s">
        <v>6165</v>
      </c>
      <c r="S1438" s="7" t="s">
        <v>6166</v>
      </c>
      <c r="T1438" s="8"/>
      <c r="U1438" s="11" t="str">
        <f>HYPERLINK("https://pbs.twimg.com/profile_images/1072390659313725440/hFee_wvy.jpg","View")</f>
        <v>View</v>
      </c>
      <c r="V1438" s="8"/>
      <c r="W1438" s="8"/>
      <c r="X1438" s="8"/>
      <c r="Y1438" s="8"/>
      <c r="Z1438" s="8"/>
    </row>
    <row r="1439" spans="1:26" ht="13.2">
      <c r="A1439" s="13">
        <v>44250.417048611111</v>
      </c>
      <c r="B1439" s="6" t="str">
        <f>HYPERLINK("https://twitter.com/matthewpalmer","@matthewpalmer")</f>
        <v>@matthewpalmer</v>
      </c>
      <c r="C1439" s="14" t="s">
        <v>6167</v>
      </c>
      <c r="D1439" s="14" t="s">
        <v>6168</v>
      </c>
      <c r="E1439" s="6" t="str">
        <f>HYPERLINK("https://twitter.com/matthewpalmer/status/1364138063513985025","1364138063513985025")</f>
        <v>1364138063513985025</v>
      </c>
      <c r="F1439" s="7" t="s">
        <v>6069</v>
      </c>
      <c r="G1439" s="8"/>
      <c r="H1439" s="8"/>
      <c r="I1439" s="14">
        <v>0</v>
      </c>
      <c r="J1439" s="14">
        <v>2</v>
      </c>
      <c r="K1439" s="6" t="str">
        <f>HYPERLINK("https://buffer.com","Buffer")</f>
        <v>Buffer</v>
      </c>
      <c r="L1439" s="15">
        <v>1204</v>
      </c>
      <c r="M1439" s="15">
        <v>154</v>
      </c>
      <c r="N1439" s="15">
        <v>80</v>
      </c>
      <c r="O1439" s="9"/>
      <c r="P1439" s="10">
        <v>39753.205254629633</v>
      </c>
      <c r="Q1439" s="14" t="s">
        <v>6169</v>
      </c>
      <c r="R1439" s="14" t="s">
        <v>6170</v>
      </c>
      <c r="S1439" s="7" t="s">
        <v>6171</v>
      </c>
      <c r="T1439" s="8"/>
      <c r="U1439" s="11" t="str">
        <f>HYPERLINK("https://pbs.twimg.com/profile_images/1053392898585112576/iiyjj-5O.jpg","View")</f>
        <v>View</v>
      </c>
      <c r="V1439" s="8"/>
      <c r="W1439" s="8"/>
      <c r="X1439" s="8"/>
      <c r="Y1439" s="8"/>
      <c r="Z1439" s="8"/>
    </row>
    <row r="1440" spans="1:26" ht="13.2">
      <c r="A1440" s="13">
        <v>44250.416990740741</v>
      </c>
      <c r="B1440" s="6" t="str">
        <f>HYPERLINK("https://twitter.com/MBITSchool","@MBITSchool")</f>
        <v>@MBITSchool</v>
      </c>
      <c r="C1440" s="14" t="s">
        <v>6172</v>
      </c>
      <c r="D1440" s="14" t="s">
        <v>6173</v>
      </c>
      <c r="E1440" s="6" t="str">
        <f>HYPERLINK("https://twitter.com/MBITSchool/status/1364138043058356224","1364138043058356224")</f>
        <v>1364138043058356224</v>
      </c>
      <c r="F1440" s="7" t="s">
        <v>6174</v>
      </c>
      <c r="G1440" s="7" t="s">
        <v>6175</v>
      </c>
      <c r="H1440" s="8"/>
      <c r="I1440" s="14">
        <v>0</v>
      </c>
      <c r="J1440" s="14">
        <v>0</v>
      </c>
      <c r="K1440" s="6" t="str">
        <f t="shared" ref="K1440:K1442" si="242">HYPERLINK("https://www.hootsuite.com","Hootsuite Inc.")</f>
        <v>Hootsuite Inc.</v>
      </c>
      <c r="L1440" s="15">
        <v>982</v>
      </c>
      <c r="M1440" s="15">
        <v>852</v>
      </c>
      <c r="N1440" s="15">
        <v>357</v>
      </c>
      <c r="O1440" s="9"/>
      <c r="P1440" s="10">
        <v>41775.487997685181</v>
      </c>
      <c r="Q1440" s="14" t="s">
        <v>6176</v>
      </c>
      <c r="R1440" s="14" t="s">
        <v>6177</v>
      </c>
      <c r="S1440" s="7" t="s">
        <v>6178</v>
      </c>
      <c r="T1440" s="8"/>
      <c r="U1440" s="11" t="str">
        <f>HYPERLINK("https://pbs.twimg.com/profile_images/564005610933329920/E6PRRa5_.png","View")</f>
        <v>View</v>
      </c>
      <c r="V1440" s="8"/>
      <c r="W1440" s="8"/>
      <c r="X1440" s="8"/>
      <c r="Y1440" s="8"/>
      <c r="Z1440" s="8"/>
    </row>
    <row r="1441" spans="1:26" ht="13.2">
      <c r="A1441" s="13">
        <v>44250.416898148149</v>
      </c>
      <c r="B1441" s="6" t="str">
        <f>HYPERLINK("https://twitter.com/pimloc","@pimloc")</f>
        <v>@pimloc</v>
      </c>
      <c r="C1441" s="14" t="s">
        <v>6179</v>
      </c>
      <c r="D1441" s="14" t="s">
        <v>6180</v>
      </c>
      <c r="E1441" s="6" t="str">
        <f>HYPERLINK("https://twitter.com/pimloc/status/1364138010590273538","1364138010590273538")</f>
        <v>1364138010590273538</v>
      </c>
      <c r="F1441" s="7" t="s">
        <v>6181</v>
      </c>
      <c r="G1441" s="8"/>
      <c r="H1441" s="8"/>
      <c r="I1441" s="14">
        <v>0</v>
      </c>
      <c r="J1441" s="14">
        <v>1</v>
      </c>
      <c r="K1441" s="6" t="str">
        <f t="shared" si="242"/>
        <v>Hootsuite Inc.</v>
      </c>
      <c r="L1441" s="15">
        <v>68</v>
      </c>
      <c r="M1441" s="15">
        <v>44</v>
      </c>
      <c r="N1441" s="15">
        <v>2</v>
      </c>
      <c r="O1441" s="9"/>
      <c r="P1441" s="10">
        <v>42411.541979166665</v>
      </c>
      <c r="Q1441" s="8"/>
      <c r="R1441" s="14" t="s">
        <v>6182</v>
      </c>
      <c r="S1441" s="7" t="s">
        <v>6183</v>
      </c>
      <c r="T1441" s="8"/>
      <c r="U1441" s="11" t="str">
        <f>HYPERLINK("https://pbs.twimg.com/profile_images/793133206765797376/ix74Zcf3.jpg","View")</f>
        <v>View</v>
      </c>
      <c r="V1441" s="8"/>
      <c r="W1441" s="8"/>
      <c r="X1441" s="8"/>
      <c r="Y1441" s="8"/>
      <c r="Z1441" s="8"/>
    </row>
    <row r="1442" spans="1:26" ht="13.2">
      <c r="A1442" s="13">
        <v>44250.416898148149</v>
      </c>
      <c r="B1442" s="6" t="str">
        <f>HYPERLINK("https://twitter.com/SecureRedact","@SecureRedact")</f>
        <v>@SecureRedact</v>
      </c>
      <c r="C1442" s="14" t="s">
        <v>6184</v>
      </c>
      <c r="D1442" s="14" t="s">
        <v>6180</v>
      </c>
      <c r="E1442" s="6" t="str">
        <f>HYPERLINK("https://twitter.com/SecureRedact/status/1364138010577625092","1364138010577625092")</f>
        <v>1364138010577625092</v>
      </c>
      <c r="F1442" s="7" t="s">
        <v>6181</v>
      </c>
      <c r="G1442" s="8"/>
      <c r="H1442" s="8"/>
      <c r="I1442" s="14">
        <v>0</v>
      </c>
      <c r="J1442" s="14">
        <v>1</v>
      </c>
      <c r="K1442" s="6" t="str">
        <f t="shared" si="242"/>
        <v>Hootsuite Inc.</v>
      </c>
      <c r="L1442" s="15">
        <v>1</v>
      </c>
      <c r="M1442" s="15">
        <v>2</v>
      </c>
      <c r="N1442" s="15">
        <v>0</v>
      </c>
      <c r="O1442" s="9"/>
      <c r="P1442" s="10">
        <v>43508.676979166667</v>
      </c>
      <c r="Q1442" s="14" t="s">
        <v>599</v>
      </c>
      <c r="R1442" s="14" t="s">
        <v>6185</v>
      </c>
      <c r="S1442" s="7" t="s">
        <v>6186</v>
      </c>
      <c r="T1442" s="8"/>
      <c r="U1442" s="11" t="str">
        <f>HYPERLINK("https://pbs.twimg.com/profile_images/1095340717990305795/wPt8n7zu.png","View")</f>
        <v>View</v>
      </c>
      <c r="V1442" s="8"/>
      <c r="W1442" s="8"/>
      <c r="X1442" s="8"/>
      <c r="Y1442" s="8"/>
      <c r="Z1442" s="8"/>
    </row>
    <row r="1443" spans="1:26" ht="13.2">
      <c r="A1443" s="13">
        <v>44250.41679398148</v>
      </c>
      <c r="B1443" s="6" t="str">
        <f>HYPERLINK("https://twitter.com/nigewillson","@nigewillson")</f>
        <v>@nigewillson</v>
      </c>
      <c r="C1443" s="14" t="s">
        <v>95</v>
      </c>
      <c r="D1443" s="14" t="s">
        <v>255</v>
      </c>
      <c r="E1443" s="6" t="str">
        <f>HYPERLINK("https://twitter.com/nigewillson/status/1364137970727583744","1364137970727583744")</f>
        <v>1364137970727583744</v>
      </c>
      <c r="F1443" s="7" t="s">
        <v>256</v>
      </c>
      <c r="G1443" s="7" t="s">
        <v>6187</v>
      </c>
      <c r="H1443" s="8"/>
      <c r="I1443" s="14">
        <v>8</v>
      </c>
      <c r="J1443" s="14">
        <v>6</v>
      </c>
      <c r="K1443" s="6" t="str">
        <f>HYPERLINK("https://buffer.com","Buffer")</f>
        <v>Buffer</v>
      </c>
      <c r="L1443" s="15">
        <v>57515</v>
      </c>
      <c r="M1443" s="15">
        <v>49523</v>
      </c>
      <c r="N1443" s="15">
        <v>1688</v>
      </c>
      <c r="O1443" s="9"/>
      <c r="P1443" s="10">
        <v>40530.666805555556</v>
      </c>
      <c r="Q1443" s="14" t="s">
        <v>99</v>
      </c>
      <c r="R1443" s="14" t="s">
        <v>100</v>
      </c>
      <c r="S1443" s="7" t="s">
        <v>101</v>
      </c>
      <c r="T1443" s="8"/>
      <c r="U1443" s="11" t="str">
        <f>HYPERLINK("https://pbs.twimg.com/profile_images/1085251590997622784/x9mWVQ1d.jpg","View")</f>
        <v>View</v>
      </c>
      <c r="V1443" s="8"/>
      <c r="W1443" s="8"/>
      <c r="X1443" s="8"/>
      <c r="Y1443" s="8"/>
      <c r="Z1443" s="8"/>
    </row>
    <row r="1444" spans="1:26" ht="13.2">
      <c r="A1444" s="13">
        <v>44250.41673611111</v>
      </c>
      <c r="B1444" s="6" t="str">
        <f>HYPERLINK("https://twitter.com/ipfconline1","@ipfconline1")</f>
        <v>@ipfconline1</v>
      </c>
      <c r="C1444" s="14" t="s">
        <v>65</v>
      </c>
      <c r="D1444" s="14" t="s">
        <v>6188</v>
      </c>
      <c r="E1444" s="6" t="str">
        <f>HYPERLINK("https://twitter.com/ipfconline1/status/1364137951354105858","1364137951354105858")</f>
        <v>1364137951354105858</v>
      </c>
      <c r="F1444" s="7" t="s">
        <v>6189</v>
      </c>
      <c r="G1444" s="7" t="s">
        <v>6190</v>
      </c>
      <c r="H1444" s="8"/>
      <c r="I1444" s="14">
        <v>10</v>
      </c>
      <c r="J1444" s="14">
        <v>9</v>
      </c>
      <c r="K1444" s="6" t="str">
        <f>HYPERLINK("https://twittimer.com","Twittimer")</f>
        <v>Twittimer</v>
      </c>
      <c r="L1444" s="15">
        <v>112675</v>
      </c>
      <c r="M1444" s="15">
        <v>107162</v>
      </c>
      <c r="N1444" s="15">
        <v>7806</v>
      </c>
      <c r="O1444" s="9"/>
      <c r="P1444" s="10">
        <v>42433.031967592593</v>
      </c>
      <c r="Q1444" s="14" t="s">
        <v>69</v>
      </c>
      <c r="R1444" s="14" t="s">
        <v>70</v>
      </c>
      <c r="S1444" s="7" t="s">
        <v>71</v>
      </c>
      <c r="T1444" s="8"/>
      <c r="U1444" s="11" t="str">
        <f>HYPERLINK("https://pbs.twimg.com/profile_images/729065804004769793/St2_Pum9.jpg","View")</f>
        <v>View</v>
      </c>
      <c r="V1444" s="8"/>
      <c r="W1444" s="8"/>
      <c r="X1444" s="8"/>
      <c r="Y1444" s="8"/>
      <c r="Z1444" s="8"/>
    </row>
    <row r="1445" spans="1:26" ht="13.2">
      <c r="A1445" s="13">
        <v>44250.416712962964</v>
      </c>
      <c r="B1445" s="6" t="str">
        <f>HYPERLINK("https://twitter.com/teraflow_ai","@teraflow_ai")</f>
        <v>@teraflow_ai</v>
      </c>
      <c r="C1445" s="7" t="s">
        <v>6191</v>
      </c>
      <c r="D1445" s="14" t="s">
        <v>6192</v>
      </c>
      <c r="E1445" s="6" t="str">
        <f>HYPERLINK("https://twitter.com/teraflow_ai/status/1364137940893511680","1364137940893511680")</f>
        <v>1364137940893511680</v>
      </c>
      <c r="F1445" s="8"/>
      <c r="G1445" s="7" t="s">
        <v>6193</v>
      </c>
      <c r="H1445" s="8"/>
      <c r="I1445" s="14">
        <v>1</v>
      </c>
      <c r="J1445" s="14">
        <v>4</v>
      </c>
      <c r="K1445" s="6" t="str">
        <f>HYPERLINK("https://app.sendible.com","Sendible")</f>
        <v>Sendible</v>
      </c>
      <c r="L1445" s="15">
        <v>417</v>
      </c>
      <c r="M1445" s="15">
        <v>1511</v>
      </c>
      <c r="N1445" s="15">
        <v>5</v>
      </c>
      <c r="O1445" s="9"/>
      <c r="P1445" s="10">
        <v>42908.361562499995</v>
      </c>
      <c r="Q1445" s="14" t="s">
        <v>6194</v>
      </c>
      <c r="R1445" s="14" t="s">
        <v>6195</v>
      </c>
      <c r="S1445" s="7" t="s">
        <v>6196</v>
      </c>
      <c r="T1445" s="8"/>
      <c r="U1445" s="11" t="str">
        <f>HYPERLINK("https://pbs.twimg.com/profile_images/1251205439469039630/qNTbeLsx.jpg","View")</f>
        <v>View</v>
      </c>
      <c r="V1445" s="8"/>
      <c r="W1445" s="8"/>
      <c r="X1445" s="8"/>
      <c r="Y1445" s="8"/>
      <c r="Z1445" s="8"/>
    </row>
    <row r="1446" spans="1:26" ht="13.2">
      <c r="A1446" s="13">
        <v>44250.416689814811</v>
      </c>
      <c r="B1446" s="6" t="str">
        <f>HYPERLINK("https://twitter.com/reddit_ml","@reddit_ml")</f>
        <v>@reddit_ml</v>
      </c>
      <c r="C1446" s="14" t="s">
        <v>2744</v>
      </c>
      <c r="D1446" s="14" t="s">
        <v>6197</v>
      </c>
      <c r="E1446" s="6" t="str">
        <f>HYPERLINK("https://twitter.com/reddit_ml/status/1364137933301809154","1364137933301809154")</f>
        <v>1364137933301809154</v>
      </c>
      <c r="F1446" s="7" t="s">
        <v>6198</v>
      </c>
      <c r="G1446" s="8"/>
      <c r="H1446" s="8"/>
      <c r="I1446" s="14">
        <v>0</v>
      </c>
      <c r="J1446" s="14">
        <v>0</v>
      </c>
      <c r="K1446" s="6" t="str">
        <f>HYPERLINK("https://www.reddit.com/r/MachineLearning/","reddit-ml-bot")</f>
        <v>reddit-ml-bot</v>
      </c>
      <c r="L1446" s="15">
        <v>411</v>
      </c>
      <c r="M1446" s="15">
        <v>93</v>
      </c>
      <c r="N1446" s="15">
        <v>35</v>
      </c>
      <c r="O1446" s="9"/>
      <c r="P1446" s="10">
        <v>42527.844641203701</v>
      </c>
      <c r="Q1446" s="8"/>
      <c r="R1446" s="8"/>
      <c r="S1446" s="7" t="s">
        <v>2746</v>
      </c>
      <c r="T1446" s="8"/>
      <c r="U1446" s="11" t="str">
        <f>HYPERLINK("https://pbs.twimg.com/profile_images/739887457206996992/9NUmKQvu.jpg","View")</f>
        <v>View</v>
      </c>
      <c r="V1446" s="8"/>
      <c r="W1446" s="8"/>
      <c r="X1446" s="8"/>
      <c r="Y1446" s="8"/>
      <c r="Z1446" s="8"/>
    </row>
    <row r="1447" spans="1:26" ht="13.2">
      <c r="A1447" s="13">
        <v>44250.416678240741</v>
      </c>
      <c r="B1447" s="6" t="str">
        <f>HYPERLINK("https://twitter.com/therealjpittman","@therealjpittman")</f>
        <v>@therealjpittman</v>
      </c>
      <c r="C1447" s="14" t="s">
        <v>3386</v>
      </c>
      <c r="D1447" s="14" t="s">
        <v>6199</v>
      </c>
      <c r="E1447" s="6" t="str">
        <f>HYPERLINK("https://twitter.com/therealjpittman/status/1364137930688770051","1364137930688770051")</f>
        <v>1364137930688770051</v>
      </c>
      <c r="F1447" s="7" t="s">
        <v>6200</v>
      </c>
      <c r="G1447" s="8"/>
      <c r="H1447" s="8"/>
      <c r="I1447" s="14">
        <v>2</v>
      </c>
      <c r="J1447" s="14">
        <v>2</v>
      </c>
      <c r="K1447" s="6" t="str">
        <f>HYPERLINK("https://github.com/jasonmpittman/retweet-bot-ng","retweet-bot-ng")</f>
        <v>retweet-bot-ng</v>
      </c>
      <c r="L1447" s="15">
        <v>776</v>
      </c>
      <c r="M1447" s="15">
        <v>749</v>
      </c>
      <c r="N1447" s="15">
        <v>106</v>
      </c>
      <c r="O1447" s="9"/>
      <c r="P1447" s="10">
        <v>41837.757106481484</v>
      </c>
      <c r="Q1447" s="14" t="s">
        <v>3389</v>
      </c>
      <c r="R1447" s="14" t="s">
        <v>3390</v>
      </c>
      <c r="S1447" s="7" t="s">
        <v>3391</v>
      </c>
      <c r="T1447" s="8"/>
      <c r="U1447" s="11" t="str">
        <f>HYPERLINK("https://pbs.twimg.com/profile_images/1175408228978626561/xVOYMpZ3.jpg","View")</f>
        <v>View</v>
      </c>
      <c r="V1447" s="8"/>
      <c r="W1447" s="8"/>
      <c r="X1447" s="8"/>
      <c r="Y1447" s="8"/>
      <c r="Z1447" s="8"/>
    </row>
    <row r="1448" spans="1:26" ht="13.2">
      <c r="A1448" s="13">
        <v>44250.416678240741</v>
      </c>
      <c r="B1448" s="6" t="str">
        <f>HYPERLINK("https://twitter.com/mekatronik_p","@mekatronik_p")</f>
        <v>@mekatronik_p</v>
      </c>
      <c r="C1448" s="14" t="s">
        <v>384</v>
      </c>
      <c r="D1448" s="14" t="s">
        <v>6201</v>
      </c>
      <c r="E1448" s="6" t="str">
        <f>HYPERLINK("https://twitter.com/mekatronik_p/status/1364137928889225222","1364137928889225222")</f>
        <v>1364137928889225222</v>
      </c>
      <c r="F1448" s="8"/>
      <c r="G1448" s="7" t="s">
        <v>6202</v>
      </c>
      <c r="H1448" s="8"/>
      <c r="I1448" s="14">
        <v>3</v>
      </c>
      <c r="J1448" s="14">
        <v>0</v>
      </c>
      <c r="K1448" s="6" t="str">
        <f t="shared" ref="K1448:K1449" si="243">HYPERLINK("https://mobile.twitter.com","Twitter Web App")</f>
        <v>Twitter Web App</v>
      </c>
      <c r="L1448" s="15">
        <v>67</v>
      </c>
      <c r="M1448" s="15">
        <v>1</v>
      </c>
      <c r="N1448" s="15">
        <v>0</v>
      </c>
      <c r="O1448" s="9"/>
      <c r="P1448" s="10">
        <v>44109.854756944449</v>
      </c>
      <c r="Q1448" s="8"/>
      <c r="R1448" s="14" t="s">
        <v>387</v>
      </c>
      <c r="S1448" s="8"/>
      <c r="T1448" s="8"/>
      <c r="U1448" s="11" t="str">
        <f>HYPERLINK("https://pbs.twimg.com/profile_images/1313188373624958976/SPe0w7x4.jpg","View")</f>
        <v>View</v>
      </c>
      <c r="V1448" s="8"/>
      <c r="W1448" s="8"/>
      <c r="X1448" s="8"/>
      <c r="Y1448" s="8"/>
      <c r="Z1448" s="8"/>
    </row>
    <row r="1449" spans="1:26" ht="13.2">
      <c r="A1449" s="13">
        <v>44250.416446759264</v>
      </c>
      <c r="B1449" s="6" t="str">
        <f>HYPERLINK("https://twitter.com/Innovat78455398","@Innovat78455398")</f>
        <v>@Innovat78455398</v>
      </c>
      <c r="C1449" s="14" t="s">
        <v>4318</v>
      </c>
      <c r="D1449" s="14" t="s">
        <v>6203</v>
      </c>
      <c r="E1449" s="6" t="str">
        <f>HYPERLINK("https://twitter.com/Innovat78455398/status/1364137847372976128","1364137847372976128")</f>
        <v>1364137847372976128</v>
      </c>
      <c r="F1449" s="7" t="s">
        <v>6204</v>
      </c>
      <c r="G1449" s="7" t="s">
        <v>6205</v>
      </c>
      <c r="H1449" s="8"/>
      <c r="I1449" s="14">
        <v>8</v>
      </c>
      <c r="J1449" s="14">
        <v>3</v>
      </c>
      <c r="K1449" s="6" t="str">
        <f t="shared" si="243"/>
        <v>Twitter Web App</v>
      </c>
      <c r="L1449" s="15">
        <v>101</v>
      </c>
      <c r="M1449" s="15">
        <v>142</v>
      </c>
      <c r="N1449" s="15">
        <v>1</v>
      </c>
      <c r="O1449" s="9"/>
      <c r="P1449" s="10">
        <v>44075.047534722224</v>
      </c>
      <c r="Q1449" s="14" t="s">
        <v>623</v>
      </c>
      <c r="R1449" s="14" t="s">
        <v>4322</v>
      </c>
      <c r="S1449" s="8"/>
      <c r="T1449" s="8"/>
      <c r="U1449" s="11" t="str">
        <f>HYPERLINK("https://pbs.twimg.com/profile_images/1300571380098850818/YjKI8L9l.jpg","View")</f>
        <v>View</v>
      </c>
      <c r="V1449" s="8"/>
      <c r="W1449" s="8"/>
      <c r="X1449" s="8"/>
      <c r="Y1449" s="8"/>
      <c r="Z1449" s="8"/>
    </row>
    <row r="1450" spans="1:26" ht="13.2">
      <c r="A1450" s="13">
        <v>44250.415671296301</v>
      </c>
      <c r="B1450" s="6" t="str">
        <f>HYPERLINK("https://twitter.com/AWS_UKI","@AWS_UKI")</f>
        <v>@AWS_UKI</v>
      </c>
      <c r="C1450" s="14" t="s">
        <v>6206</v>
      </c>
      <c r="D1450" s="14" t="s">
        <v>2087</v>
      </c>
      <c r="E1450" s="6" t="str">
        <f>HYPERLINK("https://twitter.com/AWS_UKI/status/1364137563129335815","1364137563129335815")</f>
        <v>1364137563129335815</v>
      </c>
      <c r="F1450" s="7" t="s">
        <v>6207</v>
      </c>
      <c r="G1450" s="7" t="s">
        <v>6208</v>
      </c>
      <c r="H1450" s="8"/>
      <c r="I1450" s="14">
        <v>2</v>
      </c>
      <c r="J1450" s="14">
        <v>2</v>
      </c>
      <c r="K1450" s="6" t="str">
        <f>HYPERLINK("https://www.sprinklr.com","Sprinklr")</f>
        <v>Sprinklr</v>
      </c>
      <c r="L1450" s="15">
        <v>33562</v>
      </c>
      <c r="M1450" s="15">
        <v>41</v>
      </c>
      <c r="N1450" s="15">
        <v>270</v>
      </c>
      <c r="O1450" s="9"/>
      <c r="P1450" s="10">
        <v>41060.75886574074</v>
      </c>
      <c r="Q1450" s="14" t="s">
        <v>6209</v>
      </c>
      <c r="R1450" s="14" t="s">
        <v>6210</v>
      </c>
      <c r="S1450" s="7" t="s">
        <v>5881</v>
      </c>
      <c r="T1450" s="8"/>
      <c r="U1450" s="11" t="str">
        <f>HYPERLINK("https://pbs.twimg.com/profile_images/907881675304181760/_ftIQb3v.jpg","View")</f>
        <v>View</v>
      </c>
      <c r="V1450" s="8"/>
      <c r="W1450" s="8"/>
      <c r="X1450" s="8"/>
      <c r="Y1450" s="8"/>
      <c r="Z1450" s="8"/>
    </row>
    <row r="1451" spans="1:26" ht="13.2">
      <c r="A1451" s="13">
        <v>44250.415532407409</v>
      </c>
      <c r="B1451" s="6" t="str">
        <f t="shared" ref="B1451:B1452" si="244">HYPERLINK("https://twitter.com/Innovat78455398","@Innovat78455398")</f>
        <v>@Innovat78455398</v>
      </c>
      <c r="C1451" s="14" t="s">
        <v>4318</v>
      </c>
      <c r="D1451" s="14" t="s">
        <v>6211</v>
      </c>
      <c r="E1451" s="6" t="str">
        <f>HYPERLINK("https://twitter.com/Innovat78455398/status/1364137515221807108","1364137515221807108")</f>
        <v>1364137515221807108</v>
      </c>
      <c r="F1451" s="7" t="s">
        <v>6212</v>
      </c>
      <c r="G1451" s="7" t="s">
        <v>6213</v>
      </c>
      <c r="H1451" s="8"/>
      <c r="I1451" s="14">
        <v>6</v>
      </c>
      <c r="J1451" s="14">
        <v>2</v>
      </c>
      <c r="K1451" s="6" t="str">
        <f t="shared" ref="K1451:K1452" si="245">HYPERLINK("https://mobile.twitter.com","Twitter Web App")</f>
        <v>Twitter Web App</v>
      </c>
      <c r="L1451" s="15">
        <v>101</v>
      </c>
      <c r="M1451" s="15">
        <v>142</v>
      </c>
      <c r="N1451" s="15">
        <v>1</v>
      </c>
      <c r="O1451" s="9"/>
      <c r="P1451" s="10">
        <v>44075.047534722224</v>
      </c>
      <c r="Q1451" s="14" t="s">
        <v>623</v>
      </c>
      <c r="R1451" s="14" t="s">
        <v>4322</v>
      </c>
      <c r="S1451" s="8"/>
      <c r="T1451" s="8"/>
      <c r="U1451" s="11" t="str">
        <f t="shared" ref="U1451:U1452" si="246">HYPERLINK("https://pbs.twimg.com/profile_images/1300571380098850818/YjKI8L9l.jpg","View")</f>
        <v>View</v>
      </c>
      <c r="V1451" s="8"/>
      <c r="W1451" s="8"/>
      <c r="X1451" s="8"/>
      <c r="Y1451" s="8"/>
      <c r="Z1451" s="8"/>
    </row>
    <row r="1452" spans="1:26" ht="13.2">
      <c r="A1452" s="13">
        <v>44250.414895833332</v>
      </c>
      <c r="B1452" s="6" t="str">
        <f t="shared" si="244"/>
        <v>@Innovat78455398</v>
      </c>
      <c r="C1452" s="14" t="s">
        <v>4318</v>
      </c>
      <c r="D1452" s="14" t="s">
        <v>6214</v>
      </c>
      <c r="E1452" s="6" t="str">
        <f>HYPERLINK("https://twitter.com/Innovat78455398/status/1364137284262457348","1364137284262457348")</f>
        <v>1364137284262457348</v>
      </c>
      <c r="F1452" s="7" t="s">
        <v>6215</v>
      </c>
      <c r="G1452" s="7" t="s">
        <v>6216</v>
      </c>
      <c r="H1452" s="8"/>
      <c r="I1452" s="14">
        <v>4</v>
      </c>
      <c r="J1452" s="14">
        <v>1</v>
      </c>
      <c r="K1452" s="6" t="str">
        <f t="shared" si="245"/>
        <v>Twitter Web App</v>
      </c>
      <c r="L1452" s="15">
        <v>101</v>
      </c>
      <c r="M1452" s="15">
        <v>142</v>
      </c>
      <c r="N1452" s="15">
        <v>1</v>
      </c>
      <c r="O1452" s="9"/>
      <c r="P1452" s="10">
        <v>44075.047534722224</v>
      </c>
      <c r="Q1452" s="14" t="s">
        <v>623</v>
      </c>
      <c r="R1452" s="14" t="s">
        <v>4322</v>
      </c>
      <c r="S1452" s="8"/>
      <c r="T1452" s="8"/>
      <c r="U1452" s="11" t="str">
        <f t="shared" si="246"/>
        <v>View</v>
      </c>
      <c r="V1452" s="8"/>
      <c r="W1452" s="8"/>
      <c r="X1452" s="8"/>
      <c r="Y1452" s="8"/>
      <c r="Z1452" s="8"/>
    </row>
    <row r="1453" spans="1:26" ht="13.2">
      <c r="A1453" s="13">
        <v>44250.414606481485</v>
      </c>
      <c r="B1453" s="6" t="str">
        <f>HYPERLINK("https://twitter.com/techjunkiejh","@techjunkiejh")</f>
        <v>@techjunkiejh</v>
      </c>
      <c r="C1453" s="14" t="s">
        <v>1945</v>
      </c>
      <c r="D1453" s="14" t="s">
        <v>1946</v>
      </c>
      <c r="E1453" s="6" t="str">
        <f>HYPERLINK("https://twitter.com/techjunkiejh/status/1364137176653561856","1364137176653561856")</f>
        <v>1364137176653561856</v>
      </c>
      <c r="F1453" s="7" t="s">
        <v>1947</v>
      </c>
      <c r="G1453" s="7" t="s">
        <v>6217</v>
      </c>
      <c r="H1453" s="8"/>
      <c r="I1453" s="14">
        <v>3</v>
      </c>
      <c r="J1453" s="14">
        <v>3</v>
      </c>
      <c r="K1453" s="6" t="str">
        <f>HYPERLINK("https://buffer.com","Buffer")</f>
        <v>Buffer</v>
      </c>
      <c r="L1453" s="15">
        <v>28541</v>
      </c>
      <c r="M1453" s="15">
        <v>22044</v>
      </c>
      <c r="N1453" s="15">
        <v>6147</v>
      </c>
      <c r="O1453" s="9"/>
      <c r="P1453" s="10">
        <v>42062.082199074073</v>
      </c>
      <c r="Q1453" s="8"/>
      <c r="R1453" s="14" t="s">
        <v>1949</v>
      </c>
      <c r="S1453" s="7" t="s">
        <v>1950</v>
      </c>
      <c r="T1453" s="8"/>
      <c r="U1453" s="11" t="str">
        <f>HYPERLINK("https://pbs.twimg.com/profile_images/587160065536299009/9MBFPj6a.png","View")</f>
        <v>View</v>
      </c>
      <c r="V1453" s="8"/>
      <c r="W1453" s="8"/>
      <c r="X1453" s="8"/>
      <c r="Y1453" s="8"/>
      <c r="Z1453" s="8"/>
    </row>
    <row r="1454" spans="1:26" ht="13.2">
      <c r="A1454" s="13">
        <v>44250.414270833338</v>
      </c>
      <c r="B1454" s="6" t="str">
        <f>HYPERLINK("https://twitter.com/BristowColin","@BristowColin")</f>
        <v>@BristowColin</v>
      </c>
      <c r="C1454" s="14" t="s">
        <v>596</v>
      </c>
      <c r="D1454" s="14" t="s">
        <v>6218</v>
      </c>
      <c r="E1454" s="6" t="str">
        <f>HYPERLINK("https://twitter.com/BristowColin/status/1364137056784568320","1364137056784568320")</f>
        <v>1364137056784568320</v>
      </c>
      <c r="F1454" s="14" t="s">
        <v>6219</v>
      </c>
      <c r="G1454" s="7" t="s">
        <v>6220</v>
      </c>
      <c r="H1454" s="8"/>
      <c r="I1454" s="14">
        <v>8</v>
      </c>
      <c r="J1454" s="14">
        <v>1</v>
      </c>
      <c r="K1454" s="6" t="str">
        <f t="shared" ref="K1454:K1458" si="247">HYPERLINK("https://mobile.twitter.com","Twitter Web App")</f>
        <v>Twitter Web App</v>
      </c>
      <c r="L1454" s="15">
        <v>12149</v>
      </c>
      <c r="M1454" s="15">
        <v>9707</v>
      </c>
      <c r="N1454" s="15">
        <v>155</v>
      </c>
      <c r="O1454" s="9"/>
      <c r="P1454" s="10">
        <v>40900.478090277778</v>
      </c>
      <c r="Q1454" s="14" t="s">
        <v>599</v>
      </c>
      <c r="R1454" s="14" t="s">
        <v>600</v>
      </c>
      <c r="S1454" s="7" t="s">
        <v>601</v>
      </c>
      <c r="T1454" s="8"/>
      <c r="U1454" s="11" t="str">
        <f>HYPERLINK("https://pbs.twimg.com/profile_images/692994884270198784/jQX64C1s.jpg","View")</f>
        <v>View</v>
      </c>
      <c r="V1454" s="8"/>
      <c r="W1454" s="8"/>
      <c r="X1454" s="8"/>
      <c r="Y1454" s="8"/>
      <c r="Z1454" s="8"/>
    </row>
    <row r="1455" spans="1:26" ht="13.2">
      <c r="A1455" s="13">
        <v>44250.413935185185</v>
      </c>
      <c r="B1455" s="6" t="str">
        <f>HYPERLINK("https://twitter.com/Innovat78455398","@Innovat78455398")</f>
        <v>@Innovat78455398</v>
      </c>
      <c r="C1455" s="14" t="s">
        <v>4318</v>
      </c>
      <c r="D1455" s="14" t="s">
        <v>6221</v>
      </c>
      <c r="E1455" s="6" t="str">
        <f>HYPERLINK("https://twitter.com/Innovat78455398/status/1364136933698379783","1364136933698379783")</f>
        <v>1364136933698379783</v>
      </c>
      <c r="F1455" s="7" t="s">
        <v>6222</v>
      </c>
      <c r="G1455" s="7" t="s">
        <v>6223</v>
      </c>
      <c r="H1455" s="8"/>
      <c r="I1455" s="14">
        <v>5</v>
      </c>
      <c r="J1455" s="14">
        <v>1</v>
      </c>
      <c r="K1455" s="6" t="str">
        <f t="shared" si="247"/>
        <v>Twitter Web App</v>
      </c>
      <c r="L1455" s="15">
        <v>101</v>
      </c>
      <c r="M1455" s="15">
        <v>142</v>
      </c>
      <c r="N1455" s="15">
        <v>1</v>
      </c>
      <c r="O1455" s="9"/>
      <c r="P1455" s="10">
        <v>44075.047534722224</v>
      </c>
      <c r="Q1455" s="14" t="s">
        <v>623</v>
      </c>
      <c r="R1455" s="14" t="s">
        <v>4322</v>
      </c>
      <c r="S1455" s="8"/>
      <c r="T1455" s="8"/>
      <c r="U1455" s="11" t="str">
        <f>HYPERLINK("https://pbs.twimg.com/profile_images/1300571380098850818/YjKI8L9l.jpg","View")</f>
        <v>View</v>
      </c>
      <c r="V1455" s="8"/>
      <c r="W1455" s="8"/>
      <c r="X1455" s="8"/>
      <c r="Y1455" s="8"/>
      <c r="Z1455" s="8"/>
    </row>
    <row r="1456" spans="1:26" ht="13.2">
      <c r="A1456" s="13">
        <v>44250.413912037038</v>
      </c>
      <c r="B1456" s="6" t="str">
        <f>HYPERLINK("https://twitter.com/MiChemQSAR","@MiChemQSAR")</f>
        <v>@MiChemQSAR</v>
      </c>
      <c r="C1456" s="14" t="s">
        <v>6224</v>
      </c>
      <c r="D1456" s="14" t="s">
        <v>6225</v>
      </c>
      <c r="E1456" s="6" t="str">
        <f>HYPERLINK("https://twitter.com/MiChemQSAR/status/1364136927755173889","1364136927755173889")</f>
        <v>1364136927755173889</v>
      </c>
      <c r="F1456" s="7" t="s">
        <v>6226</v>
      </c>
      <c r="G1456" s="8"/>
      <c r="H1456" s="8"/>
      <c r="I1456" s="14">
        <v>0</v>
      </c>
      <c r="J1456" s="14">
        <v>0</v>
      </c>
      <c r="K1456" s="6" t="str">
        <f t="shared" si="247"/>
        <v>Twitter Web App</v>
      </c>
      <c r="L1456" s="15">
        <v>235</v>
      </c>
      <c r="M1456" s="15">
        <v>352</v>
      </c>
      <c r="N1456" s="15">
        <v>2</v>
      </c>
      <c r="O1456" s="9"/>
      <c r="P1456" s="10">
        <v>43410.413564814815</v>
      </c>
      <c r="Q1456" s="14" t="s">
        <v>6227</v>
      </c>
      <c r="R1456" s="14" t="s">
        <v>6228</v>
      </c>
      <c r="S1456" s="7" t="s">
        <v>6229</v>
      </c>
      <c r="T1456" s="8"/>
      <c r="U1456" s="11" t="str">
        <f>HYPERLINK("https://pbs.twimg.com/profile_images/1059741001303109632/Rw2NOqFM.jpg","View")</f>
        <v>View</v>
      </c>
      <c r="V1456" s="8"/>
      <c r="W1456" s="8"/>
      <c r="X1456" s="8"/>
      <c r="Y1456" s="8"/>
      <c r="Z1456" s="8"/>
    </row>
    <row r="1457" spans="1:26" ht="13.2">
      <c r="A1457" s="13">
        <v>44250.413321759261</v>
      </c>
      <c r="B1457" s="6" t="str">
        <f>HYPERLINK("https://twitter.com/Innovat78455398","@Innovat78455398")</f>
        <v>@Innovat78455398</v>
      </c>
      <c r="C1457" s="14" t="s">
        <v>4318</v>
      </c>
      <c r="D1457" s="14" t="s">
        <v>6230</v>
      </c>
      <c r="E1457" s="6" t="str">
        <f>HYPERLINK("https://twitter.com/Innovat78455398/status/1364136712868298752","1364136712868298752")</f>
        <v>1364136712868298752</v>
      </c>
      <c r="F1457" s="7" t="s">
        <v>6231</v>
      </c>
      <c r="G1457" s="7" t="s">
        <v>6232</v>
      </c>
      <c r="H1457" s="8"/>
      <c r="I1457" s="14">
        <v>7</v>
      </c>
      <c r="J1457" s="14">
        <v>4</v>
      </c>
      <c r="K1457" s="6" t="str">
        <f t="shared" si="247"/>
        <v>Twitter Web App</v>
      </c>
      <c r="L1457" s="15">
        <v>101</v>
      </c>
      <c r="M1457" s="15">
        <v>142</v>
      </c>
      <c r="N1457" s="15">
        <v>1</v>
      </c>
      <c r="O1457" s="9"/>
      <c r="P1457" s="10">
        <v>44075.047534722224</v>
      </c>
      <c r="Q1457" s="14" t="s">
        <v>623</v>
      </c>
      <c r="R1457" s="14" t="s">
        <v>4322</v>
      </c>
      <c r="S1457" s="8"/>
      <c r="T1457" s="8"/>
      <c r="U1457" s="11" t="str">
        <f>HYPERLINK("https://pbs.twimg.com/profile_images/1300571380098850818/YjKI8L9l.jpg","View")</f>
        <v>View</v>
      </c>
      <c r="V1457" s="8"/>
      <c r="W1457" s="8"/>
      <c r="X1457" s="8"/>
      <c r="Y1457" s="8"/>
      <c r="Z1457" s="8"/>
    </row>
    <row r="1458" spans="1:26" ht="13.2">
      <c r="A1458" s="13">
        <v>44250.413275462968</v>
      </c>
      <c r="B1458" s="6" t="str">
        <f>HYPERLINK("https://twitter.com/Lago72","@Lago72")</f>
        <v>@Lago72</v>
      </c>
      <c r="C1458" s="14" t="s">
        <v>6233</v>
      </c>
      <c r="D1458" s="14" t="s">
        <v>6234</v>
      </c>
      <c r="E1458" s="6" t="str">
        <f>HYPERLINK("https://twitter.com/Lago72/status/1364136695868903427","1364136695868903427")</f>
        <v>1364136695868903427</v>
      </c>
      <c r="F1458" s="7" t="s">
        <v>6235</v>
      </c>
      <c r="G1458" s="7" t="s">
        <v>6236</v>
      </c>
      <c r="H1458" s="8"/>
      <c r="I1458" s="14">
        <v>1</v>
      </c>
      <c r="J1458" s="14">
        <v>0</v>
      </c>
      <c r="K1458" s="6" t="str">
        <f t="shared" si="247"/>
        <v>Twitter Web App</v>
      </c>
      <c r="L1458" s="15">
        <v>10881</v>
      </c>
      <c r="M1458" s="15">
        <v>9643</v>
      </c>
      <c r="N1458" s="15">
        <v>1888</v>
      </c>
      <c r="O1458" s="9"/>
      <c r="P1458" s="10">
        <v>39479.949733796297</v>
      </c>
      <c r="Q1458" s="14" t="s">
        <v>6237</v>
      </c>
      <c r="R1458" s="14" t="s">
        <v>6238</v>
      </c>
      <c r="S1458" s="7" t="s">
        <v>6239</v>
      </c>
      <c r="T1458" s="8"/>
      <c r="U1458" s="11" t="str">
        <f>HYPERLINK("https://pbs.twimg.com/profile_images/778185818674458632/Sj08IVXq.jpg","View")</f>
        <v>View</v>
      </c>
      <c r="V1458" s="8"/>
      <c r="W1458" s="8"/>
      <c r="X1458" s="8"/>
      <c r="Y1458" s="8"/>
      <c r="Z1458" s="8"/>
    </row>
    <row r="1459" spans="1:26" ht="13.2">
      <c r="A1459" s="13">
        <v>44250.413229166668</v>
      </c>
      <c r="B1459" s="6" t="str">
        <f>HYPERLINK("https://twitter.com/nigewillson","@nigewillson")</f>
        <v>@nigewillson</v>
      </c>
      <c r="C1459" s="14" t="s">
        <v>95</v>
      </c>
      <c r="D1459" s="14" t="s">
        <v>359</v>
      </c>
      <c r="E1459" s="6" t="str">
        <f>HYPERLINK("https://twitter.com/nigewillson/status/1364136679095881729","1364136679095881729")</f>
        <v>1364136679095881729</v>
      </c>
      <c r="F1459" s="7" t="s">
        <v>360</v>
      </c>
      <c r="G1459" s="7" t="s">
        <v>6240</v>
      </c>
      <c r="H1459" s="8"/>
      <c r="I1459" s="14">
        <v>7</v>
      </c>
      <c r="J1459" s="14">
        <v>3</v>
      </c>
      <c r="K1459" s="6" t="str">
        <f>HYPERLINK("https://buffer.com","Buffer")</f>
        <v>Buffer</v>
      </c>
      <c r="L1459" s="15">
        <v>57515</v>
      </c>
      <c r="M1459" s="15">
        <v>49523</v>
      </c>
      <c r="N1459" s="15">
        <v>1688</v>
      </c>
      <c r="O1459" s="9"/>
      <c r="P1459" s="10">
        <v>40530.666805555556</v>
      </c>
      <c r="Q1459" s="14" t="s">
        <v>99</v>
      </c>
      <c r="R1459" s="14" t="s">
        <v>100</v>
      </c>
      <c r="S1459" s="7" t="s">
        <v>101</v>
      </c>
      <c r="T1459" s="8"/>
      <c r="U1459" s="11" t="str">
        <f>HYPERLINK("https://pbs.twimg.com/profile_images/1085251590997622784/x9mWVQ1d.jpg","View")</f>
        <v>View</v>
      </c>
      <c r="V1459" s="8"/>
      <c r="W1459" s="8"/>
      <c r="X1459" s="8"/>
      <c r="Y1459" s="8"/>
      <c r="Z1459" s="8"/>
    </row>
    <row r="1460" spans="1:26" ht="13.2">
      <c r="A1460" s="13">
        <v>44250.41270833333</v>
      </c>
      <c r="B1460" s="6" t="str">
        <f t="shared" ref="B1460:B1461" si="248">HYPERLINK("https://twitter.com/Innovat78455398","@Innovat78455398")</f>
        <v>@Innovat78455398</v>
      </c>
      <c r="C1460" s="14" t="s">
        <v>4318</v>
      </c>
      <c r="D1460" s="14" t="s">
        <v>6241</v>
      </c>
      <c r="E1460" s="6" t="str">
        <f>HYPERLINK("https://twitter.com/Innovat78455398/status/1364136491622961152","1364136491622961152")</f>
        <v>1364136491622961152</v>
      </c>
      <c r="F1460" s="7" t="s">
        <v>6242</v>
      </c>
      <c r="G1460" s="7" t="s">
        <v>6243</v>
      </c>
      <c r="H1460" s="8"/>
      <c r="I1460" s="14">
        <v>3</v>
      </c>
      <c r="J1460" s="14">
        <v>1</v>
      </c>
      <c r="K1460" s="6" t="str">
        <f t="shared" ref="K1460:K1461" si="249">HYPERLINK("https://mobile.twitter.com","Twitter Web App")</f>
        <v>Twitter Web App</v>
      </c>
      <c r="L1460" s="15">
        <v>101</v>
      </c>
      <c r="M1460" s="15">
        <v>142</v>
      </c>
      <c r="N1460" s="15">
        <v>1</v>
      </c>
      <c r="O1460" s="9"/>
      <c r="P1460" s="10">
        <v>44075.047534722224</v>
      </c>
      <c r="Q1460" s="14" t="s">
        <v>623</v>
      </c>
      <c r="R1460" s="14" t="s">
        <v>4322</v>
      </c>
      <c r="S1460" s="8"/>
      <c r="T1460" s="8"/>
      <c r="U1460" s="11" t="str">
        <f t="shared" ref="U1460:U1461" si="250">HYPERLINK("https://pbs.twimg.com/profile_images/1300571380098850818/YjKI8L9l.jpg","View")</f>
        <v>View</v>
      </c>
      <c r="V1460" s="8"/>
      <c r="W1460" s="8"/>
      <c r="X1460" s="8"/>
      <c r="Y1460" s="8"/>
      <c r="Z1460" s="8"/>
    </row>
    <row r="1461" spans="1:26" ht="13.2">
      <c r="A1461" s="13">
        <v>44250.412349537037</v>
      </c>
      <c r="B1461" s="6" t="str">
        <f t="shared" si="248"/>
        <v>@Innovat78455398</v>
      </c>
      <c r="C1461" s="14" t="s">
        <v>4318</v>
      </c>
      <c r="D1461" s="14" t="s">
        <v>6244</v>
      </c>
      <c r="E1461" s="6" t="str">
        <f>HYPERLINK("https://twitter.com/Innovat78455398/status/1364136360395767809","1364136360395767809")</f>
        <v>1364136360395767809</v>
      </c>
      <c r="F1461" s="7" t="s">
        <v>6245</v>
      </c>
      <c r="G1461" s="7" t="s">
        <v>6246</v>
      </c>
      <c r="H1461" s="8"/>
      <c r="I1461" s="14">
        <v>2</v>
      </c>
      <c r="J1461" s="14">
        <v>1</v>
      </c>
      <c r="K1461" s="6" t="str">
        <f t="shared" si="249"/>
        <v>Twitter Web App</v>
      </c>
      <c r="L1461" s="15">
        <v>101</v>
      </c>
      <c r="M1461" s="15">
        <v>142</v>
      </c>
      <c r="N1461" s="15">
        <v>1</v>
      </c>
      <c r="O1461" s="9"/>
      <c r="P1461" s="10">
        <v>44075.047534722224</v>
      </c>
      <c r="Q1461" s="14" t="s">
        <v>623</v>
      </c>
      <c r="R1461" s="14" t="s">
        <v>4322</v>
      </c>
      <c r="S1461" s="8"/>
      <c r="T1461" s="8"/>
      <c r="U1461" s="11" t="str">
        <f t="shared" si="250"/>
        <v>View</v>
      </c>
      <c r="V1461" s="8"/>
      <c r="W1461" s="8"/>
      <c r="X1461" s="8"/>
      <c r="Y1461" s="8"/>
      <c r="Z1461" s="8"/>
    </row>
    <row r="1462" spans="1:26" ht="13.2">
      <c r="A1462" s="13">
        <v>44250.412106481483</v>
      </c>
      <c r="B1462" s="6" t="str">
        <f t="shared" ref="B1462:B1469" si="251">HYPERLINK("https://twitter.com/IainLJBrown","@IainLJBrown")</f>
        <v>@IainLJBrown</v>
      </c>
      <c r="C1462" s="14" t="s">
        <v>2776</v>
      </c>
      <c r="D1462" s="14" t="s">
        <v>6247</v>
      </c>
      <c r="E1462" s="6" t="str">
        <f>HYPERLINK("https://twitter.com/IainLJBrown/status/1364136274148417536","1364136274148417536")</f>
        <v>1364136274148417536</v>
      </c>
      <c r="F1462" s="7" t="s">
        <v>6248</v>
      </c>
      <c r="G1462" s="8"/>
      <c r="H1462" s="8"/>
      <c r="I1462" s="14">
        <v>17</v>
      </c>
      <c r="J1462" s="14">
        <v>15</v>
      </c>
      <c r="K1462" s="6" t="str">
        <f t="shared" ref="K1462:K1469" si="252">HYPERLINK("https://ifttt.com","IFTTT")</f>
        <v>IFTTT</v>
      </c>
      <c r="L1462" s="15">
        <v>115543</v>
      </c>
      <c r="M1462" s="15">
        <v>98727</v>
      </c>
      <c r="N1462" s="15">
        <v>423</v>
      </c>
      <c r="O1462" s="9"/>
      <c r="P1462" s="10">
        <v>40926.673900462964</v>
      </c>
      <c r="Q1462" s="14" t="s">
        <v>753</v>
      </c>
      <c r="R1462" s="14" t="s">
        <v>2779</v>
      </c>
      <c r="S1462" s="7" t="s">
        <v>2780</v>
      </c>
      <c r="T1462" s="8"/>
      <c r="U1462" s="11" t="str">
        <f t="shared" ref="U1462:U1469" si="253">HYPERLINK("https://pbs.twimg.com/profile_images/1352606177352364032/jQ7AI0vG.jpg","View")</f>
        <v>View</v>
      </c>
      <c r="V1462" s="8"/>
      <c r="W1462" s="8"/>
      <c r="X1462" s="8"/>
      <c r="Y1462" s="8"/>
      <c r="Z1462" s="8"/>
    </row>
    <row r="1463" spans="1:26" ht="13.2">
      <c r="A1463" s="13">
        <v>44250.412106481483</v>
      </c>
      <c r="B1463" s="6" t="str">
        <f t="shared" si="251"/>
        <v>@IainLJBrown</v>
      </c>
      <c r="C1463" s="14" t="s">
        <v>2776</v>
      </c>
      <c r="D1463" s="14" t="s">
        <v>6249</v>
      </c>
      <c r="E1463" s="6" t="str">
        <f>HYPERLINK("https://twitter.com/IainLJBrown/status/1364136271661170688","1364136271661170688")</f>
        <v>1364136271661170688</v>
      </c>
      <c r="F1463" s="14" t="s">
        <v>6250</v>
      </c>
      <c r="G1463" s="8"/>
      <c r="H1463" s="8"/>
      <c r="I1463" s="14">
        <v>14</v>
      </c>
      <c r="J1463" s="14">
        <v>12</v>
      </c>
      <c r="K1463" s="6" t="str">
        <f t="shared" si="252"/>
        <v>IFTTT</v>
      </c>
      <c r="L1463" s="15">
        <v>115543</v>
      </c>
      <c r="M1463" s="15">
        <v>98727</v>
      </c>
      <c r="N1463" s="15">
        <v>423</v>
      </c>
      <c r="O1463" s="9"/>
      <c r="P1463" s="10">
        <v>40926.673900462964</v>
      </c>
      <c r="Q1463" s="14" t="s">
        <v>753</v>
      </c>
      <c r="R1463" s="14" t="s">
        <v>2779</v>
      </c>
      <c r="S1463" s="7" t="s">
        <v>2780</v>
      </c>
      <c r="T1463" s="8"/>
      <c r="U1463" s="11" t="str">
        <f t="shared" si="253"/>
        <v>View</v>
      </c>
      <c r="V1463" s="8"/>
      <c r="W1463" s="8"/>
      <c r="X1463" s="8"/>
      <c r="Y1463" s="8"/>
      <c r="Z1463" s="8"/>
    </row>
    <row r="1464" spans="1:26" ht="13.2">
      <c r="A1464" s="13">
        <v>44250.412094907406</v>
      </c>
      <c r="B1464" s="6" t="str">
        <f t="shared" si="251"/>
        <v>@IainLJBrown</v>
      </c>
      <c r="C1464" s="14" t="s">
        <v>2776</v>
      </c>
      <c r="D1464" s="14" t="s">
        <v>6251</v>
      </c>
      <c r="E1464" s="6" t="str">
        <f>HYPERLINK("https://twitter.com/IainLJBrown/status/1364136269886939137","1364136269886939137")</f>
        <v>1364136269886939137</v>
      </c>
      <c r="F1464" s="7" t="s">
        <v>6252</v>
      </c>
      <c r="G1464" s="8"/>
      <c r="H1464" s="8"/>
      <c r="I1464" s="14">
        <v>15</v>
      </c>
      <c r="J1464" s="14">
        <v>9</v>
      </c>
      <c r="K1464" s="6" t="str">
        <f t="shared" si="252"/>
        <v>IFTTT</v>
      </c>
      <c r="L1464" s="15">
        <v>115543</v>
      </c>
      <c r="M1464" s="15">
        <v>98727</v>
      </c>
      <c r="N1464" s="15">
        <v>423</v>
      </c>
      <c r="O1464" s="9"/>
      <c r="P1464" s="10">
        <v>40926.673900462964</v>
      </c>
      <c r="Q1464" s="14" t="s">
        <v>753</v>
      </c>
      <c r="R1464" s="14" t="s">
        <v>2779</v>
      </c>
      <c r="S1464" s="7" t="s">
        <v>2780</v>
      </c>
      <c r="T1464" s="8"/>
      <c r="U1464" s="11" t="str">
        <f t="shared" si="253"/>
        <v>View</v>
      </c>
      <c r="V1464" s="8"/>
      <c r="W1464" s="8"/>
      <c r="X1464" s="8"/>
      <c r="Y1464" s="8"/>
      <c r="Z1464" s="8"/>
    </row>
    <row r="1465" spans="1:26" ht="13.2">
      <c r="A1465" s="13">
        <v>44250.412094907406</v>
      </c>
      <c r="B1465" s="6" t="str">
        <f t="shared" si="251"/>
        <v>@IainLJBrown</v>
      </c>
      <c r="C1465" s="14" t="s">
        <v>2776</v>
      </c>
      <c r="D1465" s="14" t="s">
        <v>6253</v>
      </c>
      <c r="E1465" s="6" t="str">
        <f>HYPERLINK("https://twitter.com/IainLJBrown/status/1364136267026472962","1364136267026472962")</f>
        <v>1364136267026472962</v>
      </c>
      <c r="F1465" s="7" t="s">
        <v>6254</v>
      </c>
      <c r="G1465" s="8"/>
      <c r="H1465" s="8"/>
      <c r="I1465" s="14">
        <v>13</v>
      </c>
      <c r="J1465" s="14">
        <v>8</v>
      </c>
      <c r="K1465" s="6" t="str">
        <f t="shared" si="252"/>
        <v>IFTTT</v>
      </c>
      <c r="L1465" s="15">
        <v>115543</v>
      </c>
      <c r="M1465" s="15">
        <v>98727</v>
      </c>
      <c r="N1465" s="15">
        <v>423</v>
      </c>
      <c r="O1465" s="9"/>
      <c r="P1465" s="10">
        <v>40926.673900462964</v>
      </c>
      <c r="Q1465" s="14" t="s">
        <v>753</v>
      </c>
      <c r="R1465" s="14" t="s">
        <v>2779</v>
      </c>
      <c r="S1465" s="7" t="s">
        <v>2780</v>
      </c>
      <c r="T1465" s="8"/>
      <c r="U1465" s="11" t="str">
        <f t="shared" si="253"/>
        <v>View</v>
      </c>
      <c r="V1465" s="8"/>
      <c r="W1465" s="8"/>
      <c r="X1465" s="8"/>
      <c r="Y1465" s="8"/>
      <c r="Z1465" s="8"/>
    </row>
    <row r="1466" spans="1:26" ht="13.2">
      <c r="A1466" s="13">
        <v>44250.41207175926</v>
      </c>
      <c r="B1466" s="6" t="str">
        <f t="shared" si="251"/>
        <v>@IainLJBrown</v>
      </c>
      <c r="C1466" s="14" t="s">
        <v>2776</v>
      </c>
      <c r="D1466" s="14" t="s">
        <v>6255</v>
      </c>
      <c r="E1466" s="6" t="str">
        <f>HYPERLINK("https://twitter.com/IainLJBrown/status/1364136261997502469","1364136261997502469")</f>
        <v>1364136261997502469</v>
      </c>
      <c r="F1466" s="7" t="s">
        <v>6256</v>
      </c>
      <c r="G1466" s="8"/>
      <c r="H1466" s="8"/>
      <c r="I1466" s="14">
        <v>21</v>
      </c>
      <c r="J1466" s="14">
        <v>9</v>
      </c>
      <c r="K1466" s="6" t="str">
        <f t="shared" si="252"/>
        <v>IFTTT</v>
      </c>
      <c r="L1466" s="15">
        <v>115543</v>
      </c>
      <c r="M1466" s="15">
        <v>98727</v>
      </c>
      <c r="N1466" s="15">
        <v>423</v>
      </c>
      <c r="O1466" s="9"/>
      <c r="P1466" s="10">
        <v>40926.673900462964</v>
      </c>
      <c r="Q1466" s="14" t="s">
        <v>753</v>
      </c>
      <c r="R1466" s="14" t="s">
        <v>2779</v>
      </c>
      <c r="S1466" s="7" t="s">
        <v>2780</v>
      </c>
      <c r="T1466" s="8"/>
      <c r="U1466" s="11" t="str">
        <f t="shared" si="253"/>
        <v>View</v>
      </c>
      <c r="V1466" s="8"/>
      <c r="W1466" s="8"/>
      <c r="X1466" s="8"/>
      <c r="Y1466" s="8"/>
      <c r="Z1466" s="8"/>
    </row>
    <row r="1467" spans="1:26" ht="13.2">
      <c r="A1467" s="13">
        <v>44250.41207175926</v>
      </c>
      <c r="B1467" s="6" t="str">
        <f t="shared" si="251"/>
        <v>@IainLJBrown</v>
      </c>
      <c r="C1467" s="14" t="s">
        <v>2776</v>
      </c>
      <c r="D1467" s="14" t="s">
        <v>6257</v>
      </c>
      <c r="E1467" s="6" t="str">
        <f>HYPERLINK("https://twitter.com/IainLJBrown/status/1364136259304755202","1364136259304755202")</f>
        <v>1364136259304755202</v>
      </c>
      <c r="F1467" s="7" t="s">
        <v>6258</v>
      </c>
      <c r="G1467" s="8"/>
      <c r="H1467" s="8"/>
      <c r="I1467" s="14">
        <v>13</v>
      </c>
      <c r="J1467" s="14">
        <v>11</v>
      </c>
      <c r="K1467" s="6" t="str">
        <f t="shared" si="252"/>
        <v>IFTTT</v>
      </c>
      <c r="L1467" s="15">
        <v>115543</v>
      </c>
      <c r="M1467" s="15">
        <v>98727</v>
      </c>
      <c r="N1467" s="15">
        <v>423</v>
      </c>
      <c r="O1467" s="9"/>
      <c r="P1467" s="10">
        <v>40926.673900462964</v>
      </c>
      <c r="Q1467" s="14" t="s">
        <v>753</v>
      </c>
      <c r="R1467" s="14" t="s">
        <v>2779</v>
      </c>
      <c r="S1467" s="7" t="s">
        <v>2780</v>
      </c>
      <c r="T1467" s="8"/>
      <c r="U1467" s="11" t="str">
        <f t="shared" si="253"/>
        <v>View</v>
      </c>
      <c r="V1467" s="8"/>
      <c r="W1467" s="8"/>
      <c r="X1467" s="8"/>
      <c r="Y1467" s="8"/>
      <c r="Z1467" s="8"/>
    </row>
    <row r="1468" spans="1:26" ht="13.2">
      <c r="A1468" s="13">
        <v>44250.41206018519</v>
      </c>
      <c r="B1468" s="6" t="str">
        <f t="shared" si="251"/>
        <v>@IainLJBrown</v>
      </c>
      <c r="C1468" s="14" t="s">
        <v>2776</v>
      </c>
      <c r="D1468" s="14" t="s">
        <v>6259</v>
      </c>
      <c r="E1468" s="6" t="str">
        <f>HYPERLINK("https://twitter.com/IainLJBrown/status/1364136257614413824","1364136257614413824")</f>
        <v>1364136257614413824</v>
      </c>
      <c r="F1468" s="7" t="s">
        <v>6260</v>
      </c>
      <c r="G1468" s="8"/>
      <c r="H1468" s="8"/>
      <c r="I1468" s="14">
        <v>17</v>
      </c>
      <c r="J1468" s="14">
        <v>9</v>
      </c>
      <c r="K1468" s="6" t="str">
        <f t="shared" si="252"/>
        <v>IFTTT</v>
      </c>
      <c r="L1468" s="15">
        <v>115543</v>
      </c>
      <c r="M1468" s="15">
        <v>98727</v>
      </c>
      <c r="N1468" s="15">
        <v>423</v>
      </c>
      <c r="O1468" s="9"/>
      <c r="P1468" s="10">
        <v>40926.673900462964</v>
      </c>
      <c r="Q1468" s="14" t="s">
        <v>753</v>
      </c>
      <c r="R1468" s="14" t="s">
        <v>2779</v>
      </c>
      <c r="S1468" s="7" t="s">
        <v>2780</v>
      </c>
      <c r="T1468" s="8"/>
      <c r="U1468" s="11" t="str">
        <f t="shared" si="253"/>
        <v>View</v>
      </c>
      <c r="V1468" s="8"/>
      <c r="W1468" s="8"/>
      <c r="X1468" s="8"/>
      <c r="Y1468" s="8"/>
      <c r="Z1468" s="8"/>
    </row>
    <row r="1469" spans="1:26" ht="13.2">
      <c r="A1469" s="13">
        <v>44250.41206018519</v>
      </c>
      <c r="B1469" s="6" t="str">
        <f t="shared" si="251"/>
        <v>@IainLJBrown</v>
      </c>
      <c r="C1469" s="14" t="s">
        <v>2776</v>
      </c>
      <c r="D1469" s="14" t="s">
        <v>6261</v>
      </c>
      <c r="E1469" s="6" t="str">
        <f>HYPERLINK("https://twitter.com/IainLJBrown/status/1364136254535786502","1364136254535786502")</f>
        <v>1364136254535786502</v>
      </c>
      <c r="F1469" s="7" t="s">
        <v>6262</v>
      </c>
      <c r="G1469" s="8"/>
      <c r="H1469" s="8"/>
      <c r="I1469" s="14">
        <v>21</v>
      </c>
      <c r="J1469" s="14">
        <v>11</v>
      </c>
      <c r="K1469" s="6" t="str">
        <f t="shared" si="252"/>
        <v>IFTTT</v>
      </c>
      <c r="L1469" s="15">
        <v>115543</v>
      </c>
      <c r="M1469" s="15">
        <v>98727</v>
      </c>
      <c r="N1469" s="15">
        <v>423</v>
      </c>
      <c r="O1469" s="9"/>
      <c r="P1469" s="10">
        <v>40926.673900462964</v>
      </c>
      <c r="Q1469" s="14" t="s">
        <v>753</v>
      </c>
      <c r="R1469" s="14" t="s">
        <v>2779</v>
      </c>
      <c r="S1469" s="7" t="s">
        <v>2780</v>
      </c>
      <c r="T1469" s="8"/>
      <c r="U1469" s="11" t="str">
        <f t="shared" si="253"/>
        <v>View</v>
      </c>
      <c r="V1469" s="8"/>
      <c r="W1469" s="8"/>
      <c r="X1469" s="8"/>
      <c r="Y1469" s="8"/>
      <c r="Z1469" s="8"/>
    </row>
    <row r="1470" spans="1:26" ht="13.2">
      <c r="A1470" s="13">
        <v>44250.411840277782</v>
      </c>
      <c r="B1470" s="6" t="str">
        <f>HYPERLINK("https://twitter.com/Innovat78455398","@Innovat78455398")</f>
        <v>@Innovat78455398</v>
      </c>
      <c r="C1470" s="14" t="s">
        <v>4318</v>
      </c>
      <c r="D1470" s="14" t="s">
        <v>6263</v>
      </c>
      <c r="E1470" s="6" t="str">
        <f>HYPERLINK("https://twitter.com/Innovat78455398/status/1364136177863856131","1364136177863856131")</f>
        <v>1364136177863856131</v>
      </c>
      <c r="F1470" s="7" t="s">
        <v>6264</v>
      </c>
      <c r="G1470" s="7" t="s">
        <v>6265</v>
      </c>
      <c r="H1470" s="8"/>
      <c r="I1470" s="14">
        <v>7</v>
      </c>
      <c r="J1470" s="14">
        <v>0</v>
      </c>
      <c r="K1470" s="6" t="str">
        <f>HYPERLINK("https://mobile.twitter.com","Twitter Web App")</f>
        <v>Twitter Web App</v>
      </c>
      <c r="L1470" s="15">
        <v>101</v>
      </c>
      <c r="M1470" s="15">
        <v>142</v>
      </c>
      <c r="N1470" s="15">
        <v>1</v>
      </c>
      <c r="O1470" s="9"/>
      <c r="P1470" s="10">
        <v>44075.047534722224</v>
      </c>
      <c r="Q1470" s="14" t="s">
        <v>623</v>
      </c>
      <c r="R1470" s="14" t="s">
        <v>4322</v>
      </c>
      <c r="S1470" s="8"/>
      <c r="T1470" s="8"/>
      <c r="U1470" s="11" t="str">
        <f>HYPERLINK("https://pbs.twimg.com/profile_images/1300571380098850818/YjKI8L9l.jpg","View")</f>
        <v>View</v>
      </c>
      <c r="V1470" s="8"/>
      <c r="W1470" s="8"/>
      <c r="X1470" s="8"/>
      <c r="Y1470" s="8"/>
      <c r="Z1470" s="8"/>
    </row>
    <row r="1471" spans="1:26" ht="13.2">
      <c r="A1471" s="13">
        <v>44250.411226851851</v>
      </c>
      <c r="B1471" s="6" t="str">
        <f>HYPERLINK("https://twitter.com/into_AI","@into_AI")</f>
        <v>@into_AI</v>
      </c>
      <c r="C1471" s="14" t="s">
        <v>2021</v>
      </c>
      <c r="D1471" s="14" t="s">
        <v>6266</v>
      </c>
      <c r="E1471" s="6" t="str">
        <f>HYPERLINK("https://twitter.com/into_AI/status/1364135954395652101","1364135954395652101")</f>
        <v>1364135954395652101</v>
      </c>
      <c r="F1471" s="7" t="s">
        <v>6267</v>
      </c>
      <c r="G1471" s="8"/>
      <c r="H1471" s="8"/>
      <c r="I1471" s="14">
        <v>1</v>
      </c>
      <c r="J1471" s="14">
        <v>0</v>
      </c>
      <c r="K1471" s="6" t="str">
        <f>HYPERLINK("http://into.AI","into.AI")</f>
        <v>into.AI</v>
      </c>
      <c r="L1471" s="15">
        <v>19374</v>
      </c>
      <c r="M1471" s="15">
        <v>1707</v>
      </c>
      <c r="N1471" s="15">
        <v>3164</v>
      </c>
      <c r="O1471" s="9"/>
      <c r="P1471" s="10">
        <v>42133.721620370372</v>
      </c>
      <c r="Q1471" s="14" t="s">
        <v>2024</v>
      </c>
      <c r="R1471" s="14" t="s">
        <v>2025</v>
      </c>
      <c r="S1471" s="7" t="s">
        <v>2026</v>
      </c>
      <c r="T1471" s="8"/>
      <c r="U1471" s="11" t="str">
        <f>HYPERLINK("https://pbs.twimg.com/profile_images/967341160124608512/LM2Y5Q5m.jpg","View")</f>
        <v>View</v>
      </c>
      <c r="V1471" s="8"/>
      <c r="W1471" s="8"/>
      <c r="X1471" s="8"/>
      <c r="Y1471" s="8"/>
      <c r="Z1471" s="8"/>
    </row>
    <row r="1472" spans="1:26" ht="13.2">
      <c r="A1472" s="13">
        <v>44250.411203703705</v>
      </c>
      <c r="B1472" s="6" t="str">
        <f>HYPERLINK("https://twitter.com/cybersecboardrm","@cybersecboardrm")</f>
        <v>@cybersecboardrm</v>
      </c>
      <c r="C1472" s="14" t="s">
        <v>851</v>
      </c>
      <c r="D1472" s="14" t="s">
        <v>5402</v>
      </c>
      <c r="E1472" s="6" t="str">
        <f>HYPERLINK("https://twitter.com/cybersecboardrm/status/1364135946518728706","1364135946518728706")</f>
        <v>1364135946518728706</v>
      </c>
      <c r="F1472" s="7" t="s">
        <v>6268</v>
      </c>
      <c r="G1472" s="8"/>
      <c r="H1472" s="8"/>
      <c r="I1472" s="14">
        <v>1</v>
      </c>
      <c r="J1472" s="14">
        <v>0</v>
      </c>
      <c r="K1472" s="6" t="str">
        <f>HYPERLINK("http://twinybots.com","TwinyBots")</f>
        <v>TwinyBots</v>
      </c>
      <c r="L1472" s="15">
        <v>44595</v>
      </c>
      <c r="M1472" s="15">
        <v>17565</v>
      </c>
      <c r="N1472" s="15">
        <v>2331</v>
      </c>
      <c r="O1472" s="9"/>
      <c r="P1472" s="10">
        <v>41699.739884259259</v>
      </c>
      <c r="Q1472" s="14" t="s">
        <v>852</v>
      </c>
      <c r="R1472" s="14" t="s">
        <v>853</v>
      </c>
      <c r="S1472" s="7" t="s">
        <v>854</v>
      </c>
      <c r="T1472" s="8"/>
      <c r="U1472" s="11" t="str">
        <f>HYPERLINK("https://pbs.twimg.com/profile_images/1287860270283530242/2LxTyzQc.jpg","View")</f>
        <v>View</v>
      </c>
      <c r="V1472" s="8"/>
      <c r="W1472" s="8"/>
      <c r="X1472" s="8"/>
      <c r="Y1472" s="8"/>
      <c r="Z1472" s="8"/>
    </row>
    <row r="1473" spans="1:26" ht="13.2">
      <c r="A1473" s="13">
        <v>44250.411041666666</v>
      </c>
      <c r="B1473" s="6" t="str">
        <f>HYPERLINK("https://twitter.com/into_AI","@into_AI")</f>
        <v>@into_AI</v>
      </c>
      <c r="C1473" s="14" t="s">
        <v>2021</v>
      </c>
      <c r="D1473" s="14" t="s">
        <v>6269</v>
      </c>
      <c r="E1473" s="6" t="str">
        <f>HYPERLINK("https://twitter.com/into_AI/status/1364135884933787649","1364135884933787649")</f>
        <v>1364135884933787649</v>
      </c>
      <c r="F1473" s="7" t="s">
        <v>6270</v>
      </c>
      <c r="G1473" s="8"/>
      <c r="H1473" s="8"/>
      <c r="I1473" s="14">
        <v>1</v>
      </c>
      <c r="J1473" s="14">
        <v>0</v>
      </c>
      <c r="K1473" s="6" t="str">
        <f>HYPERLINK("http://into.AI","into.AI")</f>
        <v>into.AI</v>
      </c>
      <c r="L1473" s="15">
        <v>19374</v>
      </c>
      <c r="M1473" s="15">
        <v>1707</v>
      </c>
      <c r="N1473" s="15">
        <v>3164</v>
      </c>
      <c r="O1473" s="9"/>
      <c r="P1473" s="10">
        <v>42133.721620370372</v>
      </c>
      <c r="Q1473" s="14" t="s">
        <v>2024</v>
      </c>
      <c r="R1473" s="14" t="s">
        <v>2025</v>
      </c>
      <c r="S1473" s="7" t="s">
        <v>2026</v>
      </c>
      <c r="T1473" s="8"/>
      <c r="U1473" s="11" t="str">
        <f>HYPERLINK("https://pbs.twimg.com/profile_images/967341160124608512/LM2Y5Q5m.jpg","View")</f>
        <v>View</v>
      </c>
      <c r="V1473" s="8"/>
      <c r="W1473" s="8"/>
      <c r="X1473" s="8"/>
      <c r="Y1473" s="8"/>
      <c r="Z1473" s="8"/>
    </row>
    <row r="1474" spans="1:26" ht="13.2">
      <c r="A1474" s="13">
        <v>44250.410694444443</v>
      </c>
      <c r="B1474" s="6" t="str">
        <f>HYPERLINK("https://twitter.com/corizance","@corizance")</f>
        <v>@corizance</v>
      </c>
      <c r="C1474" s="14" t="s">
        <v>2550</v>
      </c>
      <c r="D1474" s="14" t="s">
        <v>6271</v>
      </c>
      <c r="E1474" s="6" t="str">
        <f>HYPERLINK("https://twitter.com/corizance/status/1364135759649906689","1364135759649906689")</f>
        <v>1364135759649906689</v>
      </c>
      <c r="F1474" s="14" t="s">
        <v>6272</v>
      </c>
      <c r="G1474" s="8"/>
      <c r="H1474" s="8"/>
      <c r="I1474" s="14">
        <v>0</v>
      </c>
      <c r="J1474" s="14">
        <v>0</v>
      </c>
      <c r="K1474" s="6" t="str">
        <f>HYPERLINK("http://twinybots.com","TwinyBots")</f>
        <v>TwinyBots</v>
      </c>
      <c r="L1474" s="15">
        <v>488</v>
      </c>
      <c r="M1474" s="15">
        <v>434</v>
      </c>
      <c r="N1474" s="15">
        <v>13</v>
      </c>
      <c r="O1474" s="9"/>
      <c r="P1474" s="10">
        <v>43789.49145833333</v>
      </c>
      <c r="Q1474" s="14" t="s">
        <v>2551</v>
      </c>
      <c r="R1474" s="14" t="s">
        <v>2552</v>
      </c>
      <c r="S1474" s="7" t="s">
        <v>2553</v>
      </c>
      <c r="T1474" s="8"/>
      <c r="U1474" s="11" t="str">
        <f>HYPERLINK("https://pbs.twimg.com/profile_images/1223176339697565697/q38i7r9K.jpg","View")</f>
        <v>View</v>
      </c>
      <c r="V1474" s="8"/>
      <c r="W1474" s="8"/>
      <c r="X1474" s="8"/>
      <c r="Y1474" s="8"/>
      <c r="Z1474" s="8"/>
    </row>
    <row r="1475" spans="1:26" ht="13.2">
      <c r="A1475" s="13">
        <v>44250.410509259258</v>
      </c>
      <c r="B1475" s="6" t="str">
        <f t="shared" ref="B1475:B1476" si="254">HYPERLINK("https://twitter.com/arXiv__ml","@arXiv__ml")</f>
        <v>@arXiv__ml</v>
      </c>
      <c r="C1475" s="14" t="s">
        <v>2812</v>
      </c>
      <c r="D1475" s="14" t="s">
        <v>6273</v>
      </c>
      <c r="E1475" s="6" t="str">
        <f>HYPERLINK("https://twitter.com/arXiv__ml/status/1364135695221161986","1364135695221161986")</f>
        <v>1364135695221161986</v>
      </c>
      <c r="F1475" s="14" t="s">
        <v>6274</v>
      </c>
      <c r="G1475" s="8"/>
      <c r="H1475" s="8"/>
      <c r="I1475" s="14">
        <v>0</v>
      </c>
      <c r="J1475" s="14">
        <v>0</v>
      </c>
      <c r="K1475" s="6" t="str">
        <f t="shared" ref="K1475:K1476" si="255">HYPERLINK("https://ifttt.com","IFTTT")</f>
        <v>IFTTT</v>
      </c>
      <c r="L1475" s="15">
        <v>2542</v>
      </c>
      <c r="M1475" s="15">
        <v>1470</v>
      </c>
      <c r="N1475" s="15">
        <v>73</v>
      </c>
      <c r="O1475" s="9"/>
      <c r="P1475" s="10">
        <v>43387.731759259259</v>
      </c>
      <c r="Q1475" s="14" t="s">
        <v>1036</v>
      </c>
      <c r="R1475" s="14" t="s">
        <v>2815</v>
      </c>
      <c r="S1475" s="7" t="s">
        <v>2816</v>
      </c>
      <c r="T1475" s="8"/>
      <c r="U1475" s="11" t="str">
        <f t="shared" ref="U1475:U1476" si="256">HYPERLINK("https://pbs.twimg.com/profile_images/1067085474131394560/QOHl5dzN.jpg","View")</f>
        <v>View</v>
      </c>
      <c r="V1475" s="8"/>
      <c r="W1475" s="8"/>
      <c r="X1475" s="8"/>
      <c r="Y1475" s="8"/>
      <c r="Z1475" s="8"/>
    </row>
    <row r="1476" spans="1:26" ht="13.2">
      <c r="A1476" s="13">
        <v>44250.410497685181</v>
      </c>
      <c r="B1476" s="6" t="str">
        <f t="shared" si="254"/>
        <v>@arXiv__ml</v>
      </c>
      <c r="C1476" s="14" t="s">
        <v>2812</v>
      </c>
      <c r="D1476" s="14" t="s">
        <v>6275</v>
      </c>
      <c r="E1476" s="6" t="str">
        <f>HYPERLINK("https://twitter.com/arXiv__ml/status/1364135690104168450","1364135690104168450")</f>
        <v>1364135690104168450</v>
      </c>
      <c r="F1476" s="7" t="s">
        <v>6276</v>
      </c>
      <c r="G1476" s="8"/>
      <c r="H1476" s="8"/>
      <c r="I1476" s="14">
        <v>0</v>
      </c>
      <c r="J1476" s="14">
        <v>0</v>
      </c>
      <c r="K1476" s="6" t="str">
        <f t="shared" si="255"/>
        <v>IFTTT</v>
      </c>
      <c r="L1476" s="15">
        <v>2542</v>
      </c>
      <c r="M1476" s="15">
        <v>1470</v>
      </c>
      <c r="N1476" s="15">
        <v>73</v>
      </c>
      <c r="O1476" s="9"/>
      <c r="P1476" s="10">
        <v>43387.731759259259</v>
      </c>
      <c r="Q1476" s="14" t="s">
        <v>1036</v>
      </c>
      <c r="R1476" s="14" t="s">
        <v>2815</v>
      </c>
      <c r="S1476" s="7" t="s">
        <v>2816</v>
      </c>
      <c r="T1476" s="8"/>
      <c r="U1476" s="11" t="str">
        <f t="shared" si="256"/>
        <v>View</v>
      </c>
      <c r="V1476" s="8"/>
      <c r="W1476" s="8"/>
      <c r="X1476" s="8"/>
      <c r="Y1476" s="8"/>
      <c r="Z1476" s="8"/>
    </row>
    <row r="1477" spans="1:26" ht="13.2">
      <c r="A1477" s="13">
        <v>44250.410393518519</v>
      </c>
      <c r="B1477" s="6" t="str">
        <f>HYPERLINK("https://twitter.com/VelmieHQ","@VelmieHQ")</f>
        <v>@VelmieHQ</v>
      </c>
      <c r="C1477" s="14" t="s">
        <v>6277</v>
      </c>
      <c r="D1477" s="14" t="s">
        <v>6278</v>
      </c>
      <c r="E1477" s="6" t="str">
        <f>HYPERLINK("https://twitter.com/VelmieHQ/status/1364135652175060992","1364135652175060992")</f>
        <v>1364135652175060992</v>
      </c>
      <c r="F1477" s="7" t="s">
        <v>6279</v>
      </c>
      <c r="G1477" s="8"/>
      <c r="H1477" s="8"/>
      <c r="I1477" s="14">
        <v>2</v>
      </c>
      <c r="J1477" s="14">
        <v>4</v>
      </c>
      <c r="K1477" s="6" t="str">
        <f t="shared" ref="K1477:K1478" si="257">HYPERLINK("https://mobile.twitter.com","Twitter Web App")</f>
        <v>Twitter Web App</v>
      </c>
      <c r="L1477" s="15">
        <v>64</v>
      </c>
      <c r="M1477" s="15">
        <v>61</v>
      </c>
      <c r="N1477" s="15">
        <v>0</v>
      </c>
      <c r="O1477" s="9"/>
      <c r="P1477" s="10">
        <v>43298.724606481483</v>
      </c>
      <c r="Q1477" s="14" t="s">
        <v>914</v>
      </c>
      <c r="R1477" s="14" t="s">
        <v>6280</v>
      </c>
      <c r="S1477" s="7" t="s">
        <v>6281</v>
      </c>
      <c r="T1477" s="8"/>
      <c r="U1477" s="11" t="str">
        <f>HYPERLINK("https://pbs.twimg.com/profile_images/1031844901242241024/s2IONE29.jpg","View")</f>
        <v>View</v>
      </c>
      <c r="V1477" s="8"/>
      <c r="W1477" s="8"/>
      <c r="X1477" s="8"/>
      <c r="Y1477" s="8"/>
      <c r="Z1477" s="8"/>
    </row>
    <row r="1478" spans="1:26" ht="13.2">
      <c r="A1478" s="13">
        <v>44250.41024305555</v>
      </c>
      <c r="B1478" s="6" t="str">
        <f>HYPERLINK("https://twitter.com/railsummit","@railsummit")</f>
        <v>@railsummit</v>
      </c>
      <c r="C1478" s="14" t="s">
        <v>6282</v>
      </c>
      <c r="D1478" s="14" t="s">
        <v>6283</v>
      </c>
      <c r="E1478" s="6" t="str">
        <f>HYPERLINK("https://twitter.com/railsummit/status/1364135598253080582","1364135598253080582")</f>
        <v>1364135598253080582</v>
      </c>
      <c r="F1478" s="7" t="s">
        <v>6284</v>
      </c>
      <c r="G1478" s="7" t="s">
        <v>6285</v>
      </c>
      <c r="H1478" s="8"/>
      <c r="I1478" s="14">
        <v>7</v>
      </c>
      <c r="J1478" s="14">
        <v>3</v>
      </c>
      <c r="K1478" s="6" t="str">
        <f t="shared" si="257"/>
        <v>Twitter Web App</v>
      </c>
      <c r="L1478" s="15">
        <v>1078</v>
      </c>
      <c r="M1478" s="15">
        <v>503</v>
      </c>
      <c r="N1478" s="15">
        <v>27</v>
      </c>
      <c r="O1478" s="9"/>
      <c r="P1478" s="10">
        <v>41325.725868055553</v>
      </c>
      <c r="Q1478" s="8"/>
      <c r="R1478" s="14" t="s">
        <v>6286</v>
      </c>
      <c r="S1478" s="7" t="s">
        <v>6287</v>
      </c>
      <c r="T1478" s="8"/>
      <c r="U1478" s="11" t="str">
        <f>HYPERLINK("https://pbs.twimg.com/profile_images/523037327958867971/2KU0nq7j.png","View")</f>
        <v>View</v>
      </c>
      <c r="V1478" s="8"/>
      <c r="W1478" s="8"/>
      <c r="X1478" s="8"/>
      <c r="Y1478" s="8"/>
      <c r="Z1478" s="8"/>
    </row>
    <row r="1479" spans="1:26" ht="13.2">
      <c r="A1479" s="13">
        <v>44250.410231481481</v>
      </c>
      <c r="B1479" s="6" t="str">
        <f>HYPERLINK("https://twitter.com/owning_ivy","@owning_ivy")</f>
        <v>@owning_ivy</v>
      </c>
      <c r="C1479" s="14" t="s">
        <v>6288</v>
      </c>
      <c r="D1479" s="14" t="s">
        <v>6289</v>
      </c>
      <c r="E1479" s="6" t="str">
        <f>HYPERLINK("https://twitter.com/owning_ivy/status/1364135594218065925","1364135594218065925")</f>
        <v>1364135594218065925</v>
      </c>
      <c r="F1479" s="14" t="s">
        <v>6290</v>
      </c>
      <c r="G1479" s="7" t="s">
        <v>6291</v>
      </c>
      <c r="H1479" s="8"/>
      <c r="I1479" s="14">
        <v>7</v>
      </c>
      <c r="J1479" s="14">
        <v>8</v>
      </c>
      <c r="K1479" s="6" t="str">
        <f>HYPERLINK("http://twitter.com/download/android","Twitter for Android")</f>
        <v>Twitter for Android</v>
      </c>
      <c r="L1479" s="15">
        <v>768</v>
      </c>
      <c r="M1479" s="15">
        <v>369</v>
      </c>
      <c r="N1479" s="15">
        <v>26</v>
      </c>
      <c r="O1479" s="9"/>
      <c r="P1479" s="10">
        <v>40729.600358796299</v>
      </c>
      <c r="Q1479" s="14" t="s">
        <v>6292</v>
      </c>
      <c r="R1479" s="14" t="s">
        <v>6293</v>
      </c>
      <c r="S1479" s="7" t="s">
        <v>6294</v>
      </c>
      <c r="T1479" s="8"/>
      <c r="U1479" s="11" t="str">
        <f>HYPERLINK("https://pbs.twimg.com/profile_images/1427461111/CIMG4853.JPG","View")</f>
        <v>View</v>
      </c>
      <c r="V1479" s="8"/>
      <c r="W1479" s="8"/>
      <c r="X1479" s="8"/>
      <c r="Y1479" s="8"/>
      <c r="Z1479" s="8"/>
    </row>
    <row r="1480" spans="1:26" ht="13.2">
      <c r="A1480" s="13">
        <v>44250.410208333335</v>
      </c>
      <c r="B1480" s="6" t="str">
        <f>HYPERLINK("https://twitter.com/LIV_consulting","@LIV_consulting")</f>
        <v>@LIV_consulting</v>
      </c>
      <c r="C1480" s="14" t="s">
        <v>6295</v>
      </c>
      <c r="D1480" s="14" t="s">
        <v>6296</v>
      </c>
      <c r="E1480" s="6" t="str">
        <f>HYPERLINK("https://twitter.com/LIV_consulting/status/1364135582885175297","1364135582885175297")</f>
        <v>1364135582885175297</v>
      </c>
      <c r="F1480" s="7" t="s">
        <v>6297</v>
      </c>
      <c r="G1480" s="7" t="s">
        <v>6298</v>
      </c>
      <c r="H1480" s="8"/>
      <c r="I1480" s="14">
        <v>2</v>
      </c>
      <c r="J1480" s="14">
        <v>3</v>
      </c>
      <c r="K1480" s="6" t="str">
        <f>HYPERLINK("https://buffer.com","Buffer")</f>
        <v>Buffer</v>
      </c>
      <c r="L1480" s="15">
        <v>16</v>
      </c>
      <c r="M1480" s="15">
        <v>40</v>
      </c>
      <c r="N1480" s="15">
        <v>0</v>
      </c>
      <c r="O1480" s="9"/>
      <c r="P1480" s="10">
        <v>44123.496782407412</v>
      </c>
      <c r="Q1480" s="14" t="s">
        <v>6299</v>
      </c>
      <c r="R1480" s="14" t="s">
        <v>6300</v>
      </c>
      <c r="S1480" s="7" t="s">
        <v>6301</v>
      </c>
      <c r="T1480" s="8"/>
      <c r="U1480" s="11" t="str">
        <f>HYPERLINK("https://pbs.twimg.com/profile_images/1318129205411012608/g--P-fmR.jpg","View")</f>
        <v>View</v>
      </c>
      <c r="V1480" s="8"/>
      <c r="W1480" s="8"/>
      <c r="X1480" s="8"/>
      <c r="Y1480" s="8"/>
      <c r="Z1480" s="8"/>
    </row>
    <row r="1481" spans="1:26" ht="13.2">
      <c r="A1481" s="13">
        <v>44250.410150462965</v>
      </c>
      <c r="B1481" s="6" t="str">
        <f>HYPERLINK("https://twitter.com/AIHQ6","@AIHQ6")</f>
        <v>@AIHQ6</v>
      </c>
      <c r="C1481" s="14" t="s">
        <v>6302</v>
      </c>
      <c r="D1481" s="14" t="s">
        <v>6303</v>
      </c>
      <c r="E1481" s="6" t="str">
        <f>HYPERLINK("https://twitter.com/AIHQ6/status/1364135564438626305","1364135564438626305")</f>
        <v>1364135564438626305</v>
      </c>
      <c r="F1481" s="7" t="s">
        <v>6304</v>
      </c>
      <c r="G1481" s="8"/>
      <c r="H1481" s="8"/>
      <c r="I1481" s="14">
        <v>0</v>
      </c>
      <c r="J1481" s="14">
        <v>0</v>
      </c>
      <c r="K1481" s="6" t="str">
        <f t="shared" ref="K1481:K1482" si="258">HYPERLINK("https://mobile.twitter.com","Twitter Web App")</f>
        <v>Twitter Web App</v>
      </c>
      <c r="L1481" s="15">
        <v>546</v>
      </c>
      <c r="M1481" s="15">
        <v>2313</v>
      </c>
      <c r="N1481" s="15">
        <v>2</v>
      </c>
      <c r="O1481" s="9"/>
      <c r="P1481" s="10">
        <v>44153.490277777775</v>
      </c>
      <c r="Q1481" s="8"/>
      <c r="R1481" s="14" t="s">
        <v>6305</v>
      </c>
      <c r="S1481" s="8"/>
      <c r="T1481" s="8"/>
      <c r="U1481" s="11" t="str">
        <f>HYPERLINK("https://pbs.twimg.com/profile_images/1330460065581699073/-iX3pLJc.jpg","View")</f>
        <v>View</v>
      </c>
      <c r="V1481" s="8"/>
      <c r="W1481" s="8"/>
      <c r="X1481" s="8"/>
      <c r="Y1481" s="8"/>
      <c r="Z1481" s="8"/>
    </row>
    <row r="1482" spans="1:26" ht="13.2">
      <c r="A1482" s="13">
        <v>44250.41002314815</v>
      </c>
      <c r="B1482" s="6" t="str">
        <f>HYPERLINK("https://twitter.com/Innovat78455398","@Innovat78455398")</f>
        <v>@Innovat78455398</v>
      </c>
      <c r="C1482" s="14" t="s">
        <v>4318</v>
      </c>
      <c r="D1482" s="14" t="s">
        <v>6306</v>
      </c>
      <c r="E1482" s="6" t="str">
        <f>HYPERLINK("https://twitter.com/Innovat78455398/status/1364135516032040962","1364135516032040962")</f>
        <v>1364135516032040962</v>
      </c>
      <c r="F1482" s="7" t="s">
        <v>6307</v>
      </c>
      <c r="G1482" s="7" t="s">
        <v>6308</v>
      </c>
      <c r="H1482" s="8"/>
      <c r="I1482" s="14">
        <v>12</v>
      </c>
      <c r="J1482" s="14">
        <v>7</v>
      </c>
      <c r="K1482" s="6" t="str">
        <f t="shared" si="258"/>
        <v>Twitter Web App</v>
      </c>
      <c r="L1482" s="15">
        <v>101</v>
      </c>
      <c r="M1482" s="15">
        <v>142</v>
      </c>
      <c r="N1482" s="15">
        <v>1</v>
      </c>
      <c r="O1482" s="9"/>
      <c r="P1482" s="10">
        <v>44075.047534722224</v>
      </c>
      <c r="Q1482" s="14" t="s">
        <v>623</v>
      </c>
      <c r="R1482" s="14" t="s">
        <v>4322</v>
      </c>
      <c r="S1482" s="8"/>
      <c r="T1482" s="8"/>
      <c r="U1482" s="11" t="str">
        <f>HYPERLINK("https://pbs.twimg.com/profile_images/1300571380098850818/YjKI8L9l.jpg","View")</f>
        <v>View</v>
      </c>
      <c r="V1482" s="8"/>
      <c r="W1482" s="8"/>
      <c r="X1482" s="8"/>
      <c r="Y1482" s="8"/>
      <c r="Z1482" s="8"/>
    </row>
    <row r="1483" spans="1:26" ht="13.2">
      <c r="A1483" s="13">
        <v>44250.409745370373</v>
      </c>
      <c r="B1483" s="6" t="str">
        <f>HYPERLINK("https://twitter.com/nigewillson","@nigewillson")</f>
        <v>@nigewillson</v>
      </c>
      <c r="C1483" s="14" t="s">
        <v>95</v>
      </c>
      <c r="D1483" s="14" t="s">
        <v>432</v>
      </c>
      <c r="E1483" s="6" t="str">
        <f>HYPERLINK("https://twitter.com/nigewillson/status/1364135418178994177","1364135418178994177")</f>
        <v>1364135418178994177</v>
      </c>
      <c r="F1483" s="7" t="s">
        <v>433</v>
      </c>
      <c r="G1483" s="7" t="s">
        <v>6309</v>
      </c>
      <c r="H1483" s="8"/>
      <c r="I1483" s="14">
        <v>6</v>
      </c>
      <c r="J1483" s="14">
        <v>2</v>
      </c>
      <c r="K1483" s="6" t="str">
        <f>HYPERLINK("https://buffer.com","Buffer")</f>
        <v>Buffer</v>
      </c>
      <c r="L1483" s="15">
        <v>57515</v>
      </c>
      <c r="M1483" s="15">
        <v>49523</v>
      </c>
      <c r="N1483" s="15">
        <v>1688</v>
      </c>
      <c r="O1483" s="9"/>
      <c r="P1483" s="10">
        <v>40530.666805555556</v>
      </c>
      <c r="Q1483" s="14" t="s">
        <v>99</v>
      </c>
      <c r="R1483" s="14" t="s">
        <v>100</v>
      </c>
      <c r="S1483" s="7" t="s">
        <v>101</v>
      </c>
      <c r="T1483" s="8"/>
      <c r="U1483" s="11" t="str">
        <f>HYPERLINK("https://pbs.twimg.com/profile_images/1085251590997622784/x9mWVQ1d.jpg","View")</f>
        <v>View</v>
      </c>
      <c r="V1483" s="8"/>
      <c r="W1483" s="8"/>
      <c r="X1483" s="8"/>
      <c r="Y1483" s="8"/>
      <c r="Z1483" s="8"/>
    </row>
    <row r="1484" spans="1:26" ht="13.2">
      <c r="A1484" s="13">
        <v>44250.409409722226</v>
      </c>
      <c r="B1484" s="6" t="str">
        <f>HYPERLINK("https://twitter.com/glodigfashion","@glodigfashion")</f>
        <v>@glodigfashion</v>
      </c>
      <c r="C1484" s="14" t="s">
        <v>6310</v>
      </c>
      <c r="D1484" s="14" t="s">
        <v>6311</v>
      </c>
      <c r="E1484" s="6" t="str">
        <f>HYPERLINK("https://twitter.com/glodigfashion/status/1364135296066084868","1364135296066084868")</f>
        <v>1364135296066084868</v>
      </c>
      <c r="F1484" s="7" t="s">
        <v>6312</v>
      </c>
      <c r="G1484" s="8"/>
      <c r="H1484" s="8"/>
      <c r="I1484" s="14">
        <v>0</v>
      </c>
      <c r="J1484" s="14">
        <v>0</v>
      </c>
      <c r="K1484" s="6" t="str">
        <f>HYPERLINK("https://paper.li","Paper.li")</f>
        <v>Paper.li</v>
      </c>
      <c r="L1484" s="15">
        <v>77</v>
      </c>
      <c r="M1484" s="15">
        <v>113</v>
      </c>
      <c r="N1484" s="15">
        <v>10</v>
      </c>
      <c r="O1484" s="9"/>
      <c r="P1484" s="10">
        <v>42317.402858796297</v>
      </c>
      <c r="Q1484" s="8"/>
      <c r="R1484" s="8"/>
      <c r="S1484" s="8"/>
      <c r="T1484" s="8"/>
      <c r="U1484" s="11" t="str">
        <f>HYPERLINK("https://pbs.twimg.com/profile_images/663724838071238656/RWZadoZb.jpg","View")</f>
        <v>View</v>
      </c>
      <c r="V1484" s="8"/>
      <c r="W1484" s="8"/>
      <c r="X1484" s="8"/>
      <c r="Y1484" s="8"/>
      <c r="Z1484" s="8"/>
    </row>
    <row r="1485" spans="1:26" ht="13.2">
      <c r="A1485" s="13">
        <v>44250.408854166672</v>
      </c>
      <c r="B1485" s="6" t="str">
        <f t="shared" ref="B1485:B1486" si="259">HYPERLINK("https://twitter.com/Innovat78455398","@Innovat78455398")</f>
        <v>@Innovat78455398</v>
      </c>
      <c r="C1485" s="14" t="s">
        <v>4318</v>
      </c>
      <c r="D1485" s="14" t="s">
        <v>6313</v>
      </c>
      <c r="E1485" s="6" t="str">
        <f>HYPERLINK("https://twitter.com/Innovat78455398/status/1364135092281434115","1364135092281434115")</f>
        <v>1364135092281434115</v>
      </c>
      <c r="F1485" s="7" t="s">
        <v>6314</v>
      </c>
      <c r="G1485" s="7" t="s">
        <v>6315</v>
      </c>
      <c r="H1485" s="8"/>
      <c r="I1485" s="14">
        <v>11</v>
      </c>
      <c r="J1485" s="14">
        <v>3</v>
      </c>
      <c r="K1485" s="6" t="str">
        <f t="shared" ref="K1485:K1486" si="260">HYPERLINK("https://mobile.twitter.com","Twitter Web App")</f>
        <v>Twitter Web App</v>
      </c>
      <c r="L1485" s="15">
        <v>101</v>
      </c>
      <c r="M1485" s="15">
        <v>142</v>
      </c>
      <c r="N1485" s="15">
        <v>1</v>
      </c>
      <c r="O1485" s="9"/>
      <c r="P1485" s="10">
        <v>44075.047534722224</v>
      </c>
      <c r="Q1485" s="14" t="s">
        <v>623</v>
      </c>
      <c r="R1485" s="14" t="s">
        <v>4322</v>
      </c>
      <c r="S1485" s="8"/>
      <c r="T1485" s="8"/>
      <c r="U1485" s="11" t="str">
        <f t="shared" ref="U1485:U1486" si="261">HYPERLINK("https://pbs.twimg.com/profile_images/1300571380098850818/YjKI8L9l.jpg","View")</f>
        <v>View</v>
      </c>
      <c r="V1485" s="8"/>
      <c r="W1485" s="8"/>
      <c r="X1485" s="8"/>
      <c r="Y1485" s="8"/>
      <c r="Z1485" s="8"/>
    </row>
    <row r="1486" spans="1:26" ht="13.2">
      <c r="A1486" s="13">
        <v>44250.40834490741</v>
      </c>
      <c r="B1486" s="6" t="str">
        <f t="shared" si="259"/>
        <v>@Innovat78455398</v>
      </c>
      <c r="C1486" s="14" t="s">
        <v>4318</v>
      </c>
      <c r="D1486" s="14" t="s">
        <v>6316</v>
      </c>
      <c r="E1486" s="6" t="str">
        <f>HYPERLINK("https://twitter.com/Innovat78455398/status/1364134910223507460","1364134910223507460")</f>
        <v>1364134910223507460</v>
      </c>
      <c r="F1486" s="7" t="s">
        <v>6317</v>
      </c>
      <c r="G1486" s="7" t="s">
        <v>6318</v>
      </c>
      <c r="H1486" s="8"/>
      <c r="I1486" s="14">
        <v>10</v>
      </c>
      <c r="J1486" s="14">
        <v>2</v>
      </c>
      <c r="K1486" s="6" t="str">
        <f t="shared" si="260"/>
        <v>Twitter Web App</v>
      </c>
      <c r="L1486" s="15">
        <v>101</v>
      </c>
      <c r="M1486" s="15">
        <v>142</v>
      </c>
      <c r="N1486" s="15">
        <v>1</v>
      </c>
      <c r="O1486" s="9"/>
      <c r="P1486" s="10">
        <v>44075.047534722224</v>
      </c>
      <c r="Q1486" s="14" t="s">
        <v>623</v>
      </c>
      <c r="R1486" s="14" t="s">
        <v>4322</v>
      </c>
      <c r="S1486" s="8"/>
      <c r="T1486" s="8"/>
      <c r="U1486" s="11" t="str">
        <f t="shared" si="261"/>
        <v>View</v>
      </c>
      <c r="V1486" s="8"/>
      <c r="W1486" s="8"/>
      <c r="X1486" s="8"/>
      <c r="Y1486" s="8"/>
      <c r="Z1486" s="8"/>
    </row>
    <row r="1487" spans="1:26" ht="13.2">
      <c r="A1487" s="13">
        <v>44250.40834490741</v>
      </c>
      <c r="B1487" s="6" t="str">
        <f>HYPERLINK("https://twitter.com/MrcSala","@MrcSala")</f>
        <v>@MrcSala</v>
      </c>
      <c r="C1487" s="14" t="s">
        <v>6319</v>
      </c>
      <c r="D1487" s="14" t="s">
        <v>6320</v>
      </c>
      <c r="E1487" s="6" t="str">
        <f>HYPERLINK("https://twitter.com/MrcSala/status/1364134909716156418","1364134909716156418")</f>
        <v>1364134909716156418</v>
      </c>
      <c r="F1487" s="7" t="s">
        <v>6321</v>
      </c>
      <c r="G1487" s="8"/>
      <c r="H1487" s="8"/>
      <c r="I1487" s="14">
        <v>0</v>
      </c>
      <c r="J1487" s="14">
        <v>0</v>
      </c>
      <c r="K1487" s="6" t="str">
        <f>HYPERLINK("http://www.linkedin.com/","LinkedIn")</f>
        <v>LinkedIn</v>
      </c>
      <c r="L1487" s="15">
        <v>128</v>
      </c>
      <c r="M1487" s="15">
        <v>232</v>
      </c>
      <c r="N1487" s="15">
        <v>9</v>
      </c>
      <c r="O1487" s="9"/>
      <c r="P1487" s="10">
        <v>40094.623148148152</v>
      </c>
      <c r="Q1487" s="14" t="s">
        <v>5737</v>
      </c>
      <c r="R1487" s="14" t="s">
        <v>6322</v>
      </c>
      <c r="S1487" s="8"/>
      <c r="T1487" s="8"/>
      <c r="U1487" s="11" t="str">
        <f>HYPERLINK("https://pbs.twimg.com/profile_images/1309552633787625475/zhyjDmik.jpg","View")</f>
        <v>View</v>
      </c>
      <c r="V1487" s="8"/>
      <c r="W1487" s="8"/>
      <c r="X1487" s="8"/>
      <c r="Y1487" s="8"/>
      <c r="Z1487" s="8"/>
    </row>
    <row r="1488" spans="1:26" ht="13.2">
      <c r="A1488" s="13">
        <v>44250.408333333333</v>
      </c>
      <c r="B1488" s="6" t="str">
        <f>HYPERLINK("https://twitter.com/SKlausDev","@SKlausDev")</f>
        <v>@SKlausDev</v>
      </c>
      <c r="C1488" s="14" t="s">
        <v>1404</v>
      </c>
      <c r="D1488" s="14" t="s">
        <v>6323</v>
      </c>
      <c r="E1488" s="6" t="str">
        <f>HYPERLINK("https://twitter.com/SKlausDev/status/1364134904360013824","1364134904360013824")</f>
        <v>1364134904360013824</v>
      </c>
      <c r="F1488" s="7" t="s">
        <v>6324</v>
      </c>
      <c r="G1488" s="8"/>
      <c r="H1488" s="8"/>
      <c r="I1488" s="14">
        <v>0</v>
      </c>
      <c r="J1488" s="14">
        <v>0</v>
      </c>
      <c r="K1488" s="6" t="str">
        <f t="shared" ref="K1488:K1489" si="262">HYPERLINK("https://mobile.twitter.com","Twitter Web App")</f>
        <v>Twitter Web App</v>
      </c>
      <c r="L1488" s="15">
        <v>1288</v>
      </c>
      <c r="M1488" s="15">
        <v>910</v>
      </c>
      <c r="N1488" s="15">
        <v>505</v>
      </c>
      <c r="O1488" s="9"/>
      <c r="P1488" s="10">
        <v>42492.59207175926</v>
      </c>
      <c r="Q1488" s="14" t="s">
        <v>1407</v>
      </c>
      <c r="R1488" s="14" t="s">
        <v>1408</v>
      </c>
      <c r="S1488" s="8"/>
      <c r="T1488" s="8"/>
      <c r="U1488" s="11" t="str">
        <f>HYPERLINK("https://pbs.twimg.com/profile_images/727109083283726336/pMHGSHGB.jpg","View")</f>
        <v>View</v>
      </c>
      <c r="V1488" s="8"/>
      <c r="W1488" s="8"/>
      <c r="X1488" s="8"/>
      <c r="Y1488" s="8"/>
      <c r="Z1488" s="8"/>
    </row>
    <row r="1489" spans="1:26" ht="13.2">
      <c r="A1489" s="13">
        <v>44250.408275462964</v>
      </c>
      <c r="B1489" s="6" t="str">
        <f>HYPERLINK("https://twitter.com/serine_nazaryan","@serine_nazaryan")</f>
        <v>@serine_nazaryan</v>
      </c>
      <c r="C1489" s="14" t="s">
        <v>6325</v>
      </c>
      <c r="D1489" s="14" t="s">
        <v>6326</v>
      </c>
      <c r="E1489" s="6" t="str">
        <f>HYPERLINK("https://twitter.com/serine_nazaryan/status/1364134885011705856","1364134885011705856")</f>
        <v>1364134885011705856</v>
      </c>
      <c r="F1489" s="7" t="s">
        <v>6327</v>
      </c>
      <c r="G1489" s="7" t="s">
        <v>6328</v>
      </c>
      <c r="H1489" s="8"/>
      <c r="I1489" s="14">
        <v>0</v>
      </c>
      <c r="J1489" s="14">
        <v>2</v>
      </c>
      <c r="K1489" s="6" t="str">
        <f t="shared" si="262"/>
        <v>Twitter Web App</v>
      </c>
      <c r="L1489" s="15">
        <v>214</v>
      </c>
      <c r="M1489" s="15">
        <v>378</v>
      </c>
      <c r="N1489" s="15">
        <v>0</v>
      </c>
      <c r="O1489" s="9"/>
      <c r="P1489" s="10">
        <v>44018.61341435185</v>
      </c>
      <c r="Q1489" s="8"/>
      <c r="R1489" s="14" t="s">
        <v>6329</v>
      </c>
      <c r="S1489" s="7" t="s">
        <v>6330</v>
      </c>
      <c r="T1489" s="8"/>
      <c r="U1489" s="11" t="str">
        <f>HYPERLINK("https://pbs.twimg.com/profile_images/1280955850367160322/kJl_cgY9.jpg","View")</f>
        <v>View</v>
      </c>
      <c r="V1489" s="8"/>
      <c r="W1489" s="8"/>
      <c r="X1489" s="8"/>
      <c r="Y1489" s="8"/>
      <c r="Z1489" s="8"/>
    </row>
    <row r="1490" spans="1:26" ht="13.2">
      <c r="A1490" s="13">
        <v>44250.407222222224</v>
      </c>
      <c r="B1490" s="6" t="str">
        <f t="shared" ref="B1490:B1492" si="263">HYPERLINK("https://twitter.com/BigData_Fr","@BigData_Fr")</f>
        <v>@BigData_Fr</v>
      </c>
      <c r="C1490" s="14" t="s">
        <v>6331</v>
      </c>
      <c r="D1490" s="14" t="s">
        <v>6332</v>
      </c>
      <c r="E1490" s="6" t="str">
        <f>HYPERLINK("https://twitter.com/BigData_Fr/status/1364134500742103040","1364134500742103040")</f>
        <v>1364134500742103040</v>
      </c>
      <c r="F1490" s="14" t="s">
        <v>6333</v>
      </c>
      <c r="G1490" s="8"/>
      <c r="H1490" s="8"/>
      <c r="I1490" s="14">
        <v>1</v>
      </c>
      <c r="J1490" s="14">
        <v>2</v>
      </c>
      <c r="K1490" s="6" t="str">
        <f t="shared" ref="K1490:K1492" si="264">HYPERLINK("https://ifttt.com","IFTTT")</f>
        <v>IFTTT</v>
      </c>
      <c r="L1490" s="15">
        <v>4678</v>
      </c>
      <c r="M1490" s="15">
        <v>138</v>
      </c>
      <c r="N1490" s="15">
        <v>690</v>
      </c>
      <c r="O1490" s="9"/>
      <c r="P1490" s="10">
        <v>41348.789548611108</v>
      </c>
      <c r="Q1490" s="14" t="s">
        <v>106</v>
      </c>
      <c r="R1490" s="14" t="s">
        <v>6334</v>
      </c>
      <c r="S1490" s="8"/>
      <c r="T1490" s="8"/>
      <c r="U1490" s="11" t="str">
        <f t="shared" ref="U1490:U1492" si="265">HYPERLINK("https://pbs.twimg.com/profile_images/3383871004/a354ae86d389501ee80ffa7682d2157a.png","View")</f>
        <v>View</v>
      </c>
      <c r="V1490" s="8"/>
      <c r="W1490" s="8"/>
      <c r="X1490" s="8"/>
      <c r="Y1490" s="8"/>
      <c r="Z1490" s="8"/>
    </row>
    <row r="1491" spans="1:26" ht="13.2">
      <c r="A1491" s="13">
        <v>44250.407210648147</v>
      </c>
      <c r="B1491" s="6" t="str">
        <f t="shared" si="263"/>
        <v>@BigData_Fr</v>
      </c>
      <c r="C1491" s="14" t="s">
        <v>6331</v>
      </c>
      <c r="D1491" s="14" t="s">
        <v>6335</v>
      </c>
      <c r="E1491" s="6" t="str">
        <f>HYPERLINK("https://twitter.com/BigData_Fr/status/1364134497109897216","1364134497109897216")</f>
        <v>1364134497109897216</v>
      </c>
      <c r="F1491" s="14" t="s">
        <v>6336</v>
      </c>
      <c r="G1491" s="8"/>
      <c r="H1491" s="8"/>
      <c r="I1491" s="14">
        <v>1</v>
      </c>
      <c r="J1491" s="14">
        <v>1</v>
      </c>
      <c r="K1491" s="6" t="str">
        <f t="shared" si="264"/>
        <v>IFTTT</v>
      </c>
      <c r="L1491" s="15">
        <v>4678</v>
      </c>
      <c r="M1491" s="15">
        <v>138</v>
      </c>
      <c r="N1491" s="15">
        <v>690</v>
      </c>
      <c r="O1491" s="9"/>
      <c r="P1491" s="10">
        <v>41348.789548611108</v>
      </c>
      <c r="Q1491" s="14" t="s">
        <v>106</v>
      </c>
      <c r="R1491" s="14" t="s">
        <v>6334</v>
      </c>
      <c r="S1491" s="8"/>
      <c r="T1491" s="8"/>
      <c r="U1491" s="11" t="str">
        <f t="shared" si="265"/>
        <v>View</v>
      </c>
      <c r="V1491" s="8"/>
      <c r="W1491" s="8"/>
      <c r="X1491" s="8"/>
      <c r="Y1491" s="8"/>
      <c r="Z1491" s="8"/>
    </row>
    <row r="1492" spans="1:26" ht="13.2">
      <c r="A1492" s="13">
        <v>44250.407199074078</v>
      </c>
      <c r="B1492" s="6" t="str">
        <f t="shared" si="263"/>
        <v>@BigData_Fr</v>
      </c>
      <c r="C1492" s="14" t="s">
        <v>6331</v>
      </c>
      <c r="D1492" s="14" t="s">
        <v>6337</v>
      </c>
      <c r="E1492" s="6" t="str">
        <f>HYPERLINK("https://twitter.com/BigData_Fr/status/1364134493557293057","1364134493557293057")</f>
        <v>1364134493557293057</v>
      </c>
      <c r="F1492" s="14" t="s">
        <v>6338</v>
      </c>
      <c r="G1492" s="8"/>
      <c r="H1492" s="8"/>
      <c r="I1492" s="14">
        <v>0</v>
      </c>
      <c r="J1492" s="14">
        <v>1</v>
      </c>
      <c r="K1492" s="6" t="str">
        <f t="shared" si="264"/>
        <v>IFTTT</v>
      </c>
      <c r="L1492" s="15">
        <v>4678</v>
      </c>
      <c r="M1492" s="15">
        <v>138</v>
      </c>
      <c r="N1492" s="15">
        <v>690</v>
      </c>
      <c r="O1492" s="9"/>
      <c r="P1492" s="10">
        <v>41348.789548611108</v>
      </c>
      <c r="Q1492" s="14" t="s">
        <v>106</v>
      </c>
      <c r="R1492" s="14" t="s">
        <v>6334</v>
      </c>
      <c r="S1492" s="8"/>
      <c r="T1492" s="8"/>
      <c r="U1492" s="11" t="str">
        <f t="shared" si="265"/>
        <v>View</v>
      </c>
      <c r="V1492" s="8"/>
      <c r="W1492" s="8"/>
      <c r="X1492" s="8"/>
      <c r="Y1492" s="8"/>
      <c r="Z1492" s="8"/>
    </row>
    <row r="1493" spans="1:26" ht="13.2">
      <c r="A1493" s="13">
        <v>44250.40688657407</v>
      </c>
      <c r="B1493" s="6" t="str">
        <f>HYPERLINK("https://twitter.com/louischanloyuet","@louischanloyuet")</f>
        <v>@louischanloyuet</v>
      </c>
      <c r="C1493" s="14" t="s">
        <v>6339</v>
      </c>
      <c r="D1493" s="14" t="s">
        <v>6340</v>
      </c>
      <c r="E1493" s="6" t="str">
        <f>HYPERLINK("https://twitter.com/louischanloyuet/status/1364134381351280641","1364134381351280641")</f>
        <v>1364134381351280641</v>
      </c>
      <c r="F1493" s="7" t="s">
        <v>6341</v>
      </c>
      <c r="G1493" s="8"/>
      <c r="H1493" s="8"/>
      <c r="I1493" s="14">
        <v>11</v>
      </c>
      <c r="J1493" s="14">
        <v>14</v>
      </c>
      <c r="K1493" s="6" t="str">
        <f>HYPERLINK("https://mobile.twitter.com","Twitter Web App")</f>
        <v>Twitter Web App</v>
      </c>
      <c r="L1493" s="15">
        <v>31</v>
      </c>
      <c r="M1493" s="15">
        <v>14</v>
      </c>
      <c r="N1493" s="15">
        <v>0</v>
      </c>
      <c r="O1493" s="9"/>
      <c r="P1493" s="10">
        <v>42484.551979166667</v>
      </c>
      <c r="Q1493" s="8"/>
      <c r="R1493" s="14" t="s">
        <v>6342</v>
      </c>
      <c r="S1493" s="8"/>
      <c r="T1493" s="8"/>
      <c r="U1493" s="11" t="str">
        <f>HYPERLINK("https://pbs.twimg.com/profile_images/1324316502254931969/NIM7gHAe.jpg","View")</f>
        <v>View</v>
      </c>
      <c r="V1493" s="8"/>
      <c r="W1493" s="8"/>
      <c r="X1493" s="8"/>
      <c r="Y1493" s="8"/>
      <c r="Z1493" s="8"/>
    </row>
    <row r="1494" spans="1:26" ht="13.2">
      <c r="A1494" s="13">
        <v>44250.406365740739</v>
      </c>
      <c r="B1494" s="6" t="str">
        <f>HYPERLINK("https://twitter.com/javascriptflx","@javascriptflx")</f>
        <v>@javascriptflx</v>
      </c>
      <c r="C1494" s="14" t="s">
        <v>6343</v>
      </c>
      <c r="D1494" s="14" t="s">
        <v>6344</v>
      </c>
      <c r="E1494" s="6" t="str">
        <f>HYPERLINK("https://twitter.com/javascriptflx/status/1364134193656188930","1364134193656188930")</f>
        <v>1364134193656188930</v>
      </c>
      <c r="F1494" s="7" t="s">
        <v>6345</v>
      </c>
      <c r="G1494" s="8"/>
      <c r="H1494" s="8"/>
      <c r="I1494" s="14">
        <v>33</v>
      </c>
      <c r="J1494" s="14">
        <v>15</v>
      </c>
      <c r="K1494" s="6" t="str">
        <f>HYPERLINK("https://twitter.com/pythonbot_","Postmatico")</f>
        <v>Postmatico</v>
      </c>
      <c r="L1494" s="15">
        <v>37902</v>
      </c>
      <c r="M1494" s="15">
        <v>4520</v>
      </c>
      <c r="N1494" s="15">
        <v>2032</v>
      </c>
      <c r="O1494" s="9"/>
      <c r="P1494" s="10">
        <v>42333.864618055552</v>
      </c>
      <c r="Q1494" s="8"/>
      <c r="R1494" s="14" t="s">
        <v>6346</v>
      </c>
      <c r="S1494" s="8"/>
      <c r="T1494" s="8"/>
      <c r="U1494" s="11" t="str">
        <f>HYPERLINK("https://pbs.twimg.com/profile_images/669615961847255040/wBd7Caaw.jpg","View")</f>
        <v>View</v>
      </c>
      <c r="V1494" s="8"/>
      <c r="W1494" s="8"/>
      <c r="X1494" s="8"/>
      <c r="Y1494" s="8"/>
      <c r="Z1494" s="8"/>
    </row>
    <row r="1495" spans="1:26" ht="13.2">
      <c r="A1495" s="13">
        <v>44250.406284722223</v>
      </c>
      <c r="B1495" s="6" t="str">
        <f>HYPERLINK("https://twitter.com/nigewillson","@nigewillson")</f>
        <v>@nigewillson</v>
      </c>
      <c r="C1495" s="14" t="s">
        <v>95</v>
      </c>
      <c r="D1495" s="14" t="s">
        <v>481</v>
      </c>
      <c r="E1495" s="6" t="str">
        <f>HYPERLINK("https://twitter.com/nigewillson/status/1364134163155214337","1364134163155214337")</f>
        <v>1364134163155214337</v>
      </c>
      <c r="F1495" s="7" t="s">
        <v>482</v>
      </c>
      <c r="G1495" s="7" t="s">
        <v>6347</v>
      </c>
      <c r="H1495" s="8"/>
      <c r="I1495" s="14">
        <v>4</v>
      </c>
      <c r="J1495" s="14">
        <v>4</v>
      </c>
      <c r="K1495" s="6" t="str">
        <f>HYPERLINK("https://buffer.com","Buffer")</f>
        <v>Buffer</v>
      </c>
      <c r="L1495" s="15">
        <v>57515</v>
      </c>
      <c r="M1495" s="15">
        <v>49523</v>
      </c>
      <c r="N1495" s="15">
        <v>1688</v>
      </c>
      <c r="O1495" s="9"/>
      <c r="P1495" s="10">
        <v>40530.666805555556</v>
      </c>
      <c r="Q1495" s="14" t="s">
        <v>99</v>
      </c>
      <c r="R1495" s="14" t="s">
        <v>100</v>
      </c>
      <c r="S1495" s="7" t="s">
        <v>101</v>
      </c>
      <c r="T1495" s="8"/>
      <c r="U1495" s="11" t="str">
        <f>HYPERLINK("https://pbs.twimg.com/profile_images/1085251590997622784/x9mWVQ1d.jpg","View")</f>
        <v>View</v>
      </c>
      <c r="V1495" s="8"/>
      <c r="W1495" s="8"/>
      <c r="X1495" s="8"/>
      <c r="Y1495" s="8"/>
      <c r="Z1495" s="8"/>
    </row>
    <row r="1496" spans="1:26" ht="13.2">
      <c r="A1496" s="13">
        <v>44250.40625</v>
      </c>
      <c r="B1496" s="6" t="str">
        <f>HYPERLINK("https://twitter.com/HGSdigital","@HGSdigital")</f>
        <v>@HGSdigital</v>
      </c>
      <c r="C1496" s="14" t="s">
        <v>6348</v>
      </c>
      <c r="D1496" s="14" t="s">
        <v>6349</v>
      </c>
      <c r="E1496" s="6" t="str">
        <f>HYPERLINK("https://twitter.com/HGSdigital/status/1364134148928131073","1364134148928131073")</f>
        <v>1364134148928131073</v>
      </c>
      <c r="F1496" s="7" t="s">
        <v>6350</v>
      </c>
      <c r="G1496" s="7" t="s">
        <v>6351</v>
      </c>
      <c r="H1496" s="8"/>
      <c r="I1496" s="14">
        <v>0</v>
      </c>
      <c r="J1496" s="14">
        <v>0</v>
      </c>
      <c r="K1496" s="6" t="str">
        <f>HYPERLINK("https://www.semrush.com/","SEMrush Social Media Tool")</f>
        <v>SEMrush Social Media Tool</v>
      </c>
      <c r="L1496" s="15">
        <v>344</v>
      </c>
      <c r="M1496" s="15">
        <v>215</v>
      </c>
      <c r="N1496" s="15">
        <v>25</v>
      </c>
      <c r="O1496" s="9"/>
      <c r="P1496" s="10">
        <v>41173.052847222221</v>
      </c>
      <c r="Q1496" s="14" t="s">
        <v>660</v>
      </c>
      <c r="R1496" s="14" t="s">
        <v>6352</v>
      </c>
      <c r="S1496" s="7" t="s">
        <v>6353</v>
      </c>
      <c r="T1496" s="8"/>
      <c r="U1496" s="11" t="str">
        <f>HYPERLINK("https://pbs.twimg.com/profile_images/1173577189796659200/t9vj1e8Y.jpg","View")</f>
        <v>View</v>
      </c>
      <c r="V1496" s="8"/>
      <c r="W1496" s="8"/>
      <c r="X1496" s="8"/>
      <c r="Y1496" s="8"/>
      <c r="Z1496" s="8"/>
    </row>
    <row r="1497" spans="1:26" ht="13.2">
      <c r="A1497" s="13">
        <v>44250.406157407408</v>
      </c>
      <c r="B1497" s="6" t="str">
        <f t="shared" ref="B1497:B1498" si="266">HYPERLINK("https://twitter.com/AnalyticsFrance","@AnalyticsFrance")</f>
        <v>@AnalyticsFrance</v>
      </c>
      <c r="C1497" s="14" t="s">
        <v>6354</v>
      </c>
      <c r="D1497" s="14" t="s">
        <v>6355</v>
      </c>
      <c r="E1497" s="6" t="str">
        <f>HYPERLINK("https://twitter.com/AnalyticsFrance/status/1364134118003519489","1364134118003519489")</f>
        <v>1364134118003519489</v>
      </c>
      <c r="F1497" s="7" t="s">
        <v>6356</v>
      </c>
      <c r="G1497" s="8"/>
      <c r="H1497" s="8"/>
      <c r="I1497" s="14">
        <v>1</v>
      </c>
      <c r="J1497" s="14">
        <v>1</v>
      </c>
      <c r="K1497" s="6" t="str">
        <f t="shared" ref="K1497:K1498" si="267">HYPERLINK("https://ifttt.com","IFTTT")</f>
        <v>IFTTT</v>
      </c>
      <c r="L1497" s="15">
        <v>1643</v>
      </c>
      <c r="M1497" s="15">
        <v>152</v>
      </c>
      <c r="N1497" s="15">
        <v>407</v>
      </c>
      <c r="O1497" s="9"/>
      <c r="P1497" s="10">
        <v>41348.495752314819</v>
      </c>
      <c r="Q1497" s="14" t="s">
        <v>106</v>
      </c>
      <c r="R1497" s="14" t="s">
        <v>6334</v>
      </c>
      <c r="S1497" s="8"/>
      <c r="T1497" s="8"/>
      <c r="U1497" s="11" t="str">
        <f t="shared" ref="U1497:U1498" si="268">HYPERLINK("https://pbs.twimg.com/profile_images/3383072572/2b0e67be1460e16857e604cc450f5129.jpeg","View")</f>
        <v>View</v>
      </c>
      <c r="V1497" s="8"/>
      <c r="W1497" s="8"/>
      <c r="X1497" s="8"/>
      <c r="Y1497" s="8"/>
      <c r="Z1497" s="8"/>
    </row>
    <row r="1498" spans="1:26" ht="13.2">
      <c r="A1498" s="13">
        <v>44250.406064814815</v>
      </c>
      <c r="B1498" s="6" t="str">
        <f t="shared" si="266"/>
        <v>@AnalyticsFrance</v>
      </c>
      <c r="C1498" s="14" t="s">
        <v>6354</v>
      </c>
      <c r="D1498" s="14" t="s">
        <v>6357</v>
      </c>
      <c r="E1498" s="6" t="str">
        <f>HYPERLINK("https://twitter.com/AnalyticsFrance/status/1364134081815080960","1364134081815080960")</f>
        <v>1364134081815080960</v>
      </c>
      <c r="F1498" s="7" t="s">
        <v>6358</v>
      </c>
      <c r="G1498" s="8"/>
      <c r="H1498" s="8"/>
      <c r="I1498" s="14">
        <v>1</v>
      </c>
      <c r="J1498" s="14">
        <v>0</v>
      </c>
      <c r="K1498" s="6" t="str">
        <f t="shared" si="267"/>
        <v>IFTTT</v>
      </c>
      <c r="L1498" s="15">
        <v>1643</v>
      </c>
      <c r="M1498" s="15">
        <v>152</v>
      </c>
      <c r="N1498" s="15">
        <v>407</v>
      </c>
      <c r="O1498" s="9"/>
      <c r="P1498" s="10">
        <v>41348.495752314819</v>
      </c>
      <c r="Q1498" s="14" t="s">
        <v>106</v>
      </c>
      <c r="R1498" s="14" t="s">
        <v>6334</v>
      </c>
      <c r="S1498" s="8"/>
      <c r="T1498" s="8"/>
      <c r="U1498" s="11" t="str">
        <f t="shared" si="268"/>
        <v>View</v>
      </c>
      <c r="V1498" s="8"/>
      <c r="W1498" s="8"/>
      <c r="X1498" s="8"/>
      <c r="Y1498" s="8"/>
      <c r="Z1498" s="8"/>
    </row>
    <row r="1499" spans="1:26" ht="13.2">
      <c r="A1499" s="13">
        <v>44250.405925925923</v>
      </c>
      <c r="B1499" s="6" t="str">
        <f>HYPERLINK("https://twitter.com/cornichecorp","@cornichecorp")</f>
        <v>@cornichecorp</v>
      </c>
      <c r="C1499" s="14" t="s">
        <v>2271</v>
      </c>
      <c r="D1499" s="14" t="s">
        <v>4133</v>
      </c>
      <c r="E1499" s="6" t="str">
        <f>HYPERLINK("https://twitter.com/cornichecorp/status/1364134032875917320","1364134032875917320")</f>
        <v>1364134032875917320</v>
      </c>
      <c r="F1499" s="14" t="s">
        <v>4134</v>
      </c>
      <c r="G1499" s="8"/>
      <c r="H1499" s="8"/>
      <c r="I1499" s="14">
        <v>2</v>
      </c>
      <c r="J1499" s="14">
        <v>1</v>
      </c>
      <c r="K1499" s="6" t="str">
        <f>HYPERLINK("http://twinybots.com","TwinyBots")</f>
        <v>TwinyBots</v>
      </c>
      <c r="L1499" s="15">
        <v>2349</v>
      </c>
      <c r="M1499" s="15">
        <v>2163</v>
      </c>
      <c r="N1499" s="15">
        <v>30</v>
      </c>
      <c r="O1499" s="9"/>
      <c r="P1499" s="10">
        <v>42246.917499999996</v>
      </c>
      <c r="Q1499" s="14" t="s">
        <v>2274</v>
      </c>
      <c r="R1499" s="14" t="s">
        <v>2275</v>
      </c>
      <c r="S1499" s="8"/>
      <c r="T1499" s="8"/>
      <c r="U1499" s="11" t="str">
        <f>HYPERLINK("https://pbs.twimg.com/profile_images/1135863200396775424/vPe8Htor.png","View")</f>
        <v>View</v>
      </c>
      <c r="V1499" s="8"/>
      <c r="W1499" s="8"/>
      <c r="X1499" s="8"/>
      <c r="Y1499" s="8"/>
      <c r="Z1499" s="8"/>
    </row>
    <row r="1500" spans="1:26" ht="13.2">
      <c r="A1500" s="13">
        <v>44250.404907407406</v>
      </c>
      <c r="B1500" s="6" t="str">
        <f>HYPERLINK("https://twitter.com/Greatbotio","@Greatbotio")</f>
        <v>@Greatbotio</v>
      </c>
      <c r="C1500" s="7" t="s">
        <v>6359</v>
      </c>
      <c r="D1500" s="14" t="s">
        <v>6360</v>
      </c>
      <c r="E1500" s="6" t="str">
        <f>HYPERLINK("https://twitter.com/Greatbotio/status/1364133664632672257","1364133664632672257")</f>
        <v>1364133664632672257</v>
      </c>
      <c r="F1500" s="7" t="s">
        <v>6361</v>
      </c>
      <c r="G1500" s="8"/>
      <c r="H1500" s="8"/>
      <c r="I1500" s="14">
        <v>0</v>
      </c>
      <c r="J1500" s="14">
        <v>1</v>
      </c>
      <c r="K1500" s="6" t="str">
        <f>HYPERLINK("https://www.socialaider.com/","Social Aider")</f>
        <v>Social Aider</v>
      </c>
      <c r="L1500" s="15">
        <v>23</v>
      </c>
      <c r="M1500" s="15">
        <v>233</v>
      </c>
      <c r="N1500" s="15">
        <v>0</v>
      </c>
      <c r="O1500" s="9"/>
      <c r="P1500" s="10">
        <v>44208.484768518523</v>
      </c>
      <c r="Q1500" s="14" t="s">
        <v>599</v>
      </c>
      <c r="R1500" s="14" t="s">
        <v>6362</v>
      </c>
      <c r="S1500" s="7" t="s">
        <v>6363</v>
      </c>
      <c r="T1500" s="8"/>
      <c r="U1500" s="11" t="str">
        <f>HYPERLINK("https://pbs.twimg.com/profile_images/1348942799337644032/SR1RZW_z.jpg","View")</f>
        <v>View</v>
      </c>
      <c r="V1500" s="8"/>
      <c r="W1500" s="8"/>
      <c r="X1500" s="8"/>
      <c r="Y1500" s="8"/>
      <c r="Z1500" s="8"/>
    </row>
    <row r="1501" spans="1:26" ht="13.2">
      <c r="A1501" s="13">
        <v>44250.404907407406</v>
      </c>
      <c r="B1501" s="6" t="str">
        <f>HYPERLINK("https://twitter.com/corradodebari","@corradodebari")</f>
        <v>@corradodebari</v>
      </c>
      <c r="C1501" s="14" t="s">
        <v>6364</v>
      </c>
      <c r="D1501" s="14" t="s">
        <v>6365</v>
      </c>
      <c r="E1501" s="6" t="str">
        <f>HYPERLINK("https://twitter.com/corradodebari/status/1364133661914910723","1364133661914910723")</f>
        <v>1364133661914910723</v>
      </c>
      <c r="F1501" s="14" t="s">
        <v>6366</v>
      </c>
      <c r="G1501" s="8"/>
      <c r="H1501" s="8"/>
      <c r="I1501" s="14">
        <v>2</v>
      </c>
      <c r="J1501" s="14">
        <v>2</v>
      </c>
      <c r="K1501" s="6" t="str">
        <f t="shared" ref="K1501:K1504" si="269">HYPERLINK("https://mobile.twitter.com","Twitter Web App")</f>
        <v>Twitter Web App</v>
      </c>
      <c r="L1501" s="15">
        <v>125</v>
      </c>
      <c r="M1501" s="15">
        <v>310</v>
      </c>
      <c r="N1501" s="15">
        <v>3</v>
      </c>
      <c r="O1501" s="9"/>
      <c r="P1501" s="10">
        <v>39589.493229166663</v>
      </c>
      <c r="Q1501" s="14" t="s">
        <v>2483</v>
      </c>
      <c r="R1501" s="14" t="s">
        <v>6367</v>
      </c>
      <c r="S1501" s="8"/>
      <c r="T1501" s="8"/>
      <c r="U1501" s="11" t="str">
        <f>HYPERLINK("https://pbs.twimg.com/profile_images/1346423789920407553/HiiKwr1Y.jpg","View")</f>
        <v>View</v>
      </c>
      <c r="V1501" s="8"/>
      <c r="W1501" s="8"/>
      <c r="X1501" s="8"/>
      <c r="Y1501" s="8"/>
      <c r="Z1501" s="8"/>
    </row>
    <row r="1502" spans="1:26" ht="13.2">
      <c r="A1502" s="13">
        <v>44250.403680555552</v>
      </c>
      <c r="B1502" s="6" t="str">
        <f>HYPERLINK("https://twitter.com/eBotify","@eBotify")</f>
        <v>@eBotify</v>
      </c>
      <c r="C1502" s="14" t="s">
        <v>6368</v>
      </c>
      <c r="D1502" s="14" t="s">
        <v>6369</v>
      </c>
      <c r="E1502" s="6" t="str">
        <f>HYPERLINK("https://twitter.com/eBotify/status/1364133217687597056","1364133217687597056")</f>
        <v>1364133217687597056</v>
      </c>
      <c r="F1502" s="8"/>
      <c r="G1502" s="7" t="s">
        <v>6370</v>
      </c>
      <c r="H1502" s="8"/>
      <c r="I1502" s="14">
        <v>21</v>
      </c>
      <c r="J1502" s="14">
        <v>5</v>
      </c>
      <c r="K1502" s="6" t="str">
        <f t="shared" si="269"/>
        <v>Twitter Web App</v>
      </c>
      <c r="L1502" s="15">
        <v>9</v>
      </c>
      <c r="M1502" s="15">
        <v>2</v>
      </c>
      <c r="N1502" s="15">
        <v>0</v>
      </c>
      <c r="O1502" s="9"/>
      <c r="P1502" s="10">
        <v>44073.721956018519</v>
      </c>
      <c r="Q1502" s="8"/>
      <c r="R1502" s="14" t="s">
        <v>6371</v>
      </c>
      <c r="S1502" s="8"/>
      <c r="T1502" s="8"/>
      <c r="U1502" s="11" t="str">
        <f>HYPERLINK("https://pbs.twimg.com/profile_images/1356836383210541057/2MedpSLc.png","View")</f>
        <v>View</v>
      </c>
      <c r="V1502" s="8"/>
      <c r="W1502" s="8"/>
      <c r="X1502" s="8"/>
      <c r="Y1502" s="8"/>
      <c r="Z1502" s="8"/>
    </row>
    <row r="1503" spans="1:26" ht="13.2">
      <c r="A1503" s="13">
        <v>44250.40347222222</v>
      </c>
      <c r="B1503" s="6" t="str">
        <f>HYPERLINK("https://twitter.com/SourabhSKatoch","@SourabhSKatoch")</f>
        <v>@SourabhSKatoch</v>
      </c>
      <c r="C1503" s="14" t="s">
        <v>2965</v>
      </c>
      <c r="D1503" s="14" t="s">
        <v>6372</v>
      </c>
      <c r="E1503" s="6" t="str">
        <f>HYPERLINK("https://twitter.com/SourabhSKatoch/status/1364133142681030657","1364133142681030657")</f>
        <v>1364133142681030657</v>
      </c>
      <c r="F1503" s="7" t="s">
        <v>6373</v>
      </c>
      <c r="G1503" s="7" t="s">
        <v>6374</v>
      </c>
      <c r="H1503" s="8"/>
      <c r="I1503" s="14">
        <v>26</v>
      </c>
      <c r="J1503" s="14">
        <v>14</v>
      </c>
      <c r="K1503" s="6" t="str">
        <f t="shared" si="269"/>
        <v>Twitter Web App</v>
      </c>
      <c r="L1503" s="15">
        <v>12277</v>
      </c>
      <c r="M1503" s="15">
        <v>11846</v>
      </c>
      <c r="N1503" s="15">
        <v>59</v>
      </c>
      <c r="O1503" s="9"/>
      <c r="P1503" s="10">
        <v>42623.507314814815</v>
      </c>
      <c r="Q1503" s="14" t="s">
        <v>2969</v>
      </c>
      <c r="R1503" s="14" t="s">
        <v>2970</v>
      </c>
      <c r="S1503" s="8"/>
      <c r="T1503" s="8"/>
      <c r="U1503" s="11" t="str">
        <f>HYPERLINK("https://pbs.twimg.com/profile_images/1250501846709334017/WU0jzEqi.jpg","View")</f>
        <v>View</v>
      </c>
      <c r="V1503" s="8"/>
      <c r="W1503" s="8"/>
      <c r="X1503" s="8"/>
      <c r="Y1503" s="8"/>
      <c r="Z1503" s="8"/>
    </row>
    <row r="1504" spans="1:26" ht="13.2">
      <c r="A1504" s="13">
        <v>44250.403425925921</v>
      </c>
      <c r="B1504" s="6" t="str">
        <f>HYPERLINK("https://twitter.com/AnnetteSophonie","@AnnetteSophonie")</f>
        <v>@AnnetteSophonie</v>
      </c>
      <c r="C1504" s="14" t="s">
        <v>2177</v>
      </c>
      <c r="D1504" s="14" t="s">
        <v>6375</v>
      </c>
      <c r="E1504" s="6" t="str">
        <f>HYPERLINK("https://twitter.com/AnnetteSophonie/status/1364133128852312066","1364133128852312066")</f>
        <v>1364133128852312066</v>
      </c>
      <c r="F1504" s="7" t="s">
        <v>6376</v>
      </c>
      <c r="G1504" s="7" t="s">
        <v>6377</v>
      </c>
      <c r="H1504" s="8"/>
      <c r="I1504" s="14">
        <v>1</v>
      </c>
      <c r="J1504" s="14">
        <v>3</v>
      </c>
      <c r="K1504" s="6" t="str">
        <f t="shared" si="269"/>
        <v>Twitter Web App</v>
      </c>
      <c r="L1504" s="15">
        <v>1254</v>
      </c>
      <c r="M1504" s="15">
        <v>1237</v>
      </c>
      <c r="N1504" s="15">
        <v>11</v>
      </c>
      <c r="O1504" s="9"/>
      <c r="P1504" s="10">
        <v>43514.004745370374</v>
      </c>
      <c r="Q1504" s="14" t="s">
        <v>2181</v>
      </c>
      <c r="R1504" s="14" t="s">
        <v>2182</v>
      </c>
      <c r="S1504" s="8"/>
      <c r="T1504" s="8"/>
      <c r="U1504" s="11" t="str">
        <f>HYPERLINK("https://pbs.twimg.com/profile_images/1097274157040128000/kbJdFYDd.jpg","View")</f>
        <v>View</v>
      </c>
      <c r="V1504" s="8"/>
      <c r="W1504" s="8"/>
      <c r="X1504" s="8"/>
      <c r="Y1504" s="8"/>
      <c r="Z1504" s="8"/>
    </row>
    <row r="1505" spans="1:26" ht="13.2">
      <c r="A1505" s="13">
        <v>44250.403310185182</v>
      </c>
      <c r="B1505" s="6" t="str">
        <f>HYPERLINK("https://twitter.com/bewgleai","@bewgleai")</f>
        <v>@bewgleai</v>
      </c>
      <c r="C1505" s="14" t="s">
        <v>6378</v>
      </c>
      <c r="D1505" s="14" t="s">
        <v>6379</v>
      </c>
      <c r="E1505" s="6" t="str">
        <f>HYPERLINK("https://twitter.com/bewgleai/status/1364133087127302144","1364133087127302144")</f>
        <v>1364133087127302144</v>
      </c>
      <c r="F1505" s="7" t="s">
        <v>6380</v>
      </c>
      <c r="G1505" s="8"/>
      <c r="H1505" s="8"/>
      <c r="I1505" s="14">
        <v>0</v>
      </c>
      <c r="J1505" s="14">
        <v>1</v>
      </c>
      <c r="K1505" s="6" t="str">
        <f>HYPERLINK("https://about.twitter.com/products/tweetdeck","TweetDeck")</f>
        <v>TweetDeck</v>
      </c>
      <c r="L1505" s="15">
        <v>54</v>
      </c>
      <c r="M1505" s="15">
        <v>45</v>
      </c>
      <c r="N1505" s="15">
        <v>2</v>
      </c>
      <c r="O1505" s="9"/>
      <c r="P1505" s="10">
        <v>42988.808067129634</v>
      </c>
      <c r="Q1505" s="8"/>
      <c r="R1505" s="14" t="s">
        <v>6381</v>
      </c>
      <c r="S1505" s="7" t="s">
        <v>6382</v>
      </c>
      <c r="T1505" s="8"/>
      <c r="U1505" s="11" t="str">
        <f>HYPERLINK("https://pbs.twimg.com/profile_images/937473190636523520/qUKB9Pwj.jpg","View")</f>
        <v>View</v>
      </c>
      <c r="V1505" s="8"/>
      <c r="W1505" s="8"/>
      <c r="X1505" s="8"/>
      <c r="Y1505" s="8"/>
      <c r="Z1505" s="8"/>
    </row>
    <row r="1506" spans="1:26" ht="13.2">
      <c r="A1506" s="13">
        <v>44250.402812500004</v>
      </c>
      <c r="B1506" s="6" t="str">
        <f>HYPERLINK("https://twitter.com/nigewillson","@nigewillson")</f>
        <v>@nigewillson</v>
      </c>
      <c r="C1506" s="14" t="s">
        <v>95</v>
      </c>
      <c r="D1506" s="14" t="s">
        <v>552</v>
      </c>
      <c r="E1506" s="6" t="str">
        <f>HYPERLINK("https://twitter.com/nigewillson/status/1364132903509196804","1364132903509196804")</f>
        <v>1364132903509196804</v>
      </c>
      <c r="F1506" s="7" t="s">
        <v>553</v>
      </c>
      <c r="G1506" s="7" t="s">
        <v>6383</v>
      </c>
      <c r="H1506" s="8"/>
      <c r="I1506" s="14">
        <v>9</v>
      </c>
      <c r="J1506" s="14">
        <v>6</v>
      </c>
      <c r="K1506" s="6" t="str">
        <f>HYPERLINK("https://buffer.com","Buffer")</f>
        <v>Buffer</v>
      </c>
      <c r="L1506" s="15">
        <v>57515</v>
      </c>
      <c r="M1506" s="15">
        <v>49523</v>
      </c>
      <c r="N1506" s="15">
        <v>1688</v>
      </c>
      <c r="O1506" s="9"/>
      <c r="P1506" s="10">
        <v>40530.666805555556</v>
      </c>
      <c r="Q1506" s="14" t="s">
        <v>99</v>
      </c>
      <c r="R1506" s="14" t="s">
        <v>100</v>
      </c>
      <c r="S1506" s="7" t="s">
        <v>101</v>
      </c>
      <c r="T1506" s="8"/>
      <c r="U1506" s="11" t="str">
        <f>HYPERLINK("https://pbs.twimg.com/profile_images/1085251590997622784/x9mWVQ1d.jpg","View")</f>
        <v>View</v>
      </c>
      <c r="V1506" s="8"/>
      <c r="W1506" s="8"/>
      <c r="X1506" s="8"/>
      <c r="Y1506" s="8"/>
      <c r="Z1506" s="8"/>
    </row>
    <row r="1507" spans="1:26" ht="13.2">
      <c r="A1507" s="13">
        <v>44250.402615740742</v>
      </c>
      <c r="B1507" s="6" t="str">
        <f>HYPERLINK("https://twitter.com/awscloud_es","@awscloud_es")</f>
        <v>@awscloud_es</v>
      </c>
      <c r="C1507" s="14" t="s">
        <v>6384</v>
      </c>
      <c r="D1507" s="14" t="s">
        <v>6385</v>
      </c>
      <c r="E1507" s="6" t="str">
        <f>HYPERLINK("https://twitter.com/awscloud_es/status/1364132833267179522","1364132833267179522")</f>
        <v>1364132833267179522</v>
      </c>
      <c r="F1507" s="7" t="s">
        <v>6386</v>
      </c>
      <c r="G1507" s="7" t="s">
        <v>6387</v>
      </c>
      <c r="H1507" s="8"/>
      <c r="I1507" s="14">
        <v>3</v>
      </c>
      <c r="J1507" s="14">
        <v>1</v>
      </c>
      <c r="K1507" s="6" t="str">
        <f>HYPERLINK("https://www.sprinklr.com","Sprinklr")</f>
        <v>Sprinklr</v>
      </c>
      <c r="L1507" s="15">
        <v>7344</v>
      </c>
      <c r="M1507" s="15">
        <v>35</v>
      </c>
      <c r="N1507" s="15">
        <v>130</v>
      </c>
      <c r="O1507" s="9"/>
      <c r="P1507" s="10">
        <v>41857.965833333335</v>
      </c>
      <c r="Q1507" s="14" t="s">
        <v>2931</v>
      </c>
      <c r="R1507" s="14" t="s">
        <v>6388</v>
      </c>
      <c r="S1507" s="7" t="s">
        <v>6389</v>
      </c>
      <c r="T1507" s="8"/>
      <c r="U1507" s="11" t="str">
        <f>HYPERLINK("https://pbs.twimg.com/profile_images/1351573137855373312/NusaOfNL.jpg","View")</f>
        <v>View</v>
      </c>
      <c r="V1507" s="8"/>
      <c r="W1507" s="8"/>
      <c r="X1507" s="8"/>
      <c r="Y1507" s="8"/>
      <c r="Z1507" s="8"/>
    </row>
    <row r="1508" spans="1:26" ht="13.2">
      <c r="A1508" s="13">
        <v>44250.402604166666</v>
      </c>
      <c r="B1508" s="6" t="str">
        <f>HYPERLINK("https://twitter.com/jumpingbeansa","@jumpingbeansa")</f>
        <v>@jumpingbeansa</v>
      </c>
      <c r="C1508" s="14" t="s">
        <v>6390</v>
      </c>
      <c r="D1508" s="14" t="s">
        <v>6391</v>
      </c>
      <c r="E1508" s="6" t="str">
        <f>HYPERLINK("https://twitter.com/jumpingbeansa/status/1364132827537768450","1364132827537768450")</f>
        <v>1364132827537768450</v>
      </c>
      <c r="F1508" s="7" t="s">
        <v>6392</v>
      </c>
      <c r="G1508" s="7" t="s">
        <v>6393</v>
      </c>
      <c r="H1508" s="8"/>
      <c r="I1508" s="14">
        <v>0</v>
      </c>
      <c r="J1508" s="14">
        <v>0</v>
      </c>
      <c r="K1508" s="6" t="str">
        <f>HYPERLINK("https://buffer.com","Buffer")</f>
        <v>Buffer</v>
      </c>
      <c r="L1508" s="15">
        <v>445</v>
      </c>
      <c r="M1508" s="15">
        <v>272</v>
      </c>
      <c r="N1508" s="15">
        <v>29</v>
      </c>
      <c r="O1508" s="9"/>
      <c r="P1508" s="10">
        <v>39828.660902777774</v>
      </c>
      <c r="Q1508" s="14" t="s">
        <v>6394</v>
      </c>
      <c r="R1508" s="14" t="s">
        <v>6395</v>
      </c>
      <c r="S1508" s="7" t="s">
        <v>6396</v>
      </c>
      <c r="T1508" s="8"/>
      <c r="U1508" s="11" t="str">
        <f>HYPERLINK("https://pbs.twimg.com/profile_images/642257241064628224/aIJX4AMx.png","View")</f>
        <v>View</v>
      </c>
      <c r="V1508" s="8"/>
      <c r="W1508" s="8"/>
      <c r="X1508" s="8"/>
      <c r="Y1508" s="8"/>
      <c r="Z1508" s="8"/>
    </row>
    <row r="1509" spans="1:26" ht="13.2">
      <c r="A1509" s="13">
        <v>44250.402083333334</v>
      </c>
      <c r="B1509" s="6" t="str">
        <f>HYPERLINK("https://twitter.com/Analyticsindiam","@Analyticsindiam")</f>
        <v>@Analyticsindiam</v>
      </c>
      <c r="C1509" s="14" t="s">
        <v>5870</v>
      </c>
      <c r="D1509" s="14" t="s">
        <v>6397</v>
      </c>
      <c r="E1509" s="6" t="str">
        <f>HYPERLINK("https://twitter.com/Analyticsindiam/status/1364132640886956038","1364132640886956038")</f>
        <v>1364132640886956038</v>
      </c>
      <c r="F1509" s="7" t="s">
        <v>6398</v>
      </c>
      <c r="G1509" s="8"/>
      <c r="H1509" s="8"/>
      <c r="I1509" s="14">
        <v>11</v>
      </c>
      <c r="J1509" s="14">
        <v>13</v>
      </c>
      <c r="K1509" s="6" t="str">
        <f>HYPERLINK("https://social.zoho.com","Zoho Social")</f>
        <v>Zoho Social</v>
      </c>
      <c r="L1509" s="15">
        <v>12466</v>
      </c>
      <c r="M1509" s="15">
        <v>353</v>
      </c>
      <c r="N1509" s="15">
        <v>284</v>
      </c>
      <c r="O1509" s="9"/>
      <c r="P1509" s="10">
        <v>41209.688425925924</v>
      </c>
      <c r="Q1509" s="14" t="s">
        <v>1742</v>
      </c>
      <c r="R1509" s="14" t="s">
        <v>5873</v>
      </c>
      <c r="S1509" s="7" t="s">
        <v>5874</v>
      </c>
      <c r="T1509" s="8"/>
      <c r="U1509" s="11" t="str">
        <f>HYPERLINK("https://pbs.twimg.com/profile_images/1346368144391118848/X7OaLwQ5.jpg","View")</f>
        <v>View</v>
      </c>
      <c r="V1509" s="8"/>
      <c r="W1509" s="8"/>
      <c r="X1509" s="8"/>
      <c r="Y1509" s="8"/>
      <c r="Z1509" s="8"/>
    </row>
    <row r="1510" spans="1:26" ht="13.2">
      <c r="A1510" s="13">
        <v>44250.402071759258</v>
      </c>
      <c r="B1510" s="6" t="str">
        <f>HYPERLINK("https://twitter.com/Datascience__","@Datascience__")</f>
        <v>@Datascience__</v>
      </c>
      <c r="C1510" s="14" t="s">
        <v>1082</v>
      </c>
      <c r="D1510" s="14" t="s">
        <v>6399</v>
      </c>
      <c r="E1510" s="6" t="str">
        <f>HYPERLINK("https://twitter.com/Datascience__/status/1364132635530964993","1364132635530964993")</f>
        <v>1364132635530964993</v>
      </c>
      <c r="F1510" s="7" t="s">
        <v>6400</v>
      </c>
      <c r="G1510" s="8"/>
      <c r="H1510" s="8"/>
      <c r="I1510" s="14">
        <v>2</v>
      </c>
      <c r="J1510" s="14">
        <v>0</v>
      </c>
      <c r="K1510" s="6" t="str">
        <f>HYPERLINK("https://twitter.com/pythonbot_","Postmatico")</f>
        <v>Postmatico</v>
      </c>
      <c r="L1510" s="15">
        <v>21499</v>
      </c>
      <c r="M1510" s="15">
        <v>11071</v>
      </c>
      <c r="N1510" s="15">
        <v>0</v>
      </c>
      <c r="O1510" s="9"/>
      <c r="P1510" s="10">
        <v>42735.551377314812</v>
      </c>
      <c r="Q1510" s="8"/>
      <c r="R1510" s="14" t="s">
        <v>1085</v>
      </c>
      <c r="S1510" s="7" t="s">
        <v>1086</v>
      </c>
      <c r="T1510" s="8"/>
      <c r="U1510" s="11" t="str">
        <f>HYPERLINK("https://pbs.twimg.com/profile_images/989066461435097088/AQZSFyuk.jpg","View")</f>
        <v>View</v>
      </c>
      <c r="V1510" s="8"/>
      <c r="W1510" s="8"/>
      <c r="X1510" s="8"/>
      <c r="Y1510" s="8"/>
      <c r="Z1510" s="8"/>
    </row>
    <row r="1511" spans="1:26" ht="13.2">
      <c r="A1511" s="13">
        <v>44250.402025462958</v>
      </c>
      <c r="B1511" s="6" t="str">
        <f>HYPERLINK("https://twitter.com/M6sp2004","@M6sp2004")</f>
        <v>@M6sp2004</v>
      </c>
      <c r="C1511" s="14" t="s">
        <v>5955</v>
      </c>
      <c r="D1511" s="14" t="s">
        <v>6401</v>
      </c>
      <c r="E1511" s="6" t="str">
        <f>HYPERLINK("https://twitter.com/M6sp2004/status/1364132620301402123","1364132620301402123")</f>
        <v>1364132620301402123</v>
      </c>
      <c r="F1511" s="7" t="s">
        <v>6402</v>
      </c>
      <c r="G1511" s="8"/>
      <c r="H1511" s="8"/>
      <c r="I1511" s="14">
        <v>0</v>
      </c>
      <c r="J1511" s="14">
        <v>0</v>
      </c>
      <c r="K1511" s="6" t="str">
        <f>HYPERLINK("https://mobile.twitter.com","Twitter Web App")</f>
        <v>Twitter Web App</v>
      </c>
      <c r="L1511" s="15">
        <v>103</v>
      </c>
      <c r="M1511" s="15">
        <v>146</v>
      </c>
      <c r="N1511" s="15">
        <v>1</v>
      </c>
      <c r="O1511" s="9"/>
      <c r="P1511" s="10">
        <v>42391.69122685185</v>
      </c>
      <c r="Q1511" s="8"/>
      <c r="R1511" s="14" t="s">
        <v>5958</v>
      </c>
      <c r="S1511" s="7" t="s">
        <v>5959</v>
      </c>
      <c r="T1511" s="8"/>
      <c r="U1511" s="11" t="str">
        <f>HYPERLINK("https://pbs.twimg.com/profile_images/1320862248378814475/whlMxu6t.jpg","View")</f>
        <v>View</v>
      </c>
      <c r="V1511" s="8"/>
      <c r="W1511" s="8"/>
      <c r="X1511" s="8"/>
      <c r="Y1511" s="8"/>
      <c r="Z1511" s="8"/>
    </row>
    <row r="1512" spans="1:26" ht="13.2">
      <c r="A1512" s="13">
        <v>44250.401805555557</v>
      </c>
      <c r="B1512" s="6" t="str">
        <f>HYPERLINK("https://twitter.com/PROJECTCONSULT_","@PROJECTCONSULT_")</f>
        <v>@PROJECTCONSULT_</v>
      </c>
      <c r="C1512" s="14" t="s">
        <v>6403</v>
      </c>
      <c r="D1512" s="14" t="s">
        <v>6404</v>
      </c>
      <c r="E1512" s="6" t="str">
        <f>HYPERLINK("https://twitter.com/PROJECTCONSULT_/status/1364132540957810690","1364132540957810690")</f>
        <v>1364132540957810690</v>
      </c>
      <c r="F1512" s="7" t="s">
        <v>6405</v>
      </c>
      <c r="G1512" s="8"/>
      <c r="H1512" s="8"/>
      <c r="I1512" s="14">
        <v>3</v>
      </c>
      <c r="J1512" s="14">
        <v>0</v>
      </c>
      <c r="K1512" s="6" t="str">
        <f>HYPERLINK("https://bitly.com/","Bitly")</f>
        <v>Bitly</v>
      </c>
      <c r="L1512" s="15">
        <v>1956</v>
      </c>
      <c r="M1512" s="15">
        <v>3008</v>
      </c>
      <c r="N1512" s="15">
        <v>531</v>
      </c>
      <c r="O1512" s="9"/>
      <c r="P1512" s="10">
        <v>40574.537152777775</v>
      </c>
      <c r="Q1512" s="14" t="s">
        <v>266</v>
      </c>
      <c r="R1512" s="14" t="s">
        <v>6406</v>
      </c>
      <c r="S1512" s="7" t="s">
        <v>6407</v>
      </c>
      <c r="T1512" s="8"/>
      <c r="U1512" s="11" t="str">
        <f>HYPERLINK("https://pbs.twimg.com/profile_images/1234499388/n367104918594_7014.jpg","View")</f>
        <v>View</v>
      </c>
      <c r="V1512" s="8"/>
      <c r="W1512" s="8"/>
      <c r="X1512" s="8"/>
      <c r="Y1512" s="8"/>
      <c r="Z1512" s="8"/>
    </row>
    <row r="1513" spans="1:26" ht="13.2">
      <c r="A1513" s="13">
        <v>44250.401747685188</v>
      </c>
      <c r="B1513" s="6" t="str">
        <f>HYPERLINK("https://twitter.com/M6sp2004","@M6sp2004")</f>
        <v>@M6sp2004</v>
      </c>
      <c r="C1513" s="14" t="s">
        <v>5955</v>
      </c>
      <c r="D1513" s="14" t="s">
        <v>6408</v>
      </c>
      <c r="E1513" s="6" t="str">
        <f>HYPERLINK("https://twitter.com/M6sp2004/status/1364132518518226948","1364132518518226948")</f>
        <v>1364132518518226948</v>
      </c>
      <c r="F1513" s="7" t="s">
        <v>6409</v>
      </c>
      <c r="G1513" s="8"/>
      <c r="H1513" s="8"/>
      <c r="I1513" s="14">
        <v>0</v>
      </c>
      <c r="J1513" s="14">
        <v>0</v>
      </c>
      <c r="K1513" s="6" t="str">
        <f>HYPERLINK("https://mobile.twitter.com","Twitter Web App")</f>
        <v>Twitter Web App</v>
      </c>
      <c r="L1513" s="15">
        <v>103</v>
      </c>
      <c r="M1513" s="15">
        <v>146</v>
      </c>
      <c r="N1513" s="15">
        <v>1</v>
      </c>
      <c r="O1513" s="9"/>
      <c r="P1513" s="10">
        <v>42391.69122685185</v>
      </c>
      <c r="Q1513" s="8"/>
      <c r="R1513" s="14" t="s">
        <v>5958</v>
      </c>
      <c r="S1513" s="7" t="s">
        <v>5959</v>
      </c>
      <c r="T1513" s="8"/>
      <c r="U1513" s="11" t="str">
        <f>HYPERLINK("https://pbs.twimg.com/profile_images/1320862248378814475/whlMxu6t.jpg","View")</f>
        <v>View</v>
      </c>
      <c r="V1513" s="8"/>
      <c r="W1513" s="8"/>
      <c r="X1513" s="8"/>
      <c r="Y1513" s="8"/>
      <c r="Z1513" s="8"/>
    </row>
    <row r="1514" spans="1:26" ht="13.2">
      <c r="A1514" s="13">
        <v>44250.401712962965</v>
      </c>
      <c r="B1514" s="6" t="str">
        <f>HYPERLINK("https://twitter.com/PROJECTCONSULT_","@PROJECTCONSULT_")</f>
        <v>@PROJECTCONSULT_</v>
      </c>
      <c r="C1514" s="14" t="s">
        <v>6403</v>
      </c>
      <c r="D1514" s="14" t="s">
        <v>6410</v>
      </c>
      <c r="E1514" s="6" t="str">
        <f>HYPERLINK("https://twitter.com/PROJECTCONSULT_/status/1364132506551934977","1364132506551934977")</f>
        <v>1364132506551934977</v>
      </c>
      <c r="F1514" s="7" t="s">
        <v>6411</v>
      </c>
      <c r="G1514" s="8"/>
      <c r="H1514" s="8"/>
      <c r="I1514" s="14">
        <v>0</v>
      </c>
      <c r="J1514" s="14">
        <v>0</v>
      </c>
      <c r="K1514" s="6" t="str">
        <f>HYPERLINK("https://bitly.com/","Bitly")</f>
        <v>Bitly</v>
      </c>
      <c r="L1514" s="15">
        <v>1956</v>
      </c>
      <c r="M1514" s="15">
        <v>3008</v>
      </c>
      <c r="N1514" s="15">
        <v>531</v>
      </c>
      <c r="O1514" s="9"/>
      <c r="P1514" s="10">
        <v>40574.537152777775</v>
      </c>
      <c r="Q1514" s="14" t="s">
        <v>266</v>
      </c>
      <c r="R1514" s="14" t="s">
        <v>6406</v>
      </c>
      <c r="S1514" s="7" t="s">
        <v>6407</v>
      </c>
      <c r="T1514" s="8"/>
      <c r="U1514" s="11" t="str">
        <f>HYPERLINK("https://pbs.twimg.com/profile_images/1234499388/n367104918594_7014.jpg","View")</f>
        <v>View</v>
      </c>
      <c r="V1514" s="8"/>
      <c r="W1514" s="8"/>
      <c r="X1514" s="8"/>
      <c r="Y1514" s="8"/>
      <c r="Z1514" s="8"/>
    </row>
    <row r="1515" spans="1:26" ht="13.2">
      <c r="A1515" s="13">
        <v>44250.401400462964</v>
      </c>
      <c r="B1515" s="6" t="str">
        <f>HYPERLINK("https://twitter.com/hacking_future","@hacking_future")</f>
        <v>@hacking_future</v>
      </c>
      <c r="C1515" s="14" t="s">
        <v>3085</v>
      </c>
      <c r="D1515" s="14" t="s">
        <v>6412</v>
      </c>
      <c r="E1515" s="6" t="str">
        <f>HYPERLINK("https://twitter.com/hacking_future/status/1364132391405694976","1364132391405694976")</f>
        <v>1364132391405694976</v>
      </c>
      <c r="F1515" s="7" t="s">
        <v>6413</v>
      </c>
      <c r="G1515" s="8"/>
      <c r="H1515" s="8"/>
      <c r="I1515" s="14">
        <v>8</v>
      </c>
      <c r="J1515" s="14">
        <v>5</v>
      </c>
      <c r="K1515" s="6" t="str">
        <f>HYPERLINK("https://buffer.com","Buffer")</f>
        <v>Buffer</v>
      </c>
      <c r="L1515" s="15">
        <v>1502</v>
      </c>
      <c r="M1515" s="15">
        <v>1987</v>
      </c>
      <c r="N1515" s="15">
        <v>48</v>
      </c>
      <c r="O1515" s="9"/>
      <c r="P1515" s="10">
        <v>42822.824421296296</v>
      </c>
      <c r="Q1515" s="14" t="s">
        <v>1815</v>
      </c>
      <c r="R1515" s="14" t="s">
        <v>3087</v>
      </c>
      <c r="S1515" s="7" t="s">
        <v>3088</v>
      </c>
      <c r="T1515" s="8"/>
      <c r="U1515" s="11" t="str">
        <f>HYPERLINK("https://pbs.twimg.com/profile_images/859699037385232385/aq_sLibI.jpg","View")</f>
        <v>View</v>
      </c>
      <c r="V1515" s="8"/>
      <c r="W1515" s="8"/>
      <c r="X1515" s="8"/>
      <c r="Y1515" s="8"/>
      <c r="Z1515" s="8"/>
    </row>
    <row r="1516" spans="1:26" ht="13.2">
      <c r="A1516" s="13">
        <v>44250.401296296295</v>
      </c>
      <c r="B1516" s="6" t="str">
        <f>HYPERLINK("https://twitter.com/moueller1961","@moueller1961")</f>
        <v>@moueller1961</v>
      </c>
      <c r="C1516" s="14" t="s">
        <v>6414</v>
      </c>
      <c r="D1516" s="14" t="s">
        <v>6415</v>
      </c>
      <c r="E1516" s="6" t="str">
        <f>HYPERLINK("https://twitter.com/moueller1961/status/1364132356018364422","1364132356018364422")</f>
        <v>1364132356018364422</v>
      </c>
      <c r="F1516" s="7" t="s">
        <v>6416</v>
      </c>
      <c r="G1516" s="7" t="s">
        <v>6417</v>
      </c>
      <c r="H1516" s="8"/>
      <c r="I1516" s="14">
        <v>2</v>
      </c>
      <c r="J1516" s="14">
        <v>2</v>
      </c>
      <c r="K1516" s="6" t="str">
        <f>HYPERLINK("https://mobile.twitter.com","Twitter Web App")</f>
        <v>Twitter Web App</v>
      </c>
      <c r="L1516" s="15">
        <v>2581</v>
      </c>
      <c r="M1516" s="15">
        <v>26</v>
      </c>
      <c r="N1516" s="15">
        <v>256</v>
      </c>
      <c r="O1516" s="9"/>
      <c r="P1516" s="10">
        <v>42106.853055555555</v>
      </c>
      <c r="Q1516" s="8"/>
      <c r="R1516" s="14" t="s">
        <v>6418</v>
      </c>
      <c r="S1516" s="8"/>
      <c r="T1516" s="8"/>
      <c r="U1516" s="11" t="str">
        <f>HYPERLINK("https://pbs.twimg.com/profile_images/1202572262156713985/_52Q3Trv.jpg","View")</f>
        <v>View</v>
      </c>
      <c r="V1516" s="8"/>
      <c r="W1516" s="8"/>
      <c r="X1516" s="8"/>
      <c r="Y1516" s="8"/>
      <c r="Z1516" s="8"/>
    </row>
    <row r="1517" spans="1:26" ht="13.2">
      <c r="A1517" s="13">
        <v>44250.400694444441</v>
      </c>
      <c r="B1517" s="6" t="str">
        <f>HYPERLINK("https://twitter.com/GoogleCloud_ANZ","@GoogleCloud_ANZ")</f>
        <v>@GoogleCloud_ANZ</v>
      </c>
      <c r="C1517" s="14" t="s">
        <v>6419</v>
      </c>
      <c r="D1517" s="14" t="s">
        <v>6420</v>
      </c>
      <c r="E1517" s="6" t="str">
        <f>HYPERLINK("https://twitter.com/GoogleCloud_ANZ/status/1364132135804805120","1364132135804805120")</f>
        <v>1364132135804805120</v>
      </c>
      <c r="F1517" s="7" t="s">
        <v>6421</v>
      </c>
      <c r="G1517" s="8"/>
      <c r="H1517" s="8"/>
      <c r="I1517" s="14">
        <v>1</v>
      </c>
      <c r="J1517" s="14">
        <v>2</v>
      </c>
      <c r="K1517" s="6" t="str">
        <f>HYPERLINK("https://www.sprinklr.com","Sprinklr")</f>
        <v>Sprinklr</v>
      </c>
      <c r="L1517" s="15">
        <v>14607</v>
      </c>
      <c r="M1517" s="15">
        <v>101</v>
      </c>
      <c r="N1517" s="15">
        <v>44</v>
      </c>
      <c r="O1517" s="15" t="s">
        <v>130</v>
      </c>
      <c r="P1517" s="10">
        <v>43302.032187500001</v>
      </c>
      <c r="Q1517" s="14" t="s">
        <v>1965</v>
      </c>
      <c r="R1517" s="14" t="s">
        <v>6422</v>
      </c>
      <c r="S1517" s="8"/>
      <c r="T1517" s="8"/>
      <c r="U1517" s="11" t="str">
        <f>HYPERLINK("https://pbs.twimg.com/profile_images/1237213538910752768/eHNqtuAI.jpg","View")</f>
        <v>View</v>
      </c>
      <c r="V1517" s="8"/>
      <c r="W1517" s="8"/>
      <c r="X1517" s="8"/>
      <c r="Y1517" s="8"/>
      <c r="Z1517" s="8"/>
    </row>
    <row r="1518" spans="1:26" ht="13.2">
      <c r="A1518" s="13">
        <v>44250.400555555556</v>
      </c>
      <c r="B1518" s="6" t="str">
        <f>HYPERLINK("https://twitter.com/ml_medicine","@ml_medicine")</f>
        <v>@ml_medicine</v>
      </c>
      <c r="C1518" s="14" t="s">
        <v>6423</v>
      </c>
      <c r="D1518" s="14" t="s">
        <v>6424</v>
      </c>
      <c r="E1518" s="6" t="str">
        <f>HYPERLINK("https://twitter.com/ml_medicine/status/1364132086454616066","1364132086454616066")</f>
        <v>1364132086454616066</v>
      </c>
      <c r="F1518" s="7" t="s">
        <v>6425</v>
      </c>
      <c r="G1518" s="8"/>
      <c r="H1518" s="8"/>
      <c r="I1518" s="14">
        <v>3</v>
      </c>
      <c r="J1518" s="14">
        <v>2</v>
      </c>
      <c r="K1518" s="6" t="str">
        <f>HYPERLINK("https://mobile.twitter.com","Twitter Web App")</f>
        <v>Twitter Web App</v>
      </c>
      <c r="L1518" s="15">
        <v>99</v>
      </c>
      <c r="M1518" s="15">
        <v>162</v>
      </c>
      <c r="N1518" s="15">
        <v>1</v>
      </c>
      <c r="O1518" s="9"/>
      <c r="P1518" s="10">
        <v>43717.80059027778</v>
      </c>
      <c r="Q1518" s="14" t="s">
        <v>6426</v>
      </c>
      <c r="R1518" s="14" t="s">
        <v>6427</v>
      </c>
      <c r="S1518" s="8"/>
      <c r="T1518" s="8"/>
      <c r="U1518" s="11" t="str">
        <f>HYPERLINK("https://pbs.twimg.com/profile_images/1171115707309985792/PRIDSBFY.jpg","View")</f>
        <v>View</v>
      </c>
      <c r="V1518" s="8"/>
      <c r="W1518" s="8"/>
      <c r="X1518" s="8"/>
      <c r="Y1518" s="8"/>
      <c r="Z1518" s="8"/>
    </row>
    <row r="1519" spans="1:26" ht="13.2">
      <c r="A1519" s="13">
        <v>44250.400335648148</v>
      </c>
      <c r="B1519" s="6" t="str">
        <f>HYPERLINK("https://twitter.com/machinelearnflx","@machinelearnflx")</f>
        <v>@machinelearnflx</v>
      </c>
      <c r="C1519" s="14" t="s">
        <v>279</v>
      </c>
      <c r="D1519" s="14" t="s">
        <v>6428</v>
      </c>
      <c r="E1519" s="6" t="str">
        <f>HYPERLINK("https://twitter.com/machinelearnflx/status/1364132008193048579","1364132008193048579")</f>
        <v>1364132008193048579</v>
      </c>
      <c r="F1519" s="7" t="s">
        <v>6429</v>
      </c>
      <c r="G1519" s="8"/>
      <c r="H1519" s="8"/>
      <c r="I1519" s="14">
        <v>6</v>
      </c>
      <c r="J1519" s="14">
        <v>10</v>
      </c>
      <c r="K1519" s="6" t="str">
        <f>HYPERLINK("https://twitter.com/pythonbot_","Postmatico")</f>
        <v>Postmatico</v>
      </c>
      <c r="L1519" s="15">
        <v>90451</v>
      </c>
      <c r="M1519" s="15">
        <v>35464</v>
      </c>
      <c r="N1519" s="15">
        <v>2227</v>
      </c>
      <c r="O1519" s="9"/>
      <c r="P1519" s="10">
        <v>42386.538865740746</v>
      </c>
      <c r="Q1519" s="8"/>
      <c r="R1519" s="14" t="s">
        <v>282</v>
      </c>
      <c r="S1519" s="7" t="s">
        <v>283</v>
      </c>
      <c r="T1519" s="8"/>
      <c r="U1519" s="11" t="str">
        <f>HYPERLINK("https://pbs.twimg.com/profile_images/688735459892195329/v8sHaWSG.jpg","View")</f>
        <v>View</v>
      </c>
      <c r="V1519" s="8"/>
      <c r="W1519" s="8"/>
      <c r="X1519" s="8"/>
      <c r="Y1519" s="8"/>
      <c r="Z1519" s="8"/>
    </row>
    <row r="1520" spans="1:26" ht="13.2">
      <c r="A1520" s="13">
        <v>44250.399907407409</v>
      </c>
      <c r="B1520" s="6" t="str">
        <f>HYPERLINK("https://twitter.com/Arthonsyst","@Arthonsyst")</f>
        <v>@Arthonsyst</v>
      </c>
      <c r="C1520" s="14" t="s">
        <v>6430</v>
      </c>
      <c r="D1520" s="14" t="s">
        <v>6431</v>
      </c>
      <c r="E1520" s="6" t="str">
        <f>HYPERLINK("https://twitter.com/Arthonsyst/status/1364131851976146945","1364131851976146945")</f>
        <v>1364131851976146945</v>
      </c>
      <c r="F1520" s="7" t="s">
        <v>6432</v>
      </c>
      <c r="G1520" s="7" t="s">
        <v>6433</v>
      </c>
      <c r="H1520" s="8"/>
      <c r="I1520" s="14">
        <v>0</v>
      </c>
      <c r="J1520" s="14">
        <v>1</v>
      </c>
      <c r="K1520" s="6" t="str">
        <f>HYPERLINK("https://mobile.twitter.com","Twitter Web App")</f>
        <v>Twitter Web App</v>
      </c>
      <c r="L1520" s="15">
        <v>228</v>
      </c>
      <c r="M1520" s="15">
        <v>168</v>
      </c>
      <c r="N1520" s="15">
        <v>1</v>
      </c>
      <c r="O1520" s="9"/>
      <c r="P1520" s="10">
        <v>42731.316365740742</v>
      </c>
      <c r="Q1520" s="14" t="s">
        <v>364</v>
      </c>
      <c r="R1520" s="14" t="s">
        <v>6434</v>
      </c>
      <c r="S1520" s="7" t="s">
        <v>6435</v>
      </c>
      <c r="T1520" s="8"/>
      <c r="U1520" s="11" t="str">
        <f>HYPERLINK("https://pbs.twimg.com/profile_images/1066998847791087621/ec3adwFe.jpg","View")</f>
        <v>View</v>
      </c>
      <c r="V1520" s="8"/>
      <c r="W1520" s="8"/>
      <c r="X1520" s="8"/>
      <c r="Y1520" s="8"/>
      <c r="Z1520" s="8"/>
    </row>
    <row r="1521" spans="1:26" ht="13.2">
      <c r="A1521" s="13">
        <v>44250.39980324074</v>
      </c>
      <c r="B1521" s="6" t="str">
        <f>HYPERLINK("https://twitter.com/nicktrog","@nicktrog")</f>
        <v>@nicktrog</v>
      </c>
      <c r="C1521" s="14" t="s">
        <v>6436</v>
      </c>
      <c r="D1521" s="14" t="s">
        <v>6437</v>
      </c>
      <c r="E1521" s="6" t="str">
        <f>HYPERLINK("https://twitter.com/nicktrog/status/1364131812415582210","1364131812415582210")</f>
        <v>1364131812415582210</v>
      </c>
      <c r="F1521" s="7" t="s">
        <v>6438</v>
      </c>
      <c r="G1521" s="7" t="s">
        <v>6439</v>
      </c>
      <c r="H1521" s="8"/>
      <c r="I1521" s="14">
        <v>6</v>
      </c>
      <c r="J1521" s="14">
        <v>10</v>
      </c>
      <c r="K1521" s="6" t="str">
        <f>HYPERLINK("https://about.twitter.com/products/tweetdeck","TweetDeck")</f>
        <v>TweetDeck</v>
      </c>
      <c r="L1521" s="15">
        <v>1908</v>
      </c>
      <c r="M1521" s="15">
        <v>2541</v>
      </c>
      <c r="N1521" s="15">
        <v>170</v>
      </c>
      <c r="O1521" s="9"/>
      <c r="P1521" s="10">
        <v>40522.011006944442</v>
      </c>
      <c r="Q1521" s="14" t="s">
        <v>1079</v>
      </c>
      <c r="R1521" s="14" t="s">
        <v>6440</v>
      </c>
      <c r="S1521" s="8"/>
      <c r="T1521" s="8"/>
      <c r="U1521" s="11" t="str">
        <f>HYPERLINK("https://pbs.twimg.com/profile_images/1276970499130744832/3ZXyjtxh.jpg","View")</f>
        <v>View</v>
      </c>
      <c r="V1521" s="8"/>
      <c r="W1521" s="8"/>
      <c r="X1521" s="8"/>
      <c r="Y1521" s="8"/>
      <c r="Z1521" s="8"/>
    </row>
    <row r="1522" spans="1:26" ht="13.2">
      <c r="A1522" s="13">
        <v>44250.399768518517</v>
      </c>
      <c r="B1522" s="6" t="str">
        <f>HYPERLINK("https://twitter.com/mastercesma","@mastercesma")</f>
        <v>@mastercesma</v>
      </c>
      <c r="C1522" s="14" t="s">
        <v>6441</v>
      </c>
      <c r="D1522" s="14" t="s">
        <v>6442</v>
      </c>
      <c r="E1522" s="6" t="str">
        <f>HYPERLINK("https://twitter.com/mastercesma/status/1364131800101097475","1364131800101097475")</f>
        <v>1364131800101097475</v>
      </c>
      <c r="F1522" s="7" t="s">
        <v>6443</v>
      </c>
      <c r="G1522" s="7" t="s">
        <v>6444</v>
      </c>
      <c r="H1522" s="8"/>
      <c r="I1522" s="14">
        <v>1</v>
      </c>
      <c r="J1522" s="14">
        <v>0</v>
      </c>
      <c r="K1522" s="6" t="str">
        <f>HYPERLINK("http://twitter.com/download/android","Twitter for Android")</f>
        <v>Twitter for Android</v>
      </c>
      <c r="L1522" s="15">
        <v>226</v>
      </c>
      <c r="M1522" s="15">
        <v>183</v>
      </c>
      <c r="N1522" s="15">
        <v>30</v>
      </c>
      <c r="O1522" s="9"/>
      <c r="P1522" s="10">
        <v>41584.533263888887</v>
      </c>
      <c r="Q1522" s="14" t="s">
        <v>6445</v>
      </c>
      <c r="R1522" s="14" t="s">
        <v>6446</v>
      </c>
      <c r="S1522" s="7" t="s">
        <v>6447</v>
      </c>
      <c r="T1522" s="8"/>
      <c r="U1522" s="11" t="str">
        <f>HYPERLINK("https://pbs.twimg.com/profile_images/1311704950515412993/wYS3XoJ1.jpg","View")</f>
        <v>View</v>
      </c>
      <c r="V1522" s="8"/>
      <c r="W1522" s="8"/>
      <c r="X1522" s="8"/>
      <c r="Y1522" s="8"/>
      <c r="Z1522" s="8"/>
    </row>
    <row r="1523" spans="1:26" ht="13.2">
      <c r="A1523" s="13">
        <v>44250.399328703701</v>
      </c>
      <c r="B1523" s="6" t="str">
        <f>HYPERLINK("https://twitter.com/nigewillson","@nigewillson")</f>
        <v>@nigewillson</v>
      </c>
      <c r="C1523" s="14" t="s">
        <v>95</v>
      </c>
      <c r="D1523" s="14" t="s">
        <v>593</v>
      </c>
      <c r="E1523" s="6" t="str">
        <f>HYPERLINK("https://twitter.com/nigewillson/status/1364131640272973824","1364131640272973824")</f>
        <v>1364131640272973824</v>
      </c>
      <c r="F1523" s="7" t="s">
        <v>594</v>
      </c>
      <c r="G1523" s="7" t="s">
        <v>6448</v>
      </c>
      <c r="H1523" s="8"/>
      <c r="I1523" s="14">
        <v>3</v>
      </c>
      <c r="J1523" s="14">
        <v>2</v>
      </c>
      <c r="K1523" s="6" t="str">
        <f>HYPERLINK("https://buffer.com","Buffer")</f>
        <v>Buffer</v>
      </c>
      <c r="L1523" s="15">
        <v>57515</v>
      </c>
      <c r="M1523" s="15">
        <v>49523</v>
      </c>
      <c r="N1523" s="15">
        <v>1688</v>
      </c>
      <c r="O1523" s="9"/>
      <c r="P1523" s="10">
        <v>40530.666805555556</v>
      </c>
      <c r="Q1523" s="14" t="s">
        <v>99</v>
      </c>
      <c r="R1523" s="14" t="s">
        <v>100</v>
      </c>
      <c r="S1523" s="7" t="s">
        <v>101</v>
      </c>
      <c r="T1523" s="8"/>
      <c r="U1523" s="11" t="str">
        <f>HYPERLINK("https://pbs.twimg.com/profile_images/1085251590997622784/x9mWVQ1d.jpg","View")</f>
        <v>View</v>
      </c>
      <c r="V1523" s="8"/>
      <c r="W1523" s="8"/>
      <c r="X1523" s="8"/>
      <c r="Y1523" s="8"/>
      <c r="Z1523" s="8"/>
    </row>
    <row r="1524" spans="1:26" ht="13.2">
      <c r="A1524" s="13">
        <v>44250.399282407408</v>
      </c>
      <c r="B1524" s="6" t="str">
        <f t="shared" ref="B1524:B1525" si="270">HYPERLINK("https://twitter.com/Eli_Krumova","@Eli_Krumova")</f>
        <v>@Eli_Krumova</v>
      </c>
      <c r="C1524" s="14" t="s">
        <v>947</v>
      </c>
      <c r="D1524" s="14" t="s">
        <v>4094</v>
      </c>
      <c r="E1524" s="6" t="str">
        <f>HYPERLINK("https://twitter.com/Eli_Krumova/status/1364131627471896576","1364131627471896576")</f>
        <v>1364131627471896576</v>
      </c>
      <c r="F1524" s="8"/>
      <c r="G1524" s="8"/>
      <c r="H1524" s="8"/>
      <c r="I1524" s="14">
        <v>9</v>
      </c>
      <c r="J1524" s="14">
        <v>6</v>
      </c>
      <c r="K1524" s="6" t="str">
        <f t="shared" ref="K1524:K1525" si="271">HYPERLINK("https://mobile.twitter.com","Twitter Web App")</f>
        <v>Twitter Web App</v>
      </c>
      <c r="L1524" s="15">
        <v>4471</v>
      </c>
      <c r="M1524" s="15">
        <v>5001</v>
      </c>
      <c r="N1524" s="15">
        <v>79</v>
      </c>
      <c r="O1524" s="9"/>
      <c r="P1524" s="10">
        <v>41346.597002314811</v>
      </c>
      <c r="Q1524" s="14" t="s">
        <v>951</v>
      </c>
      <c r="R1524" s="14" t="s">
        <v>952</v>
      </c>
      <c r="S1524" s="8"/>
      <c r="T1524" s="8"/>
      <c r="U1524" s="11" t="str">
        <f t="shared" ref="U1524:U1525" si="272">HYPERLINK("https://pbs.twimg.com/profile_images/1361638888427683840/HqNlplM_.jpg","View")</f>
        <v>View</v>
      </c>
      <c r="V1524" s="8"/>
      <c r="W1524" s="8"/>
      <c r="X1524" s="8"/>
      <c r="Y1524" s="8"/>
      <c r="Z1524" s="8"/>
    </row>
    <row r="1525" spans="1:26" ht="13.2">
      <c r="A1525" s="13">
        <v>44250.39916666667</v>
      </c>
      <c r="B1525" s="6" t="str">
        <f t="shared" si="270"/>
        <v>@Eli_Krumova</v>
      </c>
      <c r="C1525" s="14" t="s">
        <v>947</v>
      </c>
      <c r="D1525" s="14" t="s">
        <v>6449</v>
      </c>
      <c r="E1525" s="6" t="str">
        <f>HYPERLINK("https://twitter.com/Eli_Krumova/status/1364131584807419906","1364131584807419906")</f>
        <v>1364131584807419906</v>
      </c>
      <c r="F1525" s="8"/>
      <c r="G1525" s="8"/>
      <c r="H1525" s="8"/>
      <c r="I1525" s="14">
        <v>0</v>
      </c>
      <c r="J1525" s="14">
        <v>3</v>
      </c>
      <c r="K1525" s="6" t="str">
        <f t="shared" si="271"/>
        <v>Twitter Web App</v>
      </c>
      <c r="L1525" s="15">
        <v>4471</v>
      </c>
      <c r="M1525" s="15">
        <v>5001</v>
      </c>
      <c r="N1525" s="15">
        <v>79</v>
      </c>
      <c r="O1525" s="9"/>
      <c r="P1525" s="10">
        <v>41346.597002314811</v>
      </c>
      <c r="Q1525" s="14" t="s">
        <v>951</v>
      </c>
      <c r="R1525" s="14" t="s">
        <v>952</v>
      </c>
      <c r="S1525" s="8"/>
      <c r="T1525" s="8"/>
      <c r="U1525" s="11" t="str">
        <f t="shared" si="272"/>
        <v>View</v>
      </c>
      <c r="V1525" s="8"/>
      <c r="W1525" s="8"/>
      <c r="X1525" s="8"/>
      <c r="Y1525" s="8"/>
      <c r="Z1525" s="8"/>
    </row>
    <row r="1526" spans="1:26" ht="13.2">
      <c r="A1526" s="13">
        <v>44250.398877314816</v>
      </c>
      <c r="B1526" s="6" t="str">
        <f>HYPERLINK("https://twitter.com/AiThority","@AiThority")</f>
        <v>@AiThority</v>
      </c>
      <c r="C1526" s="7" t="s">
        <v>6450</v>
      </c>
      <c r="D1526" s="14" t="s">
        <v>6451</v>
      </c>
      <c r="E1526" s="6" t="str">
        <f>HYPERLINK("https://twitter.com/AiThority/status/1364131478658035713","1364131478658035713")</f>
        <v>1364131478658035713</v>
      </c>
      <c r="F1526" s="7" t="s">
        <v>6452</v>
      </c>
      <c r="G1526" s="8"/>
      <c r="H1526" s="8"/>
      <c r="I1526" s="14">
        <v>0</v>
      </c>
      <c r="J1526" s="14">
        <v>1</v>
      </c>
      <c r="K1526" s="6" t="str">
        <f>HYPERLINK("https://www.hootsuite.com","Hootsuite Inc.")</f>
        <v>Hootsuite Inc.</v>
      </c>
      <c r="L1526" s="15">
        <v>5365</v>
      </c>
      <c r="M1526" s="15">
        <v>453</v>
      </c>
      <c r="N1526" s="15">
        <v>85</v>
      </c>
      <c r="O1526" s="9"/>
      <c r="P1526" s="10">
        <v>42997.414629629631</v>
      </c>
      <c r="Q1526" s="14" t="s">
        <v>6453</v>
      </c>
      <c r="R1526" s="14" t="s">
        <v>6454</v>
      </c>
      <c r="S1526" s="7" t="s">
        <v>6455</v>
      </c>
      <c r="T1526" s="8"/>
      <c r="U1526" s="11" t="str">
        <f>HYPERLINK("https://pbs.twimg.com/profile_images/1012284893383090176/lN_pX5Gy.jpg","View")</f>
        <v>View</v>
      </c>
      <c r="V1526" s="8"/>
      <c r="W1526" s="8"/>
      <c r="X1526" s="8"/>
      <c r="Y1526" s="8"/>
      <c r="Z1526" s="8"/>
    </row>
    <row r="1527" spans="1:26" ht="13.2">
      <c r="A1527" s="13">
        <v>44250.39875</v>
      </c>
      <c r="B1527" s="6" t="str">
        <f>HYPERLINK("https://twitter.com/InnovArch","@InnovArch")</f>
        <v>@InnovArch</v>
      </c>
      <c r="C1527" s="14" t="s">
        <v>6456</v>
      </c>
      <c r="D1527" s="14" t="s">
        <v>6457</v>
      </c>
      <c r="E1527" s="6" t="str">
        <f>HYPERLINK("https://twitter.com/InnovArch/status/1364131434374565888","1364131434374565888")</f>
        <v>1364131434374565888</v>
      </c>
      <c r="F1527" s="7" t="s">
        <v>6458</v>
      </c>
      <c r="G1527" s="8"/>
      <c r="H1527" s="8"/>
      <c r="I1527" s="14">
        <v>1</v>
      </c>
      <c r="J1527" s="14">
        <v>1</v>
      </c>
      <c r="K1527" s="6" t="str">
        <f>HYPERLINK("http://twitter.com/download/iphone","Twitter for iPhone")</f>
        <v>Twitter for iPhone</v>
      </c>
      <c r="L1527" s="15">
        <v>1367</v>
      </c>
      <c r="M1527" s="15">
        <v>4271</v>
      </c>
      <c r="N1527" s="15">
        <v>198</v>
      </c>
      <c r="O1527" s="9"/>
      <c r="P1527" s="10">
        <v>40135.72347222222</v>
      </c>
      <c r="Q1527" s="14" t="s">
        <v>221</v>
      </c>
      <c r="R1527" s="7" t="s">
        <v>6459</v>
      </c>
      <c r="S1527" s="7" t="s">
        <v>6460</v>
      </c>
      <c r="T1527" s="8"/>
      <c r="U1527" s="11" t="str">
        <f>HYPERLINK("https://pbs.twimg.com/profile_images/820810920674721793/lINp6_1k.jpg","View")</f>
        <v>View</v>
      </c>
      <c r="V1527" s="8"/>
      <c r="W1527" s="8"/>
      <c r="X1527" s="8"/>
      <c r="Y1527" s="8"/>
      <c r="Z1527" s="8"/>
    </row>
    <row r="1528" spans="1:26" ht="13.2">
      <c r="A1528" s="13">
        <v>44250.398622685185</v>
      </c>
      <c r="B1528" s="6" t="str">
        <f>HYPERLINK("https://twitter.com/BBD_UNIVERSITY","@BBD_UNIVERSITY")</f>
        <v>@BBD_UNIVERSITY</v>
      </c>
      <c r="C1528" s="14" t="s">
        <v>6461</v>
      </c>
      <c r="D1528" s="14" t="s">
        <v>6462</v>
      </c>
      <c r="E1528" s="6" t="str">
        <f>HYPERLINK("https://twitter.com/BBD_UNIVERSITY/status/1364131388220272640","1364131388220272640")</f>
        <v>1364131388220272640</v>
      </c>
      <c r="F1528" s="8"/>
      <c r="G1528" s="7" t="s">
        <v>6463</v>
      </c>
      <c r="H1528" s="8"/>
      <c r="I1528" s="14">
        <v>1</v>
      </c>
      <c r="J1528" s="14">
        <v>7</v>
      </c>
      <c r="K1528" s="6" t="str">
        <f t="shared" ref="K1528:K1530" si="273">HYPERLINK("https://mobile.twitter.com","Twitter Web App")</f>
        <v>Twitter Web App</v>
      </c>
      <c r="L1528" s="15">
        <v>756</v>
      </c>
      <c r="M1528" s="15">
        <v>30</v>
      </c>
      <c r="N1528" s="15">
        <v>0</v>
      </c>
      <c r="O1528" s="9"/>
      <c r="P1528" s="10">
        <v>43095.269305555557</v>
      </c>
      <c r="Q1528" s="14" t="s">
        <v>6464</v>
      </c>
      <c r="R1528" s="14" t="s">
        <v>6465</v>
      </c>
      <c r="S1528" s="7" t="s">
        <v>6466</v>
      </c>
      <c r="T1528" s="8"/>
      <c r="U1528" s="11" t="str">
        <f>HYPERLINK("https://pbs.twimg.com/profile_images/1044178816417976320/RZSK883B.jpg","View")</f>
        <v>View</v>
      </c>
      <c r="V1528" s="8"/>
      <c r="W1528" s="8"/>
      <c r="X1528" s="8"/>
      <c r="Y1528" s="8"/>
      <c r="Z1528" s="8"/>
    </row>
    <row r="1529" spans="1:26" ht="13.2">
      <c r="A1529" s="13">
        <v>44250.398125</v>
      </c>
      <c r="B1529" s="6" t="str">
        <f>HYPERLINK("https://twitter.com/AspiraHQ","@AspiraHQ")</f>
        <v>@AspiraHQ</v>
      </c>
      <c r="C1529" s="14" t="s">
        <v>6467</v>
      </c>
      <c r="D1529" s="14" t="s">
        <v>6468</v>
      </c>
      <c r="E1529" s="6" t="str">
        <f>HYPERLINK("https://twitter.com/AspiraHQ/status/1364131205965180928","1364131205965180928")</f>
        <v>1364131205965180928</v>
      </c>
      <c r="F1529" s="7" t="s">
        <v>6469</v>
      </c>
      <c r="G1529" s="7" t="s">
        <v>6470</v>
      </c>
      <c r="H1529" s="8"/>
      <c r="I1529" s="14">
        <v>3</v>
      </c>
      <c r="J1529" s="14">
        <v>2</v>
      </c>
      <c r="K1529" s="6" t="str">
        <f t="shared" si="273"/>
        <v>Twitter Web App</v>
      </c>
      <c r="L1529" s="15">
        <v>1151</v>
      </c>
      <c r="M1529" s="15">
        <v>1694</v>
      </c>
      <c r="N1529" s="15">
        <v>15</v>
      </c>
      <c r="O1529" s="9"/>
      <c r="P1529" s="10">
        <v>40224.669791666667</v>
      </c>
      <c r="Q1529" s="14" t="s">
        <v>6471</v>
      </c>
      <c r="R1529" s="14" t="s">
        <v>6472</v>
      </c>
      <c r="S1529" s="7" t="s">
        <v>6473</v>
      </c>
      <c r="T1529" s="8"/>
      <c r="U1529" s="11" t="str">
        <f>HYPERLINK("https://pbs.twimg.com/profile_images/686900834123165698/N3icUPVF.jpg","View")</f>
        <v>View</v>
      </c>
      <c r="V1529" s="8"/>
      <c r="W1529" s="8"/>
      <c r="X1529" s="8"/>
      <c r="Y1529" s="8"/>
      <c r="Z1529" s="8"/>
    </row>
    <row r="1530" spans="1:26" ht="13.2">
      <c r="A1530" s="13">
        <v>44250.397974537038</v>
      </c>
      <c r="B1530" s="6" t="str">
        <f>HYPERLINK("https://twitter.com/CriteoAILab","@CriteoAILab")</f>
        <v>@CriteoAILab</v>
      </c>
      <c r="C1530" s="14" t="s">
        <v>6474</v>
      </c>
      <c r="D1530" s="14" t="s">
        <v>6475</v>
      </c>
      <c r="E1530" s="6" t="str">
        <f>HYPERLINK("https://twitter.com/CriteoAILab/status/1364131150881513473","1364131150881513473")</f>
        <v>1364131150881513473</v>
      </c>
      <c r="F1530" s="14" t="s">
        <v>6476</v>
      </c>
      <c r="G1530" s="7" t="s">
        <v>6477</v>
      </c>
      <c r="H1530" s="8"/>
      <c r="I1530" s="14">
        <v>6</v>
      </c>
      <c r="J1530" s="14">
        <v>3</v>
      </c>
      <c r="K1530" s="6" t="str">
        <f t="shared" si="273"/>
        <v>Twitter Web App</v>
      </c>
      <c r="L1530" s="15">
        <v>2155</v>
      </c>
      <c r="M1530" s="15">
        <v>200</v>
      </c>
      <c r="N1530" s="15">
        <v>63</v>
      </c>
      <c r="O1530" s="9"/>
      <c r="P1530" s="10">
        <v>42592.512407407412</v>
      </c>
      <c r="Q1530" s="14" t="s">
        <v>106</v>
      </c>
      <c r="R1530" s="14" t="s">
        <v>6478</v>
      </c>
      <c r="S1530" s="7" t="s">
        <v>6479</v>
      </c>
      <c r="T1530" s="8"/>
      <c r="U1530" s="11" t="str">
        <f>HYPERLINK("https://pbs.twimg.com/profile_images/1035517670240804864/7dmZ2yok.jpg","View")</f>
        <v>View</v>
      </c>
      <c r="V1530" s="8"/>
      <c r="W1530" s="8"/>
      <c r="X1530" s="8"/>
      <c r="Y1530" s="8"/>
      <c r="Z1530" s="8"/>
    </row>
    <row r="1531" spans="1:26" ht="13.2">
      <c r="A1531" s="13">
        <v>44250.397766203707</v>
      </c>
      <c r="B1531" s="6" t="str">
        <f t="shared" ref="B1531:B1536" si="274">HYPERLINK("https://twitter.com/DataScientistsF","@DataScientistsF")</f>
        <v>@DataScientistsF</v>
      </c>
      <c r="C1531" s="14" t="s">
        <v>6480</v>
      </c>
      <c r="D1531" s="14" t="s">
        <v>6481</v>
      </c>
      <c r="E1531" s="6" t="str">
        <f>HYPERLINK("https://twitter.com/DataScientistsF/status/1364131075547611137","1364131075547611137")</f>
        <v>1364131075547611137</v>
      </c>
      <c r="F1531" s="7" t="s">
        <v>6482</v>
      </c>
      <c r="G1531" s="8"/>
      <c r="H1531" s="8"/>
      <c r="I1531" s="14">
        <v>4</v>
      </c>
      <c r="J1531" s="14">
        <v>2</v>
      </c>
      <c r="K1531" s="6" t="str">
        <f t="shared" ref="K1531:K1536" si="275">HYPERLINK("https://ifttt.com","IFTTT")</f>
        <v>IFTTT</v>
      </c>
      <c r="L1531" s="15">
        <v>2470</v>
      </c>
      <c r="M1531" s="15">
        <v>174</v>
      </c>
      <c r="N1531" s="15">
        <v>609</v>
      </c>
      <c r="O1531" s="9"/>
      <c r="P1531" s="10">
        <v>41348.702905092592</v>
      </c>
      <c r="Q1531" s="14" t="s">
        <v>106</v>
      </c>
      <c r="R1531" s="14" t="s">
        <v>6334</v>
      </c>
      <c r="S1531" s="8"/>
      <c r="T1531" s="8"/>
      <c r="U1531" s="11" t="str">
        <f t="shared" ref="U1531:U1536" si="276">HYPERLINK("https://pbs.twimg.com/profile_images/584756954993688576/bce-bDIR.jpg","View")</f>
        <v>View</v>
      </c>
      <c r="V1531" s="8"/>
      <c r="W1531" s="8"/>
      <c r="X1531" s="8"/>
      <c r="Y1531" s="8"/>
      <c r="Z1531" s="8"/>
    </row>
    <row r="1532" spans="1:26" ht="13.2">
      <c r="A1532" s="13">
        <v>44250.397731481484</v>
      </c>
      <c r="B1532" s="6" t="str">
        <f t="shared" si="274"/>
        <v>@DataScientistsF</v>
      </c>
      <c r="C1532" s="14" t="s">
        <v>6480</v>
      </c>
      <c r="D1532" s="14" t="s">
        <v>6483</v>
      </c>
      <c r="E1532" s="6" t="str">
        <f>HYPERLINK("https://twitter.com/DataScientistsF/status/1364131062901833728","1364131062901833728")</f>
        <v>1364131062901833728</v>
      </c>
      <c r="F1532" s="7" t="s">
        <v>6484</v>
      </c>
      <c r="G1532" s="8"/>
      <c r="H1532" s="8"/>
      <c r="I1532" s="14">
        <v>0</v>
      </c>
      <c r="J1532" s="14">
        <v>0</v>
      </c>
      <c r="K1532" s="6" t="str">
        <f t="shared" si="275"/>
        <v>IFTTT</v>
      </c>
      <c r="L1532" s="15">
        <v>2470</v>
      </c>
      <c r="M1532" s="15">
        <v>174</v>
      </c>
      <c r="N1532" s="15">
        <v>609</v>
      </c>
      <c r="O1532" s="9"/>
      <c r="P1532" s="10">
        <v>41348.702905092592</v>
      </c>
      <c r="Q1532" s="14" t="s">
        <v>106</v>
      </c>
      <c r="R1532" s="14" t="s">
        <v>6334</v>
      </c>
      <c r="S1532" s="8"/>
      <c r="T1532" s="8"/>
      <c r="U1532" s="11" t="str">
        <f t="shared" si="276"/>
        <v>View</v>
      </c>
      <c r="V1532" s="8"/>
      <c r="W1532" s="8"/>
      <c r="X1532" s="8"/>
      <c r="Y1532" s="8"/>
      <c r="Z1532" s="8"/>
    </row>
    <row r="1533" spans="1:26" ht="13.2">
      <c r="A1533" s="13">
        <v>44250.397719907407</v>
      </c>
      <c r="B1533" s="6" t="str">
        <f t="shared" si="274"/>
        <v>@DataScientistsF</v>
      </c>
      <c r="C1533" s="14" t="s">
        <v>6480</v>
      </c>
      <c r="D1533" s="14" t="s">
        <v>6485</v>
      </c>
      <c r="E1533" s="6" t="str">
        <f>HYPERLINK("https://twitter.com/DataScientistsF/status/1364131060804689921","1364131060804689921")</f>
        <v>1364131060804689921</v>
      </c>
      <c r="F1533" s="7" t="s">
        <v>6486</v>
      </c>
      <c r="G1533" s="8"/>
      <c r="H1533" s="8"/>
      <c r="I1533" s="14">
        <v>1</v>
      </c>
      <c r="J1533" s="14">
        <v>1</v>
      </c>
      <c r="K1533" s="6" t="str">
        <f t="shared" si="275"/>
        <v>IFTTT</v>
      </c>
      <c r="L1533" s="15">
        <v>2470</v>
      </c>
      <c r="M1533" s="15">
        <v>174</v>
      </c>
      <c r="N1533" s="15">
        <v>609</v>
      </c>
      <c r="O1533" s="9"/>
      <c r="P1533" s="10">
        <v>41348.702905092592</v>
      </c>
      <c r="Q1533" s="14" t="s">
        <v>106</v>
      </c>
      <c r="R1533" s="14" t="s">
        <v>6334</v>
      </c>
      <c r="S1533" s="8"/>
      <c r="T1533" s="8"/>
      <c r="U1533" s="11" t="str">
        <f t="shared" si="276"/>
        <v>View</v>
      </c>
      <c r="V1533" s="8"/>
      <c r="W1533" s="8"/>
      <c r="X1533" s="8"/>
      <c r="Y1533" s="8"/>
      <c r="Z1533" s="8"/>
    </row>
    <row r="1534" spans="1:26" ht="13.2">
      <c r="A1534" s="13">
        <v>44250.39770833333</v>
      </c>
      <c r="B1534" s="6" t="str">
        <f t="shared" si="274"/>
        <v>@DataScientistsF</v>
      </c>
      <c r="C1534" s="14" t="s">
        <v>6480</v>
      </c>
      <c r="D1534" s="14" t="s">
        <v>6487</v>
      </c>
      <c r="E1534" s="6" t="str">
        <f>HYPERLINK("https://twitter.com/DataScientistsF/status/1364131054303535105","1364131054303535105")</f>
        <v>1364131054303535105</v>
      </c>
      <c r="F1534" s="7" t="s">
        <v>6488</v>
      </c>
      <c r="G1534" s="8"/>
      <c r="H1534" s="8"/>
      <c r="I1534" s="14">
        <v>0</v>
      </c>
      <c r="J1534" s="14">
        <v>0</v>
      </c>
      <c r="K1534" s="6" t="str">
        <f t="shared" si="275"/>
        <v>IFTTT</v>
      </c>
      <c r="L1534" s="15">
        <v>2470</v>
      </c>
      <c r="M1534" s="15">
        <v>174</v>
      </c>
      <c r="N1534" s="15">
        <v>609</v>
      </c>
      <c r="O1534" s="9"/>
      <c r="P1534" s="10">
        <v>41348.702905092592</v>
      </c>
      <c r="Q1534" s="14" t="s">
        <v>106</v>
      </c>
      <c r="R1534" s="14" t="s">
        <v>6334</v>
      </c>
      <c r="S1534" s="8"/>
      <c r="T1534" s="8"/>
      <c r="U1534" s="11" t="str">
        <f t="shared" si="276"/>
        <v>View</v>
      </c>
      <c r="V1534" s="8"/>
      <c r="W1534" s="8"/>
      <c r="X1534" s="8"/>
      <c r="Y1534" s="8"/>
      <c r="Z1534" s="8"/>
    </row>
    <row r="1535" spans="1:26" ht="13.2">
      <c r="A1535" s="13">
        <v>44250.397685185184</v>
      </c>
      <c r="B1535" s="6" t="str">
        <f t="shared" si="274"/>
        <v>@DataScientistsF</v>
      </c>
      <c r="C1535" s="14" t="s">
        <v>6480</v>
      </c>
      <c r="D1535" s="14" t="s">
        <v>6489</v>
      </c>
      <c r="E1535" s="6" t="str">
        <f>HYPERLINK("https://twitter.com/DataScientistsF/status/1364131048305659905","1364131048305659905")</f>
        <v>1364131048305659905</v>
      </c>
      <c r="F1535" s="7" t="s">
        <v>6490</v>
      </c>
      <c r="G1535" s="8"/>
      <c r="H1535" s="8"/>
      <c r="I1535" s="14">
        <v>0</v>
      </c>
      <c r="J1535" s="14">
        <v>0</v>
      </c>
      <c r="K1535" s="6" t="str">
        <f t="shared" si="275"/>
        <v>IFTTT</v>
      </c>
      <c r="L1535" s="15">
        <v>2470</v>
      </c>
      <c r="M1535" s="15">
        <v>174</v>
      </c>
      <c r="N1535" s="15">
        <v>609</v>
      </c>
      <c r="O1535" s="9"/>
      <c r="P1535" s="10">
        <v>41348.702905092592</v>
      </c>
      <c r="Q1535" s="14" t="s">
        <v>106</v>
      </c>
      <c r="R1535" s="14" t="s">
        <v>6334</v>
      </c>
      <c r="S1535" s="8"/>
      <c r="T1535" s="8"/>
      <c r="U1535" s="11" t="str">
        <f t="shared" si="276"/>
        <v>View</v>
      </c>
      <c r="V1535" s="8"/>
      <c r="W1535" s="8"/>
      <c r="X1535" s="8"/>
      <c r="Y1535" s="8"/>
      <c r="Z1535" s="8"/>
    </row>
    <row r="1536" spans="1:26" ht="13.2">
      <c r="A1536" s="13">
        <v>44250.397673611107</v>
      </c>
      <c r="B1536" s="6" t="str">
        <f t="shared" si="274"/>
        <v>@DataScientistsF</v>
      </c>
      <c r="C1536" s="14" t="s">
        <v>6480</v>
      </c>
      <c r="D1536" s="14" t="s">
        <v>6491</v>
      </c>
      <c r="E1536" s="6" t="str">
        <f>HYPERLINK("https://twitter.com/DataScientistsF/status/1364131042504933379","1364131042504933379")</f>
        <v>1364131042504933379</v>
      </c>
      <c r="F1536" s="7" t="s">
        <v>6492</v>
      </c>
      <c r="G1536" s="8"/>
      <c r="H1536" s="8"/>
      <c r="I1536" s="14">
        <v>2</v>
      </c>
      <c r="J1536" s="14">
        <v>1</v>
      </c>
      <c r="K1536" s="6" t="str">
        <f t="shared" si="275"/>
        <v>IFTTT</v>
      </c>
      <c r="L1536" s="15">
        <v>2470</v>
      </c>
      <c r="M1536" s="15">
        <v>174</v>
      </c>
      <c r="N1536" s="15">
        <v>609</v>
      </c>
      <c r="O1536" s="9"/>
      <c r="P1536" s="10">
        <v>41348.702905092592</v>
      </c>
      <c r="Q1536" s="14" t="s">
        <v>106</v>
      </c>
      <c r="R1536" s="14" t="s">
        <v>6334</v>
      </c>
      <c r="S1536" s="8"/>
      <c r="T1536" s="8"/>
      <c r="U1536" s="11" t="str">
        <f t="shared" si="276"/>
        <v>View</v>
      </c>
      <c r="V1536" s="8"/>
      <c r="W1536" s="8"/>
      <c r="X1536" s="8"/>
      <c r="Y1536" s="8"/>
      <c r="Z1536" s="8"/>
    </row>
    <row r="1537" spans="1:26" ht="13.2">
      <c r="A1537" s="13">
        <v>44250.397592592592</v>
      </c>
      <c r="B1537" s="6" t="str">
        <f>HYPERLINK("https://twitter.com/qualitastech","@qualitastech")</f>
        <v>@qualitastech</v>
      </c>
      <c r="C1537" s="14" t="s">
        <v>6493</v>
      </c>
      <c r="D1537" s="14" t="s">
        <v>6494</v>
      </c>
      <c r="E1537" s="6" t="str">
        <f>HYPERLINK("https://twitter.com/qualitastech/status/1364131014923067395","1364131014923067395")</f>
        <v>1364131014923067395</v>
      </c>
      <c r="F1537" s="7" t="s">
        <v>6495</v>
      </c>
      <c r="G1537" s="7" t="s">
        <v>6496</v>
      </c>
      <c r="H1537" s="8"/>
      <c r="I1537" s="14">
        <v>1</v>
      </c>
      <c r="J1537" s="14">
        <v>0</v>
      </c>
      <c r="K1537" s="6" t="str">
        <f>HYPERLINK("https://mobile.twitter.com","Twitter Web App")</f>
        <v>Twitter Web App</v>
      </c>
      <c r="L1537" s="15">
        <v>156</v>
      </c>
      <c r="M1537" s="15">
        <v>64</v>
      </c>
      <c r="N1537" s="15">
        <v>1</v>
      </c>
      <c r="O1537" s="9"/>
      <c r="P1537" s="10">
        <v>40484.080891203703</v>
      </c>
      <c r="Q1537" s="14" t="s">
        <v>3826</v>
      </c>
      <c r="R1537" s="14" t="s">
        <v>6497</v>
      </c>
      <c r="S1537" s="7" t="s">
        <v>6498</v>
      </c>
      <c r="T1537" s="8"/>
      <c r="U1537" s="11" t="str">
        <f>HYPERLINK("https://pbs.twimg.com/profile_images/1157710076/icon.png","View")</f>
        <v>View</v>
      </c>
      <c r="V1537" s="8"/>
      <c r="W1537" s="8"/>
      <c r="X1537" s="8"/>
      <c r="Y1537" s="8"/>
      <c r="Z1537" s="8"/>
    </row>
    <row r="1538" spans="1:26" ht="13.2">
      <c r="A1538" s="13">
        <v>44250.396145833336</v>
      </c>
      <c r="B1538" s="6" t="str">
        <f>HYPERLINK("https://twitter.com/DroneFins","@DroneFins")</f>
        <v>@DroneFins</v>
      </c>
      <c r="C1538" s="14" t="s">
        <v>6499</v>
      </c>
      <c r="D1538" s="14" t="s">
        <v>6500</v>
      </c>
      <c r="E1538" s="6" t="str">
        <f>HYPERLINK("https://twitter.com/DroneFins/status/1364130487032188930","1364130487032188930")</f>
        <v>1364130487032188930</v>
      </c>
      <c r="F1538" s="8"/>
      <c r="G1538" s="7" t="s">
        <v>6501</v>
      </c>
      <c r="H1538" s="8"/>
      <c r="I1538" s="14">
        <v>0</v>
      </c>
      <c r="J1538" s="14">
        <v>1</v>
      </c>
      <c r="K1538" s="6" t="str">
        <f>HYPERLINK("http://twitter.com/download/android","Twitter for Android")</f>
        <v>Twitter for Android</v>
      </c>
      <c r="L1538" s="15">
        <v>26</v>
      </c>
      <c r="M1538" s="15">
        <v>318</v>
      </c>
      <c r="N1538" s="15">
        <v>0</v>
      </c>
      <c r="O1538" s="9"/>
      <c r="P1538" s="10">
        <v>44219.373877314814</v>
      </c>
      <c r="Q1538" s="14" t="s">
        <v>6502</v>
      </c>
      <c r="R1538" s="14" t="s">
        <v>6503</v>
      </c>
      <c r="S1538" s="7" t="s">
        <v>6504</v>
      </c>
      <c r="T1538" s="8"/>
      <c r="U1538" s="11" t="str">
        <f>HYPERLINK("https://pbs.twimg.com/profile_images/1352888566536314880/CMirsNn8.jpg","View")</f>
        <v>View</v>
      </c>
      <c r="V1538" s="8"/>
      <c r="W1538" s="8"/>
      <c r="X1538" s="8"/>
      <c r="Y1538" s="8"/>
      <c r="Z1538" s="8"/>
    </row>
    <row r="1539" spans="1:26" ht="13.2">
      <c r="A1539" s="13">
        <v>44250.395891203705</v>
      </c>
      <c r="B1539" s="6" t="str">
        <f>HYPERLINK("https://twitter.com/nigewillson","@nigewillson")</f>
        <v>@nigewillson</v>
      </c>
      <c r="C1539" s="14" t="s">
        <v>95</v>
      </c>
      <c r="D1539" s="14" t="s">
        <v>653</v>
      </c>
      <c r="E1539" s="6" t="str">
        <f>HYPERLINK("https://twitter.com/nigewillson/status/1364130398494740483","1364130398494740483")</f>
        <v>1364130398494740483</v>
      </c>
      <c r="F1539" s="7" t="s">
        <v>654</v>
      </c>
      <c r="G1539" s="7" t="s">
        <v>6505</v>
      </c>
      <c r="H1539" s="8"/>
      <c r="I1539" s="14">
        <v>2</v>
      </c>
      <c r="J1539" s="14">
        <v>1</v>
      </c>
      <c r="K1539" s="6" t="str">
        <f>HYPERLINK("https://buffer.com","Buffer")</f>
        <v>Buffer</v>
      </c>
      <c r="L1539" s="15">
        <v>57515</v>
      </c>
      <c r="M1539" s="15">
        <v>49523</v>
      </c>
      <c r="N1539" s="15">
        <v>1688</v>
      </c>
      <c r="O1539" s="9"/>
      <c r="P1539" s="10">
        <v>40530.666805555556</v>
      </c>
      <c r="Q1539" s="14" t="s">
        <v>99</v>
      </c>
      <c r="R1539" s="14" t="s">
        <v>100</v>
      </c>
      <c r="S1539" s="7" t="s">
        <v>101</v>
      </c>
      <c r="T1539" s="8"/>
      <c r="U1539" s="11" t="str">
        <f>HYPERLINK("https://pbs.twimg.com/profile_images/1085251590997622784/x9mWVQ1d.jpg","View")</f>
        <v>View</v>
      </c>
      <c r="V1539" s="8"/>
      <c r="W1539" s="8"/>
      <c r="X1539" s="8"/>
      <c r="Y1539" s="8"/>
      <c r="Z1539" s="8"/>
    </row>
    <row r="1540" spans="1:26" ht="13.2">
      <c r="A1540" s="13">
        <v>44250.395879629628</v>
      </c>
      <c r="B1540" s="6" t="str">
        <f>HYPERLINK("https://twitter.com/designnation20","@designnation20")</f>
        <v>@designnation20</v>
      </c>
      <c r="C1540" s="14" t="s">
        <v>4887</v>
      </c>
      <c r="D1540" s="14" t="s">
        <v>6506</v>
      </c>
      <c r="E1540" s="6" t="str">
        <f>HYPERLINK("https://twitter.com/designnation20/status/1364130394170404869","1364130394170404869")</f>
        <v>1364130394170404869</v>
      </c>
      <c r="F1540" s="7" t="s">
        <v>6507</v>
      </c>
      <c r="G1540" s="8"/>
      <c r="H1540" s="8"/>
      <c r="I1540" s="14">
        <v>3</v>
      </c>
      <c r="J1540" s="14">
        <v>2</v>
      </c>
      <c r="K1540" s="6" t="str">
        <f>HYPERLINK("https://www.hootsuite.com","Hootsuite Inc.")</f>
        <v>Hootsuite Inc.</v>
      </c>
      <c r="L1540" s="15">
        <v>94</v>
      </c>
      <c r="M1540" s="15">
        <v>161</v>
      </c>
      <c r="N1540" s="15">
        <v>0</v>
      </c>
      <c r="O1540" s="9"/>
      <c r="P1540" s="10">
        <v>43936.451412037037</v>
      </c>
      <c r="Q1540" s="14" t="s">
        <v>4890</v>
      </c>
      <c r="R1540" s="14" t="s">
        <v>4891</v>
      </c>
      <c r="S1540" s="7" t="s">
        <v>4892</v>
      </c>
      <c r="T1540" s="8"/>
      <c r="U1540" s="11" t="str">
        <f>HYPERLINK("https://pbs.twimg.com/profile_images/1285972465571647489/OoVAc2X9.jpg","View")</f>
        <v>View</v>
      </c>
      <c r="V1540" s="8"/>
      <c r="W1540" s="8"/>
      <c r="X1540" s="8"/>
      <c r="Y1540" s="8"/>
      <c r="Z1540" s="8"/>
    </row>
    <row r="1541" spans="1:26" ht="13.2">
      <c r="A1541" s="13">
        <v>44250.395092592589</v>
      </c>
      <c r="B1541" s="6" t="str">
        <f>HYPERLINK("https://twitter.com/e_arias","@e_arias")</f>
        <v>@e_arias</v>
      </c>
      <c r="C1541" s="14" t="s">
        <v>6508</v>
      </c>
      <c r="D1541" s="14" t="s">
        <v>6509</v>
      </c>
      <c r="E1541" s="6" t="str">
        <f>HYPERLINK("https://twitter.com/e_arias/status/1364130108592824320","1364130108592824320")</f>
        <v>1364130108592824320</v>
      </c>
      <c r="F1541" s="14" t="s">
        <v>6510</v>
      </c>
      <c r="G1541" s="7" t="s">
        <v>6511</v>
      </c>
      <c r="H1541" s="8"/>
      <c r="I1541" s="14">
        <v>2</v>
      </c>
      <c r="J1541" s="14">
        <v>0</v>
      </c>
      <c r="K1541" s="6" t="str">
        <f t="shared" ref="K1541:K1542" si="277">HYPERLINK("https://mobile.twitter.com","Twitter Web App")</f>
        <v>Twitter Web App</v>
      </c>
      <c r="L1541" s="15">
        <v>574</v>
      </c>
      <c r="M1541" s="15">
        <v>192</v>
      </c>
      <c r="N1541" s="15">
        <v>72</v>
      </c>
      <c r="O1541" s="9"/>
      <c r="P1541" s="10">
        <v>40176.784930555557</v>
      </c>
      <c r="Q1541" s="14" t="s">
        <v>2396</v>
      </c>
      <c r="R1541" s="14" t="s">
        <v>6512</v>
      </c>
      <c r="S1541" s="7" t="s">
        <v>6513</v>
      </c>
      <c r="T1541" s="8"/>
      <c r="U1541" s="11" t="str">
        <f>HYPERLINK("https://pbs.twimg.com/profile_images/1254331997004140545/kjOVbEOL.jpg","View")</f>
        <v>View</v>
      </c>
      <c r="V1541" s="8"/>
      <c r="W1541" s="8"/>
      <c r="X1541" s="8"/>
      <c r="Y1541" s="8"/>
      <c r="Z1541" s="8"/>
    </row>
    <row r="1542" spans="1:26" ht="13.2">
      <c r="A1542" s="13">
        <v>44250.395034722227</v>
      </c>
      <c r="B1542" s="6" t="str">
        <f>HYPERLINK("https://twitter.com/thatneedle","@thatneedle")</f>
        <v>@thatneedle</v>
      </c>
      <c r="C1542" s="14" t="s">
        <v>1014</v>
      </c>
      <c r="D1542" s="14" t="s">
        <v>6514</v>
      </c>
      <c r="E1542" s="6" t="str">
        <f>HYPERLINK("https://twitter.com/thatneedle/status/1364130087214309383","1364130087214309383")</f>
        <v>1364130087214309383</v>
      </c>
      <c r="F1542" s="8"/>
      <c r="G1542" s="8"/>
      <c r="H1542" s="8"/>
      <c r="I1542" s="14">
        <v>2</v>
      </c>
      <c r="J1542" s="14">
        <v>1</v>
      </c>
      <c r="K1542" s="6" t="str">
        <f t="shared" si="277"/>
        <v>Twitter Web App</v>
      </c>
      <c r="L1542" s="15">
        <v>63</v>
      </c>
      <c r="M1542" s="15">
        <v>228</v>
      </c>
      <c r="N1542" s="15">
        <v>4</v>
      </c>
      <c r="O1542" s="9"/>
      <c r="P1542" s="10">
        <v>41827.808807870373</v>
      </c>
      <c r="Q1542" s="8"/>
      <c r="R1542" s="14" t="s">
        <v>1016</v>
      </c>
      <c r="S1542" s="7" t="s">
        <v>1017</v>
      </c>
      <c r="T1542" s="8"/>
      <c r="U1542" s="11" t="str">
        <f>HYPERLINK("https://pbs.twimg.com/profile_images/642575774973751296/USJh0DNN.jpg","View")</f>
        <v>View</v>
      </c>
      <c r="V1542" s="8"/>
      <c r="W1542" s="8"/>
      <c r="X1542" s="8"/>
      <c r="Y1542" s="8"/>
      <c r="Z1542" s="8"/>
    </row>
    <row r="1543" spans="1:26" ht="13.2">
      <c r="A1543" s="13">
        <v>44250.394872685181</v>
      </c>
      <c r="B1543" s="6" t="str">
        <f t="shared" ref="B1543:B1544" si="278">HYPERLINK("https://twitter.com/AnalyticsFrance","@AnalyticsFrance")</f>
        <v>@AnalyticsFrance</v>
      </c>
      <c r="C1543" s="14" t="s">
        <v>6354</v>
      </c>
      <c r="D1543" s="14" t="s">
        <v>6332</v>
      </c>
      <c r="E1543" s="6" t="str">
        <f>HYPERLINK("https://twitter.com/AnalyticsFrance/status/1364130027244257287","1364130027244257287")</f>
        <v>1364130027244257287</v>
      </c>
      <c r="F1543" s="14" t="s">
        <v>6333</v>
      </c>
      <c r="G1543" s="8"/>
      <c r="H1543" s="8"/>
      <c r="I1543" s="14">
        <v>1</v>
      </c>
      <c r="J1543" s="14">
        <v>1</v>
      </c>
      <c r="K1543" s="6" t="str">
        <f t="shared" ref="K1543:K1544" si="279">HYPERLINK("https://ifttt.com","IFTTT")</f>
        <v>IFTTT</v>
      </c>
      <c r="L1543" s="15">
        <v>1643</v>
      </c>
      <c r="M1543" s="15">
        <v>152</v>
      </c>
      <c r="N1543" s="15">
        <v>407</v>
      </c>
      <c r="O1543" s="9"/>
      <c r="P1543" s="10">
        <v>41348.495752314819</v>
      </c>
      <c r="Q1543" s="14" t="s">
        <v>106</v>
      </c>
      <c r="R1543" s="14" t="s">
        <v>6334</v>
      </c>
      <c r="S1543" s="8"/>
      <c r="T1543" s="8"/>
      <c r="U1543" s="11" t="str">
        <f t="shared" ref="U1543:U1544" si="280">HYPERLINK("https://pbs.twimg.com/profile_images/3383072572/2b0e67be1460e16857e604cc450f5129.jpeg","View")</f>
        <v>View</v>
      </c>
      <c r="V1543" s="8"/>
      <c r="W1543" s="8"/>
      <c r="X1543" s="8"/>
      <c r="Y1543" s="8"/>
      <c r="Z1543" s="8"/>
    </row>
    <row r="1544" spans="1:26" ht="13.2">
      <c r="A1544" s="13">
        <v>44250.394837962958</v>
      </c>
      <c r="B1544" s="6" t="str">
        <f t="shared" si="278"/>
        <v>@AnalyticsFrance</v>
      </c>
      <c r="C1544" s="14" t="s">
        <v>6354</v>
      </c>
      <c r="D1544" s="14" t="s">
        <v>6335</v>
      </c>
      <c r="E1544" s="6" t="str">
        <f>HYPERLINK("https://twitter.com/AnalyticsFrance/status/1364130016758480899","1364130016758480899")</f>
        <v>1364130016758480899</v>
      </c>
      <c r="F1544" s="14" t="s">
        <v>6336</v>
      </c>
      <c r="G1544" s="8"/>
      <c r="H1544" s="8"/>
      <c r="I1544" s="14">
        <v>1</v>
      </c>
      <c r="J1544" s="14">
        <v>1</v>
      </c>
      <c r="K1544" s="6" t="str">
        <f t="shared" si="279"/>
        <v>IFTTT</v>
      </c>
      <c r="L1544" s="15">
        <v>1643</v>
      </c>
      <c r="M1544" s="15">
        <v>152</v>
      </c>
      <c r="N1544" s="15">
        <v>407</v>
      </c>
      <c r="O1544" s="9"/>
      <c r="P1544" s="10">
        <v>41348.495752314819</v>
      </c>
      <c r="Q1544" s="14" t="s">
        <v>106</v>
      </c>
      <c r="R1544" s="14" t="s">
        <v>6334</v>
      </c>
      <c r="S1544" s="8"/>
      <c r="T1544" s="8"/>
      <c r="U1544" s="11" t="str">
        <f t="shared" si="280"/>
        <v>View</v>
      </c>
      <c r="V1544" s="8"/>
      <c r="W1544" s="8"/>
      <c r="X1544" s="8"/>
      <c r="Y1544" s="8"/>
      <c r="Z1544" s="8"/>
    </row>
    <row r="1545" spans="1:26" ht="13.2">
      <c r="A1545" s="13">
        <v>44250.394837962958</v>
      </c>
      <c r="B1545" s="6" t="str">
        <f>HYPERLINK("https://twitter.com/VictorBernal","@VictorBernal")</f>
        <v>@VictorBernal</v>
      </c>
      <c r="C1545" s="14" t="s">
        <v>6515</v>
      </c>
      <c r="D1545" s="14" t="s">
        <v>6516</v>
      </c>
      <c r="E1545" s="6" t="str">
        <f>HYPERLINK("https://twitter.com/VictorBernal/status/1364130014485176321","1364130014485176321")</f>
        <v>1364130014485176321</v>
      </c>
      <c r="F1545" s="8"/>
      <c r="G1545" s="8"/>
      <c r="H1545" s="8"/>
      <c r="I1545" s="14">
        <v>2</v>
      </c>
      <c r="J1545" s="14">
        <v>4</v>
      </c>
      <c r="K1545" s="6" t="str">
        <f>HYPERLINK("http://twitter.com/download/android","Twitter for Android")</f>
        <v>Twitter for Android</v>
      </c>
      <c r="L1545" s="15">
        <v>37</v>
      </c>
      <c r="M1545" s="15">
        <v>200</v>
      </c>
      <c r="N1545" s="15">
        <v>0</v>
      </c>
      <c r="O1545" s="9"/>
      <c r="P1545" s="10">
        <v>39812.71261574074</v>
      </c>
      <c r="Q1545" s="14" t="s">
        <v>6517</v>
      </c>
      <c r="R1545" s="14" t="s">
        <v>6518</v>
      </c>
      <c r="S1545" s="8"/>
      <c r="T1545" s="8"/>
      <c r="U1545" s="11" t="str">
        <f>HYPERLINK("https://pbs.twimg.com/profile_images/1327292737301999616/y0yd2lM3.jpg","View")</f>
        <v>View</v>
      </c>
      <c r="V1545" s="8"/>
      <c r="W1545" s="8"/>
      <c r="X1545" s="8"/>
      <c r="Y1545" s="8"/>
      <c r="Z1545" s="8"/>
    </row>
    <row r="1546" spans="1:26" ht="13.2">
      <c r="A1546" s="13">
        <v>44250.394837962958</v>
      </c>
      <c r="B1546" s="6" t="str">
        <f>HYPERLINK("https://twitter.com/AnalyticsFrance","@AnalyticsFrance")</f>
        <v>@AnalyticsFrance</v>
      </c>
      <c r="C1546" s="14" t="s">
        <v>6354</v>
      </c>
      <c r="D1546" s="14" t="s">
        <v>6337</v>
      </c>
      <c r="E1546" s="6" t="str">
        <f>HYPERLINK("https://twitter.com/AnalyticsFrance/status/1364130013877055489","1364130013877055489")</f>
        <v>1364130013877055489</v>
      </c>
      <c r="F1546" s="14" t="s">
        <v>6338</v>
      </c>
      <c r="G1546" s="8"/>
      <c r="H1546" s="8"/>
      <c r="I1546" s="14">
        <v>1</v>
      </c>
      <c r="J1546" s="14">
        <v>1</v>
      </c>
      <c r="K1546" s="6" t="str">
        <f t="shared" ref="K1546:K1554" si="281">HYPERLINK("https://ifttt.com","IFTTT")</f>
        <v>IFTTT</v>
      </c>
      <c r="L1546" s="15">
        <v>1643</v>
      </c>
      <c r="M1546" s="15">
        <v>152</v>
      </c>
      <c r="N1546" s="15">
        <v>407</v>
      </c>
      <c r="O1546" s="9"/>
      <c r="P1546" s="10">
        <v>41348.495752314819</v>
      </c>
      <c r="Q1546" s="14" t="s">
        <v>106</v>
      </c>
      <c r="R1546" s="14" t="s">
        <v>6334</v>
      </c>
      <c r="S1546" s="8"/>
      <c r="T1546" s="8"/>
      <c r="U1546" s="11" t="str">
        <f>HYPERLINK("https://pbs.twimg.com/profile_images/3383072572/2b0e67be1460e16857e604cc450f5129.jpeg","View")</f>
        <v>View</v>
      </c>
      <c r="V1546" s="8"/>
      <c r="W1546" s="8"/>
      <c r="X1546" s="8"/>
      <c r="Y1546" s="8"/>
      <c r="Z1546" s="8"/>
    </row>
    <row r="1547" spans="1:26" ht="13.2">
      <c r="A1547" s="13">
        <v>44250.393900462965</v>
      </c>
      <c r="B1547" s="6" t="str">
        <f t="shared" ref="B1547:B1554" si="282">HYPERLINK("https://twitter.com/DS_Analytics","@DS_Analytics")</f>
        <v>@DS_Analytics</v>
      </c>
      <c r="C1547" s="14" t="s">
        <v>2389</v>
      </c>
      <c r="D1547" s="14" t="s">
        <v>6519</v>
      </c>
      <c r="E1547" s="6" t="str">
        <f>HYPERLINK("https://twitter.com/DS_Analytics/status/1364129675124109323","1364129675124109323")</f>
        <v>1364129675124109323</v>
      </c>
      <c r="F1547" s="7" t="s">
        <v>6520</v>
      </c>
      <c r="G1547" s="8"/>
      <c r="H1547" s="8"/>
      <c r="I1547" s="14">
        <v>2</v>
      </c>
      <c r="J1547" s="14">
        <v>1</v>
      </c>
      <c r="K1547" s="6" t="str">
        <f t="shared" si="281"/>
        <v>IFTTT</v>
      </c>
      <c r="L1547" s="15">
        <v>4945</v>
      </c>
      <c r="M1547" s="15">
        <v>4504</v>
      </c>
      <c r="N1547" s="15">
        <v>46</v>
      </c>
      <c r="O1547" s="9"/>
      <c r="P1547" s="10">
        <v>43019.662314814814</v>
      </c>
      <c r="Q1547" s="8"/>
      <c r="R1547" s="14" t="s">
        <v>2392</v>
      </c>
      <c r="S1547" s="8"/>
      <c r="T1547" s="8"/>
      <c r="U1547" s="11" t="str">
        <f t="shared" ref="U1547:U1554" si="283">HYPERLINK("https://pbs.twimg.com/profile_images/955817556635504640/FflsX454.jpg","View")</f>
        <v>View</v>
      </c>
      <c r="V1547" s="8"/>
      <c r="W1547" s="8"/>
      <c r="X1547" s="8"/>
      <c r="Y1547" s="8"/>
      <c r="Z1547" s="8"/>
    </row>
    <row r="1548" spans="1:26" ht="13.2">
      <c r="A1548" s="13">
        <v>44250.393888888888</v>
      </c>
      <c r="B1548" s="6" t="str">
        <f t="shared" si="282"/>
        <v>@DS_Analytics</v>
      </c>
      <c r="C1548" s="14" t="s">
        <v>2389</v>
      </c>
      <c r="D1548" s="14" t="s">
        <v>6521</v>
      </c>
      <c r="E1548" s="6" t="str">
        <f>HYPERLINK("https://twitter.com/DS_Analytics/status/1364129669033975812","1364129669033975812")</f>
        <v>1364129669033975812</v>
      </c>
      <c r="F1548" s="7" t="s">
        <v>6522</v>
      </c>
      <c r="G1548" s="8"/>
      <c r="H1548" s="8"/>
      <c r="I1548" s="14">
        <v>1</v>
      </c>
      <c r="J1548" s="14">
        <v>1</v>
      </c>
      <c r="K1548" s="6" t="str">
        <f t="shared" si="281"/>
        <v>IFTTT</v>
      </c>
      <c r="L1548" s="15">
        <v>4945</v>
      </c>
      <c r="M1548" s="15">
        <v>4504</v>
      </c>
      <c r="N1548" s="15">
        <v>46</v>
      </c>
      <c r="O1548" s="9"/>
      <c r="P1548" s="10">
        <v>43019.662314814814</v>
      </c>
      <c r="Q1548" s="8"/>
      <c r="R1548" s="14" t="s">
        <v>2392</v>
      </c>
      <c r="S1548" s="8"/>
      <c r="T1548" s="8"/>
      <c r="U1548" s="11" t="str">
        <f t="shared" si="283"/>
        <v>View</v>
      </c>
      <c r="V1548" s="8"/>
      <c r="W1548" s="8"/>
      <c r="X1548" s="8"/>
      <c r="Y1548" s="8"/>
      <c r="Z1548" s="8"/>
    </row>
    <row r="1549" spans="1:26" ht="13.2">
      <c r="A1549" s="13">
        <v>44250.393877314811</v>
      </c>
      <c r="B1549" s="6" t="str">
        <f t="shared" si="282"/>
        <v>@DS_Analytics</v>
      </c>
      <c r="C1549" s="14" t="s">
        <v>2389</v>
      </c>
      <c r="D1549" s="14" t="s">
        <v>6523</v>
      </c>
      <c r="E1549" s="6" t="str">
        <f>HYPERLINK("https://twitter.com/DS_Analytics/status/1364129666374770690","1364129666374770690")</f>
        <v>1364129666374770690</v>
      </c>
      <c r="F1549" s="7" t="s">
        <v>6524</v>
      </c>
      <c r="G1549" s="8"/>
      <c r="H1549" s="8"/>
      <c r="I1549" s="14">
        <v>1</v>
      </c>
      <c r="J1549" s="14">
        <v>1</v>
      </c>
      <c r="K1549" s="6" t="str">
        <f t="shared" si="281"/>
        <v>IFTTT</v>
      </c>
      <c r="L1549" s="15">
        <v>4945</v>
      </c>
      <c r="M1549" s="15">
        <v>4504</v>
      </c>
      <c r="N1549" s="15">
        <v>46</v>
      </c>
      <c r="O1549" s="9"/>
      <c r="P1549" s="10">
        <v>43019.662314814814</v>
      </c>
      <c r="Q1549" s="8"/>
      <c r="R1549" s="14" t="s">
        <v>2392</v>
      </c>
      <c r="S1549" s="8"/>
      <c r="T1549" s="8"/>
      <c r="U1549" s="11" t="str">
        <f t="shared" si="283"/>
        <v>View</v>
      </c>
      <c r="V1549" s="8"/>
      <c r="W1549" s="8"/>
      <c r="X1549" s="8"/>
      <c r="Y1549" s="8"/>
      <c r="Z1549" s="8"/>
    </row>
    <row r="1550" spans="1:26" ht="13.2">
      <c r="A1550" s="13">
        <v>44250.393865740742</v>
      </c>
      <c r="B1550" s="6" t="str">
        <f t="shared" si="282"/>
        <v>@DS_Analytics</v>
      </c>
      <c r="C1550" s="14" t="s">
        <v>2389</v>
      </c>
      <c r="D1550" s="14" t="s">
        <v>6525</v>
      </c>
      <c r="E1550" s="6" t="str">
        <f>HYPERLINK("https://twitter.com/DS_Analytics/status/1364129663157731328","1364129663157731328")</f>
        <v>1364129663157731328</v>
      </c>
      <c r="F1550" s="7" t="s">
        <v>6526</v>
      </c>
      <c r="G1550" s="8"/>
      <c r="H1550" s="8"/>
      <c r="I1550" s="14">
        <v>2</v>
      </c>
      <c r="J1550" s="14">
        <v>1</v>
      </c>
      <c r="K1550" s="6" t="str">
        <f t="shared" si="281"/>
        <v>IFTTT</v>
      </c>
      <c r="L1550" s="15">
        <v>4945</v>
      </c>
      <c r="M1550" s="15">
        <v>4504</v>
      </c>
      <c r="N1550" s="15">
        <v>46</v>
      </c>
      <c r="O1550" s="9"/>
      <c r="P1550" s="10">
        <v>43019.662314814814</v>
      </c>
      <c r="Q1550" s="8"/>
      <c r="R1550" s="14" t="s">
        <v>2392</v>
      </c>
      <c r="S1550" s="8"/>
      <c r="T1550" s="8"/>
      <c r="U1550" s="11" t="str">
        <f t="shared" si="283"/>
        <v>View</v>
      </c>
      <c r="V1550" s="8"/>
      <c r="W1550" s="8"/>
      <c r="X1550" s="8"/>
      <c r="Y1550" s="8"/>
      <c r="Z1550" s="8"/>
    </row>
    <row r="1551" spans="1:26" ht="13.2">
      <c r="A1551" s="13">
        <v>44250.393854166672</v>
      </c>
      <c r="B1551" s="6" t="str">
        <f t="shared" si="282"/>
        <v>@DS_Analytics</v>
      </c>
      <c r="C1551" s="14" t="s">
        <v>2389</v>
      </c>
      <c r="D1551" s="14" t="s">
        <v>6527</v>
      </c>
      <c r="E1551" s="6" t="str">
        <f>HYPERLINK("https://twitter.com/DS_Analytics/status/1364129657906421760","1364129657906421760")</f>
        <v>1364129657906421760</v>
      </c>
      <c r="F1551" s="7" t="s">
        <v>6528</v>
      </c>
      <c r="G1551" s="8"/>
      <c r="H1551" s="8"/>
      <c r="I1551" s="14">
        <v>1</v>
      </c>
      <c r="J1551" s="14">
        <v>1</v>
      </c>
      <c r="K1551" s="6" t="str">
        <f t="shared" si="281"/>
        <v>IFTTT</v>
      </c>
      <c r="L1551" s="15">
        <v>4945</v>
      </c>
      <c r="M1551" s="15">
        <v>4504</v>
      </c>
      <c r="N1551" s="15">
        <v>46</v>
      </c>
      <c r="O1551" s="9"/>
      <c r="P1551" s="10">
        <v>43019.662314814814</v>
      </c>
      <c r="Q1551" s="8"/>
      <c r="R1551" s="14" t="s">
        <v>2392</v>
      </c>
      <c r="S1551" s="8"/>
      <c r="T1551" s="8"/>
      <c r="U1551" s="11" t="str">
        <f t="shared" si="283"/>
        <v>View</v>
      </c>
      <c r="V1551" s="8"/>
      <c r="W1551" s="8"/>
      <c r="X1551" s="8"/>
      <c r="Y1551" s="8"/>
      <c r="Z1551" s="8"/>
    </row>
    <row r="1552" spans="1:26" ht="13.2">
      <c r="A1552" s="13">
        <v>44250.393842592588</v>
      </c>
      <c r="B1552" s="6" t="str">
        <f t="shared" si="282"/>
        <v>@DS_Analytics</v>
      </c>
      <c r="C1552" s="14" t="s">
        <v>2389</v>
      </c>
      <c r="D1552" s="14" t="s">
        <v>6529</v>
      </c>
      <c r="E1552" s="6" t="str">
        <f>HYPERLINK("https://twitter.com/DS_Analytics/status/1364129653359841282","1364129653359841282")</f>
        <v>1364129653359841282</v>
      </c>
      <c r="F1552" s="7" t="s">
        <v>6530</v>
      </c>
      <c r="G1552" s="8"/>
      <c r="H1552" s="8"/>
      <c r="I1552" s="14">
        <v>1</v>
      </c>
      <c r="J1552" s="14">
        <v>1</v>
      </c>
      <c r="K1552" s="6" t="str">
        <f t="shared" si="281"/>
        <v>IFTTT</v>
      </c>
      <c r="L1552" s="15">
        <v>4945</v>
      </c>
      <c r="M1552" s="15">
        <v>4504</v>
      </c>
      <c r="N1552" s="15">
        <v>46</v>
      </c>
      <c r="O1552" s="9"/>
      <c r="P1552" s="10">
        <v>43019.662314814814</v>
      </c>
      <c r="Q1552" s="8"/>
      <c r="R1552" s="14" t="s">
        <v>2392</v>
      </c>
      <c r="S1552" s="8"/>
      <c r="T1552" s="8"/>
      <c r="U1552" s="11" t="str">
        <f t="shared" si="283"/>
        <v>View</v>
      </c>
      <c r="V1552" s="8"/>
      <c r="W1552" s="8"/>
      <c r="X1552" s="8"/>
      <c r="Y1552" s="8"/>
      <c r="Z1552" s="8"/>
    </row>
    <row r="1553" spans="1:26" ht="13.2">
      <c r="A1553" s="13">
        <v>44250.393831018519</v>
      </c>
      <c r="B1553" s="6" t="str">
        <f t="shared" si="282"/>
        <v>@DS_Analytics</v>
      </c>
      <c r="C1553" s="14" t="s">
        <v>2389</v>
      </c>
      <c r="D1553" s="14" t="s">
        <v>6531</v>
      </c>
      <c r="E1553" s="6" t="str">
        <f>HYPERLINK("https://twitter.com/DS_Analytics/status/1364129648502853632","1364129648502853632")</f>
        <v>1364129648502853632</v>
      </c>
      <c r="F1553" s="7" t="s">
        <v>6532</v>
      </c>
      <c r="G1553" s="8"/>
      <c r="H1553" s="8"/>
      <c r="I1553" s="14">
        <v>1</v>
      </c>
      <c r="J1553" s="14">
        <v>1</v>
      </c>
      <c r="K1553" s="6" t="str">
        <f t="shared" si="281"/>
        <v>IFTTT</v>
      </c>
      <c r="L1553" s="15">
        <v>4945</v>
      </c>
      <c r="M1553" s="15">
        <v>4504</v>
      </c>
      <c r="N1553" s="15">
        <v>46</v>
      </c>
      <c r="O1553" s="9"/>
      <c r="P1553" s="10">
        <v>43019.662314814814</v>
      </c>
      <c r="Q1553" s="8"/>
      <c r="R1553" s="14" t="s">
        <v>2392</v>
      </c>
      <c r="S1553" s="8"/>
      <c r="T1553" s="8"/>
      <c r="U1553" s="11" t="str">
        <f t="shared" si="283"/>
        <v>View</v>
      </c>
      <c r="V1553" s="8"/>
      <c r="W1553" s="8"/>
      <c r="X1553" s="8"/>
      <c r="Y1553" s="8"/>
      <c r="Z1553" s="8"/>
    </row>
    <row r="1554" spans="1:26" ht="13.2">
      <c r="A1554" s="13">
        <v>44250.393819444449</v>
      </c>
      <c r="B1554" s="6" t="str">
        <f t="shared" si="282"/>
        <v>@DS_Analytics</v>
      </c>
      <c r="C1554" s="14" t="s">
        <v>2389</v>
      </c>
      <c r="D1554" s="14" t="s">
        <v>6533</v>
      </c>
      <c r="E1554" s="6" t="str">
        <f>HYPERLINK("https://twitter.com/DS_Analytics/status/1364129643901710338","1364129643901710338")</f>
        <v>1364129643901710338</v>
      </c>
      <c r="F1554" s="7" t="s">
        <v>6534</v>
      </c>
      <c r="G1554" s="8"/>
      <c r="H1554" s="8"/>
      <c r="I1554" s="14">
        <v>1</v>
      </c>
      <c r="J1554" s="14">
        <v>1</v>
      </c>
      <c r="K1554" s="6" t="str">
        <f t="shared" si="281"/>
        <v>IFTTT</v>
      </c>
      <c r="L1554" s="15">
        <v>4945</v>
      </c>
      <c r="M1554" s="15">
        <v>4504</v>
      </c>
      <c r="N1554" s="15">
        <v>46</v>
      </c>
      <c r="O1554" s="9"/>
      <c r="P1554" s="10">
        <v>43019.662314814814</v>
      </c>
      <c r="Q1554" s="8"/>
      <c r="R1554" s="14" t="s">
        <v>2392</v>
      </c>
      <c r="S1554" s="8"/>
      <c r="T1554" s="8"/>
      <c r="U1554" s="11" t="str">
        <f t="shared" si="283"/>
        <v>View</v>
      </c>
      <c r="V1554" s="8"/>
      <c r="W1554" s="8"/>
      <c r="X1554" s="8"/>
      <c r="Y1554" s="8"/>
      <c r="Z1554" s="8"/>
    </row>
    <row r="1555" spans="1:26" ht="13.2">
      <c r="A1555" s="13">
        <v>44250.393750000003</v>
      </c>
      <c r="B1555" s="6" t="str">
        <f>HYPERLINK("https://twitter.com/knime","@knime")</f>
        <v>@knime</v>
      </c>
      <c r="C1555" s="14" t="s">
        <v>6535</v>
      </c>
      <c r="D1555" s="14" t="s">
        <v>6536</v>
      </c>
      <c r="E1555" s="6" t="str">
        <f>HYPERLINK("https://twitter.com/knime/status/1364129622070280195","1364129622070280195")</f>
        <v>1364129622070280195</v>
      </c>
      <c r="F1555" s="7" t="s">
        <v>6537</v>
      </c>
      <c r="G1555" s="8"/>
      <c r="H1555" s="8"/>
      <c r="I1555" s="14">
        <v>4</v>
      </c>
      <c r="J1555" s="14">
        <v>4</v>
      </c>
      <c r="K1555" s="6" t="str">
        <f>HYPERLINK("https://sproutsocial.com","Sprout Social")</f>
        <v>Sprout Social</v>
      </c>
      <c r="L1555" s="15">
        <v>6504</v>
      </c>
      <c r="M1555" s="15">
        <v>52</v>
      </c>
      <c r="N1555" s="15">
        <v>910</v>
      </c>
      <c r="O1555" s="9"/>
      <c r="P1555" s="10">
        <v>40030.728252314817</v>
      </c>
      <c r="Q1555" s="14" t="s">
        <v>5948</v>
      </c>
      <c r="R1555" s="14" t="s">
        <v>6538</v>
      </c>
      <c r="S1555" s="7" t="s">
        <v>6539</v>
      </c>
      <c r="T1555" s="8"/>
      <c r="U1555" s="11" t="str">
        <f>HYPERLINK("https://pbs.twimg.com/profile_images/940902877270290432/3_92FwKS.jpg","View")</f>
        <v>View</v>
      </c>
      <c r="V1555" s="8"/>
      <c r="W1555" s="8"/>
      <c r="X1555" s="8"/>
      <c r="Y1555" s="8"/>
      <c r="Z1555" s="8"/>
    </row>
    <row r="1556" spans="1:26" ht="13.2">
      <c r="A1556" s="13">
        <v>44250.393634259264</v>
      </c>
      <c r="B1556" s="6" t="str">
        <f>HYPERLINK("https://twitter.com/guidaautonoma","@guidaautonoma")</f>
        <v>@guidaautonoma</v>
      </c>
      <c r="C1556" s="14" t="s">
        <v>2203</v>
      </c>
      <c r="D1556" s="14" t="s">
        <v>6540</v>
      </c>
      <c r="E1556" s="6" t="str">
        <f>HYPERLINK("https://twitter.com/guidaautonoma/status/1364129578252443648","1364129578252443648")</f>
        <v>1364129578252443648</v>
      </c>
      <c r="F1556" s="7" t="s">
        <v>6541</v>
      </c>
      <c r="G1556" s="7" t="s">
        <v>6542</v>
      </c>
      <c r="H1556" s="8"/>
      <c r="I1556" s="14">
        <v>2</v>
      </c>
      <c r="J1556" s="14">
        <v>0</v>
      </c>
      <c r="K1556" s="6" t="str">
        <f>HYPERLINK("http://twitter.com/download/android","Twitter for Android")</f>
        <v>Twitter for Android</v>
      </c>
      <c r="L1556" s="15">
        <v>7074</v>
      </c>
      <c r="M1556" s="15">
        <v>6991</v>
      </c>
      <c r="N1556" s="15">
        <v>411</v>
      </c>
      <c r="O1556" s="9"/>
      <c r="P1556" s="10">
        <v>42496.270833333328</v>
      </c>
      <c r="Q1556" s="14" t="s">
        <v>2207</v>
      </c>
      <c r="R1556" s="14" t="s">
        <v>2208</v>
      </c>
      <c r="S1556" s="7" t="s">
        <v>2209</v>
      </c>
      <c r="T1556" s="8"/>
      <c r="U1556" s="11" t="str">
        <f>HYPERLINK("https://pbs.twimg.com/profile_images/728675456971583488/AVbaFxlK.jpg","View")</f>
        <v>View</v>
      </c>
      <c r="V1556" s="8"/>
      <c r="W1556" s="8"/>
      <c r="X1556" s="8"/>
      <c r="Y1556" s="8"/>
      <c r="Z1556" s="8"/>
    </row>
    <row r="1557" spans="1:26" ht="13.2">
      <c r="A1557" s="13">
        <v>44250.39335648148</v>
      </c>
      <c r="B1557" s="6" t="str">
        <f>HYPERLINK("https://twitter.com/AIVids","@AIVids")</f>
        <v>@AIVids</v>
      </c>
      <c r="C1557" s="14" t="s">
        <v>6543</v>
      </c>
      <c r="D1557" s="14" t="s">
        <v>6544</v>
      </c>
      <c r="E1557" s="6" t="str">
        <f>HYPERLINK("https://twitter.com/AIVids/status/1364129479904423938","1364129479904423938")</f>
        <v>1364129479904423938</v>
      </c>
      <c r="F1557" s="7" t="s">
        <v>6545</v>
      </c>
      <c r="G1557" s="8"/>
      <c r="H1557" s="8"/>
      <c r="I1557" s="14">
        <v>0</v>
      </c>
      <c r="J1557" s="14">
        <v>0</v>
      </c>
      <c r="K1557" s="6" t="str">
        <f>HYPERLINK("https://ifttt.com","IFTTT")</f>
        <v>IFTTT</v>
      </c>
      <c r="L1557" s="15">
        <v>2509</v>
      </c>
      <c r="M1557" s="15">
        <v>62</v>
      </c>
      <c r="N1557" s="15">
        <v>23</v>
      </c>
      <c r="O1557" s="9"/>
      <c r="P1557" s="10">
        <v>41926.726898148147</v>
      </c>
      <c r="Q1557" s="8"/>
      <c r="R1557" s="8"/>
      <c r="S1557" s="8"/>
      <c r="T1557" s="8"/>
      <c r="U1557" s="11" t="str">
        <f>HYPERLINK("https://pbs.twimg.com/profile_images/1124815603749904384/X0Ehn1Tx.png","View")</f>
        <v>View</v>
      </c>
      <c r="V1557" s="8"/>
      <c r="W1557" s="8"/>
      <c r="X1557" s="8"/>
      <c r="Y1557" s="8"/>
      <c r="Z1557" s="8"/>
    </row>
    <row r="1558" spans="1:26" ht="13.2">
      <c r="A1558" s="13">
        <v>44250.39335648148</v>
      </c>
      <c r="B1558" s="6" t="str">
        <f>HYPERLINK("https://twitter.com/Superdigital9","@Superdigital9")</f>
        <v>@Superdigital9</v>
      </c>
      <c r="C1558" s="14" t="s">
        <v>4132</v>
      </c>
      <c r="D1558" s="14" t="s">
        <v>6011</v>
      </c>
      <c r="E1558" s="6" t="str">
        <f>HYPERLINK("https://twitter.com/Superdigital9/status/1364129476867670016","1364129476867670016")</f>
        <v>1364129476867670016</v>
      </c>
      <c r="F1558" s="14" t="s">
        <v>4483</v>
      </c>
      <c r="G1558" s="8"/>
      <c r="H1558" s="8"/>
      <c r="I1558" s="14">
        <v>1</v>
      </c>
      <c r="J1558" s="14">
        <v>1</v>
      </c>
      <c r="K1558" s="6" t="str">
        <f>HYPERLINK("http://twinybots.com","TwinyBots")</f>
        <v>TwinyBots</v>
      </c>
      <c r="L1558" s="15">
        <v>796</v>
      </c>
      <c r="M1558" s="15">
        <v>1112</v>
      </c>
      <c r="N1558" s="15">
        <v>11</v>
      </c>
      <c r="O1558" s="9"/>
      <c r="P1558" s="10">
        <v>43821.75409722222</v>
      </c>
      <c r="Q1558" s="14" t="s">
        <v>3176</v>
      </c>
      <c r="R1558" s="14" t="s">
        <v>4135</v>
      </c>
      <c r="S1558" s="7" t="s">
        <v>4136</v>
      </c>
      <c r="T1558" s="8"/>
      <c r="U1558" s="11" t="str">
        <f>HYPERLINK("https://pbs.twimg.com/profile_images/1208795846831067138/cpdkWTEq.jpg","View")</f>
        <v>View</v>
      </c>
      <c r="V1558" s="8"/>
      <c r="W1558" s="8"/>
      <c r="X1558" s="8"/>
      <c r="Y1558" s="8"/>
      <c r="Z1558" s="8"/>
    </row>
    <row r="1559" spans="1:26" ht="13.2">
      <c r="A1559" s="13">
        <v>44250.393252314811</v>
      </c>
      <c r="B1559" s="6" t="str">
        <f>HYPERLINK("https://twitter.com/IMDEA_Networks","@IMDEA_Networks")</f>
        <v>@IMDEA_Networks</v>
      </c>
      <c r="C1559" s="14" t="s">
        <v>6546</v>
      </c>
      <c r="D1559" s="14" t="s">
        <v>6547</v>
      </c>
      <c r="E1559" s="6" t="str">
        <f>HYPERLINK("https://twitter.com/IMDEA_Networks/status/1364129439903277056","1364129439903277056")</f>
        <v>1364129439903277056</v>
      </c>
      <c r="F1559" s="7" t="s">
        <v>6548</v>
      </c>
      <c r="G1559" s="8"/>
      <c r="H1559" s="8"/>
      <c r="I1559" s="14">
        <v>2</v>
      </c>
      <c r="J1559" s="14">
        <v>2</v>
      </c>
      <c r="K1559" s="6" t="str">
        <f>HYPERLINK("https://mobile.twitter.com","Twitter Web App")</f>
        <v>Twitter Web App</v>
      </c>
      <c r="L1559" s="15">
        <v>1572</v>
      </c>
      <c r="M1559" s="15">
        <v>370</v>
      </c>
      <c r="N1559" s="15">
        <v>82</v>
      </c>
      <c r="O1559" s="9"/>
      <c r="P1559" s="10">
        <v>40310.563310185185</v>
      </c>
      <c r="Q1559" s="14" t="s">
        <v>75</v>
      </c>
      <c r="R1559" s="14" t="s">
        <v>6549</v>
      </c>
      <c r="S1559" s="7" t="s">
        <v>6550</v>
      </c>
      <c r="T1559" s="8"/>
      <c r="U1559" s="11" t="str">
        <f>HYPERLINK("https://pbs.twimg.com/profile_images/1227920089523068929/xfB2GYMF.jpg","View")</f>
        <v>View</v>
      </c>
      <c r="V1559" s="8"/>
      <c r="W1559" s="8"/>
      <c r="X1559" s="8"/>
      <c r="Y1559" s="8"/>
      <c r="Z1559" s="8"/>
    </row>
    <row r="1560" spans="1:26" ht="13.2">
      <c r="A1560" s="13">
        <v>44250.392453703702</v>
      </c>
      <c r="B1560" s="6" t="str">
        <f>HYPERLINK("https://twitter.com/techtalkcorner","@techtalkcorner")</f>
        <v>@techtalkcorner</v>
      </c>
      <c r="C1560" s="14" t="s">
        <v>6551</v>
      </c>
      <c r="D1560" s="14" t="s">
        <v>6552</v>
      </c>
      <c r="E1560" s="6" t="str">
        <f>HYPERLINK("https://twitter.com/techtalkcorner/status/1364129149682655233","1364129149682655233")</f>
        <v>1364129149682655233</v>
      </c>
      <c r="F1560" s="7" t="s">
        <v>6553</v>
      </c>
      <c r="G1560" s="7" t="s">
        <v>6554</v>
      </c>
      <c r="H1560" s="8"/>
      <c r="I1560" s="14">
        <v>1</v>
      </c>
      <c r="J1560" s="14">
        <v>1</v>
      </c>
      <c r="K1560" s="6" t="str">
        <f t="shared" ref="K1560:K1561" si="284">HYPERLINK("https://buffer.com","Buffer")</f>
        <v>Buffer</v>
      </c>
      <c r="L1560" s="15">
        <v>2328</v>
      </c>
      <c r="M1560" s="15">
        <v>2542</v>
      </c>
      <c r="N1560" s="15">
        <v>14</v>
      </c>
      <c r="O1560" s="9"/>
      <c r="P1560" s="10">
        <v>42696.463865740741</v>
      </c>
      <c r="Q1560" s="14" t="s">
        <v>6555</v>
      </c>
      <c r="R1560" s="14" t="s">
        <v>6556</v>
      </c>
      <c r="S1560" s="7" t="s">
        <v>6557</v>
      </c>
      <c r="T1560" s="8"/>
      <c r="U1560" s="11" t="str">
        <f>HYPERLINK("https://pbs.twimg.com/profile_images/1193863064417759233/OkKyColJ.jpg","View")</f>
        <v>View</v>
      </c>
      <c r="V1560" s="8"/>
      <c r="W1560" s="8"/>
      <c r="X1560" s="8"/>
      <c r="Y1560" s="8"/>
      <c r="Z1560" s="8"/>
    </row>
    <row r="1561" spans="1:26" ht="13.2">
      <c r="A1561" s="13">
        <v>44250.392384259263</v>
      </c>
      <c r="B1561" s="6" t="str">
        <f>HYPERLINK("https://twitter.com/nigewillson","@nigewillson")</f>
        <v>@nigewillson</v>
      </c>
      <c r="C1561" s="14" t="s">
        <v>95</v>
      </c>
      <c r="D1561" s="14" t="s">
        <v>717</v>
      </c>
      <c r="E1561" s="6" t="str">
        <f>HYPERLINK("https://twitter.com/nigewillson/status/1364129125531852802","1364129125531852802")</f>
        <v>1364129125531852802</v>
      </c>
      <c r="F1561" s="7" t="s">
        <v>718</v>
      </c>
      <c r="G1561" s="7" t="s">
        <v>6558</v>
      </c>
      <c r="H1561" s="8"/>
      <c r="I1561" s="14">
        <v>14</v>
      </c>
      <c r="J1561" s="14">
        <v>7</v>
      </c>
      <c r="K1561" s="6" t="str">
        <f t="shared" si="284"/>
        <v>Buffer</v>
      </c>
      <c r="L1561" s="15">
        <v>57515</v>
      </c>
      <c r="M1561" s="15">
        <v>49523</v>
      </c>
      <c r="N1561" s="15">
        <v>1688</v>
      </c>
      <c r="O1561" s="9"/>
      <c r="P1561" s="10">
        <v>40530.666805555556</v>
      </c>
      <c r="Q1561" s="14" t="s">
        <v>99</v>
      </c>
      <c r="R1561" s="14" t="s">
        <v>100</v>
      </c>
      <c r="S1561" s="7" t="s">
        <v>101</v>
      </c>
      <c r="T1561" s="8"/>
      <c r="U1561" s="11" t="str">
        <f>HYPERLINK("https://pbs.twimg.com/profile_images/1085251590997622784/x9mWVQ1d.jpg","View")</f>
        <v>View</v>
      </c>
      <c r="V1561" s="8"/>
      <c r="W1561" s="8"/>
      <c r="X1561" s="8"/>
      <c r="Y1561" s="8"/>
      <c r="Z1561" s="8"/>
    </row>
    <row r="1562" spans="1:26" ht="13.2">
      <c r="A1562" s="13">
        <v>44250.391388888893</v>
      </c>
      <c r="B1562" s="6" t="str">
        <f>HYPERLINK("https://twitter.com/Ahlad2","@Ahlad2")</f>
        <v>@Ahlad2</v>
      </c>
      <c r="C1562" s="14" t="s">
        <v>6559</v>
      </c>
      <c r="D1562" s="14" t="s">
        <v>6560</v>
      </c>
      <c r="E1562" s="6" t="str">
        <f>HYPERLINK("https://twitter.com/Ahlad2/status/1364128763194134536","1364128763194134536")</f>
        <v>1364128763194134536</v>
      </c>
      <c r="F1562" s="7" t="s">
        <v>6561</v>
      </c>
      <c r="G1562" s="8"/>
      <c r="H1562" s="8"/>
      <c r="I1562" s="14">
        <v>2</v>
      </c>
      <c r="J1562" s="14">
        <v>2</v>
      </c>
      <c r="K1562" s="6" t="str">
        <f>HYPERLINK("https://mobile.twitter.com","Twitter Web App")</f>
        <v>Twitter Web App</v>
      </c>
      <c r="L1562" s="15">
        <v>36</v>
      </c>
      <c r="M1562" s="15">
        <v>2</v>
      </c>
      <c r="N1562" s="15">
        <v>0</v>
      </c>
      <c r="O1562" s="9"/>
      <c r="P1562" s="10">
        <v>40921.758287037039</v>
      </c>
      <c r="Q1562" s="14" t="s">
        <v>1098</v>
      </c>
      <c r="R1562" s="8"/>
      <c r="S1562" s="8"/>
      <c r="T1562" s="8"/>
      <c r="U1562" s="11" t="str">
        <f>HYPERLINK("https://pbs.twimg.com/profile_images/1059105377625800705/JGK4-fVC.jpg","View")</f>
        <v>View</v>
      </c>
      <c r="V1562" s="8"/>
      <c r="W1562" s="8"/>
      <c r="X1562" s="8"/>
      <c r="Y1562" s="8"/>
      <c r="Z1562" s="8"/>
    </row>
    <row r="1563" spans="1:26" ht="13.2">
      <c r="A1563" s="13">
        <v>44250.391331018516</v>
      </c>
      <c r="B1563" s="6" t="str">
        <f>HYPERLINK("https://twitter.com/WriteX12","@WriteX12")</f>
        <v>@WriteX12</v>
      </c>
      <c r="C1563" s="14" t="s">
        <v>5480</v>
      </c>
      <c r="D1563" s="14" t="s">
        <v>6562</v>
      </c>
      <c r="E1563" s="6" t="str">
        <f>HYPERLINK("https://twitter.com/WriteX12/status/1364128743485149190","1364128743485149190")</f>
        <v>1364128743485149190</v>
      </c>
      <c r="F1563" s="7" t="s">
        <v>6563</v>
      </c>
      <c r="G1563" s="7" t="s">
        <v>6564</v>
      </c>
      <c r="H1563" s="8"/>
      <c r="I1563" s="14">
        <v>9</v>
      </c>
      <c r="J1563" s="14">
        <v>7</v>
      </c>
      <c r="K1563" s="6" t="str">
        <f>HYPERLINK("http://twitter.com/download/android","Twitter for Android")</f>
        <v>Twitter for Android</v>
      </c>
      <c r="L1563" s="15">
        <v>21</v>
      </c>
      <c r="M1563" s="15">
        <v>178</v>
      </c>
      <c r="N1563" s="15">
        <v>0</v>
      </c>
      <c r="O1563" s="9"/>
      <c r="P1563" s="10">
        <v>44118.455312499995</v>
      </c>
      <c r="Q1563" s="8"/>
      <c r="R1563" s="14" t="s">
        <v>5483</v>
      </c>
      <c r="S1563" s="7" t="s">
        <v>5484</v>
      </c>
      <c r="T1563" s="8"/>
      <c r="U1563" s="11" t="str">
        <f>HYPERLINK("https://pbs.twimg.com/profile_images/1316301767731109888/kmWlNQMs.jpg","View")</f>
        <v>View</v>
      </c>
      <c r="V1563" s="8"/>
      <c r="W1563" s="8"/>
      <c r="X1563" s="8"/>
      <c r="Y1563" s="8"/>
      <c r="Z1563" s="8"/>
    </row>
    <row r="1564" spans="1:26" ht="13.2">
      <c r="A1564" s="13">
        <v>44250.390555555554</v>
      </c>
      <c r="B1564" s="6" t="str">
        <f t="shared" ref="B1564:B1569" si="285">HYPERLINK("https://twitter.com/DataScientistsF","@DataScientistsF")</f>
        <v>@DataScientistsF</v>
      </c>
      <c r="C1564" s="14" t="s">
        <v>6480</v>
      </c>
      <c r="D1564" s="14" t="s">
        <v>6332</v>
      </c>
      <c r="E1564" s="6" t="str">
        <f>HYPERLINK("https://twitter.com/DataScientistsF/status/1364128463368687617","1364128463368687617")</f>
        <v>1364128463368687617</v>
      </c>
      <c r="F1564" s="14" t="s">
        <v>6333</v>
      </c>
      <c r="G1564" s="8"/>
      <c r="H1564" s="8"/>
      <c r="I1564" s="14">
        <v>1</v>
      </c>
      <c r="J1564" s="14">
        <v>1</v>
      </c>
      <c r="K1564" s="6" t="str">
        <f t="shared" ref="K1564:K1569" si="286">HYPERLINK("https://ifttt.com","IFTTT")</f>
        <v>IFTTT</v>
      </c>
      <c r="L1564" s="15">
        <v>2470</v>
      </c>
      <c r="M1564" s="15">
        <v>174</v>
      </c>
      <c r="N1564" s="15">
        <v>609</v>
      </c>
      <c r="O1564" s="9"/>
      <c r="P1564" s="10">
        <v>41348.702905092592</v>
      </c>
      <c r="Q1564" s="14" t="s">
        <v>106</v>
      </c>
      <c r="R1564" s="14" t="s">
        <v>6334</v>
      </c>
      <c r="S1564" s="8"/>
      <c r="T1564" s="8"/>
      <c r="U1564" s="11" t="str">
        <f t="shared" ref="U1564:U1569" si="287">HYPERLINK("https://pbs.twimg.com/profile_images/584756954993688576/bce-bDIR.jpg","View")</f>
        <v>View</v>
      </c>
      <c r="V1564" s="8"/>
      <c r="W1564" s="8"/>
      <c r="X1564" s="8"/>
      <c r="Y1564" s="8"/>
      <c r="Z1564" s="8"/>
    </row>
    <row r="1565" spans="1:26" ht="13.2">
      <c r="A1565" s="13">
        <v>44250.390555555554</v>
      </c>
      <c r="B1565" s="6" t="str">
        <f t="shared" si="285"/>
        <v>@DataScientistsF</v>
      </c>
      <c r="C1565" s="14" t="s">
        <v>6480</v>
      </c>
      <c r="D1565" s="14" t="s">
        <v>6565</v>
      </c>
      <c r="E1565" s="6" t="str">
        <f>HYPERLINK("https://twitter.com/DataScientistsF/status/1364128461686767625","1364128461686767625")</f>
        <v>1364128461686767625</v>
      </c>
      <c r="F1565" s="14" t="s">
        <v>6566</v>
      </c>
      <c r="G1565" s="8"/>
      <c r="H1565" s="8"/>
      <c r="I1565" s="14">
        <v>1</v>
      </c>
      <c r="J1565" s="14">
        <v>1</v>
      </c>
      <c r="K1565" s="6" t="str">
        <f t="shared" si="286"/>
        <v>IFTTT</v>
      </c>
      <c r="L1565" s="15">
        <v>2470</v>
      </c>
      <c r="M1565" s="15">
        <v>174</v>
      </c>
      <c r="N1565" s="15">
        <v>609</v>
      </c>
      <c r="O1565" s="9"/>
      <c r="P1565" s="10">
        <v>41348.702905092592</v>
      </c>
      <c r="Q1565" s="14" t="s">
        <v>106</v>
      </c>
      <c r="R1565" s="14" t="s">
        <v>6334</v>
      </c>
      <c r="S1565" s="8"/>
      <c r="T1565" s="8"/>
      <c r="U1565" s="11" t="str">
        <f t="shared" si="287"/>
        <v>View</v>
      </c>
      <c r="V1565" s="8"/>
      <c r="W1565" s="8"/>
      <c r="X1565" s="8"/>
      <c r="Y1565" s="8"/>
      <c r="Z1565" s="8"/>
    </row>
    <row r="1566" spans="1:26" ht="13.2">
      <c r="A1566" s="13">
        <v>44250.390543981484</v>
      </c>
      <c r="B1566" s="6" t="str">
        <f t="shared" si="285"/>
        <v>@DataScientistsF</v>
      </c>
      <c r="C1566" s="14" t="s">
        <v>6480</v>
      </c>
      <c r="D1566" s="14" t="s">
        <v>6335</v>
      </c>
      <c r="E1566" s="6" t="str">
        <f>HYPERLINK("https://twitter.com/DataScientistsF/status/1364128458083880960","1364128458083880960")</f>
        <v>1364128458083880960</v>
      </c>
      <c r="F1566" s="14" t="s">
        <v>6336</v>
      </c>
      <c r="G1566" s="8"/>
      <c r="H1566" s="8"/>
      <c r="I1566" s="14">
        <v>1</v>
      </c>
      <c r="J1566" s="14">
        <v>1</v>
      </c>
      <c r="K1566" s="6" t="str">
        <f t="shared" si="286"/>
        <v>IFTTT</v>
      </c>
      <c r="L1566" s="15">
        <v>2470</v>
      </c>
      <c r="M1566" s="15">
        <v>174</v>
      </c>
      <c r="N1566" s="15">
        <v>609</v>
      </c>
      <c r="O1566" s="9"/>
      <c r="P1566" s="10">
        <v>41348.702905092592</v>
      </c>
      <c r="Q1566" s="14" t="s">
        <v>106</v>
      </c>
      <c r="R1566" s="14" t="s">
        <v>6334</v>
      </c>
      <c r="S1566" s="8"/>
      <c r="T1566" s="8"/>
      <c r="U1566" s="11" t="str">
        <f t="shared" si="287"/>
        <v>View</v>
      </c>
      <c r="V1566" s="8"/>
      <c r="W1566" s="8"/>
      <c r="X1566" s="8"/>
      <c r="Y1566" s="8"/>
      <c r="Z1566" s="8"/>
    </row>
    <row r="1567" spans="1:26" ht="13.2">
      <c r="A1567" s="13">
        <v>44250.390532407408</v>
      </c>
      <c r="B1567" s="6" t="str">
        <f t="shared" si="285"/>
        <v>@DataScientistsF</v>
      </c>
      <c r="C1567" s="14" t="s">
        <v>6480</v>
      </c>
      <c r="D1567" s="14" t="s">
        <v>6567</v>
      </c>
      <c r="E1567" s="6" t="str">
        <f>HYPERLINK("https://twitter.com/DataScientistsF/status/1364128455210729477","1364128455210729477")</f>
        <v>1364128455210729477</v>
      </c>
      <c r="F1567" s="14" t="s">
        <v>6568</v>
      </c>
      <c r="G1567" s="8"/>
      <c r="H1567" s="8"/>
      <c r="I1567" s="14">
        <v>1</v>
      </c>
      <c r="J1567" s="14">
        <v>2</v>
      </c>
      <c r="K1567" s="6" t="str">
        <f t="shared" si="286"/>
        <v>IFTTT</v>
      </c>
      <c r="L1567" s="15">
        <v>2470</v>
      </c>
      <c r="M1567" s="15">
        <v>174</v>
      </c>
      <c r="N1567" s="15">
        <v>609</v>
      </c>
      <c r="O1567" s="9"/>
      <c r="P1567" s="10">
        <v>41348.702905092592</v>
      </c>
      <c r="Q1567" s="14" t="s">
        <v>106</v>
      </c>
      <c r="R1567" s="14" t="s">
        <v>6334</v>
      </c>
      <c r="S1567" s="8"/>
      <c r="T1567" s="8"/>
      <c r="U1567" s="11" t="str">
        <f t="shared" si="287"/>
        <v>View</v>
      </c>
      <c r="V1567" s="8"/>
      <c r="W1567" s="8"/>
      <c r="X1567" s="8"/>
      <c r="Y1567" s="8"/>
      <c r="Z1567" s="8"/>
    </row>
    <row r="1568" spans="1:26" ht="13.2">
      <c r="A1568" s="13">
        <v>44250.390532407408</v>
      </c>
      <c r="B1568" s="6" t="str">
        <f t="shared" si="285"/>
        <v>@DataScientistsF</v>
      </c>
      <c r="C1568" s="14" t="s">
        <v>6480</v>
      </c>
      <c r="D1568" s="14" t="s">
        <v>6569</v>
      </c>
      <c r="E1568" s="6" t="str">
        <f>HYPERLINK("https://twitter.com/DataScientistsF/status/1364128453306499074","1364128453306499074")</f>
        <v>1364128453306499074</v>
      </c>
      <c r="F1568" s="14" t="s">
        <v>6570</v>
      </c>
      <c r="G1568" s="8"/>
      <c r="H1568" s="8"/>
      <c r="I1568" s="14">
        <v>3</v>
      </c>
      <c r="J1568" s="14">
        <v>2</v>
      </c>
      <c r="K1568" s="6" t="str">
        <f t="shared" si="286"/>
        <v>IFTTT</v>
      </c>
      <c r="L1568" s="15">
        <v>2470</v>
      </c>
      <c r="M1568" s="15">
        <v>174</v>
      </c>
      <c r="N1568" s="15">
        <v>609</v>
      </c>
      <c r="O1568" s="9"/>
      <c r="P1568" s="10">
        <v>41348.702905092592</v>
      </c>
      <c r="Q1568" s="14" t="s">
        <v>106</v>
      </c>
      <c r="R1568" s="14" t="s">
        <v>6334</v>
      </c>
      <c r="S1568" s="8"/>
      <c r="T1568" s="8"/>
      <c r="U1568" s="11" t="str">
        <f t="shared" si="287"/>
        <v>View</v>
      </c>
      <c r="V1568" s="8"/>
      <c r="W1568" s="8"/>
      <c r="X1568" s="8"/>
      <c r="Y1568" s="8"/>
      <c r="Z1568" s="8"/>
    </row>
    <row r="1569" spans="1:26" ht="13.2">
      <c r="A1569" s="13">
        <v>44250.390497685185</v>
      </c>
      <c r="B1569" s="6" t="str">
        <f t="shared" si="285"/>
        <v>@DataScientistsF</v>
      </c>
      <c r="C1569" s="14" t="s">
        <v>6480</v>
      </c>
      <c r="D1569" s="14" t="s">
        <v>6337</v>
      </c>
      <c r="E1569" s="6" t="str">
        <f>HYPERLINK("https://twitter.com/DataScientistsF/status/1364128441092747265","1364128441092747265")</f>
        <v>1364128441092747265</v>
      </c>
      <c r="F1569" s="14" t="s">
        <v>6338</v>
      </c>
      <c r="G1569" s="8"/>
      <c r="H1569" s="8"/>
      <c r="I1569" s="14">
        <v>1</v>
      </c>
      <c r="J1569" s="14">
        <v>2</v>
      </c>
      <c r="K1569" s="6" t="str">
        <f t="shared" si="286"/>
        <v>IFTTT</v>
      </c>
      <c r="L1569" s="15">
        <v>2470</v>
      </c>
      <c r="M1569" s="15">
        <v>174</v>
      </c>
      <c r="N1569" s="15">
        <v>609</v>
      </c>
      <c r="O1569" s="9"/>
      <c r="P1569" s="10">
        <v>41348.702905092592</v>
      </c>
      <c r="Q1569" s="14" t="s">
        <v>106</v>
      </c>
      <c r="R1569" s="14" t="s">
        <v>6334</v>
      </c>
      <c r="S1569" s="8"/>
      <c r="T1569" s="8"/>
      <c r="U1569" s="11" t="str">
        <f t="shared" si="287"/>
        <v>View</v>
      </c>
      <c r="V1569" s="8"/>
      <c r="W1569" s="8"/>
      <c r="X1569" s="8"/>
      <c r="Y1569" s="8"/>
      <c r="Z1569" s="8"/>
    </row>
    <row r="1570" spans="1:26" ht="13.2">
      <c r="A1570" s="13">
        <v>44250.389803240745</v>
      </c>
      <c r="B1570" s="6" t="str">
        <f>HYPERLINK("https://twitter.com/julsimon","@julsimon")</f>
        <v>@julsimon</v>
      </c>
      <c r="C1570" s="14" t="s">
        <v>2225</v>
      </c>
      <c r="D1570" s="14" t="s">
        <v>6571</v>
      </c>
      <c r="E1570" s="6" t="str">
        <f>HYPERLINK("https://twitter.com/julsimon/status/1364128191238053891","1364128191238053891")</f>
        <v>1364128191238053891</v>
      </c>
      <c r="F1570" s="7" t="s">
        <v>6572</v>
      </c>
      <c r="G1570" s="7" t="s">
        <v>6573</v>
      </c>
      <c r="H1570" s="8"/>
      <c r="I1570" s="14">
        <v>13</v>
      </c>
      <c r="J1570" s="14">
        <v>20</v>
      </c>
      <c r="K1570" s="6" t="str">
        <f t="shared" ref="K1570:K1571" si="288">HYPERLINK("https://mobile.twitter.com","Twitter Web App")</f>
        <v>Twitter Web App</v>
      </c>
      <c r="L1570" s="15">
        <v>8911</v>
      </c>
      <c r="M1570" s="15">
        <v>2044</v>
      </c>
      <c r="N1570" s="15">
        <v>354</v>
      </c>
      <c r="O1570" s="9"/>
      <c r="P1570" s="10">
        <v>39900.460381944446</v>
      </c>
      <c r="Q1570" s="14" t="s">
        <v>106</v>
      </c>
      <c r="R1570" s="14" t="s">
        <v>2228</v>
      </c>
      <c r="S1570" s="7" t="s">
        <v>2229</v>
      </c>
      <c r="T1570" s="8"/>
      <c r="U1570" s="11" t="str">
        <f>HYPERLINK("https://pbs.twimg.com/profile_images/1074681797894660101/a4BDayre.jpg","View")</f>
        <v>View</v>
      </c>
      <c r="V1570" s="8"/>
      <c r="W1570" s="8"/>
      <c r="X1570" s="8"/>
      <c r="Y1570" s="8"/>
      <c r="Z1570" s="8"/>
    </row>
    <row r="1571" spans="1:26" ht="13.2">
      <c r="A1571" s="13">
        <v>44250.389583333337</v>
      </c>
      <c r="B1571" s="6" t="str">
        <f>HYPERLINK("https://twitter.com/ClimateChangeAI","@ClimateChangeAI")</f>
        <v>@ClimateChangeAI</v>
      </c>
      <c r="C1571" s="14" t="s">
        <v>6574</v>
      </c>
      <c r="D1571" s="14" t="s">
        <v>6575</v>
      </c>
      <c r="E1571" s="6" t="str">
        <f>HYPERLINK("https://twitter.com/ClimateChangeAI/status/1364128111978291200","1364128111978291200")</f>
        <v>1364128111978291200</v>
      </c>
      <c r="F1571" s="14" t="s">
        <v>6576</v>
      </c>
      <c r="G1571" s="8"/>
      <c r="H1571" s="8"/>
      <c r="I1571" s="14">
        <v>1</v>
      </c>
      <c r="J1571" s="14">
        <v>6</v>
      </c>
      <c r="K1571" s="6" t="str">
        <f t="shared" si="288"/>
        <v>Twitter Web App</v>
      </c>
      <c r="L1571" s="15">
        <v>3680</v>
      </c>
      <c r="M1571" s="15">
        <v>258</v>
      </c>
      <c r="N1571" s="15">
        <v>75</v>
      </c>
      <c r="O1571" s="9"/>
      <c r="P1571" s="10">
        <v>43557.756539351853</v>
      </c>
      <c r="Q1571" s="8"/>
      <c r="R1571" s="14" t="s">
        <v>6577</v>
      </c>
      <c r="S1571" s="7" t="s">
        <v>6578</v>
      </c>
      <c r="T1571" s="8"/>
      <c r="U1571" s="11" t="str">
        <f>HYPERLINK("https://pbs.twimg.com/profile_images/1321381292970283008/8AhiFKoD.png","View")</f>
        <v>View</v>
      </c>
      <c r="V1571" s="8"/>
      <c r="W1571" s="8"/>
      <c r="X1571" s="8"/>
      <c r="Y1571" s="8"/>
      <c r="Z1571" s="8"/>
    </row>
    <row r="1572" spans="1:26" ht="13.2">
      <c r="A1572" s="13">
        <v>44250.389467592591</v>
      </c>
      <c r="B1572" s="6" t="str">
        <f>HYPERLINK("https://twitter.com/eldiosmercurio","@eldiosmercurio")</f>
        <v>@eldiosmercurio</v>
      </c>
      <c r="C1572" s="14" t="s">
        <v>6579</v>
      </c>
      <c r="D1572" s="14" t="s">
        <v>6580</v>
      </c>
      <c r="E1572" s="6" t="str">
        <f>HYPERLINK("https://twitter.com/eldiosmercurio/status/1364128067229253633","1364128067229253633")</f>
        <v>1364128067229253633</v>
      </c>
      <c r="F1572" s="7" t="s">
        <v>6581</v>
      </c>
      <c r="G1572" s="8"/>
      <c r="H1572" s="8"/>
      <c r="I1572" s="14">
        <v>1</v>
      </c>
      <c r="J1572" s="14">
        <v>1</v>
      </c>
      <c r="K1572" s="6" t="str">
        <f>HYPERLINK("http://twitter.com/#!/download/ipad","Twitter for iPad")</f>
        <v>Twitter for iPad</v>
      </c>
      <c r="L1572" s="15">
        <v>63</v>
      </c>
      <c r="M1572" s="15">
        <v>35</v>
      </c>
      <c r="N1572" s="15">
        <v>0</v>
      </c>
      <c r="O1572" s="9"/>
      <c r="P1572" s="10">
        <v>42030.454386574071</v>
      </c>
      <c r="Q1572" s="14" t="s">
        <v>6582</v>
      </c>
      <c r="R1572" s="14" t="s">
        <v>6583</v>
      </c>
      <c r="S1572" s="7" t="s">
        <v>6584</v>
      </c>
      <c r="T1572" s="8"/>
      <c r="U1572" s="11" t="str">
        <f>HYPERLINK("https://pbs.twimg.com/profile_images/559651127667724288/d3FytRyL.jpeg","View")</f>
        <v>View</v>
      </c>
      <c r="V1572" s="8"/>
      <c r="W1572" s="8"/>
      <c r="X1572" s="8"/>
      <c r="Y1572" s="8"/>
      <c r="Z1572" s="8"/>
    </row>
    <row r="1573" spans="1:26" ht="13.2">
      <c r="A1573" s="13">
        <v>44250.389282407406</v>
      </c>
      <c r="B1573" s="6" t="str">
        <f>HYPERLINK("https://twitter.com/Bimser_","@Bimser_")</f>
        <v>@Bimser_</v>
      </c>
      <c r="C1573" s="14" t="s">
        <v>6585</v>
      </c>
      <c r="D1573" s="14" t="s">
        <v>6586</v>
      </c>
      <c r="E1573" s="6" t="str">
        <f>HYPERLINK("https://twitter.com/Bimser_/status/1364127999482855426","1364127999482855426")</f>
        <v>1364127999482855426</v>
      </c>
      <c r="F1573" s="14" t="s">
        <v>6587</v>
      </c>
      <c r="G1573" s="7" t="s">
        <v>6588</v>
      </c>
      <c r="H1573" s="8"/>
      <c r="I1573" s="14">
        <v>1</v>
      </c>
      <c r="J1573" s="14">
        <v>0</v>
      </c>
      <c r="K1573" s="6" t="str">
        <f t="shared" ref="K1573:K1574" si="289">HYPERLINK("https://mobile.twitter.com","Twitter Web App")</f>
        <v>Twitter Web App</v>
      </c>
      <c r="L1573" s="15">
        <v>240</v>
      </c>
      <c r="M1573" s="15">
        <v>61</v>
      </c>
      <c r="N1573" s="15">
        <v>1</v>
      </c>
      <c r="O1573" s="9"/>
      <c r="P1573" s="10">
        <v>40860.754375000004</v>
      </c>
      <c r="Q1573" s="14" t="s">
        <v>1994</v>
      </c>
      <c r="R1573" s="8"/>
      <c r="S1573" s="7" t="s">
        <v>6589</v>
      </c>
      <c r="T1573" s="8"/>
      <c r="U1573" s="11" t="str">
        <f>HYPERLINK("https://pbs.twimg.com/profile_images/1347512696934195200/MRXRaQBh.jpg","View")</f>
        <v>View</v>
      </c>
      <c r="V1573" s="8"/>
      <c r="W1573" s="8"/>
      <c r="X1573" s="8"/>
      <c r="Y1573" s="8"/>
      <c r="Z1573" s="8"/>
    </row>
    <row r="1574" spans="1:26" ht="13.2">
      <c r="A1574" s="13">
        <v>44250.389108796298</v>
      </c>
      <c r="B1574" s="6" t="str">
        <f>HYPERLINK("https://twitter.com/3aiAssociation","@3aiAssociation")</f>
        <v>@3aiAssociation</v>
      </c>
      <c r="C1574" s="14" t="s">
        <v>6590</v>
      </c>
      <c r="D1574" s="14" t="s">
        <v>6591</v>
      </c>
      <c r="E1574" s="6" t="str">
        <f>HYPERLINK("https://twitter.com/3aiAssociation/status/1364127936878583813","1364127936878583813")</f>
        <v>1364127936878583813</v>
      </c>
      <c r="F1574" s="7" t="s">
        <v>6592</v>
      </c>
      <c r="G1574" s="7" t="s">
        <v>6593</v>
      </c>
      <c r="H1574" s="8"/>
      <c r="I1574" s="14">
        <v>2</v>
      </c>
      <c r="J1574" s="14">
        <v>2</v>
      </c>
      <c r="K1574" s="6" t="str">
        <f t="shared" si="289"/>
        <v>Twitter Web App</v>
      </c>
      <c r="L1574" s="15">
        <v>34</v>
      </c>
      <c r="M1574" s="15">
        <v>6</v>
      </c>
      <c r="N1574" s="15">
        <v>1</v>
      </c>
      <c r="O1574" s="9"/>
      <c r="P1574" s="10">
        <v>43843.616469907407</v>
      </c>
      <c r="Q1574" s="14" t="s">
        <v>3176</v>
      </c>
      <c r="R1574" s="14" t="s">
        <v>6594</v>
      </c>
      <c r="S1574" s="8"/>
      <c r="T1574" s="8"/>
      <c r="U1574" s="11" t="str">
        <f>HYPERLINK("https://pbs.twimg.com/profile_images/1219985005025185799/BKkFkhul.png","View")</f>
        <v>View</v>
      </c>
      <c r="V1574" s="8"/>
      <c r="W1574" s="8"/>
      <c r="X1574" s="8"/>
      <c r="Y1574" s="8"/>
      <c r="Z1574" s="8"/>
    </row>
    <row r="1575" spans="1:26" ht="13.2">
      <c r="A1575" s="13">
        <v>44250.388935185183</v>
      </c>
      <c r="B1575" s="6" t="str">
        <f>HYPERLINK("https://twitter.com/nigewillson","@nigewillson")</f>
        <v>@nigewillson</v>
      </c>
      <c r="C1575" s="14" t="s">
        <v>95</v>
      </c>
      <c r="D1575" s="14" t="s">
        <v>756</v>
      </c>
      <c r="E1575" s="6" t="str">
        <f>HYPERLINK("https://twitter.com/nigewillson/status/1364127874895249408","1364127874895249408")</f>
        <v>1364127874895249408</v>
      </c>
      <c r="F1575" s="7" t="s">
        <v>757</v>
      </c>
      <c r="G1575" s="7" t="s">
        <v>6595</v>
      </c>
      <c r="H1575" s="8"/>
      <c r="I1575" s="14">
        <v>11</v>
      </c>
      <c r="J1575" s="14">
        <v>10</v>
      </c>
      <c r="K1575" s="6" t="str">
        <f t="shared" ref="K1575:K1576" si="290">HYPERLINK("https://buffer.com","Buffer")</f>
        <v>Buffer</v>
      </c>
      <c r="L1575" s="15">
        <v>57515</v>
      </c>
      <c r="M1575" s="15">
        <v>49523</v>
      </c>
      <c r="N1575" s="15">
        <v>1688</v>
      </c>
      <c r="O1575" s="9"/>
      <c r="P1575" s="10">
        <v>40530.666805555556</v>
      </c>
      <c r="Q1575" s="14" t="s">
        <v>99</v>
      </c>
      <c r="R1575" s="14" t="s">
        <v>100</v>
      </c>
      <c r="S1575" s="7" t="s">
        <v>101</v>
      </c>
      <c r="T1575" s="8"/>
      <c r="U1575" s="11" t="str">
        <f>HYPERLINK("https://pbs.twimg.com/profile_images/1085251590997622784/x9mWVQ1d.jpg","View")</f>
        <v>View</v>
      </c>
      <c r="V1575" s="8"/>
      <c r="W1575" s="8"/>
      <c r="X1575" s="8"/>
      <c r="Y1575" s="8"/>
      <c r="Z1575" s="8"/>
    </row>
    <row r="1576" spans="1:26" ht="13.2">
      <c r="A1576" s="13">
        <v>44250.388912037037</v>
      </c>
      <c r="B1576" s="6" t="str">
        <f>HYPERLINK("https://twitter.com/ingliguori","@ingliguori")</f>
        <v>@ingliguori</v>
      </c>
      <c r="C1576" s="14" t="s">
        <v>817</v>
      </c>
      <c r="D1576" s="14" t="s">
        <v>6596</v>
      </c>
      <c r="E1576" s="6" t="str">
        <f>HYPERLINK("https://twitter.com/ingliguori/status/1364127867370680320","1364127867370680320")</f>
        <v>1364127867370680320</v>
      </c>
      <c r="F1576" s="8"/>
      <c r="G1576" s="7" t="s">
        <v>6597</v>
      </c>
      <c r="H1576" s="8"/>
      <c r="I1576" s="14">
        <v>70</v>
      </c>
      <c r="J1576" s="14">
        <v>49</v>
      </c>
      <c r="K1576" s="6" t="str">
        <f t="shared" si="290"/>
        <v>Buffer</v>
      </c>
      <c r="L1576" s="15">
        <v>28633</v>
      </c>
      <c r="M1576" s="15">
        <v>8954</v>
      </c>
      <c r="N1576" s="15">
        <v>338</v>
      </c>
      <c r="O1576" s="9"/>
      <c r="P1576" s="10">
        <v>41173.034710648149</v>
      </c>
      <c r="Q1576" s="14" t="s">
        <v>820</v>
      </c>
      <c r="R1576" s="14" t="s">
        <v>821</v>
      </c>
      <c r="S1576" s="7" t="s">
        <v>822</v>
      </c>
      <c r="T1576" s="8"/>
      <c r="U1576" s="11" t="str">
        <f>HYPERLINK("https://pbs.twimg.com/profile_images/1286694267520507909/8ZM-3MFU.jpg","View")</f>
        <v>View</v>
      </c>
      <c r="V1576" s="8"/>
      <c r="W1576" s="8"/>
      <c r="X1576" s="8"/>
      <c r="Y1576" s="8"/>
      <c r="Z1576" s="8"/>
    </row>
    <row r="1577" spans="1:26" ht="13.2">
      <c r="A1577" s="13">
        <v>44250.38890046296</v>
      </c>
      <c r="B1577" s="6" t="str">
        <f>HYPERLINK("https://twitter.com/tampalini","@tampalini")</f>
        <v>@tampalini</v>
      </c>
      <c r="C1577" s="14" t="s">
        <v>6598</v>
      </c>
      <c r="D1577" s="14" t="s">
        <v>6599</v>
      </c>
      <c r="E1577" s="6" t="str">
        <f>HYPERLINK("https://twitter.com/tampalini/status/1364127864338145280","1364127864338145280")</f>
        <v>1364127864338145280</v>
      </c>
      <c r="F1577" s="7" t="s">
        <v>6600</v>
      </c>
      <c r="G1577" s="8"/>
      <c r="H1577" s="8"/>
      <c r="I1577" s="14">
        <v>1</v>
      </c>
      <c r="J1577" s="14">
        <v>2</v>
      </c>
      <c r="K1577" s="6" t="str">
        <f>HYPERLINK("https://paper.li","Paper.li")</f>
        <v>Paper.li</v>
      </c>
      <c r="L1577" s="15">
        <v>519</v>
      </c>
      <c r="M1577" s="15">
        <v>355</v>
      </c>
      <c r="N1577" s="15">
        <v>107</v>
      </c>
      <c r="O1577" s="9"/>
      <c r="P1577" s="10">
        <v>40008.834456018521</v>
      </c>
      <c r="Q1577" s="14" t="s">
        <v>869</v>
      </c>
      <c r="R1577" s="14" t="s">
        <v>6601</v>
      </c>
      <c r="S1577" s="7" t="s">
        <v>6602</v>
      </c>
      <c r="T1577" s="8"/>
      <c r="U1577" s="11" t="str">
        <f>HYPERLINK("https://pbs.twimg.com/profile_images/1301826649126842368/ipo3XG2q.jpg","View")</f>
        <v>View</v>
      </c>
      <c r="V1577" s="8"/>
      <c r="W1577" s="8"/>
      <c r="X1577" s="8"/>
      <c r="Y1577" s="8"/>
      <c r="Z1577" s="8"/>
    </row>
    <row r="1578" spans="1:26" ht="13.2">
      <c r="A1578" s="13">
        <v>44250.388668981483</v>
      </c>
      <c r="B1578" s="6" t="str">
        <f t="shared" ref="B1578:B1581" si="291">HYPERLINK("https://twitter.com/ds_vault","@ds_vault")</f>
        <v>@ds_vault</v>
      </c>
      <c r="C1578" s="14" t="s">
        <v>6603</v>
      </c>
      <c r="D1578" s="14" t="s">
        <v>6604</v>
      </c>
      <c r="E1578" s="6" t="str">
        <f>HYPERLINK("https://twitter.com/ds_vault/status/1364127781135798272","1364127781135798272")</f>
        <v>1364127781135798272</v>
      </c>
      <c r="F1578" s="7" t="s">
        <v>1086</v>
      </c>
      <c r="G1578" s="8"/>
      <c r="H1578" s="8"/>
      <c r="I1578" s="14">
        <v>1</v>
      </c>
      <c r="J1578" s="14">
        <v>1</v>
      </c>
      <c r="K1578" s="6" t="str">
        <f t="shared" ref="K1578:K1581" si="292">HYPERLINK("https://datasciencevault.com/","Data Science Vault")</f>
        <v>Data Science Vault</v>
      </c>
      <c r="L1578" s="15">
        <v>266</v>
      </c>
      <c r="M1578" s="15">
        <v>2</v>
      </c>
      <c r="N1578" s="15">
        <v>5</v>
      </c>
      <c r="O1578" s="9"/>
      <c r="P1578" s="10">
        <v>43286.570069444446</v>
      </c>
      <c r="Q1578" s="8"/>
      <c r="R1578" s="14" t="s">
        <v>6605</v>
      </c>
      <c r="S1578" s="7" t="s">
        <v>6606</v>
      </c>
      <c r="T1578" s="8"/>
      <c r="U1578" s="11" t="str">
        <f t="shared" ref="U1578:U1581" si="293">HYPERLINK("https://pbs.twimg.com/profile_images/1017392978338467842/sXrppUVY.jpg","View")</f>
        <v>View</v>
      </c>
      <c r="V1578" s="8"/>
      <c r="W1578" s="8"/>
      <c r="X1578" s="8"/>
      <c r="Y1578" s="8"/>
      <c r="Z1578" s="8"/>
    </row>
    <row r="1579" spans="1:26" ht="13.2">
      <c r="A1579" s="13">
        <v>44250.388668981483</v>
      </c>
      <c r="B1579" s="6" t="str">
        <f t="shared" si="291"/>
        <v>@ds_vault</v>
      </c>
      <c r="C1579" s="14" t="s">
        <v>6603</v>
      </c>
      <c r="D1579" s="14" t="s">
        <v>6607</v>
      </c>
      <c r="E1579" s="6" t="str">
        <f>HYPERLINK("https://twitter.com/ds_vault/status/1364127779885883392","1364127779885883392")</f>
        <v>1364127779885883392</v>
      </c>
      <c r="F1579" s="7" t="s">
        <v>6608</v>
      </c>
      <c r="G1579" s="8"/>
      <c r="H1579" s="8"/>
      <c r="I1579" s="14">
        <v>4</v>
      </c>
      <c r="J1579" s="14">
        <v>2</v>
      </c>
      <c r="K1579" s="6" t="str">
        <f t="shared" si="292"/>
        <v>Data Science Vault</v>
      </c>
      <c r="L1579" s="15">
        <v>266</v>
      </c>
      <c r="M1579" s="15">
        <v>2</v>
      </c>
      <c r="N1579" s="15">
        <v>5</v>
      </c>
      <c r="O1579" s="9"/>
      <c r="P1579" s="10">
        <v>43286.570069444446</v>
      </c>
      <c r="Q1579" s="8"/>
      <c r="R1579" s="14" t="s">
        <v>6605</v>
      </c>
      <c r="S1579" s="7" t="s">
        <v>6606</v>
      </c>
      <c r="T1579" s="8"/>
      <c r="U1579" s="11" t="str">
        <f t="shared" si="293"/>
        <v>View</v>
      </c>
      <c r="V1579" s="8"/>
      <c r="W1579" s="8"/>
      <c r="X1579" s="8"/>
      <c r="Y1579" s="8"/>
      <c r="Z1579" s="8"/>
    </row>
    <row r="1580" spans="1:26" ht="13.2">
      <c r="A1580" s="13">
        <v>44250.388668981483</v>
      </c>
      <c r="B1580" s="6" t="str">
        <f t="shared" si="291"/>
        <v>@ds_vault</v>
      </c>
      <c r="C1580" s="14" t="s">
        <v>6603</v>
      </c>
      <c r="D1580" s="14" t="s">
        <v>6609</v>
      </c>
      <c r="E1580" s="6" t="str">
        <f>HYPERLINK("https://twitter.com/ds_vault/status/1364127778715693059","1364127778715693059")</f>
        <v>1364127778715693059</v>
      </c>
      <c r="F1580" s="7" t="s">
        <v>6610</v>
      </c>
      <c r="G1580" s="8"/>
      <c r="H1580" s="8"/>
      <c r="I1580" s="14">
        <v>2</v>
      </c>
      <c r="J1580" s="14">
        <v>1</v>
      </c>
      <c r="K1580" s="6" t="str">
        <f t="shared" si="292"/>
        <v>Data Science Vault</v>
      </c>
      <c r="L1580" s="15">
        <v>266</v>
      </c>
      <c r="M1580" s="15">
        <v>2</v>
      </c>
      <c r="N1580" s="15">
        <v>5</v>
      </c>
      <c r="O1580" s="9"/>
      <c r="P1580" s="10">
        <v>43286.570069444446</v>
      </c>
      <c r="Q1580" s="8"/>
      <c r="R1580" s="14" t="s">
        <v>6605</v>
      </c>
      <c r="S1580" s="7" t="s">
        <v>6606</v>
      </c>
      <c r="T1580" s="8"/>
      <c r="U1580" s="11" t="str">
        <f t="shared" si="293"/>
        <v>View</v>
      </c>
      <c r="V1580" s="8"/>
      <c r="W1580" s="8"/>
      <c r="X1580" s="8"/>
      <c r="Y1580" s="8"/>
      <c r="Z1580" s="8"/>
    </row>
    <row r="1581" spans="1:26" ht="13.2">
      <c r="A1581" s="13">
        <v>44250.388668981483</v>
      </c>
      <c r="B1581" s="6" t="str">
        <f t="shared" si="291"/>
        <v>@ds_vault</v>
      </c>
      <c r="C1581" s="14" t="s">
        <v>6603</v>
      </c>
      <c r="D1581" s="14" t="s">
        <v>6611</v>
      </c>
      <c r="E1581" s="6" t="str">
        <f>HYPERLINK("https://twitter.com/ds_vault/status/1364127777511911425","1364127777511911425")</f>
        <v>1364127777511911425</v>
      </c>
      <c r="F1581" s="7" t="s">
        <v>6612</v>
      </c>
      <c r="G1581" s="8"/>
      <c r="H1581" s="8"/>
      <c r="I1581" s="14">
        <v>2</v>
      </c>
      <c r="J1581" s="14">
        <v>1</v>
      </c>
      <c r="K1581" s="6" t="str">
        <f t="shared" si="292"/>
        <v>Data Science Vault</v>
      </c>
      <c r="L1581" s="15">
        <v>266</v>
      </c>
      <c r="M1581" s="15">
        <v>2</v>
      </c>
      <c r="N1581" s="15">
        <v>5</v>
      </c>
      <c r="O1581" s="9"/>
      <c r="P1581" s="10">
        <v>43286.570069444446</v>
      </c>
      <c r="Q1581" s="8"/>
      <c r="R1581" s="14" t="s">
        <v>6605</v>
      </c>
      <c r="S1581" s="7" t="s">
        <v>6606</v>
      </c>
      <c r="T1581" s="8"/>
      <c r="U1581" s="11" t="str">
        <f t="shared" si="293"/>
        <v>View</v>
      </c>
      <c r="V1581" s="8"/>
      <c r="W1581" s="8"/>
      <c r="X1581" s="8"/>
      <c r="Y1581" s="8"/>
      <c r="Z1581" s="8"/>
    </row>
    <row r="1582" spans="1:26" ht="13.2">
      <c r="A1582" s="13">
        <v>44250.388506944444</v>
      </c>
      <c r="B1582" s="6" t="str">
        <f>HYPERLINK("https://twitter.com/ET_CIO","@ET_CIO")</f>
        <v>@ET_CIO</v>
      </c>
      <c r="C1582" s="14" t="s">
        <v>6613</v>
      </c>
      <c r="D1582" s="14" t="s">
        <v>6614</v>
      </c>
      <c r="E1582" s="6" t="str">
        <f>HYPERLINK("https://twitter.com/ET_CIO/status/1364127722583154694","1364127722583154694")</f>
        <v>1364127722583154694</v>
      </c>
      <c r="F1582" s="7" t="s">
        <v>6615</v>
      </c>
      <c r="G1582" s="7" t="s">
        <v>6616</v>
      </c>
      <c r="H1582" s="8"/>
      <c r="I1582" s="14">
        <v>2</v>
      </c>
      <c r="J1582" s="14">
        <v>1</v>
      </c>
      <c r="K1582" s="6" t="str">
        <f>HYPERLINK("https://mobile.twitter.com","Twitter Web App")</f>
        <v>Twitter Web App</v>
      </c>
      <c r="L1582" s="15">
        <v>4235</v>
      </c>
      <c r="M1582" s="15">
        <v>7198</v>
      </c>
      <c r="N1582" s="15">
        <v>83</v>
      </c>
      <c r="O1582" s="15" t="s">
        <v>130</v>
      </c>
      <c r="P1582" s="10">
        <v>41792.516817129632</v>
      </c>
      <c r="Q1582" s="8"/>
      <c r="R1582" s="14" t="s">
        <v>6617</v>
      </c>
      <c r="S1582" s="7" t="s">
        <v>6618</v>
      </c>
      <c r="T1582" s="8"/>
      <c r="U1582" s="11" t="str">
        <f>HYPERLINK("https://pbs.twimg.com/profile_images/1304062407459745797/Uc6Humxr.jpg","View")</f>
        <v>View</v>
      </c>
      <c r="V1582" s="8"/>
      <c r="W1582" s="8"/>
      <c r="X1582" s="8"/>
      <c r="Y1582" s="8"/>
      <c r="Z1582" s="8"/>
    </row>
    <row r="1583" spans="1:26" ht="13.2">
      <c r="A1583" s="13">
        <v>44250.388229166667</v>
      </c>
      <c r="B1583" s="6" t="str">
        <f>HYPERLINK("https://twitter.com/milocamj","@milocamj")</f>
        <v>@milocamj</v>
      </c>
      <c r="C1583" s="14" t="s">
        <v>1805</v>
      </c>
      <c r="D1583" s="14" t="s">
        <v>6619</v>
      </c>
      <c r="E1583" s="6" t="str">
        <f>HYPERLINK("https://twitter.com/milocamj/status/1364127620128935938","1364127620128935938")</f>
        <v>1364127620128935938</v>
      </c>
      <c r="F1583" s="14" t="s">
        <v>6620</v>
      </c>
      <c r="G1583" s="7" t="s">
        <v>6621</v>
      </c>
      <c r="H1583" s="8"/>
      <c r="I1583" s="14">
        <v>4</v>
      </c>
      <c r="J1583" s="14">
        <v>2</v>
      </c>
      <c r="K1583" s="6" t="str">
        <f>HYPERLINK("https://dlvrit.com/","dlvr.it")</f>
        <v>dlvr.it</v>
      </c>
      <c r="L1583" s="15">
        <v>2595</v>
      </c>
      <c r="M1583" s="15">
        <v>48</v>
      </c>
      <c r="N1583" s="15">
        <v>1282</v>
      </c>
      <c r="O1583" s="9"/>
      <c r="P1583" s="10">
        <v>39904.699837962966</v>
      </c>
      <c r="Q1583" s="14" t="s">
        <v>1809</v>
      </c>
      <c r="R1583" s="14" t="s">
        <v>1810</v>
      </c>
      <c r="S1583" s="7" t="s">
        <v>1811</v>
      </c>
      <c r="T1583" s="8"/>
      <c r="U1583" s="11" t="str">
        <f>HYPERLINK("https://pbs.twimg.com/profile_images/1108578778018709505/56I0aOhL.jpg","View")</f>
        <v>View</v>
      </c>
      <c r="V1583" s="8"/>
      <c r="W1583" s="8"/>
      <c r="X1583" s="8"/>
      <c r="Y1583" s="8"/>
      <c r="Z1583" s="8"/>
    </row>
    <row r="1584" spans="1:26" ht="13.2">
      <c r="A1584" s="13">
        <v>44250.388206018513</v>
      </c>
      <c r="B1584" s="6" t="str">
        <f>HYPERLINK("https://twitter.com/ElevenPaths","@ElevenPaths")</f>
        <v>@ElevenPaths</v>
      </c>
      <c r="C1584" s="14" t="s">
        <v>6622</v>
      </c>
      <c r="D1584" s="14" t="s">
        <v>6623</v>
      </c>
      <c r="E1584" s="6" t="str">
        <f>HYPERLINK("https://twitter.com/ElevenPaths/status/1364127611144859649","1364127611144859649")</f>
        <v>1364127611144859649</v>
      </c>
      <c r="F1584" s="7" t="s">
        <v>6624</v>
      </c>
      <c r="G1584" s="8"/>
      <c r="H1584" s="8"/>
      <c r="I1584" s="14">
        <v>2</v>
      </c>
      <c r="J1584" s="14">
        <v>3</v>
      </c>
      <c r="K1584" s="6" t="str">
        <f t="shared" ref="K1584:K1585" si="294">HYPERLINK("https://mobile.twitter.com","Twitter Web App")</f>
        <v>Twitter Web App</v>
      </c>
      <c r="L1584" s="15">
        <v>38759</v>
      </c>
      <c r="M1584" s="15">
        <v>792</v>
      </c>
      <c r="N1584" s="15">
        <v>786</v>
      </c>
      <c r="O1584" s="15" t="s">
        <v>130</v>
      </c>
      <c r="P1584" s="10">
        <v>41422.650659722218</v>
      </c>
      <c r="Q1584" s="14" t="s">
        <v>6625</v>
      </c>
      <c r="R1584" s="14" t="s">
        <v>6626</v>
      </c>
      <c r="S1584" s="7" t="s">
        <v>6627</v>
      </c>
      <c r="T1584" s="8"/>
      <c r="U1584" s="11" t="str">
        <f>HYPERLINK("https://pbs.twimg.com/profile_images/1324648176528347137/smThZZFU.jpg","View")</f>
        <v>View</v>
      </c>
      <c r="V1584" s="8"/>
      <c r="W1584" s="8"/>
      <c r="X1584" s="8"/>
      <c r="Y1584" s="8"/>
      <c r="Z1584" s="8"/>
    </row>
    <row r="1585" spans="1:26" ht="13.2">
      <c r="A1585" s="13">
        <v>44250.387233796297</v>
      </c>
      <c r="B1585" s="6" t="str">
        <f>HYPERLINK("https://twitter.com/bbva","@bbva")</f>
        <v>@bbva</v>
      </c>
      <c r="C1585" s="14" t="s">
        <v>6628</v>
      </c>
      <c r="D1585" s="14" t="s">
        <v>6629</v>
      </c>
      <c r="E1585" s="6" t="str">
        <f>HYPERLINK("https://twitter.com/bbva/status/1364127261058871296","1364127261058871296")</f>
        <v>1364127261058871296</v>
      </c>
      <c r="F1585" s="8"/>
      <c r="G1585" s="8"/>
      <c r="H1585" s="8"/>
      <c r="I1585" s="14">
        <v>6</v>
      </c>
      <c r="J1585" s="14">
        <v>16</v>
      </c>
      <c r="K1585" s="6" t="str">
        <f t="shared" si="294"/>
        <v>Twitter Web App</v>
      </c>
      <c r="L1585" s="15">
        <v>2510665</v>
      </c>
      <c r="M1585" s="15">
        <v>80</v>
      </c>
      <c r="N1585" s="15">
        <v>5459</v>
      </c>
      <c r="O1585" s="15" t="s">
        <v>130</v>
      </c>
      <c r="P1585" s="10">
        <v>39737.726377314815</v>
      </c>
      <c r="Q1585" s="8"/>
      <c r="R1585" s="14" t="s">
        <v>6630</v>
      </c>
      <c r="S1585" s="7" t="s">
        <v>6631</v>
      </c>
      <c r="T1585" s="8"/>
      <c r="U1585" s="11" t="str">
        <f>HYPERLINK("https://pbs.twimg.com/profile_images/1354467985067487233/RLKbyqOl.jpg","View")</f>
        <v>View</v>
      </c>
      <c r="V1585" s="8"/>
      <c r="W1585" s="8"/>
      <c r="X1585" s="8"/>
      <c r="Y1585" s="8"/>
      <c r="Z1585" s="8"/>
    </row>
    <row r="1586" spans="1:26" ht="13.2">
      <c r="A1586" s="13">
        <v>44250.387106481481</v>
      </c>
      <c r="B1586" s="6" t="str">
        <f>HYPERLINK("https://twitter.com/AnalyticsFr","@AnalyticsFr")</f>
        <v>@AnalyticsFr</v>
      </c>
      <c r="C1586" s="14" t="s">
        <v>6354</v>
      </c>
      <c r="D1586" s="14" t="s">
        <v>6357</v>
      </c>
      <c r="E1586" s="6" t="str">
        <f>HYPERLINK("https://twitter.com/AnalyticsFr/status/1364127212945965060","1364127212945965060")</f>
        <v>1364127212945965060</v>
      </c>
      <c r="F1586" s="7" t="s">
        <v>6358</v>
      </c>
      <c r="G1586" s="8"/>
      <c r="H1586" s="8"/>
      <c r="I1586" s="14">
        <v>1</v>
      </c>
      <c r="J1586" s="14">
        <v>2</v>
      </c>
      <c r="K1586" s="6" t="str">
        <f>HYPERLINK("https://ifttt.com","IFTTT")</f>
        <v>IFTTT</v>
      </c>
      <c r="L1586" s="15">
        <v>1506</v>
      </c>
      <c r="M1586" s="15">
        <v>193</v>
      </c>
      <c r="N1586" s="15">
        <v>616</v>
      </c>
      <c r="O1586" s="9"/>
      <c r="P1586" s="10">
        <v>41348.682442129633</v>
      </c>
      <c r="Q1586" s="14" t="s">
        <v>106</v>
      </c>
      <c r="R1586" s="14" t="s">
        <v>6334</v>
      </c>
      <c r="S1586" s="8"/>
      <c r="T1586" s="8"/>
      <c r="U1586" s="11" t="str">
        <f>HYPERLINK("https://pbs.twimg.com/profile_images/584755122854612992/-qOfOneV.jpg","View")</f>
        <v>View</v>
      </c>
      <c r="V1586" s="8"/>
      <c r="W1586" s="8"/>
      <c r="X1586" s="8"/>
      <c r="Y1586" s="8"/>
      <c r="Z1586" s="8"/>
    </row>
    <row r="1587" spans="1:26" ht="13.2">
      <c r="A1587" s="13">
        <v>44250.386226851857</v>
      </c>
      <c r="B1587" s="6" t="str">
        <f>HYPERLINK("https://twitter.com/DecisionsSmart","@DecisionsSmart")</f>
        <v>@DecisionsSmart</v>
      </c>
      <c r="C1587" s="14" t="s">
        <v>212</v>
      </c>
      <c r="D1587" s="14" t="s">
        <v>6011</v>
      </c>
      <c r="E1587" s="6" t="str">
        <f>HYPERLINK("https://twitter.com/DecisionsSmart/status/1364126893860126720","1364126893860126720")</f>
        <v>1364126893860126720</v>
      </c>
      <c r="F1587" s="14" t="s">
        <v>4483</v>
      </c>
      <c r="G1587" s="8"/>
      <c r="H1587" s="8"/>
      <c r="I1587" s="14">
        <v>1</v>
      </c>
      <c r="J1587" s="14">
        <v>1</v>
      </c>
      <c r="K1587" s="6" t="str">
        <f t="shared" ref="K1587:K1588" si="295">HYPERLINK("http://twinybots.com","TwinyBots")</f>
        <v>TwinyBots</v>
      </c>
      <c r="L1587" s="15">
        <v>6690</v>
      </c>
      <c r="M1587" s="15">
        <v>5126</v>
      </c>
      <c r="N1587" s="15">
        <v>88</v>
      </c>
      <c r="O1587" s="9"/>
      <c r="P1587" s="10">
        <v>43282.143495370372</v>
      </c>
      <c r="Q1587" s="14" t="s">
        <v>215</v>
      </c>
      <c r="R1587" s="14" t="s">
        <v>216</v>
      </c>
      <c r="S1587" s="8"/>
      <c r="T1587" s="8"/>
      <c r="U1587" s="11" t="str">
        <f>HYPERLINK("https://pbs.twimg.com/profile_images/1273753380373004289/crFq1msz.jpg","View")</f>
        <v>View</v>
      </c>
      <c r="V1587" s="8"/>
      <c r="W1587" s="8"/>
      <c r="X1587" s="8"/>
      <c r="Y1587" s="8"/>
      <c r="Z1587" s="8"/>
    </row>
    <row r="1588" spans="1:26" ht="13.2">
      <c r="A1588" s="13">
        <v>44250.386215277773</v>
      </c>
      <c r="B1588" s="6" t="str">
        <f>HYPERLINK("https://twitter.com/AlexeyChang","@AlexeyChang")</f>
        <v>@AlexeyChang</v>
      </c>
      <c r="C1588" s="14" t="s">
        <v>6632</v>
      </c>
      <c r="D1588" s="14" t="s">
        <v>6633</v>
      </c>
      <c r="E1588" s="6" t="str">
        <f>HYPERLINK("https://twitter.com/AlexeyChang/status/1364126891259666439","1364126891259666439")</f>
        <v>1364126891259666439</v>
      </c>
      <c r="F1588" s="14" t="s">
        <v>1313</v>
      </c>
      <c r="G1588" s="8"/>
      <c r="H1588" s="8"/>
      <c r="I1588" s="14">
        <v>1</v>
      </c>
      <c r="J1588" s="14">
        <v>1</v>
      </c>
      <c r="K1588" s="6" t="str">
        <f t="shared" si="295"/>
        <v>TwinyBots</v>
      </c>
      <c r="L1588" s="15">
        <v>222</v>
      </c>
      <c r="M1588" s="15">
        <v>291</v>
      </c>
      <c r="N1588" s="15">
        <v>9</v>
      </c>
      <c r="O1588" s="9"/>
      <c r="P1588" s="10">
        <v>43937.407465277778</v>
      </c>
      <c r="Q1588" s="14" t="s">
        <v>6634</v>
      </c>
      <c r="R1588" s="14" t="s">
        <v>6635</v>
      </c>
      <c r="S1588" s="7" t="s">
        <v>6636</v>
      </c>
      <c r="T1588" s="8"/>
      <c r="U1588" s="11" t="str">
        <f>HYPERLINK("https://pbs.twimg.com/profile_images/1250697388232249344/TVGVpwMy.jpg","View")</f>
        <v>View</v>
      </c>
      <c r="V1588" s="8"/>
      <c r="W1588" s="8"/>
      <c r="X1588" s="8"/>
      <c r="Y1588" s="8"/>
      <c r="Z1588" s="8"/>
    </row>
    <row r="1589" spans="1:26" ht="13.2">
      <c r="A1589" s="13">
        <v>44250.386030092588</v>
      </c>
      <c r="B1589" s="6" t="str">
        <f>HYPERLINK("https://twitter.com/CloudgenL","@CloudgenL")</f>
        <v>@CloudgenL</v>
      </c>
      <c r="C1589" s="14" t="s">
        <v>6637</v>
      </c>
      <c r="D1589" s="14" t="s">
        <v>6638</v>
      </c>
      <c r="E1589" s="6" t="str">
        <f>HYPERLINK("https://twitter.com/CloudgenL/status/1364126821382455297","1364126821382455297")</f>
        <v>1364126821382455297</v>
      </c>
      <c r="F1589" s="8"/>
      <c r="G1589" s="7" t="s">
        <v>6639</v>
      </c>
      <c r="H1589" s="8"/>
      <c r="I1589" s="14">
        <v>24</v>
      </c>
      <c r="J1589" s="14">
        <v>15</v>
      </c>
      <c r="K1589" s="6" t="str">
        <f>HYPERLINK("http://twitter.com/download/iphone","Twitter for iPhone")</f>
        <v>Twitter for iPhone</v>
      </c>
      <c r="L1589" s="15">
        <v>24</v>
      </c>
      <c r="M1589" s="15">
        <v>67</v>
      </c>
      <c r="N1589" s="15">
        <v>0</v>
      </c>
      <c r="O1589" s="9"/>
      <c r="P1589" s="10">
        <v>44046.741990740746</v>
      </c>
      <c r="Q1589" s="14" t="s">
        <v>6640</v>
      </c>
      <c r="R1589" s="14" t="s">
        <v>6641</v>
      </c>
      <c r="S1589" s="7" t="s">
        <v>6642</v>
      </c>
      <c r="T1589" s="8"/>
      <c r="U1589" s="11" t="str">
        <f>HYPERLINK("https://pbs.twimg.com/profile_images/1290314088506183681/K1QV-oic.jpg","View")</f>
        <v>View</v>
      </c>
      <c r="V1589" s="8"/>
      <c r="W1589" s="8"/>
      <c r="X1589" s="8"/>
      <c r="Y1589" s="8"/>
      <c r="Z1589" s="8"/>
    </row>
    <row r="1590" spans="1:26" ht="13.2">
      <c r="A1590" s="13">
        <v>44250.385462962964</v>
      </c>
      <c r="B1590" s="6" t="str">
        <f>HYPERLINK("https://twitter.com/nigewillson","@nigewillson")</f>
        <v>@nigewillson</v>
      </c>
      <c r="C1590" s="14" t="s">
        <v>95</v>
      </c>
      <c r="D1590" s="14" t="s">
        <v>814</v>
      </c>
      <c r="E1590" s="6" t="str">
        <f>HYPERLINK("https://twitter.com/nigewillson/status/1364126618042720257","1364126618042720257")</f>
        <v>1364126618042720257</v>
      </c>
      <c r="F1590" s="7" t="s">
        <v>815</v>
      </c>
      <c r="G1590" s="7" t="s">
        <v>6643</v>
      </c>
      <c r="H1590" s="8"/>
      <c r="I1590" s="14">
        <v>9</v>
      </c>
      <c r="J1590" s="14">
        <v>6</v>
      </c>
      <c r="K1590" s="6" t="str">
        <f>HYPERLINK("https://buffer.com","Buffer")</f>
        <v>Buffer</v>
      </c>
      <c r="L1590" s="15">
        <v>57515</v>
      </c>
      <c r="M1590" s="15">
        <v>49523</v>
      </c>
      <c r="N1590" s="15">
        <v>1688</v>
      </c>
      <c r="O1590" s="9"/>
      <c r="P1590" s="10">
        <v>40530.666805555556</v>
      </c>
      <c r="Q1590" s="14" t="s">
        <v>99</v>
      </c>
      <c r="R1590" s="14" t="s">
        <v>100</v>
      </c>
      <c r="S1590" s="7" t="s">
        <v>101</v>
      </c>
      <c r="T1590" s="8"/>
      <c r="U1590" s="11" t="str">
        <f>HYPERLINK("https://pbs.twimg.com/profile_images/1085251590997622784/x9mWVQ1d.jpg","View")</f>
        <v>View</v>
      </c>
      <c r="V1590" s="8"/>
      <c r="W1590" s="8"/>
      <c r="X1590" s="8"/>
      <c r="Y1590" s="8"/>
      <c r="Z1590" s="8"/>
    </row>
    <row r="1591" spans="1:26" ht="13.2">
      <c r="A1591" s="13">
        <v>44250.384722222225</v>
      </c>
      <c r="B1591" s="6" t="str">
        <f>HYPERLINK("https://twitter.com/Like_A_Bot","@Like_A_Bot")</f>
        <v>@Like_A_Bot</v>
      </c>
      <c r="C1591" s="14" t="s">
        <v>6644</v>
      </c>
      <c r="D1591" s="14" t="s">
        <v>6645</v>
      </c>
      <c r="E1591" s="6" t="str">
        <f>HYPERLINK("https://twitter.com/Like_A_Bot/status/1364126350974582784","1364126350974582784")</f>
        <v>1364126350974582784</v>
      </c>
      <c r="F1591" s="7" t="s">
        <v>6646</v>
      </c>
      <c r="G1591" s="8"/>
      <c r="H1591" s="8"/>
      <c r="I1591" s="14">
        <v>2</v>
      </c>
      <c r="J1591" s="14">
        <v>0</v>
      </c>
      <c r="K1591" s="6" t="str">
        <f>HYPERLINK("https://swello.com/fr/","Swello")</f>
        <v>Swello</v>
      </c>
      <c r="L1591" s="15">
        <v>460</v>
      </c>
      <c r="M1591" s="15">
        <v>235</v>
      </c>
      <c r="N1591" s="15">
        <v>8</v>
      </c>
      <c r="O1591" s="9"/>
      <c r="P1591" s="10">
        <v>43039.493888888886</v>
      </c>
      <c r="Q1591" s="8"/>
      <c r="R1591" s="14" t="s">
        <v>6647</v>
      </c>
      <c r="S1591" s="7" t="s">
        <v>6648</v>
      </c>
      <c r="T1591" s="8"/>
      <c r="U1591" s="11" t="str">
        <f>HYPERLINK("https://pbs.twimg.com/profile_images/940175992747732992/B0vV5VkN.jpg","View")</f>
        <v>View</v>
      </c>
      <c r="V1591" s="8"/>
      <c r="W1591" s="8"/>
      <c r="X1591" s="8"/>
      <c r="Y1591" s="8"/>
      <c r="Z1591" s="8"/>
    </row>
    <row r="1592" spans="1:26" ht="13.2">
      <c r="A1592" s="13">
        <v>44250.384548611109</v>
      </c>
      <c r="B1592" s="6" t="str">
        <f>HYPERLINK("https://twitter.com/CatherineAdenle","@CatherineAdenle")</f>
        <v>@CatherineAdenle</v>
      </c>
      <c r="C1592" s="14" t="s">
        <v>6649</v>
      </c>
      <c r="D1592" s="14" t="s">
        <v>6650</v>
      </c>
      <c r="E1592" s="6" t="str">
        <f>HYPERLINK("https://twitter.com/CatherineAdenle/status/1364126284540968961","1364126284540968961")</f>
        <v>1364126284540968961</v>
      </c>
      <c r="F1592" s="8"/>
      <c r="G1592" s="7" t="s">
        <v>6651</v>
      </c>
      <c r="H1592" s="8"/>
      <c r="I1592" s="14">
        <v>32</v>
      </c>
      <c r="J1592" s="14">
        <v>24</v>
      </c>
      <c r="K1592" s="6" t="str">
        <f>HYPERLINK("http://twitter.com/download/iphone","Twitter for iPhone")</f>
        <v>Twitter for iPhone</v>
      </c>
      <c r="L1592" s="15">
        <v>38255</v>
      </c>
      <c r="M1592" s="15">
        <v>2328</v>
      </c>
      <c r="N1592" s="15">
        <v>782</v>
      </c>
      <c r="O1592" s="9"/>
      <c r="P1592" s="10">
        <v>40049.734074074076</v>
      </c>
      <c r="Q1592" s="14" t="s">
        <v>5650</v>
      </c>
      <c r="R1592" s="14" t="s">
        <v>6652</v>
      </c>
      <c r="S1592" s="7" t="s">
        <v>6653</v>
      </c>
      <c r="T1592" s="8"/>
      <c r="U1592" s="11" t="str">
        <f>HYPERLINK("https://pbs.twimg.com/profile_images/476740017432584192/f_Wc8SVX.jpeg","View")</f>
        <v>View</v>
      </c>
      <c r="V1592" s="8"/>
      <c r="W1592" s="8"/>
      <c r="X1592" s="8"/>
      <c r="Y1592" s="8"/>
      <c r="Z1592" s="8"/>
    </row>
    <row r="1593" spans="1:26" ht="13.2">
      <c r="A1593" s="13">
        <v>44250.384189814809</v>
      </c>
      <c r="B1593" s="6" t="str">
        <f t="shared" ref="B1593:B1598" si="296">HYPERLINK("https://twitter.com/AnalyticsFr","@AnalyticsFr")</f>
        <v>@AnalyticsFr</v>
      </c>
      <c r="C1593" s="14" t="s">
        <v>6354</v>
      </c>
      <c r="D1593" s="14" t="s">
        <v>6332</v>
      </c>
      <c r="E1593" s="6" t="str">
        <f>HYPERLINK("https://twitter.com/AnalyticsFr/status/1364126155486429184","1364126155486429184")</f>
        <v>1364126155486429184</v>
      </c>
      <c r="F1593" s="14" t="s">
        <v>6333</v>
      </c>
      <c r="G1593" s="8"/>
      <c r="H1593" s="8"/>
      <c r="I1593" s="14">
        <v>2</v>
      </c>
      <c r="J1593" s="14">
        <v>1</v>
      </c>
      <c r="K1593" s="6" t="str">
        <f t="shared" ref="K1593:K1598" si="297">HYPERLINK("https://ifttt.com","IFTTT")</f>
        <v>IFTTT</v>
      </c>
      <c r="L1593" s="15">
        <v>1506</v>
      </c>
      <c r="M1593" s="15">
        <v>193</v>
      </c>
      <c r="N1593" s="15">
        <v>616</v>
      </c>
      <c r="O1593" s="9"/>
      <c r="P1593" s="10">
        <v>41348.682442129633</v>
      </c>
      <c r="Q1593" s="14" t="s">
        <v>106</v>
      </c>
      <c r="R1593" s="14" t="s">
        <v>6334</v>
      </c>
      <c r="S1593" s="8"/>
      <c r="T1593" s="8"/>
      <c r="U1593" s="11" t="str">
        <f t="shared" ref="U1593:U1598" si="298">HYPERLINK("https://pbs.twimg.com/profile_images/584755122854612992/-qOfOneV.jpg","View")</f>
        <v>View</v>
      </c>
      <c r="V1593" s="8"/>
      <c r="W1593" s="8"/>
      <c r="X1593" s="8"/>
      <c r="Y1593" s="8"/>
      <c r="Z1593" s="8"/>
    </row>
    <row r="1594" spans="1:26" ht="13.2">
      <c r="A1594" s="13">
        <v>44250.38417824074</v>
      </c>
      <c r="B1594" s="6" t="str">
        <f t="shared" si="296"/>
        <v>@AnalyticsFr</v>
      </c>
      <c r="C1594" s="14" t="s">
        <v>6354</v>
      </c>
      <c r="D1594" s="14" t="s">
        <v>6565</v>
      </c>
      <c r="E1594" s="6" t="str">
        <f>HYPERLINK("https://twitter.com/AnalyticsFr/status/1364126150449127424","1364126150449127424")</f>
        <v>1364126150449127424</v>
      </c>
      <c r="F1594" s="14" t="s">
        <v>6566</v>
      </c>
      <c r="G1594" s="8"/>
      <c r="H1594" s="8"/>
      <c r="I1594" s="14">
        <v>1</v>
      </c>
      <c r="J1594" s="14">
        <v>1</v>
      </c>
      <c r="K1594" s="6" t="str">
        <f t="shared" si="297"/>
        <v>IFTTT</v>
      </c>
      <c r="L1594" s="15">
        <v>1506</v>
      </c>
      <c r="M1594" s="15">
        <v>193</v>
      </c>
      <c r="N1594" s="15">
        <v>616</v>
      </c>
      <c r="O1594" s="9"/>
      <c r="P1594" s="10">
        <v>41348.682442129633</v>
      </c>
      <c r="Q1594" s="14" t="s">
        <v>106</v>
      </c>
      <c r="R1594" s="14" t="s">
        <v>6334</v>
      </c>
      <c r="S1594" s="8"/>
      <c r="T1594" s="8"/>
      <c r="U1594" s="11" t="str">
        <f t="shared" si="298"/>
        <v>View</v>
      </c>
      <c r="V1594" s="8"/>
      <c r="W1594" s="8"/>
      <c r="X1594" s="8"/>
      <c r="Y1594" s="8"/>
      <c r="Z1594" s="8"/>
    </row>
    <row r="1595" spans="1:26" ht="13.2">
      <c r="A1595" s="13">
        <v>44250.38416666667</v>
      </c>
      <c r="B1595" s="6" t="str">
        <f t="shared" si="296"/>
        <v>@AnalyticsFr</v>
      </c>
      <c r="C1595" s="14" t="s">
        <v>6354</v>
      </c>
      <c r="D1595" s="14" t="s">
        <v>6335</v>
      </c>
      <c r="E1595" s="6" t="str">
        <f>HYPERLINK("https://twitter.com/AnalyticsFr/status/1364126146636480514","1364126146636480514")</f>
        <v>1364126146636480514</v>
      </c>
      <c r="F1595" s="14" t="s">
        <v>6336</v>
      </c>
      <c r="G1595" s="8"/>
      <c r="H1595" s="8"/>
      <c r="I1595" s="14">
        <v>1</v>
      </c>
      <c r="J1595" s="14">
        <v>1</v>
      </c>
      <c r="K1595" s="6" t="str">
        <f t="shared" si="297"/>
        <v>IFTTT</v>
      </c>
      <c r="L1595" s="15">
        <v>1506</v>
      </c>
      <c r="M1595" s="15">
        <v>193</v>
      </c>
      <c r="N1595" s="15">
        <v>616</v>
      </c>
      <c r="O1595" s="9"/>
      <c r="P1595" s="10">
        <v>41348.682442129633</v>
      </c>
      <c r="Q1595" s="14" t="s">
        <v>106</v>
      </c>
      <c r="R1595" s="14" t="s">
        <v>6334</v>
      </c>
      <c r="S1595" s="8"/>
      <c r="T1595" s="8"/>
      <c r="U1595" s="11" t="str">
        <f t="shared" si="298"/>
        <v>View</v>
      </c>
      <c r="V1595" s="8"/>
      <c r="W1595" s="8"/>
      <c r="X1595" s="8"/>
      <c r="Y1595" s="8"/>
      <c r="Z1595" s="8"/>
    </row>
    <row r="1596" spans="1:26" ht="13.2">
      <c r="A1596" s="13">
        <v>44250.384155092594</v>
      </c>
      <c r="B1596" s="6" t="str">
        <f t="shared" si="296"/>
        <v>@AnalyticsFr</v>
      </c>
      <c r="C1596" s="14" t="s">
        <v>6354</v>
      </c>
      <c r="D1596" s="14" t="s">
        <v>6567</v>
      </c>
      <c r="E1596" s="6" t="str">
        <f>HYPERLINK("https://twitter.com/AnalyticsFr/status/1364126144790994950","1364126144790994950")</f>
        <v>1364126144790994950</v>
      </c>
      <c r="F1596" s="14" t="s">
        <v>6568</v>
      </c>
      <c r="G1596" s="8"/>
      <c r="H1596" s="8"/>
      <c r="I1596" s="14">
        <v>1</v>
      </c>
      <c r="J1596" s="14">
        <v>1</v>
      </c>
      <c r="K1596" s="6" t="str">
        <f t="shared" si="297"/>
        <v>IFTTT</v>
      </c>
      <c r="L1596" s="15">
        <v>1506</v>
      </c>
      <c r="M1596" s="15">
        <v>193</v>
      </c>
      <c r="N1596" s="15">
        <v>616</v>
      </c>
      <c r="O1596" s="9"/>
      <c r="P1596" s="10">
        <v>41348.682442129633</v>
      </c>
      <c r="Q1596" s="14" t="s">
        <v>106</v>
      </c>
      <c r="R1596" s="14" t="s">
        <v>6334</v>
      </c>
      <c r="S1596" s="8"/>
      <c r="T1596" s="8"/>
      <c r="U1596" s="11" t="str">
        <f t="shared" si="298"/>
        <v>View</v>
      </c>
      <c r="V1596" s="8"/>
      <c r="W1596" s="8"/>
      <c r="X1596" s="8"/>
      <c r="Y1596" s="8"/>
      <c r="Z1596" s="8"/>
    </row>
    <row r="1597" spans="1:26" ht="13.2">
      <c r="A1597" s="13">
        <v>44250.384155092594</v>
      </c>
      <c r="B1597" s="6" t="str">
        <f t="shared" si="296"/>
        <v>@AnalyticsFr</v>
      </c>
      <c r="C1597" s="14" t="s">
        <v>6354</v>
      </c>
      <c r="D1597" s="14" t="s">
        <v>6569</v>
      </c>
      <c r="E1597" s="6" t="str">
        <f>HYPERLINK("https://twitter.com/AnalyticsFr/status/1364126142953910272","1364126142953910272")</f>
        <v>1364126142953910272</v>
      </c>
      <c r="F1597" s="14" t="s">
        <v>6570</v>
      </c>
      <c r="G1597" s="8"/>
      <c r="H1597" s="8"/>
      <c r="I1597" s="14">
        <v>1</v>
      </c>
      <c r="J1597" s="14">
        <v>2</v>
      </c>
      <c r="K1597" s="6" t="str">
        <f t="shared" si="297"/>
        <v>IFTTT</v>
      </c>
      <c r="L1597" s="15">
        <v>1506</v>
      </c>
      <c r="M1597" s="15">
        <v>193</v>
      </c>
      <c r="N1597" s="15">
        <v>616</v>
      </c>
      <c r="O1597" s="9"/>
      <c r="P1597" s="10">
        <v>41348.682442129633</v>
      </c>
      <c r="Q1597" s="14" t="s">
        <v>106</v>
      </c>
      <c r="R1597" s="14" t="s">
        <v>6334</v>
      </c>
      <c r="S1597" s="8"/>
      <c r="T1597" s="8"/>
      <c r="U1597" s="11" t="str">
        <f t="shared" si="298"/>
        <v>View</v>
      </c>
      <c r="V1597" s="8"/>
      <c r="W1597" s="8"/>
      <c r="X1597" s="8"/>
      <c r="Y1597" s="8"/>
      <c r="Z1597" s="8"/>
    </row>
    <row r="1598" spans="1:26" ht="13.2">
      <c r="A1598" s="13">
        <v>44250.384143518517</v>
      </c>
      <c r="B1598" s="6" t="str">
        <f t="shared" si="296"/>
        <v>@AnalyticsFr</v>
      </c>
      <c r="C1598" s="14" t="s">
        <v>6354</v>
      </c>
      <c r="D1598" s="14" t="s">
        <v>6337</v>
      </c>
      <c r="E1598" s="6" t="str">
        <f>HYPERLINK("https://twitter.com/AnalyticsFr/status/1364126140886110217","1364126140886110217")</f>
        <v>1364126140886110217</v>
      </c>
      <c r="F1598" s="14" t="s">
        <v>6338</v>
      </c>
      <c r="G1598" s="8"/>
      <c r="H1598" s="8"/>
      <c r="I1598" s="14">
        <v>1</v>
      </c>
      <c r="J1598" s="14">
        <v>1</v>
      </c>
      <c r="K1598" s="6" t="str">
        <f t="shared" si="297"/>
        <v>IFTTT</v>
      </c>
      <c r="L1598" s="15">
        <v>1506</v>
      </c>
      <c r="M1598" s="15">
        <v>193</v>
      </c>
      <c r="N1598" s="15">
        <v>616</v>
      </c>
      <c r="O1598" s="9"/>
      <c r="P1598" s="10">
        <v>41348.682442129633</v>
      </c>
      <c r="Q1598" s="14" t="s">
        <v>106</v>
      </c>
      <c r="R1598" s="14" t="s">
        <v>6334</v>
      </c>
      <c r="S1598" s="8"/>
      <c r="T1598" s="8"/>
      <c r="U1598" s="11" t="str">
        <f t="shared" si="298"/>
        <v>View</v>
      </c>
      <c r="V1598" s="8"/>
      <c r="W1598" s="8"/>
      <c r="X1598" s="8"/>
      <c r="Y1598" s="8"/>
      <c r="Z1598" s="8"/>
    </row>
    <row r="1599" spans="1:26" ht="13.2">
      <c r="A1599" s="13">
        <v>44250.384085648147</v>
      </c>
      <c r="B1599" s="6" t="str">
        <f>HYPERLINK("https://twitter.com/teamclairvoyant","@teamclairvoyant")</f>
        <v>@teamclairvoyant</v>
      </c>
      <c r="C1599" s="14" t="s">
        <v>6654</v>
      </c>
      <c r="D1599" s="14" t="s">
        <v>6655</v>
      </c>
      <c r="E1599" s="6" t="str">
        <f>HYPERLINK("https://twitter.com/teamclairvoyant/status/1364126116512817158","1364126116512817158")</f>
        <v>1364126116512817158</v>
      </c>
      <c r="F1599" s="7" t="s">
        <v>6656</v>
      </c>
      <c r="G1599" s="8"/>
      <c r="H1599" s="8"/>
      <c r="I1599" s="14">
        <v>1</v>
      </c>
      <c r="J1599" s="14">
        <v>1</v>
      </c>
      <c r="K1599" s="6" t="str">
        <f>HYPERLINK("https://mobile.twitter.com","Twitter Web App")</f>
        <v>Twitter Web App</v>
      </c>
      <c r="L1599" s="15">
        <v>213</v>
      </c>
      <c r="M1599" s="15">
        <v>114</v>
      </c>
      <c r="N1599" s="15">
        <v>22</v>
      </c>
      <c r="O1599" s="9"/>
      <c r="P1599" s="10">
        <v>41194.24386574074</v>
      </c>
      <c r="Q1599" s="14" t="s">
        <v>6657</v>
      </c>
      <c r="R1599" s="14" t="s">
        <v>6658</v>
      </c>
      <c r="S1599" s="7" t="s">
        <v>6659</v>
      </c>
      <c r="T1599" s="8"/>
      <c r="U1599" s="11" t="str">
        <f>HYPERLINK("https://pbs.twimg.com/profile_images/779346561453006849/9i_D07wM.jpg","View")</f>
        <v>View</v>
      </c>
      <c r="V1599" s="8"/>
      <c r="W1599" s="8"/>
      <c r="X1599" s="8"/>
      <c r="Y1599" s="8"/>
      <c r="Z1599" s="8"/>
    </row>
    <row r="1600" spans="1:26" ht="13.2">
      <c r="A1600" s="13">
        <v>44250.383437500001</v>
      </c>
      <c r="B1600" s="6" t="str">
        <f>HYPERLINK("https://twitter.com/SureshRukman","@SureshRukman")</f>
        <v>@SureshRukman</v>
      </c>
      <c r="C1600" s="14" t="s">
        <v>3313</v>
      </c>
      <c r="D1600" s="14" t="s">
        <v>6660</v>
      </c>
      <c r="E1600" s="6" t="str">
        <f>HYPERLINK("https://twitter.com/SureshRukman/status/1364125882781229058","1364125882781229058")</f>
        <v>1364125882781229058</v>
      </c>
      <c r="F1600" s="14" t="s">
        <v>4134</v>
      </c>
      <c r="G1600" s="8"/>
      <c r="H1600" s="8"/>
      <c r="I1600" s="14">
        <v>2</v>
      </c>
      <c r="J1600" s="14">
        <v>2</v>
      </c>
      <c r="K1600" s="6" t="str">
        <f t="shared" ref="K1600:K1601" si="299">HYPERLINK("http://twinybots.com","TwinyBots")</f>
        <v>TwinyBots</v>
      </c>
      <c r="L1600" s="15">
        <v>2176</v>
      </c>
      <c r="M1600" s="15">
        <v>2281</v>
      </c>
      <c r="N1600" s="15">
        <v>293</v>
      </c>
      <c r="O1600" s="9"/>
      <c r="P1600" s="10">
        <v>41359.54041666667</v>
      </c>
      <c r="Q1600" s="14" t="s">
        <v>2551</v>
      </c>
      <c r="R1600" s="14" t="s">
        <v>3314</v>
      </c>
      <c r="S1600" s="7" t="s">
        <v>2553</v>
      </c>
      <c r="T1600" s="8"/>
      <c r="U1600" s="11" t="str">
        <f>HYPERLINK("https://pbs.twimg.com/profile_images/1038762339368087554/JICJ5viP.jpg","View")</f>
        <v>View</v>
      </c>
      <c r="V1600" s="8"/>
      <c r="W1600" s="8"/>
      <c r="X1600" s="8"/>
      <c r="Y1600" s="8"/>
      <c r="Z1600" s="8"/>
    </row>
    <row r="1601" spans="1:26" ht="13.2">
      <c r="A1601" s="13">
        <v>44250.383425925931</v>
      </c>
      <c r="B1601" s="6" t="str">
        <f>HYPERLINK("https://twitter.com/PMProuk","@PMProuk")</f>
        <v>@PMProuk</v>
      </c>
      <c r="C1601" s="14" t="s">
        <v>150</v>
      </c>
      <c r="D1601" s="14" t="s">
        <v>6661</v>
      </c>
      <c r="E1601" s="6" t="str">
        <f>HYPERLINK("https://twitter.com/PMProuk/status/1364125880956694529","1364125880956694529")</f>
        <v>1364125880956694529</v>
      </c>
      <c r="F1601" s="7" t="s">
        <v>6662</v>
      </c>
      <c r="G1601" s="8"/>
      <c r="H1601" s="8"/>
      <c r="I1601" s="14">
        <v>1</v>
      </c>
      <c r="J1601" s="14">
        <v>1</v>
      </c>
      <c r="K1601" s="6" t="str">
        <f t="shared" si="299"/>
        <v>TwinyBots</v>
      </c>
      <c r="L1601" s="15">
        <v>1439</v>
      </c>
      <c r="M1601" s="15">
        <v>3697</v>
      </c>
      <c r="N1601" s="15">
        <v>73</v>
      </c>
      <c r="O1601" s="9"/>
      <c r="P1601" s="10">
        <v>40577.810150462959</v>
      </c>
      <c r="Q1601" s="14" t="s">
        <v>153</v>
      </c>
      <c r="R1601" s="14" t="s">
        <v>154</v>
      </c>
      <c r="S1601" s="8"/>
      <c r="T1601" s="8"/>
      <c r="U1601" s="11" t="str">
        <f>HYPERLINK("https://pbs.twimg.com/profile_images/1257339284027314177/AhbOFVVY.jpg","View")</f>
        <v>View</v>
      </c>
      <c r="V1601" s="8"/>
      <c r="W1601" s="8"/>
      <c r="X1601" s="8"/>
      <c r="Y1601" s="8"/>
      <c r="Z1601" s="8"/>
    </row>
    <row r="1602" spans="1:26" ht="13.2">
      <c r="A1602" s="13">
        <v>44250.382650462961</v>
      </c>
      <c r="B1602" s="6" t="str">
        <f>HYPERLINK("https://twitter.com/hacking_future","@hacking_future")</f>
        <v>@hacking_future</v>
      </c>
      <c r="C1602" s="14" t="s">
        <v>3085</v>
      </c>
      <c r="D1602" s="14" t="s">
        <v>6412</v>
      </c>
      <c r="E1602" s="6" t="str">
        <f>HYPERLINK("https://twitter.com/hacking_future/status/1364125599099482113","1364125599099482113")</f>
        <v>1364125599099482113</v>
      </c>
      <c r="F1602" s="7" t="s">
        <v>6663</v>
      </c>
      <c r="G1602" s="8"/>
      <c r="H1602" s="8"/>
      <c r="I1602" s="14">
        <v>3</v>
      </c>
      <c r="J1602" s="14">
        <v>4</v>
      </c>
      <c r="K1602" s="6" t="str">
        <f>HYPERLINK("https://buffer.com","Buffer")</f>
        <v>Buffer</v>
      </c>
      <c r="L1602" s="15">
        <v>1502</v>
      </c>
      <c r="M1602" s="15">
        <v>1987</v>
      </c>
      <c r="N1602" s="15">
        <v>48</v>
      </c>
      <c r="O1602" s="9"/>
      <c r="P1602" s="10">
        <v>42822.824421296296</v>
      </c>
      <c r="Q1602" s="14" t="s">
        <v>1815</v>
      </c>
      <c r="R1602" s="14" t="s">
        <v>3087</v>
      </c>
      <c r="S1602" s="7" t="s">
        <v>3088</v>
      </c>
      <c r="T1602" s="8"/>
      <c r="U1602" s="11" t="str">
        <f>HYPERLINK("https://pbs.twimg.com/profile_images/859699037385232385/aq_sLibI.jpg","View")</f>
        <v>View</v>
      </c>
      <c r="V1602" s="8"/>
      <c r="W1602" s="8"/>
      <c r="X1602" s="8"/>
      <c r="Y1602" s="8"/>
      <c r="Z1602" s="8"/>
    </row>
    <row r="1603" spans="1:26" ht="13.2">
      <c r="A1603" s="13">
        <v>44250.382638888885</v>
      </c>
      <c r="B1603" s="6" t="str">
        <f>HYPERLINK("https://twitter.com/toncarrera","@toncarrera")</f>
        <v>@toncarrera</v>
      </c>
      <c r="C1603" s="14" t="s">
        <v>6664</v>
      </c>
      <c r="D1603" s="14" t="s">
        <v>6665</v>
      </c>
      <c r="E1603" s="6" t="str">
        <f>HYPERLINK("https://twitter.com/toncarrera/status/1364125592908685313","1364125592908685313")</f>
        <v>1364125592908685313</v>
      </c>
      <c r="F1603" s="8"/>
      <c r="G1603" s="7" t="s">
        <v>6666</v>
      </c>
      <c r="H1603" s="8"/>
      <c r="I1603" s="14">
        <v>4</v>
      </c>
      <c r="J1603" s="14">
        <v>7</v>
      </c>
      <c r="K1603" s="6" t="str">
        <f>HYPERLINK("https://about.twitter.com/products/tweetdeck","TweetDeck")</f>
        <v>TweetDeck</v>
      </c>
      <c r="L1603" s="15">
        <v>15608</v>
      </c>
      <c r="M1603" s="15">
        <v>17154</v>
      </c>
      <c r="N1603" s="15">
        <v>58</v>
      </c>
      <c r="O1603" s="9"/>
      <c r="P1603" s="10">
        <v>40571.662210648152</v>
      </c>
      <c r="Q1603" s="14" t="s">
        <v>75</v>
      </c>
      <c r="R1603" s="14" t="s">
        <v>6667</v>
      </c>
      <c r="S1603" s="7" t="s">
        <v>6668</v>
      </c>
      <c r="T1603" s="8"/>
      <c r="U1603" s="11" t="str">
        <f>HYPERLINK("https://pbs.twimg.com/profile_images/1258722604480856065/S4fRNK84.jpg","View")</f>
        <v>View</v>
      </c>
      <c r="V1603" s="8"/>
      <c r="W1603" s="8"/>
      <c r="X1603" s="8"/>
      <c r="Y1603" s="8"/>
      <c r="Z1603" s="8"/>
    </row>
    <row r="1604" spans="1:26" ht="13.2">
      <c r="A1604" s="13">
        <v>44250.381967592592</v>
      </c>
      <c r="B1604" s="6" t="str">
        <f>HYPERLINK("https://twitter.com/nigewillson","@nigewillson")</f>
        <v>@nigewillson</v>
      </c>
      <c r="C1604" s="14" t="s">
        <v>95</v>
      </c>
      <c r="D1604" s="14" t="s">
        <v>895</v>
      </c>
      <c r="E1604" s="6" t="str">
        <f>HYPERLINK("https://twitter.com/nigewillson/status/1364125351731945474","1364125351731945474")</f>
        <v>1364125351731945474</v>
      </c>
      <c r="F1604" s="7" t="s">
        <v>896</v>
      </c>
      <c r="G1604" s="7" t="s">
        <v>6669</v>
      </c>
      <c r="H1604" s="8"/>
      <c r="I1604" s="14">
        <v>10</v>
      </c>
      <c r="J1604" s="14">
        <v>7</v>
      </c>
      <c r="K1604" s="6" t="str">
        <f>HYPERLINK("https://buffer.com","Buffer")</f>
        <v>Buffer</v>
      </c>
      <c r="L1604" s="15">
        <v>57515</v>
      </c>
      <c r="M1604" s="15">
        <v>49523</v>
      </c>
      <c r="N1604" s="15">
        <v>1688</v>
      </c>
      <c r="O1604" s="9"/>
      <c r="P1604" s="10">
        <v>40530.666805555556</v>
      </c>
      <c r="Q1604" s="14" t="s">
        <v>99</v>
      </c>
      <c r="R1604" s="14" t="s">
        <v>100</v>
      </c>
      <c r="S1604" s="7" t="s">
        <v>101</v>
      </c>
      <c r="T1604" s="8"/>
      <c r="U1604" s="11" t="str">
        <f>HYPERLINK("https://pbs.twimg.com/profile_images/1085251590997622784/x9mWVQ1d.jpg","View")</f>
        <v>View</v>
      </c>
      <c r="V1604" s="8"/>
      <c r="W1604" s="8"/>
      <c r="X1604" s="8"/>
      <c r="Y1604" s="8"/>
      <c r="Z1604" s="8"/>
    </row>
    <row r="1605" spans="1:26" ht="13.2">
      <c r="A1605" s="13">
        <v>44250.381944444445</v>
      </c>
      <c r="B1605" s="6" t="str">
        <f>HYPERLINK("https://twitter.com/TamaraMcCleary","@TamaraMcCleary")</f>
        <v>@TamaraMcCleary</v>
      </c>
      <c r="C1605" s="14" t="s">
        <v>6670</v>
      </c>
      <c r="D1605" s="14" t="s">
        <v>6671</v>
      </c>
      <c r="E1605" s="6" t="str">
        <f>HYPERLINK("https://twitter.com/TamaraMcCleary/status/1364125341279805440","1364125341279805440")</f>
        <v>1364125341279805440</v>
      </c>
      <c r="F1605" s="7" t="s">
        <v>6672</v>
      </c>
      <c r="G1605" s="7" t="s">
        <v>6673</v>
      </c>
      <c r="H1605" s="8"/>
      <c r="I1605" s="14">
        <v>4</v>
      </c>
      <c r="J1605" s="14">
        <v>7</v>
      </c>
      <c r="K1605" s="6" t="str">
        <f>HYPERLINK("https://about.twitter.com/products/tweetdeck","TweetDeck")</f>
        <v>TweetDeck</v>
      </c>
      <c r="L1605" s="15">
        <v>306870</v>
      </c>
      <c r="M1605" s="15">
        <v>206817</v>
      </c>
      <c r="N1605" s="15">
        <v>8235</v>
      </c>
      <c r="O1605" s="15" t="s">
        <v>130</v>
      </c>
      <c r="P1605" s="10">
        <v>41663.201851851853</v>
      </c>
      <c r="Q1605" s="14" t="s">
        <v>6169</v>
      </c>
      <c r="R1605" s="14" t="s">
        <v>6674</v>
      </c>
      <c r="S1605" s="7" t="s">
        <v>6675</v>
      </c>
      <c r="T1605" s="8"/>
      <c r="U1605" s="11" t="str">
        <f>HYPERLINK("https://pbs.twimg.com/profile_images/1255693536629932033/hFa5JpaK.jpg","View")</f>
        <v>View</v>
      </c>
      <c r="V1605" s="8"/>
      <c r="W1605" s="8"/>
      <c r="X1605" s="8"/>
      <c r="Y1605" s="8"/>
      <c r="Z1605" s="8"/>
    </row>
    <row r="1606" spans="1:26" ht="13.2">
      <c r="A1606" s="13">
        <v>44250.381932870368</v>
      </c>
      <c r="B1606" s="6" t="str">
        <f>HYPERLINK("https://twitter.com/InnovationIncu","@InnovationIncu")</f>
        <v>@InnovationIncu</v>
      </c>
      <c r="C1606" s="14" t="s">
        <v>6676</v>
      </c>
      <c r="D1606" s="14" t="s">
        <v>6677</v>
      </c>
      <c r="E1606" s="6" t="str">
        <f>HYPERLINK("https://twitter.com/InnovationIncu/status/1364125339216060417","1364125339216060417")</f>
        <v>1364125339216060417</v>
      </c>
      <c r="F1606" s="7" t="s">
        <v>6678</v>
      </c>
      <c r="G1606" s="8"/>
      <c r="H1606" s="8"/>
      <c r="I1606" s="14">
        <v>4</v>
      </c>
      <c r="J1606" s="14">
        <v>0</v>
      </c>
      <c r="K1606" s="6" t="str">
        <f>HYPERLINK("https://mobile.twitter.com","Twitter Web App")</f>
        <v>Twitter Web App</v>
      </c>
      <c r="L1606" s="15">
        <v>1110</v>
      </c>
      <c r="M1606" s="15">
        <v>2696</v>
      </c>
      <c r="N1606" s="15">
        <v>6</v>
      </c>
      <c r="O1606" s="9"/>
      <c r="P1606" s="10">
        <v>42908.334861111114</v>
      </c>
      <c r="Q1606" s="14" t="s">
        <v>914</v>
      </c>
      <c r="R1606" s="14" t="s">
        <v>6679</v>
      </c>
      <c r="S1606" s="7" t="s">
        <v>6680</v>
      </c>
      <c r="T1606" s="8"/>
      <c r="U1606" s="11" t="str">
        <f>HYPERLINK("https://pbs.twimg.com/profile_images/1349264367703916545/ZCwGJAod.jpg","View")</f>
        <v>View</v>
      </c>
      <c r="V1606" s="8"/>
      <c r="W1606" s="8"/>
      <c r="X1606" s="8"/>
      <c r="Y1606" s="8"/>
      <c r="Z1606" s="8"/>
    </row>
    <row r="1607" spans="1:26" ht="13.2">
      <c r="A1607" s="13">
        <v>44250.381851851853</v>
      </c>
      <c r="B1607" s="6" t="str">
        <f t="shared" ref="B1607:B1614" si="300">HYPERLINK("https://twitter.com/BigData_Fr","@BigData_Fr")</f>
        <v>@BigData_Fr</v>
      </c>
      <c r="C1607" s="14" t="s">
        <v>6331</v>
      </c>
      <c r="D1607" s="14" t="s">
        <v>6681</v>
      </c>
      <c r="E1607" s="6" t="str">
        <f>HYPERLINK("https://twitter.com/BigData_Fr/status/1364125310531346434","1364125310531346434")</f>
        <v>1364125310531346434</v>
      </c>
      <c r="F1607" s="7" t="s">
        <v>6682</v>
      </c>
      <c r="G1607" s="8"/>
      <c r="H1607" s="8"/>
      <c r="I1607" s="14">
        <v>1</v>
      </c>
      <c r="J1607" s="14">
        <v>1</v>
      </c>
      <c r="K1607" s="6" t="str">
        <f t="shared" ref="K1607:K1614" si="301">HYPERLINK("https://ifttt.com","IFTTT")</f>
        <v>IFTTT</v>
      </c>
      <c r="L1607" s="15">
        <v>4678</v>
      </c>
      <c r="M1607" s="15">
        <v>138</v>
      </c>
      <c r="N1607" s="15">
        <v>690</v>
      </c>
      <c r="O1607" s="9"/>
      <c r="P1607" s="10">
        <v>41348.789548611108</v>
      </c>
      <c r="Q1607" s="14" t="s">
        <v>106</v>
      </c>
      <c r="R1607" s="14" t="s">
        <v>6334</v>
      </c>
      <c r="S1607" s="8"/>
      <c r="T1607" s="8"/>
      <c r="U1607" s="11" t="str">
        <f t="shared" ref="U1607:U1614" si="302">HYPERLINK("https://pbs.twimg.com/profile_images/3383871004/a354ae86d389501ee80ffa7682d2157a.png","View")</f>
        <v>View</v>
      </c>
      <c r="V1607" s="8"/>
      <c r="W1607" s="8"/>
      <c r="X1607" s="8"/>
      <c r="Y1607" s="8"/>
      <c r="Z1607" s="8"/>
    </row>
    <row r="1608" spans="1:26" ht="13.2">
      <c r="A1608" s="13">
        <v>44250.381828703699</v>
      </c>
      <c r="B1608" s="6" t="str">
        <f t="shared" si="300"/>
        <v>@BigData_Fr</v>
      </c>
      <c r="C1608" s="14" t="s">
        <v>6331</v>
      </c>
      <c r="D1608" s="14" t="s">
        <v>6481</v>
      </c>
      <c r="E1608" s="6" t="str">
        <f>HYPERLINK("https://twitter.com/BigData_Fr/status/1364125300309778432","1364125300309778432")</f>
        <v>1364125300309778432</v>
      </c>
      <c r="F1608" s="7" t="s">
        <v>6482</v>
      </c>
      <c r="G1608" s="8"/>
      <c r="H1608" s="8"/>
      <c r="I1608" s="14">
        <v>2</v>
      </c>
      <c r="J1608" s="14">
        <v>1</v>
      </c>
      <c r="K1608" s="6" t="str">
        <f t="shared" si="301"/>
        <v>IFTTT</v>
      </c>
      <c r="L1608" s="15">
        <v>4678</v>
      </c>
      <c r="M1608" s="15">
        <v>138</v>
      </c>
      <c r="N1608" s="15">
        <v>690</v>
      </c>
      <c r="O1608" s="9"/>
      <c r="P1608" s="10">
        <v>41348.789548611108</v>
      </c>
      <c r="Q1608" s="14" t="s">
        <v>106</v>
      </c>
      <c r="R1608" s="14" t="s">
        <v>6334</v>
      </c>
      <c r="S1608" s="8"/>
      <c r="T1608" s="8"/>
      <c r="U1608" s="11" t="str">
        <f t="shared" si="302"/>
        <v>View</v>
      </c>
      <c r="V1608" s="8"/>
      <c r="W1608" s="8"/>
      <c r="X1608" s="8"/>
      <c r="Y1608" s="8"/>
      <c r="Z1608" s="8"/>
    </row>
    <row r="1609" spans="1:26" ht="13.2">
      <c r="A1609" s="13">
        <v>44250.381793981476</v>
      </c>
      <c r="B1609" s="6" t="str">
        <f t="shared" si="300"/>
        <v>@BigData_Fr</v>
      </c>
      <c r="C1609" s="14" t="s">
        <v>6331</v>
      </c>
      <c r="D1609" s="14" t="s">
        <v>6483</v>
      </c>
      <c r="E1609" s="6" t="str">
        <f>HYPERLINK("https://twitter.com/BigData_Fr/status/1364125289824059394","1364125289824059394")</f>
        <v>1364125289824059394</v>
      </c>
      <c r="F1609" s="7" t="s">
        <v>6484</v>
      </c>
      <c r="G1609" s="8"/>
      <c r="H1609" s="8"/>
      <c r="I1609" s="14">
        <v>1</v>
      </c>
      <c r="J1609" s="14">
        <v>1</v>
      </c>
      <c r="K1609" s="6" t="str">
        <f t="shared" si="301"/>
        <v>IFTTT</v>
      </c>
      <c r="L1609" s="15">
        <v>4678</v>
      </c>
      <c r="M1609" s="15">
        <v>138</v>
      </c>
      <c r="N1609" s="15">
        <v>690</v>
      </c>
      <c r="O1609" s="9"/>
      <c r="P1609" s="10">
        <v>41348.789548611108</v>
      </c>
      <c r="Q1609" s="14" t="s">
        <v>106</v>
      </c>
      <c r="R1609" s="14" t="s">
        <v>6334</v>
      </c>
      <c r="S1609" s="8"/>
      <c r="T1609" s="8"/>
      <c r="U1609" s="11" t="str">
        <f t="shared" si="302"/>
        <v>View</v>
      </c>
      <c r="V1609" s="8"/>
      <c r="W1609" s="8"/>
      <c r="X1609" s="8"/>
      <c r="Y1609" s="8"/>
      <c r="Z1609" s="8"/>
    </row>
    <row r="1610" spans="1:26" ht="13.2">
      <c r="A1610" s="13">
        <v>44250.381793981476</v>
      </c>
      <c r="B1610" s="6" t="str">
        <f t="shared" si="300"/>
        <v>@BigData_Fr</v>
      </c>
      <c r="C1610" s="14" t="s">
        <v>6331</v>
      </c>
      <c r="D1610" s="14" t="s">
        <v>6485</v>
      </c>
      <c r="E1610" s="6" t="str">
        <f>HYPERLINK("https://twitter.com/BigData_Fr/status/1364125288108597250","1364125288108597250")</f>
        <v>1364125288108597250</v>
      </c>
      <c r="F1610" s="7" t="s">
        <v>6486</v>
      </c>
      <c r="G1610" s="8"/>
      <c r="H1610" s="8"/>
      <c r="I1610" s="14">
        <v>2</v>
      </c>
      <c r="J1610" s="14">
        <v>2</v>
      </c>
      <c r="K1610" s="6" t="str">
        <f t="shared" si="301"/>
        <v>IFTTT</v>
      </c>
      <c r="L1610" s="15">
        <v>4678</v>
      </c>
      <c r="M1610" s="15">
        <v>138</v>
      </c>
      <c r="N1610" s="15">
        <v>690</v>
      </c>
      <c r="O1610" s="9"/>
      <c r="P1610" s="10">
        <v>41348.789548611108</v>
      </c>
      <c r="Q1610" s="14" t="s">
        <v>106</v>
      </c>
      <c r="R1610" s="14" t="s">
        <v>6334</v>
      </c>
      <c r="S1610" s="8"/>
      <c r="T1610" s="8"/>
      <c r="U1610" s="11" t="str">
        <f t="shared" si="302"/>
        <v>View</v>
      </c>
      <c r="V1610" s="8"/>
      <c r="W1610" s="8"/>
      <c r="X1610" s="8"/>
      <c r="Y1610" s="8"/>
      <c r="Z1610" s="8"/>
    </row>
    <row r="1611" spans="1:26" ht="13.2">
      <c r="A1611" s="13">
        <v>44250.381793981476</v>
      </c>
      <c r="B1611" s="6" t="str">
        <f t="shared" si="300"/>
        <v>@BigData_Fr</v>
      </c>
      <c r="C1611" s="14" t="s">
        <v>6331</v>
      </c>
      <c r="D1611" s="14" t="s">
        <v>6487</v>
      </c>
      <c r="E1611" s="6" t="str">
        <f>HYPERLINK("https://twitter.com/BigData_Fr/status/1364125286426632195","1364125286426632195")</f>
        <v>1364125286426632195</v>
      </c>
      <c r="F1611" s="7" t="s">
        <v>6488</v>
      </c>
      <c r="G1611" s="8"/>
      <c r="H1611" s="8"/>
      <c r="I1611" s="14">
        <v>1</v>
      </c>
      <c r="J1611" s="14">
        <v>1</v>
      </c>
      <c r="K1611" s="6" t="str">
        <f t="shared" si="301"/>
        <v>IFTTT</v>
      </c>
      <c r="L1611" s="15">
        <v>4678</v>
      </c>
      <c r="M1611" s="15">
        <v>138</v>
      </c>
      <c r="N1611" s="15">
        <v>690</v>
      </c>
      <c r="O1611" s="9"/>
      <c r="P1611" s="10">
        <v>41348.789548611108</v>
      </c>
      <c r="Q1611" s="14" t="s">
        <v>106</v>
      </c>
      <c r="R1611" s="14" t="s">
        <v>6334</v>
      </c>
      <c r="S1611" s="8"/>
      <c r="T1611" s="8"/>
      <c r="U1611" s="11" t="str">
        <f t="shared" si="302"/>
        <v>View</v>
      </c>
      <c r="V1611" s="8"/>
      <c r="W1611" s="8"/>
      <c r="X1611" s="8"/>
      <c r="Y1611" s="8"/>
      <c r="Z1611" s="8"/>
    </row>
    <row r="1612" spans="1:26" ht="13.2">
      <c r="A1612" s="13">
        <v>44250.381782407407</v>
      </c>
      <c r="B1612" s="6" t="str">
        <f t="shared" si="300"/>
        <v>@BigData_Fr</v>
      </c>
      <c r="C1612" s="14" t="s">
        <v>6331</v>
      </c>
      <c r="D1612" s="14" t="s">
        <v>6489</v>
      </c>
      <c r="E1612" s="6" t="str">
        <f>HYPERLINK("https://twitter.com/BigData_Fr/status/1364125284644102144","1364125284644102144")</f>
        <v>1364125284644102144</v>
      </c>
      <c r="F1612" s="7" t="s">
        <v>6490</v>
      </c>
      <c r="G1612" s="8"/>
      <c r="H1612" s="8"/>
      <c r="I1612" s="14">
        <v>2</v>
      </c>
      <c r="J1612" s="14">
        <v>2</v>
      </c>
      <c r="K1612" s="6" t="str">
        <f t="shared" si="301"/>
        <v>IFTTT</v>
      </c>
      <c r="L1612" s="15">
        <v>4678</v>
      </c>
      <c r="M1612" s="15">
        <v>138</v>
      </c>
      <c r="N1612" s="15">
        <v>690</v>
      </c>
      <c r="O1612" s="9"/>
      <c r="P1612" s="10">
        <v>41348.789548611108</v>
      </c>
      <c r="Q1612" s="14" t="s">
        <v>106</v>
      </c>
      <c r="R1612" s="14" t="s">
        <v>6334</v>
      </c>
      <c r="S1612" s="8"/>
      <c r="T1612" s="8"/>
      <c r="U1612" s="11" t="str">
        <f t="shared" si="302"/>
        <v>View</v>
      </c>
      <c r="V1612" s="8"/>
      <c r="W1612" s="8"/>
      <c r="X1612" s="8"/>
      <c r="Y1612" s="8"/>
      <c r="Z1612" s="8"/>
    </row>
    <row r="1613" spans="1:26" ht="13.2">
      <c r="A1613" s="13">
        <v>44250.381782407407</v>
      </c>
      <c r="B1613" s="6" t="str">
        <f t="shared" si="300"/>
        <v>@BigData_Fr</v>
      </c>
      <c r="C1613" s="14" t="s">
        <v>6331</v>
      </c>
      <c r="D1613" s="14" t="s">
        <v>6491</v>
      </c>
      <c r="E1613" s="6" t="str">
        <f>HYPERLINK("https://twitter.com/BigData_Fr/status/1364125282861518849","1364125282861518849")</f>
        <v>1364125282861518849</v>
      </c>
      <c r="F1613" s="7" t="s">
        <v>6492</v>
      </c>
      <c r="G1613" s="8"/>
      <c r="H1613" s="8"/>
      <c r="I1613" s="14">
        <v>2</v>
      </c>
      <c r="J1613" s="14">
        <v>1</v>
      </c>
      <c r="K1613" s="6" t="str">
        <f t="shared" si="301"/>
        <v>IFTTT</v>
      </c>
      <c r="L1613" s="15">
        <v>4678</v>
      </c>
      <c r="M1613" s="15">
        <v>138</v>
      </c>
      <c r="N1613" s="15">
        <v>690</v>
      </c>
      <c r="O1613" s="9"/>
      <c r="P1613" s="10">
        <v>41348.789548611108</v>
      </c>
      <c r="Q1613" s="14" t="s">
        <v>106</v>
      </c>
      <c r="R1613" s="14" t="s">
        <v>6334</v>
      </c>
      <c r="S1613" s="8"/>
      <c r="T1613" s="8"/>
      <c r="U1613" s="11" t="str">
        <f t="shared" si="302"/>
        <v>View</v>
      </c>
      <c r="V1613" s="8"/>
      <c r="W1613" s="8"/>
      <c r="X1613" s="8"/>
      <c r="Y1613" s="8"/>
      <c r="Z1613" s="8"/>
    </row>
    <row r="1614" spans="1:26" ht="13.2">
      <c r="A1614" s="13">
        <v>44250.381747685184</v>
      </c>
      <c r="B1614" s="6" t="str">
        <f t="shared" si="300"/>
        <v>@BigData_Fr</v>
      </c>
      <c r="C1614" s="14" t="s">
        <v>6331</v>
      </c>
      <c r="D1614" s="14" t="s">
        <v>6683</v>
      </c>
      <c r="E1614" s="6" t="str">
        <f>HYPERLINK("https://twitter.com/BigData_Fr/status/1364125272128290818","1364125272128290818")</f>
        <v>1364125272128290818</v>
      </c>
      <c r="F1614" s="7" t="s">
        <v>6684</v>
      </c>
      <c r="G1614" s="8"/>
      <c r="H1614" s="8"/>
      <c r="I1614" s="14">
        <v>1</v>
      </c>
      <c r="J1614" s="14">
        <v>1</v>
      </c>
      <c r="K1614" s="6" t="str">
        <f t="shared" si="301"/>
        <v>IFTTT</v>
      </c>
      <c r="L1614" s="15">
        <v>4678</v>
      </c>
      <c r="M1614" s="15">
        <v>138</v>
      </c>
      <c r="N1614" s="15">
        <v>690</v>
      </c>
      <c r="O1614" s="9"/>
      <c r="P1614" s="10">
        <v>41348.789548611108</v>
      </c>
      <c r="Q1614" s="14" t="s">
        <v>106</v>
      </c>
      <c r="R1614" s="14" t="s">
        <v>6334</v>
      </c>
      <c r="S1614" s="8"/>
      <c r="T1614" s="8"/>
      <c r="U1614" s="11" t="str">
        <f t="shared" si="302"/>
        <v>View</v>
      </c>
      <c r="V1614" s="8"/>
      <c r="W1614" s="8"/>
      <c r="X1614" s="8"/>
      <c r="Y1614" s="8"/>
      <c r="Z1614" s="8"/>
    </row>
    <row r="1615" spans="1:26" ht="13.2">
      <c r="A1615" s="13">
        <v>44250.381412037037</v>
      </c>
      <c r="B1615" s="6" t="str">
        <f>HYPERLINK("https://twitter.com/MhdShadiHasan","@MhdShadiHasan")</f>
        <v>@MhdShadiHasan</v>
      </c>
      <c r="C1615" s="14" t="s">
        <v>6685</v>
      </c>
      <c r="D1615" s="14" t="s">
        <v>6686</v>
      </c>
      <c r="E1615" s="6" t="str">
        <f>HYPERLINK("https://twitter.com/MhdShadiHasan/status/1364125149516230656","1364125149516230656")</f>
        <v>1364125149516230656</v>
      </c>
      <c r="F1615" s="8"/>
      <c r="G1615" s="8"/>
      <c r="H1615" s="8"/>
      <c r="I1615" s="14">
        <v>15</v>
      </c>
      <c r="J1615" s="14">
        <v>6</v>
      </c>
      <c r="K1615" s="6" t="str">
        <f>HYPERLINK("http://twitter.com/download/android","Twitter for Android")</f>
        <v>Twitter for Android</v>
      </c>
      <c r="L1615" s="15">
        <v>47</v>
      </c>
      <c r="M1615" s="15">
        <v>327</v>
      </c>
      <c r="N1615" s="15">
        <v>1</v>
      </c>
      <c r="O1615" s="9"/>
      <c r="P1615" s="10">
        <v>44053.915092592593</v>
      </c>
      <c r="Q1615" s="8"/>
      <c r="R1615" s="14" t="s">
        <v>6687</v>
      </c>
      <c r="S1615" s="8"/>
      <c r="T1615" s="8"/>
      <c r="U1615" s="11" t="str">
        <f>HYPERLINK("https://pbs.twimg.com/profile_images/1324233450472251392/bBvDoBmp.jpg","View")</f>
        <v>View</v>
      </c>
      <c r="V1615" s="8"/>
      <c r="W1615" s="8"/>
      <c r="X1615" s="8"/>
      <c r="Y1615" s="8"/>
      <c r="Z1615" s="8"/>
    </row>
    <row r="1616" spans="1:26" ht="13.2">
      <c r="A1616" s="13">
        <v>44250.381296296298</v>
      </c>
      <c r="B1616" s="6" t="str">
        <f>HYPERLINK("https://twitter.com/CatherineAdenle","@CatherineAdenle")</f>
        <v>@CatherineAdenle</v>
      </c>
      <c r="C1616" s="14" t="s">
        <v>6649</v>
      </c>
      <c r="D1616" s="14" t="s">
        <v>3069</v>
      </c>
      <c r="E1616" s="6" t="str">
        <f>HYPERLINK("https://twitter.com/CatherineAdenle/status/1364125106545561600","1364125106545561600")</f>
        <v>1364125106545561600</v>
      </c>
      <c r="F1616" s="8"/>
      <c r="G1616" s="7" t="s">
        <v>6688</v>
      </c>
      <c r="H1616" s="8"/>
      <c r="I1616" s="14">
        <v>45</v>
      </c>
      <c r="J1616" s="14">
        <v>32</v>
      </c>
      <c r="K1616" s="6" t="str">
        <f>HYPERLINK("http://twitter.com/download/iphone","Twitter for iPhone")</f>
        <v>Twitter for iPhone</v>
      </c>
      <c r="L1616" s="15">
        <v>38255</v>
      </c>
      <c r="M1616" s="15">
        <v>2328</v>
      </c>
      <c r="N1616" s="15">
        <v>782</v>
      </c>
      <c r="O1616" s="9"/>
      <c r="P1616" s="10">
        <v>40049.734074074076</v>
      </c>
      <c r="Q1616" s="14" t="s">
        <v>5650</v>
      </c>
      <c r="R1616" s="14" t="s">
        <v>6652</v>
      </c>
      <c r="S1616" s="7" t="s">
        <v>6653</v>
      </c>
      <c r="T1616" s="8"/>
      <c r="U1616" s="11" t="str">
        <f>HYPERLINK("https://pbs.twimg.com/profile_images/476740017432584192/f_Wc8SVX.jpeg","View")</f>
        <v>View</v>
      </c>
      <c r="V1616" s="8"/>
      <c r="W1616" s="8"/>
      <c r="X1616" s="8"/>
      <c r="Y1616" s="8"/>
      <c r="Z1616" s="8"/>
    </row>
    <row r="1617" spans="1:26" ht="13.2">
      <c r="A1617" s="13">
        <v>44250.380706018521</v>
      </c>
      <c r="B1617" s="6" t="str">
        <f>HYPERLINK("https://twitter.com/Calibraint_Tech","@Calibraint_Tech")</f>
        <v>@Calibraint_Tech</v>
      </c>
      <c r="C1617" s="14" t="s">
        <v>6689</v>
      </c>
      <c r="D1617" s="14" t="s">
        <v>6690</v>
      </c>
      <c r="E1617" s="6" t="str">
        <f>HYPERLINK("https://twitter.com/Calibraint_Tech/status/1364124894942826496","1364124894942826496")</f>
        <v>1364124894942826496</v>
      </c>
      <c r="F1617" s="7" t="s">
        <v>6691</v>
      </c>
      <c r="G1617" s="7" t="s">
        <v>6692</v>
      </c>
      <c r="H1617" s="8"/>
      <c r="I1617" s="14">
        <v>20</v>
      </c>
      <c r="J1617" s="14">
        <v>12</v>
      </c>
      <c r="K1617" s="6" t="str">
        <f>HYPERLINK("https://mobile.twitter.com","Twitter Web App")</f>
        <v>Twitter Web App</v>
      </c>
      <c r="L1617" s="15">
        <v>470</v>
      </c>
      <c r="M1617" s="15">
        <v>29</v>
      </c>
      <c r="N1617" s="15">
        <v>3</v>
      </c>
      <c r="O1617" s="9"/>
      <c r="P1617" s="10">
        <v>43563.287766203706</v>
      </c>
      <c r="Q1617" s="14" t="s">
        <v>901</v>
      </c>
      <c r="R1617" s="14" t="s">
        <v>6693</v>
      </c>
      <c r="S1617" s="7" t="s">
        <v>6694</v>
      </c>
      <c r="T1617" s="8"/>
      <c r="U1617" s="11" t="str">
        <f>HYPERLINK("https://pbs.twimg.com/profile_images/1115119215738888192/plFqCV7h.jpg","View")</f>
        <v>View</v>
      </c>
      <c r="V1617" s="8"/>
      <c r="W1617" s="8"/>
      <c r="X1617" s="8"/>
      <c r="Y1617" s="8"/>
      <c r="Z1617" s="8"/>
    </row>
    <row r="1618" spans="1:26" ht="13.2">
      <c r="A1618" s="13">
        <v>44250.380428240736</v>
      </c>
      <c r="B1618" s="6" t="str">
        <f>HYPERLINK("https://twitter.com/JourneyHeroTech","@JourneyHeroTech")</f>
        <v>@JourneyHeroTech</v>
      </c>
      <c r="C1618" s="14" t="s">
        <v>1061</v>
      </c>
      <c r="D1618" s="14" t="s">
        <v>6695</v>
      </c>
      <c r="E1618" s="6" t="str">
        <f>HYPERLINK("https://twitter.com/JourneyHeroTech/status/1364124794338344961","1364124794338344961")</f>
        <v>1364124794338344961</v>
      </c>
      <c r="F1618" s="14" t="s">
        <v>6696</v>
      </c>
      <c r="G1618" s="8"/>
      <c r="H1618" s="8"/>
      <c r="I1618" s="14">
        <v>34</v>
      </c>
      <c r="J1618" s="14">
        <v>22</v>
      </c>
      <c r="K1618" s="6" t="str">
        <f>HYPERLINK("http://twitter.com/download/iphone","Twitter for iPhone")</f>
        <v>Twitter for iPhone</v>
      </c>
      <c r="L1618" s="15">
        <v>418</v>
      </c>
      <c r="M1618" s="15">
        <v>1469</v>
      </c>
      <c r="N1618" s="15">
        <v>4</v>
      </c>
      <c r="O1618" s="9"/>
      <c r="P1618" s="10">
        <v>43958.737557870365</v>
      </c>
      <c r="Q1618" s="8"/>
      <c r="R1618" s="14" t="s">
        <v>1065</v>
      </c>
      <c r="S1618" s="7" t="s">
        <v>1066</v>
      </c>
      <c r="T1618" s="8"/>
      <c r="U1618" s="11" t="str">
        <f>HYPERLINK("https://pbs.twimg.com/profile_images/1258421949493100544/99J8Ehfn.jpg","View")</f>
        <v>View</v>
      </c>
      <c r="V1618" s="8"/>
      <c r="W1618" s="8"/>
      <c r="X1618" s="8"/>
      <c r="Y1618" s="8"/>
      <c r="Z1618" s="8"/>
    </row>
    <row r="1619" spans="1:26" ht="13.2">
      <c r="A1619" s="13">
        <v>44250.379988425921</v>
      </c>
      <c r="B1619" s="6" t="str">
        <f>HYPERLINK("https://twitter.com/moueller1961","@moueller1961")</f>
        <v>@moueller1961</v>
      </c>
      <c r="C1619" s="14" t="s">
        <v>6414</v>
      </c>
      <c r="D1619" s="14" t="s">
        <v>6697</v>
      </c>
      <c r="E1619" s="6" t="str">
        <f>HYPERLINK("https://twitter.com/moueller1961/status/1364124631964213249","1364124631964213249")</f>
        <v>1364124631964213249</v>
      </c>
      <c r="F1619" s="7" t="s">
        <v>6698</v>
      </c>
      <c r="G1619" s="7" t="s">
        <v>6699</v>
      </c>
      <c r="H1619" s="8"/>
      <c r="I1619" s="14">
        <v>2</v>
      </c>
      <c r="J1619" s="14">
        <v>2</v>
      </c>
      <c r="K1619" s="6" t="str">
        <f t="shared" ref="K1619:K1621" si="303">HYPERLINK("https://mobile.twitter.com","Twitter Web App")</f>
        <v>Twitter Web App</v>
      </c>
      <c r="L1619" s="15">
        <v>2581</v>
      </c>
      <c r="M1619" s="15">
        <v>26</v>
      </c>
      <c r="N1619" s="15">
        <v>256</v>
      </c>
      <c r="O1619" s="9"/>
      <c r="P1619" s="10">
        <v>42106.853055555555</v>
      </c>
      <c r="Q1619" s="8"/>
      <c r="R1619" s="14" t="s">
        <v>6418</v>
      </c>
      <c r="S1619" s="8"/>
      <c r="T1619" s="8"/>
      <c r="U1619" s="11" t="str">
        <f>HYPERLINK("https://pbs.twimg.com/profile_images/1202572262156713985/_52Q3Trv.jpg","View")</f>
        <v>View</v>
      </c>
      <c r="V1619" s="8"/>
      <c r="W1619" s="8"/>
      <c r="X1619" s="8"/>
      <c r="Y1619" s="8"/>
      <c r="Z1619" s="8"/>
    </row>
    <row r="1620" spans="1:26" ht="13.2">
      <c r="A1620" s="13">
        <v>44250.379849537036</v>
      </c>
      <c r="B1620" s="6" t="str">
        <f>HYPERLINK("https://twitter.com/recode_minds","@recode_minds")</f>
        <v>@recode_minds</v>
      </c>
      <c r="C1620" s="14" t="s">
        <v>6700</v>
      </c>
      <c r="D1620" s="14" t="s">
        <v>6701</v>
      </c>
      <c r="E1620" s="6" t="str">
        <f>HYPERLINK("https://twitter.com/recode_minds/status/1364124583062695937","1364124583062695937")</f>
        <v>1364124583062695937</v>
      </c>
      <c r="F1620" s="7" t="s">
        <v>6702</v>
      </c>
      <c r="G1620" s="8"/>
      <c r="H1620" s="8"/>
      <c r="I1620" s="14">
        <v>2</v>
      </c>
      <c r="J1620" s="14">
        <v>1</v>
      </c>
      <c r="K1620" s="6" t="str">
        <f t="shared" si="303"/>
        <v>Twitter Web App</v>
      </c>
      <c r="L1620" s="15">
        <v>350</v>
      </c>
      <c r="M1620" s="15">
        <v>2337</v>
      </c>
      <c r="N1620" s="15">
        <v>4</v>
      </c>
      <c r="O1620" s="9"/>
      <c r="P1620" s="10">
        <v>43820.531111111108</v>
      </c>
      <c r="Q1620" s="14" t="s">
        <v>4166</v>
      </c>
      <c r="R1620" s="14" t="s">
        <v>6703</v>
      </c>
      <c r="S1620" s="7" t="s">
        <v>6704</v>
      </c>
      <c r="T1620" s="8"/>
      <c r="U1620" s="11" t="str">
        <f>HYPERLINK("https://pbs.twimg.com/profile_images/1227217996642316289/liFPXzl4.jpg","View")</f>
        <v>View</v>
      </c>
      <c r="V1620" s="8"/>
      <c r="W1620" s="8"/>
      <c r="X1620" s="8"/>
      <c r="Y1620" s="8"/>
      <c r="Z1620" s="8"/>
    </row>
    <row r="1621" spans="1:26" ht="13.2">
      <c r="A1621" s="13">
        <v>44250.379664351851</v>
      </c>
      <c r="B1621" s="6" t="str">
        <f>HYPERLINK("https://twitter.com/Analyticsindiam","@Analyticsindiam")</f>
        <v>@Analyticsindiam</v>
      </c>
      <c r="C1621" s="14" t="s">
        <v>5870</v>
      </c>
      <c r="D1621" s="14" t="s">
        <v>6705</v>
      </c>
      <c r="E1621" s="6" t="str">
        <f>HYPERLINK("https://twitter.com/Analyticsindiam/status/1364124516201361410","1364124516201361410")</f>
        <v>1364124516201361410</v>
      </c>
      <c r="F1621" s="7" t="s">
        <v>6706</v>
      </c>
      <c r="G1621" s="8"/>
      <c r="H1621" s="8"/>
      <c r="I1621" s="14">
        <v>16</v>
      </c>
      <c r="J1621" s="14">
        <v>10</v>
      </c>
      <c r="K1621" s="6" t="str">
        <f t="shared" si="303"/>
        <v>Twitter Web App</v>
      </c>
      <c r="L1621" s="15">
        <v>12466</v>
      </c>
      <c r="M1621" s="15">
        <v>353</v>
      </c>
      <c r="N1621" s="15">
        <v>284</v>
      </c>
      <c r="O1621" s="9"/>
      <c r="P1621" s="10">
        <v>41209.688425925924</v>
      </c>
      <c r="Q1621" s="14" t="s">
        <v>1742</v>
      </c>
      <c r="R1621" s="14" t="s">
        <v>5873</v>
      </c>
      <c r="S1621" s="7" t="s">
        <v>5874</v>
      </c>
      <c r="T1621" s="8"/>
      <c r="U1621" s="11" t="str">
        <f>HYPERLINK("https://pbs.twimg.com/profile_images/1346368144391118848/X7OaLwQ5.jpg","View")</f>
        <v>View</v>
      </c>
      <c r="V1621" s="8"/>
      <c r="W1621" s="8"/>
      <c r="X1621" s="8"/>
      <c r="Y1621" s="8"/>
      <c r="Z1621" s="8"/>
    </row>
    <row r="1622" spans="1:26" ht="13.2">
      <c r="A1622" s="13">
        <v>44250.378854166665</v>
      </c>
      <c r="B1622" s="6" t="str">
        <f>HYPERLINK("https://twitter.com/lopezunwired","@lopezunwired")</f>
        <v>@lopezunwired</v>
      </c>
      <c r="C1622" s="14" t="s">
        <v>224</v>
      </c>
      <c r="D1622" s="14" t="s">
        <v>6707</v>
      </c>
      <c r="E1622" s="6" t="str">
        <f>HYPERLINK("https://twitter.com/lopezunwired/status/1364124220817506306","1364124220817506306")</f>
        <v>1364124220817506306</v>
      </c>
      <c r="F1622" s="7" t="s">
        <v>6708</v>
      </c>
      <c r="G1622" s="7" t="s">
        <v>6709</v>
      </c>
      <c r="H1622" s="8"/>
      <c r="I1622" s="14">
        <v>0</v>
      </c>
      <c r="J1622" s="14">
        <v>0</v>
      </c>
      <c r="K1622" s="6" t="str">
        <f>HYPERLINK("https://dlvrit.com/","dlvr.it")</f>
        <v>dlvr.it</v>
      </c>
      <c r="L1622" s="15">
        <v>1803</v>
      </c>
      <c r="M1622" s="15">
        <v>800</v>
      </c>
      <c r="N1622" s="15">
        <v>586</v>
      </c>
      <c r="O1622" s="9"/>
      <c r="P1622" s="10">
        <v>39831.947152777779</v>
      </c>
      <c r="Q1622" s="14" t="s">
        <v>228</v>
      </c>
      <c r="R1622" s="14" t="s">
        <v>229</v>
      </c>
      <c r="S1622" s="7" t="s">
        <v>230</v>
      </c>
      <c r="T1622" s="8"/>
      <c r="U1622" s="11" t="str">
        <f>HYPERLINK("https://pbs.twimg.com/profile_images/3326137784/c6c1c2570fc7b9711dd8de812b996a66.jpeg","View")</f>
        <v>View</v>
      </c>
      <c r="V1622" s="8"/>
      <c r="W1622" s="8"/>
      <c r="X1622" s="8"/>
      <c r="Y1622" s="8"/>
      <c r="Z1622" s="8"/>
    </row>
    <row r="1623" spans="1:26" ht="13.2">
      <c r="A1623" s="13">
        <v>44250.378784722227</v>
      </c>
      <c r="B1623" s="6" t="str">
        <f>HYPERLINK("https://twitter.com/gabrielbechara","@gabrielbechara")</f>
        <v>@gabrielbechara</v>
      </c>
      <c r="C1623" s="14" t="s">
        <v>6710</v>
      </c>
      <c r="D1623" s="14" t="s">
        <v>1526</v>
      </c>
      <c r="E1623" s="6" t="str">
        <f>HYPERLINK("https://twitter.com/gabrielbechara/status/1364124195911856128","1364124195911856128")</f>
        <v>1364124195911856128</v>
      </c>
      <c r="F1623" s="7" t="s">
        <v>6711</v>
      </c>
      <c r="G1623" s="8"/>
      <c r="H1623" s="8"/>
      <c r="I1623" s="14">
        <v>1</v>
      </c>
      <c r="J1623" s="14">
        <v>1</v>
      </c>
      <c r="K1623" s="6" t="str">
        <f>HYPERLINK("http://smarp.com","Smarp.")</f>
        <v>Smarp.</v>
      </c>
      <c r="L1623" s="15">
        <v>192</v>
      </c>
      <c r="M1623" s="15">
        <v>427</v>
      </c>
      <c r="N1623" s="15">
        <v>24</v>
      </c>
      <c r="O1623" s="9"/>
      <c r="P1623" s="10">
        <v>39680.906111111108</v>
      </c>
      <c r="Q1623" s="8"/>
      <c r="R1623" s="8"/>
      <c r="S1623" s="8"/>
      <c r="T1623" s="8"/>
      <c r="U1623" s="11" t="str">
        <f>HYPERLINK("https://pbs.twimg.com/profile_images/977223372743553024/WmPnUvPr.jpg","View")</f>
        <v>View</v>
      </c>
      <c r="V1623" s="8"/>
      <c r="W1623" s="8"/>
      <c r="X1623" s="8"/>
      <c r="Y1623" s="8"/>
      <c r="Z1623" s="8"/>
    </row>
    <row r="1624" spans="1:26" ht="13.2">
      <c r="A1624" s="13">
        <v>44250.378495370373</v>
      </c>
      <c r="B1624" s="6" t="str">
        <f>HYPERLINK("https://twitter.com/nigewillson","@nigewillson")</f>
        <v>@nigewillson</v>
      </c>
      <c r="C1624" s="14" t="s">
        <v>95</v>
      </c>
      <c r="D1624" s="14" t="s">
        <v>971</v>
      </c>
      <c r="E1624" s="6" t="str">
        <f>HYPERLINK("https://twitter.com/nigewillson/status/1364124094149636097","1364124094149636097")</f>
        <v>1364124094149636097</v>
      </c>
      <c r="F1624" s="7" t="s">
        <v>972</v>
      </c>
      <c r="G1624" s="7" t="s">
        <v>6712</v>
      </c>
      <c r="H1624" s="8"/>
      <c r="I1624" s="14">
        <v>4</v>
      </c>
      <c r="J1624" s="14">
        <v>3</v>
      </c>
      <c r="K1624" s="6" t="str">
        <f>HYPERLINK("https://buffer.com","Buffer")</f>
        <v>Buffer</v>
      </c>
      <c r="L1624" s="15">
        <v>57515</v>
      </c>
      <c r="M1624" s="15">
        <v>49523</v>
      </c>
      <c r="N1624" s="15">
        <v>1688</v>
      </c>
      <c r="O1624" s="9"/>
      <c r="P1624" s="10">
        <v>40530.666805555556</v>
      </c>
      <c r="Q1624" s="14" t="s">
        <v>99</v>
      </c>
      <c r="R1624" s="14" t="s">
        <v>100</v>
      </c>
      <c r="S1624" s="7" t="s">
        <v>101</v>
      </c>
      <c r="T1624" s="8"/>
      <c r="U1624" s="11" t="str">
        <f>HYPERLINK("https://pbs.twimg.com/profile_images/1085251590997622784/x9mWVQ1d.jpg","View")</f>
        <v>View</v>
      </c>
      <c r="V1624" s="8"/>
      <c r="W1624" s="8"/>
      <c r="X1624" s="8"/>
      <c r="Y1624" s="8"/>
      <c r="Z1624" s="8"/>
    </row>
    <row r="1625" spans="1:26" ht="13.2">
      <c r="A1625" s="13">
        <v>44250.37736111111</v>
      </c>
      <c r="B1625" s="6" t="str">
        <f>HYPERLINK("https://twitter.com/cornichecorp","@cornichecorp")</f>
        <v>@cornichecorp</v>
      </c>
      <c r="C1625" s="14" t="s">
        <v>2271</v>
      </c>
      <c r="D1625" s="14" t="s">
        <v>6713</v>
      </c>
      <c r="E1625" s="6" t="str">
        <f>HYPERLINK("https://twitter.com/cornichecorp/status/1364123681505632256","1364123681505632256")</f>
        <v>1364123681505632256</v>
      </c>
      <c r="F1625" s="14" t="s">
        <v>1640</v>
      </c>
      <c r="G1625" s="8"/>
      <c r="H1625" s="8"/>
      <c r="I1625" s="14">
        <v>15</v>
      </c>
      <c r="J1625" s="14">
        <v>9</v>
      </c>
      <c r="K1625" s="6" t="str">
        <f t="shared" ref="K1625:K1626" si="304">HYPERLINK("http://twinybots.com","TwinyBots")</f>
        <v>TwinyBots</v>
      </c>
      <c r="L1625" s="15">
        <v>2349</v>
      </c>
      <c r="M1625" s="15">
        <v>2163</v>
      </c>
      <c r="N1625" s="15">
        <v>30</v>
      </c>
      <c r="O1625" s="9"/>
      <c r="P1625" s="10">
        <v>42246.917499999996</v>
      </c>
      <c r="Q1625" s="14" t="s">
        <v>2274</v>
      </c>
      <c r="R1625" s="14" t="s">
        <v>2275</v>
      </c>
      <c r="S1625" s="8"/>
      <c r="T1625" s="8"/>
      <c r="U1625" s="11" t="str">
        <f>HYPERLINK("https://pbs.twimg.com/profile_images/1135863200396775424/vPe8Htor.png","View")</f>
        <v>View</v>
      </c>
      <c r="V1625" s="8"/>
      <c r="W1625" s="8"/>
      <c r="X1625" s="8"/>
      <c r="Y1625" s="8"/>
      <c r="Z1625" s="8"/>
    </row>
    <row r="1626" spans="1:26" ht="13.2">
      <c r="A1626" s="13">
        <v>44250.37736111111</v>
      </c>
      <c r="B1626" s="6" t="str">
        <f>HYPERLINK("https://twitter.com/PawanSomanchi","@PawanSomanchi")</f>
        <v>@PawanSomanchi</v>
      </c>
      <c r="C1626" s="14" t="s">
        <v>6714</v>
      </c>
      <c r="D1626" s="14" t="s">
        <v>6660</v>
      </c>
      <c r="E1626" s="6" t="str">
        <f>HYPERLINK("https://twitter.com/PawanSomanchi/status/1364123681501417474","1364123681501417474")</f>
        <v>1364123681501417474</v>
      </c>
      <c r="F1626" s="14" t="s">
        <v>4134</v>
      </c>
      <c r="G1626" s="8"/>
      <c r="H1626" s="8"/>
      <c r="I1626" s="14">
        <v>2</v>
      </c>
      <c r="J1626" s="14">
        <v>1</v>
      </c>
      <c r="K1626" s="6" t="str">
        <f t="shared" si="304"/>
        <v>TwinyBots</v>
      </c>
      <c r="L1626" s="15">
        <v>895</v>
      </c>
      <c r="M1626" s="15">
        <v>1377</v>
      </c>
      <c r="N1626" s="15">
        <v>12</v>
      </c>
      <c r="O1626" s="9"/>
      <c r="P1626" s="10">
        <v>42629.507384259261</v>
      </c>
      <c r="Q1626" s="14" t="s">
        <v>4166</v>
      </c>
      <c r="R1626" s="14" t="s">
        <v>6715</v>
      </c>
      <c r="S1626" s="7" t="s">
        <v>6716</v>
      </c>
      <c r="T1626" s="8"/>
      <c r="U1626" s="11" t="str">
        <f>HYPERLINK("https://pbs.twimg.com/profile_images/1234794854355369984/b5uzwAtt.jpg","View")</f>
        <v>View</v>
      </c>
      <c r="V1626" s="8"/>
      <c r="W1626" s="8"/>
      <c r="X1626" s="8"/>
      <c r="Y1626" s="8"/>
      <c r="Z1626" s="8"/>
    </row>
    <row r="1627" spans="1:26" ht="13.2">
      <c r="A1627" s="13">
        <v>44250.376458333332</v>
      </c>
      <c r="B1627" s="6" t="str">
        <f>HYPERLINK("https://twitter.com/TopNetworkSpA","@TopNetworkSpA")</f>
        <v>@TopNetworkSpA</v>
      </c>
      <c r="C1627" s="14" t="s">
        <v>6717</v>
      </c>
      <c r="D1627" s="14" t="s">
        <v>6718</v>
      </c>
      <c r="E1627" s="6" t="str">
        <f>HYPERLINK("https://twitter.com/TopNetworkSpA/status/1364123352474992642","1364123352474992642")</f>
        <v>1364123352474992642</v>
      </c>
      <c r="F1627" s="7" t="s">
        <v>6719</v>
      </c>
      <c r="G1627" s="8"/>
      <c r="H1627" s="8"/>
      <c r="I1627" s="14">
        <v>0</v>
      </c>
      <c r="J1627" s="14">
        <v>0</v>
      </c>
      <c r="K1627" s="6" t="str">
        <f>HYPERLINK("https://www.postpickr.com","PostPickr")</f>
        <v>PostPickr</v>
      </c>
      <c r="L1627" s="15">
        <v>207</v>
      </c>
      <c r="M1627" s="15">
        <v>285</v>
      </c>
      <c r="N1627" s="15">
        <v>0</v>
      </c>
      <c r="O1627" s="9"/>
      <c r="P1627" s="10">
        <v>42942.710439814815</v>
      </c>
      <c r="Q1627" s="14" t="s">
        <v>6720</v>
      </c>
      <c r="R1627" s="14" t="s">
        <v>6721</v>
      </c>
      <c r="S1627" s="7" t="s">
        <v>6722</v>
      </c>
      <c r="T1627" s="8"/>
      <c r="U1627" s="11" t="str">
        <f>HYPERLINK("https://pbs.twimg.com/profile_images/927814757427576832/l00k3re9.jpg","View")</f>
        <v>View</v>
      </c>
      <c r="V1627" s="8"/>
      <c r="W1627" s="8"/>
      <c r="X1627" s="8"/>
      <c r="Y1627" s="8"/>
      <c r="Z1627" s="8"/>
    </row>
    <row r="1628" spans="1:26" ht="13.2">
      <c r="A1628" s="13">
        <v>44250.376307870371</v>
      </c>
      <c r="B1628" s="6" t="str">
        <f>HYPERLINK("https://twitter.com/MeetAliPoetry","@MeetAliPoetry")</f>
        <v>@MeetAliPoetry</v>
      </c>
      <c r="C1628" s="14" t="s">
        <v>6723</v>
      </c>
      <c r="D1628" s="14" t="s">
        <v>6724</v>
      </c>
      <c r="E1628" s="6" t="str">
        <f>HYPERLINK("https://twitter.com/MeetAliPoetry/status/1364123299542749186","1364123299542749186")</f>
        <v>1364123299542749186</v>
      </c>
      <c r="F1628" s="8"/>
      <c r="G1628" s="7" t="s">
        <v>6725</v>
      </c>
      <c r="H1628" s="8"/>
      <c r="I1628" s="14">
        <v>11</v>
      </c>
      <c r="J1628" s="14">
        <v>8</v>
      </c>
      <c r="K1628" s="6" t="str">
        <f t="shared" ref="K1628:K1629" si="305">HYPERLINK("https://mobile.twitter.com","Twitter Web App")</f>
        <v>Twitter Web App</v>
      </c>
      <c r="L1628" s="15">
        <v>138</v>
      </c>
      <c r="M1628" s="15">
        <v>803</v>
      </c>
      <c r="N1628" s="15">
        <v>0</v>
      </c>
      <c r="O1628" s="9"/>
      <c r="P1628" s="10">
        <v>43648.390324074076</v>
      </c>
      <c r="Q1628" s="8"/>
      <c r="R1628" s="14" t="s">
        <v>6726</v>
      </c>
      <c r="S1628" s="7" t="s">
        <v>6727</v>
      </c>
      <c r="T1628" s="8"/>
      <c r="U1628" s="11" t="str">
        <f>HYPERLINK("https://pbs.twimg.com/profile_images/1353692165642313728/bBmGAHRF.jpg","View")</f>
        <v>View</v>
      </c>
      <c r="V1628" s="8"/>
      <c r="W1628" s="8"/>
      <c r="X1628" s="8"/>
      <c r="Y1628" s="8"/>
      <c r="Z1628" s="8"/>
    </row>
    <row r="1629" spans="1:26" ht="13.2">
      <c r="A1629" s="13">
        <v>44250.376134259262</v>
      </c>
      <c r="B1629" s="6" t="str">
        <f>HYPERLINK("https://twitter.com/Jose_A_Alonso","@Jose_A_Alonso")</f>
        <v>@Jose_A_Alonso</v>
      </c>
      <c r="C1629" s="14" t="s">
        <v>6728</v>
      </c>
      <c r="D1629" s="14" t="s">
        <v>6729</v>
      </c>
      <c r="E1629" s="6" t="str">
        <f>HYPERLINK("https://twitter.com/Jose_A_Alonso/status/1364123238675197954","1364123238675197954")</f>
        <v>1364123238675197954</v>
      </c>
      <c r="F1629" s="7" t="s">
        <v>6730</v>
      </c>
      <c r="G1629" s="8"/>
      <c r="H1629" s="8"/>
      <c r="I1629" s="14">
        <v>0</v>
      </c>
      <c r="J1629" s="14">
        <v>4</v>
      </c>
      <c r="K1629" s="6" t="str">
        <f t="shared" si="305"/>
        <v>Twitter Web App</v>
      </c>
      <c r="L1629" s="15">
        <v>2649</v>
      </c>
      <c r="M1629" s="15">
        <v>2687</v>
      </c>
      <c r="N1629" s="15">
        <v>238</v>
      </c>
      <c r="O1629" s="9"/>
      <c r="P1629" s="10">
        <v>40569.703750000001</v>
      </c>
      <c r="Q1629" s="14" t="s">
        <v>1799</v>
      </c>
      <c r="R1629" s="14" t="s">
        <v>6731</v>
      </c>
      <c r="S1629" s="7" t="s">
        <v>6732</v>
      </c>
      <c r="T1629" s="8"/>
      <c r="U1629" s="11" t="str">
        <f>HYPERLINK("https://pbs.twimg.com/profile_images/2609449263/vmq3lkuceoz054nl3u4u.jpeg","View")</f>
        <v>View</v>
      </c>
      <c r="V1629" s="8"/>
      <c r="W1629" s="8"/>
      <c r="X1629" s="8"/>
      <c r="Y1629" s="8"/>
      <c r="Z1629" s="8"/>
    </row>
    <row r="1630" spans="1:26" ht="13.2">
      <c r="A1630" s="13">
        <v>44250.375775462962</v>
      </c>
      <c r="B1630" s="6" t="str">
        <f>HYPERLINK("https://twitter.com/toxictorilee","@toxictorilee")</f>
        <v>@toxictorilee</v>
      </c>
      <c r="C1630" s="14" t="s">
        <v>6733</v>
      </c>
      <c r="D1630" s="14" t="s">
        <v>6734</v>
      </c>
      <c r="E1630" s="6" t="str">
        <f>HYPERLINK("https://twitter.com/toxictorilee/status/1364123107376717824","1364123107376717824")</f>
        <v>1364123107376717824</v>
      </c>
      <c r="F1630" s="7" t="s">
        <v>6735</v>
      </c>
      <c r="G1630" s="8"/>
      <c r="H1630" s="8"/>
      <c r="I1630" s="14">
        <v>0</v>
      </c>
      <c r="J1630" s="14">
        <v>0</v>
      </c>
      <c r="K1630" s="6" t="str">
        <f>HYPERLINK("http://twinybots.com","TwinyBots")</f>
        <v>TwinyBots</v>
      </c>
      <c r="L1630" s="15">
        <v>505</v>
      </c>
      <c r="M1630" s="15">
        <v>113</v>
      </c>
      <c r="N1630" s="15">
        <v>2</v>
      </c>
      <c r="O1630" s="9"/>
      <c r="P1630" s="10">
        <v>43726.072395833333</v>
      </c>
      <c r="Q1630" s="14" t="s">
        <v>322</v>
      </c>
      <c r="R1630" s="14" t="s">
        <v>6736</v>
      </c>
      <c r="S1630" s="7" t="s">
        <v>6737</v>
      </c>
      <c r="T1630" s="8"/>
      <c r="U1630" s="11" t="str">
        <f>HYPERLINK("https://pbs.twimg.com/profile_images/1174108550471323648/qbtU2nr9.jpg","View")</f>
        <v>View</v>
      </c>
      <c r="V1630" s="8"/>
      <c r="W1630" s="8"/>
      <c r="X1630" s="8"/>
      <c r="Y1630" s="8"/>
      <c r="Z1630" s="8"/>
    </row>
    <row r="1631" spans="1:26" ht="13.2">
      <c r="A1631" s="13">
        <v>44250.375706018516</v>
      </c>
      <c r="B1631" s="6" t="str">
        <f>HYPERLINK("https://twitter.com/BristowColin","@BristowColin")</f>
        <v>@BristowColin</v>
      </c>
      <c r="C1631" s="14" t="s">
        <v>596</v>
      </c>
      <c r="D1631" s="14" t="s">
        <v>6738</v>
      </c>
      <c r="E1631" s="6" t="str">
        <f>HYPERLINK("https://twitter.com/BristowColin/status/1364123081820676104","1364123081820676104")</f>
        <v>1364123081820676104</v>
      </c>
      <c r="F1631" s="7" t="s">
        <v>6739</v>
      </c>
      <c r="G1631" s="8"/>
      <c r="H1631" s="8"/>
      <c r="I1631" s="14">
        <v>9</v>
      </c>
      <c r="J1631" s="14">
        <v>8</v>
      </c>
      <c r="K1631" s="6" t="str">
        <f>HYPERLINK("http://dynamicsignal.com/","Dynamic Signal")</f>
        <v>Dynamic Signal</v>
      </c>
      <c r="L1631" s="15">
        <v>12149</v>
      </c>
      <c r="M1631" s="15">
        <v>9707</v>
      </c>
      <c r="N1631" s="15">
        <v>155</v>
      </c>
      <c r="O1631" s="9"/>
      <c r="P1631" s="10">
        <v>40900.478090277778</v>
      </c>
      <c r="Q1631" s="14" t="s">
        <v>599</v>
      </c>
      <c r="R1631" s="14" t="s">
        <v>600</v>
      </c>
      <c r="S1631" s="7" t="s">
        <v>601</v>
      </c>
      <c r="T1631" s="8"/>
      <c r="U1631" s="11" t="str">
        <f>HYPERLINK("https://pbs.twimg.com/profile_images/692994884270198784/jQX64C1s.jpg","View")</f>
        <v>View</v>
      </c>
      <c r="V1631" s="8"/>
      <c r="W1631" s="8"/>
      <c r="X1631" s="8"/>
      <c r="Y1631" s="8"/>
      <c r="Z1631" s="8"/>
    </row>
    <row r="1632" spans="1:26" ht="13.2">
      <c r="A1632" s="13">
        <v>44250.375601851847</v>
      </c>
      <c r="B1632" s="6" t="str">
        <f>HYPERLINK("https://twitter.com/SQLI_FR","@SQLI_FR")</f>
        <v>@SQLI_FR</v>
      </c>
      <c r="C1632" s="14" t="s">
        <v>6740</v>
      </c>
      <c r="D1632" s="14" t="s">
        <v>6741</v>
      </c>
      <c r="E1632" s="6" t="str">
        <f>HYPERLINK("https://twitter.com/SQLI_FR/status/1364123041836457985","1364123041836457985")</f>
        <v>1364123041836457985</v>
      </c>
      <c r="F1632" s="7" t="s">
        <v>6742</v>
      </c>
      <c r="G1632" s="7" t="s">
        <v>6743</v>
      </c>
      <c r="H1632" s="8"/>
      <c r="I1632" s="14">
        <v>2</v>
      </c>
      <c r="J1632" s="14">
        <v>1</v>
      </c>
      <c r="K1632" s="6" t="str">
        <f>HYPERLINK("https://www.oktopost.com","Oktopost")</f>
        <v>Oktopost</v>
      </c>
      <c r="L1632" s="15">
        <v>2376</v>
      </c>
      <c r="M1632" s="15">
        <v>801</v>
      </c>
      <c r="N1632" s="15">
        <v>266</v>
      </c>
      <c r="O1632" s="9"/>
      <c r="P1632" s="10">
        <v>40366.695844907408</v>
      </c>
      <c r="Q1632" s="14" t="s">
        <v>6744</v>
      </c>
      <c r="R1632" s="14" t="s">
        <v>6745</v>
      </c>
      <c r="S1632" s="7" t="s">
        <v>6746</v>
      </c>
      <c r="T1632" s="8"/>
      <c r="U1632" s="11" t="str">
        <f>HYPERLINK("https://pbs.twimg.com/profile_images/1070987362061205507/itLlCFb1.jpg","View")</f>
        <v>View</v>
      </c>
      <c r="V1632" s="8"/>
      <c r="W1632" s="8"/>
      <c r="X1632" s="8"/>
      <c r="Y1632" s="8"/>
      <c r="Z1632" s="8"/>
    </row>
    <row r="1633" spans="1:26" ht="13.2">
      <c r="A1633" s="13">
        <v>44250.375578703708</v>
      </c>
      <c r="B1633" s="6" t="str">
        <f>HYPERLINK("https://twitter.com/rodriguezhernan","@rodriguezhernan")</f>
        <v>@rodriguezhernan</v>
      </c>
      <c r="C1633" s="14" t="s">
        <v>6747</v>
      </c>
      <c r="D1633" s="14" t="s">
        <v>6748</v>
      </c>
      <c r="E1633" s="6" t="str">
        <f>HYPERLINK("https://twitter.com/rodriguezhernan/status/1364123035440185346","1364123035440185346")</f>
        <v>1364123035440185346</v>
      </c>
      <c r="F1633" s="7" t="s">
        <v>6749</v>
      </c>
      <c r="G1633" s="7" t="s">
        <v>6750</v>
      </c>
      <c r="H1633" s="8"/>
      <c r="I1633" s="14">
        <v>1</v>
      </c>
      <c r="J1633" s="14">
        <v>0</v>
      </c>
      <c r="K1633" s="6" t="str">
        <f>HYPERLINK("https://www.hootsuite.com","Hootsuite Inc.")</f>
        <v>Hootsuite Inc.</v>
      </c>
      <c r="L1633" s="15">
        <v>58427</v>
      </c>
      <c r="M1633" s="15">
        <v>46551</v>
      </c>
      <c r="N1633" s="15">
        <v>1381</v>
      </c>
      <c r="O1633" s="15" t="s">
        <v>130</v>
      </c>
      <c r="P1633" s="10">
        <v>39749.51635416667</v>
      </c>
      <c r="Q1633" s="14" t="s">
        <v>6751</v>
      </c>
      <c r="R1633" s="14" t="s">
        <v>6752</v>
      </c>
      <c r="S1633" s="7" t="s">
        <v>6753</v>
      </c>
      <c r="T1633" s="8"/>
      <c r="U1633" s="11" t="str">
        <f>HYPERLINK("https://pbs.twimg.com/profile_images/1262691519242416139/ce9JM6V5.jpg","View")</f>
        <v>View</v>
      </c>
      <c r="V1633" s="8"/>
      <c r="W1633" s="8"/>
      <c r="X1633" s="8"/>
      <c r="Y1633" s="8"/>
      <c r="Z1633" s="8"/>
    </row>
    <row r="1634" spans="1:26" ht="13.2">
      <c r="A1634" s="13">
        <v>44250.375381944439</v>
      </c>
      <c r="B1634" s="6" t="str">
        <f>HYPERLINK("https://twitter.com/CDOTrends","@CDOTrends")</f>
        <v>@CDOTrends</v>
      </c>
      <c r="C1634" s="14" t="s">
        <v>6754</v>
      </c>
      <c r="D1634" s="14" t="s">
        <v>6755</v>
      </c>
      <c r="E1634" s="6" t="str">
        <f>HYPERLINK("https://twitter.com/CDOTrends/status/1364122963910492162","1364122963910492162")</f>
        <v>1364122963910492162</v>
      </c>
      <c r="F1634" s="14" t="s">
        <v>6756</v>
      </c>
      <c r="G1634" s="7" t="s">
        <v>6757</v>
      </c>
      <c r="H1634" s="8"/>
      <c r="I1634" s="14">
        <v>4</v>
      </c>
      <c r="J1634" s="14">
        <v>1</v>
      </c>
      <c r="K1634" s="6" t="str">
        <f>HYPERLINK("https://buffer.com","Buffer")</f>
        <v>Buffer</v>
      </c>
      <c r="L1634" s="15">
        <v>945</v>
      </c>
      <c r="M1634" s="15">
        <v>2502</v>
      </c>
      <c r="N1634" s="15">
        <v>15</v>
      </c>
      <c r="O1634" s="9"/>
      <c r="P1634" s="10">
        <v>43169.472048611111</v>
      </c>
      <c r="Q1634" s="14" t="s">
        <v>5760</v>
      </c>
      <c r="R1634" s="14" t="s">
        <v>6758</v>
      </c>
      <c r="S1634" s="8"/>
      <c r="T1634" s="8"/>
      <c r="U1634" s="11" t="str">
        <f>HYPERLINK("https://pbs.twimg.com/profile_images/972427641532764162/6Xu1sxja.jpg","View")</f>
        <v>View</v>
      </c>
      <c r="V1634" s="8"/>
      <c r="W1634" s="8"/>
      <c r="X1634" s="8"/>
      <c r="Y1634" s="8"/>
      <c r="Z1634" s="8"/>
    </row>
    <row r="1635" spans="1:26" ht="13.2">
      <c r="A1635" s="13">
        <v>44250.375150462962</v>
      </c>
      <c r="B1635" s="6" t="str">
        <f>HYPERLINK("https://twitter.com/themlguru","@themlguru")</f>
        <v>@themlguru</v>
      </c>
      <c r="C1635" s="14" t="s">
        <v>362</v>
      </c>
      <c r="D1635" s="14" t="s">
        <v>6759</v>
      </c>
      <c r="E1635" s="6" t="str">
        <f>HYPERLINK("https://twitter.com/themlguru/status/1364122878929698818","1364122878929698818")</f>
        <v>1364122878929698818</v>
      </c>
      <c r="F1635" s="8"/>
      <c r="G1635" s="7" t="s">
        <v>6760</v>
      </c>
      <c r="H1635" s="8"/>
      <c r="I1635" s="14">
        <v>0</v>
      </c>
      <c r="J1635" s="14">
        <v>0</v>
      </c>
      <c r="K1635" s="6" t="str">
        <f>HYPERLINK("https://twittimer.com","Twittimer")</f>
        <v>Twittimer</v>
      </c>
      <c r="L1635" s="15">
        <v>10</v>
      </c>
      <c r="M1635" s="15">
        <v>33</v>
      </c>
      <c r="N1635" s="15">
        <v>0</v>
      </c>
      <c r="O1635" s="9"/>
      <c r="P1635" s="10">
        <v>44242.188148148147</v>
      </c>
      <c r="Q1635" s="14" t="s">
        <v>364</v>
      </c>
      <c r="R1635" s="8"/>
      <c r="S1635" s="8"/>
      <c r="T1635" s="8"/>
      <c r="U1635" s="11" t="str">
        <f>HYPERLINK("https://pbs.twimg.com/profile_images/1361967087623700484/-6UQQ_sZ.jpg","View")</f>
        <v>View</v>
      </c>
      <c r="V1635" s="8"/>
      <c r="W1635" s="8"/>
      <c r="X1635" s="8"/>
      <c r="Y1635" s="8"/>
      <c r="Z1635" s="8"/>
    </row>
    <row r="1636" spans="1:26" ht="13.2">
      <c r="A1636" s="13">
        <v>44250.375057870369</v>
      </c>
      <c r="B1636" s="6" t="str">
        <f>HYPERLINK("https://twitter.com/MartinSkeens","@MartinSkeens")</f>
        <v>@MartinSkeens</v>
      </c>
      <c r="C1636" s="14" t="s">
        <v>6761</v>
      </c>
      <c r="D1636" s="14" t="s">
        <v>6762</v>
      </c>
      <c r="E1636" s="6" t="str">
        <f>HYPERLINK("https://twitter.com/MartinSkeens/status/1364122846956564480","1364122846956564480")</f>
        <v>1364122846956564480</v>
      </c>
      <c r="F1636" s="7" t="s">
        <v>6763</v>
      </c>
      <c r="G1636" s="8"/>
      <c r="H1636" s="8"/>
      <c r="I1636" s="14">
        <v>3</v>
      </c>
      <c r="J1636" s="14">
        <v>0</v>
      </c>
      <c r="K1636" s="6" t="str">
        <f>HYPERLINK("https://getbambu.com","Bambu by Sprout Social")</f>
        <v>Bambu by Sprout Social</v>
      </c>
      <c r="L1636" s="15">
        <v>1411</v>
      </c>
      <c r="M1636" s="15">
        <v>3704</v>
      </c>
      <c r="N1636" s="15">
        <v>21</v>
      </c>
      <c r="O1636" s="9"/>
      <c r="P1636" s="10">
        <v>41866.48877314815</v>
      </c>
      <c r="Q1636" s="14" t="s">
        <v>599</v>
      </c>
      <c r="R1636" s="14" t="s">
        <v>6764</v>
      </c>
      <c r="S1636" s="8"/>
      <c r="T1636" s="8"/>
      <c r="U1636" s="11" t="str">
        <f>HYPERLINK("https://pbs.twimg.com/profile_images/859778830726303744/pauzDBYb.jpg","View")</f>
        <v>View</v>
      </c>
      <c r="V1636" s="8"/>
      <c r="W1636" s="8"/>
      <c r="X1636" s="8"/>
      <c r="Y1636" s="8"/>
      <c r="Z1636" s="8"/>
    </row>
    <row r="1637" spans="1:26" ht="13.2">
      <c r="A1637" s="13">
        <v>44250.375057870369</v>
      </c>
      <c r="B1637" s="6" t="str">
        <f>HYPERLINK("https://twitter.com/Deep_In_Depth","@Deep_In_Depth")</f>
        <v>@Deep_In_Depth</v>
      </c>
      <c r="C1637" s="14" t="s">
        <v>312</v>
      </c>
      <c r="D1637" s="14" t="s">
        <v>6765</v>
      </c>
      <c r="E1637" s="6" t="str">
        <f>HYPERLINK("https://twitter.com/Deep_In_Depth/status/1364122844767137793","1364122844767137793")</f>
        <v>1364122844767137793</v>
      </c>
      <c r="F1637" s="7" t="s">
        <v>6766</v>
      </c>
      <c r="G1637" s="8"/>
      <c r="H1637" s="8"/>
      <c r="I1637" s="14">
        <v>1</v>
      </c>
      <c r="J1637" s="14">
        <v>3</v>
      </c>
      <c r="K1637" s="6" t="str">
        <f>HYPERLINK("https://buffer.com","Buffer")</f>
        <v>Buffer</v>
      </c>
      <c r="L1637" s="15">
        <v>10954</v>
      </c>
      <c r="M1637" s="15">
        <v>9176</v>
      </c>
      <c r="N1637" s="15">
        <v>159</v>
      </c>
      <c r="O1637" s="9"/>
      <c r="P1637" s="10">
        <v>42864.439525462964</v>
      </c>
      <c r="Q1637" s="14" t="s">
        <v>315</v>
      </c>
      <c r="R1637" s="14" t="s">
        <v>316</v>
      </c>
      <c r="S1637" s="7" t="s">
        <v>317</v>
      </c>
      <c r="T1637" s="8"/>
      <c r="U1637" s="11" t="str">
        <f>HYPERLINK("https://pbs.twimg.com/profile_images/861866967493431296/PIjaSD4g.jpg","View")</f>
        <v>View</v>
      </c>
      <c r="V1637" s="8"/>
      <c r="W1637" s="8"/>
      <c r="X1637" s="8"/>
      <c r="Y1637" s="8"/>
      <c r="Z1637" s="8"/>
    </row>
    <row r="1638" spans="1:26" ht="13.2">
      <c r="A1638" s="13">
        <v>44250.375046296293</v>
      </c>
      <c r="B1638" s="6" t="str">
        <f>HYPERLINK("https://twitter.com/bittimepro","@bittimepro")</f>
        <v>@bittimepro</v>
      </c>
      <c r="C1638" s="14" t="s">
        <v>6767</v>
      </c>
      <c r="D1638" s="14" t="s">
        <v>6768</v>
      </c>
      <c r="E1638" s="6" t="str">
        <f>HYPERLINK("https://twitter.com/bittimepro/status/1364122843185831939","1364122843185831939")</f>
        <v>1364122843185831939</v>
      </c>
      <c r="F1638" s="8"/>
      <c r="G1638" s="7" t="s">
        <v>6769</v>
      </c>
      <c r="H1638" s="8"/>
      <c r="I1638" s="14">
        <v>0</v>
      </c>
      <c r="J1638" s="14">
        <v>0</v>
      </c>
      <c r="K1638" s="6" t="str">
        <f>HYPERLINK("http://www.bittimeprofessionals.it","bittimepro_bot")</f>
        <v>bittimepro_bot</v>
      </c>
      <c r="L1638" s="15">
        <v>141</v>
      </c>
      <c r="M1638" s="15">
        <v>42</v>
      </c>
      <c r="N1638" s="15">
        <v>2</v>
      </c>
      <c r="O1638" s="9"/>
      <c r="P1638" s="10">
        <v>43116.945543981477</v>
      </c>
      <c r="Q1638" s="14" t="s">
        <v>6720</v>
      </c>
      <c r="R1638" s="14" t="s">
        <v>6770</v>
      </c>
      <c r="S1638" s="7" t="s">
        <v>6771</v>
      </c>
      <c r="T1638" s="8"/>
      <c r="U1638" s="11" t="str">
        <f>HYPERLINK("https://pbs.twimg.com/profile_images/953564441458724864/kTxexgO5.jpg","View")</f>
        <v>View</v>
      </c>
      <c r="V1638" s="8"/>
      <c r="W1638" s="8"/>
      <c r="X1638" s="8"/>
      <c r="Y1638" s="8"/>
      <c r="Z1638" s="8"/>
    </row>
    <row r="1639" spans="1:26" ht="13.2">
      <c r="A1639" s="13">
        <v>44250.375034722223</v>
      </c>
      <c r="B1639" s="6" t="str">
        <f>HYPERLINK("https://twitter.com/AnnePordon","@AnnePordon")</f>
        <v>@AnnePordon</v>
      </c>
      <c r="C1639" s="14" t="s">
        <v>1138</v>
      </c>
      <c r="D1639" s="14" t="s">
        <v>6772</v>
      </c>
      <c r="E1639" s="6" t="str">
        <f>HYPERLINK("https://twitter.com/AnnePordon/status/1364122837993197573","1364122837993197573")</f>
        <v>1364122837993197573</v>
      </c>
      <c r="F1639" s="7" t="s">
        <v>6773</v>
      </c>
      <c r="G1639" s="8"/>
      <c r="H1639" s="8"/>
      <c r="I1639" s="14">
        <v>9</v>
      </c>
      <c r="J1639" s="14">
        <v>4</v>
      </c>
      <c r="K1639" s="6" t="str">
        <f>HYPERLINK("http://www.linkedin.com/","LinkedIn")</f>
        <v>LinkedIn</v>
      </c>
      <c r="L1639" s="15">
        <v>265</v>
      </c>
      <c r="M1639" s="15">
        <v>565</v>
      </c>
      <c r="N1639" s="15">
        <v>5</v>
      </c>
      <c r="O1639" s="9"/>
      <c r="P1639" s="10">
        <v>43714.793321759258</v>
      </c>
      <c r="Q1639" s="14" t="s">
        <v>1141</v>
      </c>
      <c r="R1639" s="14" t="s">
        <v>1142</v>
      </c>
      <c r="S1639" s="8"/>
      <c r="T1639" s="8"/>
      <c r="U1639" s="11" t="str">
        <f>HYPERLINK("https://pbs.twimg.com/profile_images/1170020149455462401/KK9I4zZR.jpg","View")</f>
        <v>View</v>
      </c>
      <c r="V1639" s="8"/>
      <c r="W1639" s="8"/>
      <c r="X1639" s="8"/>
      <c r="Y1639" s="8"/>
      <c r="Z1639" s="8"/>
    </row>
    <row r="1640" spans="1:26" ht="13.2">
      <c r="A1640" s="13">
        <v>44250.375023148154</v>
      </c>
      <c r="B1640" s="6" t="str">
        <f>HYPERLINK("https://twitter.com/Tegeria2","@Tegeria2")</f>
        <v>@Tegeria2</v>
      </c>
      <c r="C1640" s="14" t="s">
        <v>6774</v>
      </c>
      <c r="D1640" s="14" t="s">
        <v>6775</v>
      </c>
      <c r="E1640" s="6" t="str">
        <f>HYPERLINK("https://twitter.com/Tegeria2/status/1364122835808051203","1364122835808051203")</f>
        <v>1364122835808051203</v>
      </c>
      <c r="F1640" s="7" t="s">
        <v>6776</v>
      </c>
      <c r="G1640" s="7" t="s">
        <v>6777</v>
      </c>
      <c r="H1640" s="8"/>
      <c r="I1640" s="14">
        <v>1</v>
      </c>
      <c r="J1640" s="14">
        <v>2</v>
      </c>
      <c r="K1640" s="6" t="str">
        <f>HYPERLINK("https://www.contentcal.io","ContentCal Studio")</f>
        <v>ContentCal Studio</v>
      </c>
      <c r="L1640" s="15">
        <v>833</v>
      </c>
      <c r="M1640" s="15">
        <v>919</v>
      </c>
      <c r="N1640" s="15">
        <v>11</v>
      </c>
      <c r="O1640" s="9"/>
      <c r="P1640" s="10">
        <v>43281.798495370371</v>
      </c>
      <c r="Q1640" s="8"/>
      <c r="R1640" s="14" t="s">
        <v>6778</v>
      </c>
      <c r="S1640" s="7" t="s">
        <v>6779</v>
      </c>
      <c r="T1640" s="8"/>
      <c r="U1640" s="11" t="str">
        <f>HYPERLINK("https://pbs.twimg.com/profile_images/1247491604086231040/lbPtx_xI.jpg","View")</f>
        <v>View</v>
      </c>
      <c r="V1640" s="8"/>
      <c r="W1640" s="8"/>
      <c r="X1640" s="8"/>
      <c r="Y1640" s="8"/>
      <c r="Z1640" s="8"/>
    </row>
    <row r="1641" spans="1:26" ht="13.2">
      <c r="A1641" s="13">
        <v>44250.375023148154</v>
      </c>
      <c r="B1641" s="6" t="str">
        <f>HYPERLINK("https://twitter.com/martintenvoorde","@martintenvoorde")</f>
        <v>@martintenvoorde</v>
      </c>
      <c r="C1641" s="14" t="s">
        <v>6780</v>
      </c>
      <c r="D1641" s="14" t="s">
        <v>6781</v>
      </c>
      <c r="E1641" s="6" t="str">
        <f>HYPERLINK("https://twitter.com/martintenvoorde/status/1364122835677945857","1364122835677945857")</f>
        <v>1364122835677945857</v>
      </c>
      <c r="F1641" s="7" t="s">
        <v>6782</v>
      </c>
      <c r="G1641" s="8"/>
      <c r="H1641" s="8"/>
      <c r="I1641" s="14">
        <v>2</v>
      </c>
      <c r="J1641" s="14">
        <v>0</v>
      </c>
      <c r="K1641" s="6" t="str">
        <f>HYPERLINK("http://www.linkedin.com/","LinkedIn")</f>
        <v>LinkedIn</v>
      </c>
      <c r="L1641" s="15">
        <v>10037</v>
      </c>
      <c r="M1641" s="15">
        <v>11002</v>
      </c>
      <c r="N1641" s="15">
        <v>347</v>
      </c>
      <c r="O1641" s="9"/>
      <c r="P1641" s="10">
        <v>39921.02270833333</v>
      </c>
      <c r="Q1641" s="14" t="s">
        <v>6783</v>
      </c>
      <c r="R1641" s="14" t="s">
        <v>6784</v>
      </c>
      <c r="S1641" s="7" t="s">
        <v>6785</v>
      </c>
      <c r="T1641" s="8"/>
      <c r="U1641" s="11" t="str">
        <f>HYPERLINK("https://pbs.twimg.com/profile_images/1882396335/MTV.PNG","View")</f>
        <v>View</v>
      </c>
      <c r="V1641" s="8"/>
      <c r="W1641" s="8"/>
      <c r="X1641" s="8"/>
      <c r="Y1641" s="8"/>
      <c r="Z1641" s="8"/>
    </row>
    <row r="1642" spans="1:26" ht="13.2">
      <c r="A1642" s="13">
        <v>44250.37501157407</v>
      </c>
      <c r="B1642" s="6" t="str">
        <f>HYPERLINK("https://twitter.com/miraiinnovation","@miraiinnovation")</f>
        <v>@miraiinnovation</v>
      </c>
      <c r="C1642" s="14" t="s">
        <v>6786</v>
      </c>
      <c r="D1642" s="14" t="s">
        <v>6787</v>
      </c>
      <c r="E1642" s="6" t="str">
        <f>HYPERLINK("https://twitter.com/miraiinnovation/status/1364122828598104064","1364122828598104064")</f>
        <v>1364122828598104064</v>
      </c>
      <c r="F1642" s="8"/>
      <c r="G1642" s="7" t="s">
        <v>6788</v>
      </c>
      <c r="H1642" s="8"/>
      <c r="I1642" s="14">
        <v>3</v>
      </c>
      <c r="J1642" s="14">
        <v>5</v>
      </c>
      <c r="K1642" s="6" t="str">
        <f>HYPERLINK("https://eclincher.com","eClincher")</f>
        <v>eClincher</v>
      </c>
      <c r="L1642" s="15">
        <v>235</v>
      </c>
      <c r="M1642" s="15">
        <v>0</v>
      </c>
      <c r="N1642" s="15">
        <v>5</v>
      </c>
      <c r="O1642" s="9"/>
      <c r="P1642" s="10">
        <v>42621.140428240746</v>
      </c>
      <c r="Q1642" s="14" t="s">
        <v>6789</v>
      </c>
      <c r="R1642" s="14" t="s">
        <v>6790</v>
      </c>
      <c r="S1642" s="7" t="s">
        <v>6791</v>
      </c>
      <c r="T1642" s="8"/>
      <c r="U1642" s="11" t="str">
        <f>HYPERLINK("https://pbs.twimg.com/profile_images/1356640339180707841/lFpJ-GjN.jpg","View")</f>
        <v>View</v>
      </c>
      <c r="V1642" s="8"/>
      <c r="W1642" s="8"/>
      <c r="X1642" s="8"/>
      <c r="Y1642" s="8"/>
      <c r="Z1642" s="8"/>
    </row>
    <row r="1643" spans="1:26" ht="13.2">
      <c r="A1643" s="13">
        <v>44250.375</v>
      </c>
      <c r="B1643" s="6" t="str">
        <f>HYPERLINK("https://twitter.com/balavenkatesh22","@balavenkatesh22")</f>
        <v>@balavenkatesh22</v>
      </c>
      <c r="C1643" s="14" t="s">
        <v>3599</v>
      </c>
      <c r="D1643" s="14" t="s">
        <v>6792</v>
      </c>
      <c r="E1643" s="6" t="str">
        <f>HYPERLINK("https://twitter.com/balavenkatesh22/status/1364122825653506052","1364122825653506052")</f>
        <v>1364122825653506052</v>
      </c>
      <c r="F1643" s="8"/>
      <c r="G1643" s="8"/>
      <c r="H1643" s="8"/>
      <c r="I1643" s="14">
        <v>1</v>
      </c>
      <c r="J1643" s="14">
        <v>2</v>
      </c>
      <c r="K1643" s="6" t="str">
        <f>HYPERLINK("http://twitter.com/download/android","Twitter for Android")</f>
        <v>Twitter for Android</v>
      </c>
      <c r="L1643" s="15">
        <v>298</v>
      </c>
      <c r="M1643" s="15">
        <v>1444</v>
      </c>
      <c r="N1643" s="15">
        <v>2</v>
      </c>
      <c r="O1643" s="9"/>
      <c r="P1643" s="10">
        <v>40594.583668981482</v>
      </c>
      <c r="Q1643" s="14" t="s">
        <v>3602</v>
      </c>
      <c r="R1643" s="14" t="s">
        <v>3603</v>
      </c>
      <c r="S1643" s="7" t="s">
        <v>3604</v>
      </c>
      <c r="T1643" s="8"/>
      <c r="U1643" s="11" t="str">
        <f>HYPERLINK("https://pbs.twimg.com/profile_images/1330983465290895362/kvmMHObe.jpg","View")</f>
        <v>View</v>
      </c>
      <c r="V1643" s="8"/>
      <c r="W1643" s="8"/>
      <c r="X1643" s="8"/>
      <c r="Y1643" s="8"/>
      <c r="Z1643" s="8"/>
    </row>
    <row r="1644" spans="1:26" ht="13.2">
      <c r="A1644" s="13">
        <v>44250.374560185184</v>
      </c>
      <c r="B1644" s="6" t="str">
        <f>HYPERLINK("https://twitter.com/JarmoHaapala","@JarmoHaapala")</f>
        <v>@JarmoHaapala</v>
      </c>
      <c r="C1644" s="14" t="s">
        <v>6793</v>
      </c>
      <c r="D1644" s="14" t="s">
        <v>6794</v>
      </c>
      <c r="E1644" s="6" t="str">
        <f>HYPERLINK("https://twitter.com/JarmoHaapala/status/1364122664407810048","1364122664407810048")</f>
        <v>1364122664407810048</v>
      </c>
      <c r="F1644" s="7" t="s">
        <v>6795</v>
      </c>
      <c r="G1644" s="8"/>
      <c r="H1644" s="8"/>
      <c r="I1644" s="14">
        <v>0</v>
      </c>
      <c r="J1644" s="14">
        <v>0</v>
      </c>
      <c r="K1644" s="6" t="str">
        <f t="shared" ref="K1644:K1645" si="306">HYPERLINK("http://www.linkedin.com/","LinkedIn")</f>
        <v>LinkedIn</v>
      </c>
      <c r="L1644" s="15">
        <v>489</v>
      </c>
      <c r="M1644" s="15">
        <v>1232</v>
      </c>
      <c r="N1644" s="15">
        <v>64</v>
      </c>
      <c r="O1644" s="9"/>
      <c r="P1644" s="10">
        <v>40890.268611111111</v>
      </c>
      <c r="Q1644" s="14" t="s">
        <v>6796</v>
      </c>
      <c r="R1644" s="14" t="s">
        <v>6797</v>
      </c>
      <c r="S1644" s="7" t="s">
        <v>6798</v>
      </c>
      <c r="T1644" s="8"/>
      <c r="U1644" s="11" t="str">
        <f>HYPERLINK("https://pbs.twimg.com/profile_images/468046036666028032/-UtMAsWj.jpeg","View")</f>
        <v>View</v>
      </c>
      <c r="V1644" s="8"/>
      <c r="W1644" s="8"/>
      <c r="X1644" s="8"/>
      <c r="Y1644" s="8"/>
      <c r="Z1644" s="8"/>
    </row>
    <row r="1645" spans="1:26" ht="13.2">
      <c r="A1645" s="13">
        <v>44250.374097222222</v>
      </c>
      <c r="B1645" s="6" t="str">
        <f>HYPERLINK("https://twitter.com/CatherineAdenle","@CatherineAdenle")</f>
        <v>@CatherineAdenle</v>
      </c>
      <c r="C1645" s="14" t="s">
        <v>6649</v>
      </c>
      <c r="D1645" s="14" t="s">
        <v>6799</v>
      </c>
      <c r="E1645" s="6" t="str">
        <f>HYPERLINK("https://twitter.com/CatherineAdenle/status/1364122497180819459","1364122497180819459")</f>
        <v>1364122497180819459</v>
      </c>
      <c r="F1645" s="14" t="s">
        <v>6800</v>
      </c>
      <c r="G1645" s="8"/>
      <c r="H1645" s="8"/>
      <c r="I1645" s="14">
        <v>27</v>
      </c>
      <c r="J1645" s="14">
        <v>18</v>
      </c>
      <c r="K1645" s="6" t="str">
        <f t="shared" si="306"/>
        <v>LinkedIn</v>
      </c>
      <c r="L1645" s="15">
        <v>38255</v>
      </c>
      <c r="M1645" s="15">
        <v>2328</v>
      </c>
      <c r="N1645" s="15">
        <v>782</v>
      </c>
      <c r="O1645" s="9"/>
      <c r="P1645" s="10">
        <v>40049.734074074076</v>
      </c>
      <c r="Q1645" s="14" t="s">
        <v>5650</v>
      </c>
      <c r="R1645" s="14" t="s">
        <v>6652</v>
      </c>
      <c r="S1645" s="7" t="s">
        <v>6653</v>
      </c>
      <c r="T1645" s="8"/>
      <c r="U1645" s="11" t="str">
        <f>HYPERLINK("https://pbs.twimg.com/profile_images/476740017432584192/f_Wc8SVX.jpeg","View")</f>
        <v>View</v>
      </c>
      <c r="V1645" s="8"/>
      <c r="W1645" s="8"/>
      <c r="X1645" s="8"/>
      <c r="Y1645" s="8"/>
      <c r="Z1645" s="8"/>
    </row>
    <row r="1646" spans="1:26" ht="13.2">
      <c r="A1646" s="13">
        <v>44250.373206018514</v>
      </c>
      <c r="B1646" s="6" t="str">
        <f>HYPERLINK("https://twitter.com/ShiCooks","@ShiCooks")</f>
        <v>@ShiCooks</v>
      </c>
      <c r="C1646" s="14" t="s">
        <v>6801</v>
      </c>
      <c r="D1646" s="14" t="s">
        <v>6802</v>
      </c>
      <c r="E1646" s="6" t="str">
        <f>HYPERLINK("https://twitter.com/ShiCooks/status/1364122174416691200","1364122174416691200")</f>
        <v>1364122174416691200</v>
      </c>
      <c r="F1646" s="7" t="s">
        <v>6803</v>
      </c>
      <c r="G1646" s="7" t="s">
        <v>6804</v>
      </c>
      <c r="H1646" s="8"/>
      <c r="I1646" s="14">
        <v>20</v>
      </c>
      <c r="J1646" s="14">
        <v>16</v>
      </c>
      <c r="K1646" s="6" t="str">
        <f t="shared" ref="K1646:K1647" si="307">HYPERLINK("https://mobile.twitter.com","Twitter Web App")</f>
        <v>Twitter Web App</v>
      </c>
      <c r="L1646" s="15">
        <v>34484</v>
      </c>
      <c r="M1646" s="15">
        <v>14653</v>
      </c>
      <c r="N1646" s="15">
        <v>2048</v>
      </c>
      <c r="O1646" s="9"/>
      <c r="P1646" s="10">
        <v>39718.055601851855</v>
      </c>
      <c r="Q1646" s="14" t="s">
        <v>6805</v>
      </c>
      <c r="R1646" s="14" t="s">
        <v>6806</v>
      </c>
      <c r="S1646" s="8"/>
      <c r="T1646" s="8"/>
      <c r="U1646" s="11" t="str">
        <f>HYPERLINK("https://pbs.twimg.com/profile_images/619323261063565312/lVyXbKeZ.jpg","View")</f>
        <v>View</v>
      </c>
      <c r="V1646" s="8"/>
      <c r="W1646" s="8"/>
      <c r="X1646" s="8"/>
      <c r="Y1646" s="8"/>
      <c r="Z1646" s="8"/>
    </row>
    <row r="1647" spans="1:26" ht="13.2">
      <c r="A1647" s="13">
        <v>44250.373090277775</v>
      </c>
      <c r="B1647" s="6" t="str">
        <f>HYPERLINK("https://twitter.com/moueller1961","@moueller1961")</f>
        <v>@moueller1961</v>
      </c>
      <c r="C1647" s="14" t="s">
        <v>6414</v>
      </c>
      <c r="D1647" s="14" t="s">
        <v>6807</v>
      </c>
      <c r="E1647" s="6" t="str">
        <f>HYPERLINK("https://twitter.com/moueller1961/status/1364122131899047943","1364122131899047943")</f>
        <v>1364122131899047943</v>
      </c>
      <c r="F1647" s="7" t="s">
        <v>2986</v>
      </c>
      <c r="G1647" s="7" t="s">
        <v>6808</v>
      </c>
      <c r="H1647" s="8"/>
      <c r="I1647" s="14">
        <v>3</v>
      </c>
      <c r="J1647" s="14">
        <v>3</v>
      </c>
      <c r="K1647" s="6" t="str">
        <f t="shared" si="307"/>
        <v>Twitter Web App</v>
      </c>
      <c r="L1647" s="15">
        <v>2581</v>
      </c>
      <c r="M1647" s="15">
        <v>26</v>
      </c>
      <c r="N1647" s="15">
        <v>256</v>
      </c>
      <c r="O1647" s="9"/>
      <c r="P1647" s="10">
        <v>42106.853055555555</v>
      </c>
      <c r="Q1647" s="8"/>
      <c r="R1647" s="14" t="s">
        <v>6418</v>
      </c>
      <c r="S1647" s="8"/>
      <c r="T1647" s="8"/>
      <c r="U1647" s="11" t="str">
        <f>HYPERLINK("https://pbs.twimg.com/profile_images/1202572262156713985/_52Q3Trv.jpg","View")</f>
        <v>View</v>
      </c>
      <c r="V1647" s="8"/>
      <c r="W1647" s="8"/>
      <c r="X1647" s="8"/>
      <c r="Y1647" s="8"/>
      <c r="Z1647" s="8"/>
    </row>
    <row r="1648" spans="1:26" ht="13.2">
      <c r="A1648" s="13">
        <v>44250.371550925927</v>
      </c>
      <c r="B1648" s="6" t="str">
        <f>HYPERLINK("https://twitter.com/LoeffenAnton","@LoeffenAnton")</f>
        <v>@LoeffenAnton</v>
      </c>
      <c r="C1648" s="14" t="s">
        <v>6809</v>
      </c>
      <c r="D1648" s="14" t="s">
        <v>6810</v>
      </c>
      <c r="E1648" s="6" t="str">
        <f>HYPERLINK("https://twitter.com/LoeffenAnton/status/1364121576019492864","1364121576019492864")</f>
        <v>1364121576019492864</v>
      </c>
      <c r="F1648" s="7" t="s">
        <v>6811</v>
      </c>
      <c r="G1648" s="8"/>
      <c r="H1648" s="8"/>
      <c r="I1648" s="14">
        <v>1</v>
      </c>
      <c r="J1648" s="14">
        <v>1</v>
      </c>
      <c r="K1648" s="6" t="str">
        <f>HYPERLINK("https://www.hootsuite.com","Hootsuite Inc.")</f>
        <v>Hootsuite Inc.</v>
      </c>
      <c r="L1648" s="15">
        <v>551</v>
      </c>
      <c r="M1648" s="15">
        <v>653</v>
      </c>
      <c r="N1648" s="15">
        <v>48</v>
      </c>
      <c r="O1648" s="9"/>
      <c r="P1648" s="10">
        <v>40029.400914351849</v>
      </c>
      <c r="Q1648" s="14" t="s">
        <v>6812</v>
      </c>
      <c r="R1648" s="14" t="s">
        <v>6813</v>
      </c>
      <c r="S1648" s="7" t="s">
        <v>6814</v>
      </c>
      <c r="T1648" s="8"/>
      <c r="U1648" s="11" t="str">
        <f>HYPERLINK("https://pbs.twimg.com/profile_images/1730102614/Foto_Anton_Social_Media.jpg","View")</f>
        <v>View</v>
      </c>
      <c r="V1648" s="8"/>
      <c r="W1648" s="8"/>
      <c r="X1648" s="8"/>
      <c r="Y1648" s="8"/>
      <c r="Z1648" s="8"/>
    </row>
    <row r="1649" spans="1:26" ht="13.2">
      <c r="A1649" s="13">
        <v>44250.371122685188</v>
      </c>
      <c r="B1649" s="6" t="str">
        <f>HYPERLINK("https://twitter.com/CatherineAdenle","@CatherineAdenle")</f>
        <v>@CatherineAdenle</v>
      </c>
      <c r="C1649" s="14" t="s">
        <v>6649</v>
      </c>
      <c r="D1649" s="14" t="s">
        <v>6815</v>
      </c>
      <c r="E1649" s="6" t="str">
        <f>HYPERLINK("https://twitter.com/CatherineAdenle/status/1364121419823472644","1364121419823472644")</f>
        <v>1364121419823472644</v>
      </c>
      <c r="F1649" s="7" t="s">
        <v>3896</v>
      </c>
      <c r="G1649" s="8"/>
      <c r="H1649" s="8"/>
      <c r="I1649" s="14">
        <v>36</v>
      </c>
      <c r="J1649" s="14">
        <v>23</v>
      </c>
      <c r="K1649" s="6" t="str">
        <f>HYPERLINK("http://www.linkedin.com/","LinkedIn")</f>
        <v>LinkedIn</v>
      </c>
      <c r="L1649" s="15">
        <v>38255</v>
      </c>
      <c r="M1649" s="15">
        <v>2328</v>
      </c>
      <c r="N1649" s="15">
        <v>782</v>
      </c>
      <c r="O1649" s="9"/>
      <c r="P1649" s="10">
        <v>40049.734074074076</v>
      </c>
      <c r="Q1649" s="14" t="s">
        <v>5650</v>
      </c>
      <c r="R1649" s="14" t="s">
        <v>6652</v>
      </c>
      <c r="S1649" s="7" t="s">
        <v>6653</v>
      </c>
      <c r="T1649" s="8"/>
      <c r="U1649" s="11" t="str">
        <f>HYPERLINK("https://pbs.twimg.com/profile_images/476740017432584192/f_Wc8SVX.jpeg","View")</f>
        <v>View</v>
      </c>
      <c r="V1649" s="8"/>
      <c r="W1649" s="8"/>
      <c r="X1649" s="8"/>
      <c r="Y1649" s="8"/>
      <c r="Z1649" s="8"/>
    </row>
    <row r="1650" spans="1:26" ht="13.2">
      <c r="A1650" s="13">
        <v>44250.370648148149</v>
      </c>
      <c r="B1650" s="6" t="str">
        <f>HYPERLINK("https://twitter.com/saqibali_ca","@saqibali_ca")</f>
        <v>@saqibali_ca</v>
      </c>
      <c r="C1650" s="14" t="s">
        <v>965</v>
      </c>
      <c r="D1650" s="14" t="s">
        <v>6816</v>
      </c>
      <c r="E1650" s="6" t="str">
        <f>HYPERLINK("https://twitter.com/saqibali_ca/status/1364121248792342531","1364121248792342531")</f>
        <v>1364121248792342531</v>
      </c>
      <c r="F1650" s="7" t="s">
        <v>6817</v>
      </c>
      <c r="G1650" s="8"/>
      <c r="H1650" s="8"/>
      <c r="I1650" s="14">
        <v>1</v>
      </c>
      <c r="J1650" s="14">
        <v>1</v>
      </c>
      <c r="K1650" s="8"/>
      <c r="L1650" s="15">
        <v>270</v>
      </c>
      <c r="M1650" s="15">
        <v>0</v>
      </c>
      <c r="N1650" s="15">
        <v>3</v>
      </c>
      <c r="O1650" s="9"/>
      <c r="P1650" s="10">
        <v>43119.848680555559</v>
      </c>
      <c r="Q1650" s="14" t="s">
        <v>968</v>
      </c>
      <c r="R1650" s="14" t="s">
        <v>969</v>
      </c>
      <c r="S1650" s="7" t="s">
        <v>970</v>
      </c>
      <c r="T1650" s="8"/>
      <c r="U1650" s="11" t="str">
        <f>HYPERLINK("https://pbs.twimg.com/profile_images/1142963749285855233/c6NRGCvi.jpg","View")</f>
        <v>View</v>
      </c>
      <c r="V1650" s="8"/>
      <c r="W1650" s="8"/>
      <c r="X1650" s="8"/>
      <c r="Y1650" s="8"/>
      <c r="Z1650" s="8"/>
    </row>
    <row r="1651" spans="1:26" ht="13.2">
      <c r="A1651" s="13">
        <v>44250.369756944448</v>
      </c>
      <c r="B1651" s="6" t="str">
        <f>HYPERLINK("https://twitter.com/slashML","@slashML")</f>
        <v>@slashML</v>
      </c>
      <c r="C1651" s="14" t="s">
        <v>779</v>
      </c>
      <c r="D1651" s="14" t="s">
        <v>6818</v>
      </c>
      <c r="E1651" s="6" t="str">
        <f>HYPERLINK("https://twitter.com/slashML/status/1364120924987957248","1364120924987957248")</f>
        <v>1364120924987957248</v>
      </c>
      <c r="F1651" s="7" t="s">
        <v>6198</v>
      </c>
      <c r="G1651" s="8"/>
      <c r="H1651" s="8"/>
      <c r="I1651" s="14">
        <v>0</v>
      </c>
      <c r="J1651" s="14">
        <v>5</v>
      </c>
      <c r="K1651" s="6" t="str">
        <f>HYPERLINK("https://www.reddit.com/r/MachineLearning/","From /r/MachineLearning")</f>
        <v>From /r/MachineLearning</v>
      </c>
      <c r="L1651" s="15">
        <v>44297</v>
      </c>
      <c r="M1651" s="15">
        <v>1</v>
      </c>
      <c r="N1651" s="15">
        <v>600</v>
      </c>
      <c r="O1651" s="9"/>
      <c r="P1651" s="10">
        <v>42710.818564814814</v>
      </c>
      <c r="Q1651" s="8"/>
      <c r="R1651" s="14" t="s">
        <v>782</v>
      </c>
      <c r="S1651" s="8"/>
      <c r="T1651" s="8"/>
      <c r="U1651" s="11" t="str">
        <f>HYPERLINK("https://pbs.twimg.com/profile_images/806213385545273344/s7sE4E8a.jpg","View")</f>
        <v>View</v>
      </c>
      <c r="V1651" s="8"/>
      <c r="W1651" s="8"/>
      <c r="X1651" s="8"/>
      <c r="Y1651" s="8"/>
      <c r="Z1651" s="8"/>
    </row>
    <row r="1652" spans="1:26" ht="13.2">
      <c r="A1652" s="13">
        <v>44250.369456018518</v>
      </c>
      <c r="B1652" s="6" t="str">
        <f t="shared" ref="B1652:B1653" si="308">HYPERLINK("https://twitter.com/into_AI","@into_AI")</f>
        <v>@into_AI</v>
      </c>
      <c r="C1652" s="14" t="s">
        <v>2021</v>
      </c>
      <c r="D1652" s="14" t="s">
        <v>6819</v>
      </c>
      <c r="E1652" s="6" t="str">
        <f>HYPERLINK("https://twitter.com/into_AI/status/1364120817714552833","1364120817714552833")</f>
        <v>1364120817714552833</v>
      </c>
      <c r="F1652" s="7" t="s">
        <v>6820</v>
      </c>
      <c r="G1652" s="8"/>
      <c r="H1652" s="8"/>
      <c r="I1652" s="14">
        <v>1</v>
      </c>
      <c r="J1652" s="14">
        <v>2</v>
      </c>
      <c r="K1652" s="6" t="str">
        <f t="shared" ref="K1652:K1653" si="309">HYPERLINK("http://into.AI","into.AI")</f>
        <v>into.AI</v>
      </c>
      <c r="L1652" s="15">
        <v>19374</v>
      </c>
      <c r="M1652" s="15">
        <v>1707</v>
      </c>
      <c r="N1652" s="15">
        <v>3164</v>
      </c>
      <c r="O1652" s="9"/>
      <c r="P1652" s="10">
        <v>42133.721620370372</v>
      </c>
      <c r="Q1652" s="14" t="s">
        <v>2024</v>
      </c>
      <c r="R1652" s="14" t="s">
        <v>2025</v>
      </c>
      <c r="S1652" s="7" t="s">
        <v>2026</v>
      </c>
      <c r="T1652" s="8"/>
      <c r="U1652" s="11" t="str">
        <f t="shared" ref="U1652:U1653" si="310">HYPERLINK("https://pbs.twimg.com/profile_images/967341160124608512/LM2Y5Q5m.jpg","View")</f>
        <v>View</v>
      </c>
      <c r="V1652" s="8"/>
      <c r="W1652" s="8"/>
      <c r="X1652" s="8"/>
      <c r="Y1652" s="8"/>
      <c r="Z1652" s="8"/>
    </row>
    <row r="1653" spans="1:26" ht="13.2">
      <c r="A1653" s="13">
        <v>44250.369374999995</v>
      </c>
      <c r="B1653" s="6" t="str">
        <f t="shared" si="308"/>
        <v>@into_AI</v>
      </c>
      <c r="C1653" s="14" t="s">
        <v>2021</v>
      </c>
      <c r="D1653" s="14" t="s">
        <v>6821</v>
      </c>
      <c r="E1653" s="6" t="str">
        <f>HYPERLINK("https://twitter.com/into_AI/status/1364120789327491074","1364120789327491074")</f>
        <v>1364120789327491074</v>
      </c>
      <c r="F1653" s="7" t="s">
        <v>6822</v>
      </c>
      <c r="G1653" s="8"/>
      <c r="H1653" s="8"/>
      <c r="I1653" s="14">
        <v>1</v>
      </c>
      <c r="J1653" s="14">
        <v>1</v>
      </c>
      <c r="K1653" s="6" t="str">
        <f t="shared" si="309"/>
        <v>into.AI</v>
      </c>
      <c r="L1653" s="15">
        <v>19374</v>
      </c>
      <c r="M1653" s="15">
        <v>1707</v>
      </c>
      <c r="N1653" s="15">
        <v>3164</v>
      </c>
      <c r="O1653" s="9"/>
      <c r="P1653" s="10">
        <v>42133.721620370372</v>
      </c>
      <c r="Q1653" s="14" t="s">
        <v>2024</v>
      </c>
      <c r="R1653" s="14" t="s">
        <v>2025</v>
      </c>
      <c r="S1653" s="7" t="s">
        <v>2026</v>
      </c>
      <c r="T1653" s="8"/>
      <c r="U1653" s="11" t="str">
        <f t="shared" si="310"/>
        <v>View</v>
      </c>
      <c r="V1653" s="8"/>
      <c r="W1653" s="8"/>
      <c r="X1653" s="8"/>
      <c r="Y1653" s="8"/>
      <c r="Z1653" s="8"/>
    </row>
    <row r="1654" spans="1:26" ht="13.2">
      <c r="A1654" s="13">
        <v>44250.369374999995</v>
      </c>
      <c r="B1654" s="6" t="str">
        <f>HYPERLINK("https://twitter.com/MeetAliPoetry","@MeetAliPoetry")</f>
        <v>@MeetAliPoetry</v>
      </c>
      <c r="C1654" s="14" t="s">
        <v>6723</v>
      </c>
      <c r="D1654" s="14" t="s">
        <v>6823</v>
      </c>
      <c r="E1654" s="6" t="str">
        <f>HYPERLINK("https://twitter.com/MeetAliPoetry/status/1364120785854472193","1364120785854472193")</f>
        <v>1364120785854472193</v>
      </c>
      <c r="F1654" s="8"/>
      <c r="G1654" s="8"/>
      <c r="H1654" s="8"/>
      <c r="I1654" s="14">
        <v>27</v>
      </c>
      <c r="J1654" s="14">
        <v>13</v>
      </c>
      <c r="K1654" s="6" t="str">
        <f>HYPERLINK("https://mobile.twitter.com","Twitter Web App")</f>
        <v>Twitter Web App</v>
      </c>
      <c r="L1654" s="15">
        <v>138</v>
      </c>
      <c r="M1654" s="15">
        <v>803</v>
      </c>
      <c r="N1654" s="15">
        <v>0</v>
      </c>
      <c r="O1654" s="9"/>
      <c r="P1654" s="10">
        <v>43648.390324074076</v>
      </c>
      <c r="Q1654" s="8"/>
      <c r="R1654" s="14" t="s">
        <v>6726</v>
      </c>
      <c r="S1654" s="7" t="s">
        <v>6727</v>
      </c>
      <c r="T1654" s="8"/>
      <c r="U1654" s="11" t="str">
        <f>HYPERLINK("https://pbs.twimg.com/profile_images/1353692165642313728/bBmGAHRF.jpg","View")</f>
        <v>View</v>
      </c>
      <c r="V1654" s="8"/>
      <c r="W1654" s="8"/>
      <c r="X1654" s="8"/>
      <c r="Y1654" s="8"/>
      <c r="Z1654" s="8"/>
    </row>
    <row r="1655" spans="1:26" ht="13.2">
      <c r="A1655" s="13">
        <v>44250.369270833333</v>
      </c>
      <c r="B1655" s="6" t="str">
        <f>HYPERLINK("https://twitter.com/into_AI","@into_AI")</f>
        <v>@into_AI</v>
      </c>
      <c r="C1655" s="14" t="s">
        <v>2021</v>
      </c>
      <c r="D1655" s="14" t="s">
        <v>6824</v>
      </c>
      <c r="E1655" s="6" t="str">
        <f>HYPERLINK("https://twitter.com/into_AI/status/1364120750081376256","1364120750081376256")</f>
        <v>1364120750081376256</v>
      </c>
      <c r="F1655" s="7" t="s">
        <v>6825</v>
      </c>
      <c r="G1655" s="8"/>
      <c r="H1655" s="8"/>
      <c r="I1655" s="14">
        <v>1</v>
      </c>
      <c r="J1655" s="14">
        <v>1</v>
      </c>
      <c r="K1655" s="6" t="str">
        <f>HYPERLINK("http://into.AI","into.AI")</f>
        <v>into.AI</v>
      </c>
      <c r="L1655" s="15">
        <v>19374</v>
      </c>
      <c r="M1655" s="15">
        <v>1707</v>
      </c>
      <c r="N1655" s="15">
        <v>3164</v>
      </c>
      <c r="O1655" s="9"/>
      <c r="P1655" s="10">
        <v>42133.721620370372</v>
      </c>
      <c r="Q1655" s="14" t="s">
        <v>2024</v>
      </c>
      <c r="R1655" s="14" t="s">
        <v>2025</v>
      </c>
      <c r="S1655" s="7" t="s">
        <v>2026</v>
      </c>
      <c r="T1655" s="8"/>
      <c r="U1655" s="11" t="str">
        <f>HYPERLINK("https://pbs.twimg.com/profile_images/967341160124608512/LM2Y5Q5m.jpg","View")</f>
        <v>View</v>
      </c>
      <c r="V1655" s="8"/>
      <c r="W1655" s="8"/>
      <c r="X1655" s="8"/>
      <c r="Y1655" s="8"/>
      <c r="Z1655" s="8"/>
    </row>
    <row r="1656" spans="1:26" ht="13.2">
      <c r="A1656" s="13">
        <v>44250.368159722224</v>
      </c>
      <c r="B1656" s="6" t="str">
        <f>HYPERLINK("https://twitter.com/sajidmirza","@sajidmirza")</f>
        <v>@sajidmirza</v>
      </c>
      <c r="C1656" s="14" t="s">
        <v>200</v>
      </c>
      <c r="D1656" s="14" t="s">
        <v>6660</v>
      </c>
      <c r="E1656" s="6" t="str">
        <f>HYPERLINK("https://twitter.com/sajidmirza/status/1364120347725938689","1364120347725938689")</f>
        <v>1364120347725938689</v>
      </c>
      <c r="F1656" s="14" t="s">
        <v>4134</v>
      </c>
      <c r="G1656" s="8"/>
      <c r="H1656" s="8"/>
      <c r="I1656" s="14">
        <v>2</v>
      </c>
      <c r="J1656" s="14">
        <v>2</v>
      </c>
      <c r="K1656" s="6" t="str">
        <f>HYPERLINK("http://twinybots.com","TwinyBots")</f>
        <v>TwinyBots</v>
      </c>
      <c r="L1656" s="15">
        <v>2160</v>
      </c>
      <c r="M1656" s="15">
        <v>1495</v>
      </c>
      <c r="N1656" s="15">
        <v>43</v>
      </c>
      <c r="O1656" s="9"/>
      <c r="P1656" s="10">
        <v>39986.264884259261</v>
      </c>
      <c r="Q1656" s="14" t="s">
        <v>203</v>
      </c>
      <c r="R1656" s="14" t="s">
        <v>204</v>
      </c>
      <c r="S1656" s="7" t="s">
        <v>205</v>
      </c>
      <c r="T1656" s="8"/>
      <c r="U1656" s="11" t="str">
        <f>HYPERLINK("https://pbs.twimg.com/profile_images/900709336309276672/M5XpdeQJ.jpg","View")</f>
        <v>View</v>
      </c>
      <c r="V1656" s="8"/>
      <c r="W1656" s="8"/>
      <c r="X1656" s="8"/>
      <c r="Y1656" s="8"/>
      <c r="Z1656" s="8"/>
    </row>
    <row r="1657" spans="1:26" ht="13.2">
      <c r="A1657" s="13">
        <v>44250.368078703701</v>
      </c>
      <c r="B1657" s="6" t="str">
        <f>HYPERLINK("https://twitter.com/AmancioBouza","@AmancioBouza")</f>
        <v>@AmancioBouza</v>
      </c>
      <c r="C1657" s="14" t="s">
        <v>6826</v>
      </c>
      <c r="D1657" s="14" t="s">
        <v>6827</v>
      </c>
      <c r="E1657" s="6" t="str">
        <f>HYPERLINK("https://twitter.com/AmancioBouza/status/1364120318663622657","1364120318663622657")</f>
        <v>1364120318663622657</v>
      </c>
      <c r="F1657" s="7" t="s">
        <v>6828</v>
      </c>
      <c r="G1657" s="8"/>
      <c r="H1657" s="8"/>
      <c r="I1657" s="14">
        <v>1</v>
      </c>
      <c r="J1657" s="14">
        <v>1</v>
      </c>
      <c r="K1657" s="6" t="str">
        <f>HYPERLINK("https://www.hootsuite.com","Hootsuite Inc.")</f>
        <v>Hootsuite Inc.</v>
      </c>
      <c r="L1657" s="15">
        <v>7419</v>
      </c>
      <c r="M1657" s="15">
        <v>284</v>
      </c>
      <c r="N1657" s="15">
        <v>794</v>
      </c>
      <c r="O1657" s="9"/>
      <c r="P1657" s="10">
        <v>40113.148877314816</v>
      </c>
      <c r="Q1657" s="14" t="s">
        <v>2424</v>
      </c>
      <c r="R1657" s="14" t="s">
        <v>6829</v>
      </c>
      <c r="S1657" s="7" t="s">
        <v>6830</v>
      </c>
      <c r="T1657" s="8"/>
      <c r="U1657" s="11" t="str">
        <f>HYPERLINK("https://pbs.twimg.com/profile_images/1214194000292245508/ndmCVAgc.jpg","View")</f>
        <v>View</v>
      </c>
      <c r="V1657" s="8"/>
      <c r="W1657" s="8"/>
      <c r="X1657" s="8"/>
      <c r="Y1657" s="8"/>
      <c r="Z1657" s="8"/>
    </row>
    <row r="1658" spans="1:26" ht="13.2">
      <c r="A1658" s="13">
        <v>44250.368055555555</v>
      </c>
      <c r="B1658" s="6" t="str">
        <f>HYPERLINK("https://twitter.com/KhalidHamdan0","@KhalidHamdan0")</f>
        <v>@KhalidHamdan0</v>
      </c>
      <c r="C1658" s="14" t="s">
        <v>3757</v>
      </c>
      <c r="D1658" s="14" t="s">
        <v>6831</v>
      </c>
      <c r="E1658" s="6" t="str">
        <f>HYPERLINK("https://twitter.com/KhalidHamdan0/status/1364120307984977928","1364120307984977928")</f>
        <v>1364120307984977928</v>
      </c>
      <c r="F1658" s="7" t="s">
        <v>6832</v>
      </c>
      <c r="G1658" s="7" t="s">
        <v>6833</v>
      </c>
      <c r="H1658" s="8"/>
      <c r="I1658" s="14">
        <v>3</v>
      </c>
      <c r="J1658" s="14">
        <v>3</v>
      </c>
      <c r="K1658" s="6" t="str">
        <f t="shared" ref="K1658:K1659" si="311">HYPERLINK("https://mobile.twitter.com","Twitter Web App")</f>
        <v>Twitter Web App</v>
      </c>
      <c r="L1658" s="15">
        <v>13865</v>
      </c>
      <c r="M1658" s="15">
        <v>3380</v>
      </c>
      <c r="N1658" s="15">
        <v>2161</v>
      </c>
      <c r="O1658" s="9"/>
      <c r="P1658" s="10">
        <v>40310.828553240739</v>
      </c>
      <c r="Q1658" s="14" t="s">
        <v>599</v>
      </c>
      <c r="R1658" s="14" t="s">
        <v>3761</v>
      </c>
      <c r="S1658" s="8"/>
      <c r="T1658" s="8"/>
      <c r="U1658" s="11" t="str">
        <f>HYPERLINK("https://pbs.twimg.com/profile_images/853683295317626880/-YHlzfio.jpg","View")</f>
        <v>View</v>
      </c>
      <c r="V1658" s="8"/>
      <c r="W1658" s="8"/>
      <c r="X1658" s="8"/>
      <c r="Y1658" s="8"/>
      <c r="Z1658" s="8"/>
    </row>
    <row r="1659" spans="1:26" ht="13.2">
      <c r="A1659" s="13">
        <v>44250.36787037037</v>
      </c>
      <c r="B1659" s="6" t="str">
        <f>HYPERLINK("https://twitter.com/10Alytics","@10Alytics")</f>
        <v>@10Alytics</v>
      </c>
      <c r="C1659" s="14" t="s">
        <v>6834</v>
      </c>
      <c r="D1659" s="14" t="s">
        <v>6835</v>
      </c>
      <c r="E1659" s="6" t="str">
        <f>HYPERLINK("https://twitter.com/10Alytics/status/1364120240150437894","1364120240150437894")</f>
        <v>1364120240150437894</v>
      </c>
      <c r="F1659" s="7" t="s">
        <v>6836</v>
      </c>
      <c r="G1659" s="7" t="s">
        <v>6837</v>
      </c>
      <c r="H1659" s="8"/>
      <c r="I1659" s="14">
        <v>2</v>
      </c>
      <c r="J1659" s="14">
        <v>1</v>
      </c>
      <c r="K1659" s="6" t="str">
        <f t="shared" si="311"/>
        <v>Twitter Web App</v>
      </c>
      <c r="L1659" s="15">
        <v>37</v>
      </c>
      <c r="M1659" s="15">
        <v>3</v>
      </c>
      <c r="N1659" s="15">
        <v>0</v>
      </c>
      <c r="O1659" s="9"/>
      <c r="P1659" s="10">
        <v>44066.507245370369</v>
      </c>
      <c r="Q1659" s="8"/>
      <c r="R1659" s="14" t="s">
        <v>6838</v>
      </c>
      <c r="S1659" s="7" t="s">
        <v>6839</v>
      </c>
      <c r="T1659" s="8"/>
      <c r="U1659" s="11" t="str">
        <f>HYPERLINK("https://pbs.twimg.com/profile_images/1297476468226822144/CABmvJ0S.jpg","View")</f>
        <v>View</v>
      </c>
      <c r="V1659" s="8"/>
      <c r="W1659" s="8"/>
      <c r="X1659" s="8"/>
      <c r="Y1659" s="8"/>
      <c r="Z1659" s="8"/>
    </row>
    <row r="1660" spans="1:26" ht="13.2">
      <c r="A1660" s="13">
        <v>44250.367523148147</v>
      </c>
      <c r="B1660" s="6" t="str">
        <f>HYPERLINK("https://twitter.com/jblefevre60","@jblefevre60")</f>
        <v>@jblefevre60</v>
      </c>
      <c r="C1660" s="14" t="s">
        <v>464</v>
      </c>
      <c r="D1660" s="14" t="s">
        <v>6840</v>
      </c>
      <c r="E1660" s="6" t="str">
        <f>HYPERLINK("https://twitter.com/jblefevre60/status/1364120116661800960","1364120116661800960")</f>
        <v>1364120116661800960</v>
      </c>
      <c r="F1660" s="8"/>
      <c r="G1660" s="7" t="s">
        <v>6841</v>
      </c>
      <c r="H1660" s="8"/>
      <c r="I1660" s="14">
        <v>39</v>
      </c>
      <c r="J1660" s="14">
        <v>47</v>
      </c>
      <c r="K1660" s="6" t="str">
        <f>HYPERLINK("http://twitter.com/download/android","Twitter for Android")</f>
        <v>Twitter for Android</v>
      </c>
      <c r="L1660" s="15">
        <v>80848</v>
      </c>
      <c r="M1660" s="15">
        <v>5582</v>
      </c>
      <c r="N1660" s="15">
        <v>5070</v>
      </c>
      <c r="O1660" s="9"/>
      <c r="P1660" s="10">
        <v>42342.801134259258</v>
      </c>
      <c r="Q1660" s="14" t="s">
        <v>106</v>
      </c>
      <c r="R1660" s="14" t="s">
        <v>467</v>
      </c>
      <c r="S1660" s="7" t="s">
        <v>468</v>
      </c>
      <c r="T1660" s="8"/>
      <c r="U1660" s="11" t="str">
        <f>HYPERLINK("https://pbs.twimg.com/profile_images/915247803248599040/GsF3avSn.jpg","View")</f>
        <v>View</v>
      </c>
      <c r="V1660" s="8"/>
      <c r="W1660" s="8"/>
      <c r="X1660" s="8"/>
      <c r="Y1660" s="8"/>
      <c r="Z1660" s="8"/>
    </row>
    <row r="1661" spans="1:26" ht="13.2">
      <c r="A1661" s="13">
        <v>44250.365324074075</v>
      </c>
      <c r="B1661" s="6" t="str">
        <f>HYPERLINK("https://twitter.com/darek_tt","@darek_tt")</f>
        <v>@darek_tt</v>
      </c>
      <c r="C1661" s="14" t="s">
        <v>6842</v>
      </c>
      <c r="D1661" s="14" t="s">
        <v>6843</v>
      </c>
      <c r="E1661" s="6" t="str">
        <f>HYPERLINK("https://twitter.com/darek_tt/status/1364119318842204162","1364119318842204162")</f>
        <v>1364119318842204162</v>
      </c>
      <c r="F1661" s="14" t="s">
        <v>6844</v>
      </c>
      <c r="G1661" s="7" t="s">
        <v>6845</v>
      </c>
      <c r="H1661" s="8"/>
      <c r="I1661" s="14">
        <v>1</v>
      </c>
      <c r="J1661" s="14">
        <v>1</v>
      </c>
      <c r="K1661" s="6" t="str">
        <f>HYPERLINK("https://mobile.twitter.com","Twitter Web App")</f>
        <v>Twitter Web App</v>
      </c>
      <c r="L1661" s="15">
        <v>80</v>
      </c>
      <c r="M1661" s="15">
        <v>203</v>
      </c>
      <c r="N1661" s="15">
        <v>1</v>
      </c>
      <c r="O1661" s="9"/>
      <c r="P1661" s="10">
        <v>43375.97550925926</v>
      </c>
      <c r="Q1661" s="14" t="s">
        <v>5935</v>
      </c>
      <c r="R1661" s="14" t="s">
        <v>6846</v>
      </c>
      <c r="S1661" s="8"/>
      <c r="T1661" s="8"/>
      <c r="U1661" s="11" t="str">
        <f>HYPERLINK("https://pbs.twimg.com/profile_images/1322725838555664384/LGLGEVZA.jpg","View")</f>
        <v>View</v>
      </c>
      <c r="V1661" s="8"/>
      <c r="W1661" s="8"/>
      <c r="X1661" s="8"/>
      <c r="Y1661" s="8"/>
      <c r="Z1661" s="8"/>
    </row>
    <row r="1662" spans="1:26" ht="13.2">
      <c r="A1662" s="13">
        <v>44250.365034722221</v>
      </c>
      <c r="B1662" s="6" t="str">
        <f>HYPERLINK("https://twitter.com/ai_summary","@ai_summary")</f>
        <v>@ai_summary</v>
      </c>
      <c r="C1662" s="14" t="s">
        <v>528</v>
      </c>
      <c r="D1662" s="14" t="s">
        <v>6847</v>
      </c>
      <c r="E1662" s="6" t="str">
        <f>HYPERLINK("https://twitter.com/ai_summary/status/1364119214970257408","1364119214970257408")</f>
        <v>1364119214970257408</v>
      </c>
      <c r="F1662" s="7" t="s">
        <v>6848</v>
      </c>
      <c r="G1662" s="8"/>
      <c r="H1662" s="8"/>
      <c r="I1662" s="14">
        <v>1</v>
      </c>
      <c r="J1662" s="14">
        <v>1</v>
      </c>
      <c r="K1662" s="8"/>
      <c r="L1662" s="15">
        <v>47</v>
      </c>
      <c r="M1662" s="15">
        <v>7</v>
      </c>
      <c r="N1662" s="15">
        <v>2</v>
      </c>
      <c r="O1662" s="9"/>
      <c r="P1662" s="10">
        <v>44039.504699074074</v>
      </c>
      <c r="Q1662" s="8"/>
      <c r="R1662" s="14" t="s">
        <v>531</v>
      </c>
      <c r="S1662" s="8"/>
      <c r="T1662" s="8"/>
      <c r="U1662" s="11" t="str">
        <f>HYPERLINK("https://pbs.twimg.com/profile_images/1315240281206382592/-i10o6Yg.jpg","View")</f>
        <v>View</v>
      </c>
      <c r="V1662" s="8"/>
      <c r="W1662" s="8"/>
      <c r="X1662" s="8"/>
      <c r="Y1662" s="8"/>
      <c r="Z1662" s="8"/>
    </row>
    <row r="1663" spans="1:26" ht="13.2">
      <c r="A1663" s="13">
        <v>44250.364317129628</v>
      </c>
      <c r="B1663" s="6" t="str">
        <f>HYPERLINK("https://twitter.com/MethodsInfMed","@MethodsInfMed")</f>
        <v>@MethodsInfMed</v>
      </c>
      <c r="C1663" s="14" t="s">
        <v>6849</v>
      </c>
      <c r="D1663" s="14" t="s">
        <v>6850</v>
      </c>
      <c r="E1663" s="6" t="str">
        <f>HYPERLINK("https://twitter.com/MethodsInfMed/status/1364118955888099328","1364118955888099328")</f>
        <v>1364118955888099328</v>
      </c>
      <c r="F1663" s="7" t="s">
        <v>6851</v>
      </c>
      <c r="G1663" s="8"/>
      <c r="H1663" s="8"/>
      <c r="I1663" s="14">
        <v>0</v>
      </c>
      <c r="J1663" s="14">
        <v>0</v>
      </c>
      <c r="K1663" s="6" t="str">
        <f>HYPERLINK("https://mobile.twitter.com","Twitter Web App")</f>
        <v>Twitter Web App</v>
      </c>
      <c r="L1663" s="15">
        <v>264</v>
      </c>
      <c r="M1663" s="15">
        <v>144</v>
      </c>
      <c r="N1663" s="15">
        <v>31</v>
      </c>
      <c r="O1663" s="9"/>
      <c r="P1663" s="10">
        <v>41753.614756944444</v>
      </c>
      <c r="Q1663" s="14" t="s">
        <v>6852</v>
      </c>
      <c r="R1663" s="8"/>
      <c r="S1663" s="7" t="s">
        <v>6853</v>
      </c>
      <c r="T1663" s="8"/>
      <c r="U1663" s="11" t="str">
        <f>HYPERLINK("https://pbs.twimg.com/profile_images/1217826712215486466/wVTOrzDC.jpg","View")</f>
        <v>View</v>
      </c>
      <c r="V1663" s="8"/>
      <c r="W1663" s="8"/>
      <c r="X1663" s="8"/>
      <c r="Y1663" s="8"/>
      <c r="Z1663" s="8"/>
    </row>
    <row r="1664" spans="1:26" ht="13.2">
      <c r="A1664" s="13">
        <v>44250.364224537036</v>
      </c>
      <c r="B1664" s="6" t="str">
        <f>HYPERLINK("https://twitter.com/machinelearnflx","@machinelearnflx")</f>
        <v>@machinelearnflx</v>
      </c>
      <c r="C1664" s="14" t="s">
        <v>279</v>
      </c>
      <c r="D1664" s="14" t="s">
        <v>6854</v>
      </c>
      <c r="E1664" s="6" t="str">
        <f>HYPERLINK("https://twitter.com/machinelearnflx/status/1364118919880007682","1364118919880007682")</f>
        <v>1364118919880007682</v>
      </c>
      <c r="F1664" s="7" t="s">
        <v>6855</v>
      </c>
      <c r="G1664" s="8"/>
      <c r="H1664" s="8"/>
      <c r="I1664" s="14">
        <v>7</v>
      </c>
      <c r="J1664" s="14">
        <v>8</v>
      </c>
      <c r="K1664" s="6" t="str">
        <f>HYPERLINK("https://twitter.com/pythonbot_","Postmatico")</f>
        <v>Postmatico</v>
      </c>
      <c r="L1664" s="15">
        <v>90451</v>
      </c>
      <c r="M1664" s="15">
        <v>35464</v>
      </c>
      <c r="N1664" s="15">
        <v>2228</v>
      </c>
      <c r="O1664" s="9"/>
      <c r="P1664" s="10">
        <v>42386.538865740746</v>
      </c>
      <c r="Q1664" s="8"/>
      <c r="R1664" s="14" t="s">
        <v>282</v>
      </c>
      <c r="S1664" s="7" t="s">
        <v>283</v>
      </c>
      <c r="T1664" s="8"/>
      <c r="U1664" s="11" t="str">
        <f>HYPERLINK("https://pbs.twimg.com/profile_images/688735459892195329/v8sHaWSG.jpg","View")</f>
        <v>View</v>
      </c>
      <c r="V1664" s="8"/>
      <c r="W1664" s="8"/>
      <c r="X1664" s="8"/>
      <c r="Y1664" s="8"/>
      <c r="Z1664" s="8"/>
    </row>
    <row r="1665" spans="1:26" ht="13.2">
      <c r="A1665" s="13">
        <v>44250.363495370373</v>
      </c>
      <c r="B1665" s="6" t="str">
        <f>HYPERLINK("https://twitter.com/Mlearning_ai","@Mlearning_ai")</f>
        <v>@Mlearning_ai</v>
      </c>
      <c r="C1665" s="14" t="s">
        <v>2336</v>
      </c>
      <c r="D1665" s="14" t="s">
        <v>6856</v>
      </c>
      <c r="E1665" s="6" t="str">
        <f>HYPERLINK("https://twitter.com/Mlearning_ai/status/1364118655060090883","1364118655060090883")</f>
        <v>1364118655060090883</v>
      </c>
      <c r="F1665" s="14" t="s">
        <v>6857</v>
      </c>
      <c r="G1665" s="7" t="s">
        <v>6858</v>
      </c>
      <c r="H1665" s="8"/>
      <c r="I1665" s="14">
        <v>2</v>
      </c>
      <c r="J1665" s="14">
        <v>1</v>
      </c>
      <c r="K1665" s="6" t="str">
        <f>HYPERLINK("https://mobile.twitter.com","Twitter Web App")</f>
        <v>Twitter Web App</v>
      </c>
      <c r="L1665" s="15">
        <v>4161</v>
      </c>
      <c r="M1665" s="15">
        <v>201</v>
      </c>
      <c r="N1665" s="15">
        <v>148</v>
      </c>
      <c r="O1665" s="9"/>
      <c r="P1665" s="10">
        <v>41120.458391203705</v>
      </c>
      <c r="Q1665" s="8"/>
      <c r="R1665" s="14" t="s">
        <v>2339</v>
      </c>
      <c r="S1665" s="7" t="s">
        <v>2340</v>
      </c>
      <c r="T1665" s="8"/>
      <c r="U1665" s="11" t="str">
        <f>HYPERLINK("https://pbs.twimg.com/profile_images/1198670629433724928/V-cPfdPX.jpg","View")</f>
        <v>View</v>
      </c>
      <c r="V1665" s="8"/>
      <c r="W1665" s="8"/>
      <c r="X1665" s="8"/>
      <c r="Y1665" s="8"/>
      <c r="Z1665" s="8"/>
    </row>
    <row r="1666" spans="1:26" ht="13.2">
      <c r="A1666" s="13">
        <v>44250.362824074073</v>
      </c>
      <c r="B1666" s="6" t="str">
        <f>HYPERLINK("https://twitter.com/teamclairvoyant","@teamclairvoyant")</f>
        <v>@teamclairvoyant</v>
      </c>
      <c r="C1666" s="14" t="s">
        <v>6654</v>
      </c>
      <c r="D1666" s="14" t="s">
        <v>6859</v>
      </c>
      <c r="E1666" s="6" t="str">
        <f>HYPERLINK("https://twitter.com/teamclairvoyant/status/1364118411706437633","1364118411706437633")</f>
        <v>1364118411706437633</v>
      </c>
      <c r="F1666" s="8"/>
      <c r="G1666" s="7" t="s">
        <v>6860</v>
      </c>
      <c r="H1666" s="8"/>
      <c r="I1666" s="14">
        <v>1</v>
      </c>
      <c r="J1666" s="14">
        <v>1</v>
      </c>
      <c r="K1666" s="6" t="str">
        <f>HYPERLINK("https://about.twitter.com/products/tweetdeck","TweetDeck")</f>
        <v>TweetDeck</v>
      </c>
      <c r="L1666" s="15">
        <v>213</v>
      </c>
      <c r="M1666" s="15">
        <v>114</v>
      </c>
      <c r="N1666" s="15">
        <v>22</v>
      </c>
      <c r="O1666" s="9"/>
      <c r="P1666" s="10">
        <v>41194.24386574074</v>
      </c>
      <c r="Q1666" s="14" t="s">
        <v>6657</v>
      </c>
      <c r="R1666" s="14" t="s">
        <v>6658</v>
      </c>
      <c r="S1666" s="7" t="s">
        <v>6659</v>
      </c>
      <c r="T1666" s="8"/>
      <c r="U1666" s="11" t="str">
        <f>HYPERLINK("https://pbs.twimg.com/profile_images/779346561453006849/9i_D07wM.jpg","View")</f>
        <v>View</v>
      </c>
      <c r="V1666" s="8"/>
      <c r="W1666" s="8"/>
      <c r="X1666" s="8"/>
      <c r="Y1666" s="8"/>
      <c r="Z1666" s="8"/>
    </row>
    <row r="1667" spans="1:26" ht="13.2">
      <c r="A1667" s="13">
        <v>44250.361840277779</v>
      </c>
      <c r="B1667" s="6" t="str">
        <f>HYPERLINK("https://twitter.com/_M_Dey","@_M_Dey")</f>
        <v>@_M_Dey</v>
      </c>
      <c r="C1667" s="14" t="s">
        <v>2112</v>
      </c>
      <c r="D1667" s="14" t="s">
        <v>6861</v>
      </c>
      <c r="E1667" s="6" t="str">
        <f>HYPERLINK("https://twitter.com/_M_Dey/status/1364118058390999046","1364118058390999046")</f>
        <v>1364118058390999046</v>
      </c>
      <c r="F1667" s="7" t="s">
        <v>6862</v>
      </c>
      <c r="G1667" s="8"/>
      <c r="H1667" s="8"/>
      <c r="I1667" s="14">
        <v>9</v>
      </c>
      <c r="J1667" s="14">
        <v>5</v>
      </c>
      <c r="K1667" s="6" t="str">
        <f>HYPERLINK("http://dynamicsignal.com/","Dynamic Signal")</f>
        <v>Dynamic Signal</v>
      </c>
      <c r="L1667" s="15">
        <v>1174</v>
      </c>
      <c r="M1667" s="15">
        <v>4503</v>
      </c>
      <c r="N1667" s="15">
        <v>19</v>
      </c>
      <c r="O1667" s="9"/>
      <c r="P1667" s="10">
        <v>42691.486655092594</v>
      </c>
      <c r="Q1667" s="14" t="s">
        <v>106</v>
      </c>
      <c r="R1667" s="14" t="s">
        <v>2115</v>
      </c>
      <c r="S1667" s="7" t="s">
        <v>2116</v>
      </c>
      <c r="T1667" s="8"/>
      <c r="U1667" s="11" t="str">
        <f>HYPERLINK("https://pbs.twimg.com/profile_images/799206549025603584/G1d1duXU.jpg","View")</f>
        <v>View</v>
      </c>
      <c r="V1667" s="8"/>
      <c r="W1667" s="8"/>
      <c r="X1667" s="8"/>
      <c r="Y1667" s="8"/>
      <c r="Z1667" s="8"/>
    </row>
    <row r="1668" spans="1:26" ht="13.2">
      <c r="A1668" s="13">
        <v>44250.361111111109</v>
      </c>
      <c r="B1668" s="6" t="str">
        <f>HYPERLINK("https://twitter.com/KhalidHamdan0","@KhalidHamdan0")</f>
        <v>@KhalidHamdan0</v>
      </c>
      <c r="C1668" s="14" t="s">
        <v>3757</v>
      </c>
      <c r="D1668" s="14" t="s">
        <v>6863</v>
      </c>
      <c r="E1668" s="6" t="str">
        <f>HYPERLINK("https://twitter.com/KhalidHamdan0/status/1364117791670820864","1364117791670820864")</f>
        <v>1364117791670820864</v>
      </c>
      <c r="F1668" s="7" t="s">
        <v>2857</v>
      </c>
      <c r="G1668" s="7" t="s">
        <v>6864</v>
      </c>
      <c r="H1668" s="8"/>
      <c r="I1668" s="14">
        <v>9</v>
      </c>
      <c r="J1668" s="14">
        <v>4</v>
      </c>
      <c r="K1668" s="6" t="str">
        <f>HYPERLINK("https://mobile.twitter.com","Twitter Web App")</f>
        <v>Twitter Web App</v>
      </c>
      <c r="L1668" s="15">
        <v>13865</v>
      </c>
      <c r="M1668" s="15">
        <v>3380</v>
      </c>
      <c r="N1668" s="15">
        <v>2161</v>
      </c>
      <c r="O1668" s="9"/>
      <c r="P1668" s="10">
        <v>40310.828553240739</v>
      </c>
      <c r="Q1668" s="14" t="s">
        <v>599</v>
      </c>
      <c r="R1668" s="14" t="s">
        <v>3761</v>
      </c>
      <c r="S1668" s="8"/>
      <c r="T1668" s="8"/>
      <c r="U1668" s="11" t="str">
        <f>HYPERLINK("https://pbs.twimg.com/profile_images/853683295317626880/-YHlzfio.jpg","View")</f>
        <v>View</v>
      </c>
      <c r="V1668" s="8"/>
      <c r="W1668" s="8"/>
      <c r="X1668" s="8"/>
      <c r="Y1668" s="8"/>
      <c r="Z1668" s="8"/>
    </row>
    <row r="1669" spans="1:26" ht="13.2">
      <c r="A1669" s="13">
        <v>44250.360092592593</v>
      </c>
      <c r="B1669" s="6" t="str">
        <f>HYPERLINK("https://twitter.com/iSecurity","@iSecurity")</f>
        <v>@iSecurity</v>
      </c>
      <c r="C1669" s="14" t="s">
        <v>6865</v>
      </c>
      <c r="D1669" s="14" t="s">
        <v>6866</v>
      </c>
      <c r="E1669" s="6" t="str">
        <f>HYPERLINK("https://twitter.com/iSecurity/status/1364117425306750976","1364117425306750976")</f>
        <v>1364117425306750976</v>
      </c>
      <c r="F1669" s="7" t="s">
        <v>6867</v>
      </c>
      <c r="G1669" s="8"/>
      <c r="H1669" s="8"/>
      <c r="I1669" s="14">
        <v>1</v>
      </c>
      <c r="J1669" s="14">
        <v>1</v>
      </c>
      <c r="K1669" s="6" t="str">
        <f>HYPERLINK("https://dlvrit.com/","dlvr.it")</f>
        <v>dlvr.it</v>
      </c>
      <c r="L1669" s="15">
        <v>1903</v>
      </c>
      <c r="M1669" s="15">
        <v>59</v>
      </c>
      <c r="N1669" s="15">
        <v>34</v>
      </c>
      <c r="O1669" s="9"/>
      <c r="P1669" s="10">
        <v>39907.918958333335</v>
      </c>
      <c r="Q1669" s="14" t="s">
        <v>1815</v>
      </c>
      <c r="R1669" s="14" t="s">
        <v>6868</v>
      </c>
      <c r="S1669" s="8"/>
      <c r="T1669" s="8"/>
      <c r="U1669" s="11" t="str">
        <f>HYPERLINK("https://pbs.twimg.com/profile_images/1344962042973794304/93BZHi0l.jpg","View")</f>
        <v>View</v>
      </c>
      <c r="V1669" s="8"/>
      <c r="W1669" s="8"/>
      <c r="X1669" s="8"/>
      <c r="Y1669" s="8"/>
      <c r="Z1669" s="8"/>
    </row>
    <row r="1670" spans="1:26" ht="13.2">
      <c r="A1670" s="13">
        <v>44250.359224537038</v>
      </c>
      <c r="B1670" s="6" t="str">
        <f>HYPERLINK("https://twitter.com/HubPrefer","@HubPrefer")</f>
        <v>@HubPrefer</v>
      </c>
      <c r="C1670" s="14" t="s">
        <v>4937</v>
      </c>
      <c r="D1670" s="14" t="s">
        <v>6869</v>
      </c>
      <c r="E1670" s="6" t="str">
        <f>HYPERLINK("https://twitter.com/HubPrefer/status/1364117107193966592","1364117107193966592")</f>
        <v>1364117107193966592</v>
      </c>
      <c r="F1670" s="7" t="s">
        <v>6870</v>
      </c>
      <c r="G1670" s="8"/>
      <c r="H1670" s="8"/>
      <c r="I1670" s="14">
        <v>1</v>
      </c>
      <c r="J1670" s="14">
        <v>1</v>
      </c>
      <c r="K1670" s="6" t="str">
        <f t="shared" ref="K1670:K1671" si="312">HYPERLINK("https://mobile.twitter.com","Twitter Web App")</f>
        <v>Twitter Web App</v>
      </c>
      <c r="L1670" s="15">
        <v>16</v>
      </c>
      <c r="M1670" s="15">
        <v>0</v>
      </c>
      <c r="N1670" s="15">
        <v>0</v>
      </c>
      <c r="O1670" s="9"/>
      <c r="P1670" s="10">
        <v>43728.568113425921</v>
      </c>
      <c r="Q1670" s="8"/>
      <c r="R1670" s="8"/>
      <c r="S1670" s="8"/>
      <c r="T1670" s="8"/>
      <c r="U1670" s="11" t="str">
        <f>HYPERLINK("https://pbs.twimg.com/profile_images/1175011320749416453/XknGFPU5.png","View")</f>
        <v>View</v>
      </c>
      <c r="V1670" s="8"/>
      <c r="W1670" s="8"/>
      <c r="X1670" s="8"/>
      <c r="Y1670" s="8"/>
      <c r="Z1670" s="8"/>
    </row>
    <row r="1671" spans="1:26" ht="13.2">
      <c r="A1671" s="13">
        <v>44250.358449074076</v>
      </c>
      <c r="B1671" s="6" t="str">
        <f>HYPERLINK("https://twitter.com/CouponBest3","@CouponBest3")</f>
        <v>@CouponBest3</v>
      </c>
      <c r="C1671" s="14" t="s">
        <v>6871</v>
      </c>
      <c r="D1671" s="14" t="s">
        <v>6872</v>
      </c>
      <c r="E1671" s="6" t="str">
        <f>HYPERLINK("https://twitter.com/CouponBest3/status/1364116828260245504","1364116828260245504")</f>
        <v>1364116828260245504</v>
      </c>
      <c r="F1671" s="7" t="s">
        <v>6873</v>
      </c>
      <c r="G1671" s="7" t="s">
        <v>6874</v>
      </c>
      <c r="H1671" s="8"/>
      <c r="I1671" s="14">
        <v>21</v>
      </c>
      <c r="J1671" s="14">
        <v>5</v>
      </c>
      <c r="K1671" s="6" t="str">
        <f t="shared" si="312"/>
        <v>Twitter Web App</v>
      </c>
      <c r="L1671" s="15">
        <v>6</v>
      </c>
      <c r="M1671" s="15">
        <v>11</v>
      </c>
      <c r="N1671" s="15">
        <v>0</v>
      </c>
      <c r="O1671" s="9"/>
      <c r="P1671" s="10">
        <v>44194.480995370366</v>
      </c>
      <c r="Q1671" s="14" t="s">
        <v>1421</v>
      </c>
      <c r="R1671" s="14" t="s">
        <v>6875</v>
      </c>
      <c r="S1671" s="7" t="s">
        <v>249</v>
      </c>
      <c r="T1671" s="8"/>
      <c r="U1671" s="11" t="str">
        <f>HYPERLINK("https://pbs.twimg.com/profile_images/1343867972645912576/4wSwu09l.jpg","View")</f>
        <v>View</v>
      </c>
      <c r="V1671" s="8"/>
      <c r="W1671" s="8"/>
      <c r="X1671" s="8"/>
      <c r="Y1671" s="8"/>
      <c r="Z1671" s="8"/>
    </row>
    <row r="1672" spans="1:26" ht="13.2">
      <c r="A1672" s="13">
        <v>44250.35832175926</v>
      </c>
      <c r="B1672" s="6" t="str">
        <f>HYPERLINK("https://twitter.com/odsc","@odsc")</f>
        <v>@odsc</v>
      </c>
      <c r="C1672" s="14" t="s">
        <v>217</v>
      </c>
      <c r="D1672" s="14" t="s">
        <v>6876</v>
      </c>
      <c r="E1672" s="6" t="str">
        <f>HYPERLINK("https://twitter.com/odsc/status/1364116782559203334","1364116782559203334")</f>
        <v>1364116782559203334</v>
      </c>
      <c r="F1672" s="7" t="s">
        <v>6877</v>
      </c>
      <c r="G1672" s="8"/>
      <c r="H1672" s="8"/>
      <c r="I1672" s="14">
        <v>1</v>
      </c>
      <c r="J1672" s="14">
        <v>0</v>
      </c>
      <c r="K1672" s="6" t="str">
        <f>HYPERLINK("http://www.hubspot.com/","HubSpot")</f>
        <v>HubSpot</v>
      </c>
      <c r="L1672" s="15">
        <v>78817</v>
      </c>
      <c r="M1672" s="15">
        <v>27883</v>
      </c>
      <c r="N1672" s="15">
        <v>2461</v>
      </c>
      <c r="O1672" s="9"/>
      <c r="P1672" s="10">
        <v>42039.982766203699</v>
      </c>
      <c r="Q1672" s="14" t="s">
        <v>221</v>
      </c>
      <c r="R1672" s="14" t="s">
        <v>222</v>
      </c>
      <c r="S1672" s="7" t="s">
        <v>223</v>
      </c>
      <c r="T1672" s="8"/>
      <c r="U1672" s="11" t="str">
        <f>HYPERLINK("https://pbs.twimg.com/profile_images/1115210960271228929/lHua2G3l.png","View")</f>
        <v>View</v>
      </c>
      <c r="V1672" s="8"/>
      <c r="W1672" s="8"/>
      <c r="X1672" s="8"/>
      <c r="Y1672" s="8"/>
      <c r="Z1672" s="8"/>
    </row>
    <row r="1673" spans="1:26" ht="13.2">
      <c r="A1673" s="13">
        <v>44250.357974537037</v>
      </c>
      <c r="B1673" s="6" t="str">
        <f>HYPERLINK("https://twitter.com/Aditics2","@Aditics2")</f>
        <v>@Aditics2</v>
      </c>
      <c r="C1673" s="14" t="s">
        <v>5277</v>
      </c>
      <c r="D1673" s="14" t="s">
        <v>6633</v>
      </c>
      <c r="E1673" s="6" t="str">
        <f>HYPERLINK("https://twitter.com/Aditics2/status/1364116657556377600","1364116657556377600")</f>
        <v>1364116657556377600</v>
      </c>
      <c r="F1673" s="14" t="s">
        <v>1313</v>
      </c>
      <c r="G1673" s="8"/>
      <c r="H1673" s="8"/>
      <c r="I1673" s="14">
        <v>1</v>
      </c>
      <c r="J1673" s="14">
        <v>0</v>
      </c>
      <c r="K1673" s="6" t="str">
        <f t="shared" ref="K1673:K1674" si="313">HYPERLINK("http://twinybots.com","TwinyBots")</f>
        <v>TwinyBots</v>
      </c>
      <c r="L1673" s="15">
        <v>223</v>
      </c>
      <c r="M1673" s="15">
        <v>245</v>
      </c>
      <c r="N1673" s="15">
        <v>4</v>
      </c>
      <c r="O1673" s="9"/>
      <c r="P1673" s="10">
        <v>43756.425138888888</v>
      </c>
      <c r="Q1673" s="14" t="s">
        <v>5279</v>
      </c>
      <c r="R1673" s="14" t="s">
        <v>5280</v>
      </c>
      <c r="S1673" s="7" t="s">
        <v>5281</v>
      </c>
      <c r="T1673" s="8"/>
      <c r="U1673" s="11" t="str">
        <f>HYPERLINK("https://pbs.twimg.com/profile_images/1185106494653513728/tTN_r8EY.jpg","View")</f>
        <v>View</v>
      </c>
      <c r="V1673" s="8"/>
      <c r="W1673" s="8"/>
      <c r="X1673" s="8"/>
      <c r="Y1673" s="8"/>
      <c r="Z1673" s="8"/>
    </row>
    <row r="1674" spans="1:26" ht="13.2">
      <c r="A1674" s="13">
        <v>44250.357974537037</v>
      </c>
      <c r="B1674" s="6" t="str">
        <f>HYPERLINK("https://twitter.com/Lucian2drei","@Lucian2drei")</f>
        <v>@Lucian2drei</v>
      </c>
      <c r="C1674" s="14" t="s">
        <v>1368</v>
      </c>
      <c r="D1674" s="14" t="s">
        <v>6878</v>
      </c>
      <c r="E1674" s="6" t="str">
        <f>HYPERLINK("https://twitter.com/Lucian2drei/status/1364116657443119104","1364116657443119104")</f>
        <v>1364116657443119104</v>
      </c>
      <c r="F1674" s="14" t="s">
        <v>6879</v>
      </c>
      <c r="G1674" s="8"/>
      <c r="H1674" s="8"/>
      <c r="I1674" s="14">
        <v>1</v>
      </c>
      <c r="J1674" s="14">
        <v>0</v>
      </c>
      <c r="K1674" s="6" t="str">
        <f t="shared" si="313"/>
        <v>TwinyBots</v>
      </c>
      <c r="L1674" s="15">
        <v>938</v>
      </c>
      <c r="M1674" s="15">
        <v>815</v>
      </c>
      <c r="N1674" s="15">
        <v>36</v>
      </c>
      <c r="O1674" s="9"/>
      <c r="P1674" s="10">
        <v>41428.742523148147</v>
      </c>
      <c r="Q1674" s="14" t="s">
        <v>1371</v>
      </c>
      <c r="R1674" s="14" t="s">
        <v>1372</v>
      </c>
      <c r="S1674" s="7" t="s">
        <v>1373</v>
      </c>
      <c r="T1674" s="8"/>
      <c r="U1674" s="11" t="str">
        <f>HYPERLINK("https://pbs.twimg.com/profile_images/1096299089527033856/Eh3wO1aV.png","View")</f>
        <v>View</v>
      </c>
      <c r="V1674" s="8"/>
      <c r="W1674" s="8"/>
      <c r="X1674" s="8"/>
      <c r="Y1674" s="8"/>
      <c r="Z1674" s="8"/>
    </row>
    <row r="1675" spans="1:26" ht="13.2">
      <c r="A1675" s="13">
        <v>44250.357268518521</v>
      </c>
      <c r="B1675" s="6" t="str">
        <f>HYPERLINK("https://twitter.com/CMTcameramodule","@CMTcameramodule")</f>
        <v>@CMTcameramodule</v>
      </c>
      <c r="C1675" s="14" t="s">
        <v>6880</v>
      </c>
      <c r="D1675" s="14" t="s">
        <v>6881</v>
      </c>
      <c r="E1675" s="6" t="str">
        <f>HYPERLINK("https://twitter.com/CMTcameramodule/status/1364116401888313344","1364116401888313344")</f>
        <v>1364116401888313344</v>
      </c>
      <c r="F1675" s="8"/>
      <c r="G1675" s="7" t="s">
        <v>6882</v>
      </c>
      <c r="H1675" s="8"/>
      <c r="I1675" s="14">
        <v>6</v>
      </c>
      <c r="J1675" s="14">
        <v>5</v>
      </c>
      <c r="K1675" s="6" t="str">
        <f t="shared" ref="K1675:K1677" si="314">HYPERLINK("https://mobile.twitter.com","Twitter Web App")</f>
        <v>Twitter Web App</v>
      </c>
      <c r="L1675" s="15">
        <v>886</v>
      </c>
      <c r="M1675" s="15">
        <v>639</v>
      </c>
      <c r="N1675" s="15">
        <v>11</v>
      </c>
      <c r="O1675" s="9"/>
      <c r="P1675" s="10">
        <v>43268.42186342593</v>
      </c>
      <c r="Q1675" s="14" t="s">
        <v>650</v>
      </c>
      <c r="R1675" s="14" t="s">
        <v>6883</v>
      </c>
      <c r="S1675" s="7" t="s">
        <v>6884</v>
      </c>
      <c r="T1675" s="8"/>
      <c r="U1675" s="11" t="str">
        <f>HYPERLINK("https://pbs.twimg.com/profile_images/1194482233375019009/NrcolkGS.jpg","View")</f>
        <v>View</v>
      </c>
      <c r="V1675" s="8"/>
      <c r="W1675" s="8"/>
      <c r="X1675" s="8"/>
      <c r="Y1675" s="8"/>
      <c r="Z1675" s="8"/>
    </row>
    <row r="1676" spans="1:26" ht="13.2">
      <c r="A1676" s="13">
        <v>44250.356412037036</v>
      </c>
      <c r="B1676" s="6" t="str">
        <f>HYPERLINK("https://twitter.com/sigmoidInc","@sigmoidInc")</f>
        <v>@sigmoidInc</v>
      </c>
      <c r="C1676" s="14" t="s">
        <v>6885</v>
      </c>
      <c r="D1676" s="14" t="s">
        <v>6886</v>
      </c>
      <c r="E1676" s="6" t="str">
        <f>HYPERLINK("https://twitter.com/sigmoidInc/status/1364116089957875714","1364116089957875714")</f>
        <v>1364116089957875714</v>
      </c>
      <c r="F1676" s="7" t="s">
        <v>6887</v>
      </c>
      <c r="G1676" s="7" t="s">
        <v>6888</v>
      </c>
      <c r="H1676" s="8"/>
      <c r="I1676" s="14">
        <v>4</v>
      </c>
      <c r="J1676" s="14">
        <v>1</v>
      </c>
      <c r="K1676" s="6" t="str">
        <f t="shared" si="314"/>
        <v>Twitter Web App</v>
      </c>
      <c r="L1676" s="15">
        <v>528</v>
      </c>
      <c r="M1676" s="15">
        <v>354</v>
      </c>
      <c r="N1676" s="15">
        <v>58</v>
      </c>
      <c r="O1676" s="9"/>
      <c r="P1676" s="10">
        <v>41542.669212962966</v>
      </c>
      <c r="Q1676" s="14" t="s">
        <v>6889</v>
      </c>
      <c r="R1676" s="14" t="s">
        <v>6890</v>
      </c>
      <c r="S1676" s="7" t="s">
        <v>6891</v>
      </c>
      <c r="T1676" s="8"/>
      <c r="U1676" s="11" t="str">
        <f>HYPERLINK("https://pbs.twimg.com/profile_images/1240169426764189697/jown9YRd.png","View")</f>
        <v>View</v>
      </c>
      <c r="V1676" s="8"/>
      <c r="W1676" s="8"/>
      <c r="X1676" s="8"/>
      <c r="Y1676" s="8"/>
      <c r="Z1676" s="8"/>
    </row>
    <row r="1677" spans="1:26" ht="13.2">
      <c r="A1677" s="13">
        <v>44250.356296296297</v>
      </c>
      <c r="B1677" s="6" t="str">
        <f>HYPERLINK("https://twitter.com/priyankanew27","@priyankanew27")</f>
        <v>@priyankanew27</v>
      </c>
      <c r="C1677" s="14" t="s">
        <v>6892</v>
      </c>
      <c r="D1677" s="14" t="s">
        <v>6893</v>
      </c>
      <c r="E1677" s="6" t="str">
        <f>HYPERLINK("https://twitter.com/priyankanew27/status/1364116048472137728","1364116048472137728")</f>
        <v>1364116048472137728</v>
      </c>
      <c r="F1677" s="7" t="s">
        <v>6894</v>
      </c>
      <c r="G1677" s="8"/>
      <c r="H1677" s="8"/>
      <c r="I1677" s="14">
        <v>6</v>
      </c>
      <c r="J1677" s="14">
        <v>1</v>
      </c>
      <c r="K1677" s="6" t="str">
        <f t="shared" si="314"/>
        <v>Twitter Web App</v>
      </c>
      <c r="L1677" s="15">
        <v>60</v>
      </c>
      <c r="M1677" s="15">
        <v>428</v>
      </c>
      <c r="N1677" s="15">
        <v>0</v>
      </c>
      <c r="O1677" s="9"/>
      <c r="P1677" s="10">
        <v>40435.564652777779</v>
      </c>
      <c r="Q1677" s="14" t="s">
        <v>6895</v>
      </c>
      <c r="R1677" s="14" t="s">
        <v>6896</v>
      </c>
      <c r="S1677" s="7" t="s">
        <v>6897</v>
      </c>
      <c r="T1677" s="8"/>
      <c r="U1677" s="11" t="str">
        <f>HYPERLINK("https://pbs.twimg.com/profile_images/1244539925317292033/0tICLMQM.jpg","View")</f>
        <v>View</v>
      </c>
      <c r="V1677" s="8"/>
      <c r="W1677" s="8"/>
      <c r="X1677" s="8"/>
      <c r="Y1677" s="8"/>
      <c r="Z1677" s="8"/>
    </row>
    <row r="1678" spans="1:26" ht="13.2">
      <c r="A1678" s="13">
        <v>44250.355983796297</v>
      </c>
      <c r="B1678" s="6" t="str">
        <f>HYPERLINK("https://twitter.com/trainandtest","@trainandtest")</f>
        <v>@trainandtest</v>
      </c>
      <c r="C1678" s="14" t="s">
        <v>6898</v>
      </c>
      <c r="D1678" s="14" t="s">
        <v>6899</v>
      </c>
      <c r="E1678" s="6" t="str">
        <f>HYPERLINK("https://twitter.com/trainandtest/status/1364115934282063874","1364115934282063874")</f>
        <v>1364115934282063874</v>
      </c>
      <c r="F1678" s="8"/>
      <c r="G1678" s="7" t="s">
        <v>6900</v>
      </c>
      <c r="H1678" s="8"/>
      <c r="I1678" s="14">
        <v>1</v>
      </c>
      <c r="J1678" s="14">
        <v>4</v>
      </c>
      <c r="K1678" s="6" t="str">
        <f>HYPERLINK("http://twitter.com/download/iphone","Twitter for iPhone")</f>
        <v>Twitter for iPhone</v>
      </c>
      <c r="L1678" s="15">
        <v>240</v>
      </c>
      <c r="M1678" s="15">
        <v>190</v>
      </c>
      <c r="N1678" s="15">
        <v>1</v>
      </c>
      <c r="O1678" s="9"/>
      <c r="P1678" s="10">
        <v>44074.964884259258</v>
      </c>
      <c r="Q1678" s="14" t="s">
        <v>364</v>
      </c>
      <c r="R1678" s="14" t="s">
        <v>6901</v>
      </c>
      <c r="S1678" s="7" t="s">
        <v>6902</v>
      </c>
      <c r="T1678" s="8"/>
      <c r="U1678" s="11" t="str">
        <f>HYPERLINK("https://pbs.twimg.com/profile_images/1300555437243162625/E2LP_4S6.jpg","View")</f>
        <v>View</v>
      </c>
      <c r="V1678" s="8"/>
      <c r="W1678" s="8"/>
      <c r="X1678" s="8"/>
      <c r="Y1678" s="8"/>
      <c r="Z1678" s="8"/>
    </row>
    <row r="1679" spans="1:26" ht="13.2">
      <c r="A1679" s="13">
        <v>44250.355416666665</v>
      </c>
      <c r="B1679" s="6" t="str">
        <f>HYPERLINK("https://twitter.com/NMZivkovic","@NMZivkovic")</f>
        <v>@NMZivkovic</v>
      </c>
      <c r="C1679" s="14" t="s">
        <v>6903</v>
      </c>
      <c r="D1679" s="14" t="s">
        <v>6904</v>
      </c>
      <c r="E1679" s="6" t="str">
        <f>HYPERLINK("https://twitter.com/NMZivkovic/status/1364115728195080193","1364115728195080193")</f>
        <v>1364115728195080193</v>
      </c>
      <c r="F1679" s="7" t="s">
        <v>6905</v>
      </c>
      <c r="G1679" s="8"/>
      <c r="H1679" s="8"/>
      <c r="I1679" s="14">
        <v>19</v>
      </c>
      <c r="J1679" s="14">
        <v>18</v>
      </c>
      <c r="K1679" s="6" t="str">
        <f>HYPERLINK("https://mobile.twitter.com","Twitter Web App")</f>
        <v>Twitter Web App</v>
      </c>
      <c r="L1679" s="15">
        <v>1086</v>
      </c>
      <c r="M1679" s="15">
        <v>960</v>
      </c>
      <c r="N1679" s="15">
        <v>26</v>
      </c>
      <c r="O1679" s="9"/>
      <c r="P1679" s="10">
        <v>42250.48605324074</v>
      </c>
      <c r="Q1679" s="14" t="s">
        <v>6906</v>
      </c>
      <c r="R1679" s="14" t="s">
        <v>6907</v>
      </c>
      <c r="S1679" s="7" t="s">
        <v>6908</v>
      </c>
      <c r="T1679" s="8"/>
      <c r="U1679" s="11" t="str">
        <f>HYPERLINK("https://pbs.twimg.com/profile_images/1136587750256390144/j5NyQW_1.png","View")</f>
        <v>View</v>
      </c>
      <c r="V1679" s="8"/>
      <c r="W1679" s="8"/>
      <c r="X1679" s="8"/>
      <c r="Y1679" s="8"/>
      <c r="Z1679" s="8"/>
    </row>
    <row r="1680" spans="1:26" ht="13.2">
      <c r="A1680" s="13">
        <v>44250.355011574073</v>
      </c>
      <c r="B1680" s="6" t="str">
        <f>HYPERLINK("https://twitter.com/investo82","@investo82")</f>
        <v>@investo82</v>
      </c>
      <c r="C1680" s="14" t="s">
        <v>6909</v>
      </c>
      <c r="D1680" s="14" t="s">
        <v>6910</v>
      </c>
      <c r="E1680" s="6" t="str">
        <f>HYPERLINK("https://twitter.com/investo82/status/1364115582287704071","1364115582287704071")</f>
        <v>1364115582287704071</v>
      </c>
      <c r="F1680" s="7" t="s">
        <v>6911</v>
      </c>
      <c r="G1680" s="8"/>
      <c r="H1680" s="8"/>
      <c r="I1680" s="14">
        <v>0</v>
      </c>
      <c r="J1680" s="14">
        <v>0</v>
      </c>
      <c r="K1680" s="6" t="str">
        <f t="shared" ref="K1680:K1682" si="315">HYPERLINK("http://twitter.com/download/android","Twitter for Android")</f>
        <v>Twitter for Android</v>
      </c>
      <c r="L1680" s="15">
        <v>152</v>
      </c>
      <c r="M1680" s="15">
        <v>461</v>
      </c>
      <c r="N1680" s="15">
        <v>11</v>
      </c>
      <c r="O1680" s="9"/>
      <c r="P1680" s="10">
        <v>40952.663645833338</v>
      </c>
      <c r="Q1680" s="14" t="s">
        <v>364</v>
      </c>
      <c r="R1680" s="8"/>
      <c r="S1680" s="8"/>
      <c r="T1680" s="8"/>
      <c r="U1680" s="11" t="str">
        <f>HYPERLINK("https://pbs.twimg.com/profile_images/1329093826732933120/waKrVf0e.jpg","View")</f>
        <v>View</v>
      </c>
      <c r="V1680" s="8"/>
      <c r="W1680" s="8"/>
      <c r="X1680" s="8"/>
      <c r="Y1680" s="8"/>
      <c r="Z1680" s="8"/>
    </row>
    <row r="1681" spans="1:26" ht="13.2">
      <c r="A1681" s="13">
        <v>44250.354884259257</v>
      </c>
      <c r="B1681" s="6" t="str">
        <f t="shared" ref="B1681:B1682" si="316">HYPERLINK("https://twitter.com/Doxyaxone","@Doxyaxone")</f>
        <v>@Doxyaxone</v>
      </c>
      <c r="C1681" s="14" t="s">
        <v>6912</v>
      </c>
      <c r="D1681" s="14" t="s">
        <v>6913</v>
      </c>
      <c r="E1681" s="6" t="str">
        <f>HYPERLINK("https://twitter.com/Doxyaxone/status/1364115538008489985","1364115538008489985")</f>
        <v>1364115538008489985</v>
      </c>
      <c r="F1681" s="8"/>
      <c r="G1681" s="7" t="s">
        <v>6914</v>
      </c>
      <c r="H1681" s="8"/>
      <c r="I1681" s="14">
        <v>17</v>
      </c>
      <c r="J1681" s="14">
        <v>8</v>
      </c>
      <c r="K1681" s="6" t="str">
        <f t="shared" si="315"/>
        <v>Twitter for Android</v>
      </c>
      <c r="L1681" s="15">
        <v>578</v>
      </c>
      <c r="M1681" s="15">
        <v>982</v>
      </c>
      <c r="N1681" s="15">
        <v>6</v>
      </c>
      <c r="O1681" s="9"/>
      <c r="P1681" s="10">
        <v>42970.608287037037</v>
      </c>
      <c r="Q1681" s="8"/>
      <c r="R1681" s="14" t="s">
        <v>6915</v>
      </c>
      <c r="S1681" s="8"/>
      <c r="T1681" s="8"/>
      <c r="U1681" s="11" t="str">
        <f t="shared" ref="U1681:U1682" si="317">HYPERLINK("https://pbs.twimg.com/profile_images/1191757797412818944/y28j67C2.jpg","View")</f>
        <v>View</v>
      </c>
      <c r="V1681" s="8"/>
      <c r="W1681" s="8"/>
      <c r="X1681" s="8"/>
      <c r="Y1681" s="8"/>
      <c r="Z1681" s="8"/>
    </row>
    <row r="1682" spans="1:26" ht="13.2">
      <c r="A1682" s="13">
        <v>44250.354502314818</v>
      </c>
      <c r="B1682" s="6" t="str">
        <f t="shared" si="316"/>
        <v>@Doxyaxone</v>
      </c>
      <c r="C1682" s="14" t="s">
        <v>6912</v>
      </c>
      <c r="D1682" s="14" t="s">
        <v>6916</v>
      </c>
      <c r="E1682" s="6" t="str">
        <f>HYPERLINK("https://twitter.com/Doxyaxone/status/1364115396668841986","1364115396668841986")</f>
        <v>1364115396668841986</v>
      </c>
      <c r="F1682" s="8"/>
      <c r="G1682" s="7" t="s">
        <v>6917</v>
      </c>
      <c r="H1682" s="8"/>
      <c r="I1682" s="14">
        <v>9</v>
      </c>
      <c r="J1682" s="14">
        <v>4</v>
      </c>
      <c r="K1682" s="6" t="str">
        <f t="shared" si="315"/>
        <v>Twitter for Android</v>
      </c>
      <c r="L1682" s="15">
        <v>578</v>
      </c>
      <c r="M1682" s="15">
        <v>982</v>
      </c>
      <c r="N1682" s="15">
        <v>6</v>
      </c>
      <c r="O1682" s="9"/>
      <c r="P1682" s="10">
        <v>42970.608287037037</v>
      </c>
      <c r="Q1682" s="8"/>
      <c r="R1682" s="14" t="s">
        <v>6915</v>
      </c>
      <c r="S1682" s="8"/>
      <c r="T1682" s="8"/>
      <c r="U1682" s="11" t="str">
        <f t="shared" si="317"/>
        <v>View</v>
      </c>
      <c r="V1682" s="8"/>
      <c r="W1682" s="8"/>
      <c r="X1682" s="8"/>
      <c r="Y1682" s="8"/>
      <c r="Z1682" s="8"/>
    </row>
    <row r="1683" spans="1:26" ht="13.2">
      <c r="A1683" s="13">
        <v>44250.354212962964</v>
      </c>
      <c r="B1683" s="6" t="str">
        <f>HYPERLINK("https://twitter.com/ipfconline1","@ipfconline1")</f>
        <v>@ipfconline1</v>
      </c>
      <c r="C1683" s="14" t="s">
        <v>65</v>
      </c>
      <c r="D1683" s="14" t="s">
        <v>6918</v>
      </c>
      <c r="E1683" s="6" t="str">
        <f>HYPERLINK("https://twitter.com/ipfconline1/status/1364115294172626944","1364115294172626944")</f>
        <v>1364115294172626944</v>
      </c>
      <c r="F1683" s="7" t="s">
        <v>6919</v>
      </c>
      <c r="G1683" s="7" t="s">
        <v>6920</v>
      </c>
      <c r="H1683" s="8"/>
      <c r="I1683" s="14">
        <v>4</v>
      </c>
      <c r="J1683" s="14">
        <v>8</v>
      </c>
      <c r="K1683" s="6" t="str">
        <f>HYPERLINK("https://twittimer.com","Twittimer")</f>
        <v>Twittimer</v>
      </c>
      <c r="L1683" s="15">
        <v>112675</v>
      </c>
      <c r="M1683" s="15">
        <v>107162</v>
      </c>
      <c r="N1683" s="15">
        <v>7806</v>
      </c>
      <c r="O1683" s="9"/>
      <c r="P1683" s="10">
        <v>42433.031967592593</v>
      </c>
      <c r="Q1683" s="14" t="s">
        <v>69</v>
      </c>
      <c r="R1683" s="14" t="s">
        <v>70</v>
      </c>
      <c r="S1683" s="7" t="s">
        <v>71</v>
      </c>
      <c r="T1683" s="8"/>
      <c r="U1683" s="11" t="str">
        <f>HYPERLINK("https://pbs.twimg.com/profile_images/729065804004769793/St2_Pum9.jpg","View")</f>
        <v>View</v>
      </c>
      <c r="V1683" s="8"/>
      <c r="W1683" s="8"/>
      <c r="X1683" s="8"/>
      <c r="Y1683" s="8"/>
      <c r="Z1683" s="8"/>
    </row>
    <row r="1684" spans="1:26" ht="13.2">
      <c r="A1684" s="13">
        <v>44250.354189814811</v>
      </c>
      <c r="B1684" s="6" t="str">
        <f>HYPERLINK("https://twitter.com/TechnDiscussion","@TechnDiscussion")</f>
        <v>@TechnDiscussion</v>
      </c>
      <c r="C1684" s="14" t="s">
        <v>6921</v>
      </c>
      <c r="D1684" s="14" t="s">
        <v>6922</v>
      </c>
      <c r="E1684" s="6" t="str">
        <f>HYPERLINK("https://twitter.com/TechnDiscussion/status/1364115285607731200","1364115285607731200")</f>
        <v>1364115285607731200</v>
      </c>
      <c r="F1684" s="7" t="s">
        <v>6923</v>
      </c>
      <c r="G1684" s="8"/>
      <c r="H1684" s="8"/>
      <c r="I1684" s="14">
        <v>4</v>
      </c>
      <c r="J1684" s="14">
        <v>2</v>
      </c>
      <c r="K1684" s="6" t="str">
        <f>HYPERLINK("https://mobile.twitter.com","Twitter Web App")</f>
        <v>Twitter Web App</v>
      </c>
      <c r="L1684" s="15">
        <v>444</v>
      </c>
      <c r="M1684" s="15">
        <v>240</v>
      </c>
      <c r="N1684" s="15">
        <v>22</v>
      </c>
      <c r="O1684" s="9"/>
      <c r="P1684" s="10">
        <v>43193.447592592594</v>
      </c>
      <c r="Q1684" s="8"/>
      <c r="R1684" s="14" t="s">
        <v>6924</v>
      </c>
      <c r="S1684" s="8"/>
      <c r="T1684" s="8"/>
      <c r="U1684" s="11" t="str">
        <f>HYPERLINK("https://pbs.twimg.com/profile_images/981441828175142913/__Vk70dW.jpg","View")</f>
        <v>View</v>
      </c>
      <c r="V1684" s="8"/>
      <c r="W1684" s="8"/>
      <c r="X1684" s="8"/>
      <c r="Y1684" s="8"/>
      <c r="Z1684" s="8"/>
    </row>
    <row r="1685" spans="1:26" ht="13.2">
      <c r="A1685" s="13">
        <v>44250.354166666672</v>
      </c>
      <c r="B1685" s="6" t="str">
        <f>HYPERLINK("https://twitter.com/Doxyaxone","@Doxyaxone")</f>
        <v>@Doxyaxone</v>
      </c>
      <c r="C1685" s="14" t="s">
        <v>6912</v>
      </c>
      <c r="D1685" s="14" t="s">
        <v>6925</v>
      </c>
      <c r="E1685" s="6" t="str">
        <f>HYPERLINK("https://twitter.com/Doxyaxone/status/1364115276799819777","1364115276799819777")</f>
        <v>1364115276799819777</v>
      </c>
      <c r="F1685" s="8"/>
      <c r="G1685" s="7" t="s">
        <v>6926</v>
      </c>
      <c r="H1685" s="8"/>
      <c r="I1685" s="14">
        <v>25</v>
      </c>
      <c r="J1685" s="14">
        <v>12</v>
      </c>
      <c r="K1685" s="6" t="str">
        <f>HYPERLINK("http://twitter.com/download/android","Twitter for Android")</f>
        <v>Twitter for Android</v>
      </c>
      <c r="L1685" s="15">
        <v>578</v>
      </c>
      <c r="M1685" s="15">
        <v>982</v>
      </c>
      <c r="N1685" s="15">
        <v>6</v>
      </c>
      <c r="O1685" s="9"/>
      <c r="P1685" s="10">
        <v>42970.608287037037</v>
      </c>
      <c r="Q1685" s="8"/>
      <c r="R1685" s="14" t="s">
        <v>6915</v>
      </c>
      <c r="S1685" s="8"/>
      <c r="T1685" s="8"/>
      <c r="U1685" s="11" t="str">
        <f>HYPERLINK("https://pbs.twimg.com/profile_images/1191757797412818944/y28j67C2.jpg","View")</f>
        <v>View</v>
      </c>
      <c r="V1685" s="8"/>
      <c r="W1685" s="8"/>
      <c r="X1685" s="8"/>
      <c r="Y1685" s="8"/>
      <c r="Z1685" s="8"/>
    </row>
    <row r="1686" spans="1:26" ht="13.2">
      <c r="A1686" s="13">
        <v>44250.353831018518</v>
      </c>
      <c r="B1686" s="6" t="str">
        <f>HYPERLINK("https://twitter.com/CMTcameramodule","@CMTcameramodule")</f>
        <v>@CMTcameramodule</v>
      </c>
      <c r="C1686" s="14" t="s">
        <v>6880</v>
      </c>
      <c r="D1686" s="14" t="s">
        <v>6881</v>
      </c>
      <c r="E1686" s="6" t="str">
        <f>HYPERLINK("https://twitter.com/CMTcameramodule/status/1364115156083433472","1364115156083433472")</f>
        <v>1364115156083433472</v>
      </c>
      <c r="F1686" s="8"/>
      <c r="G1686" s="7" t="s">
        <v>6927</v>
      </c>
      <c r="H1686" s="8"/>
      <c r="I1686" s="14">
        <v>9</v>
      </c>
      <c r="J1686" s="14">
        <v>6</v>
      </c>
      <c r="K1686" s="6" t="str">
        <f t="shared" ref="K1686:K1687" si="318">HYPERLINK("https://mobile.twitter.com","Twitter Web App")</f>
        <v>Twitter Web App</v>
      </c>
      <c r="L1686" s="15">
        <v>886</v>
      </c>
      <c r="M1686" s="15">
        <v>639</v>
      </c>
      <c r="N1686" s="15">
        <v>11</v>
      </c>
      <c r="O1686" s="9"/>
      <c r="P1686" s="10">
        <v>43268.42186342593</v>
      </c>
      <c r="Q1686" s="14" t="s">
        <v>650</v>
      </c>
      <c r="R1686" s="14" t="s">
        <v>6883</v>
      </c>
      <c r="S1686" s="7" t="s">
        <v>6884</v>
      </c>
      <c r="T1686" s="8"/>
      <c r="U1686" s="11" t="str">
        <f>HYPERLINK("https://pbs.twimg.com/profile_images/1194482233375019009/NrcolkGS.jpg","View")</f>
        <v>View</v>
      </c>
      <c r="V1686" s="8"/>
      <c r="W1686" s="8"/>
      <c r="X1686" s="8"/>
      <c r="Y1686" s="8"/>
      <c r="Z1686" s="8"/>
    </row>
    <row r="1687" spans="1:26" ht="13.2">
      <c r="A1687" s="13">
        <v>44250.353576388894</v>
      </c>
      <c r="B1687" s="6" t="str">
        <f>HYPERLINK("https://twitter.com/MeetAliPoetry","@MeetAliPoetry")</f>
        <v>@MeetAliPoetry</v>
      </c>
      <c r="C1687" s="14" t="s">
        <v>6723</v>
      </c>
      <c r="D1687" s="14" t="s">
        <v>6928</v>
      </c>
      <c r="E1687" s="6" t="str">
        <f>HYPERLINK("https://twitter.com/MeetAliPoetry/status/1364115063309697031","1364115063309697031")</f>
        <v>1364115063309697031</v>
      </c>
      <c r="F1687" s="8"/>
      <c r="G1687" s="8"/>
      <c r="H1687" s="8"/>
      <c r="I1687" s="14">
        <v>15</v>
      </c>
      <c r="J1687" s="14">
        <v>8</v>
      </c>
      <c r="K1687" s="6" t="str">
        <f t="shared" si="318"/>
        <v>Twitter Web App</v>
      </c>
      <c r="L1687" s="15">
        <v>138</v>
      </c>
      <c r="M1687" s="15">
        <v>803</v>
      </c>
      <c r="N1687" s="15">
        <v>0</v>
      </c>
      <c r="O1687" s="9"/>
      <c r="P1687" s="10">
        <v>43648.390324074076</v>
      </c>
      <c r="Q1687" s="8"/>
      <c r="R1687" s="14" t="s">
        <v>6726</v>
      </c>
      <c r="S1687" s="7" t="s">
        <v>6727</v>
      </c>
      <c r="T1687" s="8"/>
      <c r="U1687" s="11" t="str">
        <f>HYPERLINK("https://pbs.twimg.com/profile_images/1353692165642313728/bBmGAHRF.jpg","View")</f>
        <v>View</v>
      </c>
      <c r="V1687" s="8"/>
      <c r="W1687" s="8"/>
      <c r="X1687" s="8"/>
      <c r="Y1687" s="8"/>
      <c r="Z1687" s="8"/>
    </row>
    <row r="1688" spans="1:26" ht="13.2">
      <c r="A1688" s="13">
        <v>44250.352847222224</v>
      </c>
      <c r="B1688" s="6" t="str">
        <f>HYPERLINK("https://twitter.com/amitp9201","@amitp9201")</f>
        <v>@amitp9201</v>
      </c>
      <c r="C1688" s="14" t="s">
        <v>6929</v>
      </c>
      <c r="D1688" s="14" t="s">
        <v>6930</v>
      </c>
      <c r="E1688" s="6" t="str">
        <f>HYPERLINK("https://twitter.com/amitp9201/status/1364114798129020930","1364114798129020930")</f>
        <v>1364114798129020930</v>
      </c>
      <c r="F1688" s="8"/>
      <c r="G1688" s="7" t="s">
        <v>6931</v>
      </c>
      <c r="H1688" s="8"/>
      <c r="I1688" s="14">
        <v>7</v>
      </c>
      <c r="J1688" s="14">
        <v>6</v>
      </c>
      <c r="K1688" s="6" t="str">
        <f>HYPERLINK("http://twitter.com/download/android","Twitter for Android")</f>
        <v>Twitter for Android</v>
      </c>
      <c r="L1688" s="15">
        <v>2863</v>
      </c>
      <c r="M1688" s="15">
        <v>2566</v>
      </c>
      <c r="N1688" s="15">
        <v>4</v>
      </c>
      <c r="O1688" s="9"/>
      <c r="P1688" s="10">
        <v>41445.653263888889</v>
      </c>
      <c r="Q1688" s="14" t="s">
        <v>6932</v>
      </c>
      <c r="R1688" s="14" t="s">
        <v>6933</v>
      </c>
      <c r="S1688" s="8"/>
      <c r="T1688" s="8"/>
      <c r="U1688" s="11" t="str">
        <f>HYPERLINK("https://pbs.twimg.com/profile_images/1277116023028584448/EBTAPIPs.jpg","View")</f>
        <v>View</v>
      </c>
      <c r="V1688" s="8"/>
      <c r="W1688" s="8"/>
      <c r="X1688" s="8"/>
      <c r="Y1688" s="8"/>
      <c r="Z1688" s="8"/>
    </row>
    <row r="1689" spans="1:26" ht="13.2">
      <c r="A1689" s="13">
        <v>44250.352824074071</v>
      </c>
      <c r="B1689" s="6" t="str">
        <f>HYPERLINK("https://twitter.com/CMTcameramodule","@CMTcameramodule")</f>
        <v>@CMTcameramodule</v>
      </c>
      <c r="C1689" s="14" t="s">
        <v>6880</v>
      </c>
      <c r="D1689" s="14" t="s">
        <v>6881</v>
      </c>
      <c r="E1689" s="6" t="str">
        <f>HYPERLINK("https://twitter.com/CMTcameramodule/status/1364114789669036033","1364114789669036033")</f>
        <v>1364114789669036033</v>
      </c>
      <c r="F1689" s="8"/>
      <c r="G1689" s="7" t="s">
        <v>6934</v>
      </c>
      <c r="H1689" s="8"/>
      <c r="I1689" s="14">
        <v>8</v>
      </c>
      <c r="J1689" s="14">
        <v>5</v>
      </c>
      <c r="K1689" s="6" t="str">
        <f t="shared" ref="K1689:K1691" si="319">HYPERLINK("https://mobile.twitter.com","Twitter Web App")</f>
        <v>Twitter Web App</v>
      </c>
      <c r="L1689" s="15">
        <v>886</v>
      </c>
      <c r="M1689" s="15">
        <v>639</v>
      </c>
      <c r="N1689" s="15">
        <v>11</v>
      </c>
      <c r="O1689" s="9"/>
      <c r="P1689" s="10">
        <v>43268.42186342593</v>
      </c>
      <c r="Q1689" s="14" t="s">
        <v>650</v>
      </c>
      <c r="R1689" s="14" t="s">
        <v>6883</v>
      </c>
      <c r="S1689" s="7" t="s">
        <v>6884</v>
      </c>
      <c r="T1689" s="8"/>
      <c r="U1689" s="11" t="str">
        <f>HYPERLINK("https://pbs.twimg.com/profile_images/1194482233375019009/NrcolkGS.jpg","View")</f>
        <v>View</v>
      </c>
      <c r="V1689" s="8"/>
      <c r="W1689" s="8"/>
      <c r="X1689" s="8"/>
      <c r="Y1689" s="8"/>
      <c r="Z1689" s="8"/>
    </row>
    <row r="1690" spans="1:26" ht="13.2">
      <c r="A1690" s="13">
        <v>44250.352696759262</v>
      </c>
      <c r="B1690" s="6" t="str">
        <f>HYPERLINK("https://twitter.com/olegranmo","@olegranmo")</f>
        <v>@olegranmo</v>
      </c>
      <c r="C1690" s="14" t="s">
        <v>6935</v>
      </c>
      <c r="D1690" s="14" t="s">
        <v>6936</v>
      </c>
      <c r="E1690" s="6" t="str">
        <f>HYPERLINK("https://twitter.com/olegranmo/status/1364114742160351232","1364114742160351232")</f>
        <v>1364114742160351232</v>
      </c>
      <c r="F1690" s="7" t="s">
        <v>6937</v>
      </c>
      <c r="G1690" s="7" t="s">
        <v>6938</v>
      </c>
      <c r="H1690" s="8"/>
      <c r="I1690" s="14">
        <v>6</v>
      </c>
      <c r="J1690" s="14">
        <v>4</v>
      </c>
      <c r="K1690" s="6" t="str">
        <f t="shared" si="319"/>
        <v>Twitter Web App</v>
      </c>
      <c r="L1690" s="15">
        <v>432</v>
      </c>
      <c r="M1690" s="15">
        <v>268</v>
      </c>
      <c r="N1690" s="15">
        <v>8</v>
      </c>
      <c r="O1690" s="9"/>
      <c r="P1690" s="10">
        <v>41394.912268518521</v>
      </c>
      <c r="Q1690" s="14" t="s">
        <v>6939</v>
      </c>
      <c r="R1690" s="14" t="s">
        <v>6940</v>
      </c>
      <c r="S1690" s="7" t="s">
        <v>6941</v>
      </c>
      <c r="T1690" s="8"/>
      <c r="U1690" s="11" t="str">
        <f>HYPERLINK("https://pbs.twimg.com/profile_images/837335160416833536/enX-HTgV.jpg","View")</f>
        <v>View</v>
      </c>
      <c r="V1690" s="8"/>
      <c r="W1690" s="8"/>
      <c r="X1690" s="8"/>
      <c r="Y1690" s="8"/>
      <c r="Z1690" s="8"/>
    </row>
    <row r="1691" spans="1:26" ht="13.2">
      <c r="A1691" s="13">
        <v>44250.352465277778</v>
      </c>
      <c r="B1691" s="6" t="str">
        <f>HYPERLINK("https://twitter.com/CMTcameramodule","@CMTcameramodule")</f>
        <v>@CMTcameramodule</v>
      </c>
      <c r="C1691" s="14" t="s">
        <v>6880</v>
      </c>
      <c r="D1691" s="14" t="s">
        <v>6881</v>
      </c>
      <c r="E1691" s="6" t="str">
        <f>HYPERLINK("https://twitter.com/CMTcameramodule/status/1364114660534837248","1364114660534837248")</f>
        <v>1364114660534837248</v>
      </c>
      <c r="F1691" s="8"/>
      <c r="G1691" s="7" t="s">
        <v>6942</v>
      </c>
      <c r="H1691" s="8"/>
      <c r="I1691" s="14">
        <v>8</v>
      </c>
      <c r="J1691" s="14">
        <v>6</v>
      </c>
      <c r="K1691" s="6" t="str">
        <f t="shared" si="319"/>
        <v>Twitter Web App</v>
      </c>
      <c r="L1691" s="15">
        <v>886</v>
      </c>
      <c r="M1691" s="15">
        <v>639</v>
      </c>
      <c r="N1691" s="15">
        <v>11</v>
      </c>
      <c r="O1691" s="9"/>
      <c r="P1691" s="10">
        <v>43268.42186342593</v>
      </c>
      <c r="Q1691" s="14" t="s">
        <v>650</v>
      </c>
      <c r="R1691" s="14" t="s">
        <v>6883</v>
      </c>
      <c r="S1691" s="7" t="s">
        <v>6884</v>
      </c>
      <c r="T1691" s="8"/>
      <c r="U1691" s="11" t="str">
        <f>HYPERLINK("https://pbs.twimg.com/profile_images/1194482233375019009/NrcolkGS.jpg","View")</f>
        <v>View</v>
      </c>
      <c r="V1691" s="8"/>
      <c r="W1691" s="8"/>
      <c r="X1691" s="8"/>
      <c r="Y1691" s="8"/>
      <c r="Z1691" s="8"/>
    </row>
    <row r="1692" spans="1:26" ht="13.2">
      <c r="A1692" s="13">
        <v>44250.352164351847</v>
      </c>
      <c r="B1692" s="6" t="str">
        <f>HYPERLINK("https://twitter.com/Techfuturenew","@Techfuturenew")</f>
        <v>@Techfuturenew</v>
      </c>
      <c r="C1692" s="14" t="s">
        <v>1725</v>
      </c>
      <c r="D1692" s="14" t="s">
        <v>1639</v>
      </c>
      <c r="E1692" s="6" t="str">
        <f>HYPERLINK("https://twitter.com/Techfuturenew/status/1364114548970643458","1364114548970643458")</f>
        <v>1364114548970643458</v>
      </c>
      <c r="F1692" s="14" t="s">
        <v>1640</v>
      </c>
      <c r="G1692" s="8"/>
      <c r="H1692" s="8"/>
      <c r="I1692" s="14">
        <v>19</v>
      </c>
      <c r="J1692" s="14">
        <v>10</v>
      </c>
      <c r="K1692" s="6" t="str">
        <f>HYPERLINK("http://twinybots.com","TwinyBots")</f>
        <v>TwinyBots</v>
      </c>
      <c r="L1692" s="15">
        <v>961</v>
      </c>
      <c r="M1692" s="15">
        <v>411</v>
      </c>
      <c r="N1692" s="15">
        <v>17</v>
      </c>
      <c r="O1692" s="9"/>
      <c r="P1692" s="10">
        <v>43080.534120370372</v>
      </c>
      <c r="Q1692" s="14" t="s">
        <v>322</v>
      </c>
      <c r="R1692" s="14" t="s">
        <v>1727</v>
      </c>
      <c r="S1692" s="8"/>
      <c r="T1692" s="8"/>
      <c r="U1692" s="11" t="str">
        <f>HYPERLINK("https://pbs.twimg.com/profile_images/1201246977150922755/lKxY2XSy.jpg","View")</f>
        <v>View</v>
      </c>
      <c r="V1692" s="8"/>
      <c r="W1692" s="8"/>
      <c r="X1692" s="8"/>
      <c r="Y1692" s="8"/>
      <c r="Z1692" s="8"/>
    </row>
    <row r="1693" spans="1:26" ht="13.2">
      <c r="A1693" s="13">
        <v>44250.352048611108</v>
      </c>
      <c r="B1693" s="6" t="str">
        <f>HYPERLINK("https://twitter.com/CMTcameramodule","@CMTcameramodule")</f>
        <v>@CMTcameramodule</v>
      </c>
      <c r="C1693" s="14" t="s">
        <v>6880</v>
      </c>
      <c r="D1693" s="14" t="s">
        <v>6881</v>
      </c>
      <c r="E1693" s="6" t="str">
        <f>HYPERLINK("https://twitter.com/CMTcameramodule/status/1364114508134850563","1364114508134850563")</f>
        <v>1364114508134850563</v>
      </c>
      <c r="F1693" s="8"/>
      <c r="G1693" s="7" t="s">
        <v>6943</v>
      </c>
      <c r="H1693" s="8"/>
      <c r="I1693" s="14">
        <v>11</v>
      </c>
      <c r="J1693" s="14">
        <v>5</v>
      </c>
      <c r="K1693" s="6" t="str">
        <f t="shared" ref="K1693:K1695" si="320">HYPERLINK("https://mobile.twitter.com","Twitter Web App")</f>
        <v>Twitter Web App</v>
      </c>
      <c r="L1693" s="15">
        <v>886</v>
      </c>
      <c r="M1693" s="15">
        <v>639</v>
      </c>
      <c r="N1693" s="15">
        <v>11</v>
      </c>
      <c r="O1693" s="9"/>
      <c r="P1693" s="10">
        <v>43268.42186342593</v>
      </c>
      <c r="Q1693" s="14" t="s">
        <v>650</v>
      </c>
      <c r="R1693" s="14" t="s">
        <v>6883</v>
      </c>
      <c r="S1693" s="7" t="s">
        <v>6884</v>
      </c>
      <c r="T1693" s="8"/>
      <c r="U1693" s="11" t="str">
        <f>HYPERLINK("https://pbs.twimg.com/profile_images/1194482233375019009/NrcolkGS.jpg","View")</f>
        <v>View</v>
      </c>
      <c r="V1693" s="8"/>
      <c r="W1693" s="8"/>
      <c r="X1693" s="8"/>
      <c r="Y1693" s="8"/>
      <c r="Z1693" s="8"/>
    </row>
    <row r="1694" spans="1:26" ht="13.2">
      <c r="A1694" s="13">
        <v>44250.3519212963</v>
      </c>
      <c r="B1694" s="6" t="str">
        <f>HYPERLINK("https://twitter.com/shagi07","@shagi07")</f>
        <v>@shagi07</v>
      </c>
      <c r="C1694" s="14" t="s">
        <v>6944</v>
      </c>
      <c r="D1694" s="14" t="s">
        <v>6945</v>
      </c>
      <c r="E1694" s="6" t="str">
        <f>HYPERLINK("https://twitter.com/shagi07/status/1364114464358891521","1364114464358891521")</f>
        <v>1364114464358891521</v>
      </c>
      <c r="F1694" s="7" t="s">
        <v>6946</v>
      </c>
      <c r="G1694" s="8"/>
      <c r="H1694" s="8"/>
      <c r="I1694" s="14">
        <v>0</v>
      </c>
      <c r="J1694" s="14">
        <v>1</v>
      </c>
      <c r="K1694" s="6" t="str">
        <f t="shared" si="320"/>
        <v>Twitter Web App</v>
      </c>
      <c r="L1694" s="15">
        <v>177</v>
      </c>
      <c r="M1694" s="15">
        <v>388</v>
      </c>
      <c r="N1694" s="15">
        <v>1</v>
      </c>
      <c r="O1694" s="9"/>
      <c r="P1694" s="10">
        <v>40314.701087962967</v>
      </c>
      <c r="Q1694" s="14" t="s">
        <v>5572</v>
      </c>
      <c r="R1694" s="14" t="s">
        <v>6947</v>
      </c>
      <c r="S1694" s="8"/>
      <c r="T1694" s="8"/>
      <c r="U1694" s="11" t="str">
        <f>HYPERLINK("https://pbs.twimg.com/profile_images/1223246504690888705/lcG-hFw1.jpg","View")</f>
        <v>View</v>
      </c>
      <c r="V1694" s="8"/>
      <c r="W1694" s="8"/>
      <c r="X1694" s="8"/>
      <c r="Y1694" s="8"/>
      <c r="Z1694" s="8"/>
    </row>
    <row r="1695" spans="1:26" ht="13.2">
      <c r="A1695" s="13">
        <v>44250.351655092592</v>
      </c>
      <c r="B1695" s="6" t="str">
        <f>HYPERLINK("https://twitter.com/CMTcameramodule","@CMTcameramodule")</f>
        <v>@CMTcameramodule</v>
      </c>
      <c r="C1695" s="14" t="s">
        <v>6880</v>
      </c>
      <c r="D1695" s="14" t="s">
        <v>6881</v>
      </c>
      <c r="E1695" s="6" t="str">
        <f>HYPERLINK("https://twitter.com/CMTcameramodule/status/1364114364719005697","1364114364719005697")</f>
        <v>1364114364719005697</v>
      </c>
      <c r="F1695" s="8"/>
      <c r="G1695" s="7" t="s">
        <v>6948</v>
      </c>
      <c r="H1695" s="8"/>
      <c r="I1695" s="14">
        <v>6</v>
      </c>
      <c r="J1695" s="14">
        <v>5</v>
      </c>
      <c r="K1695" s="6" t="str">
        <f t="shared" si="320"/>
        <v>Twitter Web App</v>
      </c>
      <c r="L1695" s="15">
        <v>886</v>
      </c>
      <c r="M1695" s="15">
        <v>639</v>
      </c>
      <c r="N1695" s="15">
        <v>11</v>
      </c>
      <c r="O1695" s="9"/>
      <c r="P1695" s="10">
        <v>43268.42186342593</v>
      </c>
      <c r="Q1695" s="14" t="s">
        <v>650</v>
      </c>
      <c r="R1695" s="14" t="s">
        <v>6883</v>
      </c>
      <c r="S1695" s="7" t="s">
        <v>6884</v>
      </c>
      <c r="T1695" s="8"/>
      <c r="U1695" s="11" t="str">
        <f>HYPERLINK("https://pbs.twimg.com/profile_images/1194482233375019009/NrcolkGS.jpg","View")</f>
        <v>View</v>
      </c>
      <c r="V1695" s="8"/>
      <c r="W1695" s="8"/>
      <c r="X1695" s="8"/>
      <c r="Y1695" s="8"/>
      <c r="Z1695" s="8"/>
    </row>
    <row r="1696" spans="1:26" ht="13.2">
      <c r="A1696" s="13">
        <v>44250.351643518516</v>
      </c>
      <c r="B1696" s="6" t="str">
        <f>HYPERLINK("https://twitter.com/EwaAugustyniak","@EwaAugustyniak")</f>
        <v>@EwaAugustyniak</v>
      </c>
      <c r="C1696" s="14" t="s">
        <v>6949</v>
      </c>
      <c r="D1696" s="14" t="s">
        <v>6950</v>
      </c>
      <c r="E1696" s="6" t="str">
        <f>HYPERLINK("https://twitter.com/EwaAugustyniak/status/1364114360143024134","1364114360143024134")</f>
        <v>1364114360143024134</v>
      </c>
      <c r="F1696" s="14" t="s">
        <v>6951</v>
      </c>
      <c r="G1696" s="8"/>
      <c r="H1696" s="8"/>
      <c r="I1696" s="14">
        <v>1</v>
      </c>
      <c r="J1696" s="14">
        <v>0</v>
      </c>
      <c r="K1696" s="6" t="str">
        <f>HYPERLINK("http://dynamicsignal.com/","Dynamic Signal")</f>
        <v>Dynamic Signal</v>
      </c>
      <c r="L1696" s="15">
        <v>35</v>
      </c>
      <c r="M1696" s="15">
        <v>163</v>
      </c>
      <c r="N1696" s="15">
        <v>1</v>
      </c>
      <c r="O1696" s="9"/>
      <c r="P1696" s="10">
        <v>40262.530381944445</v>
      </c>
      <c r="Q1696" s="14" t="s">
        <v>3931</v>
      </c>
      <c r="R1696" s="14" t="s">
        <v>6952</v>
      </c>
      <c r="S1696" s="8"/>
      <c r="T1696" s="8"/>
      <c r="U1696" s="11" t="str">
        <f>HYPERLINK("https://pbs.twimg.com/profile_images/774273951/Ewa_s_SAS_picture.jpg","View")</f>
        <v>View</v>
      </c>
      <c r="V1696" s="8"/>
      <c r="W1696" s="8"/>
      <c r="X1696" s="8"/>
      <c r="Y1696" s="8"/>
      <c r="Z1696" s="8"/>
    </row>
    <row r="1697" spans="1:26" ht="13.2">
      <c r="A1697" s="13">
        <v>44250.351365740746</v>
      </c>
      <c r="B1697" s="6" t="str">
        <f>HYPERLINK("https://twitter.com/InixindoSby","@InixindoSby")</f>
        <v>@InixindoSby</v>
      </c>
      <c r="C1697" s="14" t="s">
        <v>6953</v>
      </c>
      <c r="D1697" s="14" t="s">
        <v>6954</v>
      </c>
      <c r="E1697" s="6" t="str">
        <f>HYPERLINK("https://twitter.com/InixindoSby/status/1364114262596100096","1364114262596100096")</f>
        <v>1364114262596100096</v>
      </c>
      <c r="F1697" s="8"/>
      <c r="G1697" s="7" t="s">
        <v>6955</v>
      </c>
      <c r="H1697" s="8"/>
      <c r="I1697" s="14">
        <v>0</v>
      </c>
      <c r="J1697" s="14">
        <v>1</v>
      </c>
      <c r="K1697" s="6" t="str">
        <f t="shared" ref="K1697:K1699" si="321">HYPERLINK("https://mobile.twitter.com","Twitter Web App")</f>
        <v>Twitter Web App</v>
      </c>
      <c r="L1697" s="15">
        <v>134</v>
      </c>
      <c r="M1697" s="15">
        <v>505</v>
      </c>
      <c r="N1697" s="15">
        <v>0</v>
      </c>
      <c r="O1697" s="9"/>
      <c r="P1697" s="10">
        <v>41162.334016203706</v>
      </c>
      <c r="Q1697" s="14" t="s">
        <v>6956</v>
      </c>
      <c r="R1697" s="14" t="s">
        <v>6957</v>
      </c>
      <c r="S1697" s="7" t="s">
        <v>6958</v>
      </c>
      <c r="T1697" s="8"/>
      <c r="U1697" s="11" t="str">
        <f>HYPERLINK("https://pbs.twimg.com/profile_images/378800000155028889/fa94f76b9605700a49d455a573c1a484.jpeg","View")</f>
        <v>View</v>
      </c>
      <c r="V1697" s="8"/>
      <c r="W1697" s="8"/>
      <c r="X1697" s="8"/>
      <c r="Y1697" s="8"/>
      <c r="Z1697" s="8"/>
    </row>
    <row r="1698" spans="1:26" ht="13.2">
      <c r="A1698" s="13">
        <v>44250.351111111115</v>
      </c>
      <c r="B1698" s="6" t="str">
        <f>HYPERLINK("https://twitter.com/CMTcameramodule","@CMTcameramodule")</f>
        <v>@CMTcameramodule</v>
      </c>
      <c r="C1698" s="14" t="s">
        <v>6880</v>
      </c>
      <c r="D1698" s="14" t="s">
        <v>6881</v>
      </c>
      <c r="E1698" s="6" t="str">
        <f>HYPERLINK("https://twitter.com/CMTcameramodule/status/1364114166894628869","1364114166894628869")</f>
        <v>1364114166894628869</v>
      </c>
      <c r="F1698" s="8"/>
      <c r="G1698" s="7" t="s">
        <v>6959</v>
      </c>
      <c r="H1698" s="8"/>
      <c r="I1698" s="14">
        <v>7</v>
      </c>
      <c r="J1698" s="14">
        <v>7</v>
      </c>
      <c r="K1698" s="6" t="str">
        <f t="shared" si="321"/>
        <v>Twitter Web App</v>
      </c>
      <c r="L1698" s="15">
        <v>886</v>
      </c>
      <c r="M1698" s="15">
        <v>639</v>
      </c>
      <c r="N1698" s="15">
        <v>11</v>
      </c>
      <c r="O1698" s="9"/>
      <c r="P1698" s="10">
        <v>43268.42186342593</v>
      </c>
      <c r="Q1698" s="14" t="s">
        <v>650</v>
      </c>
      <c r="R1698" s="14" t="s">
        <v>6883</v>
      </c>
      <c r="S1698" s="7" t="s">
        <v>6884</v>
      </c>
      <c r="T1698" s="8"/>
      <c r="U1698" s="11" t="str">
        <f>HYPERLINK("https://pbs.twimg.com/profile_images/1194482233375019009/NrcolkGS.jpg","View")</f>
        <v>View</v>
      </c>
      <c r="V1698" s="8"/>
      <c r="W1698" s="8"/>
      <c r="X1698" s="8"/>
      <c r="Y1698" s="8"/>
      <c r="Z1698" s="8"/>
    </row>
    <row r="1699" spans="1:26" ht="13.2">
      <c r="A1699" s="13">
        <v>44250.350694444445</v>
      </c>
      <c r="B1699" s="6" t="str">
        <f>HYPERLINK("https://twitter.com/QAValley","@QAValley")</f>
        <v>@QAValley</v>
      </c>
      <c r="C1699" s="14" t="s">
        <v>5315</v>
      </c>
      <c r="D1699" s="14" t="s">
        <v>6960</v>
      </c>
      <c r="E1699" s="6" t="str">
        <f>HYPERLINK("https://twitter.com/QAValley/status/1364114016554029056","1364114016554029056")</f>
        <v>1364114016554029056</v>
      </c>
      <c r="F1699" s="7" t="s">
        <v>6961</v>
      </c>
      <c r="G1699" s="7" t="s">
        <v>6962</v>
      </c>
      <c r="H1699" s="8"/>
      <c r="I1699" s="14">
        <v>3</v>
      </c>
      <c r="J1699" s="14">
        <v>1</v>
      </c>
      <c r="K1699" s="6" t="str">
        <f t="shared" si="321"/>
        <v>Twitter Web App</v>
      </c>
      <c r="L1699" s="15">
        <v>6419</v>
      </c>
      <c r="M1699" s="15">
        <v>7053</v>
      </c>
      <c r="N1699" s="15">
        <v>15</v>
      </c>
      <c r="O1699" s="9"/>
      <c r="P1699" s="10">
        <v>42058.749386574069</v>
      </c>
      <c r="Q1699" s="14" t="s">
        <v>191</v>
      </c>
      <c r="R1699" s="14" t="s">
        <v>5319</v>
      </c>
      <c r="S1699" s="7" t="s">
        <v>5320</v>
      </c>
      <c r="T1699" s="8"/>
      <c r="U1699" s="11" t="str">
        <f>HYPERLINK("https://pbs.twimg.com/profile_images/976909546240307200/3Gy-rd2X.jpg","View")</f>
        <v>View</v>
      </c>
      <c r="V1699" s="8"/>
      <c r="W1699" s="8"/>
      <c r="X1699" s="8"/>
      <c r="Y1699" s="8"/>
      <c r="Z1699" s="8"/>
    </row>
    <row r="1700" spans="1:26" ht="13.2">
      <c r="A1700" s="13">
        <v>44250.350682870368</v>
      </c>
      <c r="B1700" s="6" t="str">
        <f>HYPERLINK("https://twitter.com/jblefevre60","@jblefevre60")</f>
        <v>@jblefevre60</v>
      </c>
      <c r="C1700" s="14" t="s">
        <v>464</v>
      </c>
      <c r="D1700" s="14" t="s">
        <v>6963</v>
      </c>
      <c r="E1700" s="6" t="str">
        <f>HYPERLINK("https://twitter.com/jblefevre60/status/1364114013634895872","1364114013634895872")</f>
        <v>1364114013634895872</v>
      </c>
      <c r="F1700" s="8"/>
      <c r="G1700" s="7" t="s">
        <v>6964</v>
      </c>
      <c r="H1700" s="8"/>
      <c r="I1700" s="14">
        <v>34</v>
      </c>
      <c r="J1700" s="14">
        <v>48</v>
      </c>
      <c r="K1700" s="6" t="str">
        <f>HYPERLINK("http://twitter.com/download/android","Twitter for Android")</f>
        <v>Twitter for Android</v>
      </c>
      <c r="L1700" s="15">
        <v>80848</v>
      </c>
      <c r="M1700" s="15">
        <v>5582</v>
      </c>
      <c r="N1700" s="15">
        <v>5070</v>
      </c>
      <c r="O1700" s="9"/>
      <c r="P1700" s="10">
        <v>42342.801134259258</v>
      </c>
      <c r="Q1700" s="14" t="s">
        <v>106</v>
      </c>
      <c r="R1700" s="14" t="s">
        <v>467</v>
      </c>
      <c r="S1700" s="7" t="s">
        <v>468</v>
      </c>
      <c r="T1700" s="8"/>
      <c r="U1700" s="11" t="str">
        <f>HYPERLINK("https://pbs.twimg.com/profile_images/915247803248599040/GsF3avSn.jpg","View")</f>
        <v>View</v>
      </c>
      <c r="V1700" s="8"/>
      <c r="W1700" s="8"/>
      <c r="X1700" s="8"/>
      <c r="Y1700" s="8"/>
      <c r="Z1700" s="8"/>
    </row>
    <row r="1701" spans="1:26" ht="13.2">
      <c r="A1701" s="13">
        <v>44250.350381944445</v>
      </c>
      <c r="B1701" s="6" t="str">
        <f>HYPERLINK("https://twitter.com/CMTcameramodule","@CMTcameramodule")</f>
        <v>@CMTcameramodule</v>
      </c>
      <c r="C1701" s="14" t="s">
        <v>6880</v>
      </c>
      <c r="D1701" s="14" t="s">
        <v>6881</v>
      </c>
      <c r="E1701" s="6" t="str">
        <f>HYPERLINK("https://twitter.com/CMTcameramodule/status/1364113904498929665","1364113904498929665")</f>
        <v>1364113904498929665</v>
      </c>
      <c r="F1701" s="8"/>
      <c r="G1701" s="7" t="s">
        <v>6965</v>
      </c>
      <c r="H1701" s="8"/>
      <c r="I1701" s="14">
        <v>4</v>
      </c>
      <c r="J1701" s="14">
        <v>4</v>
      </c>
      <c r="K1701" s="6" t="str">
        <f t="shared" ref="K1701:K1703" si="322">HYPERLINK("https://mobile.twitter.com","Twitter Web App")</f>
        <v>Twitter Web App</v>
      </c>
      <c r="L1701" s="15">
        <v>886</v>
      </c>
      <c r="M1701" s="15">
        <v>639</v>
      </c>
      <c r="N1701" s="15">
        <v>11</v>
      </c>
      <c r="O1701" s="9"/>
      <c r="P1701" s="10">
        <v>43268.42186342593</v>
      </c>
      <c r="Q1701" s="14" t="s">
        <v>650</v>
      </c>
      <c r="R1701" s="14" t="s">
        <v>6883</v>
      </c>
      <c r="S1701" s="7" t="s">
        <v>6884</v>
      </c>
      <c r="T1701" s="8"/>
      <c r="U1701" s="11" t="str">
        <f>HYPERLINK("https://pbs.twimg.com/profile_images/1194482233375019009/NrcolkGS.jpg","View")</f>
        <v>View</v>
      </c>
      <c r="V1701" s="8"/>
      <c r="W1701" s="8"/>
      <c r="X1701" s="8"/>
      <c r="Y1701" s="8"/>
      <c r="Z1701" s="8"/>
    </row>
    <row r="1702" spans="1:26" ht="13.2">
      <c r="A1702" s="13">
        <v>44250.350370370375</v>
      </c>
      <c r="B1702" s="6" t="str">
        <f>HYPERLINK("https://twitter.com/vvdn_tech","@vvdn_tech")</f>
        <v>@vvdn_tech</v>
      </c>
      <c r="C1702" s="14" t="s">
        <v>6966</v>
      </c>
      <c r="D1702" s="14" t="s">
        <v>6967</v>
      </c>
      <c r="E1702" s="6" t="str">
        <f>HYPERLINK("https://twitter.com/vvdn_tech/status/1364113899520335878","1364113899520335878")</f>
        <v>1364113899520335878</v>
      </c>
      <c r="F1702" s="7" t="s">
        <v>6968</v>
      </c>
      <c r="G1702" s="7" t="s">
        <v>6969</v>
      </c>
      <c r="H1702" s="8"/>
      <c r="I1702" s="14">
        <v>0</v>
      </c>
      <c r="J1702" s="14">
        <v>2</v>
      </c>
      <c r="K1702" s="6" t="str">
        <f t="shared" si="322"/>
        <v>Twitter Web App</v>
      </c>
      <c r="L1702" s="15">
        <v>1211</v>
      </c>
      <c r="M1702" s="15">
        <v>779</v>
      </c>
      <c r="N1702" s="15">
        <v>21</v>
      </c>
      <c r="O1702" s="9"/>
      <c r="P1702" s="10">
        <v>41393.581250000003</v>
      </c>
      <c r="Q1702" s="14" t="s">
        <v>6970</v>
      </c>
      <c r="R1702" s="14" t="s">
        <v>6971</v>
      </c>
      <c r="S1702" s="7" t="s">
        <v>6972</v>
      </c>
      <c r="T1702" s="8"/>
      <c r="U1702" s="11" t="str">
        <f>HYPERLINK("https://pbs.twimg.com/profile_images/1075372653177757696/xpRpQvLC.jpg","View")</f>
        <v>View</v>
      </c>
      <c r="V1702" s="8"/>
      <c r="W1702" s="8"/>
      <c r="X1702" s="8"/>
      <c r="Y1702" s="8"/>
      <c r="Z1702" s="8"/>
    </row>
    <row r="1703" spans="1:26" ht="13.2">
      <c r="A1703" s="13">
        <v>44250.34888888889</v>
      </c>
      <c r="B1703" s="6" t="str">
        <f>HYPERLINK("https://twitter.com/BrainialAI","@BrainialAI")</f>
        <v>@BrainialAI</v>
      </c>
      <c r="C1703" s="14" t="s">
        <v>6973</v>
      </c>
      <c r="D1703" s="14" t="s">
        <v>6974</v>
      </c>
      <c r="E1703" s="6" t="str">
        <f>HYPERLINK("https://twitter.com/BrainialAI/status/1364113363010256896","1364113363010256896")</f>
        <v>1364113363010256896</v>
      </c>
      <c r="F1703" s="7" t="s">
        <v>6975</v>
      </c>
      <c r="G1703" s="7" t="s">
        <v>6976</v>
      </c>
      <c r="H1703" s="8"/>
      <c r="I1703" s="14">
        <v>0</v>
      </c>
      <c r="J1703" s="14">
        <v>1</v>
      </c>
      <c r="K1703" s="6" t="str">
        <f t="shared" si="322"/>
        <v>Twitter Web App</v>
      </c>
      <c r="L1703" s="15">
        <v>29</v>
      </c>
      <c r="M1703" s="15">
        <v>55</v>
      </c>
      <c r="N1703" s="15">
        <v>0</v>
      </c>
      <c r="O1703" s="9"/>
      <c r="P1703" s="10">
        <v>43561.651076388887</v>
      </c>
      <c r="Q1703" s="14" t="s">
        <v>6977</v>
      </c>
      <c r="R1703" s="14" t="s">
        <v>6978</v>
      </c>
      <c r="S1703" s="7" t="s">
        <v>6979</v>
      </c>
      <c r="T1703" s="8"/>
      <c r="U1703" s="11" t="str">
        <f>HYPERLINK("https://pbs.twimg.com/profile_images/1114531254597246982/DkYO5xz_.png","View")</f>
        <v>View</v>
      </c>
      <c r="V1703" s="8"/>
      <c r="W1703" s="8"/>
      <c r="X1703" s="8"/>
      <c r="Y1703" s="8"/>
      <c r="Z1703" s="8"/>
    </row>
    <row r="1704" spans="1:26" ht="13.2">
      <c r="A1704" s="13">
        <v>44250.348715277782</v>
      </c>
      <c r="B1704" s="6" t="str">
        <f>HYPERLINK("https://twitter.com/iamBrianGraham","@iamBrianGraham")</f>
        <v>@iamBrianGraham</v>
      </c>
      <c r="C1704" s="14" t="s">
        <v>4259</v>
      </c>
      <c r="D1704" s="14" t="s">
        <v>6980</v>
      </c>
      <c r="E1704" s="6" t="str">
        <f>HYPERLINK("https://twitter.com/iamBrianGraham/status/1364113301072920576","1364113301072920576")</f>
        <v>1364113301072920576</v>
      </c>
      <c r="F1704" s="8"/>
      <c r="G1704" s="7" t="s">
        <v>6981</v>
      </c>
      <c r="H1704" s="8"/>
      <c r="I1704" s="14">
        <v>2</v>
      </c>
      <c r="J1704" s="14">
        <v>2</v>
      </c>
      <c r="K1704" s="6" t="str">
        <f>HYPERLINK("https://bypeers.net","ByPeers Social CRM (1)")</f>
        <v>ByPeers Social CRM (1)</v>
      </c>
      <c r="L1704" s="15">
        <v>5759</v>
      </c>
      <c r="M1704" s="15">
        <v>4549</v>
      </c>
      <c r="N1704" s="15">
        <v>211</v>
      </c>
      <c r="O1704" s="9"/>
      <c r="P1704" s="10">
        <v>42570.927037037036</v>
      </c>
      <c r="Q1704" s="14" t="s">
        <v>4262</v>
      </c>
      <c r="R1704" s="14" t="s">
        <v>4263</v>
      </c>
      <c r="S1704" s="7" t="s">
        <v>4264</v>
      </c>
      <c r="T1704" s="8"/>
      <c r="U1704" s="11" t="str">
        <f>HYPERLINK("https://pbs.twimg.com/profile_images/1099684609703510017/zcsjRYt2.png","View")</f>
        <v>View</v>
      </c>
      <c r="V1704" s="8"/>
      <c r="W1704" s="8"/>
      <c r="X1704" s="8"/>
      <c r="Y1704" s="8"/>
      <c r="Z1704" s="8"/>
    </row>
    <row r="1705" spans="1:26" ht="13.2">
      <c r="A1705" s="13">
        <v>44250.347916666666</v>
      </c>
      <c r="B1705" s="6" t="str">
        <f>HYPERLINK("https://twitter.com/QAValley","@QAValley")</f>
        <v>@QAValley</v>
      </c>
      <c r="C1705" s="14" t="s">
        <v>5315</v>
      </c>
      <c r="D1705" s="14" t="s">
        <v>6982</v>
      </c>
      <c r="E1705" s="6" t="str">
        <f>HYPERLINK("https://twitter.com/QAValley/status/1364113010105544705","1364113010105544705")</f>
        <v>1364113010105544705</v>
      </c>
      <c r="F1705" s="7" t="s">
        <v>6983</v>
      </c>
      <c r="G1705" s="7" t="s">
        <v>6984</v>
      </c>
      <c r="H1705" s="8"/>
      <c r="I1705" s="14">
        <v>0</v>
      </c>
      <c r="J1705" s="14">
        <v>0</v>
      </c>
      <c r="K1705" s="6" t="str">
        <f t="shared" ref="K1705:K1707" si="323">HYPERLINK("https://mobile.twitter.com","Twitter Web App")</f>
        <v>Twitter Web App</v>
      </c>
      <c r="L1705" s="15">
        <v>6419</v>
      </c>
      <c r="M1705" s="15">
        <v>7053</v>
      </c>
      <c r="N1705" s="15">
        <v>15</v>
      </c>
      <c r="O1705" s="9"/>
      <c r="P1705" s="10">
        <v>42058.749386574069</v>
      </c>
      <c r="Q1705" s="14" t="s">
        <v>191</v>
      </c>
      <c r="R1705" s="14" t="s">
        <v>5319</v>
      </c>
      <c r="S1705" s="7" t="s">
        <v>5320</v>
      </c>
      <c r="T1705" s="8"/>
      <c r="U1705" s="11" t="str">
        <f>HYPERLINK("https://pbs.twimg.com/profile_images/976909546240307200/3Gy-rd2X.jpg","View")</f>
        <v>View</v>
      </c>
      <c r="V1705" s="8"/>
      <c r="W1705" s="8"/>
      <c r="X1705" s="8"/>
      <c r="Y1705" s="8"/>
      <c r="Z1705" s="8"/>
    </row>
    <row r="1706" spans="1:26" ht="13.2">
      <c r="A1706" s="13">
        <v>44250.347094907411</v>
      </c>
      <c r="B1706" s="6" t="str">
        <f>HYPERLINK("https://twitter.com/WorldTrendsInfo","@WorldTrendsInfo")</f>
        <v>@WorldTrendsInfo</v>
      </c>
      <c r="C1706" s="14" t="s">
        <v>6985</v>
      </c>
      <c r="D1706" s="14" t="s">
        <v>6986</v>
      </c>
      <c r="E1706" s="6" t="str">
        <f>HYPERLINK("https://twitter.com/WorldTrendsInfo/status/1364112711991238658","1364112711991238658")</f>
        <v>1364112711991238658</v>
      </c>
      <c r="F1706" s="7" t="s">
        <v>6987</v>
      </c>
      <c r="G1706" s="7" t="s">
        <v>6988</v>
      </c>
      <c r="H1706" s="8"/>
      <c r="I1706" s="14">
        <v>0</v>
      </c>
      <c r="J1706" s="14">
        <v>0</v>
      </c>
      <c r="K1706" s="6" t="str">
        <f t="shared" si="323"/>
        <v>Twitter Web App</v>
      </c>
      <c r="L1706" s="15">
        <v>29477</v>
      </c>
      <c r="M1706" s="15">
        <v>17450</v>
      </c>
      <c r="N1706" s="15">
        <v>1697</v>
      </c>
      <c r="O1706" s="9"/>
      <c r="P1706" s="10">
        <v>41987.800578703704</v>
      </c>
      <c r="Q1706" s="14" t="s">
        <v>914</v>
      </c>
      <c r="R1706" s="14" t="s">
        <v>6989</v>
      </c>
      <c r="S1706" s="7" t="s">
        <v>6990</v>
      </c>
      <c r="T1706" s="8"/>
      <c r="U1706" s="11" t="str">
        <f>HYPERLINK("https://pbs.twimg.com/profile_images/976703867344703488/ZXpt0cl0.jpg","View")</f>
        <v>View</v>
      </c>
      <c r="V1706" s="8"/>
      <c r="W1706" s="8"/>
      <c r="X1706" s="8"/>
      <c r="Y1706" s="8"/>
      <c r="Z1706" s="8"/>
    </row>
    <row r="1707" spans="1:26" ht="13.2">
      <c r="A1707" s="13">
        <v>44250.347025462965</v>
      </c>
      <c r="B1707" s="6" t="str">
        <f>HYPERLINK("https://twitter.com/adnan_hashmi","@adnan_hashmi")</f>
        <v>@adnan_hashmi</v>
      </c>
      <c r="C1707" s="14" t="s">
        <v>6991</v>
      </c>
      <c r="D1707" s="14" t="s">
        <v>6992</v>
      </c>
      <c r="E1707" s="6" t="str">
        <f>HYPERLINK("https://twitter.com/adnan_hashmi/status/1364112686724878336","1364112686724878336")</f>
        <v>1364112686724878336</v>
      </c>
      <c r="F1707" s="7" t="s">
        <v>6993</v>
      </c>
      <c r="G1707" s="7" t="s">
        <v>6994</v>
      </c>
      <c r="H1707" s="8"/>
      <c r="I1707" s="14">
        <v>1</v>
      </c>
      <c r="J1707" s="14">
        <v>1</v>
      </c>
      <c r="K1707" s="6" t="str">
        <f t="shared" si="323"/>
        <v>Twitter Web App</v>
      </c>
      <c r="L1707" s="15">
        <v>2330</v>
      </c>
      <c r="M1707" s="15">
        <v>4579</v>
      </c>
      <c r="N1707" s="15">
        <v>551</v>
      </c>
      <c r="O1707" s="9"/>
      <c r="P1707" s="10">
        <v>39834.348483796297</v>
      </c>
      <c r="Q1707" s="14" t="s">
        <v>2853</v>
      </c>
      <c r="R1707" s="14" t="s">
        <v>6995</v>
      </c>
      <c r="S1707" s="7" t="s">
        <v>6996</v>
      </c>
      <c r="T1707" s="8"/>
      <c r="U1707" s="11" t="str">
        <f>HYPERLINK("https://pbs.twimg.com/profile_images/965682432367300611/j4syUFC2.jpg","View")</f>
        <v>View</v>
      </c>
      <c r="V1707" s="8"/>
      <c r="W1707" s="8"/>
      <c r="X1707" s="8"/>
      <c r="Y1707" s="8"/>
      <c r="Z1707" s="8"/>
    </row>
    <row r="1708" spans="1:26" ht="13.2">
      <c r="A1708" s="13">
        <v>44250.346898148149</v>
      </c>
      <c r="B1708" s="6" t="str">
        <f>HYPERLINK("https://twitter.com/milocamj","@milocamj")</f>
        <v>@milocamj</v>
      </c>
      <c r="C1708" s="14" t="s">
        <v>1805</v>
      </c>
      <c r="D1708" s="14" t="s">
        <v>6997</v>
      </c>
      <c r="E1708" s="6" t="str">
        <f>HYPERLINK("https://twitter.com/milocamj/status/1364112642164494338","1364112642164494338")</f>
        <v>1364112642164494338</v>
      </c>
      <c r="F1708" s="14" t="s">
        <v>6998</v>
      </c>
      <c r="G1708" s="8"/>
      <c r="H1708" s="8"/>
      <c r="I1708" s="14">
        <v>0</v>
      </c>
      <c r="J1708" s="14">
        <v>0</v>
      </c>
      <c r="K1708" s="6" t="str">
        <f>HYPERLINK("https://dlvrit.com/","dlvr.it")</f>
        <v>dlvr.it</v>
      </c>
      <c r="L1708" s="15">
        <v>2595</v>
      </c>
      <c r="M1708" s="15">
        <v>48</v>
      </c>
      <c r="N1708" s="15">
        <v>1282</v>
      </c>
      <c r="O1708" s="9"/>
      <c r="P1708" s="10">
        <v>39904.699837962966</v>
      </c>
      <c r="Q1708" s="14" t="s">
        <v>1809</v>
      </c>
      <c r="R1708" s="14" t="s">
        <v>1810</v>
      </c>
      <c r="S1708" s="7" t="s">
        <v>1811</v>
      </c>
      <c r="T1708" s="8"/>
      <c r="U1708" s="11" t="str">
        <f>HYPERLINK("https://pbs.twimg.com/profile_images/1108578778018709505/56I0aOhL.jpg","View")</f>
        <v>View</v>
      </c>
      <c r="V1708" s="8"/>
      <c r="W1708" s="8"/>
      <c r="X1708" s="8"/>
      <c r="Y1708" s="8"/>
      <c r="Z1708" s="8"/>
    </row>
    <row r="1709" spans="1:26" ht="13.2">
      <c r="A1709" s="13">
        <v>44250.346458333333</v>
      </c>
      <c r="B1709" s="6" t="str">
        <f>HYPERLINK("https://twitter.com/OpenPosition_ML","@OpenPosition_ML")</f>
        <v>@OpenPosition_ML</v>
      </c>
      <c r="C1709" s="14" t="s">
        <v>6999</v>
      </c>
      <c r="D1709" s="14" t="s">
        <v>7000</v>
      </c>
      <c r="E1709" s="6" t="str">
        <f>HYPERLINK("https://twitter.com/OpenPosition_ML/status/1364112483963662336","1364112483963662336")</f>
        <v>1364112483963662336</v>
      </c>
      <c r="F1709" s="7" t="s">
        <v>7001</v>
      </c>
      <c r="G1709" s="7" t="s">
        <v>7002</v>
      </c>
      <c r="H1709" s="8"/>
      <c r="I1709" s="14">
        <v>2</v>
      </c>
      <c r="J1709" s="14">
        <v>3</v>
      </c>
      <c r="K1709" s="6" t="str">
        <f>HYPERLINK("http://twitter.com/download/android","Twitter for Android")</f>
        <v>Twitter for Android</v>
      </c>
      <c r="L1709" s="15">
        <v>911</v>
      </c>
      <c r="M1709" s="15">
        <v>0</v>
      </c>
      <c r="N1709" s="15">
        <v>5</v>
      </c>
      <c r="O1709" s="9"/>
      <c r="P1709" s="10">
        <v>44056.789733796293</v>
      </c>
      <c r="Q1709" s="14" t="s">
        <v>7003</v>
      </c>
      <c r="R1709" s="14" t="s">
        <v>7004</v>
      </c>
      <c r="S1709" s="8"/>
      <c r="T1709" s="8"/>
      <c r="U1709" s="11" t="str">
        <f>HYPERLINK("https://pbs.twimg.com/profile_images/1294291905337933824/mhF7QLrW.jpg","View")</f>
        <v>View</v>
      </c>
      <c r="V1709" s="8"/>
      <c r="W1709" s="8"/>
      <c r="X1709" s="8"/>
      <c r="Y1709" s="8"/>
      <c r="Z1709" s="8"/>
    </row>
    <row r="1710" spans="1:26" ht="13.2">
      <c r="A1710" s="13">
        <v>44250.346157407403</v>
      </c>
      <c r="B1710" s="6" t="str">
        <f>HYPERLINK("https://twitter.com/machinelearnflx","@machinelearnflx")</f>
        <v>@machinelearnflx</v>
      </c>
      <c r="C1710" s="14" t="s">
        <v>279</v>
      </c>
      <c r="D1710" s="14" t="s">
        <v>7005</v>
      </c>
      <c r="E1710" s="6" t="str">
        <f>HYPERLINK("https://twitter.com/machinelearnflx/status/1364112374668607489","1364112374668607489")</f>
        <v>1364112374668607489</v>
      </c>
      <c r="F1710" s="7" t="s">
        <v>7006</v>
      </c>
      <c r="G1710" s="8"/>
      <c r="H1710" s="8"/>
      <c r="I1710" s="14">
        <v>7</v>
      </c>
      <c r="J1710" s="14">
        <v>10</v>
      </c>
      <c r="K1710" s="6" t="str">
        <f>HYPERLINK("https://twitter.com/pythonbot_","Postmatico")</f>
        <v>Postmatico</v>
      </c>
      <c r="L1710" s="15">
        <v>90451</v>
      </c>
      <c r="M1710" s="15">
        <v>35464</v>
      </c>
      <c r="N1710" s="15">
        <v>2228</v>
      </c>
      <c r="O1710" s="9"/>
      <c r="P1710" s="10">
        <v>42386.538865740746</v>
      </c>
      <c r="Q1710" s="8"/>
      <c r="R1710" s="14" t="s">
        <v>282</v>
      </c>
      <c r="S1710" s="7" t="s">
        <v>283</v>
      </c>
      <c r="T1710" s="8"/>
      <c r="U1710" s="11" t="str">
        <f>HYPERLINK("https://pbs.twimg.com/profile_images/688735459892195329/v8sHaWSG.jpg","View")</f>
        <v>View</v>
      </c>
      <c r="V1710" s="8"/>
      <c r="W1710" s="8"/>
      <c r="X1710" s="8"/>
      <c r="Y1710" s="8"/>
      <c r="Z1710" s="8"/>
    </row>
    <row r="1711" spans="1:26" ht="13.2">
      <c r="A1711" s="13">
        <v>44250.345972222218</v>
      </c>
      <c r="B1711" s="6" t="str">
        <f>HYPERLINK("https://twitter.com/iamBrianGraham","@iamBrianGraham")</f>
        <v>@iamBrianGraham</v>
      </c>
      <c r="C1711" s="14" t="s">
        <v>4259</v>
      </c>
      <c r="D1711" s="14" t="s">
        <v>7007</v>
      </c>
      <c r="E1711" s="6" t="str">
        <f>HYPERLINK("https://twitter.com/iamBrianGraham/status/1364112304426659841","1364112304426659841")</f>
        <v>1364112304426659841</v>
      </c>
      <c r="F1711" s="8"/>
      <c r="G1711" s="7" t="s">
        <v>7008</v>
      </c>
      <c r="H1711" s="8"/>
      <c r="I1711" s="14">
        <v>29</v>
      </c>
      <c r="J1711" s="14">
        <v>18</v>
      </c>
      <c r="K1711" s="6" t="str">
        <f>HYPERLINK("https://bypeers.net","ByPeers Social CRM (1)")</f>
        <v>ByPeers Social CRM (1)</v>
      </c>
      <c r="L1711" s="15">
        <v>5759</v>
      </c>
      <c r="M1711" s="15">
        <v>4549</v>
      </c>
      <c r="N1711" s="15">
        <v>211</v>
      </c>
      <c r="O1711" s="9"/>
      <c r="P1711" s="10">
        <v>42570.927037037036</v>
      </c>
      <c r="Q1711" s="14" t="s">
        <v>4262</v>
      </c>
      <c r="R1711" s="14" t="s">
        <v>4263</v>
      </c>
      <c r="S1711" s="7" t="s">
        <v>4264</v>
      </c>
      <c r="T1711" s="8"/>
      <c r="U1711" s="11" t="str">
        <f>HYPERLINK("https://pbs.twimg.com/profile_images/1099684609703510017/zcsjRYt2.png","View")</f>
        <v>View</v>
      </c>
      <c r="V1711" s="8"/>
      <c r="W1711" s="8"/>
      <c r="X1711" s="8"/>
      <c r="Y1711" s="8"/>
      <c r="Z1711" s="8"/>
    </row>
    <row r="1712" spans="1:26" ht="13.2">
      <c r="A1712" s="13">
        <v>44250.345636574071</v>
      </c>
      <c r="B1712" s="6" t="str">
        <f>HYPERLINK("https://twitter.com/FlySpaceships","@FlySpaceships")</f>
        <v>@FlySpaceships</v>
      </c>
      <c r="C1712" s="14" t="s">
        <v>7009</v>
      </c>
      <c r="D1712" s="14" t="s">
        <v>7010</v>
      </c>
      <c r="E1712" s="6" t="str">
        <f>HYPERLINK("https://twitter.com/FlySpaceships/status/1364112183307698178","1364112183307698178")</f>
        <v>1364112183307698178</v>
      </c>
      <c r="F1712" s="8"/>
      <c r="G1712" s="8"/>
      <c r="H1712" s="8"/>
      <c r="I1712" s="14">
        <v>24</v>
      </c>
      <c r="J1712" s="14">
        <v>12</v>
      </c>
      <c r="K1712" s="6" t="str">
        <f>HYPERLINK("https://mobile.twitter.com","Twitter Web App")</f>
        <v>Twitter Web App</v>
      </c>
      <c r="L1712" s="15">
        <v>531</v>
      </c>
      <c r="M1712" s="15">
        <v>2051</v>
      </c>
      <c r="N1712" s="15">
        <v>5</v>
      </c>
      <c r="O1712" s="9"/>
      <c r="P1712" s="10">
        <v>44104.781550925924</v>
      </c>
      <c r="Q1712" s="8"/>
      <c r="R1712" s="14" t="s">
        <v>7011</v>
      </c>
      <c r="S1712" s="7" t="s">
        <v>7012</v>
      </c>
      <c r="T1712" s="8"/>
      <c r="U1712" s="11" t="str">
        <f>HYPERLINK("https://pbs.twimg.com/profile_images/1311346523775655938/JWuLsDb-.jpg","View")</f>
        <v>View</v>
      </c>
      <c r="V1712" s="8"/>
      <c r="W1712" s="8"/>
      <c r="X1712" s="8"/>
      <c r="Y1712" s="8"/>
      <c r="Z1712" s="8"/>
    </row>
    <row r="1713" spans="1:26" ht="13.2">
      <c r="A1713" s="13">
        <v>44250.345347222217</v>
      </c>
      <c r="B1713" s="6" t="str">
        <f>HYPERLINK("https://twitter.com/BrankoBoro","@BrankoBoro")</f>
        <v>@BrankoBoro</v>
      </c>
      <c r="C1713" s="14" t="s">
        <v>3146</v>
      </c>
      <c r="D1713" s="14" t="s">
        <v>1726</v>
      </c>
      <c r="E1713" s="6" t="str">
        <f>HYPERLINK("https://twitter.com/BrankoBoro/status/1364112080798949378","1364112080798949378")</f>
        <v>1364112080798949378</v>
      </c>
      <c r="F1713" s="14" t="s">
        <v>1313</v>
      </c>
      <c r="G1713" s="8"/>
      <c r="H1713" s="8"/>
      <c r="I1713" s="14">
        <v>0</v>
      </c>
      <c r="J1713" s="14">
        <v>1</v>
      </c>
      <c r="K1713" s="6" t="str">
        <f>HYPERLINK("http://twinybots.com","TwinyBots")</f>
        <v>TwinyBots</v>
      </c>
      <c r="L1713" s="15">
        <v>1564</v>
      </c>
      <c r="M1713" s="15">
        <v>1414</v>
      </c>
      <c r="N1713" s="15">
        <v>16</v>
      </c>
      <c r="O1713" s="9"/>
      <c r="P1713" s="10">
        <v>41758.65792824074</v>
      </c>
      <c r="Q1713" s="14" t="s">
        <v>3149</v>
      </c>
      <c r="R1713" s="14" t="s">
        <v>3150</v>
      </c>
      <c r="S1713" s="7" t="s">
        <v>3151</v>
      </c>
      <c r="T1713" s="8"/>
      <c r="U1713" s="11" t="str">
        <f>HYPERLINK("https://pbs.twimg.com/profile_images/1137048121459060739/c9tNcG8J.png","View")</f>
        <v>View</v>
      </c>
      <c r="V1713" s="8"/>
      <c r="W1713" s="8"/>
      <c r="X1713" s="8"/>
      <c r="Y1713" s="8"/>
      <c r="Z1713" s="8"/>
    </row>
    <row r="1714" spans="1:26" ht="13.2">
      <c r="A1714" s="13">
        <v>44250.345150462963</v>
      </c>
      <c r="B1714" s="6" t="str">
        <f>HYPERLINK("https://twitter.com/neptune_ai","@neptune_ai")</f>
        <v>@neptune_ai</v>
      </c>
      <c r="C1714" s="7" t="s">
        <v>7013</v>
      </c>
      <c r="D1714" s="14" t="s">
        <v>7014</v>
      </c>
      <c r="E1714" s="6" t="str">
        <f>HYPERLINK("https://twitter.com/neptune_ai/status/1364112006626893824","1364112006626893824")</f>
        <v>1364112006626893824</v>
      </c>
      <c r="F1714" s="7" t="s">
        <v>7015</v>
      </c>
      <c r="G1714" s="8"/>
      <c r="H1714" s="8"/>
      <c r="I1714" s="14">
        <v>0</v>
      </c>
      <c r="J1714" s="14">
        <v>3</v>
      </c>
      <c r="K1714" s="6" t="str">
        <f>HYPERLINK("https://buffer.com","Buffer")</f>
        <v>Buffer</v>
      </c>
      <c r="L1714" s="15">
        <v>3418</v>
      </c>
      <c r="M1714" s="15">
        <v>956</v>
      </c>
      <c r="N1714" s="15">
        <v>50</v>
      </c>
      <c r="O1714" s="9"/>
      <c r="P1714" s="10">
        <v>43104.489525462966</v>
      </c>
      <c r="Q1714" s="14" t="s">
        <v>7016</v>
      </c>
      <c r="R1714" s="14" t="s">
        <v>7017</v>
      </c>
      <c r="S1714" s="7" t="s">
        <v>7018</v>
      </c>
      <c r="T1714" s="8"/>
      <c r="U1714" s="11" t="str">
        <f>HYPERLINK("https://pbs.twimg.com/profile_images/1217735455048978432/DP4I44q0.png","View")</f>
        <v>View</v>
      </c>
      <c r="V1714" s="8"/>
      <c r="W1714" s="8"/>
      <c r="X1714" s="8"/>
      <c r="Y1714" s="8"/>
      <c r="Z1714" s="8"/>
    </row>
    <row r="1715" spans="1:26" ht="13.2">
      <c r="A1715" s="13">
        <v>44250.344710648147</v>
      </c>
      <c r="B1715" s="6" t="str">
        <f>HYPERLINK("https://twitter.com/dataisgoodcom","@dataisgoodcom")</f>
        <v>@dataisgoodcom</v>
      </c>
      <c r="C1715" s="14" t="s">
        <v>3708</v>
      </c>
      <c r="D1715" s="14" t="s">
        <v>7019</v>
      </c>
      <c r="E1715" s="6" t="str">
        <f>HYPERLINK("https://twitter.com/dataisgoodcom/status/1364111847218024449","1364111847218024449")</f>
        <v>1364111847218024449</v>
      </c>
      <c r="F1715" s="8"/>
      <c r="G1715" s="7" t="s">
        <v>7020</v>
      </c>
      <c r="H1715" s="8"/>
      <c r="I1715" s="14">
        <v>6</v>
      </c>
      <c r="J1715" s="14">
        <v>2</v>
      </c>
      <c r="K1715" s="6" t="str">
        <f>HYPERLINK("https://mobile.twitter.com","Twitter Web App")</f>
        <v>Twitter Web App</v>
      </c>
      <c r="L1715" s="15">
        <v>45</v>
      </c>
      <c r="M1715" s="15">
        <v>0</v>
      </c>
      <c r="N1715" s="15">
        <v>1</v>
      </c>
      <c r="O1715" s="9"/>
      <c r="P1715" s="10">
        <v>40305.833877314813</v>
      </c>
      <c r="Q1715" s="14" t="s">
        <v>3711</v>
      </c>
      <c r="R1715" s="14" t="s">
        <v>3712</v>
      </c>
      <c r="S1715" s="7" t="s">
        <v>3713</v>
      </c>
      <c r="T1715" s="8"/>
      <c r="U1715" s="11" t="str">
        <f>HYPERLINK("https://pbs.twimg.com/profile_images/1260131355679240192/hZqsqkiU.jpg","View")</f>
        <v>View</v>
      </c>
      <c r="V1715" s="8"/>
      <c r="W1715" s="8"/>
      <c r="X1715" s="8"/>
      <c r="Y1715" s="8"/>
      <c r="Z1715" s="8"/>
    </row>
    <row r="1716" spans="1:26" ht="13.2">
      <c r="A1716" s="13">
        <v>44250.344444444447</v>
      </c>
      <c r="B1716" s="6" t="str">
        <f>HYPERLINK("https://twitter.com/AmitChampaneri1","@AmitChampaneri1")</f>
        <v>@AmitChampaneri1</v>
      </c>
      <c r="C1716" s="14" t="s">
        <v>7021</v>
      </c>
      <c r="D1716" s="14" t="s">
        <v>7022</v>
      </c>
      <c r="E1716" s="6" t="str">
        <f>HYPERLINK("https://twitter.com/AmitChampaneri1/status/1364111752246554634","1364111752246554634")</f>
        <v>1364111752246554634</v>
      </c>
      <c r="F1716" s="7" t="s">
        <v>7023</v>
      </c>
      <c r="G1716" s="7" t="s">
        <v>7024</v>
      </c>
      <c r="H1716" s="8"/>
      <c r="I1716" s="14">
        <v>21</v>
      </c>
      <c r="J1716" s="14">
        <v>7</v>
      </c>
      <c r="K1716" s="6" t="str">
        <f>HYPERLINK("http://twitter.com/download/iphone","Twitter for iPhone")</f>
        <v>Twitter for iPhone</v>
      </c>
      <c r="L1716" s="15">
        <v>6176</v>
      </c>
      <c r="M1716" s="15">
        <v>6101</v>
      </c>
      <c r="N1716" s="15">
        <v>234</v>
      </c>
      <c r="O1716" s="9"/>
      <c r="P1716" s="10">
        <v>40692.708912037036</v>
      </c>
      <c r="Q1716" s="14" t="s">
        <v>7025</v>
      </c>
      <c r="R1716" s="14" t="s">
        <v>7026</v>
      </c>
      <c r="S1716" s="7" t="s">
        <v>7027</v>
      </c>
      <c r="T1716" s="8"/>
      <c r="U1716" s="11" t="str">
        <f>HYPERLINK("https://pbs.twimg.com/profile_images/1278217848742182913/O_FNUK-v.jpg","View")</f>
        <v>View</v>
      </c>
      <c r="V1716" s="8"/>
      <c r="W1716" s="8"/>
      <c r="X1716" s="8"/>
      <c r="Y1716" s="8"/>
      <c r="Z1716" s="8"/>
    </row>
    <row r="1717" spans="1:26" ht="13.2">
      <c r="A1717" s="13">
        <v>44250.344328703708</v>
      </c>
      <c r="B1717" s="6" t="str">
        <f>HYPERLINK("https://twitter.com/Adrowitzer","@Adrowitzer")</f>
        <v>@Adrowitzer</v>
      </c>
      <c r="C1717" s="14" t="s">
        <v>7028</v>
      </c>
      <c r="D1717" s="14" t="s">
        <v>7029</v>
      </c>
      <c r="E1717" s="6" t="str">
        <f>HYPERLINK("https://twitter.com/Adrowitzer/status/1364111712430010375","1364111712430010375")</f>
        <v>1364111712430010375</v>
      </c>
      <c r="F1717" s="7" t="s">
        <v>7030</v>
      </c>
      <c r="G1717" s="8"/>
      <c r="H1717" s="8"/>
      <c r="I1717" s="14">
        <v>2</v>
      </c>
      <c r="J1717" s="14">
        <v>5</v>
      </c>
      <c r="K1717" s="6" t="str">
        <f t="shared" ref="K1717:K1718" si="324">HYPERLINK("https://mobile.twitter.com","Twitter Web App")</f>
        <v>Twitter Web App</v>
      </c>
      <c r="L1717" s="15">
        <v>1398</v>
      </c>
      <c r="M1717" s="15">
        <v>4014</v>
      </c>
      <c r="N1717" s="15">
        <v>30</v>
      </c>
      <c r="O1717" s="9"/>
      <c r="P1717" s="10">
        <v>41715.699988425928</v>
      </c>
      <c r="Q1717" s="14" t="s">
        <v>1104</v>
      </c>
      <c r="R1717" s="14" t="s">
        <v>7031</v>
      </c>
      <c r="S1717" s="7" t="s">
        <v>7032</v>
      </c>
      <c r="T1717" s="8"/>
      <c r="U1717" s="11" t="str">
        <f>HYPERLINK("https://pbs.twimg.com/profile_images/458618503033925633/27ChhgwI.jpeg","View")</f>
        <v>View</v>
      </c>
      <c r="V1717" s="8"/>
      <c r="W1717" s="8"/>
      <c r="X1717" s="8"/>
      <c r="Y1717" s="8"/>
      <c r="Z1717" s="8"/>
    </row>
    <row r="1718" spans="1:26" ht="13.2">
      <c r="A1718" s="13">
        <v>44250.344282407408</v>
      </c>
      <c r="B1718" s="6" t="str">
        <f>HYPERLINK("https://twitter.com/Sirlupinwatson","@Sirlupinwatson")</f>
        <v>@Sirlupinwatson</v>
      </c>
      <c r="C1718" s="14" t="s">
        <v>7033</v>
      </c>
      <c r="D1718" s="14" t="s">
        <v>7034</v>
      </c>
      <c r="E1718" s="6" t="str">
        <f>HYPERLINK("https://twitter.com/Sirlupinwatson/status/1364111693090070534","1364111693090070534")</f>
        <v>1364111693090070534</v>
      </c>
      <c r="F1718" s="7" t="s">
        <v>6662</v>
      </c>
      <c r="G1718" s="7" t="s">
        <v>7035</v>
      </c>
      <c r="H1718" s="8"/>
      <c r="I1718" s="14">
        <v>38</v>
      </c>
      <c r="J1718" s="14">
        <v>19</v>
      </c>
      <c r="K1718" s="6" t="str">
        <f t="shared" si="324"/>
        <v>Twitter Web App</v>
      </c>
      <c r="L1718" s="15">
        <v>1449</v>
      </c>
      <c r="M1718" s="15">
        <v>4070</v>
      </c>
      <c r="N1718" s="15">
        <v>7</v>
      </c>
      <c r="O1718" s="9"/>
      <c r="P1718" s="10">
        <v>42651.939120370371</v>
      </c>
      <c r="Q1718" s="14" t="s">
        <v>2649</v>
      </c>
      <c r="R1718" s="14" t="s">
        <v>7036</v>
      </c>
      <c r="S1718" s="7" t="s">
        <v>7037</v>
      </c>
      <c r="T1718" s="8"/>
      <c r="U1718" s="11" t="str">
        <f>HYPERLINK("https://pbs.twimg.com/profile_images/1310177334708887552/9Q1XMJW2.jpg","View")</f>
        <v>View</v>
      </c>
      <c r="V1718" s="8"/>
      <c r="W1718" s="8"/>
      <c r="X1718" s="8"/>
      <c r="Y1718" s="8"/>
      <c r="Z1718" s="8"/>
    </row>
    <row r="1719" spans="1:26" ht="13.2">
      <c r="A1719" s="13">
        <v>44250.343969907408</v>
      </c>
      <c r="B1719" s="6" t="str">
        <f>HYPERLINK("https://twitter.com/ComendadorMBF","@ComendadorMBF")</f>
        <v>@ComendadorMBF</v>
      </c>
      <c r="C1719" s="14" t="s">
        <v>7038</v>
      </c>
      <c r="D1719" s="14" t="s">
        <v>7039</v>
      </c>
      <c r="E1719" s="6" t="str">
        <f>HYPERLINK("https://twitter.com/ComendadorMBF/status/1364111580271673345","1364111580271673345")</f>
        <v>1364111580271673345</v>
      </c>
      <c r="F1719" s="7" t="s">
        <v>7040</v>
      </c>
      <c r="G1719" s="7" t="s">
        <v>7041</v>
      </c>
      <c r="H1719" s="8"/>
      <c r="I1719" s="14">
        <v>8</v>
      </c>
      <c r="J1719" s="14">
        <v>1</v>
      </c>
      <c r="K1719" s="6" t="str">
        <f>HYPERLINK("http://twitter.com/download/iphone","Twitter for iPhone")</f>
        <v>Twitter for iPhone</v>
      </c>
      <c r="L1719" s="15">
        <v>4465</v>
      </c>
      <c r="M1719" s="15">
        <v>3273</v>
      </c>
      <c r="N1719" s="15">
        <v>209</v>
      </c>
      <c r="O1719" s="9"/>
      <c r="P1719" s="10">
        <v>41846.054224537038</v>
      </c>
      <c r="Q1719" s="14" t="s">
        <v>7042</v>
      </c>
      <c r="R1719" s="14" t="s">
        <v>7043</v>
      </c>
      <c r="S1719" s="8"/>
      <c r="T1719" s="8"/>
      <c r="U1719" s="11" t="str">
        <f>HYPERLINK("https://pbs.twimg.com/profile_images/1353014986751307781/JL4eKD71.jpg","View")</f>
        <v>View</v>
      </c>
      <c r="V1719" s="8"/>
      <c r="W1719" s="8"/>
      <c r="X1719" s="8"/>
      <c r="Y1719" s="8"/>
      <c r="Z1719" s="8"/>
    </row>
    <row r="1720" spans="1:26" ht="13.2">
      <c r="A1720" s="13">
        <v>44250.343819444446</v>
      </c>
      <c r="B1720" s="6" t="str">
        <f>HYPERLINK("https://twitter.com/FlySpaceships","@FlySpaceships")</f>
        <v>@FlySpaceships</v>
      </c>
      <c r="C1720" s="14" t="s">
        <v>7009</v>
      </c>
      <c r="D1720" s="14" t="s">
        <v>7044</v>
      </c>
      <c r="E1720" s="6" t="str">
        <f>HYPERLINK("https://twitter.com/FlySpaceships/status/1364111525141700610","1364111525141700610")</f>
        <v>1364111525141700610</v>
      </c>
      <c r="F1720" s="7" t="s">
        <v>7045</v>
      </c>
      <c r="G1720" s="7" t="s">
        <v>7046</v>
      </c>
      <c r="H1720" s="8"/>
      <c r="I1720" s="14">
        <v>37</v>
      </c>
      <c r="J1720" s="14">
        <v>13</v>
      </c>
      <c r="K1720" s="6" t="str">
        <f>HYPERLINK("https://mobile.twitter.com","Twitter Web App")</f>
        <v>Twitter Web App</v>
      </c>
      <c r="L1720" s="15">
        <v>531</v>
      </c>
      <c r="M1720" s="15">
        <v>2051</v>
      </c>
      <c r="N1720" s="15">
        <v>5</v>
      </c>
      <c r="O1720" s="9"/>
      <c r="P1720" s="10">
        <v>44104.781550925924</v>
      </c>
      <c r="Q1720" s="8"/>
      <c r="R1720" s="14" t="s">
        <v>7011</v>
      </c>
      <c r="S1720" s="7" t="s">
        <v>7012</v>
      </c>
      <c r="T1720" s="8"/>
      <c r="U1720" s="11" t="str">
        <f>HYPERLINK("https://pbs.twimg.com/profile_images/1311346523775655938/JWuLsDb-.jpg","View")</f>
        <v>View</v>
      </c>
      <c r="V1720" s="8"/>
      <c r="W1720" s="8"/>
      <c r="X1720" s="8"/>
      <c r="Y1720" s="8"/>
      <c r="Z1720" s="8"/>
    </row>
    <row r="1721" spans="1:26" ht="13.2">
      <c r="A1721" s="13">
        <v>44250.343136574069</v>
      </c>
      <c r="B1721" s="6" t="str">
        <f>HYPERLINK("https://twitter.com/AmitChampaneri1","@AmitChampaneri1")</f>
        <v>@AmitChampaneri1</v>
      </c>
      <c r="C1721" s="14" t="s">
        <v>7021</v>
      </c>
      <c r="D1721" s="14" t="s">
        <v>7047</v>
      </c>
      <c r="E1721" s="6" t="str">
        <f>HYPERLINK("https://twitter.com/AmitChampaneri1/status/1364111277891719170","1364111277891719170")</f>
        <v>1364111277891719170</v>
      </c>
      <c r="F1721" s="7" t="s">
        <v>7048</v>
      </c>
      <c r="G1721" s="7" t="s">
        <v>7049</v>
      </c>
      <c r="H1721" s="8"/>
      <c r="I1721" s="14">
        <v>2</v>
      </c>
      <c r="J1721" s="14">
        <v>4</v>
      </c>
      <c r="K1721" s="6" t="str">
        <f>HYPERLINK("http://twitter.com/download/iphone","Twitter for iPhone")</f>
        <v>Twitter for iPhone</v>
      </c>
      <c r="L1721" s="15">
        <v>6176</v>
      </c>
      <c r="M1721" s="15">
        <v>6101</v>
      </c>
      <c r="N1721" s="15">
        <v>234</v>
      </c>
      <c r="O1721" s="9"/>
      <c r="P1721" s="10">
        <v>40692.708912037036</v>
      </c>
      <c r="Q1721" s="14" t="s">
        <v>7025</v>
      </c>
      <c r="R1721" s="14" t="s">
        <v>7026</v>
      </c>
      <c r="S1721" s="7" t="s">
        <v>7027</v>
      </c>
      <c r="T1721" s="8"/>
      <c r="U1721" s="11" t="str">
        <f>HYPERLINK("https://pbs.twimg.com/profile_images/1278217848742182913/O_FNUK-v.jpg","View")</f>
        <v>View</v>
      </c>
      <c r="V1721" s="8"/>
      <c r="W1721" s="8"/>
      <c r="X1721" s="8"/>
      <c r="Y1721" s="8"/>
      <c r="Z1721" s="8"/>
    </row>
    <row r="1722" spans="1:26" ht="13.2">
      <c r="A1722" s="13">
        <v>44250.34211805556</v>
      </c>
      <c r="B1722" s="6" t="str">
        <f>HYPERLINK("https://twitter.com/SantrainePhil","@SantrainePhil")</f>
        <v>@SantrainePhil</v>
      </c>
      <c r="C1722" s="14" t="s">
        <v>7050</v>
      </c>
      <c r="D1722" s="14" t="s">
        <v>7051</v>
      </c>
      <c r="E1722" s="6" t="str">
        <f>HYPERLINK("https://twitter.com/SantrainePhil/status/1364110910059667457","1364110910059667457")</f>
        <v>1364110910059667457</v>
      </c>
      <c r="F1722" s="7" t="s">
        <v>7052</v>
      </c>
      <c r="G1722" s="8"/>
      <c r="H1722" s="8"/>
      <c r="I1722" s="14">
        <v>0</v>
      </c>
      <c r="J1722" s="14">
        <v>0</v>
      </c>
      <c r="K1722" s="6" t="str">
        <f>HYPERLINK("https://mobile.twitter.com","Twitter Web App")</f>
        <v>Twitter Web App</v>
      </c>
      <c r="L1722" s="15">
        <v>374</v>
      </c>
      <c r="M1722" s="15">
        <v>426</v>
      </c>
      <c r="N1722" s="15">
        <v>33</v>
      </c>
      <c r="O1722" s="9"/>
      <c r="P1722" s="10">
        <v>42742.597650462965</v>
      </c>
      <c r="Q1722" s="14" t="s">
        <v>7053</v>
      </c>
      <c r="R1722" s="14" t="s">
        <v>7054</v>
      </c>
      <c r="S1722" s="7" t="s">
        <v>7055</v>
      </c>
      <c r="T1722" s="8"/>
      <c r="U1722" s="11" t="str">
        <f>HYPERLINK("https://pbs.twimg.com/profile_images/1352253706050416643/cvbQiq9x.jpg","View")</f>
        <v>View</v>
      </c>
      <c r="V1722" s="8"/>
      <c r="W1722" s="8"/>
      <c r="X1722" s="8"/>
      <c r="Y1722" s="8"/>
      <c r="Z1722" s="8"/>
    </row>
    <row r="1723" spans="1:26" ht="13.2">
      <c r="A1723" s="13">
        <v>44250.341932870375</v>
      </c>
      <c r="B1723" s="6" t="str">
        <f>HYPERLINK("https://twitter.com/jblefevre60","@jblefevre60")</f>
        <v>@jblefevre60</v>
      </c>
      <c r="C1723" s="14" t="s">
        <v>464</v>
      </c>
      <c r="D1723" s="14" t="s">
        <v>7056</v>
      </c>
      <c r="E1723" s="6" t="str">
        <f>HYPERLINK("https://twitter.com/jblefevre60/status/1364110843869282304","1364110843869282304")</f>
        <v>1364110843869282304</v>
      </c>
      <c r="F1723" s="8"/>
      <c r="G1723" s="7" t="s">
        <v>7057</v>
      </c>
      <c r="H1723" s="8"/>
      <c r="I1723" s="14">
        <v>40</v>
      </c>
      <c r="J1723" s="14">
        <v>40</v>
      </c>
      <c r="K1723" s="6" t="str">
        <f>HYPERLINK("http://twitter.com/download/android","Twitter for Android")</f>
        <v>Twitter for Android</v>
      </c>
      <c r="L1723" s="15">
        <v>80848</v>
      </c>
      <c r="M1723" s="15">
        <v>5582</v>
      </c>
      <c r="N1723" s="15">
        <v>5070</v>
      </c>
      <c r="O1723" s="9"/>
      <c r="P1723" s="10">
        <v>42342.801134259258</v>
      </c>
      <c r="Q1723" s="14" t="s">
        <v>106</v>
      </c>
      <c r="R1723" s="14" t="s">
        <v>467</v>
      </c>
      <c r="S1723" s="7" t="s">
        <v>468</v>
      </c>
      <c r="T1723" s="8"/>
      <c r="U1723" s="11" t="str">
        <f>HYPERLINK("https://pbs.twimg.com/profile_images/915247803248599040/GsF3avSn.jpg","View")</f>
        <v>View</v>
      </c>
      <c r="V1723" s="8"/>
      <c r="W1723" s="8"/>
      <c r="X1723" s="8"/>
      <c r="Y1723" s="8"/>
      <c r="Z1723" s="8"/>
    </row>
    <row r="1724" spans="1:26" ht="13.2">
      <c r="A1724" s="13">
        <v>44250.34174768519</v>
      </c>
      <c r="B1724" s="6" t="str">
        <f>HYPERLINK("https://twitter.com/SureshRukman","@SureshRukman")</f>
        <v>@SureshRukman</v>
      </c>
      <c r="C1724" s="14" t="s">
        <v>3313</v>
      </c>
      <c r="D1724" s="14" t="s">
        <v>6633</v>
      </c>
      <c r="E1724" s="6" t="str">
        <f>HYPERLINK("https://twitter.com/SureshRukman/status/1364110775917363202","1364110775917363202")</f>
        <v>1364110775917363202</v>
      </c>
      <c r="F1724" s="14" t="s">
        <v>1313</v>
      </c>
      <c r="G1724" s="8"/>
      <c r="H1724" s="8"/>
      <c r="I1724" s="14">
        <v>1</v>
      </c>
      <c r="J1724" s="14">
        <v>3</v>
      </c>
      <c r="K1724" s="6" t="str">
        <f>HYPERLINK("http://twinybots.com","TwinyBots")</f>
        <v>TwinyBots</v>
      </c>
      <c r="L1724" s="15">
        <v>2176</v>
      </c>
      <c r="M1724" s="15">
        <v>2281</v>
      </c>
      <c r="N1724" s="15">
        <v>293</v>
      </c>
      <c r="O1724" s="9"/>
      <c r="P1724" s="10">
        <v>41359.54041666667</v>
      </c>
      <c r="Q1724" s="14" t="s">
        <v>2551</v>
      </c>
      <c r="R1724" s="14" t="s">
        <v>3314</v>
      </c>
      <c r="S1724" s="7" t="s">
        <v>2553</v>
      </c>
      <c r="T1724" s="8"/>
      <c r="U1724" s="11" t="str">
        <f>HYPERLINK("https://pbs.twimg.com/profile_images/1038762339368087554/JICJ5viP.jpg","View")</f>
        <v>View</v>
      </c>
      <c r="V1724" s="8"/>
      <c r="W1724" s="8"/>
      <c r="X1724" s="8"/>
      <c r="Y1724" s="8"/>
      <c r="Z1724" s="8"/>
    </row>
    <row r="1725" spans="1:26" ht="13.2">
      <c r="A1725" s="13">
        <v>44250.339374999996</v>
      </c>
      <c r="B1725" s="6" t="str">
        <f>HYPERLINK("https://twitter.com/asterisminfosof","@asterisminfosof")</f>
        <v>@asterisminfosof</v>
      </c>
      <c r="C1725" s="14" t="s">
        <v>4541</v>
      </c>
      <c r="D1725" s="14" t="s">
        <v>7058</v>
      </c>
      <c r="E1725" s="6" t="str">
        <f>HYPERLINK("https://twitter.com/asterisminfosof/status/1364109913903927297","1364109913903927297")</f>
        <v>1364109913903927297</v>
      </c>
      <c r="F1725" s="8"/>
      <c r="G1725" s="7" t="s">
        <v>7059</v>
      </c>
      <c r="H1725" s="8"/>
      <c r="I1725" s="14">
        <v>14</v>
      </c>
      <c r="J1725" s="14">
        <v>7</v>
      </c>
      <c r="K1725" s="6" t="str">
        <f>HYPERLINK("http://twitter.com/download/android","Twitter for Android")</f>
        <v>Twitter for Android</v>
      </c>
      <c r="L1725" s="15">
        <v>153</v>
      </c>
      <c r="M1725" s="15">
        <v>758</v>
      </c>
      <c r="N1725" s="15">
        <v>1</v>
      </c>
      <c r="O1725" s="9"/>
      <c r="P1725" s="10">
        <v>43235.859178240746</v>
      </c>
      <c r="Q1725" s="14" t="s">
        <v>364</v>
      </c>
      <c r="R1725" s="14" t="s">
        <v>4544</v>
      </c>
      <c r="S1725" s="7" t="s">
        <v>4545</v>
      </c>
      <c r="T1725" s="8"/>
      <c r="U1725" s="11" t="str">
        <f>HYPERLINK("https://pbs.twimg.com/profile_images/999386355133108224/PUVwa5kU.jpg","View")</f>
        <v>View</v>
      </c>
      <c r="V1725" s="8"/>
      <c r="W1725" s="8"/>
      <c r="X1725" s="8"/>
      <c r="Y1725" s="8"/>
      <c r="Z1725" s="8"/>
    </row>
    <row r="1726" spans="1:26" ht="13.2">
      <c r="A1726" s="13">
        <v>44250.339178240742</v>
      </c>
      <c r="B1726" s="6" t="str">
        <f>HYPERLINK("https://twitter.com/DioquinoRabbin","@DioquinoRabbin")</f>
        <v>@DioquinoRabbin</v>
      </c>
      <c r="C1726" s="14" t="s">
        <v>7060</v>
      </c>
      <c r="D1726" s="14" t="s">
        <v>5070</v>
      </c>
      <c r="E1726" s="6" t="str">
        <f>HYPERLINK("https://twitter.com/DioquinoRabbin/status/1364109844551147522","1364109844551147522")</f>
        <v>1364109844551147522</v>
      </c>
      <c r="F1726" s="7" t="s">
        <v>7061</v>
      </c>
      <c r="G1726" s="7" t="s">
        <v>7062</v>
      </c>
      <c r="H1726" s="8"/>
      <c r="I1726" s="14">
        <v>1</v>
      </c>
      <c r="J1726" s="14">
        <v>1</v>
      </c>
      <c r="K1726" s="6" t="str">
        <f>HYPERLINK("http://dynamicsignal.com/","Dynamic Signal")</f>
        <v>Dynamic Signal</v>
      </c>
      <c r="L1726" s="15">
        <v>107</v>
      </c>
      <c r="M1726" s="15">
        <v>224</v>
      </c>
      <c r="N1726" s="15">
        <v>1</v>
      </c>
      <c r="O1726" s="9"/>
      <c r="P1726" s="10">
        <v>43720.721736111111</v>
      </c>
      <c r="Q1726" s="14" t="s">
        <v>786</v>
      </c>
      <c r="R1726" s="14" t="s">
        <v>7063</v>
      </c>
      <c r="S1726" s="8"/>
      <c r="T1726" s="8"/>
      <c r="U1726" s="11" t="str">
        <f>HYPERLINK("https://pbs.twimg.com/profile_images/1276169570135552002/1jNGRF14.jpg","View")</f>
        <v>View</v>
      </c>
      <c r="V1726" s="8"/>
      <c r="W1726" s="8"/>
      <c r="X1726" s="8"/>
      <c r="Y1726" s="8"/>
      <c r="Z1726" s="8"/>
    </row>
    <row r="1727" spans="1:26" ht="13.2">
      <c r="A1727" s="13">
        <v>44250.338958333334</v>
      </c>
      <c r="B1727" s="6" t="str">
        <f>HYPERLINK("https://twitter.com/sajidmirza","@sajidmirza")</f>
        <v>@sajidmirza</v>
      </c>
      <c r="C1727" s="14" t="s">
        <v>200</v>
      </c>
      <c r="D1727" s="14" t="s">
        <v>6633</v>
      </c>
      <c r="E1727" s="6" t="str">
        <f>HYPERLINK("https://twitter.com/sajidmirza/status/1364109765463461889","1364109765463461889")</f>
        <v>1364109765463461889</v>
      </c>
      <c r="F1727" s="14" t="s">
        <v>1313</v>
      </c>
      <c r="G1727" s="8"/>
      <c r="H1727" s="8"/>
      <c r="I1727" s="14">
        <v>0</v>
      </c>
      <c r="J1727" s="14">
        <v>2</v>
      </c>
      <c r="K1727" s="6" t="str">
        <f t="shared" ref="K1727:K1728" si="325">HYPERLINK("http://twinybots.com","TwinyBots")</f>
        <v>TwinyBots</v>
      </c>
      <c r="L1727" s="15">
        <v>2160</v>
      </c>
      <c r="M1727" s="15">
        <v>1495</v>
      </c>
      <c r="N1727" s="15">
        <v>43</v>
      </c>
      <c r="O1727" s="9"/>
      <c r="P1727" s="10">
        <v>39986.264884259261</v>
      </c>
      <c r="Q1727" s="14" t="s">
        <v>203</v>
      </c>
      <c r="R1727" s="14" t="s">
        <v>204</v>
      </c>
      <c r="S1727" s="7" t="s">
        <v>205</v>
      </c>
      <c r="T1727" s="8"/>
      <c r="U1727" s="11" t="str">
        <f>HYPERLINK("https://pbs.twimg.com/profile_images/900709336309276672/M5XpdeQJ.jpg","View")</f>
        <v>View</v>
      </c>
      <c r="V1727" s="8"/>
      <c r="W1727" s="8"/>
      <c r="X1727" s="8"/>
      <c r="Y1727" s="8"/>
      <c r="Z1727" s="8"/>
    </row>
    <row r="1728" spans="1:26" ht="13.2">
      <c r="A1728" s="13">
        <v>44250.338958333334</v>
      </c>
      <c r="B1728" s="6" t="str">
        <f>HYPERLINK("https://twitter.com/toxictorilee","@toxictorilee")</f>
        <v>@toxictorilee</v>
      </c>
      <c r="C1728" s="14" t="s">
        <v>6733</v>
      </c>
      <c r="D1728" s="14" t="s">
        <v>7064</v>
      </c>
      <c r="E1728" s="6" t="str">
        <f>HYPERLINK("https://twitter.com/toxictorilee/status/1364109764381315072","1364109764381315072")</f>
        <v>1364109764381315072</v>
      </c>
      <c r="F1728" s="7" t="s">
        <v>7065</v>
      </c>
      <c r="G1728" s="8"/>
      <c r="H1728" s="8"/>
      <c r="I1728" s="14">
        <v>0</v>
      </c>
      <c r="J1728" s="14">
        <v>0</v>
      </c>
      <c r="K1728" s="6" t="str">
        <f t="shared" si="325"/>
        <v>TwinyBots</v>
      </c>
      <c r="L1728" s="15">
        <v>505</v>
      </c>
      <c r="M1728" s="15">
        <v>113</v>
      </c>
      <c r="N1728" s="15">
        <v>2</v>
      </c>
      <c r="O1728" s="9"/>
      <c r="P1728" s="10">
        <v>43726.072395833333</v>
      </c>
      <c r="Q1728" s="14" t="s">
        <v>322</v>
      </c>
      <c r="R1728" s="14" t="s">
        <v>6736</v>
      </c>
      <c r="S1728" s="7" t="s">
        <v>6737</v>
      </c>
      <c r="T1728" s="8"/>
      <c r="U1728" s="11" t="str">
        <f>HYPERLINK("https://pbs.twimg.com/profile_images/1174108550471323648/qbtU2nr9.jpg","View")</f>
        <v>View</v>
      </c>
      <c r="V1728" s="8"/>
      <c r="W1728" s="8"/>
      <c r="X1728" s="8"/>
      <c r="Y1728" s="8"/>
      <c r="Z1728" s="8"/>
    </row>
    <row r="1729" spans="1:26" ht="13.2">
      <c r="A1729" s="13">
        <v>44250.338900462964</v>
      </c>
      <c r="B1729" s="6" t="str">
        <f>HYPERLINK("https://twitter.com/neo4j","@neo4j")</f>
        <v>@neo4j</v>
      </c>
      <c r="C1729" s="14" t="s">
        <v>7066</v>
      </c>
      <c r="D1729" s="14" t="s">
        <v>7067</v>
      </c>
      <c r="E1729" s="6" t="str">
        <f>HYPERLINK("https://twitter.com/neo4j/status/1364109741958565888","1364109741958565888")</f>
        <v>1364109741958565888</v>
      </c>
      <c r="F1729" s="7" t="s">
        <v>7068</v>
      </c>
      <c r="G1729" s="8"/>
      <c r="H1729" s="8"/>
      <c r="I1729" s="14">
        <v>6</v>
      </c>
      <c r="J1729" s="14">
        <v>8</v>
      </c>
      <c r="K1729" s="6" t="str">
        <f>HYPERLINK("https://buffer.com","Buffer")</f>
        <v>Buffer</v>
      </c>
      <c r="L1729" s="15">
        <v>34406</v>
      </c>
      <c r="M1729" s="15">
        <v>10133</v>
      </c>
      <c r="N1729" s="15">
        <v>1447</v>
      </c>
      <c r="O1729" s="15" t="s">
        <v>130</v>
      </c>
      <c r="P1729" s="10">
        <v>39874.416145833333</v>
      </c>
      <c r="Q1729" s="14" t="s">
        <v>7069</v>
      </c>
      <c r="R1729" s="14" t="s">
        <v>7070</v>
      </c>
      <c r="S1729" s="7" t="s">
        <v>7071</v>
      </c>
      <c r="T1729" s="8"/>
      <c r="U1729" s="11" t="str">
        <f>HYPERLINK("https://pbs.twimg.com/profile_images/1183755273753767936/vSV_IPTs.jpg","View")</f>
        <v>View</v>
      </c>
      <c r="V1729" s="8"/>
      <c r="W1729" s="8"/>
      <c r="X1729" s="8"/>
      <c r="Y1729" s="8"/>
      <c r="Z1729" s="8"/>
    </row>
    <row r="1730" spans="1:26" ht="13.2">
      <c r="A1730" s="13">
        <v>44250.338055555556</v>
      </c>
      <c r="B1730" s="6" t="str">
        <f>HYPERLINK("https://twitter.com/CouponBest3","@CouponBest3")</f>
        <v>@CouponBest3</v>
      </c>
      <c r="C1730" s="14" t="s">
        <v>6871</v>
      </c>
      <c r="D1730" s="14" t="s">
        <v>7072</v>
      </c>
      <c r="E1730" s="6" t="str">
        <f>HYPERLINK("https://twitter.com/CouponBest3/status/1364109437485543425","1364109437485543425")</f>
        <v>1364109437485543425</v>
      </c>
      <c r="F1730" s="7" t="s">
        <v>7073</v>
      </c>
      <c r="G1730" s="8"/>
      <c r="H1730" s="8"/>
      <c r="I1730" s="14">
        <v>12</v>
      </c>
      <c r="J1730" s="14">
        <v>2</v>
      </c>
      <c r="K1730" s="6" t="str">
        <f>HYPERLINK("https://mobile.twitter.com","Twitter Web App")</f>
        <v>Twitter Web App</v>
      </c>
      <c r="L1730" s="15">
        <v>6</v>
      </c>
      <c r="M1730" s="15">
        <v>11</v>
      </c>
      <c r="N1730" s="15">
        <v>0</v>
      </c>
      <c r="O1730" s="9"/>
      <c r="P1730" s="10">
        <v>44194.480995370366</v>
      </c>
      <c r="Q1730" s="14" t="s">
        <v>1421</v>
      </c>
      <c r="R1730" s="14" t="s">
        <v>6875</v>
      </c>
      <c r="S1730" s="7" t="s">
        <v>249</v>
      </c>
      <c r="T1730" s="8"/>
      <c r="U1730" s="11" t="str">
        <f>HYPERLINK("https://pbs.twimg.com/profile_images/1343867972645912576/4wSwu09l.jpg","View")</f>
        <v>View</v>
      </c>
      <c r="V1730" s="8"/>
      <c r="W1730" s="8"/>
      <c r="X1730" s="8"/>
      <c r="Y1730" s="8"/>
      <c r="Z1730" s="8"/>
    </row>
    <row r="1731" spans="1:26" ht="13.2">
      <c r="A1731" s="13">
        <v>44250.33798611111</v>
      </c>
      <c r="B1731" s="6" t="str">
        <f>HYPERLINK("https://twitter.com/AiThority","@AiThority")</f>
        <v>@AiThority</v>
      </c>
      <c r="C1731" s="7" t="s">
        <v>6450</v>
      </c>
      <c r="D1731" s="14" t="s">
        <v>7074</v>
      </c>
      <c r="E1731" s="6" t="str">
        <f>HYPERLINK("https://twitter.com/AiThority/status/1364109412844109825","1364109412844109825")</f>
        <v>1364109412844109825</v>
      </c>
      <c r="F1731" s="7" t="s">
        <v>7075</v>
      </c>
      <c r="G1731" s="8"/>
      <c r="H1731" s="8"/>
      <c r="I1731" s="14">
        <v>0</v>
      </c>
      <c r="J1731" s="14">
        <v>0</v>
      </c>
      <c r="K1731" s="6" t="str">
        <f>HYPERLINK("https://www.hootsuite.com","Hootsuite Inc.")</f>
        <v>Hootsuite Inc.</v>
      </c>
      <c r="L1731" s="15">
        <v>5365</v>
      </c>
      <c r="M1731" s="15">
        <v>453</v>
      </c>
      <c r="N1731" s="15">
        <v>85</v>
      </c>
      <c r="O1731" s="9"/>
      <c r="P1731" s="10">
        <v>42997.414629629631</v>
      </c>
      <c r="Q1731" s="14" t="s">
        <v>6453</v>
      </c>
      <c r="R1731" s="14" t="s">
        <v>6454</v>
      </c>
      <c r="S1731" s="7" t="s">
        <v>6455</v>
      </c>
      <c r="T1731" s="8"/>
      <c r="U1731" s="11" t="str">
        <f>HYPERLINK("https://pbs.twimg.com/profile_images/1012284893383090176/lN_pX5Gy.jpg","View")</f>
        <v>View</v>
      </c>
      <c r="V1731" s="8"/>
      <c r="W1731" s="8"/>
      <c r="X1731" s="8"/>
      <c r="Y1731" s="8"/>
      <c r="Z1731" s="8"/>
    </row>
    <row r="1732" spans="1:26" ht="13.2">
      <c r="A1732" s="13">
        <v>44250.336886574078</v>
      </c>
      <c r="B1732" s="6" t="str">
        <f>HYPERLINK("https://twitter.com/MiriamAsensi","@MiriamAsensi")</f>
        <v>@MiriamAsensi</v>
      </c>
      <c r="C1732" s="14" t="s">
        <v>2634</v>
      </c>
      <c r="D1732" s="14" t="s">
        <v>7076</v>
      </c>
      <c r="E1732" s="6" t="str">
        <f>HYPERLINK("https://twitter.com/MiriamAsensi/status/1364109012455849985","1364109012455849985")</f>
        <v>1364109012455849985</v>
      </c>
      <c r="F1732" s="7" t="s">
        <v>7077</v>
      </c>
      <c r="G1732" s="8"/>
      <c r="H1732" s="8"/>
      <c r="I1732" s="14">
        <v>7</v>
      </c>
      <c r="J1732" s="14">
        <v>1</v>
      </c>
      <c r="K1732" s="6" t="str">
        <f>HYPERLINK("https://socxopte.com/","SocxoPte")</f>
        <v>SocxoPte</v>
      </c>
      <c r="L1732" s="15">
        <v>746</v>
      </c>
      <c r="M1732" s="15">
        <v>882</v>
      </c>
      <c r="N1732" s="15">
        <v>5</v>
      </c>
      <c r="O1732" s="9"/>
      <c r="P1732" s="10">
        <v>43995.357581018514</v>
      </c>
      <c r="Q1732" s="14" t="s">
        <v>599</v>
      </c>
      <c r="R1732" s="14" t="s">
        <v>2637</v>
      </c>
      <c r="S1732" s="7" t="s">
        <v>2638</v>
      </c>
      <c r="T1732" s="8"/>
      <c r="U1732" s="11" t="str">
        <f>HYPERLINK("https://pbs.twimg.com/profile_images/1271692933683699712/Y4d_WLK4.jpg","View")</f>
        <v>View</v>
      </c>
      <c r="V1732" s="8"/>
      <c r="W1732" s="8"/>
      <c r="X1732" s="8"/>
      <c r="Y1732" s="8"/>
      <c r="Z1732" s="8"/>
    </row>
    <row r="1733" spans="1:26" ht="13.2">
      <c r="A1733" s="13">
        <v>44250.336851851855</v>
      </c>
      <c r="B1733" s="6" t="str">
        <f>HYPERLINK("https://twitter.com/ipfconline1","@ipfconline1")</f>
        <v>@ipfconline1</v>
      </c>
      <c r="C1733" s="14" t="s">
        <v>65</v>
      </c>
      <c r="D1733" s="14" t="s">
        <v>7078</v>
      </c>
      <c r="E1733" s="6" t="str">
        <f>HYPERLINK("https://twitter.com/ipfconline1/status/1364109003035402240","1364109003035402240")</f>
        <v>1364109003035402240</v>
      </c>
      <c r="F1733" s="7" t="s">
        <v>7079</v>
      </c>
      <c r="G1733" s="7" t="s">
        <v>7080</v>
      </c>
      <c r="H1733" s="8"/>
      <c r="I1733" s="14">
        <v>15</v>
      </c>
      <c r="J1733" s="14">
        <v>14</v>
      </c>
      <c r="K1733" s="6" t="str">
        <f>HYPERLINK("https://twittimer.com","Twittimer")</f>
        <v>Twittimer</v>
      </c>
      <c r="L1733" s="15">
        <v>112675</v>
      </c>
      <c r="M1733" s="15">
        <v>107162</v>
      </c>
      <c r="N1733" s="15">
        <v>7806</v>
      </c>
      <c r="O1733" s="9"/>
      <c r="P1733" s="10">
        <v>42433.031967592593</v>
      </c>
      <c r="Q1733" s="14" t="s">
        <v>69</v>
      </c>
      <c r="R1733" s="14" t="s">
        <v>70</v>
      </c>
      <c r="S1733" s="7" t="s">
        <v>71</v>
      </c>
      <c r="T1733" s="8"/>
      <c r="U1733" s="11" t="str">
        <f>HYPERLINK("https://pbs.twimg.com/profile_images/729065804004769793/St2_Pum9.jpg","View")</f>
        <v>View</v>
      </c>
      <c r="V1733" s="8"/>
      <c r="W1733" s="8"/>
      <c r="X1733" s="8"/>
      <c r="Y1733" s="8"/>
      <c r="Z1733" s="8"/>
    </row>
    <row r="1734" spans="1:26" ht="13.2">
      <c r="A1734" s="13">
        <v>44250.336840277778</v>
      </c>
      <c r="B1734" s="6" t="str">
        <f>HYPERLINK("https://twitter.com/Flux4Kofo","@Flux4Kofo")</f>
        <v>@Flux4Kofo</v>
      </c>
      <c r="C1734" s="14" t="s">
        <v>7081</v>
      </c>
      <c r="D1734" s="14" t="s">
        <v>7082</v>
      </c>
      <c r="E1734" s="6" t="str">
        <f>HYPERLINK("https://twitter.com/Flux4Kofo/status/1364108998342037504","1364108998342037504")</f>
        <v>1364108998342037504</v>
      </c>
      <c r="F1734" s="7" t="s">
        <v>7083</v>
      </c>
      <c r="G1734" s="7" t="s">
        <v>7084</v>
      </c>
      <c r="H1734" s="8"/>
      <c r="I1734" s="14">
        <v>0</v>
      </c>
      <c r="J1734" s="14">
        <v>0</v>
      </c>
      <c r="K1734" s="6" t="str">
        <f>HYPERLINK("https://www.hootsuite.com","Hootsuite Inc.")</f>
        <v>Hootsuite Inc.</v>
      </c>
      <c r="L1734" s="15">
        <v>247</v>
      </c>
      <c r="M1734" s="15">
        <v>1071</v>
      </c>
      <c r="N1734" s="15">
        <v>2</v>
      </c>
      <c r="O1734" s="9"/>
      <c r="P1734" s="10">
        <v>43204.493993055556</v>
      </c>
      <c r="Q1734" s="14" t="s">
        <v>599</v>
      </c>
      <c r="R1734" s="14" t="s">
        <v>7085</v>
      </c>
      <c r="S1734" s="7" t="s">
        <v>7086</v>
      </c>
      <c r="T1734" s="8"/>
      <c r="U1734" s="11" t="str">
        <f>HYPERLINK("https://pbs.twimg.com/profile_images/1125324223235461120/0DU5gmZH.jpg","View")</f>
        <v>View</v>
      </c>
      <c r="V1734" s="8"/>
      <c r="W1734" s="8"/>
      <c r="X1734" s="8"/>
      <c r="Y1734" s="8"/>
      <c r="Z1734" s="8"/>
    </row>
    <row r="1735" spans="1:26" ht="13.2">
      <c r="A1735" s="13">
        <v>44250.336805555555</v>
      </c>
      <c r="B1735" s="6" t="str">
        <f>HYPERLINK("https://twitter.com/talentsprint","@talentsprint")</f>
        <v>@talentsprint</v>
      </c>
      <c r="C1735" s="14" t="s">
        <v>7087</v>
      </c>
      <c r="D1735" s="14" t="s">
        <v>7088</v>
      </c>
      <c r="E1735" s="6" t="str">
        <f>HYPERLINK("https://twitter.com/talentsprint/status/1364108986107092993","1364108986107092993")</f>
        <v>1364108986107092993</v>
      </c>
      <c r="F1735" s="7" t="s">
        <v>7089</v>
      </c>
      <c r="G1735" s="7" t="s">
        <v>7090</v>
      </c>
      <c r="H1735" s="8"/>
      <c r="I1735" s="14">
        <v>0</v>
      </c>
      <c r="J1735" s="14">
        <v>0</v>
      </c>
      <c r="K1735" s="6" t="str">
        <f>HYPERLINK("https://social.zoho.com","Zoho Social")</f>
        <v>Zoho Social</v>
      </c>
      <c r="L1735" s="15">
        <v>1984</v>
      </c>
      <c r="M1735" s="15">
        <v>41</v>
      </c>
      <c r="N1735" s="15">
        <v>12</v>
      </c>
      <c r="O1735" s="9"/>
      <c r="P1735" s="10">
        <v>40590.666967592595</v>
      </c>
      <c r="Q1735" s="8"/>
      <c r="R1735" s="14" t="s">
        <v>7091</v>
      </c>
      <c r="S1735" s="7" t="s">
        <v>7092</v>
      </c>
      <c r="T1735" s="8"/>
      <c r="U1735" s="11" t="str">
        <f>HYPERLINK("https://pbs.twimg.com/profile_images/1263023901233180676/0EFqlh_g.jpg","View")</f>
        <v>View</v>
      </c>
      <c r="V1735" s="8"/>
      <c r="W1735" s="8"/>
      <c r="X1735" s="8"/>
      <c r="Y1735" s="8"/>
      <c r="Z1735" s="8"/>
    </row>
    <row r="1736" spans="1:26" ht="13.2">
      <c r="A1736" s="13">
        <v>44250.336168981477</v>
      </c>
      <c r="B1736" s="6" t="str">
        <f>HYPERLINK("https://twitter.com/CodingPers_Bot","@CodingPers_Bot")</f>
        <v>@CodingPers_Bot</v>
      </c>
      <c r="C1736" s="14" t="s">
        <v>1899</v>
      </c>
      <c r="D1736" s="14" t="s">
        <v>7093</v>
      </c>
      <c r="E1736" s="6" t="str">
        <f>HYPERLINK("https://twitter.com/CodingPers_Bot/status/1364108753990258691","1364108753990258691")</f>
        <v>1364108753990258691</v>
      </c>
      <c r="F1736" s="7" t="s">
        <v>7094</v>
      </c>
      <c r="G1736" s="8"/>
      <c r="H1736" s="8"/>
      <c r="I1736" s="14">
        <v>0</v>
      </c>
      <c r="J1736" s="14">
        <v>0</v>
      </c>
      <c r="K1736" s="8"/>
      <c r="L1736" s="15">
        <v>7</v>
      </c>
      <c r="M1736" s="15">
        <v>1</v>
      </c>
      <c r="N1736" s="15">
        <v>0</v>
      </c>
      <c r="O1736" s="9"/>
      <c r="P1736" s="10">
        <v>44209.357442129629</v>
      </c>
      <c r="Q1736" s="8"/>
      <c r="R1736" s="14" t="s">
        <v>1902</v>
      </c>
      <c r="S1736" s="7" t="s">
        <v>1903</v>
      </c>
      <c r="T1736" s="8"/>
      <c r="U1736" s="11" t="str">
        <f>HYPERLINK("https://pbs.twimg.com/profile_images/1354492057025449990/GKDFizO-.jpg","View")</f>
        <v>View</v>
      </c>
      <c r="V1736" s="8"/>
      <c r="W1736" s="8"/>
      <c r="X1736" s="8"/>
      <c r="Y1736" s="8"/>
      <c r="Z1736" s="8"/>
    </row>
    <row r="1737" spans="1:26" ht="13.2">
      <c r="A1737" s="13">
        <v>44250.336099537039</v>
      </c>
      <c r="B1737" s="6" t="str">
        <f>HYPERLINK("https://twitter.com/Deep__AI","@Deep__AI")</f>
        <v>@Deep__AI</v>
      </c>
      <c r="C1737" s="14" t="s">
        <v>1904</v>
      </c>
      <c r="D1737" s="14" t="s">
        <v>7095</v>
      </c>
      <c r="E1737" s="6" t="str">
        <f>HYPERLINK("https://twitter.com/Deep__AI/status/1364108727620542472","1364108727620542472")</f>
        <v>1364108727620542472</v>
      </c>
      <c r="F1737" s="7" t="s">
        <v>7096</v>
      </c>
      <c r="G1737" s="8"/>
      <c r="H1737" s="8"/>
      <c r="I1737" s="14">
        <v>2</v>
      </c>
      <c r="J1737" s="14">
        <v>3</v>
      </c>
      <c r="K1737" s="6" t="str">
        <f>HYPERLINK("https://deepai.org/","DeepAI")</f>
        <v>DeepAI</v>
      </c>
      <c r="L1737" s="15">
        <v>36483</v>
      </c>
      <c r="M1737" s="15">
        <v>1642</v>
      </c>
      <c r="N1737" s="15">
        <v>406</v>
      </c>
      <c r="O1737" s="9"/>
      <c r="P1737" s="10">
        <v>42826.414039351846</v>
      </c>
      <c r="Q1737" s="14" t="s">
        <v>1907</v>
      </c>
      <c r="R1737" s="14" t="s">
        <v>1908</v>
      </c>
      <c r="S1737" s="7" t="s">
        <v>1909</v>
      </c>
      <c r="T1737" s="8"/>
      <c r="U1737" s="11" t="str">
        <f>HYPERLINK("https://pbs.twimg.com/profile_images/1118532973203079168/8VTzkyzD.png","View")</f>
        <v>View</v>
      </c>
      <c r="V1737" s="8"/>
      <c r="W1737" s="8"/>
      <c r="X1737" s="8"/>
      <c r="Y1737" s="8"/>
      <c r="Z1737" s="8"/>
    </row>
    <row r="1738" spans="1:26" ht="13.2">
      <c r="A1738" s="13">
        <v>44250.335706018523</v>
      </c>
      <c r="B1738" s="6" t="str">
        <f>HYPERLINK("https://twitter.com/cornichecorp","@cornichecorp")</f>
        <v>@cornichecorp</v>
      </c>
      <c r="C1738" s="14" t="s">
        <v>2271</v>
      </c>
      <c r="D1738" s="14" t="s">
        <v>5021</v>
      </c>
      <c r="E1738" s="6" t="str">
        <f>HYPERLINK("https://twitter.com/cornichecorp/status/1364108584817197061","1364108584817197061")</f>
        <v>1364108584817197061</v>
      </c>
      <c r="F1738" s="14" t="s">
        <v>4928</v>
      </c>
      <c r="G1738" s="8"/>
      <c r="H1738" s="8"/>
      <c r="I1738" s="14">
        <v>1</v>
      </c>
      <c r="J1738" s="14">
        <v>0</v>
      </c>
      <c r="K1738" s="6" t="str">
        <f>HYPERLINK("http://twinybots.com","TwinyBots")</f>
        <v>TwinyBots</v>
      </c>
      <c r="L1738" s="15">
        <v>2349</v>
      </c>
      <c r="M1738" s="15">
        <v>2163</v>
      </c>
      <c r="N1738" s="15">
        <v>30</v>
      </c>
      <c r="O1738" s="9"/>
      <c r="P1738" s="10">
        <v>42246.917499999996</v>
      </c>
      <c r="Q1738" s="14" t="s">
        <v>2274</v>
      </c>
      <c r="R1738" s="14" t="s">
        <v>2275</v>
      </c>
      <c r="S1738" s="8"/>
      <c r="T1738" s="8"/>
      <c r="U1738" s="11" t="str">
        <f>HYPERLINK("https://pbs.twimg.com/profile_images/1135863200396775424/vPe8Htor.png","View")</f>
        <v>View</v>
      </c>
      <c r="V1738" s="8"/>
      <c r="W1738" s="8"/>
      <c r="X1738" s="8"/>
      <c r="Y1738" s="8"/>
      <c r="Z1738" s="8"/>
    </row>
    <row r="1739" spans="1:26" ht="13.2">
      <c r="A1739" s="13">
        <v>44250.335416666669</v>
      </c>
      <c r="B1739" s="6" t="str">
        <f>HYPERLINK("https://twitter.com/carlesdijous","@carlesdijous")</f>
        <v>@carlesdijous</v>
      </c>
      <c r="C1739" s="14" t="s">
        <v>7097</v>
      </c>
      <c r="D1739" s="14" t="s">
        <v>7098</v>
      </c>
      <c r="E1739" s="6" t="str">
        <f>HYPERLINK("https://twitter.com/carlesdijous/status/1364108480282558464","1364108480282558464")</f>
        <v>1364108480282558464</v>
      </c>
      <c r="F1739" s="7" t="s">
        <v>7099</v>
      </c>
      <c r="G1739" s="8"/>
      <c r="H1739" s="8"/>
      <c r="I1739" s="14">
        <v>0</v>
      </c>
      <c r="J1739" s="14">
        <v>0</v>
      </c>
      <c r="K1739" s="6" t="str">
        <f>HYPERLINK("https://about.twitter.com/products/tweetdeck","TweetDeck")</f>
        <v>TweetDeck</v>
      </c>
      <c r="L1739" s="15">
        <v>8873</v>
      </c>
      <c r="M1739" s="15">
        <v>5391</v>
      </c>
      <c r="N1739" s="15">
        <v>2779</v>
      </c>
      <c r="O1739" s="9"/>
      <c r="P1739" s="10">
        <v>39810.505740740744</v>
      </c>
      <c r="Q1739" s="14" t="s">
        <v>3925</v>
      </c>
      <c r="R1739" s="14" t="s">
        <v>7100</v>
      </c>
      <c r="S1739" s="7" t="s">
        <v>7101</v>
      </c>
      <c r="T1739" s="8"/>
      <c r="U1739" s="11" t="str">
        <f>HYPERLINK("https://pbs.twimg.com/profile_images/491086958/CD.JPG","View")</f>
        <v>View</v>
      </c>
      <c r="V1739" s="8"/>
      <c r="W1739" s="8"/>
      <c r="X1739" s="8"/>
      <c r="Y1739" s="8"/>
      <c r="Z1739" s="8"/>
    </row>
    <row r="1740" spans="1:26" ht="13.2">
      <c r="A1740" s="13">
        <v>44250.333425925928</v>
      </c>
      <c r="B1740" s="6" t="str">
        <f>HYPERLINK("https://twitter.com/RoaringElephant","@RoaringElephant")</f>
        <v>@RoaringElephant</v>
      </c>
      <c r="C1740" s="14" t="s">
        <v>7102</v>
      </c>
      <c r="D1740" s="14" t="s">
        <v>7103</v>
      </c>
      <c r="E1740" s="6" t="str">
        <f>HYPERLINK("https://twitter.com/RoaringElephant/status/1364107758983925761","1364107758983925761")</f>
        <v>1364107758983925761</v>
      </c>
      <c r="F1740" s="7" t="s">
        <v>7104</v>
      </c>
      <c r="G1740" s="8"/>
      <c r="H1740" s="8"/>
      <c r="I1740" s="14">
        <v>0</v>
      </c>
      <c r="J1740" s="14">
        <v>0</v>
      </c>
      <c r="K1740" s="6" t="str">
        <f>HYPERLINK("https://roaringelephant.org","RoaringElephantWordpress")</f>
        <v>RoaringElephantWordpress</v>
      </c>
      <c r="L1740" s="15">
        <v>93</v>
      </c>
      <c r="M1740" s="15">
        <v>11</v>
      </c>
      <c r="N1740" s="15">
        <v>0</v>
      </c>
      <c r="O1740" s="9"/>
      <c r="P1740" s="10">
        <v>42268.384305555555</v>
      </c>
      <c r="Q1740" s="14" t="s">
        <v>7105</v>
      </c>
      <c r="R1740" s="14" t="s">
        <v>7106</v>
      </c>
      <c r="S1740" s="7" t="s">
        <v>7107</v>
      </c>
      <c r="T1740" s="8"/>
      <c r="U1740" s="11" t="str">
        <f>HYPERLINK("https://pbs.twimg.com/profile_images/1223172496867889153/ofX0DPph.jpg","View")</f>
        <v>View</v>
      </c>
      <c r="V1740" s="8"/>
      <c r="W1740" s="8"/>
      <c r="X1740" s="8"/>
      <c r="Y1740" s="8"/>
      <c r="Z1740" s="8"/>
    </row>
    <row r="1741" spans="1:26" ht="13.2">
      <c r="A1741" s="13">
        <v>44250.333391203705</v>
      </c>
      <c r="B1741" s="6" t="str">
        <f>HYPERLINK("https://twitter.com/HeptagonTech","@HeptagonTech")</f>
        <v>@HeptagonTech</v>
      </c>
      <c r="C1741" s="7" t="s">
        <v>7108</v>
      </c>
      <c r="D1741" s="14" t="s">
        <v>7109</v>
      </c>
      <c r="E1741" s="6" t="str">
        <f>HYPERLINK("https://twitter.com/HeptagonTech/status/1364107748217085954","1364107748217085954")</f>
        <v>1364107748217085954</v>
      </c>
      <c r="F1741" s="7" t="s">
        <v>7110</v>
      </c>
      <c r="G1741" s="7" t="s">
        <v>7111</v>
      </c>
      <c r="H1741" s="8"/>
      <c r="I1741" s="14">
        <v>10</v>
      </c>
      <c r="J1741" s="14">
        <v>5</v>
      </c>
      <c r="K1741" s="6" t="str">
        <f>HYPERLINK("https://buffer.com","Buffer")</f>
        <v>Buffer</v>
      </c>
      <c r="L1741" s="15">
        <v>469</v>
      </c>
      <c r="M1741" s="15">
        <v>1082</v>
      </c>
      <c r="N1741" s="15">
        <v>14</v>
      </c>
      <c r="O1741" s="9"/>
      <c r="P1741" s="10">
        <v>42719.20113425926</v>
      </c>
      <c r="Q1741" s="14" t="s">
        <v>7112</v>
      </c>
      <c r="R1741" s="14" t="s">
        <v>7113</v>
      </c>
      <c r="S1741" s="7" t="s">
        <v>7114</v>
      </c>
      <c r="T1741" s="8"/>
      <c r="U1741" s="11" t="str">
        <f>HYPERLINK("https://pbs.twimg.com/profile_images/1177169603731976195/qTCU_h23.jpg","View")</f>
        <v>View</v>
      </c>
      <c r="V1741" s="8"/>
      <c r="W1741" s="8"/>
      <c r="X1741" s="8"/>
      <c r="Y1741" s="8"/>
      <c r="Z1741" s="8"/>
    </row>
    <row r="1742" spans="1:26" ht="13.2">
      <c r="A1742" s="13">
        <v>44250.333368055552</v>
      </c>
      <c r="B1742" s="6" t="str">
        <f>HYPERLINK("https://twitter.com/reddit_ml","@reddit_ml")</f>
        <v>@reddit_ml</v>
      </c>
      <c r="C1742" s="14" t="s">
        <v>2744</v>
      </c>
      <c r="D1742" s="14" t="s">
        <v>7115</v>
      </c>
      <c r="E1742" s="6" t="str">
        <f>HYPERLINK("https://twitter.com/reddit_ml/status/1364107737853014020","1364107737853014020")</f>
        <v>1364107737853014020</v>
      </c>
      <c r="F1742" s="7" t="s">
        <v>7116</v>
      </c>
      <c r="G1742" s="8"/>
      <c r="H1742" s="8"/>
      <c r="I1742" s="14">
        <v>0</v>
      </c>
      <c r="J1742" s="14">
        <v>0</v>
      </c>
      <c r="K1742" s="6" t="str">
        <f>HYPERLINK("https://www.reddit.com/r/MachineLearning/","reddit-ml-bot")</f>
        <v>reddit-ml-bot</v>
      </c>
      <c r="L1742" s="15">
        <v>411</v>
      </c>
      <c r="M1742" s="15">
        <v>93</v>
      </c>
      <c r="N1742" s="15">
        <v>35</v>
      </c>
      <c r="O1742" s="9"/>
      <c r="P1742" s="10">
        <v>42527.844641203701</v>
      </c>
      <c r="Q1742" s="8"/>
      <c r="R1742" s="8"/>
      <c r="S1742" s="7" t="s">
        <v>2746</v>
      </c>
      <c r="T1742" s="8"/>
      <c r="U1742" s="11" t="str">
        <f>HYPERLINK("https://pbs.twimg.com/profile_images/739887457206996992/9NUmKQvu.jpg","View")</f>
        <v>View</v>
      </c>
      <c r="V1742" s="8"/>
      <c r="W1742" s="8"/>
      <c r="X1742" s="8"/>
      <c r="Y1742" s="8"/>
      <c r="Z1742" s="8"/>
    </row>
    <row r="1743" spans="1:26" ht="13.2">
      <c r="A1743" s="13">
        <v>44250.333194444444</v>
      </c>
      <c r="B1743" s="6" t="str">
        <f>HYPERLINK("https://twitter.com/Sirlupinwatson","@Sirlupinwatson")</f>
        <v>@Sirlupinwatson</v>
      </c>
      <c r="C1743" s="14" t="s">
        <v>7033</v>
      </c>
      <c r="D1743" s="14" t="s">
        <v>7117</v>
      </c>
      <c r="E1743" s="6" t="str">
        <f>HYPERLINK("https://twitter.com/Sirlupinwatson/status/1364107677585055745","1364107677585055745")</f>
        <v>1364107677585055745</v>
      </c>
      <c r="F1743" s="7" t="s">
        <v>7118</v>
      </c>
      <c r="G1743" s="7" t="s">
        <v>7119</v>
      </c>
      <c r="H1743" s="8"/>
      <c r="I1743" s="14">
        <v>46</v>
      </c>
      <c r="J1743" s="14">
        <v>27</v>
      </c>
      <c r="K1743" s="6" t="str">
        <f>HYPERLINK("https://mobile.twitter.com","Twitter Web App")</f>
        <v>Twitter Web App</v>
      </c>
      <c r="L1743" s="15">
        <v>1449</v>
      </c>
      <c r="M1743" s="15">
        <v>4070</v>
      </c>
      <c r="N1743" s="15">
        <v>7</v>
      </c>
      <c r="O1743" s="9"/>
      <c r="P1743" s="10">
        <v>42651.939120370371</v>
      </c>
      <c r="Q1743" s="14" t="s">
        <v>2649</v>
      </c>
      <c r="R1743" s="14" t="s">
        <v>7036</v>
      </c>
      <c r="S1743" s="7" t="s">
        <v>7037</v>
      </c>
      <c r="T1743" s="8"/>
      <c r="U1743" s="11" t="str">
        <f>HYPERLINK("https://pbs.twimg.com/profile_images/1310177334708887552/9Q1XMJW2.jpg","View")</f>
        <v>View</v>
      </c>
      <c r="V1743" s="8"/>
      <c r="W1743" s="8"/>
      <c r="X1743" s="8"/>
      <c r="Y1743" s="8"/>
      <c r="Z1743" s="8"/>
    </row>
    <row r="1744" spans="1:26" ht="13.2">
      <c r="A1744" s="13">
        <v>44250.332650462966</v>
      </c>
      <c r="B1744" s="6" t="str">
        <f>HYPERLINK("https://twitter.com/RichardEudes","@RichardEudes")</f>
        <v>@RichardEudes</v>
      </c>
      <c r="C1744" s="14" t="s">
        <v>341</v>
      </c>
      <c r="D1744" s="14" t="s">
        <v>7120</v>
      </c>
      <c r="E1744" s="6" t="str">
        <f>HYPERLINK("https://twitter.com/RichardEudes/status/1364107477806178306","1364107477806178306")</f>
        <v>1364107477806178306</v>
      </c>
      <c r="F1744" s="7" t="s">
        <v>7121</v>
      </c>
      <c r="G1744" s="8"/>
      <c r="H1744" s="8"/>
      <c r="I1744" s="14">
        <v>1</v>
      </c>
      <c r="J1744" s="14">
        <v>0</v>
      </c>
      <c r="K1744" s="6" t="str">
        <f>HYPERLINK("https://buffer.com","Buffer")</f>
        <v>Buffer</v>
      </c>
      <c r="L1744" s="15">
        <v>16960</v>
      </c>
      <c r="M1744" s="15">
        <v>1979</v>
      </c>
      <c r="N1744" s="15">
        <v>668</v>
      </c>
      <c r="O1744" s="9"/>
      <c r="P1744" s="10">
        <v>39985.961481481485</v>
      </c>
      <c r="Q1744" s="14" t="s">
        <v>106</v>
      </c>
      <c r="R1744" s="14" t="s">
        <v>344</v>
      </c>
      <c r="S1744" s="7" t="s">
        <v>345</v>
      </c>
      <c r="T1744" s="8"/>
      <c r="U1744" s="11" t="str">
        <f>HYPERLINK("https://pbs.twimg.com/profile_images/1332753391886491648/I9fBm3kf.jpg","View")</f>
        <v>View</v>
      </c>
      <c r="V1744" s="8"/>
      <c r="W1744" s="8"/>
      <c r="X1744" s="8"/>
      <c r="Y1744" s="8"/>
      <c r="Z1744" s="8"/>
    </row>
    <row r="1745" spans="1:26" ht="13.2">
      <c r="A1745" s="13">
        <v>44250.331574074073</v>
      </c>
      <c r="B1745" s="6" t="str">
        <f>HYPERLINK("https://twitter.com/machinelearnflx","@machinelearnflx")</f>
        <v>@machinelearnflx</v>
      </c>
      <c r="C1745" s="14" t="s">
        <v>279</v>
      </c>
      <c r="D1745" s="14" t="s">
        <v>7122</v>
      </c>
      <c r="E1745" s="6" t="str">
        <f>HYPERLINK("https://twitter.com/machinelearnflx/status/1364107088264314881","1364107088264314881")</f>
        <v>1364107088264314881</v>
      </c>
      <c r="F1745" s="7" t="s">
        <v>7123</v>
      </c>
      <c r="G1745" s="8"/>
      <c r="H1745" s="8"/>
      <c r="I1745" s="14">
        <v>10</v>
      </c>
      <c r="J1745" s="14">
        <v>9</v>
      </c>
      <c r="K1745" s="6" t="str">
        <f>HYPERLINK("https://twitter.com/pythonbot_","Postmatico")</f>
        <v>Postmatico</v>
      </c>
      <c r="L1745" s="15">
        <v>90451</v>
      </c>
      <c r="M1745" s="15">
        <v>35464</v>
      </c>
      <c r="N1745" s="15">
        <v>2228</v>
      </c>
      <c r="O1745" s="9"/>
      <c r="P1745" s="10">
        <v>42386.538865740746</v>
      </c>
      <c r="Q1745" s="8"/>
      <c r="R1745" s="14" t="s">
        <v>282</v>
      </c>
      <c r="S1745" s="7" t="s">
        <v>283</v>
      </c>
      <c r="T1745" s="8"/>
      <c r="U1745" s="11" t="str">
        <f>HYPERLINK("https://pbs.twimg.com/profile_images/688735459892195329/v8sHaWSG.jpg","View")</f>
        <v>View</v>
      </c>
      <c r="V1745" s="8"/>
      <c r="W1745" s="8"/>
      <c r="X1745" s="8"/>
      <c r="Y1745" s="8"/>
      <c r="Z1745" s="8"/>
    </row>
    <row r="1746" spans="1:26" ht="13.2">
      <c r="A1746" s="13">
        <v>44250.331342592588</v>
      </c>
      <c r="B1746" s="6" t="str">
        <f t="shared" ref="B1746:B1747" si="326">HYPERLINK("https://twitter.com/Sirlupinwatson","@Sirlupinwatson")</f>
        <v>@Sirlupinwatson</v>
      </c>
      <c r="C1746" s="14" t="s">
        <v>7033</v>
      </c>
      <c r="D1746" s="14" t="s">
        <v>7124</v>
      </c>
      <c r="E1746" s="6" t="str">
        <f>HYPERLINK("https://twitter.com/Sirlupinwatson/status/1364107003493244931","1364107003493244931")</f>
        <v>1364107003493244931</v>
      </c>
      <c r="F1746" s="7" t="s">
        <v>7125</v>
      </c>
      <c r="G1746" s="7" t="s">
        <v>7126</v>
      </c>
      <c r="H1746" s="8"/>
      <c r="I1746" s="14">
        <v>21</v>
      </c>
      <c r="J1746" s="14">
        <v>4</v>
      </c>
      <c r="K1746" s="6" t="str">
        <f t="shared" ref="K1746:K1747" si="327">HYPERLINK("https://mobile.twitter.com","Twitter Web App")</f>
        <v>Twitter Web App</v>
      </c>
      <c r="L1746" s="15">
        <v>1449</v>
      </c>
      <c r="M1746" s="15">
        <v>4070</v>
      </c>
      <c r="N1746" s="15">
        <v>7</v>
      </c>
      <c r="O1746" s="9"/>
      <c r="P1746" s="10">
        <v>42651.939120370371</v>
      </c>
      <c r="Q1746" s="14" t="s">
        <v>2649</v>
      </c>
      <c r="R1746" s="14" t="s">
        <v>7036</v>
      </c>
      <c r="S1746" s="7" t="s">
        <v>7037</v>
      </c>
      <c r="T1746" s="8"/>
      <c r="U1746" s="11" t="str">
        <f t="shared" ref="U1746:U1747" si="328">HYPERLINK("https://pbs.twimg.com/profile_images/1310177334708887552/9Q1XMJW2.jpg","View")</f>
        <v>View</v>
      </c>
      <c r="V1746" s="8"/>
      <c r="W1746" s="8"/>
      <c r="X1746" s="8"/>
      <c r="Y1746" s="8"/>
      <c r="Z1746" s="8"/>
    </row>
    <row r="1747" spans="1:26" ht="13.2">
      <c r="A1747" s="13">
        <v>44250.328414351854</v>
      </c>
      <c r="B1747" s="6" t="str">
        <f t="shared" si="326"/>
        <v>@Sirlupinwatson</v>
      </c>
      <c r="C1747" s="14" t="s">
        <v>7033</v>
      </c>
      <c r="D1747" s="14" t="s">
        <v>7127</v>
      </c>
      <c r="E1747" s="6" t="str">
        <f>HYPERLINK("https://twitter.com/Sirlupinwatson/status/1364105943282253824","1364105943282253824")</f>
        <v>1364105943282253824</v>
      </c>
      <c r="F1747" s="7" t="s">
        <v>7128</v>
      </c>
      <c r="G1747" s="7" t="s">
        <v>7129</v>
      </c>
      <c r="H1747" s="8"/>
      <c r="I1747" s="14">
        <v>30</v>
      </c>
      <c r="J1747" s="14">
        <v>8</v>
      </c>
      <c r="K1747" s="6" t="str">
        <f t="shared" si="327"/>
        <v>Twitter Web App</v>
      </c>
      <c r="L1747" s="15">
        <v>1449</v>
      </c>
      <c r="M1747" s="15">
        <v>4070</v>
      </c>
      <c r="N1747" s="15">
        <v>7</v>
      </c>
      <c r="O1747" s="9"/>
      <c r="P1747" s="10">
        <v>42651.939120370371</v>
      </c>
      <c r="Q1747" s="14" t="s">
        <v>2649</v>
      </c>
      <c r="R1747" s="14" t="s">
        <v>7036</v>
      </c>
      <c r="S1747" s="7" t="s">
        <v>7037</v>
      </c>
      <c r="T1747" s="8"/>
      <c r="U1747" s="11" t="str">
        <f t="shared" si="328"/>
        <v>View</v>
      </c>
      <c r="V1747" s="8"/>
      <c r="W1747" s="8"/>
      <c r="X1747" s="8"/>
      <c r="Y1747" s="8"/>
      <c r="Z1747" s="8"/>
    </row>
    <row r="1748" spans="1:26" ht="13.2">
      <c r="A1748" s="13">
        <v>44250.328252314815</v>
      </c>
      <c r="B1748" s="6" t="str">
        <f>HYPERLINK("https://twitter.com/sebbourguignon","@sebbourguignon")</f>
        <v>@sebbourguignon</v>
      </c>
      <c r="C1748" s="14" t="s">
        <v>7130</v>
      </c>
      <c r="D1748" s="14" t="s">
        <v>7131</v>
      </c>
      <c r="E1748" s="6" t="str">
        <f>HYPERLINK("https://twitter.com/sebbourguignon/status/1364105886306873344","1364105886306873344")</f>
        <v>1364105886306873344</v>
      </c>
      <c r="F1748" s="8"/>
      <c r="G1748" s="7" t="s">
        <v>7132</v>
      </c>
      <c r="H1748" s="8"/>
      <c r="I1748" s="14">
        <v>9</v>
      </c>
      <c r="J1748" s="14">
        <v>13</v>
      </c>
      <c r="K1748" s="6" t="str">
        <f>HYPERLINK("https://buffer.com","Buffer")</f>
        <v>Buffer</v>
      </c>
      <c r="L1748" s="15">
        <v>41698</v>
      </c>
      <c r="M1748" s="15">
        <v>6007</v>
      </c>
      <c r="N1748" s="15">
        <v>3277</v>
      </c>
      <c r="O1748" s="15" t="s">
        <v>130</v>
      </c>
      <c r="P1748" s="10">
        <v>40954.344282407408</v>
      </c>
      <c r="Q1748" s="14" t="s">
        <v>106</v>
      </c>
      <c r="R1748" s="14" t="s">
        <v>7133</v>
      </c>
      <c r="S1748" s="7" t="s">
        <v>7134</v>
      </c>
      <c r="T1748" s="8"/>
      <c r="U1748" s="11" t="str">
        <f>HYPERLINK("https://pbs.twimg.com/profile_images/813506776029102080/SxeLIf08.jpg","View")</f>
        <v>View</v>
      </c>
      <c r="V1748" s="8"/>
      <c r="W1748" s="8"/>
      <c r="X1748" s="8"/>
      <c r="Y1748" s="8"/>
      <c r="Z1748" s="8"/>
    </row>
    <row r="1749" spans="1:26" ht="13.2">
      <c r="A1749" s="13">
        <v>44250.325567129628</v>
      </c>
      <c r="B1749" s="6" t="str">
        <f>HYPERLINK("https://twitter.com/CouponBest3","@CouponBest3")</f>
        <v>@CouponBest3</v>
      </c>
      <c r="C1749" s="14" t="s">
        <v>6871</v>
      </c>
      <c r="D1749" s="14" t="s">
        <v>7135</v>
      </c>
      <c r="E1749" s="6" t="str">
        <f>HYPERLINK("https://twitter.com/CouponBest3/status/1364104913014329344","1364104913014329344")</f>
        <v>1364104913014329344</v>
      </c>
      <c r="F1749" s="7" t="s">
        <v>7136</v>
      </c>
      <c r="G1749" s="7" t="s">
        <v>7137</v>
      </c>
      <c r="H1749" s="8"/>
      <c r="I1749" s="14">
        <v>24</v>
      </c>
      <c r="J1749" s="14">
        <v>9</v>
      </c>
      <c r="K1749" s="6" t="str">
        <f t="shared" ref="K1749:K1750" si="329">HYPERLINK("https://mobile.twitter.com","Twitter Web App")</f>
        <v>Twitter Web App</v>
      </c>
      <c r="L1749" s="15">
        <v>6</v>
      </c>
      <c r="M1749" s="15">
        <v>11</v>
      </c>
      <c r="N1749" s="15">
        <v>0</v>
      </c>
      <c r="O1749" s="9"/>
      <c r="P1749" s="10">
        <v>44194.480995370366</v>
      </c>
      <c r="Q1749" s="14" t="s">
        <v>1421</v>
      </c>
      <c r="R1749" s="14" t="s">
        <v>6875</v>
      </c>
      <c r="S1749" s="7" t="s">
        <v>249</v>
      </c>
      <c r="T1749" s="8"/>
      <c r="U1749" s="11" t="str">
        <f>HYPERLINK("https://pbs.twimg.com/profile_images/1343867972645912576/4wSwu09l.jpg","View")</f>
        <v>View</v>
      </c>
      <c r="V1749" s="8"/>
      <c r="W1749" s="8"/>
      <c r="X1749" s="8"/>
      <c r="Y1749" s="8"/>
      <c r="Z1749" s="8"/>
    </row>
    <row r="1750" spans="1:26" ht="13.2">
      <c r="A1750" s="13">
        <v>44250.324965277774</v>
      </c>
      <c r="B1750" s="6" t="str">
        <f>HYPERLINK("https://twitter.com/PropertyQuants","@PropertyQuants")</f>
        <v>@PropertyQuants</v>
      </c>
      <c r="C1750" s="14" t="s">
        <v>7138</v>
      </c>
      <c r="D1750" s="14" t="s">
        <v>7139</v>
      </c>
      <c r="E1750" s="6" t="str">
        <f>HYPERLINK("https://twitter.com/PropertyQuants/status/1364104692393857028","1364104692393857028")</f>
        <v>1364104692393857028</v>
      </c>
      <c r="F1750" s="7" t="s">
        <v>7140</v>
      </c>
      <c r="G1750" s="7" t="s">
        <v>7141</v>
      </c>
      <c r="H1750" s="8"/>
      <c r="I1750" s="14">
        <v>3</v>
      </c>
      <c r="J1750" s="14">
        <v>0</v>
      </c>
      <c r="K1750" s="6" t="str">
        <f t="shared" si="329"/>
        <v>Twitter Web App</v>
      </c>
      <c r="L1750" s="15">
        <v>54</v>
      </c>
      <c r="M1750" s="15">
        <v>1</v>
      </c>
      <c r="N1750" s="15">
        <v>1</v>
      </c>
      <c r="O1750" s="9"/>
      <c r="P1750" s="10">
        <v>43706.155347222222</v>
      </c>
      <c r="Q1750" s="8"/>
      <c r="R1750" s="14" t="s">
        <v>7142</v>
      </c>
      <c r="S1750" s="8"/>
      <c r="T1750" s="8"/>
      <c r="U1750" s="11" t="str">
        <f>HYPERLINK("https://pbs.twimg.com/profile_images/1166889278112026624/OkDwqxC-.jpg","View")</f>
        <v>View</v>
      </c>
      <c r="V1750" s="8"/>
      <c r="W1750" s="8"/>
      <c r="X1750" s="8"/>
      <c r="Y1750" s="8"/>
      <c r="Z1750" s="8"/>
    </row>
    <row r="1751" spans="1:26" ht="13.2">
      <c r="A1751" s="13">
        <v>44250.323726851857</v>
      </c>
      <c r="B1751" s="6" t="str">
        <f>HYPERLINK("https://twitter.com/New081082","@New081082")</f>
        <v>@New081082</v>
      </c>
      <c r="C1751" s="14" t="s">
        <v>6091</v>
      </c>
      <c r="D1751" s="14" t="s">
        <v>7143</v>
      </c>
      <c r="E1751" s="6" t="str">
        <f>HYPERLINK("https://twitter.com/New081082/status/1364104244307980293","1364104244307980293")</f>
        <v>1364104244307980293</v>
      </c>
      <c r="F1751" s="14" t="s">
        <v>7144</v>
      </c>
      <c r="G1751" s="7" t="s">
        <v>7145</v>
      </c>
      <c r="H1751" s="8"/>
      <c r="I1751" s="14">
        <v>22</v>
      </c>
      <c r="J1751" s="14">
        <v>10</v>
      </c>
      <c r="K1751" s="6" t="str">
        <f>HYPERLINK("http://twitter.com/download/iphone","Twitter for iPhone")</f>
        <v>Twitter for iPhone</v>
      </c>
      <c r="L1751" s="15">
        <v>767</v>
      </c>
      <c r="M1751" s="15">
        <v>760</v>
      </c>
      <c r="N1751" s="15">
        <v>4</v>
      </c>
      <c r="O1751" s="9"/>
      <c r="P1751" s="10">
        <v>44049.665451388893</v>
      </c>
      <c r="Q1751" s="14" t="s">
        <v>926</v>
      </c>
      <c r="R1751" s="14" t="s">
        <v>6095</v>
      </c>
      <c r="S1751" s="8"/>
      <c r="T1751" s="8"/>
      <c r="U1751" s="11" t="str">
        <f>HYPERLINK("https://pbs.twimg.com/profile_images/1362418074616401921/FBJcHVg8.jpg","View")</f>
        <v>View</v>
      </c>
      <c r="V1751" s="8"/>
      <c r="W1751" s="8"/>
      <c r="X1751" s="8"/>
      <c r="Y1751" s="8"/>
      <c r="Z1751" s="8"/>
    </row>
    <row r="1752" spans="1:26" ht="13.2">
      <c r="A1752" s="13">
        <v>44250.322615740741</v>
      </c>
      <c r="B1752" s="6" t="str">
        <f>HYPERLINK("https://twitter.com/shaif_uddin","@shaif_uddin")</f>
        <v>@shaif_uddin</v>
      </c>
      <c r="C1752" s="14" t="s">
        <v>7146</v>
      </c>
      <c r="D1752" s="14" t="s">
        <v>7147</v>
      </c>
      <c r="E1752" s="6" t="str">
        <f>HYPERLINK("https://twitter.com/shaif_uddin/status/1364103843005353986","1364103843005353986")</f>
        <v>1364103843005353986</v>
      </c>
      <c r="F1752" s="7" t="s">
        <v>7148</v>
      </c>
      <c r="G1752" s="8"/>
      <c r="H1752" s="8"/>
      <c r="I1752" s="14">
        <v>2</v>
      </c>
      <c r="J1752" s="14">
        <v>1</v>
      </c>
      <c r="K1752" s="6" t="str">
        <f>HYPERLINK("https://mobile.twitter.com","Twitter Web App")</f>
        <v>Twitter Web App</v>
      </c>
      <c r="L1752" s="15">
        <v>39</v>
      </c>
      <c r="M1752" s="15">
        <v>50</v>
      </c>
      <c r="N1752" s="15">
        <v>0</v>
      </c>
      <c r="O1752" s="9"/>
      <c r="P1752" s="10">
        <v>40071.684664351851</v>
      </c>
      <c r="Q1752" s="14" t="s">
        <v>7149</v>
      </c>
      <c r="R1752" s="8"/>
      <c r="S1752" s="8"/>
      <c r="T1752" s="8"/>
      <c r="U1752" s="11" t="str">
        <f>HYPERLINK("https://pbs.twimg.com/profile_images/416424315/SP_A00422.jpg","View")</f>
        <v>View</v>
      </c>
      <c r="V1752" s="8"/>
      <c r="W1752" s="8"/>
      <c r="X1752" s="8"/>
      <c r="Y1752" s="8"/>
      <c r="Z1752" s="8"/>
    </row>
    <row r="1753" spans="1:26" ht="13.2">
      <c r="A1753" s="13">
        <v>44250.321261574078</v>
      </c>
      <c r="B1753" s="6" t="str">
        <f>HYPERLINK("https://twitter.com/machinelearnflx","@machinelearnflx")</f>
        <v>@machinelearnflx</v>
      </c>
      <c r="C1753" s="14" t="s">
        <v>279</v>
      </c>
      <c r="D1753" s="14" t="s">
        <v>7150</v>
      </c>
      <c r="E1753" s="6" t="str">
        <f>HYPERLINK("https://twitter.com/machinelearnflx/status/1364103352741752833","1364103352741752833")</f>
        <v>1364103352741752833</v>
      </c>
      <c r="F1753" s="7" t="s">
        <v>7151</v>
      </c>
      <c r="G1753" s="8"/>
      <c r="H1753" s="8"/>
      <c r="I1753" s="14">
        <v>3</v>
      </c>
      <c r="J1753" s="14">
        <v>5</v>
      </c>
      <c r="K1753" s="6" t="str">
        <f>HYPERLINK("https://twitter.com/pythonbot_","Postmatico")</f>
        <v>Postmatico</v>
      </c>
      <c r="L1753" s="15">
        <v>90451</v>
      </c>
      <c r="M1753" s="15">
        <v>35464</v>
      </c>
      <c r="N1753" s="15">
        <v>2228</v>
      </c>
      <c r="O1753" s="9"/>
      <c r="P1753" s="10">
        <v>42386.538865740746</v>
      </c>
      <c r="Q1753" s="8"/>
      <c r="R1753" s="14" t="s">
        <v>282</v>
      </c>
      <c r="S1753" s="7" t="s">
        <v>283</v>
      </c>
      <c r="T1753" s="8"/>
      <c r="U1753" s="11" t="str">
        <f>HYPERLINK("https://pbs.twimg.com/profile_images/688735459892195329/v8sHaWSG.jpg","View")</f>
        <v>View</v>
      </c>
      <c r="V1753" s="8"/>
      <c r="W1753" s="8"/>
      <c r="X1753" s="8"/>
      <c r="Y1753" s="8"/>
      <c r="Z1753" s="8"/>
    </row>
    <row r="1754" spans="1:26" ht="13.2">
      <c r="A1754" s="13">
        <v>44250.321192129632</v>
      </c>
      <c r="B1754" s="6" t="str">
        <f>HYPERLINK("https://twitter.com/TechvedTv","@TechvedTv")</f>
        <v>@TechvedTv</v>
      </c>
      <c r="C1754" s="14" t="s">
        <v>7152</v>
      </c>
      <c r="D1754" s="14" t="s">
        <v>7153</v>
      </c>
      <c r="E1754" s="6" t="str">
        <f>HYPERLINK("https://twitter.com/TechvedTv/status/1364103328385277957","1364103328385277957")</f>
        <v>1364103328385277957</v>
      </c>
      <c r="F1754" s="7" t="s">
        <v>7154</v>
      </c>
      <c r="G1754" s="7" t="s">
        <v>7155</v>
      </c>
      <c r="H1754" s="8"/>
      <c r="I1754" s="14">
        <v>1</v>
      </c>
      <c r="J1754" s="14">
        <v>1</v>
      </c>
      <c r="K1754" s="6" t="str">
        <f t="shared" ref="K1754:K1756" si="330">HYPERLINK("https://mobile.twitter.com","Twitter Web App")</f>
        <v>Twitter Web App</v>
      </c>
      <c r="L1754" s="15">
        <v>61</v>
      </c>
      <c r="M1754" s="15">
        <v>93</v>
      </c>
      <c r="N1754" s="15">
        <v>0</v>
      </c>
      <c r="O1754" s="9"/>
      <c r="P1754" s="10">
        <v>44090.365069444444</v>
      </c>
      <c r="Q1754" s="8"/>
      <c r="R1754" s="14" t="s">
        <v>7156</v>
      </c>
      <c r="S1754" s="7" t="s">
        <v>7157</v>
      </c>
      <c r="T1754" s="8"/>
      <c r="U1754" s="11" t="str">
        <f>HYPERLINK("https://pbs.twimg.com/profile_images/1306122162986651648/C0juWAMQ.jpg","View")</f>
        <v>View</v>
      </c>
      <c r="V1754" s="8"/>
      <c r="W1754" s="8"/>
      <c r="X1754" s="8"/>
      <c r="Y1754" s="8"/>
      <c r="Z1754" s="8"/>
    </row>
    <row r="1755" spans="1:26" ht="13.2">
      <c r="A1755" s="13">
        <v>44250.320821759262</v>
      </c>
      <c r="B1755" s="6" t="str">
        <f>HYPERLINK("https://twitter.com/rasangarocks","@rasangarocks")</f>
        <v>@rasangarocks</v>
      </c>
      <c r="C1755" s="14" t="s">
        <v>5437</v>
      </c>
      <c r="D1755" s="14" t="s">
        <v>7158</v>
      </c>
      <c r="E1755" s="6" t="str">
        <f>HYPERLINK("https://twitter.com/rasangarocks/status/1364103192217219073","1364103192217219073")</f>
        <v>1364103192217219073</v>
      </c>
      <c r="F1755" s="7" t="s">
        <v>7159</v>
      </c>
      <c r="G1755" s="8"/>
      <c r="H1755" s="8"/>
      <c r="I1755" s="14">
        <v>10</v>
      </c>
      <c r="J1755" s="14">
        <v>6</v>
      </c>
      <c r="K1755" s="6" t="str">
        <f t="shared" si="330"/>
        <v>Twitter Web App</v>
      </c>
      <c r="L1755" s="15">
        <v>50654</v>
      </c>
      <c r="M1755" s="15">
        <v>49987</v>
      </c>
      <c r="N1755" s="15">
        <v>624</v>
      </c>
      <c r="O1755" s="9"/>
      <c r="P1755" s="10">
        <v>42071.75949074074</v>
      </c>
      <c r="Q1755" s="8"/>
      <c r="R1755" s="14" t="s">
        <v>5440</v>
      </c>
      <c r="S1755" s="7" t="s">
        <v>5441</v>
      </c>
      <c r="T1755" s="8"/>
      <c r="U1755" s="11" t="str">
        <f>HYPERLINK("https://pbs.twimg.com/profile_images/771872242300956672/j1H-OInO.jpg","View")</f>
        <v>View</v>
      </c>
      <c r="V1755" s="8"/>
      <c r="W1755" s="8"/>
      <c r="X1755" s="8"/>
      <c r="Y1755" s="8"/>
      <c r="Z1755" s="8"/>
    </row>
    <row r="1756" spans="1:26" ht="13.2">
      <c r="A1756" s="13">
        <v>44250.320729166662</v>
      </c>
      <c r="B1756" s="6" t="str">
        <f>HYPERLINK("https://twitter.com/Advatera","@Advatera")</f>
        <v>@Advatera</v>
      </c>
      <c r="C1756" s="14" t="s">
        <v>7160</v>
      </c>
      <c r="D1756" s="14" t="s">
        <v>7161</v>
      </c>
      <c r="E1756" s="6" t="str">
        <f>HYPERLINK("https://twitter.com/Advatera/status/1364103160688689156","1364103160688689156")</f>
        <v>1364103160688689156</v>
      </c>
      <c r="F1756" s="7" t="s">
        <v>7162</v>
      </c>
      <c r="G1756" s="7" t="s">
        <v>7163</v>
      </c>
      <c r="H1756" s="8"/>
      <c r="I1756" s="14">
        <v>1</v>
      </c>
      <c r="J1756" s="14">
        <v>0</v>
      </c>
      <c r="K1756" s="6" t="str">
        <f t="shared" si="330"/>
        <v>Twitter Web App</v>
      </c>
      <c r="L1756" s="15">
        <v>599</v>
      </c>
      <c r="M1756" s="15">
        <v>556</v>
      </c>
      <c r="N1756" s="15">
        <v>42</v>
      </c>
      <c r="O1756" s="9"/>
      <c r="P1756" s="10">
        <v>41490.99077546296</v>
      </c>
      <c r="Q1756" s="8"/>
      <c r="R1756" s="14" t="s">
        <v>7164</v>
      </c>
      <c r="S1756" s="7" t="s">
        <v>7165</v>
      </c>
      <c r="T1756" s="8"/>
      <c r="U1756" s="11" t="str">
        <f>HYPERLINK("https://pbs.twimg.com/profile_images/378800000303999395/ec90c4b2d444a3efd4dac93e2ae3d1a4.jpeg","View")</f>
        <v>View</v>
      </c>
      <c r="V1756" s="8"/>
      <c r="W1756" s="8"/>
      <c r="X1756" s="8"/>
      <c r="Y1756" s="8"/>
      <c r="Z1756" s="8"/>
    </row>
    <row r="1757" spans="1:26" ht="13.2">
      <c r="A1757" s="13">
        <v>44250.320405092592</v>
      </c>
      <c r="B1757" s="6" t="str">
        <f>HYPERLINK("https://twitter.com/last_crusaderr","@last_crusaderr")</f>
        <v>@last_crusaderr</v>
      </c>
      <c r="C1757" s="14" t="s">
        <v>7166</v>
      </c>
      <c r="D1757" s="14" t="s">
        <v>7167</v>
      </c>
      <c r="E1757" s="6" t="str">
        <f>HYPERLINK("https://twitter.com/last_crusaderr/status/1364103041914261504","1364103041914261504")</f>
        <v>1364103041914261504</v>
      </c>
      <c r="F1757" s="8"/>
      <c r="G1757" s="8"/>
      <c r="H1757" s="8"/>
      <c r="I1757" s="14">
        <v>19</v>
      </c>
      <c r="J1757" s="14">
        <v>12</v>
      </c>
      <c r="K1757" s="6" t="str">
        <f>HYPERLINK("http://twitter.com/download/iphone","Twitter for iPhone")</f>
        <v>Twitter for iPhone</v>
      </c>
      <c r="L1757" s="15">
        <v>206</v>
      </c>
      <c r="M1757" s="15">
        <v>44</v>
      </c>
      <c r="N1757" s="15">
        <v>1</v>
      </c>
      <c r="O1757" s="9"/>
      <c r="P1757" s="10">
        <v>43787.936643518522</v>
      </c>
      <c r="Q1757" s="8"/>
      <c r="R1757" s="14" t="s">
        <v>7168</v>
      </c>
      <c r="S1757" s="8"/>
      <c r="T1757" s="8"/>
      <c r="U1757" s="11" t="str">
        <f>HYPERLINK("https://pbs.twimg.com/profile_images/1353012546974998528/OIGAEkBG.jpg","View")</f>
        <v>View</v>
      </c>
      <c r="V1757" s="8"/>
      <c r="W1757" s="8"/>
      <c r="X1757" s="8"/>
      <c r="Y1757" s="8"/>
      <c r="Z1757" s="8"/>
    </row>
    <row r="1758" spans="1:26" ht="13.2">
      <c r="A1758" s="13">
        <v>44250.319444444445</v>
      </c>
      <c r="B1758" s="6" t="str">
        <f>HYPERLINK("https://twitter.com/Kevindd","@Kevindd")</f>
        <v>@Kevindd</v>
      </c>
      <c r="C1758" s="14" t="s">
        <v>7169</v>
      </c>
      <c r="D1758" s="14" t="s">
        <v>7170</v>
      </c>
      <c r="E1758" s="6" t="str">
        <f>HYPERLINK("https://twitter.com/Kevindd/status/1364102691094360066","1364102691094360066")</f>
        <v>1364102691094360066</v>
      </c>
      <c r="F1758" s="14" t="s">
        <v>7171</v>
      </c>
      <c r="G1758" s="8"/>
      <c r="H1758" s="8"/>
      <c r="I1758" s="14">
        <v>1</v>
      </c>
      <c r="J1758" s="14">
        <v>0</v>
      </c>
      <c r="K1758" s="6" t="str">
        <f>HYPERLINK("http://www.linkedin.com/","LinkedIn")</f>
        <v>LinkedIn</v>
      </c>
      <c r="L1758" s="15">
        <v>1027</v>
      </c>
      <c r="M1758" s="15">
        <v>897</v>
      </c>
      <c r="N1758" s="15">
        <v>69</v>
      </c>
      <c r="O1758" s="9"/>
      <c r="P1758" s="10">
        <v>39960.112500000003</v>
      </c>
      <c r="Q1758" s="14" t="s">
        <v>7172</v>
      </c>
      <c r="R1758" s="14" t="s">
        <v>7173</v>
      </c>
      <c r="S1758" s="7" t="s">
        <v>7174</v>
      </c>
      <c r="T1758" s="8"/>
      <c r="U1758" s="11" t="str">
        <f>HYPERLINK("https://pbs.twimg.com/profile_images/1075974640/kevinpic_small.jpg","View")</f>
        <v>View</v>
      </c>
      <c r="V1758" s="8"/>
      <c r="W1758" s="8"/>
      <c r="X1758" s="8"/>
      <c r="Y1758" s="8"/>
      <c r="Z1758" s="8"/>
    </row>
    <row r="1759" spans="1:26" ht="13.2">
      <c r="A1759" s="13">
        <v>44250.318761574075</v>
      </c>
      <c r="B1759" s="6" t="str">
        <f>HYPERLINK("https://twitter.com/anoushk77","@anoushk77")</f>
        <v>@anoushk77</v>
      </c>
      <c r="C1759" s="14" t="s">
        <v>7175</v>
      </c>
      <c r="D1759" s="14" t="s">
        <v>7176</v>
      </c>
      <c r="E1759" s="6" t="str">
        <f>HYPERLINK("https://twitter.com/anoushk77/status/1364102445903806467","1364102445903806467")</f>
        <v>1364102445903806467</v>
      </c>
      <c r="F1759" s="8"/>
      <c r="G1759" s="7" t="s">
        <v>7177</v>
      </c>
      <c r="H1759" s="8"/>
      <c r="I1759" s="14">
        <v>27</v>
      </c>
      <c r="J1759" s="14">
        <v>20</v>
      </c>
      <c r="K1759" s="6" t="str">
        <f>HYPERLINK("https://yala.social","YalaBot")</f>
        <v>YalaBot</v>
      </c>
      <c r="L1759" s="15">
        <v>136</v>
      </c>
      <c r="M1759" s="15">
        <v>390</v>
      </c>
      <c r="N1759" s="15">
        <v>1</v>
      </c>
      <c r="O1759" s="9"/>
      <c r="P1759" s="10">
        <v>42555.830636574072</v>
      </c>
      <c r="Q1759" s="14" t="s">
        <v>7178</v>
      </c>
      <c r="R1759" s="14" t="s">
        <v>7179</v>
      </c>
      <c r="S1759" s="7" t="s">
        <v>7180</v>
      </c>
      <c r="T1759" s="8"/>
      <c r="U1759" s="11" t="str">
        <f>HYPERLINK("https://pbs.twimg.com/profile_images/1340294695054766082/Qbod0NiD.jpg","View")</f>
        <v>View</v>
      </c>
      <c r="V1759" s="8"/>
      <c r="W1759" s="8"/>
      <c r="X1759" s="8"/>
      <c r="Y1759" s="8"/>
      <c r="Z1759" s="8"/>
    </row>
    <row r="1760" spans="1:26" ht="13.2">
      <c r="A1760" s="13">
        <v>44250.317939814813</v>
      </c>
      <c r="B1760" s="6" t="str">
        <f>HYPERLINK("https://twitter.com/jblefevre60","@jblefevre60")</f>
        <v>@jblefevre60</v>
      </c>
      <c r="C1760" s="14" t="s">
        <v>464</v>
      </c>
      <c r="D1760" s="14" t="s">
        <v>7181</v>
      </c>
      <c r="E1760" s="6" t="str">
        <f>HYPERLINK("https://twitter.com/jblefevre60/status/1364102146879332355","1364102146879332355")</f>
        <v>1364102146879332355</v>
      </c>
      <c r="F1760" s="8"/>
      <c r="G1760" s="7" t="s">
        <v>5208</v>
      </c>
      <c r="H1760" s="8"/>
      <c r="I1760" s="14">
        <v>59</v>
      </c>
      <c r="J1760" s="14">
        <v>116</v>
      </c>
      <c r="K1760" s="6" t="str">
        <f>HYPERLINK("http://twitter.com/download/android","Twitter for Android")</f>
        <v>Twitter for Android</v>
      </c>
      <c r="L1760" s="15">
        <v>80848</v>
      </c>
      <c r="M1760" s="15">
        <v>5582</v>
      </c>
      <c r="N1760" s="15">
        <v>5070</v>
      </c>
      <c r="O1760" s="9"/>
      <c r="P1760" s="10">
        <v>42342.801134259258</v>
      </c>
      <c r="Q1760" s="14" t="s">
        <v>106</v>
      </c>
      <c r="R1760" s="14" t="s">
        <v>467</v>
      </c>
      <c r="S1760" s="7" t="s">
        <v>468</v>
      </c>
      <c r="T1760" s="8"/>
      <c r="U1760" s="11" t="str">
        <f>HYPERLINK("https://pbs.twimg.com/profile_images/915247803248599040/GsF3avSn.jpg","View")</f>
        <v>View</v>
      </c>
      <c r="V1760" s="8"/>
      <c r="W1760" s="8"/>
      <c r="X1760" s="8"/>
      <c r="Y1760" s="8"/>
      <c r="Z1760" s="8"/>
    </row>
    <row r="1761" spans="1:26" ht="13.2">
      <c r="A1761" s="13">
        <v>44250.31759259259</v>
      </c>
      <c r="B1761" s="6" t="str">
        <f>HYPERLINK("https://twitter.com/FeatSystems","@FeatSystems")</f>
        <v>@FeatSystems</v>
      </c>
      <c r="C1761" s="14" t="s">
        <v>7182</v>
      </c>
      <c r="D1761" s="14" t="s">
        <v>7183</v>
      </c>
      <c r="E1761" s="6" t="str">
        <f>HYPERLINK("https://twitter.com/FeatSystems/status/1364102020987318275","1364102020987318275")</f>
        <v>1364102020987318275</v>
      </c>
      <c r="F1761" s="8"/>
      <c r="G1761" s="7" t="s">
        <v>7184</v>
      </c>
      <c r="H1761" s="8"/>
      <c r="I1761" s="14">
        <v>0</v>
      </c>
      <c r="J1761" s="14">
        <v>3</v>
      </c>
      <c r="K1761" s="6" t="str">
        <f t="shared" ref="K1761:K1762" si="331">HYPERLINK("https://mobile.twitter.com","Twitter Web App")</f>
        <v>Twitter Web App</v>
      </c>
      <c r="L1761" s="15">
        <v>512</v>
      </c>
      <c r="M1761" s="15">
        <v>761</v>
      </c>
      <c r="N1761" s="15">
        <v>1</v>
      </c>
      <c r="O1761" s="9"/>
      <c r="P1761" s="10">
        <v>41404.582754629628</v>
      </c>
      <c r="Q1761" s="14" t="s">
        <v>3685</v>
      </c>
      <c r="R1761" s="14" t="s">
        <v>7185</v>
      </c>
      <c r="S1761" s="7" t="s">
        <v>7186</v>
      </c>
      <c r="T1761" s="8"/>
      <c r="U1761" s="11" t="str">
        <f>HYPERLINK("https://pbs.twimg.com/profile_images/977961121129943041/JxBR1MlO.jpg","View")</f>
        <v>View</v>
      </c>
      <c r="V1761" s="8"/>
      <c r="W1761" s="8"/>
      <c r="X1761" s="8"/>
      <c r="Y1761" s="8"/>
      <c r="Z1761" s="8"/>
    </row>
    <row r="1762" spans="1:26" ht="13.2">
      <c r="A1762" s="13">
        <v>44250.31726851852</v>
      </c>
      <c r="B1762" s="6" t="str">
        <f>HYPERLINK("https://twitter.com/QAValley","@QAValley")</f>
        <v>@QAValley</v>
      </c>
      <c r="C1762" s="14" t="s">
        <v>5315</v>
      </c>
      <c r="D1762" s="14" t="s">
        <v>7187</v>
      </c>
      <c r="E1762" s="6" t="str">
        <f>HYPERLINK("https://twitter.com/QAValley/status/1364101906218459137","1364101906218459137")</f>
        <v>1364101906218459137</v>
      </c>
      <c r="F1762" s="7" t="s">
        <v>7188</v>
      </c>
      <c r="G1762" s="7" t="s">
        <v>7189</v>
      </c>
      <c r="H1762" s="8"/>
      <c r="I1762" s="14">
        <v>0</v>
      </c>
      <c r="J1762" s="14">
        <v>1</v>
      </c>
      <c r="K1762" s="6" t="str">
        <f t="shared" si="331"/>
        <v>Twitter Web App</v>
      </c>
      <c r="L1762" s="15">
        <v>6419</v>
      </c>
      <c r="M1762" s="15">
        <v>7053</v>
      </c>
      <c r="N1762" s="15">
        <v>15</v>
      </c>
      <c r="O1762" s="9"/>
      <c r="P1762" s="10">
        <v>42058.749386574069</v>
      </c>
      <c r="Q1762" s="14" t="s">
        <v>191</v>
      </c>
      <c r="R1762" s="14" t="s">
        <v>5319</v>
      </c>
      <c r="S1762" s="7" t="s">
        <v>5320</v>
      </c>
      <c r="T1762" s="8"/>
      <c r="U1762" s="11" t="str">
        <f>HYPERLINK("https://pbs.twimg.com/profile_images/976909546240307200/3Gy-rd2X.jpg","View")</f>
        <v>View</v>
      </c>
      <c r="V1762" s="8"/>
      <c r="W1762" s="8"/>
      <c r="X1762" s="8"/>
      <c r="Y1762" s="8"/>
      <c r="Z1762" s="8"/>
    </row>
    <row r="1763" spans="1:26" ht="13.2">
      <c r="A1763" s="13">
        <v>44250.316979166666</v>
      </c>
      <c r="B1763" s="6" t="str">
        <f>HYPERLINK("https://twitter.com/machinelearnflx","@machinelearnflx")</f>
        <v>@machinelearnflx</v>
      </c>
      <c r="C1763" s="14" t="s">
        <v>279</v>
      </c>
      <c r="D1763" s="14" t="s">
        <v>7190</v>
      </c>
      <c r="E1763" s="6" t="str">
        <f>HYPERLINK("https://twitter.com/machinelearnflx/status/1364101801503576067","1364101801503576067")</f>
        <v>1364101801503576067</v>
      </c>
      <c r="F1763" s="7" t="s">
        <v>7191</v>
      </c>
      <c r="G1763" s="8"/>
      <c r="H1763" s="8"/>
      <c r="I1763" s="14">
        <v>9</v>
      </c>
      <c r="J1763" s="14">
        <v>16</v>
      </c>
      <c r="K1763" s="6" t="str">
        <f>HYPERLINK("https://twitter.com/pythonbot_","Postmatico")</f>
        <v>Postmatico</v>
      </c>
      <c r="L1763" s="15">
        <v>90451</v>
      </c>
      <c r="M1763" s="15">
        <v>35464</v>
      </c>
      <c r="N1763" s="15">
        <v>2228</v>
      </c>
      <c r="O1763" s="9"/>
      <c r="P1763" s="10">
        <v>42386.538865740746</v>
      </c>
      <c r="Q1763" s="8"/>
      <c r="R1763" s="14" t="s">
        <v>282</v>
      </c>
      <c r="S1763" s="7" t="s">
        <v>283</v>
      </c>
      <c r="T1763" s="8"/>
      <c r="U1763" s="11" t="str">
        <f>HYPERLINK("https://pbs.twimg.com/profile_images/688735459892195329/v8sHaWSG.jpg","View")</f>
        <v>View</v>
      </c>
      <c r="V1763" s="8"/>
      <c r="W1763" s="8"/>
      <c r="X1763" s="8"/>
      <c r="Y1763" s="8"/>
      <c r="Z1763" s="8"/>
    </row>
    <row r="1764" spans="1:26" ht="13.2">
      <c r="A1764" s="13">
        <v>44250.316018518519</v>
      </c>
      <c r="B1764" s="6" t="str">
        <f>HYPERLINK("https://twitter.com/AI_PlainEnglish","@AI_PlainEnglish")</f>
        <v>@AI_PlainEnglish</v>
      </c>
      <c r="C1764" s="14" t="s">
        <v>2282</v>
      </c>
      <c r="D1764" s="14" t="s">
        <v>7192</v>
      </c>
      <c r="E1764" s="6" t="str">
        <f>HYPERLINK("https://twitter.com/AI_PlainEnglish/status/1364101452612988929","1364101452612988929")</f>
        <v>1364101452612988929</v>
      </c>
      <c r="F1764" s="7" t="s">
        <v>7193</v>
      </c>
      <c r="G1764" s="8"/>
      <c r="H1764" s="8"/>
      <c r="I1764" s="14">
        <v>0</v>
      </c>
      <c r="J1764" s="14">
        <v>0</v>
      </c>
      <c r="K1764" s="8"/>
      <c r="L1764" s="15">
        <v>32</v>
      </c>
      <c r="M1764" s="15">
        <v>5</v>
      </c>
      <c r="N1764" s="15">
        <v>0</v>
      </c>
      <c r="O1764" s="9"/>
      <c r="P1764" s="10">
        <v>44206.451215277775</v>
      </c>
      <c r="Q1764" s="14" t="s">
        <v>2285</v>
      </c>
      <c r="R1764" s="14" t="s">
        <v>2286</v>
      </c>
      <c r="S1764" s="7" t="s">
        <v>2287</v>
      </c>
      <c r="T1764" s="8"/>
      <c r="U1764" s="11" t="str">
        <f>HYPERLINK("https://pbs.twimg.com/profile_images/1359444764098260999/C6-rgvq0.jpg","View")</f>
        <v>View</v>
      </c>
      <c r="V1764" s="8"/>
      <c r="W1764" s="8"/>
      <c r="X1764" s="8"/>
      <c r="Y1764" s="8"/>
      <c r="Z1764" s="8"/>
    </row>
    <row r="1765" spans="1:26" ht="13.2">
      <c r="A1765" s="13">
        <v>44250.315312499995</v>
      </c>
      <c r="B1765" s="6" t="str">
        <f>HYPERLINK("https://twitter.com/gp_pulipaka","@gp_pulipaka")</f>
        <v>@gp_pulipaka</v>
      </c>
      <c r="C1765" s="14" t="s">
        <v>2230</v>
      </c>
      <c r="D1765" s="14" t="s">
        <v>4622</v>
      </c>
      <c r="E1765" s="6" t="str">
        <f>HYPERLINK("https://twitter.com/gp_pulipaka/status/1364101193815965697","1364101193815965697")</f>
        <v>1364101193815965697</v>
      </c>
      <c r="F1765" s="7" t="s">
        <v>7194</v>
      </c>
      <c r="G1765" s="7" t="s">
        <v>7195</v>
      </c>
      <c r="H1765" s="8"/>
      <c r="I1765" s="14">
        <v>42</v>
      </c>
      <c r="J1765" s="14">
        <v>29</v>
      </c>
      <c r="K1765" s="6" t="str">
        <f>HYPERLINK("https://buffer.com","Buffer")</f>
        <v>Buffer</v>
      </c>
      <c r="L1765" s="15">
        <v>109083</v>
      </c>
      <c r="M1765" s="15">
        <v>22723</v>
      </c>
      <c r="N1765" s="15">
        <v>3558</v>
      </c>
      <c r="O1765" s="9"/>
      <c r="P1765" s="10">
        <v>42325.138298611113</v>
      </c>
      <c r="Q1765" s="14" t="s">
        <v>2234</v>
      </c>
      <c r="R1765" s="14" t="s">
        <v>2235</v>
      </c>
      <c r="S1765" s="7" t="s">
        <v>2236</v>
      </c>
      <c r="T1765" s="8"/>
      <c r="U1765" s="11" t="str">
        <f>HYPERLINK("https://pbs.twimg.com/profile_images/1354974939887988736/P9wzBxgk.jpg","View")</f>
        <v>View</v>
      </c>
      <c r="V1765" s="8"/>
      <c r="W1765" s="8"/>
      <c r="X1765" s="8"/>
      <c r="Y1765" s="8"/>
      <c r="Z1765" s="8"/>
    </row>
    <row r="1766" spans="1:26" ht="13.2">
      <c r="A1766" s="13">
        <v>44250.313761574071</v>
      </c>
      <c r="B1766" s="6" t="str">
        <f t="shared" ref="B1766:B1769" si="332">HYPERLINK("https://twitter.com/into_AI","@into_AI")</f>
        <v>@into_AI</v>
      </c>
      <c r="C1766" s="14" t="s">
        <v>2021</v>
      </c>
      <c r="D1766" s="14" t="s">
        <v>7196</v>
      </c>
      <c r="E1766" s="6" t="str">
        <f>HYPERLINK("https://twitter.com/into_AI/status/1364100635482800128","1364100635482800128")</f>
        <v>1364100635482800128</v>
      </c>
      <c r="F1766" s="7" t="s">
        <v>7197</v>
      </c>
      <c r="G1766" s="8"/>
      <c r="H1766" s="8"/>
      <c r="I1766" s="14">
        <v>2</v>
      </c>
      <c r="J1766" s="14">
        <v>2</v>
      </c>
      <c r="K1766" s="6" t="str">
        <f t="shared" ref="K1766:K1769" si="333">HYPERLINK("http://into.AI","into.AI")</f>
        <v>into.AI</v>
      </c>
      <c r="L1766" s="15">
        <v>19374</v>
      </c>
      <c r="M1766" s="15">
        <v>1707</v>
      </c>
      <c r="N1766" s="15">
        <v>3164</v>
      </c>
      <c r="O1766" s="9"/>
      <c r="P1766" s="10">
        <v>42133.721620370372</v>
      </c>
      <c r="Q1766" s="14" t="s">
        <v>2024</v>
      </c>
      <c r="R1766" s="14" t="s">
        <v>2025</v>
      </c>
      <c r="S1766" s="7" t="s">
        <v>2026</v>
      </c>
      <c r="T1766" s="8"/>
      <c r="U1766" s="11" t="str">
        <f t="shared" ref="U1766:U1769" si="334">HYPERLINK("https://pbs.twimg.com/profile_images/967341160124608512/LM2Y5Q5m.jpg","View")</f>
        <v>View</v>
      </c>
      <c r="V1766" s="8"/>
      <c r="W1766" s="8"/>
      <c r="X1766" s="8"/>
      <c r="Y1766" s="8"/>
      <c r="Z1766" s="8"/>
    </row>
    <row r="1767" spans="1:26" ht="13.2">
      <c r="A1767" s="13">
        <v>44250.313680555555</v>
      </c>
      <c r="B1767" s="6" t="str">
        <f t="shared" si="332"/>
        <v>@into_AI</v>
      </c>
      <c r="C1767" s="14" t="s">
        <v>2021</v>
      </c>
      <c r="D1767" s="14" t="s">
        <v>7198</v>
      </c>
      <c r="E1767" s="6" t="str">
        <f>HYPERLINK("https://twitter.com/into_AI/status/1364100605975920641","1364100605975920641")</f>
        <v>1364100605975920641</v>
      </c>
      <c r="F1767" s="7" t="s">
        <v>7199</v>
      </c>
      <c r="G1767" s="8"/>
      <c r="H1767" s="8"/>
      <c r="I1767" s="14">
        <v>3</v>
      </c>
      <c r="J1767" s="14">
        <v>2</v>
      </c>
      <c r="K1767" s="6" t="str">
        <f t="shared" si="333"/>
        <v>into.AI</v>
      </c>
      <c r="L1767" s="15">
        <v>19374</v>
      </c>
      <c r="M1767" s="15">
        <v>1707</v>
      </c>
      <c r="N1767" s="15">
        <v>3164</v>
      </c>
      <c r="O1767" s="9"/>
      <c r="P1767" s="10">
        <v>42133.721620370372</v>
      </c>
      <c r="Q1767" s="14" t="s">
        <v>2024</v>
      </c>
      <c r="R1767" s="14" t="s">
        <v>2025</v>
      </c>
      <c r="S1767" s="7" t="s">
        <v>2026</v>
      </c>
      <c r="T1767" s="8"/>
      <c r="U1767" s="11" t="str">
        <f t="shared" si="334"/>
        <v>View</v>
      </c>
      <c r="V1767" s="8"/>
      <c r="W1767" s="8"/>
      <c r="X1767" s="8"/>
      <c r="Y1767" s="8"/>
      <c r="Z1767" s="8"/>
    </row>
    <row r="1768" spans="1:26" ht="13.2">
      <c r="A1768" s="13">
        <v>44250.313611111109</v>
      </c>
      <c r="B1768" s="6" t="str">
        <f t="shared" si="332"/>
        <v>@into_AI</v>
      </c>
      <c r="C1768" s="14" t="s">
        <v>2021</v>
      </c>
      <c r="D1768" s="14" t="s">
        <v>7200</v>
      </c>
      <c r="E1768" s="6" t="str">
        <f>HYPERLINK("https://twitter.com/into_AI/status/1364100578738061313","1364100578738061313")</f>
        <v>1364100578738061313</v>
      </c>
      <c r="F1768" s="7" t="s">
        <v>7201</v>
      </c>
      <c r="G1768" s="8"/>
      <c r="H1768" s="8"/>
      <c r="I1768" s="14">
        <v>4</v>
      </c>
      <c r="J1768" s="14">
        <v>2</v>
      </c>
      <c r="K1768" s="6" t="str">
        <f t="shared" si="333"/>
        <v>into.AI</v>
      </c>
      <c r="L1768" s="15">
        <v>19374</v>
      </c>
      <c r="M1768" s="15">
        <v>1707</v>
      </c>
      <c r="N1768" s="15">
        <v>3164</v>
      </c>
      <c r="O1768" s="9"/>
      <c r="P1768" s="10">
        <v>42133.721620370372</v>
      </c>
      <c r="Q1768" s="14" t="s">
        <v>2024</v>
      </c>
      <c r="R1768" s="14" t="s">
        <v>2025</v>
      </c>
      <c r="S1768" s="7" t="s">
        <v>2026</v>
      </c>
      <c r="T1768" s="8"/>
      <c r="U1768" s="11" t="str">
        <f t="shared" si="334"/>
        <v>View</v>
      </c>
      <c r="V1768" s="8"/>
      <c r="W1768" s="8"/>
      <c r="X1768" s="8"/>
      <c r="Y1768" s="8"/>
      <c r="Z1768" s="8"/>
    </row>
    <row r="1769" spans="1:26" ht="13.2">
      <c r="A1769" s="13">
        <v>44250.313541666663</v>
      </c>
      <c r="B1769" s="6" t="str">
        <f t="shared" si="332"/>
        <v>@into_AI</v>
      </c>
      <c r="C1769" s="14" t="s">
        <v>2021</v>
      </c>
      <c r="D1769" s="14" t="s">
        <v>7202</v>
      </c>
      <c r="E1769" s="6" t="str">
        <f>HYPERLINK("https://twitter.com/into_AI/status/1364100554385932295","1364100554385932295")</f>
        <v>1364100554385932295</v>
      </c>
      <c r="F1769" s="7" t="s">
        <v>7203</v>
      </c>
      <c r="G1769" s="8"/>
      <c r="H1769" s="8"/>
      <c r="I1769" s="14">
        <v>3</v>
      </c>
      <c r="J1769" s="14">
        <v>3</v>
      </c>
      <c r="K1769" s="6" t="str">
        <f t="shared" si="333"/>
        <v>into.AI</v>
      </c>
      <c r="L1769" s="15">
        <v>19374</v>
      </c>
      <c r="M1769" s="15">
        <v>1707</v>
      </c>
      <c r="N1769" s="15">
        <v>3164</v>
      </c>
      <c r="O1769" s="9"/>
      <c r="P1769" s="10">
        <v>42133.721620370372</v>
      </c>
      <c r="Q1769" s="14" t="s">
        <v>2024</v>
      </c>
      <c r="R1769" s="14" t="s">
        <v>2025</v>
      </c>
      <c r="S1769" s="7" t="s">
        <v>2026</v>
      </c>
      <c r="T1769" s="8"/>
      <c r="U1769" s="11" t="str">
        <f t="shared" si="334"/>
        <v>View</v>
      </c>
      <c r="V1769" s="8"/>
      <c r="W1769" s="8"/>
      <c r="X1769" s="8"/>
      <c r="Y1769" s="8"/>
      <c r="Z1769" s="8"/>
    </row>
    <row r="1770" spans="1:26" ht="13.2">
      <c r="A1770" s="13">
        <v>44250.312789351854</v>
      </c>
      <c r="B1770" s="6" t="str">
        <f>HYPERLINK("https://twitter.com/EngBigData","@EngBigData")</f>
        <v>@EngBigData</v>
      </c>
      <c r="C1770" s="14" t="s">
        <v>7204</v>
      </c>
      <c r="D1770" s="14" t="s">
        <v>7205</v>
      </c>
      <c r="E1770" s="6" t="str">
        <f>HYPERLINK("https://twitter.com/EngBigData/status/1364100280124661761","1364100280124661761")</f>
        <v>1364100280124661761</v>
      </c>
      <c r="F1770" s="7" t="s">
        <v>7206</v>
      </c>
      <c r="G1770" s="8"/>
      <c r="H1770" s="8"/>
      <c r="I1770" s="14">
        <v>3</v>
      </c>
      <c r="J1770" s="14">
        <v>2</v>
      </c>
      <c r="K1770" s="6" t="str">
        <f>HYPERLINK("https://www.engineeringbigdata.com/","Auto Tweets with Python")</f>
        <v>Auto Tweets with Python</v>
      </c>
      <c r="L1770" s="15">
        <v>889</v>
      </c>
      <c r="M1770" s="15">
        <v>995</v>
      </c>
      <c r="N1770" s="15">
        <v>9</v>
      </c>
      <c r="O1770" s="9"/>
      <c r="P1770" s="10">
        <v>43120.128680555557</v>
      </c>
      <c r="Q1770" s="14" t="s">
        <v>7207</v>
      </c>
      <c r="R1770" s="14" t="s">
        <v>7208</v>
      </c>
      <c r="S1770" s="7" t="s">
        <v>7209</v>
      </c>
      <c r="T1770" s="8"/>
      <c r="U1770" s="11" t="str">
        <f>HYPERLINK("https://pbs.twimg.com/profile_images/1345364875611090952/KIIaFSI3.jpg","View")</f>
        <v>View</v>
      </c>
      <c r="V1770" s="8"/>
      <c r="W1770" s="8"/>
      <c r="X1770" s="8"/>
      <c r="Y1770" s="8"/>
      <c r="Z1770" s="8"/>
    </row>
    <row r="1771" spans="1:26" ht="13.2">
      <c r="A1771" s="13">
        <v>44250.312627314815</v>
      </c>
      <c r="B1771" s="6" t="str">
        <f>HYPERLINK("https://twitter.com/seeingmachines","@seeingmachines")</f>
        <v>@seeingmachines</v>
      </c>
      <c r="C1771" s="14" t="s">
        <v>7210</v>
      </c>
      <c r="D1771" s="14" t="s">
        <v>7211</v>
      </c>
      <c r="E1771" s="6" t="str">
        <f>HYPERLINK("https://twitter.com/seeingmachines/status/1364100222109036546","1364100222109036546")</f>
        <v>1364100222109036546</v>
      </c>
      <c r="F1771" s="8"/>
      <c r="G1771" s="7" t="s">
        <v>7212</v>
      </c>
      <c r="H1771" s="8"/>
      <c r="I1771" s="14">
        <v>10</v>
      </c>
      <c r="J1771" s="14">
        <v>22</v>
      </c>
      <c r="K1771" s="6" t="str">
        <f>HYPERLINK("https://www.hootsuite.com","Hootsuite Inc.")</f>
        <v>Hootsuite Inc.</v>
      </c>
      <c r="L1771" s="15">
        <v>2358</v>
      </c>
      <c r="M1771" s="15">
        <v>711</v>
      </c>
      <c r="N1771" s="15">
        <v>43</v>
      </c>
      <c r="O1771" s="9"/>
      <c r="P1771" s="10">
        <v>40583.912291666667</v>
      </c>
      <c r="Q1771" s="8"/>
      <c r="R1771" s="14" t="s">
        <v>7213</v>
      </c>
      <c r="S1771" s="7" t="s">
        <v>7214</v>
      </c>
      <c r="T1771" s="8"/>
      <c r="U1771" s="11" t="str">
        <f>HYPERLINK("https://pbs.twimg.com/profile_images/930944923565670403/bwGJZT8Z.jpg","View")</f>
        <v>View</v>
      </c>
      <c r="V1771" s="8"/>
      <c r="W1771" s="8"/>
      <c r="X1771" s="8"/>
      <c r="Y1771" s="8"/>
      <c r="Z1771" s="8"/>
    </row>
    <row r="1772" spans="1:26" ht="13.2">
      <c r="A1772" s="13">
        <v>44250.312581018516</v>
      </c>
      <c r="B1772" s="6" t="str">
        <f>HYPERLINK("https://twitter.com/ipfconline1","@ipfconline1")</f>
        <v>@ipfconline1</v>
      </c>
      <c r="C1772" s="14" t="s">
        <v>65</v>
      </c>
      <c r="D1772" s="14" t="s">
        <v>7215</v>
      </c>
      <c r="E1772" s="6" t="str">
        <f>HYPERLINK("https://twitter.com/ipfconline1/status/1364100204027338753","1364100204027338753")</f>
        <v>1364100204027338753</v>
      </c>
      <c r="F1772" s="7" t="s">
        <v>7216</v>
      </c>
      <c r="G1772" s="7" t="s">
        <v>7217</v>
      </c>
      <c r="H1772" s="8"/>
      <c r="I1772" s="14">
        <v>15</v>
      </c>
      <c r="J1772" s="14">
        <v>13</v>
      </c>
      <c r="K1772" s="6" t="str">
        <f>HYPERLINK("https://twittimer.com","Twittimer")</f>
        <v>Twittimer</v>
      </c>
      <c r="L1772" s="15">
        <v>112675</v>
      </c>
      <c r="M1772" s="15">
        <v>107162</v>
      </c>
      <c r="N1772" s="15">
        <v>7806</v>
      </c>
      <c r="O1772" s="9"/>
      <c r="P1772" s="10">
        <v>42433.031967592593</v>
      </c>
      <c r="Q1772" s="14" t="s">
        <v>69</v>
      </c>
      <c r="R1772" s="14" t="s">
        <v>70</v>
      </c>
      <c r="S1772" s="7" t="s">
        <v>71</v>
      </c>
      <c r="T1772" s="8"/>
      <c r="U1772" s="11" t="str">
        <f>HYPERLINK("https://pbs.twimg.com/profile_images/729065804004769793/St2_Pum9.jpg","View")</f>
        <v>View</v>
      </c>
      <c r="V1772" s="8"/>
      <c r="W1772" s="8"/>
      <c r="X1772" s="8"/>
      <c r="Y1772" s="8"/>
      <c r="Z1772" s="8"/>
    </row>
    <row r="1773" spans="1:26" ht="13.2">
      <c r="A1773" s="13">
        <v>44250.31251157407</v>
      </c>
      <c r="B1773" s="6" t="str">
        <f>HYPERLINK("https://twitter.com/LeMagIT","@LeMagIT")</f>
        <v>@LeMagIT</v>
      </c>
      <c r="C1773" s="14" t="s">
        <v>7218</v>
      </c>
      <c r="D1773" s="14" t="s">
        <v>7219</v>
      </c>
      <c r="E1773" s="6" t="str">
        <f>HYPERLINK("https://twitter.com/LeMagIT/status/1364100180648353793","1364100180648353793")</f>
        <v>1364100180648353793</v>
      </c>
      <c r="F1773" s="7" t="s">
        <v>7220</v>
      </c>
      <c r="G1773" s="8"/>
      <c r="H1773" s="8"/>
      <c r="I1773" s="14">
        <v>3</v>
      </c>
      <c r="J1773" s="14">
        <v>3</v>
      </c>
      <c r="K1773" s="6" t="str">
        <f>HYPERLINK("https://sproutsocial.com","Sprout Social")</f>
        <v>Sprout Social</v>
      </c>
      <c r="L1773" s="15">
        <v>16025</v>
      </c>
      <c r="M1773" s="15">
        <v>1170</v>
      </c>
      <c r="N1773" s="15">
        <v>912</v>
      </c>
      <c r="O1773" s="15" t="s">
        <v>130</v>
      </c>
      <c r="P1773" s="10">
        <v>39570.38721064815</v>
      </c>
      <c r="Q1773" s="14" t="s">
        <v>7221</v>
      </c>
      <c r="R1773" s="14" t="s">
        <v>7222</v>
      </c>
      <c r="S1773" s="7" t="s">
        <v>7223</v>
      </c>
      <c r="T1773" s="8"/>
      <c r="U1773" s="11" t="str">
        <f>HYPERLINK("https://pbs.twimg.com/profile_images/1057948353705664513/SupN6P5i.jpg","View")</f>
        <v>View</v>
      </c>
      <c r="V1773" s="8"/>
      <c r="W1773" s="8"/>
      <c r="X1773" s="8"/>
      <c r="Y1773" s="8"/>
      <c r="Z1773" s="8"/>
    </row>
    <row r="1774" spans="1:26" ht="13.2">
      <c r="A1774" s="13">
        <v>44250.3125</v>
      </c>
      <c r="B1774" s="6" t="str">
        <f>HYPERLINK("https://twitter.com/hopsworks","@hopsworks")</f>
        <v>@hopsworks</v>
      </c>
      <c r="C1774" s="14" t="s">
        <v>7224</v>
      </c>
      <c r="D1774" s="14" t="s">
        <v>7225</v>
      </c>
      <c r="E1774" s="6" t="str">
        <f>HYPERLINK("https://twitter.com/hopsworks/status/1364100177804611584","1364100177804611584")</f>
        <v>1364100177804611584</v>
      </c>
      <c r="F1774" s="8"/>
      <c r="G1774" s="7" t="s">
        <v>7226</v>
      </c>
      <c r="H1774" s="8"/>
      <c r="I1774" s="14">
        <v>2</v>
      </c>
      <c r="J1774" s="14">
        <v>11</v>
      </c>
      <c r="K1774" s="6" t="str">
        <f>HYPERLINK("http://www.hubspot.com/","HubSpot")</f>
        <v>HubSpot</v>
      </c>
      <c r="L1774" s="15">
        <v>625</v>
      </c>
      <c r="M1774" s="15">
        <v>536</v>
      </c>
      <c r="N1774" s="15">
        <v>10</v>
      </c>
      <c r="O1774" s="9"/>
      <c r="P1774" s="10">
        <v>41942.586087962962</v>
      </c>
      <c r="Q1774" s="14" t="s">
        <v>7227</v>
      </c>
      <c r="R1774" s="14" t="s">
        <v>7228</v>
      </c>
      <c r="S1774" s="7" t="s">
        <v>7229</v>
      </c>
      <c r="T1774" s="8"/>
      <c r="U1774" s="11" t="str">
        <f>HYPERLINK("https://pbs.twimg.com/profile_images/1305445287318745094/f42WiBS0.png","View")</f>
        <v>View</v>
      </c>
      <c r="V1774" s="8"/>
      <c r="W1774" s="8"/>
      <c r="X1774" s="8"/>
      <c r="Y1774" s="8"/>
      <c r="Z1774" s="8"/>
    </row>
    <row r="1775" spans="1:26" ht="13.2">
      <c r="A1775" s="13">
        <v>44250.3125</v>
      </c>
      <c r="B1775" s="6" t="str">
        <f>HYPERLINK("https://twitter.com/_Harinivas_","@_Harinivas_")</f>
        <v>@_Harinivas_</v>
      </c>
      <c r="C1775" s="14" t="s">
        <v>3156</v>
      </c>
      <c r="D1775" s="14" t="s">
        <v>7230</v>
      </c>
      <c r="E1775" s="6" t="str">
        <f>HYPERLINK("https://twitter.com/_Harinivas_/status/1364100175765987329","1364100175765987329")</f>
        <v>1364100175765987329</v>
      </c>
      <c r="F1775" s="8"/>
      <c r="G1775" s="7" t="s">
        <v>7231</v>
      </c>
      <c r="H1775" s="8"/>
      <c r="I1775" s="14">
        <v>3</v>
      </c>
      <c r="J1775" s="14">
        <v>4</v>
      </c>
      <c r="K1775" s="6" t="str">
        <f>HYPERLINK("https://mobile.twitter.com","Twitter Web App")</f>
        <v>Twitter Web App</v>
      </c>
      <c r="L1775" s="15">
        <v>16</v>
      </c>
      <c r="M1775" s="15">
        <v>85</v>
      </c>
      <c r="N1775" s="15">
        <v>0</v>
      </c>
      <c r="O1775" s="9"/>
      <c r="P1775" s="10">
        <v>44245.6091087963</v>
      </c>
      <c r="Q1775" s="8"/>
      <c r="R1775" s="14" t="s">
        <v>3159</v>
      </c>
      <c r="S1775" s="8"/>
      <c r="T1775" s="8"/>
      <c r="U1775" s="11" t="str">
        <f>HYPERLINK("https://pbs.twimg.com/profile_images/1363061419797716994/2Yn7O2fH.jpg","View")</f>
        <v>View</v>
      </c>
      <c r="V1775" s="8"/>
      <c r="W1775" s="8"/>
      <c r="X1775" s="8"/>
      <c r="Y1775" s="8"/>
      <c r="Z1775" s="8"/>
    </row>
    <row r="1776" spans="1:26" ht="13.2">
      <c r="A1776" s="13">
        <v>44250.310057870374</v>
      </c>
      <c r="B1776" s="6" t="str">
        <f>HYPERLINK("https://twitter.com/PandhareSidhesh","@PandhareSidhesh")</f>
        <v>@PandhareSidhesh</v>
      </c>
      <c r="C1776" s="14" t="s">
        <v>2399</v>
      </c>
      <c r="D1776" s="14" t="s">
        <v>5021</v>
      </c>
      <c r="E1776" s="6" t="str">
        <f>HYPERLINK("https://twitter.com/PandhareSidhesh/status/1364099290231169025","1364099290231169025")</f>
        <v>1364099290231169025</v>
      </c>
      <c r="F1776" s="14" t="s">
        <v>4928</v>
      </c>
      <c r="G1776" s="8"/>
      <c r="H1776" s="8"/>
      <c r="I1776" s="14">
        <v>1</v>
      </c>
      <c r="J1776" s="14">
        <v>1</v>
      </c>
      <c r="K1776" s="6" t="str">
        <f>HYPERLINK("http://twinybots.com","TwinyBots")</f>
        <v>TwinyBots</v>
      </c>
      <c r="L1776" s="15">
        <v>811</v>
      </c>
      <c r="M1776" s="15">
        <v>965</v>
      </c>
      <c r="N1776" s="15">
        <v>17</v>
      </c>
      <c r="O1776" s="9"/>
      <c r="P1776" s="10">
        <v>41917.38753472222</v>
      </c>
      <c r="Q1776" s="14" t="s">
        <v>2167</v>
      </c>
      <c r="R1776" s="14" t="s">
        <v>2400</v>
      </c>
      <c r="S1776" s="7" t="s">
        <v>2401</v>
      </c>
      <c r="T1776" s="8"/>
      <c r="U1776" s="11" t="str">
        <f>HYPERLINK("https://pbs.twimg.com/profile_images/1089412063355637761/6l3zV4bs.jpg","View")</f>
        <v>View</v>
      </c>
      <c r="V1776" s="8"/>
      <c r="W1776" s="8"/>
      <c r="X1776" s="8"/>
      <c r="Y1776" s="8"/>
      <c r="Z1776" s="8"/>
    </row>
    <row r="1777" spans="1:26" ht="13.2">
      <c r="A1777" s="13">
        <v>44250.308645833335</v>
      </c>
      <c r="B1777" s="6" t="str">
        <f>HYPERLINK("https://twitter.com/machinelearnflx","@machinelearnflx")</f>
        <v>@machinelearnflx</v>
      </c>
      <c r="C1777" s="14" t="s">
        <v>279</v>
      </c>
      <c r="D1777" s="14" t="s">
        <v>7232</v>
      </c>
      <c r="E1777" s="6" t="str">
        <f>HYPERLINK("https://twitter.com/machinelearnflx/status/1364098779918594049","1364098779918594049")</f>
        <v>1364098779918594049</v>
      </c>
      <c r="F1777" s="7" t="s">
        <v>7233</v>
      </c>
      <c r="G1777" s="8"/>
      <c r="H1777" s="8"/>
      <c r="I1777" s="14">
        <v>2</v>
      </c>
      <c r="J1777" s="14">
        <v>8</v>
      </c>
      <c r="K1777" s="6" t="str">
        <f>HYPERLINK("https://twitter.com/pythonbot_","Postmatico")</f>
        <v>Postmatico</v>
      </c>
      <c r="L1777" s="15">
        <v>90451</v>
      </c>
      <c r="M1777" s="15">
        <v>35464</v>
      </c>
      <c r="N1777" s="15">
        <v>2228</v>
      </c>
      <c r="O1777" s="9"/>
      <c r="P1777" s="10">
        <v>42386.538865740746</v>
      </c>
      <c r="Q1777" s="8"/>
      <c r="R1777" s="14" t="s">
        <v>282</v>
      </c>
      <c r="S1777" s="7" t="s">
        <v>283</v>
      </c>
      <c r="T1777" s="8"/>
      <c r="U1777" s="11" t="str">
        <f>HYPERLINK("https://pbs.twimg.com/profile_images/688735459892195329/v8sHaWSG.jpg","View")</f>
        <v>View</v>
      </c>
      <c r="V1777" s="8"/>
      <c r="W1777" s="8"/>
      <c r="X1777" s="8"/>
      <c r="Y1777" s="8"/>
      <c r="Z1777" s="8"/>
    </row>
    <row r="1778" spans="1:26" ht="13.2">
      <c r="A1778" s="13">
        <v>44250.308298611111</v>
      </c>
      <c r="B1778" s="6" t="str">
        <f>HYPERLINK("https://twitter.com/AllsoftI","@AllsoftI")</f>
        <v>@AllsoftI</v>
      </c>
      <c r="C1778" s="14" t="s">
        <v>7234</v>
      </c>
      <c r="D1778" s="14" t="s">
        <v>7235</v>
      </c>
      <c r="E1778" s="6" t="str">
        <f>HYPERLINK("https://twitter.com/AllsoftI/status/1364098655951613954","1364098655951613954")</f>
        <v>1364098655951613954</v>
      </c>
      <c r="F1778" s="7" t="s">
        <v>7236</v>
      </c>
      <c r="G1778" s="7" t="s">
        <v>7237</v>
      </c>
      <c r="H1778" s="8"/>
      <c r="I1778" s="14">
        <v>2</v>
      </c>
      <c r="J1778" s="14">
        <v>5</v>
      </c>
      <c r="K1778" s="6" t="str">
        <f t="shared" ref="K1778:K1780" si="335">HYPERLINK("https://mobile.twitter.com","Twitter Web App")</f>
        <v>Twitter Web App</v>
      </c>
      <c r="L1778" s="15">
        <v>22</v>
      </c>
      <c r="M1778" s="15">
        <v>197</v>
      </c>
      <c r="N1778" s="15">
        <v>0</v>
      </c>
      <c r="O1778" s="9"/>
      <c r="P1778" s="10">
        <v>43882.609722222223</v>
      </c>
      <c r="Q1778" s="14" t="s">
        <v>7238</v>
      </c>
      <c r="R1778" s="14" t="s">
        <v>7239</v>
      </c>
      <c r="S1778" s="7" t="s">
        <v>7236</v>
      </c>
      <c r="T1778" s="8"/>
      <c r="U1778" s="11" t="str">
        <f>HYPERLINK("https://pbs.twimg.com/profile_images/1279015240529821697/COM8AAPA.jpg","View")</f>
        <v>View</v>
      </c>
      <c r="V1778" s="8"/>
      <c r="W1778" s="8"/>
      <c r="X1778" s="8"/>
      <c r="Y1778" s="8"/>
      <c r="Z1778" s="8"/>
    </row>
    <row r="1779" spans="1:26" ht="13.2">
      <c r="A1779" s="13">
        <v>44250.308275462958</v>
      </c>
      <c r="B1779" s="6" t="str">
        <f>HYPERLINK("https://twitter.com/rasangarocks","@rasangarocks")</f>
        <v>@rasangarocks</v>
      </c>
      <c r="C1779" s="14" t="s">
        <v>5437</v>
      </c>
      <c r="D1779" s="14" t="s">
        <v>7240</v>
      </c>
      <c r="E1779" s="6" t="str">
        <f>HYPERLINK("https://twitter.com/rasangarocks/status/1364098645721636865","1364098645721636865")</f>
        <v>1364098645721636865</v>
      </c>
      <c r="F1779" s="7" t="s">
        <v>7241</v>
      </c>
      <c r="G1779" s="8"/>
      <c r="H1779" s="8"/>
      <c r="I1779" s="14">
        <v>25</v>
      </c>
      <c r="J1779" s="14">
        <v>12</v>
      </c>
      <c r="K1779" s="6" t="str">
        <f t="shared" si="335"/>
        <v>Twitter Web App</v>
      </c>
      <c r="L1779" s="15">
        <v>50654</v>
      </c>
      <c r="M1779" s="15">
        <v>49987</v>
      </c>
      <c r="N1779" s="15">
        <v>624</v>
      </c>
      <c r="O1779" s="9"/>
      <c r="P1779" s="10">
        <v>42071.75949074074</v>
      </c>
      <c r="Q1779" s="8"/>
      <c r="R1779" s="14" t="s">
        <v>5440</v>
      </c>
      <c r="S1779" s="7" t="s">
        <v>5441</v>
      </c>
      <c r="T1779" s="8"/>
      <c r="U1779" s="11" t="str">
        <f>HYPERLINK("https://pbs.twimg.com/profile_images/771872242300956672/j1H-OInO.jpg","View")</f>
        <v>View</v>
      </c>
      <c r="V1779" s="8"/>
      <c r="W1779" s="8"/>
      <c r="X1779" s="8"/>
      <c r="Y1779" s="8"/>
      <c r="Z1779" s="8"/>
    </row>
    <row r="1780" spans="1:26" ht="13.2">
      <c r="A1780" s="13">
        <v>44250.307743055557</v>
      </c>
      <c r="B1780" s="6" t="str">
        <f>HYPERLINK("https://twitter.com/ml_india_","@ml_india_")</f>
        <v>@ml_india_</v>
      </c>
      <c r="C1780" s="14" t="s">
        <v>7242</v>
      </c>
      <c r="D1780" s="12" t="s">
        <v>7243</v>
      </c>
      <c r="E1780" s="6" t="str">
        <f>HYPERLINK("https://twitter.com/ml_india_/status/1364098454637604866","1364098454637604866")</f>
        <v>1364098454637604866</v>
      </c>
      <c r="F1780" s="8"/>
      <c r="G1780" s="7" t="s">
        <v>7244</v>
      </c>
      <c r="H1780" s="8"/>
      <c r="I1780" s="14">
        <v>3</v>
      </c>
      <c r="J1780" s="14">
        <v>17</v>
      </c>
      <c r="K1780" s="6" t="str">
        <f t="shared" si="335"/>
        <v>Twitter Web App</v>
      </c>
      <c r="L1780" s="15">
        <v>3137</v>
      </c>
      <c r="M1780" s="15">
        <v>156</v>
      </c>
      <c r="N1780" s="15">
        <v>28</v>
      </c>
      <c r="O1780" s="9"/>
      <c r="P1780" s="10">
        <v>43225.634675925925</v>
      </c>
      <c r="Q1780" s="14" t="s">
        <v>2167</v>
      </c>
      <c r="R1780" s="14" t="s">
        <v>7245</v>
      </c>
      <c r="S1780" s="7" t="s">
        <v>7246</v>
      </c>
      <c r="T1780" s="8"/>
      <c r="U1780" s="11" t="str">
        <f>HYPERLINK("https://pbs.twimg.com/profile_images/1313664930470535168/aTDgleUb.jpg","View")</f>
        <v>View</v>
      </c>
      <c r="V1780" s="8"/>
      <c r="W1780" s="8"/>
      <c r="X1780" s="8"/>
      <c r="Y1780" s="8"/>
      <c r="Z1780" s="8"/>
    </row>
    <row r="1781" spans="1:26" ht="13.2">
      <c r="A1781" s="13">
        <v>44250.307534722218</v>
      </c>
      <c r="B1781" s="6" t="str">
        <f>HYPERLINK("https://twitter.com/AbhijeetAjoynil","@AbhijeetAjoynil")</f>
        <v>@AbhijeetAjoynil</v>
      </c>
      <c r="C1781" s="14" t="s">
        <v>7247</v>
      </c>
      <c r="D1781" s="14" t="s">
        <v>7248</v>
      </c>
      <c r="E1781" s="6" t="str">
        <f>HYPERLINK("https://twitter.com/AbhijeetAjoynil/status/1364098378078904328","1364098378078904328")</f>
        <v>1364098378078904328</v>
      </c>
      <c r="F1781" s="7" t="s">
        <v>7249</v>
      </c>
      <c r="G1781" s="8"/>
      <c r="H1781" s="8"/>
      <c r="I1781" s="14">
        <v>0</v>
      </c>
      <c r="J1781" s="14">
        <v>1</v>
      </c>
      <c r="K1781" s="6" t="str">
        <f>HYPERLINK("http://www.linkedin.com/","LinkedIn")</f>
        <v>LinkedIn</v>
      </c>
      <c r="L1781" s="15">
        <v>132</v>
      </c>
      <c r="M1781" s="15">
        <v>147</v>
      </c>
      <c r="N1781" s="15">
        <v>22</v>
      </c>
      <c r="O1781" s="9"/>
      <c r="P1781" s="10">
        <v>41578.794386574074</v>
      </c>
      <c r="Q1781" s="14" t="s">
        <v>3176</v>
      </c>
      <c r="R1781" s="14" t="s">
        <v>7250</v>
      </c>
      <c r="S1781" s="7" t="s">
        <v>7251</v>
      </c>
      <c r="T1781" s="8"/>
      <c r="U1781" s="11" t="str">
        <f>HYPERLINK("https://pbs.twimg.com/profile_images/977991973884739585/clW7zaV-.jpg","View")</f>
        <v>View</v>
      </c>
      <c r="V1781" s="8"/>
      <c r="W1781" s="8"/>
      <c r="X1781" s="8"/>
      <c r="Y1781" s="8"/>
      <c r="Z1781" s="8"/>
    </row>
    <row r="1782" spans="1:26" ht="13.2">
      <c r="A1782" s="13">
        <v>44250.306273148148</v>
      </c>
      <c r="B1782" s="6" t="str">
        <f>HYPERLINK("https://twitter.com/milocamj","@milocamj")</f>
        <v>@milocamj</v>
      </c>
      <c r="C1782" s="14" t="s">
        <v>1805</v>
      </c>
      <c r="D1782" s="14" t="s">
        <v>7252</v>
      </c>
      <c r="E1782" s="6" t="str">
        <f>HYPERLINK("https://twitter.com/milocamj/status/1364097920530739200","1364097920530739200")</f>
        <v>1364097920530739200</v>
      </c>
      <c r="F1782" s="7" t="s">
        <v>7253</v>
      </c>
      <c r="G1782" s="8"/>
      <c r="H1782" s="8"/>
      <c r="I1782" s="14">
        <v>3</v>
      </c>
      <c r="J1782" s="14">
        <v>0</v>
      </c>
      <c r="K1782" s="6" t="str">
        <f>HYPERLINK("https://dlvrit.com/","dlvr.it")</f>
        <v>dlvr.it</v>
      </c>
      <c r="L1782" s="15">
        <v>2595</v>
      </c>
      <c r="M1782" s="15">
        <v>48</v>
      </c>
      <c r="N1782" s="15">
        <v>1282</v>
      </c>
      <c r="O1782" s="9"/>
      <c r="P1782" s="10">
        <v>39904.699837962966</v>
      </c>
      <c r="Q1782" s="14" t="s">
        <v>1809</v>
      </c>
      <c r="R1782" s="14" t="s">
        <v>1810</v>
      </c>
      <c r="S1782" s="7" t="s">
        <v>1811</v>
      </c>
      <c r="T1782" s="8"/>
      <c r="U1782" s="11" t="str">
        <f>HYPERLINK("https://pbs.twimg.com/profile_images/1108578778018709505/56I0aOhL.jpg","View")</f>
        <v>View</v>
      </c>
      <c r="V1782" s="8"/>
      <c r="W1782" s="8"/>
      <c r="X1782" s="8"/>
      <c r="Y1782" s="8"/>
      <c r="Z1782" s="8"/>
    </row>
    <row r="1783" spans="1:26" ht="13.2">
      <c r="A1783" s="13">
        <v>44250.306273148148</v>
      </c>
      <c r="B1783" s="6" t="str">
        <f>HYPERLINK("https://twitter.com/Veracitiz","@Veracitiz")</f>
        <v>@Veracitiz</v>
      </c>
      <c r="C1783" s="14" t="s">
        <v>7254</v>
      </c>
      <c r="D1783" s="14" t="s">
        <v>7255</v>
      </c>
      <c r="E1783" s="6" t="str">
        <f>HYPERLINK("https://twitter.com/Veracitiz/status/1364097919461261313","1364097919461261313")</f>
        <v>1364097919461261313</v>
      </c>
      <c r="F1783" s="8"/>
      <c r="G1783" s="7" t="s">
        <v>7256</v>
      </c>
      <c r="H1783" s="8"/>
      <c r="I1783" s="14">
        <v>8</v>
      </c>
      <c r="J1783" s="14">
        <v>5</v>
      </c>
      <c r="K1783" s="6" t="str">
        <f>HYPERLINK("https://buffer.com","Buffer")</f>
        <v>Buffer</v>
      </c>
      <c r="L1783" s="15">
        <v>782</v>
      </c>
      <c r="M1783" s="15">
        <v>348</v>
      </c>
      <c r="N1783" s="15">
        <v>9</v>
      </c>
      <c r="O1783" s="9"/>
      <c r="P1783" s="10">
        <v>41086.362442129626</v>
      </c>
      <c r="Q1783" s="8"/>
      <c r="R1783" s="14" t="s">
        <v>7257</v>
      </c>
      <c r="S1783" s="7" t="s">
        <v>7258</v>
      </c>
      <c r="T1783" s="8"/>
      <c r="U1783" s="11" t="str">
        <f>HYPERLINK("https://pbs.twimg.com/profile_images/1256933067429523457/fhEOqEHn.jpg","View")</f>
        <v>View</v>
      </c>
      <c r="V1783" s="8"/>
      <c r="W1783" s="8"/>
      <c r="X1783" s="8"/>
      <c r="Y1783" s="8"/>
      <c r="Z1783" s="8"/>
    </row>
    <row r="1784" spans="1:26" ht="13.2">
      <c r="A1784" s="13">
        <v>44250.305520833332</v>
      </c>
      <c r="B1784" s="6" t="str">
        <f>HYPERLINK("https://twitter.com/xlmdev","@xlmdev")</f>
        <v>@xlmdev</v>
      </c>
      <c r="C1784" s="14" t="s">
        <v>7259</v>
      </c>
      <c r="D1784" s="14" t="s">
        <v>7260</v>
      </c>
      <c r="E1784" s="6" t="str">
        <f>HYPERLINK("https://twitter.com/xlmdev/status/1364097648509161472","1364097648509161472")</f>
        <v>1364097648509161472</v>
      </c>
      <c r="F1784" s="8"/>
      <c r="G1784" s="8"/>
      <c r="H1784" s="8"/>
      <c r="I1784" s="14">
        <v>4</v>
      </c>
      <c r="J1784" s="14">
        <v>4</v>
      </c>
      <c r="K1784" s="6" t="str">
        <f>HYPERLINK("http://twitter.com/download/android","Twitter for Android")</f>
        <v>Twitter for Android</v>
      </c>
      <c r="L1784" s="15">
        <v>110</v>
      </c>
      <c r="M1784" s="15">
        <v>566</v>
      </c>
      <c r="N1784" s="15">
        <v>1</v>
      </c>
      <c r="O1784" s="9"/>
      <c r="P1784" s="10">
        <v>43757.193275462967</v>
      </c>
      <c r="Q1784" s="14" t="s">
        <v>7261</v>
      </c>
      <c r="R1784" s="14" t="s">
        <v>7262</v>
      </c>
      <c r="S1784" s="7" t="s">
        <v>7263</v>
      </c>
      <c r="T1784" s="8"/>
      <c r="U1784" s="11" t="str">
        <f>HYPERLINK("https://pbs.twimg.com/profile_images/1347398336291082243/gUz-oVVd.jpg","View")</f>
        <v>View</v>
      </c>
      <c r="V1784" s="8"/>
      <c r="W1784" s="8"/>
      <c r="X1784" s="8"/>
      <c r="Y1784" s="8"/>
      <c r="Z1784" s="8"/>
    </row>
    <row r="1785" spans="1:26" ht="13.2">
      <c r="A1785" s="13">
        <v>44250.30469907407</v>
      </c>
      <c r="B1785" s="6" t="str">
        <f>HYPERLINK("https://twitter.com/bhatnagarkush","@bhatnagarkush")</f>
        <v>@bhatnagarkush</v>
      </c>
      <c r="C1785" s="14" t="s">
        <v>7264</v>
      </c>
      <c r="D1785" s="14" t="s">
        <v>7265</v>
      </c>
      <c r="E1785" s="6" t="str">
        <f>HYPERLINK("https://twitter.com/bhatnagarkush/status/1364097350977810433","1364097350977810433")</f>
        <v>1364097350977810433</v>
      </c>
      <c r="F1785" s="8"/>
      <c r="G1785" s="8"/>
      <c r="H1785" s="8"/>
      <c r="I1785" s="14">
        <v>3</v>
      </c>
      <c r="J1785" s="14">
        <v>1</v>
      </c>
      <c r="K1785" s="6" t="str">
        <f t="shared" ref="K1785:K1786" si="336">HYPERLINK("https://mobile.twitter.com","Twitter Web App")</f>
        <v>Twitter Web App</v>
      </c>
      <c r="L1785" s="15">
        <v>23</v>
      </c>
      <c r="M1785" s="15">
        <v>71</v>
      </c>
      <c r="N1785" s="15">
        <v>0</v>
      </c>
      <c r="O1785" s="9"/>
      <c r="P1785" s="10">
        <v>40479.833101851851</v>
      </c>
      <c r="Q1785" s="14" t="s">
        <v>1742</v>
      </c>
      <c r="R1785" s="14" t="s">
        <v>7266</v>
      </c>
      <c r="S1785" s="8"/>
      <c r="T1785" s="8"/>
      <c r="U1785" s="11" t="str">
        <f>HYPERLINK("https://pbs.twimg.com/profile_images/1218916577212391424/_5Vi-0HN.jpg","View")</f>
        <v>View</v>
      </c>
      <c r="V1785" s="8"/>
      <c r="W1785" s="8"/>
      <c r="X1785" s="8"/>
      <c r="Y1785" s="8"/>
      <c r="Z1785" s="8"/>
    </row>
    <row r="1786" spans="1:26" ht="13.2">
      <c r="A1786" s="13">
        <v>44250.302777777775</v>
      </c>
      <c r="B1786" s="6" t="str">
        <f>HYPERLINK("https://twitter.com/itvibesau","@itvibesau")</f>
        <v>@itvibesau</v>
      </c>
      <c r="C1786" s="7" t="s">
        <v>7267</v>
      </c>
      <c r="D1786" s="14" t="s">
        <v>7268</v>
      </c>
      <c r="E1786" s="6" t="str">
        <f>HYPERLINK("https://twitter.com/itvibesau/status/1364096652282265600","1364096652282265600")</f>
        <v>1364096652282265600</v>
      </c>
      <c r="F1786" s="7" t="s">
        <v>7269</v>
      </c>
      <c r="G1786" s="8"/>
      <c r="H1786" s="8"/>
      <c r="I1786" s="14">
        <v>3</v>
      </c>
      <c r="J1786" s="14">
        <v>3</v>
      </c>
      <c r="K1786" s="6" t="str">
        <f t="shared" si="336"/>
        <v>Twitter Web App</v>
      </c>
      <c r="L1786" s="15">
        <v>28</v>
      </c>
      <c r="M1786" s="15">
        <v>88</v>
      </c>
      <c r="N1786" s="15">
        <v>1</v>
      </c>
      <c r="O1786" s="9"/>
      <c r="P1786" s="10">
        <v>43946.407835648148</v>
      </c>
      <c r="Q1786" s="14" t="s">
        <v>2405</v>
      </c>
      <c r="R1786" s="14" t="s">
        <v>7270</v>
      </c>
      <c r="S1786" s="7" t="s">
        <v>7271</v>
      </c>
      <c r="T1786" s="8"/>
      <c r="U1786" s="11" t="str">
        <f>HYPERLINK("https://pbs.twimg.com/profile_images/1257859344449728512/7ehAk6-d.jpg","View")</f>
        <v>View</v>
      </c>
      <c r="V1786" s="8"/>
      <c r="W1786" s="8"/>
      <c r="X1786" s="8"/>
      <c r="Y1786" s="8"/>
      <c r="Z1786" s="8"/>
    </row>
    <row r="1787" spans="1:26" ht="13.2">
      <c r="A1787" s="13">
        <v>44250.302453703705</v>
      </c>
      <c r="B1787" s="6" t="str">
        <f>HYPERLINK("https://twitter.com/iamalvaromacias","@iamalvaromacias")</f>
        <v>@iamalvaromacias</v>
      </c>
      <c r="C1787" s="14" t="s">
        <v>7272</v>
      </c>
      <c r="D1787" s="14" t="s">
        <v>7273</v>
      </c>
      <c r="E1787" s="6" t="str">
        <f>HYPERLINK("https://twitter.com/iamalvaromacias/status/1364096535533936640","1364096535533936640")</f>
        <v>1364096535533936640</v>
      </c>
      <c r="F1787" s="14" t="s">
        <v>7274</v>
      </c>
      <c r="G1787" s="7" t="s">
        <v>7275</v>
      </c>
      <c r="H1787" s="8"/>
      <c r="I1787" s="14">
        <v>8</v>
      </c>
      <c r="J1787" s="14">
        <v>7</v>
      </c>
      <c r="K1787" s="6" t="str">
        <f>HYPERLINK("http://twitter.com/download/android","Twitter for Android")</f>
        <v>Twitter for Android</v>
      </c>
      <c r="L1787" s="15">
        <v>42</v>
      </c>
      <c r="M1787" s="15">
        <v>94</v>
      </c>
      <c r="N1787" s="15">
        <v>0</v>
      </c>
      <c r="O1787" s="9"/>
      <c r="P1787" s="10">
        <v>43924.274895833332</v>
      </c>
      <c r="Q1787" s="14" t="s">
        <v>7276</v>
      </c>
      <c r="R1787" s="14" t="s">
        <v>7277</v>
      </c>
      <c r="S1787" s="7" t="s">
        <v>7278</v>
      </c>
      <c r="T1787" s="8"/>
      <c r="U1787" s="11" t="str">
        <f>HYPERLINK("https://pbs.twimg.com/profile_images/1355327730221543424/hdWT6ITs.jpg","View")</f>
        <v>View</v>
      </c>
      <c r="V1787" s="8"/>
      <c r="W1787" s="8"/>
      <c r="X1787" s="8"/>
      <c r="Y1787" s="8"/>
      <c r="Z1787" s="8"/>
    </row>
    <row r="1788" spans="1:26" ht="13.2">
      <c r="A1788" s="13">
        <v>44250.302430555559</v>
      </c>
      <c r="B1788" s="6" t="str">
        <f>HYPERLINK("https://twitter.com/PawanSomanchi","@PawanSomanchi")</f>
        <v>@PawanSomanchi</v>
      </c>
      <c r="C1788" s="14" t="s">
        <v>6714</v>
      </c>
      <c r="D1788" s="14" t="s">
        <v>7279</v>
      </c>
      <c r="E1788" s="6" t="str">
        <f>HYPERLINK("https://twitter.com/PawanSomanchi/status/1364096525979254784","1364096525979254784")</f>
        <v>1364096525979254784</v>
      </c>
      <c r="F1788" s="14" t="s">
        <v>7280</v>
      </c>
      <c r="G1788" s="8"/>
      <c r="H1788" s="8"/>
      <c r="I1788" s="14">
        <v>2</v>
      </c>
      <c r="J1788" s="14">
        <v>1</v>
      </c>
      <c r="K1788" s="6" t="str">
        <f>HYPERLINK("http://twinybots.com","TwinyBots")</f>
        <v>TwinyBots</v>
      </c>
      <c r="L1788" s="15">
        <v>895</v>
      </c>
      <c r="M1788" s="15">
        <v>1377</v>
      </c>
      <c r="N1788" s="15">
        <v>12</v>
      </c>
      <c r="O1788" s="9"/>
      <c r="P1788" s="10">
        <v>42629.507384259261</v>
      </c>
      <c r="Q1788" s="14" t="s">
        <v>4166</v>
      </c>
      <c r="R1788" s="14" t="s">
        <v>6715</v>
      </c>
      <c r="S1788" s="7" t="s">
        <v>6716</v>
      </c>
      <c r="T1788" s="8"/>
      <c r="U1788" s="11" t="str">
        <f>HYPERLINK("https://pbs.twimg.com/profile_images/1234794854355369984/b5uzwAtt.jpg","View")</f>
        <v>View</v>
      </c>
      <c r="V1788" s="8"/>
      <c r="W1788" s="8"/>
      <c r="X1788" s="8"/>
      <c r="Y1788" s="8"/>
      <c r="Z1788" s="8"/>
    </row>
    <row r="1789" spans="1:26" ht="13.2">
      <c r="A1789" s="13">
        <v>44250.302152777775</v>
      </c>
      <c r="B1789" s="6" t="str">
        <f>HYPERLINK("https://twitter.com/beyond_machine","@beyond_machine")</f>
        <v>@beyond_machine</v>
      </c>
      <c r="C1789" s="14" t="s">
        <v>3461</v>
      </c>
      <c r="D1789" s="14" t="s">
        <v>7281</v>
      </c>
      <c r="E1789" s="6" t="str">
        <f>HYPERLINK("https://twitter.com/beyond_machine/status/1364096428600135681","1364096428600135681")</f>
        <v>1364096428600135681</v>
      </c>
      <c r="F1789" s="7" t="s">
        <v>7282</v>
      </c>
      <c r="G1789" s="8"/>
      <c r="H1789" s="8"/>
      <c r="I1789" s="14">
        <v>2</v>
      </c>
      <c r="J1789" s="14">
        <v>0</v>
      </c>
      <c r="K1789" s="6" t="str">
        <f>HYPERLINK("https://crowdfireapp.com","Crowdfire App")</f>
        <v>Crowdfire App</v>
      </c>
      <c r="L1789" s="15">
        <v>333</v>
      </c>
      <c r="M1789" s="15">
        <v>1059</v>
      </c>
      <c r="N1789" s="15">
        <v>48</v>
      </c>
      <c r="O1789" s="9"/>
      <c r="P1789" s="10">
        <v>42555.596180555556</v>
      </c>
      <c r="Q1789" s="14" t="s">
        <v>3464</v>
      </c>
      <c r="R1789" s="14" t="s">
        <v>3465</v>
      </c>
      <c r="S1789" s="7" t="s">
        <v>3466</v>
      </c>
      <c r="T1789" s="8"/>
      <c r="U1789" s="11" t="str">
        <f>HYPERLINK("https://pbs.twimg.com/profile_images/929034669781344257/RizBrVJT.jpg","View")</f>
        <v>View</v>
      </c>
      <c r="V1789" s="8"/>
      <c r="W1789" s="8"/>
      <c r="X1789" s="8"/>
      <c r="Y1789" s="8"/>
      <c r="Z1789" s="8"/>
    </row>
    <row r="1790" spans="1:26" ht="13.2">
      <c r="A1790" s="13">
        <v>44250.301354166666</v>
      </c>
      <c r="B1790" s="6" t="str">
        <f>HYPERLINK("https://twitter.com/iamalvaromacias","@iamalvaromacias")</f>
        <v>@iamalvaromacias</v>
      </c>
      <c r="C1790" s="14" t="s">
        <v>7272</v>
      </c>
      <c r="D1790" s="14" t="s">
        <v>7283</v>
      </c>
      <c r="E1790" s="6" t="str">
        <f>HYPERLINK("https://twitter.com/iamalvaromacias/status/1364096136374595584","1364096136374595584")</f>
        <v>1364096136374595584</v>
      </c>
      <c r="F1790" s="7" t="s">
        <v>7284</v>
      </c>
      <c r="G1790" s="7" t="s">
        <v>7285</v>
      </c>
      <c r="H1790" s="8"/>
      <c r="I1790" s="14">
        <v>8</v>
      </c>
      <c r="J1790" s="14">
        <v>3</v>
      </c>
      <c r="K1790" s="6" t="str">
        <f>HYPERLINK("http://twitter.com/download/android","Twitter for Android")</f>
        <v>Twitter for Android</v>
      </c>
      <c r="L1790" s="15">
        <v>42</v>
      </c>
      <c r="M1790" s="15">
        <v>94</v>
      </c>
      <c r="N1790" s="15">
        <v>0</v>
      </c>
      <c r="O1790" s="9"/>
      <c r="P1790" s="10">
        <v>43924.274895833332</v>
      </c>
      <c r="Q1790" s="14" t="s">
        <v>7276</v>
      </c>
      <c r="R1790" s="14" t="s">
        <v>7277</v>
      </c>
      <c r="S1790" s="7" t="s">
        <v>7278</v>
      </c>
      <c r="T1790" s="8"/>
      <c r="U1790" s="11" t="str">
        <f>HYPERLINK("https://pbs.twimg.com/profile_images/1355327730221543424/hdWT6ITs.jpg","View")</f>
        <v>View</v>
      </c>
      <c r="V1790" s="8"/>
      <c r="W1790" s="8"/>
      <c r="X1790" s="8"/>
      <c r="Y1790" s="8"/>
      <c r="Z1790" s="8"/>
    </row>
    <row r="1791" spans="1:26" ht="13.2">
      <c r="A1791" s="13">
        <v>44250.300405092596</v>
      </c>
      <c r="B1791" s="6" t="str">
        <f>HYPERLINK("https://twitter.com/Vitti_AI","@Vitti_AI")</f>
        <v>@Vitti_AI</v>
      </c>
      <c r="C1791" s="14" t="s">
        <v>7286</v>
      </c>
      <c r="D1791" s="14" t="s">
        <v>7287</v>
      </c>
      <c r="E1791" s="6" t="str">
        <f>HYPERLINK("https://twitter.com/Vitti_AI/status/1364095792466694147","1364095792466694147")</f>
        <v>1364095792466694147</v>
      </c>
      <c r="F1791" s="8"/>
      <c r="G1791" s="7" t="s">
        <v>7288</v>
      </c>
      <c r="H1791" s="8"/>
      <c r="I1791" s="14">
        <v>11</v>
      </c>
      <c r="J1791" s="14">
        <v>0</v>
      </c>
      <c r="K1791" s="6" t="str">
        <f t="shared" ref="K1791:K1792" si="337">HYPERLINK("https://mobile.twitter.com","Twitter Web App")</f>
        <v>Twitter Web App</v>
      </c>
      <c r="L1791" s="15">
        <v>36</v>
      </c>
      <c r="M1791" s="15">
        <v>87</v>
      </c>
      <c r="N1791" s="15">
        <v>0</v>
      </c>
      <c r="O1791" s="9"/>
      <c r="P1791" s="10">
        <v>43825.512546296297</v>
      </c>
      <c r="Q1791" s="14" t="s">
        <v>7289</v>
      </c>
      <c r="R1791" s="14" t="s">
        <v>7290</v>
      </c>
      <c r="S1791" s="7" t="s">
        <v>7291</v>
      </c>
      <c r="T1791" s="8"/>
      <c r="U1791" s="11" t="str">
        <f>HYPERLINK("https://pbs.twimg.com/profile_images/1251813425543446528/wIehgD44.jpg","View")</f>
        <v>View</v>
      </c>
      <c r="V1791" s="8"/>
      <c r="W1791" s="8"/>
      <c r="X1791" s="8"/>
      <c r="Y1791" s="8"/>
      <c r="Z1791" s="8"/>
    </row>
    <row r="1792" spans="1:26" ht="13.2">
      <c r="A1792" s="13">
        <v>44250.299687499995</v>
      </c>
      <c r="B1792" s="6" t="str">
        <f>HYPERLINK("https://twitter.com/moueller1961","@moueller1961")</f>
        <v>@moueller1961</v>
      </c>
      <c r="C1792" s="14" t="s">
        <v>6414</v>
      </c>
      <c r="D1792" s="14" t="s">
        <v>7292</v>
      </c>
      <c r="E1792" s="6" t="str">
        <f>HYPERLINK("https://twitter.com/moueller1961/status/1364095532340305923","1364095532340305923")</f>
        <v>1364095532340305923</v>
      </c>
      <c r="F1792" s="7" t="s">
        <v>7293</v>
      </c>
      <c r="G1792" s="7" t="s">
        <v>7294</v>
      </c>
      <c r="H1792" s="8"/>
      <c r="I1792" s="14">
        <v>4</v>
      </c>
      <c r="J1792" s="14">
        <v>4</v>
      </c>
      <c r="K1792" s="6" t="str">
        <f t="shared" si="337"/>
        <v>Twitter Web App</v>
      </c>
      <c r="L1792" s="15">
        <v>2581</v>
      </c>
      <c r="M1792" s="15">
        <v>26</v>
      </c>
      <c r="N1792" s="15">
        <v>256</v>
      </c>
      <c r="O1792" s="9"/>
      <c r="P1792" s="10">
        <v>42106.853055555555</v>
      </c>
      <c r="Q1792" s="8"/>
      <c r="R1792" s="14" t="s">
        <v>6418</v>
      </c>
      <c r="S1792" s="8"/>
      <c r="T1792" s="8"/>
      <c r="U1792" s="11" t="str">
        <f>HYPERLINK("https://pbs.twimg.com/profile_images/1202572262156713985/_52Q3Trv.jpg","View")</f>
        <v>View</v>
      </c>
      <c r="V1792" s="8"/>
      <c r="W1792" s="8"/>
      <c r="X1792" s="8"/>
      <c r="Y1792" s="8"/>
      <c r="Z1792" s="8"/>
    </row>
    <row r="1793" spans="1:26" ht="13.2">
      <c r="A1793" s="13">
        <v>44250.298576388886</v>
      </c>
      <c r="B1793" s="6" t="str">
        <f>HYPERLINK("https://twitter.com/iamalvaromacias","@iamalvaromacias")</f>
        <v>@iamalvaromacias</v>
      </c>
      <c r="C1793" s="14" t="s">
        <v>7272</v>
      </c>
      <c r="D1793" s="14" t="s">
        <v>7295</v>
      </c>
      <c r="E1793" s="6" t="str">
        <f>HYPERLINK("https://twitter.com/iamalvaromacias/status/1364095129041141767","1364095129041141767")</f>
        <v>1364095129041141767</v>
      </c>
      <c r="F1793" s="14" t="s">
        <v>7296</v>
      </c>
      <c r="G1793" s="7" t="s">
        <v>7145</v>
      </c>
      <c r="H1793" s="8"/>
      <c r="I1793" s="14">
        <v>8</v>
      </c>
      <c r="J1793" s="14">
        <v>3</v>
      </c>
      <c r="K1793" s="6" t="str">
        <f>HYPERLINK("http://twitter.com/download/android","Twitter for Android")</f>
        <v>Twitter for Android</v>
      </c>
      <c r="L1793" s="15">
        <v>42</v>
      </c>
      <c r="M1793" s="15">
        <v>94</v>
      </c>
      <c r="N1793" s="15">
        <v>0</v>
      </c>
      <c r="O1793" s="9"/>
      <c r="P1793" s="10">
        <v>43924.274895833332</v>
      </c>
      <c r="Q1793" s="14" t="s">
        <v>7276</v>
      </c>
      <c r="R1793" s="14" t="s">
        <v>7277</v>
      </c>
      <c r="S1793" s="7" t="s">
        <v>7278</v>
      </c>
      <c r="T1793" s="8"/>
      <c r="U1793" s="11" t="str">
        <f>HYPERLINK("https://pbs.twimg.com/profile_images/1355327730221543424/hdWT6ITs.jpg","View")</f>
        <v>View</v>
      </c>
      <c r="V1793" s="8"/>
      <c r="W1793" s="8"/>
      <c r="X1793" s="8"/>
      <c r="Y1793" s="8"/>
      <c r="Z1793" s="8"/>
    </row>
    <row r="1794" spans="1:26" ht="13.2">
      <c r="A1794" s="13">
        <v>44250.296678240746</v>
      </c>
      <c r="B1794" s="6" t="str">
        <f>HYPERLINK("https://twitter.com/edapthere","@edapthere")</f>
        <v>@edapthere</v>
      </c>
      <c r="C1794" s="14" t="s">
        <v>7297</v>
      </c>
      <c r="D1794" s="14" t="s">
        <v>7298</v>
      </c>
      <c r="E1794" s="6" t="str">
        <f>HYPERLINK("https://twitter.com/edapthere/status/1364094442794192900","1364094442794192900")</f>
        <v>1364094442794192900</v>
      </c>
      <c r="F1794" s="7" t="s">
        <v>7299</v>
      </c>
      <c r="G1794" s="7" t="s">
        <v>7300</v>
      </c>
      <c r="H1794" s="8"/>
      <c r="I1794" s="14">
        <v>3</v>
      </c>
      <c r="J1794" s="14">
        <v>4</v>
      </c>
      <c r="K1794" s="6" t="str">
        <f t="shared" ref="K1794:K1795" si="338">HYPERLINK("https://mobile.twitter.com","Twitter Web App")</f>
        <v>Twitter Web App</v>
      </c>
      <c r="L1794" s="15">
        <v>142</v>
      </c>
      <c r="M1794" s="15">
        <v>92</v>
      </c>
      <c r="N1794" s="15">
        <v>0</v>
      </c>
      <c r="O1794" s="9"/>
      <c r="P1794" s="10">
        <v>43507.721215277779</v>
      </c>
      <c r="Q1794" s="14" t="s">
        <v>5572</v>
      </c>
      <c r="R1794" s="14" t="s">
        <v>7301</v>
      </c>
      <c r="S1794" s="7" t="s">
        <v>7302</v>
      </c>
      <c r="T1794" s="8"/>
      <c r="U1794" s="11" t="str">
        <f>HYPERLINK("https://pbs.twimg.com/profile_images/1304331110327828480/r4Ipu7eD.jpg","View")</f>
        <v>View</v>
      </c>
      <c r="V1794" s="8"/>
      <c r="W1794" s="8"/>
      <c r="X1794" s="8"/>
      <c r="Y1794" s="8"/>
      <c r="Z1794" s="8"/>
    </row>
    <row r="1795" spans="1:26" ht="13.2">
      <c r="A1795" s="13">
        <v>44250.296087962968</v>
      </c>
      <c r="B1795" s="6" t="str">
        <f>HYPERLINK("https://twitter.com/teksands","@teksands")</f>
        <v>@teksands</v>
      </c>
      <c r="C1795" s="7" t="s">
        <v>7303</v>
      </c>
      <c r="D1795" s="14" t="s">
        <v>7304</v>
      </c>
      <c r="E1795" s="6" t="str">
        <f>HYPERLINK("https://twitter.com/teksands/status/1364094227286691843","1364094227286691843")</f>
        <v>1364094227286691843</v>
      </c>
      <c r="F1795" s="7" t="s">
        <v>7305</v>
      </c>
      <c r="G1795" s="7" t="s">
        <v>7306</v>
      </c>
      <c r="H1795" s="8"/>
      <c r="I1795" s="14">
        <v>5</v>
      </c>
      <c r="J1795" s="14">
        <v>2</v>
      </c>
      <c r="K1795" s="6" t="str">
        <f t="shared" si="338"/>
        <v>Twitter Web App</v>
      </c>
      <c r="L1795" s="15">
        <v>183</v>
      </c>
      <c r="M1795" s="15">
        <v>21</v>
      </c>
      <c r="N1795" s="15">
        <v>0</v>
      </c>
      <c r="O1795" s="9"/>
      <c r="P1795" s="10">
        <v>44201.483182870375</v>
      </c>
      <c r="Q1795" s="14" t="s">
        <v>364</v>
      </c>
      <c r="R1795" s="14" t="s">
        <v>7307</v>
      </c>
      <c r="S1795" s="7" t="s">
        <v>7308</v>
      </c>
      <c r="T1795" s="8"/>
      <c r="U1795" s="11" t="str">
        <f>HYPERLINK("https://pbs.twimg.com/profile_images/1349253602913619968/2D1GMJZu.jpg","View")</f>
        <v>View</v>
      </c>
      <c r="V1795" s="8"/>
      <c r="W1795" s="8"/>
      <c r="X1795" s="8"/>
      <c r="Y1795" s="8"/>
      <c r="Z1795" s="8"/>
    </row>
    <row r="1796" spans="1:26" ht="13.2">
      <c r="A1796" s="13">
        <v>44250.29586805556</v>
      </c>
      <c r="B1796" s="6" t="str">
        <f>HYPERLINK("https://twitter.com/SpirosMargaris","@SpirosMargaris")</f>
        <v>@SpirosMargaris</v>
      </c>
      <c r="C1796" s="14" t="s">
        <v>3558</v>
      </c>
      <c r="D1796" s="14" t="s">
        <v>7309</v>
      </c>
      <c r="E1796" s="6" t="str">
        <f>HYPERLINK("https://twitter.com/SpirosMargaris/status/1364094149419536385","1364094149419536385")</f>
        <v>1364094149419536385</v>
      </c>
      <c r="F1796" s="7" t="s">
        <v>7310</v>
      </c>
      <c r="G1796" s="7" t="s">
        <v>7311</v>
      </c>
      <c r="H1796" s="8"/>
      <c r="I1796" s="14">
        <v>9</v>
      </c>
      <c r="J1796" s="14">
        <v>9</v>
      </c>
      <c r="K1796" s="6" t="str">
        <f>HYPERLINK("https://buffer.com","Buffer")</f>
        <v>Buffer</v>
      </c>
      <c r="L1796" s="15">
        <v>107389</v>
      </c>
      <c r="M1796" s="15">
        <v>15890</v>
      </c>
      <c r="N1796" s="15">
        <v>5693</v>
      </c>
      <c r="O1796" s="15" t="s">
        <v>130</v>
      </c>
      <c r="P1796" s="10">
        <v>41857.30574074074</v>
      </c>
      <c r="Q1796" s="14" t="s">
        <v>3562</v>
      </c>
      <c r="R1796" s="14" t="s">
        <v>3563</v>
      </c>
      <c r="S1796" s="7" t="s">
        <v>3564</v>
      </c>
      <c r="T1796" s="8"/>
      <c r="U1796" s="11" t="str">
        <f>HYPERLINK("https://pbs.twimg.com/profile_images/1346443960986775553/TGeiH97s.jpg","View")</f>
        <v>View</v>
      </c>
      <c r="V1796" s="8"/>
      <c r="W1796" s="8"/>
      <c r="X1796" s="8"/>
      <c r="Y1796" s="8"/>
      <c r="Z1796" s="8"/>
    </row>
    <row r="1797" spans="1:26" ht="13.2">
      <c r="A1797" s="13">
        <v>44250.295648148152</v>
      </c>
      <c r="B1797" s="6" t="str">
        <f>HYPERLINK("https://twitter.com/sergy_alpin","@sergy_alpin")</f>
        <v>@sergy_alpin</v>
      </c>
      <c r="C1797" s="14" t="s">
        <v>7312</v>
      </c>
      <c r="D1797" s="14" t="s">
        <v>7313</v>
      </c>
      <c r="E1797" s="6" t="str">
        <f>HYPERLINK("https://twitter.com/sergy_alpin/status/1364094070084280324","1364094070084280324")</f>
        <v>1364094070084280324</v>
      </c>
      <c r="F1797" s="8"/>
      <c r="G1797" s="8"/>
      <c r="H1797" s="8"/>
      <c r="I1797" s="14">
        <v>0</v>
      </c>
      <c r="J1797" s="14">
        <v>0</v>
      </c>
      <c r="K1797" s="6" t="str">
        <f>HYPERLINK("http://twitter.com/download/android","Twitter for Android")</f>
        <v>Twitter for Android</v>
      </c>
      <c r="L1797" s="15">
        <v>107</v>
      </c>
      <c r="M1797" s="15">
        <v>389</v>
      </c>
      <c r="N1797" s="15">
        <v>8</v>
      </c>
      <c r="O1797" s="9"/>
      <c r="P1797" s="10">
        <v>39984.516226851854</v>
      </c>
      <c r="Q1797" s="8"/>
      <c r="R1797" s="14" t="s">
        <v>7314</v>
      </c>
      <c r="S1797" s="7" t="s">
        <v>7315</v>
      </c>
      <c r="T1797" s="8"/>
      <c r="U1797" s="11" t="str">
        <f>HYPERLINK("https://pbs.twimg.com/profile_images/378800000518592876/cfc9771737540616d7f54ff708e3ce91.jpeg","View")</f>
        <v>View</v>
      </c>
      <c r="V1797" s="8"/>
      <c r="W1797" s="8"/>
      <c r="X1797" s="8"/>
      <c r="Y1797" s="8"/>
      <c r="Z1797" s="8"/>
    </row>
    <row r="1798" spans="1:26" ht="13.2">
      <c r="A1798" s="13">
        <v>44250.294178240743</v>
      </c>
      <c r="B1798" s="6" t="str">
        <f>HYPERLINK("https://twitter.com/Sirlupinwatson","@Sirlupinwatson")</f>
        <v>@Sirlupinwatson</v>
      </c>
      <c r="C1798" s="14" t="s">
        <v>7033</v>
      </c>
      <c r="D1798" s="14" t="s">
        <v>7316</v>
      </c>
      <c r="E1798" s="6" t="str">
        <f>HYPERLINK("https://twitter.com/Sirlupinwatson/status/1364093535901937664","1364093535901937664")</f>
        <v>1364093535901937664</v>
      </c>
      <c r="F1798" s="7" t="s">
        <v>7317</v>
      </c>
      <c r="G1798" s="7" t="s">
        <v>7318</v>
      </c>
      <c r="H1798" s="8"/>
      <c r="I1798" s="14">
        <v>47</v>
      </c>
      <c r="J1798" s="14">
        <v>14</v>
      </c>
      <c r="K1798" s="6" t="str">
        <f>HYPERLINK("https://mobile.twitter.com","Twitter Web App")</f>
        <v>Twitter Web App</v>
      </c>
      <c r="L1798" s="15">
        <v>1449</v>
      </c>
      <c r="M1798" s="15">
        <v>4070</v>
      </c>
      <c r="N1798" s="15">
        <v>7</v>
      </c>
      <c r="O1798" s="9"/>
      <c r="P1798" s="10">
        <v>42651.939120370371</v>
      </c>
      <c r="Q1798" s="14" t="s">
        <v>2649</v>
      </c>
      <c r="R1798" s="14" t="s">
        <v>7036</v>
      </c>
      <c r="S1798" s="7" t="s">
        <v>7037</v>
      </c>
      <c r="T1798" s="8"/>
      <c r="U1798" s="11" t="str">
        <f>HYPERLINK("https://pbs.twimg.com/profile_images/1310177334708887552/9Q1XMJW2.jpg","View")</f>
        <v>View</v>
      </c>
      <c r="V1798" s="8"/>
      <c r="W1798" s="8"/>
      <c r="X1798" s="8"/>
      <c r="Y1798" s="8"/>
      <c r="Z1798" s="8"/>
    </row>
    <row r="1799" spans="1:26" ht="13.2">
      <c r="A1799" s="13">
        <v>44250.294050925921</v>
      </c>
      <c r="B1799" s="6" t="str">
        <f>HYPERLINK("https://twitter.com/machinelearnflx","@machinelearnflx")</f>
        <v>@machinelearnflx</v>
      </c>
      <c r="C1799" s="14" t="s">
        <v>279</v>
      </c>
      <c r="D1799" s="14" t="s">
        <v>7319</v>
      </c>
      <c r="E1799" s="6" t="str">
        <f>HYPERLINK("https://twitter.com/machinelearnflx/status/1364093491769462784","1364093491769462784")</f>
        <v>1364093491769462784</v>
      </c>
      <c r="F1799" s="7" t="s">
        <v>7320</v>
      </c>
      <c r="G1799" s="8"/>
      <c r="H1799" s="8"/>
      <c r="I1799" s="14">
        <v>2</v>
      </c>
      <c r="J1799" s="14">
        <v>6</v>
      </c>
      <c r="K1799" s="6" t="str">
        <f>HYPERLINK("https://twitter.com/pythonbot_","Postmatico")</f>
        <v>Postmatico</v>
      </c>
      <c r="L1799" s="15">
        <v>90451</v>
      </c>
      <c r="M1799" s="15">
        <v>35464</v>
      </c>
      <c r="N1799" s="15">
        <v>2228</v>
      </c>
      <c r="O1799" s="9"/>
      <c r="P1799" s="10">
        <v>42386.538865740746</v>
      </c>
      <c r="Q1799" s="8"/>
      <c r="R1799" s="14" t="s">
        <v>282</v>
      </c>
      <c r="S1799" s="7" t="s">
        <v>283</v>
      </c>
      <c r="T1799" s="8"/>
      <c r="U1799" s="11" t="str">
        <f>HYPERLINK("https://pbs.twimg.com/profile_images/688735459892195329/v8sHaWSG.jpg","View")</f>
        <v>View</v>
      </c>
      <c r="V1799" s="8"/>
      <c r="W1799" s="8"/>
      <c r="X1799" s="8"/>
      <c r="Y1799" s="8"/>
      <c r="Z1799" s="8"/>
    </row>
    <row r="1800" spans="1:26" ht="13.2">
      <c r="A1800" s="13">
        <v>44250.292662037042</v>
      </c>
      <c r="B1800" s="6" t="str">
        <f>HYPERLINK("https://twitter.com/MarineBonduell1","@MarineBonduell1")</f>
        <v>@MarineBonduell1</v>
      </c>
      <c r="C1800" s="14" t="s">
        <v>733</v>
      </c>
      <c r="D1800" s="14" t="s">
        <v>7321</v>
      </c>
      <c r="E1800" s="6" t="str">
        <f>HYPERLINK("https://twitter.com/MarineBonduell1/status/1364092986037010438","1364092986037010438")</f>
        <v>1364092986037010438</v>
      </c>
      <c r="F1800" s="7" t="s">
        <v>7322</v>
      </c>
      <c r="G1800" s="8"/>
      <c r="H1800" s="8"/>
      <c r="I1800" s="14">
        <v>27</v>
      </c>
      <c r="J1800" s="14">
        <v>15</v>
      </c>
      <c r="K1800" s="6" t="str">
        <f>HYPERLINK("https://socxopte.com/","SocxoPte")</f>
        <v>SocxoPte</v>
      </c>
      <c r="L1800" s="15">
        <v>155</v>
      </c>
      <c r="M1800" s="15">
        <v>148</v>
      </c>
      <c r="N1800" s="15">
        <v>3</v>
      </c>
      <c r="O1800" s="9"/>
      <c r="P1800" s="10">
        <v>44029.710879629631</v>
      </c>
      <c r="Q1800" s="8"/>
      <c r="R1800" s="14" t="s">
        <v>737</v>
      </c>
      <c r="S1800" s="8"/>
      <c r="T1800" s="8"/>
      <c r="U1800" s="11" t="str">
        <f>HYPERLINK("https://pbs.twimg.com/profile_images/1284141799905341441/I_BIa5zR.jpg","View")</f>
        <v>View</v>
      </c>
      <c r="V1800" s="8"/>
      <c r="W1800" s="8"/>
      <c r="X1800" s="8"/>
      <c r="Y1800" s="8"/>
      <c r="Z1800" s="8"/>
    </row>
    <row r="1801" spans="1:26" ht="13.2">
      <c r="A1801" s="13">
        <v>44250.292395833334</v>
      </c>
      <c r="B1801" s="6" t="str">
        <f>HYPERLINK("https://twitter.com/ipfconline1","@ipfconline1")</f>
        <v>@ipfconline1</v>
      </c>
      <c r="C1801" s="14" t="s">
        <v>65</v>
      </c>
      <c r="D1801" s="14" t="s">
        <v>7323</v>
      </c>
      <c r="E1801" s="6" t="str">
        <f>HYPERLINK("https://twitter.com/ipfconline1/status/1364092891417747457","1364092891417747457")</f>
        <v>1364092891417747457</v>
      </c>
      <c r="F1801" s="7" t="s">
        <v>7324</v>
      </c>
      <c r="G1801" s="7" t="s">
        <v>7325</v>
      </c>
      <c r="H1801" s="8"/>
      <c r="I1801" s="14">
        <v>8</v>
      </c>
      <c r="J1801" s="14">
        <v>3</v>
      </c>
      <c r="K1801" s="6" t="str">
        <f>HYPERLINK("https://twittimer.com","Twittimer")</f>
        <v>Twittimer</v>
      </c>
      <c r="L1801" s="15">
        <v>112675</v>
      </c>
      <c r="M1801" s="15">
        <v>107162</v>
      </c>
      <c r="N1801" s="15">
        <v>7806</v>
      </c>
      <c r="O1801" s="9"/>
      <c r="P1801" s="10">
        <v>42433.031967592593</v>
      </c>
      <c r="Q1801" s="14" t="s">
        <v>69</v>
      </c>
      <c r="R1801" s="14" t="s">
        <v>70</v>
      </c>
      <c r="S1801" s="7" t="s">
        <v>71</v>
      </c>
      <c r="T1801" s="8"/>
      <c r="U1801" s="11" t="str">
        <f>HYPERLINK("https://pbs.twimg.com/profile_images/729065804004769793/St2_Pum9.jpg","View")</f>
        <v>View</v>
      </c>
      <c r="V1801" s="8"/>
      <c r="W1801" s="8"/>
      <c r="X1801" s="8"/>
      <c r="Y1801" s="8"/>
      <c r="Z1801" s="8"/>
    </row>
    <row r="1802" spans="1:26" ht="13.2">
      <c r="A1802" s="13">
        <v>44250.291944444441</v>
      </c>
      <c r="B1802" s="6" t="str">
        <f>HYPERLINK("https://twitter.com/Deep_In_Depth","@Deep_In_Depth")</f>
        <v>@Deep_In_Depth</v>
      </c>
      <c r="C1802" s="14" t="s">
        <v>312</v>
      </c>
      <c r="D1802" s="14" t="s">
        <v>7326</v>
      </c>
      <c r="E1802" s="6" t="str">
        <f>HYPERLINK("https://twitter.com/Deep_In_Depth/status/1364092725499428866","1364092725499428866")</f>
        <v>1364092725499428866</v>
      </c>
      <c r="F1802" s="7" t="s">
        <v>7327</v>
      </c>
      <c r="G1802" s="8"/>
      <c r="H1802" s="8"/>
      <c r="I1802" s="14">
        <v>6</v>
      </c>
      <c r="J1802" s="14">
        <v>2</v>
      </c>
      <c r="K1802" s="6" t="str">
        <f>HYPERLINK("https://buffer.com","Buffer")</f>
        <v>Buffer</v>
      </c>
      <c r="L1802" s="15">
        <v>10954</v>
      </c>
      <c r="M1802" s="15">
        <v>9176</v>
      </c>
      <c r="N1802" s="15">
        <v>159</v>
      </c>
      <c r="O1802" s="9"/>
      <c r="P1802" s="10">
        <v>42864.439525462964</v>
      </c>
      <c r="Q1802" s="14" t="s">
        <v>315</v>
      </c>
      <c r="R1802" s="14" t="s">
        <v>316</v>
      </c>
      <c r="S1802" s="7" t="s">
        <v>317</v>
      </c>
      <c r="T1802" s="8"/>
      <c r="U1802" s="11" t="str">
        <f>HYPERLINK("https://pbs.twimg.com/profile_images/861866967493431296/PIjaSD4g.jpg","View")</f>
        <v>View</v>
      </c>
      <c r="V1802" s="8"/>
      <c r="W1802" s="8"/>
      <c r="X1802" s="8"/>
      <c r="Y1802" s="8"/>
      <c r="Z1802" s="8"/>
    </row>
    <row r="1803" spans="1:26" ht="13.2">
      <c r="A1803" s="13">
        <v>44250.29173611111</v>
      </c>
      <c r="B1803" s="6" t="str">
        <f>HYPERLINK("https://twitter.com/themlguru","@themlguru")</f>
        <v>@themlguru</v>
      </c>
      <c r="C1803" s="14" t="s">
        <v>362</v>
      </c>
      <c r="D1803" s="14" t="s">
        <v>7328</v>
      </c>
      <c r="E1803" s="6" t="str">
        <f>HYPERLINK("https://twitter.com/themlguru/status/1364092653575536640","1364092653575536640")</f>
        <v>1364092653575536640</v>
      </c>
      <c r="F1803" s="8"/>
      <c r="G1803" s="8"/>
      <c r="H1803" s="8"/>
      <c r="I1803" s="14">
        <v>2</v>
      </c>
      <c r="J1803" s="14">
        <v>1</v>
      </c>
      <c r="K1803" s="6" t="str">
        <f>HYPERLINK("https://twittimer.com","Twittimer")</f>
        <v>Twittimer</v>
      </c>
      <c r="L1803" s="15">
        <v>10</v>
      </c>
      <c r="M1803" s="15">
        <v>33</v>
      </c>
      <c r="N1803" s="15">
        <v>0</v>
      </c>
      <c r="O1803" s="9"/>
      <c r="P1803" s="10">
        <v>44242.188148148147</v>
      </c>
      <c r="Q1803" s="14" t="s">
        <v>364</v>
      </c>
      <c r="R1803" s="8"/>
      <c r="S1803" s="8"/>
      <c r="T1803" s="8"/>
      <c r="U1803" s="11" t="str">
        <f>HYPERLINK("https://pbs.twimg.com/profile_images/1361967087623700484/-6UQQ_sZ.jpg","View")</f>
        <v>View</v>
      </c>
      <c r="V1803" s="8"/>
      <c r="W1803" s="8"/>
      <c r="X1803" s="8"/>
      <c r="Y1803" s="8"/>
      <c r="Z1803" s="8"/>
    </row>
    <row r="1804" spans="1:26" ht="13.2">
      <c r="A1804" s="13">
        <v>44250.29173611111</v>
      </c>
      <c r="B1804" s="6" t="str">
        <f>HYPERLINK("https://twitter.com/Verinite","@Verinite")</f>
        <v>@Verinite</v>
      </c>
      <c r="C1804" s="14" t="s">
        <v>7329</v>
      </c>
      <c r="D1804" s="14" t="s">
        <v>7330</v>
      </c>
      <c r="E1804" s="6" t="str">
        <f>HYPERLINK("https://twitter.com/Verinite/status/1364092651616804865","1364092651616804865")</f>
        <v>1364092651616804865</v>
      </c>
      <c r="F1804" s="7" t="s">
        <v>7331</v>
      </c>
      <c r="G1804" s="7" t="s">
        <v>7332</v>
      </c>
      <c r="H1804" s="8"/>
      <c r="I1804" s="14">
        <v>12</v>
      </c>
      <c r="J1804" s="14">
        <v>5</v>
      </c>
      <c r="K1804" s="6" t="str">
        <f>HYPERLINK("https://buffer.com","Buffer")</f>
        <v>Buffer</v>
      </c>
      <c r="L1804" s="15">
        <v>1612</v>
      </c>
      <c r="M1804" s="15">
        <v>4941</v>
      </c>
      <c r="N1804" s="15">
        <v>20</v>
      </c>
      <c r="O1804" s="9"/>
      <c r="P1804" s="10">
        <v>40681.464398148149</v>
      </c>
      <c r="Q1804" s="14" t="s">
        <v>7333</v>
      </c>
      <c r="R1804" s="14" t="s">
        <v>7334</v>
      </c>
      <c r="S1804" s="7" t="s">
        <v>7335</v>
      </c>
      <c r="T1804" s="8"/>
      <c r="U1804" s="11" t="str">
        <f>HYPERLINK("https://pbs.twimg.com/profile_images/1359447308/Verinite_FinalLogo_Twitter.jpg","View")</f>
        <v>View</v>
      </c>
      <c r="V1804" s="8"/>
      <c r="W1804" s="8"/>
      <c r="X1804" s="8"/>
      <c r="Y1804" s="8"/>
      <c r="Z1804" s="8"/>
    </row>
    <row r="1805" spans="1:26" ht="13.2">
      <c r="A1805" s="13">
        <v>44250.291666666672</v>
      </c>
      <c r="B1805" s="6" t="str">
        <f>HYPERLINK("https://twitter.com/atentec1","@atentec1")</f>
        <v>@atentec1</v>
      </c>
      <c r="C1805" s="14" t="s">
        <v>7336</v>
      </c>
      <c r="D1805" s="14" t="s">
        <v>7337</v>
      </c>
      <c r="E1805" s="6" t="str">
        <f>HYPERLINK("https://twitter.com/atentec1/status/1364092626517991425","1364092626517991425")</f>
        <v>1364092626517991425</v>
      </c>
      <c r="F1805" s="7" t="s">
        <v>7338</v>
      </c>
      <c r="G1805" s="7" t="s">
        <v>7339</v>
      </c>
      <c r="H1805" s="8"/>
      <c r="I1805" s="14">
        <v>2</v>
      </c>
      <c r="J1805" s="14">
        <v>1</v>
      </c>
      <c r="K1805" s="6" t="str">
        <f t="shared" ref="K1805:K1806" si="339">HYPERLINK("https://mobile.twitter.com","Twitter Web App")</f>
        <v>Twitter Web App</v>
      </c>
      <c r="L1805" s="15">
        <v>15</v>
      </c>
      <c r="M1805" s="15">
        <v>145</v>
      </c>
      <c r="N1805" s="15">
        <v>0</v>
      </c>
      <c r="O1805" s="9"/>
      <c r="P1805" s="10">
        <v>43866.3590162037</v>
      </c>
      <c r="Q1805" s="14" t="s">
        <v>7340</v>
      </c>
      <c r="R1805" s="14" t="s">
        <v>7341</v>
      </c>
      <c r="S1805" s="7" t="s">
        <v>7342</v>
      </c>
      <c r="T1805" s="8"/>
      <c r="U1805" s="11" t="str">
        <f>HYPERLINK("https://pbs.twimg.com/profile_images/1360512239011299329/dkJHeB_C.jpg","View")</f>
        <v>View</v>
      </c>
      <c r="V1805" s="8"/>
      <c r="W1805" s="8"/>
      <c r="X1805" s="8"/>
      <c r="Y1805" s="8"/>
      <c r="Z1805" s="8"/>
    </row>
    <row r="1806" spans="1:26" ht="13.2">
      <c r="A1806" s="13">
        <v>44250.291666666672</v>
      </c>
      <c r="B1806" s="6" t="str">
        <f>HYPERLINK("https://twitter.com/mekatronik_p","@mekatronik_p")</f>
        <v>@mekatronik_p</v>
      </c>
      <c r="C1806" s="14" t="s">
        <v>384</v>
      </c>
      <c r="D1806" s="14" t="s">
        <v>7343</v>
      </c>
      <c r="E1806" s="6" t="str">
        <f>HYPERLINK("https://twitter.com/mekatronik_p/status/1364092625494568962","1364092625494568962")</f>
        <v>1364092625494568962</v>
      </c>
      <c r="F1806" s="8"/>
      <c r="G1806" s="7" t="s">
        <v>7344</v>
      </c>
      <c r="H1806" s="8"/>
      <c r="I1806" s="14">
        <v>5</v>
      </c>
      <c r="J1806" s="14">
        <v>2</v>
      </c>
      <c r="K1806" s="6" t="str">
        <f t="shared" si="339"/>
        <v>Twitter Web App</v>
      </c>
      <c r="L1806" s="15">
        <v>67</v>
      </c>
      <c r="M1806" s="15">
        <v>1</v>
      </c>
      <c r="N1806" s="15">
        <v>0</v>
      </c>
      <c r="O1806" s="9"/>
      <c r="P1806" s="10">
        <v>44109.854756944449</v>
      </c>
      <c r="Q1806" s="8"/>
      <c r="R1806" s="14" t="s">
        <v>387</v>
      </c>
      <c r="S1806" s="8"/>
      <c r="T1806" s="8"/>
      <c r="U1806" s="11" t="str">
        <f>HYPERLINK("https://pbs.twimg.com/profile_images/1313188373624958976/SPe0w7x4.jpg","View")</f>
        <v>View</v>
      </c>
      <c r="V1806" s="8"/>
      <c r="W1806" s="8"/>
      <c r="X1806" s="8"/>
      <c r="Y1806" s="8"/>
      <c r="Z1806" s="8"/>
    </row>
    <row r="1807" spans="1:26" ht="13.2">
      <c r="A1807" s="13">
        <v>44250.291446759264</v>
      </c>
      <c r="B1807" s="6" t="str">
        <f>HYPERLINK("https://twitter.com/NeurAutomata","@NeurAutomata")</f>
        <v>@NeurAutomata</v>
      </c>
      <c r="C1807" s="14" t="s">
        <v>400</v>
      </c>
      <c r="D1807" s="14" t="s">
        <v>401</v>
      </c>
      <c r="E1807" s="6" t="str">
        <f>HYPERLINK("https://twitter.com/NeurAutomata/status/1364092547698745344","1364092547698745344")</f>
        <v>1364092547698745344</v>
      </c>
      <c r="F1807" s="7" t="s">
        <v>7345</v>
      </c>
      <c r="G1807" s="8"/>
      <c r="H1807" s="8"/>
      <c r="I1807" s="14">
        <v>3</v>
      </c>
      <c r="J1807" s="14">
        <v>0</v>
      </c>
      <c r="K1807" s="6" t="str">
        <f>HYPERLINK("https://ifttt.com","IFTTT")</f>
        <v>IFTTT</v>
      </c>
      <c r="L1807" s="15">
        <v>83</v>
      </c>
      <c r="M1807" s="15">
        <v>14</v>
      </c>
      <c r="N1807" s="15">
        <v>3</v>
      </c>
      <c r="O1807" s="9"/>
      <c r="P1807" s="10">
        <v>42862.083414351851</v>
      </c>
      <c r="Q1807" s="14" t="s">
        <v>403</v>
      </c>
      <c r="R1807" s="14" t="s">
        <v>404</v>
      </c>
      <c r="S1807" s="8"/>
      <c r="T1807" s="8"/>
      <c r="U1807" s="11" t="str">
        <f>HYPERLINK("https://pbs.twimg.com/profile_images/861050448672718848/oHUlrvEK.jpg","View")</f>
        <v>View</v>
      </c>
      <c r="V1807" s="8"/>
      <c r="W1807" s="8"/>
      <c r="X1807" s="8"/>
      <c r="Y1807" s="8"/>
      <c r="Z1807" s="8"/>
    </row>
    <row r="1808" spans="1:26" ht="13.2">
      <c r="A1808" s="13">
        <v>44250.290462962963</v>
      </c>
      <c r="B1808" s="6" t="str">
        <f>HYPERLINK("https://twitter.com/iamBrianGraham","@iamBrianGraham")</f>
        <v>@iamBrianGraham</v>
      </c>
      <c r="C1808" s="14" t="s">
        <v>4259</v>
      </c>
      <c r="D1808" s="14" t="s">
        <v>7346</v>
      </c>
      <c r="E1808" s="6" t="str">
        <f>HYPERLINK("https://twitter.com/iamBrianGraham/status/1364092189983330307","1364092189983330307")</f>
        <v>1364092189983330307</v>
      </c>
      <c r="F1808" s="8"/>
      <c r="G1808" s="7" t="s">
        <v>7347</v>
      </c>
      <c r="H1808" s="8"/>
      <c r="I1808" s="14">
        <v>24</v>
      </c>
      <c r="J1808" s="14">
        <v>9</v>
      </c>
      <c r="K1808" s="6" t="str">
        <f>HYPERLINK("https://bypeers.net","ByPeers Social CRM (1)")</f>
        <v>ByPeers Social CRM (1)</v>
      </c>
      <c r="L1808" s="15">
        <v>5759</v>
      </c>
      <c r="M1808" s="15">
        <v>4549</v>
      </c>
      <c r="N1808" s="15">
        <v>211</v>
      </c>
      <c r="O1808" s="9"/>
      <c r="P1808" s="10">
        <v>42570.927037037036</v>
      </c>
      <c r="Q1808" s="14" t="s">
        <v>4262</v>
      </c>
      <c r="R1808" s="14" t="s">
        <v>4263</v>
      </c>
      <c r="S1808" s="7" t="s">
        <v>4264</v>
      </c>
      <c r="T1808" s="8"/>
      <c r="U1808" s="11" t="str">
        <f>HYPERLINK("https://pbs.twimg.com/profile_images/1099684609703510017/zcsjRYt2.png","View")</f>
        <v>View</v>
      </c>
      <c r="V1808" s="8"/>
      <c r="W1808" s="8"/>
      <c r="X1808" s="8"/>
      <c r="Y1808" s="8"/>
      <c r="Z1808" s="8"/>
    </row>
    <row r="1809" spans="1:26" ht="13.2">
      <c r="A1809" s="13">
        <v>44250.289583333331</v>
      </c>
      <c r="B1809" s="6" t="str">
        <f>HYPERLINK("https://twitter.com/MIRANDA78191470","@MIRANDA78191470")</f>
        <v>@MIRANDA78191470</v>
      </c>
      <c r="C1809" s="14" t="s">
        <v>7348</v>
      </c>
      <c r="D1809" s="14" t="s">
        <v>7349</v>
      </c>
      <c r="E1809" s="6" t="str">
        <f>HYPERLINK("https://twitter.com/MIRANDA78191470/status/1364091870595346438","1364091870595346438")</f>
        <v>1364091870595346438</v>
      </c>
      <c r="F1809" s="8"/>
      <c r="G1809" s="7" t="s">
        <v>7350</v>
      </c>
      <c r="H1809" s="8"/>
      <c r="I1809" s="14">
        <v>0</v>
      </c>
      <c r="J1809" s="14">
        <v>0</v>
      </c>
      <c r="K1809" s="6" t="str">
        <f>HYPERLINK("https://mobile.twitter.com","Twitter Web App")</f>
        <v>Twitter Web App</v>
      </c>
      <c r="L1809" s="15">
        <v>6</v>
      </c>
      <c r="M1809" s="15">
        <v>18</v>
      </c>
      <c r="N1809" s="15">
        <v>0</v>
      </c>
      <c r="O1809" s="9"/>
      <c r="P1809" s="10">
        <v>44224.642777777779</v>
      </c>
      <c r="Q1809" s="8"/>
      <c r="R1809" s="14" t="s">
        <v>7351</v>
      </c>
      <c r="S1809" s="7" t="s">
        <v>7352</v>
      </c>
      <c r="T1809" s="8"/>
      <c r="U1809" s="11" t="str">
        <f>HYPERLINK("https://pbs.twimg.com/profile_images/1354799148529115153/_1HMwMgu.jpg","View")</f>
        <v>View</v>
      </c>
      <c r="V1809" s="8"/>
      <c r="W1809" s="8"/>
      <c r="X1809" s="8"/>
      <c r="Y1809" s="8"/>
      <c r="Z1809" s="8"/>
    </row>
    <row r="1810" spans="1:26" ht="13.2">
      <c r="A1810" s="13">
        <v>44250.288657407407</v>
      </c>
      <c r="B1810" s="6" t="str">
        <f>HYPERLINK("https://twitter.com/IsTheArchitect","@IsTheArchitect")</f>
        <v>@IsTheArchitect</v>
      </c>
      <c r="C1810" s="14" t="s">
        <v>7353</v>
      </c>
      <c r="D1810" s="14" t="s">
        <v>7354</v>
      </c>
      <c r="E1810" s="6" t="str">
        <f>HYPERLINK("https://twitter.com/IsTheArchitect/status/1364091534954483714","1364091534954483714")</f>
        <v>1364091534954483714</v>
      </c>
      <c r="F1810" s="7" t="s">
        <v>7355</v>
      </c>
      <c r="G1810" s="8"/>
      <c r="H1810" s="8"/>
      <c r="I1810" s="14">
        <v>2</v>
      </c>
      <c r="J1810" s="14">
        <v>1</v>
      </c>
      <c r="K1810" s="6" t="str">
        <f>HYPERLINK("http://twitter.com/download/android","Twitter for Android")</f>
        <v>Twitter for Android</v>
      </c>
      <c r="L1810" s="15">
        <v>1022</v>
      </c>
      <c r="M1810" s="15">
        <v>1590</v>
      </c>
      <c r="N1810" s="15">
        <v>15</v>
      </c>
      <c r="O1810" s="9"/>
      <c r="P1810" s="10">
        <v>41024.118067129632</v>
      </c>
      <c r="Q1810" s="14" t="s">
        <v>5767</v>
      </c>
      <c r="R1810" s="14" t="s">
        <v>7356</v>
      </c>
      <c r="S1810" s="7" t="s">
        <v>7357</v>
      </c>
      <c r="T1810" s="8"/>
      <c r="U1810" s="11" t="str">
        <f>HYPERLINK("https://pbs.twimg.com/profile_images/1352440008070709248/x6CUCRgj.jpg","View")</f>
        <v>View</v>
      </c>
      <c r="V1810" s="8"/>
      <c r="W1810" s="8"/>
      <c r="X1810" s="8"/>
      <c r="Y1810" s="8"/>
      <c r="Z1810" s="8"/>
    </row>
    <row r="1811" spans="1:26" ht="13.2">
      <c r="A1811" s="13">
        <v>44250.287395833337</v>
      </c>
      <c r="B1811" s="6" t="str">
        <f>HYPERLINK("https://twitter.com/SpirosMargaris","@SpirosMargaris")</f>
        <v>@SpirosMargaris</v>
      </c>
      <c r="C1811" s="14" t="s">
        <v>3558</v>
      </c>
      <c r="D1811" s="14" t="s">
        <v>7358</v>
      </c>
      <c r="E1811" s="6" t="str">
        <f>HYPERLINK("https://twitter.com/SpirosMargaris/status/1364091079600050176","1364091079600050176")</f>
        <v>1364091079600050176</v>
      </c>
      <c r="F1811" s="7" t="s">
        <v>7359</v>
      </c>
      <c r="G1811" s="7" t="s">
        <v>7360</v>
      </c>
      <c r="H1811" s="8"/>
      <c r="I1811" s="14">
        <v>8</v>
      </c>
      <c r="J1811" s="14">
        <v>3</v>
      </c>
      <c r="K1811" s="6" t="str">
        <f>HYPERLINK("https://buffer.com","Buffer")</f>
        <v>Buffer</v>
      </c>
      <c r="L1811" s="15">
        <v>107389</v>
      </c>
      <c r="M1811" s="15">
        <v>15890</v>
      </c>
      <c r="N1811" s="15">
        <v>5693</v>
      </c>
      <c r="O1811" s="15" t="s">
        <v>130</v>
      </c>
      <c r="P1811" s="10">
        <v>41857.30574074074</v>
      </c>
      <c r="Q1811" s="14" t="s">
        <v>3562</v>
      </c>
      <c r="R1811" s="14" t="s">
        <v>3563</v>
      </c>
      <c r="S1811" s="7" t="s">
        <v>3564</v>
      </c>
      <c r="T1811" s="8"/>
      <c r="U1811" s="11" t="str">
        <f>HYPERLINK("https://pbs.twimg.com/profile_images/1346443960986775553/TGeiH97s.jpg","View")</f>
        <v>View</v>
      </c>
      <c r="V1811" s="8"/>
      <c r="W1811" s="8"/>
      <c r="X1811" s="8"/>
      <c r="Y1811" s="8"/>
      <c r="Z1811" s="8"/>
    </row>
    <row r="1812" spans="1:26" ht="13.2">
      <c r="A1812" s="13">
        <v>44250.28696759259</v>
      </c>
      <c r="B1812" s="6" t="str">
        <f>HYPERLINK("https://twitter.com/IndiaIspma","@IndiaIspma")</f>
        <v>@IndiaIspma</v>
      </c>
      <c r="C1812" s="14" t="s">
        <v>7361</v>
      </c>
      <c r="D1812" s="14" t="s">
        <v>7362</v>
      </c>
      <c r="E1812" s="6" t="str">
        <f>HYPERLINK("https://twitter.com/IndiaIspma/status/1364090924813312003","1364090924813312003")</f>
        <v>1364090924813312003</v>
      </c>
      <c r="F1812" s="7" t="s">
        <v>7363</v>
      </c>
      <c r="G1812" s="7" t="s">
        <v>7364</v>
      </c>
      <c r="H1812" s="8"/>
      <c r="I1812" s="14">
        <v>2</v>
      </c>
      <c r="J1812" s="14">
        <v>0</v>
      </c>
      <c r="K1812" s="6" t="str">
        <f>HYPERLINK("https://mobile.twitter.com","Twitter Web App")</f>
        <v>Twitter Web App</v>
      </c>
      <c r="L1812" s="15">
        <v>6</v>
      </c>
      <c r="M1812" s="15">
        <v>35</v>
      </c>
      <c r="N1812" s="15">
        <v>0</v>
      </c>
      <c r="O1812" s="9"/>
      <c r="P1812" s="10">
        <v>44238.286041666666</v>
      </c>
      <c r="Q1812" s="14" t="s">
        <v>3176</v>
      </c>
      <c r="R1812" s="14" t="s">
        <v>7365</v>
      </c>
      <c r="S1812" s="7" t="s">
        <v>7366</v>
      </c>
      <c r="T1812" s="8"/>
      <c r="U1812" s="11" t="str">
        <f>HYPERLINK("https://pbs.twimg.com/profile_images/1359742041429663744/rYwLpVrQ.jpg","View")</f>
        <v>View</v>
      </c>
      <c r="V1812" s="8"/>
      <c r="W1812" s="8"/>
      <c r="X1812" s="8"/>
      <c r="Y1812" s="8"/>
      <c r="Z1812" s="8"/>
    </row>
    <row r="1813" spans="1:26" ht="13.2">
      <c r="A1813" s="13">
        <v>44250.286851851852</v>
      </c>
      <c r="B1813" s="6" t="str">
        <f>HYPERLINK("https://twitter.com/RotzetteP","@RotzetteP")</f>
        <v>@RotzetteP</v>
      </c>
      <c r="C1813" s="14" t="s">
        <v>7367</v>
      </c>
      <c r="D1813" s="14" t="s">
        <v>7368</v>
      </c>
      <c r="E1813" s="6" t="str">
        <f>HYPERLINK("https://twitter.com/RotzetteP/status/1364090883759611905","1364090883759611905")</f>
        <v>1364090883759611905</v>
      </c>
      <c r="F1813" s="7" t="s">
        <v>6458</v>
      </c>
      <c r="G1813" s="8"/>
      <c r="H1813" s="8"/>
      <c r="I1813" s="14">
        <v>2</v>
      </c>
      <c r="J1813" s="14">
        <v>0</v>
      </c>
      <c r="K1813" s="6" t="str">
        <f>HYPERLINK("http://twitter.com/download/android","Twitter for Android")</f>
        <v>Twitter for Android</v>
      </c>
      <c r="L1813" s="15">
        <v>640</v>
      </c>
      <c r="M1813" s="15">
        <v>754</v>
      </c>
      <c r="N1813" s="15">
        <v>75</v>
      </c>
      <c r="O1813" s="9"/>
      <c r="P1813" s="10">
        <v>41294.627974537041</v>
      </c>
      <c r="Q1813" s="14" t="s">
        <v>1319</v>
      </c>
      <c r="R1813" s="14" t="s">
        <v>7369</v>
      </c>
      <c r="S1813" s="7" t="s">
        <v>7370</v>
      </c>
      <c r="T1813" s="8"/>
      <c r="U1813" s="11" t="str">
        <f>HYPERLINK("https://pbs.twimg.com/profile_images/1177223987891490822/73vyar88.jpg","View")</f>
        <v>View</v>
      </c>
      <c r="V1813" s="8"/>
      <c r="W1813" s="8"/>
      <c r="X1813" s="8"/>
      <c r="Y1813" s="8"/>
      <c r="Z1813" s="8"/>
    </row>
    <row r="1814" spans="1:26" ht="13.2">
      <c r="A1814" s="13">
        <v>44250.286539351851</v>
      </c>
      <c r="B1814" s="6" t="str">
        <f>HYPERLINK("https://twitter.com/machinelearnflx","@machinelearnflx")</f>
        <v>@machinelearnflx</v>
      </c>
      <c r="C1814" s="14" t="s">
        <v>279</v>
      </c>
      <c r="D1814" s="14" t="s">
        <v>7371</v>
      </c>
      <c r="E1814" s="6" t="str">
        <f>HYPERLINK("https://twitter.com/machinelearnflx/status/1364090767837380609","1364090767837380609")</f>
        <v>1364090767837380609</v>
      </c>
      <c r="F1814" s="7" t="s">
        <v>7372</v>
      </c>
      <c r="G1814" s="8"/>
      <c r="H1814" s="8"/>
      <c r="I1814" s="14">
        <v>8</v>
      </c>
      <c r="J1814" s="14">
        <v>11</v>
      </c>
      <c r="K1814" s="6" t="str">
        <f>HYPERLINK("https://twitter.com/pythonbot_","Postmatico")</f>
        <v>Postmatico</v>
      </c>
      <c r="L1814" s="15">
        <v>90451</v>
      </c>
      <c r="M1814" s="15">
        <v>35464</v>
      </c>
      <c r="N1814" s="15">
        <v>2228</v>
      </c>
      <c r="O1814" s="9"/>
      <c r="P1814" s="10">
        <v>42386.538865740746</v>
      </c>
      <c r="Q1814" s="8"/>
      <c r="R1814" s="14" t="s">
        <v>282</v>
      </c>
      <c r="S1814" s="7" t="s">
        <v>283</v>
      </c>
      <c r="T1814" s="8"/>
      <c r="U1814" s="11" t="str">
        <f>HYPERLINK("https://pbs.twimg.com/profile_images/688735459892195329/v8sHaWSG.jpg","View")</f>
        <v>View</v>
      </c>
      <c r="V1814" s="8"/>
      <c r="W1814" s="8"/>
      <c r="X1814" s="8"/>
      <c r="Y1814" s="8"/>
      <c r="Z1814" s="8"/>
    </row>
    <row r="1815" spans="1:26" ht="13.2">
      <c r="A1815" s="13">
        <v>44250.286111111112</v>
      </c>
      <c r="B1815" s="6" t="str">
        <f>HYPERLINK("https://twitter.com/IT_TurkishSAI","@IT_TurkishSAI")</f>
        <v>@IT_TurkishSAI</v>
      </c>
      <c r="C1815" s="14" t="s">
        <v>7373</v>
      </c>
      <c r="D1815" s="14" t="s">
        <v>7374</v>
      </c>
      <c r="E1815" s="6" t="str">
        <f>HYPERLINK("https://twitter.com/IT_TurkishSAI/status/1364090612463644672","1364090612463644672")</f>
        <v>1364090612463644672</v>
      </c>
      <c r="F1815" s="7" t="s">
        <v>7375</v>
      </c>
      <c r="G1815" s="8"/>
      <c r="H1815" s="8"/>
      <c r="I1815" s="14">
        <v>3</v>
      </c>
      <c r="J1815" s="14">
        <v>2</v>
      </c>
      <c r="K1815" s="6" t="str">
        <f>HYPERLINK("https://mobile.twitter.com","Twitter Web App")</f>
        <v>Twitter Web App</v>
      </c>
      <c r="L1815" s="15">
        <v>183</v>
      </c>
      <c r="M1815" s="15">
        <v>65</v>
      </c>
      <c r="N1815" s="15">
        <v>0</v>
      </c>
      <c r="O1815" s="9"/>
      <c r="P1815" s="10">
        <v>43690.485324074078</v>
      </c>
      <c r="Q1815" s="8"/>
      <c r="R1815" s="14" t="s">
        <v>7376</v>
      </c>
      <c r="S1815" s="8"/>
      <c r="T1815" s="8"/>
      <c r="U1815" s="11" t="str">
        <f>HYPERLINK("https://pbs.twimg.com/profile_images/1161214729609760768/v2EIqzeK.jpg","View")</f>
        <v>View</v>
      </c>
      <c r="V1815" s="8"/>
      <c r="W1815" s="8"/>
      <c r="X1815" s="8"/>
      <c r="Y1815" s="8"/>
      <c r="Z1815" s="8"/>
    </row>
    <row r="1816" spans="1:26" ht="13.2">
      <c r="A1816" s="13">
        <v>44250.285590277781</v>
      </c>
      <c r="B1816" s="6" t="str">
        <f>HYPERLINK("https://twitter.com/RotzetteP","@RotzetteP")</f>
        <v>@RotzetteP</v>
      </c>
      <c r="C1816" s="14" t="s">
        <v>7367</v>
      </c>
      <c r="D1816" s="14" t="s">
        <v>7377</v>
      </c>
      <c r="E1816" s="6" t="str">
        <f>HYPERLINK("https://twitter.com/RotzetteP/status/1364090424684601346","1364090424684601346")</f>
        <v>1364090424684601346</v>
      </c>
      <c r="F1816" s="7" t="s">
        <v>2579</v>
      </c>
      <c r="G1816" s="8"/>
      <c r="H1816" s="8"/>
      <c r="I1816" s="14">
        <v>4</v>
      </c>
      <c r="J1816" s="14">
        <v>4</v>
      </c>
      <c r="K1816" s="6" t="str">
        <f>HYPERLINK("http://twitter.com/download/android","Twitter for Android")</f>
        <v>Twitter for Android</v>
      </c>
      <c r="L1816" s="15">
        <v>640</v>
      </c>
      <c r="M1816" s="15">
        <v>754</v>
      </c>
      <c r="N1816" s="15">
        <v>75</v>
      </c>
      <c r="O1816" s="9"/>
      <c r="P1816" s="10">
        <v>41294.627974537041</v>
      </c>
      <c r="Q1816" s="14" t="s">
        <v>1319</v>
      </c>
      <c r="R1816" s="14" t="s">
        <v>7369</v>
      </c>
      <c r="S1816" s="7" t="s">
        <v>7370</v>
      </c>
      <c r="T1816" s="8"/>
      <c r="U1816" s="11" t="str">
        <f>HYPERLINK("https://pbs.twimg.com/profile_images/1177223987891490822/73vyar88.jpg","View")</f>
        <v>View</v>
      </c>
      <c r="V1816" s="8"/>
      <c r="W1816" s="8"/>
      <c r="X1816" s="8"/>
      <c r="Y1816" s="8"/>
      <c r="Z1816" s="8"/>
    </row>
    <row r="1817" spans="1:26" ht="13.2">
      <c r="A1817" s="13">
        <v>44250.284745370373</v>
      </c>
      <c r="B1817" s="6" t="str">
        <f>HYPERLINK("https://twitter.com/junaidfaridkhan","@junaidfaridkhan")</f>
        <v>@junaidfaridkhan</v>
      </c>
      <c r="C1817" s="14" t="s">
        <v>7378</v>
      </c>
      <c r="D1817" s="14" t="s">
        <v>7379</v>
      </c>
      <c r="E1817" s="6" t="str">
        <f>HYPERLINK("https://twitter.com/junaidfaridkhan/status/1364090118026461185","1364090118026461185")</f>
        <v>1364090118026461185</v>
      </c>
      <c r="F1817" s="7" t="s">
        <v>7380</v>
      </c>
      <c r="G1817" s="8"/>
      <c r="H1817" s="8"/>
      <c r="I1817" s="14">
        <v>3</v>
      </c>
      <c r="J1817" s="14">
        <v>1</v>
      </c>
      <c r="K1817" s="6" t="str">
        <f>HYPERLINK("https://www.hootsuite.com","Hootsuite Inc.")</f>
        <v>Hootsuite Inc.</v>
      </c>
      <c r="L1817" s="15">
        <v>3776</v>
      </c>
      <c r="M1817" s="15">
        <v>2879</v>
      </c>
      <c r="N1817" s="15">
        <v>76</v>
      </c>
      <c r="O1817" s="9"/>
      <c r="P1817" s="10">
        <v>40250.573761574073</v>
      </c>
      <c r="Q1817" s="14" t="s">
        <v>2222</v>
      </c>
      <c r="R1817" s="14" t="s">
        <v>7381</v>
      </c>
      <c r="S1817" s="7" t="s">
        <v>7382</v>
      </c>
      <c r="T1817" s="8"/>
      <c r="U1817" s="11" t="str">
        <f>HYPERLINK("https://pbs.twimg.com/profile_images/768648246096822272/kxvGutF-.jpg","View")</f>
        <v>View</v>
      </c>
      <c r="V1817" s="8"/>
      <c r="W1817" s="8"/>
      <c r="X1817" s="8"/>
      <c r="Y1817" s="8"/>
      <c r="Z1817" s="8"/>
    </row>
    <row r="1818" spans="1:26" ht="13.2">
      <c r="A1818" s="13">
        <v>44250.283391203702</v>
      </c>
      <c r="B1818" s="6" t="str">
        <f>HYPERLINK("https://twitter.com/rtirumalaraju","@rtirumalaraju")</f>
        <v>@rtirumalaraju</v>
      </c>
      <c r="C1818" s="14" t="s">
        <v>7383</v>
      </c>
      <c r="D1818" s="14" t="s">
        <v>7384</v>
      </c>
      <c r="E1818" s="6" t="str">
        <f>HYPERLINK("https://twitter.com/rtirumalaraju/status/1364089626575572995","1364089626575572995")</f>
        <v>1364089626575572995</v>
      </c>
      <c r="F1818" s="7" t="s">
        <v>7385</v>
      </c>
      <c r="G1818" s="7" t="s">
        <v>7386</v>
      </c>
      <c r="H1818" s="8"/>
      <c r="I1818" s="14">
        <v>3</v>
      </c>
      <c r="J1818" s="14">
        <v>1</v>
      </c>
      <c r="K1818" s="6" t="str">
        <f>HYPERLINK("https://mobile.twitter.com","Twitter Web App")</f>
        <v>Twitter Web App</v>
      </c>
      <c r="L1818" s="15">
        <v>167</v>
      </c>
      <c r="M1818" s="15">
        <v>416</v>
      </c>
      <c r="N1818" s="15">
        <v>17</v>
      </c>
      <c r="O1818" s="9"/>
      <c r="P1818" s="10">
        <v>40045.367268518516</v>
      </c>
      <c r="Q1818" s="14" t="s">
        <v>4166</v>
      </c>
      <c r="R1818" s="14" t="s">
        <v>7387</v>
      </c>
      <c r="S1818" s="7" t="s">
        <v>7388</v>
      </c>
      <c r="T1818" s="8"/>
      <c r="U1818" s="11" t="str">
        <f>HYPERLINK("https://pbs.twimg.com/profile_images/928625674859847681/m5OkZ40v.jpg","View")</f>
        <v>View</v>
      </c>
      <c r="V1818" s="8"/>
      <c r="W1818" s="8"/>
      <c r="X1818" s="8"/>
      <c r="Y1818" s="8"/>
      <c r="Z1818" s="8"/>
    </row>
    <row r="1819" spans="1:26" ht="13.2">
      <c r="A1819" s="13">
        <v>44250.283055555556</v>
      </c>
      <c r="B1819" s="6" t="str">
        <f>HYPERLINK("https://twitter.com/SpirosMargaris","@SpirosMargaris")</f>
        <v>@SpirosMargaris</v>
      </c>
      <c r="C1819" s="14" t="s">
        <v>3558</v>
      </c>
      <c r="D1819" s="14" t="s">
        <v>7389</v>
      </c>
      <c r="E1819" s="6" t="str">
        <f>HYPERLINK("https://twitter.com/SpirosMargaris/status/1364089505842663425","1364089505842663425")</f>
        <v>1364089505842663425</v>
      </c>
      <c r="F1819" s="7" t="s">
        <v>7390</v>
      </c>
      <c r="G1819" s="7" t="s">
        <v>7391</v>
      </c>
      <c r="H1819" s="8"/>
      <c r="I1819" s="14">
        <v>12</v>
      </c>
      <c r="J1819" s="14">
        <v>11</v>
      </c>
      <c r="K1819" s="6" t="str">
        <f>HYPERLINK("https://buffer.com","Buffer")</f>
        <v>Buffer</v>
      </c>
      <c r="L1819" s="15">
        <v>107389</v>
      </c>
      <c r="M1819" s="15">
        <v>15890</v>
      </c>
      <c r="N1819" s="15">
        <v>5693</v>
      </c>
      <c r="O1819" s="15" t="s">
        <v>130</v>
      </c>
      <c r="P1819" s="10">
        <v>41857.30574074074</v>
      </c>
      <c r="Q1819" s="14" t="s">
        <v>3562</v>
      </c>
      <c r="R1819" s="14" t="s">
        <v>3563</v>
      </c>
      <c r="S1819" s="7" t="s">
        <v>3564</v>
      </c>
      <c r="T1819" s="8"/>
      <c r="U1819" s="11" t="str">
        <f>HYPERLINK("https://pbs.twimg.com/profile_images/1346443960986775553/TGeiH97s.jpg","View")</f>
        <v>View</v>
      </c>
      <c r="V1819" s="8"/>
      <c r="W1819" s="8"/>
      <c r="X1819" s="8"/>
      <c r="Y1819" s="8"/>
      <c r="Z1819" s="8"/>
    </row>
    <row r="1820" spans="1:26" ht="13.2">
      <c r="A1820" s="13">
        <v>44250.282789351855</v>
      </c>
      <c r="B1820" s="6" t="str">
        <f>HYPERLINK("https://twitter.com/Deep__AI","@Deep__AI")</f>
        <v>@Deep__AI</v>
      </c>
      <c r="C1820" s="14" t="s">
        <v>1904</v>
      </c>
      <c r="D1820" s="14" t="s">
        <v>7392</v>
      </c>
      <c r="E1820" s="6" t="str">
        <f>HYPERLINK("https://twitter.com/Deep__AI/status/1364089407670640640","1364089407670640640")</f>
        <v>1364089407670640640</v>
      </c>
      <c r="F1820" s="7" t="s">
        <v>7393</v>
      </c>
      <c r="G1820" s="8"/>
      <c r="H1820" s="8"/>
      <c r="I1820" s="14">
        <v>1</v>
      </c>
      <c r="J1820" s="14">
        <v>0</v>
      </c>
      <c r="K1820" s="6" t="str">
        <f>HYPERLINK("https://deepai.org/","DeepAI")</f>
        <v>DeepAI</v>
      </c>
      <c r="L1820" s="15">
        <v>36483</v>
      </c>
      <c r="M1820" s="15">
        <v>1642</v>
      </c>
      <c r="N1820" s="15">
        <v>406</v>
      </c>
      <c r="O1820" s="9"/>
      <c r="P1820" s="10">
        <v>42826.414039351846</v>
      </c>
      <c r="Q1820" s="14" t="s">
        <v>1907</v>
      </c>
      <c r="R1820" s="14" t="s">
        <v>1908</v>
      </c>
      <c r="S1820" s="7" t="s">
        <v>1909</v>
      </c>
      <c r="T1820" s="8"/>
      <c r="U1820" s="11" t="str">
        <f>HYPERLINK("https://pbs.twimg.com/profile_images/1118532973203079168/8VTzkyzD.png","View")</f>
        <v>View</v>
      </c>
      <c r="V1820" s="8"/>
      <c r="W1820" s="8"/>
      <c r="X1820" s="8"/>
      <c r="Y1820" s="8"/>
      <c r="Z1820" s="8"/>
    </row>
    <row r="1821" spans="1:26" ht="13.2">
      <c r="A1821" s="13">
        <v>44250.281944444447</v>
      </c>
      <c r="B1821" s="6" t="str">
        <f>HYPERLINK("https://twitter.com/ai_summary","@ai_summary")</f>
        <v>@ai_summary</v>
      </c>
      <c r="C1821" s="14" t="s">
        <v>528</v>
      </c>
      <c r="D1821" s="14" t="s">
        <v>7394</v>
      </c>
      <c r="E1821" s="6" t="str">
        <f>HYPERLINK("https://twitter.com/ai_summary/status/1364089105026584579","1364089105026584579")</f>
        <v>1364089105026584579</v>
      </c>
      <c r="F1821" s="7" t="s">
        <v>7395</v>
      </c>
      <c r="G1821" s="8"/>
      <c r="H1821" s="8"/>
      <c r="I1821" s="14">
        <v>0</v>
      </c>
      <c r="J1821" s="14">
        <v>0</v>
      </c>
      <c r="K1821" s="8"/>
      <c r="L1821" s="15">
        <v>47</v>
      </c>
      <c r="M1821" s="15">
        <v>7</v>
      </c>
      <c r="N1821" s="15">
        <v>2</v>
      </c>
      <c r="O1821" s="9"/>
      <c r="P1821" s="10">
        <v>44039.504699074074</v>
      </c>
      <c r="Q1821" s="8"/>
      <c r="R1821" s="14" t="s">
        <v>531</v>
      </c>
      <c r="S1821" s="8"/>
      <c r="T1821" s="8"/>
      <c r="U1821" s="11" t="str">
        <f>HYPERLINK("https://pbs.twimg.com/profile_images/1315240281206382592/-i10o6Yg.jpg","View")</f>
        <v>View</v>
      </c>
      <c r="V1821" s="8"/>
      <c r="W1821" s="8"/>
      <c r="X1821" s="8"/>
      <c r="Y1821" s="8"/>
      <c r="Z1821" s="8"/>
    </row>
    <row r="1822" spans="1:26" ht="13.2">
      <c r="A1822" s="13">
        <v>44250.281493055554</v>
      </c>
      <c r="B1822" s="6" t="str">
        <f>HYPERLINK("https://twitter.com/maria_freiria","@maria_freiria")</f>
        <v>@maria_freiria</v>
      </c>
      <c r="C1822" s="14" t="s">
        <v>7396</v>
      </c>
      <c r="D1822" s="14" t="s">
        <v>7397</v>
      </c>
      <c r="E1822" s="6" t="str">
        <f>HYPERLINK("https://twitter.com/maria_freiria/status/1364088938042953730","1364088938042953730")</f>
        <v>1364088938042953730</v>
      </c>
      <c r="F1822" s="7" t="s">
        <v>7398</v>
      </c>
      <c r="G1822" s="7" t="s">
        <v>7399</v>
      </c>
      <c r="H1822" s="8"/>
      <c r="I1822" s="14">
        <v>0</v>
      </c>
      <c r="J1822" s="14">
        <v>0</v>
      </c>
      <c r="K1822" s="6" t="str">
        <f>HYPERLINK("http://twitter.com/download/iphone","Twitter for iPhone")</f>
        <v>Twitter for iPhone</v>
      </c>
      <c r="L1822" s="15">
        <v>4503</v>
      </c>
      <c r="M1822" s="15">
        <v>4712</v>
      </c>
      <c r="N1822" s="15">
        <v>380</v>
      </c>
      <c r="O1822" s="9"/>
      <c r="P1822" s="10">
        <v>40475.841574074075</v>
      </c>
      <c r="Q1822" s="14" t="s">
        <v>848</v>
      </c>
      <c r="R1822" s="14" t="s">
        <v>7400</v>
      </c>
      <c r="S1822" s="7" t="s">
        <v>7401</v>
      </c>
      <c r="T1822" s="8"/>
      <c r="U1822" s="11" t="str">
        <f>HYPERLINK("https://pbs.twimg.com/profile_images/774975659663847425/UZgHLxKG.jpg","View")</f>
        <v>View</v>
      </c>
      <c r="V1822" s="8"/>
      <c r="W1822" s="8"/>
      <c r="X1822" s="8"/>
      <c r="Y1822" s="8"/>
      <c r="Z1822" s="8"/>
    </row>
    <row r="1823" spans="1:26" ht="13.2">
      <c r="A1823" s="13">
        <v>44250.281018518523</v>
      </c>
      <c r="B1823" s="6" t="str">
        <f>HYPERLINK("https://twitter.com/cornichecorp","@cornichecorp")</f>
        <v>@cornichecorp</v>
      </c>
      <c r="C1823" s="14" t="s">
        <v>2271</v>
      </c>
      <c r="D1823" s="14" t="s">
        <v>3455</v>
      </c>
      <c r="E1823" s="6" t="str">
        <f>HYPERLINK("https://twitter.com/cornichecorp/status/1364088767556902913","1364088767556902913")</f>
        <v>1364088767556902913</v>
      </c>
      <c r="F1823" s="14" t="s">
        <v>3456</v>
      </c>
      <c r="G1823" s="8"/>
      <c r="H1823" s="8"/>
      <c r="I1823" s="14">
        <v>2</v>
      </c>
      <c r="J1823" s="14">
        <v>1</v>
      </c>
      <c r="K1823" s="6" t="str">
        <f t="shared" ref="K1823:K1824" si="340">HYPERLINK("http://twinybots.com","TwinyBots")</f>
        <v>TwinyBots</v>
      </c>
      <c r="L1823" s="15">
        <v>2349</v>
      </c>
      <c r="M1823" s="15">
        <v>2163</v>
      </c>
      <c r="N1823" s="15">
        <v>30</v>
      </c>
      <c r="O1823" s="9"/>
      <c r="P1823" s="10">
        <v>42246.917499999996</v>
      </c>
      <c r="Q1823" s="14" t="s">
        <v>2274</v>
      </c>
      <c r="R1823" s="14" t="s">
        <v>2275</v>
      </c>
      <c r="S1823" s="8"/>
      <c r="T1823" s="8"/>
      <c r="U1823" s="11" t="str">
        <f>HYPERLINK("https://pbs.twimg.com/profile_images/1135863200396775424/vPe8Htor.png","View")</f>
        <v>View</v>
      </c>
      <c r="V1823" s="8"/>
      <c r="W1823" s="8"/>
      <c r="X1823" s="8"/>
      <c r="Y1823" s="8"/>
      <c r="Z1823" s="8"/>
    </row>
    <row r="1824" spans="1:26" ht="13.2">
      <c r="A1824" s="13">
        <v>44250.281018518523</v>
      </c>
      <c r="B1824" s="6" t="str">
        <f>HYPERLINK("https://twitter.com/corizance","@corizance")</f>
        <v>@corizance</v>
      </c>
      <c r="C1824" s="14" t="s">
        <v>2550</v>
      </c>
      <c r="D1824" s="14" t="s">
        <v>5542</v>
      </c>
      <c r="E1824" s="6" t="str">
        <f>HYPERLINK("https://twitter.com/corizance/status/1364088766961451012","1364088766961451012")</f>
        <v>1364088766961451012</v>
      </c>
      <c r="F1824" s="14" t="s">
        <v>7402</v>
      </c>
      <c r="G1824" s="8"/>
      <c r="H1824" s="8"/>
      <c r="I1824" s="14">
        <v>0</v>
      </c>
      <c r="J1824" s="14">
        <v>0</v>
      </c>
      <c r="K1824" s="6" t="str">
        <f t="shared" si="340"/>
        <v>TwinyBots</v>
      </c>
      <c r="L1824" s="15">
        <v>488</v>
      </c>
      <c r="M1824" s="15">
        <v>434</v>
      </c>
      <c r="N1824" s="15">
        <v>13</v>
      </c>
      <c r="O1824" s="9"/>
      <c r="P1824" s="10">
        <v>43789.49145833333</v>
      </c>
      <c r="Q1824" s="14" t="s">
        <v>2551</v>
      </c>
      <c r="R1824" s="14" t="s">
        <v>2552</v>
      </c>
      <c r="S1824" s="7" t="s">
        <v>2553</v>
      </c>
      <c r="T1824" s="8"/>
      <c r="U1824" s="11" t="str">
        <f>HYPERLINK("https://pbs.twimg.com/profile_images/1223176339697565697/q38i7r9K.jpg","View")</f>
        <v>View</v>
      </c>
      <c r="V1824" s="8"/>
      <c r="W1824" s="8"/>
      <c r="X1824" s="8"/>
      <c r="Y1824" s="8"/>
      <c r="Z1824" s="8"/>
    </row>
    <row r="1825" spans="1:26" ht="13.2">
      <c r="A1825" s="13">
        <v>44250.280995370369</v>
      </c>
      <c r="B1825" s="6" t="str">
        <f>HYPERLINK("https://twitter.com/CaitDoogan","@CaitDoogan")</f>
        <v>@CaitDoogan</v>
      </c>
      <c r="C1825" s="14" t="s">
        <v>7403</v>
      </c>
      <c r="D1825" s="14" t="s">
        <v>7404</v>
      </c>
      <c r="E1825" s="6" t="str">
        <f>HYPERLINK("https://twitter.com/CaitDoogan/status/1364088758136569856","1364088758136569856")</f>
        <v>1364088758136569856</v>
      </c>
      <c r="F1825" s="8"/>
      <c r="G1825" s="7" t="s">
        <v>7405</v>
      </c>
      <c r="H1825" s="8"/>
      <c r="I1825" s="14">
        <v>0</v>
      </c>
      <c r="J1825" s="14">
        <v>3</v>
      </c>
      <c r="K1825" s="6" t="str">
        <f>HYPERLINK("https://mobile.twitter.com","Twitter Web App")</f>
        <v>Twitter Web App</v>
      </c>
      <c r="L1825" s="15">
        <v>2455</v>
      </c>
      <c r="M1825" s="15">
        <v>663</v>
      </c>
      <c r="N1825" s="15">
        <v>32</v>
      </c>
      <c r="O1825" s="9"/>
      <c r="P1825" s="10">
        <v>43245.044814814813</v>
      </c>
      <c r="Q1825" s="14" t="s">
        <v>7406</v>
      </c>
      <c r="R1825" s="14" t="s">
        <v>7407</v>
      </c>
      <c r="S1825" s="7" t="s">
        <v>7408</v>
      </c>
      <c r="T1825" s="8"/>
      <c r="U1825" s="11" t="str">
        <f>HYPERLINK("https://pbs.twimg.com/profile_images/1300912087191887872/9s4sIg3E.jpg","View")</f>
        <v>View</v>
      </c>
      <c r="V1825" s="8"/>
      <c r="W1825" s="8"/>
      <c r="X1825" s="8"/>
      <c r="Y1825" s="8"/>
      <c r="Z1825" s="8"/>
    </row>
    <row r="1826" spans="1:26" ht="13.2">
      <c r="A1826" s="13">
        <v>44250.279363425929</v>
      </c>
      <c r="B1826" s="6" t="str">
        <f>HYPERLINK("https://twitter.com/Techfuturenew","@Techfuturenew")</f>
        <v>@Techfuturenew</v>
      </c>
      <c r="C1826" s="14" t="s">
        <v>1725</v>
      </c>
      <c r="D1826" s="14" t="s">
        <v>39</v>
      </c>
      <c r="E1826" s="6" t="str">
        <f>HYPERLINK("https://twitter.com/Techfuturenew/status/1364088168178454528","1364088168178454528")</f>
        <v>1364088168178454528</v>
      </c>
      <c r="F1826" s="14" t="s">
        <v>7409</v>
      </c>
      <c r="G1826" s="8"/>
      <c r="H1826" s="8"/>
      <c r="I1826" s="14">
        <v>2</v>
      </c>
      <c r="J1826" s="14">
        <v>1</v>
      </c>
      <c r="K1826" s="6" t="str">
        <f>HYPERLINK("http://twinybots.com","TwinyBots")</f>
        <v>TwinyBots</v>
      </c>
      <c r="L1826" s="15">
        <v>961</v>
      </c>
      <c r="M1826" s="15">
        <v>411</v>
      </c>
      <c r="N1826" s="15">
        <v>17</v>
      </c>
      <c r="O1826" s="9"/>
      <c r="P1826" s="10">
        <v>43080.534120370372</v>
      </c>
      <c r="Q1826" s="14" t="s">
        <v>322</v>
      </c>
      <c r="R1826" s="14" t="s">
        <v>1727</v>
      </c>
      <c r="S1826" s="8"/>
      <c r="T1826" s="8"/>
      <c r="U1826" s="11" t="str">
        <f>HYPERLINK("https://pbs.twimg.com/profile_images/1201246977150922755/lKxY2XSy.jpg","View")</f>
        <v>View</v>
      </c>
      <c r="V1826" s="8"/>
      <c r="W1826" s="8"/>
      <c r="X1826" s="8"/>
      <c r="Y1826" s="8"/>
      <c r="Z1826" s="8"/>
    </row>
    <row r="1827" spans="1:26" ht="13.2">
      <c r="A1827" s="13">
        <v>44250.27789351852</v>
      </c>
      <c r="B1827" s="6" t="str">
        <f>HYPERLINK("https://twitter.com/i2tutorials","@i2tutorials")</f>
        <v>@i2tutorials</v>
      </c>
      <c r="C1827" s="14" t="s">
        <v>7410</v>
      </c>
      <c r="D1827" s="14" t="s">
        <v>7411</v>
      </c>
      <c r="E1827" s="6" t="str">
        <f>HYPERLINK("https://twitter.com/i2tutorials/status/1364087636114087938","1364087636114087938")</f>
        <v>1364087636114087938</v>
      </c>
      <c r="F1827" s="7" t="s">
        <v>7412</v>
      </c>
      <c r="G1827" s="8"/>
      <c r="H1827" s="8"/>
      <c r="I1827" s="14">
        <v>1</v>
      </c>
      <c r="J1827" s="14">
        <v>2</v>
      </c>
      <c r="K1827" s="6" t="str">
        <f>HYPERLINK("https://mobile.twitter.com","Twitter Web App")</f>
        <v>Twitter Web App</v>
      </c>
      <c r="L1827" s="15">
        <v>28</v>
      </c>
      <c r="M1827" s="15">
        <v>84</v>
      </c>
      <c r="N1827" s="15">
        <v>2</v>
      </c>
      <c r="O1827" s="9"/>
      <c r="P1827" s="10">
        <v>43082.221550925926</v>
      </c>
      <c r="Q1827" s="14" t="s">
        <v>7413</v>
      </c>
      <c r="R1827" s="14" t="s">
        <v>7414</v>
      </c>
      <c r="S1827" s="8"/>
      <c r="T1827" s="8"/>
      <c r="U1827" s="11" t="str">
        <f>HYPERLINK("https://pbs.twimg.com/profile_images/940799311503294465/X3oqt2UF.jpg","View")</f>
        <v>View</v>
      </c>
      <c r="V1827" s="8"/>
      <c r="W1827" s="8"/>
      <c r="X1827" s="8"/>
      <c r="Y1827" s="8"/>
      <c r="Z1827" s="8"/>
    </row>
    <row r="1828" spans="1:26" ht="13.2">
      <c r="A1828" s="13">
        <v>44250.277800925927</v>
      </c>
      <c r="B1828" s="6" t="str">
        <f>HYPERLINK("https://twitter.com/KloudqT","@KloudqT")</f>
        <v>@KloudqT</v>
      </c>
      <c r="C1828" s="14" t="s">
        <v>7415</v>
      </c>
      <c r="D1828" s="14" t="s">
        <v>7416</v>
      </c>
      <c r="E1828" s="6" t="str">
        <f>HYPERLINK("https://twitter.com/KloudqT/status/1364087602824040449","1364087602824040449")</f>
        <v>1364087602824040449</v>
      </c>
      <c r="F1828" s="8"/>
      <c r="G1828" s="7" t="s">
        <v>7417</v>
      </c>
      <c r="H1828" s="8"/>
      <c r="I1828" s="14">
        <v>8</v>
      </c>
      <c r="J1828" s="14">
        <v>10</v>
      </c>
      <c r="K1828" s="6" t="str">
        <f>HYPERLINK("https://buffer.com","Buffer")</f>
        <v>Buffer</v>
      </c>
      <c r="L1828" s="15">
        <v>485</v>
      </c>
      <c r="M1828" s="15">
        <v>395</v>
      </c>
      <c r="N1828" s="15">
        <v>5</v>
      </c>
      <c r="O1828" s="9"/>
      <c r="P1828" s="10">
        <v>43000.45103009259</v>
      </c>
      <c r="Q1828" s="14" t="s">
        <v>2167</v>
      </c>
      <c r="R1828" s="14" t="s">
        <v>7418</v>
      </c>
      <c r="S1828" s="7" t="s">
        <v>7419</v>
      </c>
      <c r="T1828" s="8"/>
      <c r="U1828" s="11" t="str">
        <f>HYPERLINK("https://pbs.twimg.com/profile_images/911155878996398081/Im5AMPFh.jpg","View")</f>
        <v>View</v>
      </c>
      <c r="V1828" s="8"/>
      <c r="W1828" s="8"/>
      <c r="X1828" s="8"/>
      <c r="Y1828" s="8"/>
      <c r="Z1828" s="8"/>
    </row>
    <row r="1829" spans="1:26" ht="13.2">
      <c r="A1829" s="13">
        <v>44250.277777777781</v>
      </c>
      <c r="B1829" s="6" t="str">
        <f>HYPERLINK("https://twitter.com/BacancyTech","@BacancyTech")</f>
        <v>@BacancyTech</v>
      </c>
      <c r="C1829" s="14" t="s">
        <v>7420</v>
      </c>
      <c r="D1829" s="14" t="s">
        <v>7421</v>
      </c>
      <c r="E1829" s="6" t="str">
        <f>HYPERLINK("https://twitter.com/BacancyTech/status/1364087592354914311","1364087592354914311")</f>
        <v>1364087592354914311</v>
      </c>
      <c r="F1829" s="7" t="s">
        <v>4419</v>
      </c>
      <c r="G1829" s="8"/>
      <c r="H1829" s="8"/>
      <c r="I1829" s="14">
        <v>12</v>
      </c>
      <c r="J1829" s="14">
        <v>10</v>
      </c>
      <c r="K1829" s="6" t="str">
        <f t="shared" ref="K1829:K1834" si="341">HYPERLINK("https://mobile.twitter.com","Twitter Web App")</f>
        <v>Twitter Web App</v>
      </c>
      <c r="L1829" s="15">
        <v>923</v>
      </c>
      <c r="M1829" s="15">
        <v>1904</v>
      </c>
      <c r="N1829" s="15">
        <v>290</v>
      </c>
      <c r="O1829" s="9"/>
      <c r="P1829" s="10">
        <v>41330.324097222227</v>
      </c>
      <c r="Q1829" s="14" t="s">
        <v>364</v>
      </c>
      <c r="R1829" s="14" t="s">
        <v>7422</v>
      </c>
      <c r="S1829" s="7" t="s">
        <v>7423</v>
      </c>
      <c r="T1829" s="8"/>
      <c r="U1829" s="11" t="str">
        <f>HYPERLINK("https://pbs.twimg.com/profile_images/1220694968894779394/FZLZABGw.jpg","View")</f>
        <v>View</v>
      </c>
      <c r="V1829" s="8"/>
      <c r="W1829" s="8"/>
      <c r="X1829" s="8"/>
      <c r="Y1829" s="8"/>
      <c r="Z1829" s="8"/>
    </row>
    <row r="1830" spans="1:26" ht="13.2">
      <c r="A1830" s="13">
        <v>44250.276134259257</v>
      </c>
      <c r="B1830" s="6" t="str">
        <f>HYPERLINK("https://twitter.com/karry6021","@karry6021")</f>
        <v>@karry6021</v>
      </c>
      <c r="C1830" s="14" t="s">
        <v>7424</v>
      </c>
      <c r="D1830" s="14" t="s">
        <v>7425</v>
      </c>
      <c r="E1830" s="6" t="str">
        <f>HYPERLINK("https://twitter.com/karry6021/status/1364086997443223553","1364086997443223553")</f>
        <v>1364086997443223553</v>
      </c>
      <c r="F1830" s="7" t="s">
        <v>4419</v>
      </c>
      <c r="G1830" s="8"/>
      <c r="H1830" s="8"/>
      <c r="I1830" s="14">
        <v>9</v>
      </c>
      <c r="J1830" s="14">
        <v>10</v>
      </c>
      <c r="K1830" s="6" t="str">
        <f t="shared" si="341"/>
        <v>Twitter Web App</v>
      </c>
      <c r="L1830" s="15">
        <v>246</v>
      </c>
      <c r="M1830" s="15">
        <v>564</v>
      </c>
      <c r="N1830" s="15">
        <v>6</v>
      </c>
      <c r="O1830" s="9"/>
      <c r="P1830" s="10">
        <v>43138.483483796299</v>
      </c>
      <c r="Q1830" s="14" t="s">
        <v>138</v>
      </c>
      <c r="R1830" s="14" t="s">
        <v>7426</v>
      </c>
      <c r="S1830" s="7" t="s">
        <v>7427</v>
      </c>
      <c r="T1830" s="8"/>
      <c r="U1830" s="11" t="str">
        <f>HYPERLINK("https://pbs.twimg.com/profile_images/961193311716376577/tfk6gKvb.jpg","View")</f>
        <v>View</v>
      </c>
      <c r="V1830" s="8"/>
      <c r="W1830" s="8"/>
      <c r="X1830" s="8"/>
      <c r="Y1830" s="8"/>
      <c r="Z1830" s="8"/>
    </row>
    <row r="1831" spans="1:26" ht="13.2">
      <c r="A1831" s="13">
        <v>44250.275995370372</v>
      </c>
      <c r="B1831" s="6" t="str">
        <f>HYPERLINK("https://twitter.com/katyslemon","@katyslemon")</f>
        <v>@katyslemon</v>
      </c>
      <c r="C1831" s="14" t="s">
        <v>7428</v>
      </c>
      <c r="D1831" s="14" t="s">
        <v>7425</v>
      </c>
      <c r="E1831" s="6" t="str">
        <f>HYPERLINK("https://twitter.com/katyslemon/status/1364086946327273472","1364086946327273472")</f>
        <v>1364086946327273472</v>
      </c>
      <c r="F1831" s="7" t="s">
        <v>4419</v>
      </c>
      <c r="G1831" s="8"/>
      <c r="H1831" s="8"/>
      <c r="I1831" s="14">
        <v>2</v>
      </c>
      <c r="J1831" s="14">
        <v>2</v>
      </c>
      <c r="K1831" s="6" t="str">
        <f t="shared" si="341"/>
        <v>Twitter Web App</v>
      </c>
      <c r="L1831" s="15">
        <v>1823</v>
      </c>
      <c r="M1831" s="15">
        <v>3210</v>
      </c>
      <c r="N1831" s="15">
        <v>424</v>
      </c>
      <c r="O1831" s="9"/>
      <c r="P1831" s="10">
        <v>41897.395254629628</v>
      </c>
      <c r="Q1831" s="14" t="s">
        <v>7429</v>
      </c>
      <c r="R1831" s="14" t="s">
        <v>7430</v>
      </c>
      <c r="S1831" s="7" t="s">
        <v>7431</v>
      </c>
      <c r="T1831" s="8"/>
      <c r="U1831" s="11" t="str">
        <f>HYPERLINK("https://pbs.twimg.com/profile_images/611881737371521024/OW9rqaeJ.jpg","View")</f>
        <v>View</v>
      </c>
      <c r="V1831" s="8"/>
      <c r="W1831" s="8"/>
      <c r="X1831" s="8"/>
      <c r="Y1831" s="8"/>
      <c r="Z1831" s="8"/>
    </row>
    <row r="1832" spans="1:26" ht="13.2">
      <c r="A1832" s="13">
        <v>44250.275740740741</v>
      </c>
      <c r="B1832" s="6" t="str">
        <f>HYPERLINK("https://twitter.com/PSaucet","@PSaucet")</f>
        <v>@PSaucet</v>
      </c>
      <c r="C1832" s="14" t="s">
        <v>7432</v>
      </c>
      <c r="D1832" s="14" t="s">
        <v>7433</v>
      </c>
      <c r="E1832" s="6" t="str">
        <f>HYPERLINK("https://twitter.com/PSaucet/status/1364086853805162496","1364086853805162496")</f>
        <v>1364086853805162496</v>
      </c>
      <c r="F1832" s="14" t="s">
        <v>7434</v>
      </c>
      <c r="G1832" s="7" t="s">
        <v>7435</v>
      </c>
      <c r="H1832" s="8"/>
      <c r="I1832" s="14">
        <v>1</v>
      </c>
      <c r="J1832" s="14">
        <v>2</v>
      </c>
      <c r="K1832" s="6" t="str">
        <f t="shared" si="341"/>
        <v>Twitter Web App</v>
      </c>
      <c r="L1832" s="15">
        <v>2804</v>
      </c>
      <c r="M1832" s="15">
        <v>2447</v>
      </c>
      <c r="N1832" s="15">
        <v>1026</v>
      </c>
      <c r="O1832" s="9"/>
      <c r="P1832" s="10">
        <v>40886.650625000002</v>
      </c>
      <c r="Q1832" s="14" t="s">
        <v>1468</v>
      </c>
      <c r="R1832" s="14" t="s">
        <v>7436</v>
      </c>
      <c r="S1832" s="7" t="s">
        <v>7437</v>
      </c>
      <c r="T1832" s="8"/>
      <c r="U1832" s="11" t="str">
        <f>HYPERLINK("https://pbs.twimg.com/profile_images/875653040623149058/sV7ayKvV.jpg","View")</f>
        <v>View</v>
      </c>
      <c r="V1832" s="8"/>
      <c r="W1832" s="8"/>
      <c r="X1832" s="8"/>
      <c r="Y1832" s="8"/>
      <c r="Z1832" s="8"/>
    </row>
    <row r="1833" spans="1:26" ht="13.2">
      <c r="A1833" s="13">
        <v>44250.275682870371</v>
      </c>
      <c r="B1833" s="6" t="str">
        <f>HYPERLINK("https://twitter.com/Vitti_AI","@Vitti_AI")</f>
        <v>@Vitti_AI</v>
      </c>
      <c r="C1833" s="14" t="s">
        <v>7286</v>
      </c>
      <c r="D1833" s="14" t="s">
        <v>7438</v>
      </c>
      <c r="E1833" s="6" t="str">
        <f>HYPERLINK("https://twitter.com/Vitti_AI/status/1364086835266211843","1364086835266211843")</f>
        <v>1364086835266211843</v>
      </c>
      <c r="F1833" s="8"/>
      <c r="G1833" s="7" t="s">
        <v>7439</v>
      </c>
      <c r="H1833" s="8"/>
      <c r="I1833" s="14">
        <v>7</v>
      </c>
      <c r="J1833" s="14">
        <v>2</v>
      </c>
      <c r="K1833" s="6" t="str">
        <f t="shared" si="341"/>
        <v>Twitter Web App</v>
      </c>
      <c r="L1833" s="15">
        <v>36</v>
      </c>
      <c r="M1833" s="15">
        <v>87</v>
      </c>
      <c r="N1833" s="15">
        <v>0</v>
      </c>
      <c r="O1833" s="9"/>
      <c r="P1833" s="10">
        <v>43825.512546296297</v>
      </c>
      <c r="Q1833" s="14" t="s">
        <v>7289</v>
      </c>
      <c r="R1833" s="14" t="s">
        <v>7290</v>
      </c>
      <c r="S1833" s="7" t="s">
        <v>7291</v>
      </c>
      <c r="T1833" s="8"/>
      <c r="U1833" s="11" t="str">
        <f>HYPERLINK("https://pbs.twimg.com/profile_images/1251813425543446528/wIehgD44.jpg","View")</f>
        <v>View</v>
      </c>
      <c r="V1833" s="8"/>
      <c r="W1833" s="8"/>
      <c r="X1833" s="8"/>
      <c r="Y1833" s="8"/>
      <c r="Z1833" s="8"/>
    </row>
    <row r="1834" spans="1:26" ht="13.2">
      <c r="A1834" s="13">
        <v>44250.27553240741</v>
      </c>
      <c r="B1834" s="6" t="str">
        <f>HYPERLINK("https://twitter.com/instancelabs","@instancelabs")</f>
        <v>@instancelabs</v>
      </c>
      <c r="C1834" s="14" t="s">
        <v>7440</v>
      </c>
      <c r="D1834" s="14" t="s">
        <v>7441</v>
      </c>
      <c r="E1834" s="6" t="str">
        <f>HYPERLINK("https://twitter.com/instancelabs/status/1364086779071111169","1364086779071111169")</f>
        <v>1364086779071111169</v>
      </c>
      <c r="F1834" s="7" t="s">
        <v>7442</v>
      </c>
      <c r="G1834" s="7" t="s">
        <v>7443</v>
      </c>
      <c r="H1834" s="8"/>
      <c r="I1834" s="14">
        <v>2</v>
      </c>
      <c r="J1834" s="14">
        <v>0</v>
      </c>
      <c r="K1834" s="6" t="str">
        <f t="shared" si="341"/>
        <v>Twitter Web App</v>
      </c>
      <c r="L1834" s="15">
        <v>1</v>
      </c>
      <c r="M1834" s="15">
        <v>24</v>
      </c>
      <c r="N1834" s="15">
        <v>0</v>
      </c>
      <c r="O1834" s="9"/>
      <c r="P1834" s="10">
        <v>41038.656377314815</v>
      </c>
      <c r="Q1834" s="8"/>
      <c r="R1834" s="14" t="s">
        <v>7444</v>
      </c>
      <c r="S1834" s="7" t="s">
        <v>7445</v>
      </c>
      <c r="T1834" s="8"/>
      <c r="U1834" s="11" t="str">
        <f>HYPERLINK("https://pbs.twimg.com/profile_images/1363784002453315584/A2VRExrC.png","View")</f>
        <v>View</v>
      </c>
      <c r="V1834" s="8"/>
      <c r="W1834" s="8"/>
      <c r="X1834" s="8"/>
      <c r="Y1834" s="8"/>
      <c r="Z1834" s="8"/>
    </row>
    <row r="1835" spans="1:26" ht="13.2">
      <c r="A1835" s="13">
        <v>44250.275196759263</v>
      </c>
      <c r="B1835" s="6" t="str">
        <f>HYPERLINK("https://twitter.com/1nterestingTech","@1nterestingTech")</f>
        <v>@1nterestingTech</v>
      </c>
      <c r="C1835" s="14" t="s">
        <v>7446</v>
      </c>
      <c r="D1835" s="14" t="s">
        <v>7447</v>
      </c>
      <c r="E1835" s="6" t="str">
        <f>HYPERLINK("https://twitter.com/1nterestingTech/status/1364086657805352960","1364086657805352960")</f>
        <v>1364086657805352960</v>
      </c>
      <c r="F1835" s="14" t="s">
        <v>4434</v>
      </c>
      <c r="G1835" s="8"/>
      <c r="H1835" s="8"/>
      <c r="I1835" s="14">
        <v>0</v>
      </c>
      <c r="J1835" s="14">
        <v>0</v>
      </c>
      <c r="K1835" s="6" t="str">
        <f t="shared" ref="K1835:K1837" si="342">HYPERLINK("http://twinybots.com","TwinyBots")</f>
        <v>TwinyBots</v>
      </c>
      <c r="L1835" s="15">
        <v>996</v>
      </c>
      <c r="M1835" s="15">
        <v>2324</v>
      </c>
      <c r="N1835" s="15">
        <v>22</v>
      </c>
      <c r="O1835" s="9"/>
      <c r="P1835" s="10">
        <v>43671.640625</v>
      </c>
      <c r="Q1835" s="14" t="s">
        <v>203</v>
      </c>
      <c r="R1835" s="14" t="s">
        <v>7448</v>
      </c>
      <c r="S1835" s="7" t="s">
        <v>7449</v>
      </c>
      <c r="T1835" s="8"/>
      <c r="U1835" s="11" t="str">
        <f>HYPERLINK("https://pbs.twimg.com/profile_images/1154383562088599552/RbyNTvSg.jpg","View")</f>
        <v>View</v>
      </c>
      <c r="V1835" s="8"/>
      <c r="W1835" s="8"/>
      <c r="X1835" s="8"/>
      <c r="Y1835" s="8"/>
      <c r="Z1835" s="8"/>
    </row>
    <row r="1836" spans="1:26" ht="13.2">
      <c r="A1836" s="13">
        <v>44250.27511574074</v>
      </c>
      <c r="B1836" s="6" t="str">
        <f>HYPERLINK("https://twitter.com/neuzida","@neuzida")</f>
        <v>@neuzida</v>
      </c>
      <c r="C1836" s="14" t="s">
        <v>789</v>
      </c>
      <c r="D1836" s="14" t="s">
        <v>7450</v>
      </c>
      <c r="E1836" s="6" t="str">
        <f>HYPERLINK("https://twitter.com/neuzida/status/1364086630110416896","1364086630110416896")</f>
        <v>1364086630110416896</v>
      </c>
      <c r="F1836" s="7" t="s">
        <v>7451</v>
      </c>
      <c r="G1836" s="8"/>
      <c r="H1836" s="8"/>
      <c r="I1836" s="14">
        <v>2</v>
      </c>
      <c r="J1836" s="14">
        <v>0</v>
      </c>
      <c r="K1836" s="6" t="str">
        <f t="shared" si="342"/>
        <v>TwinyBots</v>
      </c>
      <c r="L1836" s="15">
        <v>1326</v>
      </c>
      <c r="M1836" s="15">
        <v>1118</v>
      </c>
      <c r="N1836" s="15">
        <v>32</v>
      </c>
      <c r="O1836" s="9"/>
      <c r="P1836" s="10">
        <v>40553.300625000003</v>
      </c>
      <c r="Q1836" s="14" t="s">
        <v>792</v>
      </c>
      <c r="R1836" s="14" t="s">
        <v>793</v>
      </c>
      <c r="S1836" s="7" t="s">
        <v>794</v>
      </c>
      <c r="T1836" s="8"/>
      <c r="U1836" s="11" t="str">
        <f>HYPERLINK("https://pbs.twimg.com/profile_images/1306288338765111296/Um2EYi15.jpg","View")</f>
        <v>View</v>
      </c>
      <c r="V1836" s="8"/>
      <c r="W1836" s="8"/>
      <c r="X1836" s="8"/>
      <c r="Y1836" s="8"/>
      <c r="Z1836" s="8"/>
    </row>
    <row r="1837" spans="1:26" ht="13.2">
      <c r="A1837" s="13">
        <v>44250.274756944447</v>
      </c>
      <c r="B1837" s="6" t="str">
        <f>HYPERLINK("https://twitter.com/KimPgch","@KimPgch")</f>
        <v>@KimPgch</v>
      </c>
      <c r="C1837" s="14" t="s">
        <v>1311</v>
      </c>
      <c r="D1837" s="14" t="s">
        <v>7452</v>
      </c>
      <c r="E1837" s="6" t="str">
        <f>HYPERLINK("https://twitter.com/KimPgch/status/1364086500187602955","1364086500187602955")</f>
        <v>1364086500187602955</v>
      </c>
      <c r="F1837" s="14" t="s">
        <v>7453</v>
      </c>
      <c r="G1837" s="8"/>
      <c r="H1837" s="8"/>
      <c r="I1837" s="14">
        <v>0</v>
      </c>
      <c r="J1837" s="14">
        <v>0</v>
      </c>
      <c r="K1837" s="6" t="str">
        <f t="shared" si="342"/>
        <v>TwinyBots</v>
      </c>
      <c r="L1837" s="15">
        <v>5717</v>
      </c>
      <c r="M1837" s="15">
        <v>5802</v>
      </c>
      <c r="N1837" s="15">
        <v>37</v>
      </c>
      <c r="O1837" s="9"/>
      <c r="P1837" s="10">
        <v>41926.214687500003</v>
      </c>
      <c r="Q1837" s="14" t="s">
        <v>650</v>
      </c>
      <c r="R1837" s="14" t="s">
        <v>1314</v>
      </c>
      <c r="S1837" s="7" t="s">
        <v>1315</v>
      </c>
      <c r="T1837" s="8"/>
      <c r="U1837" s="11" t="str">
        <f>HYPERLINK("https://pbs.twimg.com/profile_images/525481353182072832/qd_bfvn9.jpeg","View")</f>
        <v>View</v>
      </c>
      <c r="V1837" s="8"/>
      <c r="W1837" s="8"/>
      <c r="X1837" s="8"/>
      <c r="Y1837" s="8"/>
      <c r="Z1837" s="8"/>
    </row>
    <row r="1838" spans="1:26" ht="13.2">
      <c r="A1838" s="13">
        <v>44250.274097222224</v>
      </c>
      <c r="B1838" s="6" t="str">
        <f>HYPERLINK("https://twitter.com/Poussun","@Poussun")</f>
        <v>@Poussun</v>
      </c>
      <c r="C1838" s="14" t="s">
        <v>7454</v>
      </c>
      <c r="D1838" s="14" t="s">
        <v>7455</v>
      </c>
      <c r="E1838" s="6" t="str">
        <f>HYPERLINK("https://twitter.com/Poussun/status/1364086258012745733","1364086258012745733")</f>
        <v>1364086258012745733</v>
      </c>
      <c r="F1838" s="7" t="s">
        <v>7456</v>
      </c>
      <c r="G1838" s="8"/>
      <c r="H1838" s="8"/>
      <c r="I1838" s="14">
        <v>5</v>
      </c>
      <c r="J1838" s="14">
        <v>4</v>
      </c>
      <c r="K1838" s="6" t="str">
        <f t="shared" ref="K1838:K1839" si="343">HYPERLINK("https://mobile.twitter.com","Twitter Web App")</f>
        <v>Twitter Web App</v>
      </c>
      <c r="L1838" s="15">
        <v>10477</v>
      </c>
      <c r="M1838" s="15">
        <v>9114</v>
      </c>
      <c r="N1838" s="15">
        <v>952</v>
      </c>
      <c r="O1838" s="9"/>
      <c r="P1838" s="10">
        <v>40781.637627314813</v>
      </c>
      <c r="Q1838" s="14" t="s">
        <v>7457</v>
      </c>
      <c r="R1838" s="14" t="s">
        <v>7458</v>
      </c>
      <c r="S1838" s="8"/>
      <c r="T1838" s="8"/>
      <c r="U1838" s="11" t="str">
        <f>HYPERLINK("https://pbs.twimg.com/profile_images/577820682198740992/-RaRvc87.png","View")</f>
        <v>View</v>
      </c>
      <c r="V1838" s="8"/>
      <c r="W1838" s="8"/>
      <c r="X1838" s="8"/>
      <c r="Y1838" s="8"/>
      <c r="Z1838" s="8"/>
    </row>
    <row r="1839" spans="1:26" ht="13.2">
      <c r="A1839" s="13">
        <v>44250.273969907408</v>
      </c>
      <c r="B1839" s="6" t="str">
        <f>HYPERLINK("https://twitter.com/rasangarocks","@rasangarocks")</f>
        <v>@rasangarocks</v>
      </c>
      <c r="C1839" s="14" t="s">
        <v>5437</v>
      </c>
      <c r="D1839" s="14" t="s">
        <v>7459</v>
      </c>
      <c r="E1839" s="6" t="str">
        <f>HYPERLINK("https://twitter.com/rasangarocks/status/1364086214861627396","1364086214861627396")</f>
        <v>1364086214861627396</v>
      </c>
      <c r="F1839" s="7" t="s">
        <v>7460</v>
      </c>
      <c r="G1839" s="8"/>
      <c r="H1839" s="8"/>
      <c r="I1839" s="14">
        <v>41</v>
      </c>
      <c r="J1839" s="14">
        <v>25</v>
      </c>
      <c r="K1839" s="6" t="str">
        <f t="shared" si="343"/>
        <v>Twitter Web App</v>
      </c>
      <c r="L1839" s="15">
        <v>50654</v>
      </c>
      <c r="M1839" s="15">
        <v>49987</v>
      </c>
      <c r="N1839" s="15">
        <v>624</v>
      </c>
      <c r="O1839" s="9"/>
      <c r="P1839" s="10">
        <v>42071.75949074074</v>
      </c>
      <c r="Q1839" s="8"/>
      <c r="R1839" s="14" t="s">
        <v>5440</v>
      </c>
      <c r="S1839" s="7" t="s">
        <v>5441</v>
      </c>
      <c r="T1839" s="8"/>
      <c r="U1839" s="11" t="str">
        <f>HYPERLINK("https://pbs.twimg.com/profile_images/771872242300956672/j1H-OInO.jpg","View")</f>
        <v>View</v>
      </c>
      <c r="V1839" s="8"/>
      <c r="W1839" s="8"/>
      <c r="X1839" s="8"/>
      <c r="Y1839" s="8"/>
      <c r="Z1839" s="8"/>
    </row>
    <row r="1840" spans="1:26" ht="13.2">
      <c r="A1840" s="13">
        <v>44250.273692129631</v>
      </c>
      <c r="B1840" s="6" t="str">
        <f>HYPERLINK("https://twitter.com/WriteX12","@WriteX12")</f>
        <v>@WriteX12</v>
      </c>
      <c r="C1840" s="14" t="s">
        <v>5480</v>
      </c>
      <c r="D1840" s="14" t="s">
        <v>7461</v>
      </c>
      <c r="E1840" s="6" t="str">
        <f>HYPERLINK("https://twitter.com/WriteX12/status/1364086114886119424","1364086114886119424")</f>
        <v>1364086114886119424</v>
      </c>
      <c r="F1840" s="7" t="s">
        <v>7462</v>
      </c>
      <c r="G1840" s="7" t="s">
        <v>7463</v>
      </c>
      <c r="H1840" s="8"/>
      <c r="I1840" s="14">
        <v>11</v>
      </c>
      <c r="J1840" s="14">
        <v>5</v>
      </c>
      <c r="K1840" s="6" t="str">
        <f>HYPERLINK("http://twitter.com/download/android","Twitter for Android")</f>
        <v>Twitter for Android</v>
      </c>
      <c r="L1840" s="15">
        <v>21</v>
      </c>
      <c r="M1840" s="15">
        <v>178</v>
      </c>
      <c r="N1840" s="15">
        <v>0</v>
      </c>
      <c r="O1840" s="9"/>
      <c r="P1840" s="10">
        <v>44118.455312499995</v>
      </c>
      <c r="Q1840" s="8"/>
      <c r="R1840" s="14" t="s">
        <v>5483</v>
      </c>
      <c r="S1840" s="7" t="s">
        <v>5484</v>
      </c>
      <c r="T1840" s="8"/>
      <c r="U1840" s="11" t="str">
        <f>HYPERLINK("https://pbs.twimg.com/profile_images/1316301767731109888/kmWlNQMs.jpg","View")</f>
        <v>View</v>
      </c>
      <c r="V1840" s="8"/>
      <c r="W1840" s="8"/>
      <c r="X1840" s="8"/>
      <c r="Y1840" s="8"/>
      <c r="Z1840" s="8"/>
    </row>
    <row r="1841" spans="1:26" ht="13.2">
      <c r="A1841" s="13">
        <v>44250.273506944446</v>
      </c>
      <c r="B1841" s="6" t="str">
        <f>HYPERLINK("https://twitter.com/codebyamy","@codebyamy")</f>
        <v>@codebyamy</v>
      </c>
      <c r="C1841" s="14" t="s">
        <v>7464</v>
      </c>
      <c r="D1841" s="14" t="s">
        <v>7465</v>
      </c>
      <c r="E1841" s="6" t="str">
        <f>HYPERLINK("https://twitter.com/codebyamy/status/1364086047253164032","1364086047253164032")</f>
        <v>1364086047253164032</v>
      </c>
      <c r="F1841" s="8"/>
      <c r="G1841" s="8"/>
      <c r="H1841" s="8"/>
      <c r="I1841" s="14">
        <v>3</v>
      </c>
      <c r="J1841" s="14">
        <v>0</v>
      </c>
      <c r="K1841" s="6" t="str">
        <f>HYPERLINK("http://twitter.com/download/iphone","Twitter for iPhone")</f>
        <v>Twitter for iPhone</v>
      </c>
      <c r="L1841" s="15">
        <v>464</v>
      </c>
      <c r="M1841" s="15">
        <v>775</v>
      </c>
      <c r="N1841" s="15">
        <v>6</v>
      </c>
      <c r="O1841" s="9"/>
      <c r="P1841" s="10">
        <v>43519.661828703705</v>
      </c>
      <c r="Q1841" s="14" t="s">
        <v>215</v>
      </c>
      <c r="R1841" s="14" t="s">
        <v>7466</v>
      </c>
      <c r="S1841" s="7" t="s">
        <v>7467</v>
      </c>
      <c r="T1841" s="8"/>
      <c r="U1841" s="11" t="str">
        <f>HYPERLINK("https://pbs.twimg.com/profile_images/1227495593456500736/vIUisEm-.jpg","View")</f>
        <v>View</v>
      </c>
      <c r="V1841" s="8"/>
      <c r="W1841" s="8"/>
      <c r="X1841" s="8"/>
      <c r="Y1841" s="8"/>
      <c r="Z1841" s="8"/>
    </row>
    <row r="1842" spans="1:26" ht="13.2">
      <c r="A1842" s="13">
        <v>44250.273483796293</v>
      </c>
      <c r="B1842" s="6" t="str">
        <f>HYPERLINK("https://twitter.com/SumitKothiyal","@SumitKothiyal")</f>
        <v>@SumitKothiyal</v>
      </c>
      <c r="C1842" s="14" t="s">
        <v>7468</v>
      </c>
      <c r="D1842" s="14" t="s">
        <v>7469</v>
      </c>
      <c r="E1842" s="6" t="str">
        <f>HYPERLINK("https://twitter.com/SumitKothiyal/status/1364086036482023424","1364086036482023424")</f>
        <v>1364086036482023424</v>
      </c>
      <c r="F1842" s="7" t="s">
        <v>7470</v>
      </c>
      <c r="G1842" s="8"/>
      <c r="H1842" s="8"/>
      <c r="I1842" s="14">
        <v>1</v>
      </c>
      <c r="J1842" s="14">
        <v>1</v>
      </c>
      <c r="K1842" s="6" t="str">
        <f>HYPERLINK("http://www.linkedin.com/","LinkedIn")</f>
        <v>LinkedIn</v>
      </c>
      <c r="L1842" s="15">
        <v>320</v>
      </c>
      <c r="M1842" s="15">
        <v>427</v>
      </c>
      <c r="N1842" s="15">
        <v>7</v>
      </c>
      <c r="O1842" s="9"/>
      <c r="P1842" s="10">
        <v>40946.71837962963</v>
      </c>
      <c r="Q1842" s="14" t="s">
        <v>4767</v>
      </c>
      <c r="R1842" s="14" t="s">
        <v>7471</v>
      </c>
      <c r="S1842" s="8"/>
      <c r="T1842" s="8"/>
      <c r="U1842" s="11" t="str">
        <f>HYPERLINK("https://pbs.twimg.com/profile_images/1355154146739982341/XVhUy25J.jpg","View")</f>
        <v>View</v>
      </c>
      <c r="V1842" s="8"/>
      <c r="W1842" s="8"/>
      <c r="X1842" s="8"/>
      <c r="Y1842" s="8"/>
      <c r="Z1842" s="8"/>
    </row>
    <row r="1843" spans="1:26" ht="13.2">
      <c r="A1843" s="13">
        <v>44250.272812499999</v>
      </c>
      <c r="B1843" s="6" t="str">
        <f>HYPERLINK("https://twitter.com/Techlif70142330","@Techlif70142330")</f>
        <v>@Techlif70142330</v>
      </c>
      <c r="C1843" s="14" t="s">
        <v>7472</v>
      </c>
      <c r="D1843" s="14" t="s">
        <v>7473</v>
      </c>
      <c r="E1843" s="6" t="str">
        <f>HYPERLINK("https://twitter.com/Techlif70142330/status/1364085796014223360","1364085796014223360")</f>
        <v>1364085796014223360</v>
      </c>
      <c r="F1843" s="8"/>
      <c r="G1843" s="7" t="s">
        <v>7474</v>
      </c>
      <c r="H1843" s="8"/>
      <c r="I1843" s="14">
        <v>4</v>
      </c>
      <c r="J1843" s="14">
        <v>3</v>
      </c>
      <c r="K1843" s="6" t="str">
        <f>HYPERLINK("http://twitter.com/download/android","Twitter for Android")</f>
        <v>Twitter for Android</v>
      </c>
      <c r="L1843" s="15">
        <v>119</v>
      </c>
      <c r="M1843" s="15">
        <v>896</v>
      </c>
      <c r="N1843" s="15">
        <v>0</v>
      </c>
      <c r="O1843" s="9"/>
      <c r="P1843" s="10">
        <v>44015.320011574076</v>
      </c>
      <c r="Q1843" s="8"/>
      <c r="R1843" s="14" t="s">
        <v>7475</v>
      </c>
      <c r="S1843" s="8"/>
      <c r="T1843" s="8"/>
      <c r="U1843" s="11" t="str">
        <f>HYPERLINK("https://pbs.twimg.com/profile_images/1361583568233762817/3esWqdlh.jpg","View")</f>
        <v>View</v>
      </c>
      <c r="V1843" s="8"/>
      <c r="W1843" s="8"/>
      <c r="X1843" s="8"/>
      <c r="Y1843" s="8"/>
      <c r="Z1843" s="8"/>
    </row>
    <row r="1844" spans="1:26" ht="13.2">
      <c r="A1844" s="13">
        <v>44250.272789351853</v>
      </c>
      <c r="B1844" s="6" t="str">
        <f>HYPERLINK("https://twitter.com/prdictly","@prdictly")</f>
        <v>@prdictly</v>
      </c>
      <c r="C1844" s="14" t="s">
        <v>7476</v>
      </c>
      <c r="D1844" s="14" t="s">
        <v>7477</v>
      </c>
      <c r="E1844" s="6" t="str">
        <f>HYPERLINK("https://twitter.com/prdictly/status/1364085786425970688","1364085786425970688")</f>
        <v>1364085786425970688</v>
      </c>
      <c r="F1844" s="7" t="s">
        <v>7478</v>
      </c>
      <c r="G1844" s="8"/>
      <c r="H1844" s="8"/>
      <c r="I1844" s="14">
        <v>3</v>
      </c>
      <c r="J1844" s="14">
        <v>1</v>
      </c>
      <c r="K1844" s="6" t="str">
        <f>HYPERLINK("https://mobile.twitter.com","Twitter Web App")</f>
        <v>Twitter Web App</v>
      </c>
      <c r="L1844" s="15">
        <v>574</v>
      </c>
      <c r="M1844" s="15">
        <v>1815</v>
      </c>
      <c r="N1844" s="15">
        <v>76</v>
      </c>
      <c r="O1844" s="9"/>
      <c r="P1844" s="10">
        <v>42173.527314814812</v>
      </c>
      <c r="Q1844" s="14" t="s">
        <v>1742</v>
      </c>
      <c r="R1844" s="14" t="s">
        <v>7479</v>
      </c>
      <c r="S1844" s="7" t="s">
        <v>7480</v>
      </c>
      <c r="T1844" s="8"/>
      <c r="U1844" s="11" t="str">
        <f>HYPERLINK("https://pbs.twimg.com/profile_images/611483983088521216/Bi_7dlZs.jpg","View")</f>
        <v>View</v>
      </c>
      <c r="V1844" s="8"/>
      <c r="W1844" s="8"/>
      <c r="X1844" s="8"/>
      <c r="Y1844" s="8"/>
      <c r="Z1844" s="8"/>
    </row>
    <row r="1845" spans="1:26" ht="13.2">
      <c r="A1845" s="13">
        <v>44250.272164351853</v>
      </c>
      <c r="B1845" s="6" t="str">
        <f>HYPERLINK("https://twitter.com/Techlif70142330","@Techlif70142330")</f>
        <v>@Techlif70142330</v>
      </c>
      <c r="C1845" s="14" t="s">
        <v>7472</v>
      </c>
      <c r="D1845" s="14" t="s">
        <v>7481</v>
      </c>
      <c r="E1845" s="6" t="str">
        <f>HYPERLINK("https://twitter.com/Techlif70142330/status/1364085561447706626","1364085561447706626")</f>
        <v>1364085561447706626</v>
      </c>
      <c r="F1845" s="8"/>
      <c r="G1845" s="7" t="s">
        <v>7482</v>
      </c>
      <c r="H1845" s="8"/>
      <c r="I1845" s="14">
        <v>25</v>
      </c>
      <c r="J1845" s="14">
        <v>8</v>
      </c>
      <c r="K1845" s="6" t="str">
        <f>HYPERLINK("http://twitter.com/download/android","Twitter for Android")</f>
        <v>Twitter for Android</v>
      </c>
      <c r="L1845" s="15">
        <v>119</v>
      </c>
      <c r="M1845" s="15">
        <v>896</v>
      </c>
      <c r="N1845" s="15">
        <v>0</v>
      </c>
      <c r="O1845" s="9"/>
      <c r="P1845" s="10">
        <v>44015.320011574076</v>
      </c>
      <c r="Q1845" s="8"/>
      <c r="R1845" s="14" t="s">
        <v>7475</v>
      </c>
      <c r="S1845" s="8"/>
      <c r="T1845" s="8"/>
      <c r="U1845" s="11" t="str">
        <f>HYPERLINK("https://pbs.twimg.com/profile_images/1361583568233762817/3esWqdlh.jpg","View")</f>
        <v>View</v>
      </c>
      <c r="V1845" s="8"/>
      <c r="W1845" s="8"/>
      <c r="X1845" s="8"/>
      <c r="Y1845" s="8"/>
      <c r="Z1845" s="8"/>
    </row>
    <row r="1846" spans="1:26" ht="13.2">
      <c r="A1846" s="13">
        <v>44250.272048611107</v>
      </c>
      <c r="B1846" s="6" t="str">
        <f>HYPERLINK("https://twitter.com/AIApparelStore","@AIApparelStore")</f>
        <v>@AIApparelStore</v>
      </c>
      <c r="C1846" s="14" t="s">
        <v>7483</v>
      </c>
      <c r="D1846" s="14" t="s">
        <v>7484</v>
      </c>
      <c r="E1846" s="6" t="str">
        <f>HYPERLINK("https://twitter.com/AIApparelStore/status/1364085519450329088","1364085519450329088")</f>
        <v>1364085519450329088</v>
      </c>
      <c r="F1846" s="8"/>
      <c r="G1846" s="7" t="s">
        <v>7485</v>
      </c>
      <c r="H1846" s="8"/>
      <c r="I1846" s="14">
        <v>1</v>
      </c>
      <c r="J1846" s="14">
        <v>0</v>
      </c>
      <c r="K1846" s="6" t="str">
        <f>HYPERLINK("https://ifttt.com","IFTTT")</f>
        <v>IFTTT</v>
      </c>
      <c r="L1846" s="15">
        <v>386</v>
      </c>
      <c r="M1846" s="15">
        <v>524</v>
      </c>
      <c r="N1846" s="15">
        <v>15</v>
      </c>
      <c r="O1846" s="9"/>
      <c r="P1846" s="10">
        <v>43331.869895833333</v>
      </c>
      <c r="Q1846" s="14" t="s">
        <v>1505</v>
      </c>
      <c r="R1846" s="14" t="s">
        <v>7486</v>
      </c>
      <c r="S1846" s="7" t="s">
        <v>7487</v>
      </c>
      <c r="T1846" s="8"/>
      <c r="U1846" s="11" t="str">
        <f>HYPERLINK("https://pbs.twimg.com/profile_images/1031255768845021184/CEFgCC0y.jpg","View")</f>
        <v>View</v>
      </c>
      <c r="V1846" s="8"/>
      <c r="W1846" s="8"/>
      <c r="X1846" s="8"/>
      <c r="Y1846" s="8"/>
      <c r="Z1846" s="8"/>
    </row>
    <row r="1847" spans="1:26" ht="13.2">
      <c r="A1847" s="13">
        <v>44250.271840277783</v>
      </c>
      <c r="B1847" s="6" t="str">
        <f>HYPERLINK("https://twitter.com/gigacb","@gigacb")</f>
        <v>@gigacb</v>
      </c>
      <c r="C1847" s="14" t="s">
        <v>7488</v>
      </c>
      <c r="D1847" s="14" t="s">
        <v>7489</v>
      </c>
      <c r="E1847" s="6" t="str">
        <f>HYPERLINK("https://twitter.com/gigacb/status/1364085442027601921","1364085442027601921")</f>
        <v>1364085442027601921</v>
      </c>
      <c r="F1847" s="7" t="s">
        <v>452</v>
      </c>
      <c r="G1847" s="7" t="s">
        <v>7490</v>
      </c>
      <c r="H1847" s="8"/>
      <c r="I1847" s="14">
        <v>5</v>
      </c>
      <c r="J1847" s="14">
        <v>2</v>
      </c>
      <c r="K1847" s="6" t="str">
        <f>HYPERLINK("https://www.integromat.com","Integromat")</f>
        <v>Integromat</v>
      </c>
      <c r="L1847" s="15">
        <v>75</v>
      </c>
      <c r="M1847" s="15">
        <v>138</v>
      </c>
      <c r="N1847" s="15">
        <v>0</v>
      </c>
      <c r="O1847" s="9"/>
      <c r="P1847" s="10">
        <v>43834.543981481482</v>
      </c>
      <c r="Q1847" s="14" t="s">
        <v>7491</v>
      </c>
      <c r="R1847" s="14" t="s">
        <v>7492</v>
      </c>
      <c r="S1847" s="8"/>
      <c r="T1847" s="8"/>
      <c r="U1847" s="11" t="str">
        <f>HYPERLINK("https://pbs.twimg.com/profile_images/1314083619502202882/K81cab7l.jpg","View")</f>
        <v>View</v>
      </c>
      <c r="V1847" s="8"/>
      <c r="W1847" s="8"/>
      <c r="X1847" s="8"/>
      <c r="Y1847" s="8"/>
      <c r="Z1847" s="8"/>
    </row>
    <row r="1848" spans="1:26" ht="13.2">
      <c r="A1848" s="13">
        <v>44250.271145833336</v>
      </c>
      <c r="B1848" s="6" t="str">
        <f>HYPERLINK("https://twitter.com/gp_pulipaka","@gp_pulipaka")</f>
        <v>@gp_pulipaka</v>
      </c>
      <c r="C1848" s="14" t="s">
        <v>2230</v>
      </c>
      <c r="D1848" s="14" t="s">
        <v>7493</v>
      </c>
      <c r="E1848" s="6" t="str">
        <f>HYPERLINK("https://twitter.com/gp_pulipaka/status/1364085190293938176","1364085190293938176")</f>
        <v>1364085190293938176</v>
      </c>
      <c r="F1848" s="7" t="s">
        <v>7494</v>
      </c>
      <c r="G1848" s="7" t="s">
        <v>7495</v>
      </c>
      <c r="H1848" s="8"/>
      <c r="I1848" s="14">
        <v>71</v>
      </c>
      <c r="J1848" s="14">
        <v>61</v>
      </c>
      <c r="K1848" s="6" t="str">
        <f>HYPERLINK("https://buffer.com","Buffer")</f>
        <v>Buffer</v>
      </c>
      <c r="L1848" s="15">
        <v>109083</v>
      </c>
      <c r="M1848" s="15">
        <v>22723</v>
      </c>
      <c r="N1848" s="15">
        <v>3558</v>
      </c>
      <c r="O1848" s="9"/>
      <c r="P1848" s="10">
        <v>42325.138298611113</v>
      </c>
      <c r="Q1848" s="14" t="s">
        <v>2234</v>
      </c>
      <c r="R1848" s="14" t="s">
        <v>2235</v>
      </c>
      <c r="S1848" s="7" t="s">
        <v>2236</v>
      </c>
      <c r="T1848" s="8"/>
      <c r="U1848" s="11" t="str">
        <f>HYPERLINK("https://pbs.twimg.com/profile_images/1354974939887988736/P9wzBxgk.jpg","View")</f>
        <v>View</v>
      </c>
      <c r="V1848" s="8"/>
      <c r="W1848" s="8"/>
      <c r="X1848" s="8"/>
      <c r="Y1848" s="8"/>
      <c r="Z1848" s="8"/>
    </row>
    <row r="1849" spans="1:26" ht="13.2">
      <c r="A1849" s="13">
        <v>44250.271111111113</v>
      </c>
      <c r="B1849" s="6" t="str">
        <f>HYPERLINK("https://twitter.com/Analytics_699","@Analytics_699")</f>
        <v>@Analytics_699</v>
      </c>
      <c r="C1849" s="14" t="s">
        <v>32</v>
      </c>
      <c r="D1849" s="14" t="s">
        <v>7496</v>
      </c>
      <c r="E1849" s="6" t="str">
        <f>HYPERLINK("https://twitter.com/Analytics_699/status/1364085177073344512","1364085177073344512")</f>
        <v>1364085177073344512</v>
      </c>
      <c r="F1849" s="7" t="s">
        <v>7497</v>
      </c>
      <c r="G1849" s="7" t="s">
        <v>7498</v>
      </c>
      <c r="H1849" s="8"/>
      <c r="I1849" s="14">
        <v>51</v>
      </c>
      <c r="J1849" s="14">
        <v>24</v>
      </c>
      <c r="K1849" s="6" t="str">
        <f>HYPERLINK("http://twitter.com/download/android","Twitter for Android")</f>
        <v>Twitter for Android</v>
      </c>
      <c r="L1849" s="15">
        <v>6859</v>
      </c>
      <c r="M1849" s="15">
        <v>5645</v>
      </c>
      <c r="N1849" s="15">
        <v>48</v>
      </c>
      <c r="O1849" s="9"/>
      <c r="P1849" s="10">
        <v>43674.644641203704</v>
      </c>
      <c r="Q1849" s="8"/>
      <c r="R1849" s="14" t="s">
        <v>36</v>
      </c>
      <c r="S1849" s="7" t="s">
        <v>37</v>
      </c>
      <c r="T1849" s="8"/>
      <c r="U1849" s="11" t="str">
        <f>HYPERLINK("https://pbs.twimg.com/profile_images/1270928144229437440/Ie08vEBd.jpg","View")</f>
        <v>View</v>
      </c>
      <c r="V1849" s="8"/>
      <c r="W1849" s="8"/>
      <c r="X1849" s="8"/>
      <c r="Y1849" s="8"/>
      <c r="Z1849" s="8"/>
    </row>
    <row r="1850" spans="1:26" ht="13.2">
      <c r="A1850" s="13">
        <v>44250.270925925928</v>
      </c>
      <c r="B1850" s="6" t="str">
        <f>HYPERLINK("https://twitter.com/datatrained","@datatrained")</f>
        <v>@datatrained</v>
      </c>
      <c r="C1850" s="14" t="s">
        <v>7499</v>
      </c>
      <c r="D1850" s="14" t="s">
        <v>7500</v>
      </c>
      <c r="E1850" s="6" t="str">
        <f>HYPERLINK("https://twitter.com/datatrained/status/1364085110581166080","1364085110581166080")</f>
        <v>1364085110581166080</v>
      </c>
      <c r="F1850" s="8"/>
      <c r="G1850" s="7" t="s">
        <v>7501</v>
      </c>
      <c r="H1850" s="8"/>
      <c r="I1850" s="14">
        <v>2</v>
      </c>
      <c r="J1850" s="14">
        <v>6</v>
      </c>
      <c r="K1850" s="6" t="str">
        <f>HYPERLINK("https://www.hootsuite.com","Hootsuite Inc.")</f>
        <v>Hootsuite Inc.</v>
      </c>
      <c r="L1850" s="15">
        <v>72</v>
      </c>
      <c r="M1850" s="15">
        <v>75</v>
      </c>
      <c r="N1850" s="15">
        <v>2</v>
      </c>
      <c r="O1850" s="9"/>
      <c r="P1850" s="10">
        <v>43142.633344907408</v>
      </c>
      <c r="Q1850" s="14" t="s">
        <v>7502</v>
      </c>
      <c r="R1850" s="14" t="s">
        <v>7503</v>
      </c>
      <c r="S1850" s="7" t="s">
        <v>7504</v>
      </c>
      <c r="T1850" s="8"/>
      <c r="U1850" s="11" t="str">
        <f>HYPERLINK("https://pbs.twimg.com/profile_images/1342698358897598465/TyfyxlkE.jpg","View")</f>
        <v>View</v>
      </c>
      <c r="V1850" s="8"/>
      <c r="W1850" s="8"/>
      <c r="X1850" s="8"/>
      <c r="Y1850" s="8"/>
      <c r="Z1850" s="8"/>
    </row>
    <row r="1851" spans="1:26" ht="13.2">
      <c r="A1851" s="13">
        <v>44250.270902777775</v>
      </c>
      <c r="B1851" s="6" t="str">
        <f>HYPERLINK("https://twitter.com/mightydutchman","@mightydutchman")</f>
        <v>@mightydutchman</v>
      </c>
      <c r="C1851" s="14" t="s">
        <v>7505</v>
      </c>
      <c r="D1851" s="14" t="s">
        <v>7506</v>
      </c>
      <c r="E1851" s="6" t="str">
        <f>HYPERLINK("https://twitter.com/mightydutchman/status/1364085101592801281","1364085101592801281")</f>
        <v>1364085101592801281</v>
      </c>
      <c r="F1851" s="7" t="s">
        <v>7507</v>
      </c>
      <c r="G1851" s="8"/>
      <c r="H1851" s="8"/>
      <c r="I1851" s="14">
        <v>1</v>
      </c>
      <c r="J1851" s="14">
        <v>0</v>
      </c>
      <c r="K1851" s="6" t="str">
        <f>HYPERLINK("https://paper.li","Paper.li")</f>
        <v>Paper.li</v>
      </c>
      <c r="L1851" s="15">
        <v>1886</v>
      </c>
      <c r="M1851" s="15">
        <v>3409</v>
      </c>
      <c r="N1851" s="15">
        <v>110</v>
      </c>
      <c r="O1851" s="9"/>
      <c r="P1851" s="10">
        <v>39828.332766203705</v>
      </c>
      <c r="Q1851" s="14" t="s">
        <v>7508</v>
      </c>
      <c r="R1851" s="14" t="s">
        <v>7509</v>
      </c>
      <c r="S1851" s="7" t="s">
        <v>7510</v>
      </c>
      <c r="T1851" s="8"/>
      <c r="U1851" s="11" t="str">
        <f>HYPERLINK("https://pbs.twimg.com/profile_images/1337815137990946817/avax04Dd.jpg","View")</f>
        <v>View</v>
      </c>
      <c r="V1851" s="8"/>
      <c r="W1851" s="8"/>
      <c r="X1851" s="8"/>
      <c r="Y1851" s="8"/>
      <c r="Z1851" s="8"/>
    </row>
    <row r="1852" spans="1:26" ht="13.2">
      <c r="A1852" s="13">
        <v>44250.270833333328</v>
      </c>
      <c r="B1852" s="6" t="str">
        <f>HYPERLINK("https://twitter.com/aicareersforall","@aicareersforall")</f>
        <v>@aicareersforall</v>
      </c>
      <c r="C1852" s="14" t="s">
        <v>7511</v>
      </c>
      <c r="D1852" s="14" t="s">
        <v>7512</v>
      </c>
      <c r="E1852" s="6" t="str">
        <f>HYPERLINK("https://twitter.com/aicareersforall/status/1364085076116398081","1364085076116398081")</f>
        <v>1364085076116398081</v>
      </c>
      <c r="F1852" s="8"/>
      <c r="G1852" s="7" t="s">
        <v>7513</v>
      </c>
      <c r="H1852" s="8"/>
      <c r="I1852" s="14">
        <v>2</v>
      </c>
      <c r="J1852" s="14">
        <v>0</v>
      </c>
      <c r="K1852" s="6" t="str">
        <f>HYPERLINK("https://mobile.twitter.com","Twitter Web App")</f>
        <v>Twitter Web App</v>
      </c>
      <c r="L1852" s="15">
        <v>2270</v>
      </c>
      <c r="M1852" s="15">
        <v>4751</v>
      </c>
      <c r="N1852" s="15">
        <v>69</v>
      </c>
      <c r="O1852" s="9"/>
      <c r="P1852" s="10">
        <v>40100.32849537037</v>
      </c>
      <c r="Q1852" s="8"/>
      <c r="R1852" s="14" t="s">
        <v>7514</v>
      </c>
      <c r="S1852" s="7" t="s">
        <v>7515</v>
      </c>
      <c r="T1852" s="8"/>
      <c r="U1852" s="11" t="str">
        <f>HYPERLINK("https://pbs.twimg.com/profile_images/535704697294708737/tCDpcP2m.png","View")</f>
        <v>View</v>
      </c>
      <c r="V1852" s="8"/>
      <c r="W1852" s="8"/>
      <c r="X1852" s="8"/>
      <c r="Y1852" s="8"/>
      <c r="Z1852" s="8"/>
    </row>
    <row r="1853" spans="1:26" ht="13.2">
      <c r="A1853" s="13">
        <v>44250.270150462966</v>
      </c>
      <c r="B1853" s="6" t="str">
        <f>HYPERLINK("https://twitter.com/VonageDev","@VonageDev")</f>
        <v>@VonageDev</v>
      </c>
      <c r="C1853" s="14" t="s">
        <v>7516</v>
      </c>
      <c r="D1853" s="14" t="s">
        <v>7517</v>
      </c>
      <c r="E1853" s="6" t="str">
        <f>HYPERLINK("https://twitter.com/VonageDev/status/1364084829378252800","1364084829378252800")</f>
        <v>1364084829378252800</v>
      </c>
      <c r="F1853" s="7" t="s">
        <v>7518</v>
      </c>
      <c r="G1853" s="8"/>
      <c r="H1853" s="8"/>
      <c r="I1853" s="14">
        <v>5</v>
      </c>
      <c r="J1853" s="14">
        <v>2</v>
      </c>
      <c r="K1853" s="6" t="str">
        <f>HYPERLINK("https://buffer.com","Buffer")</f>
        <v>Buffer</v>
      </c>
      <c r="L1853" s="15">
        <v>1972</v>
      </c>
      <c r="M1853" s="15">
        <v>112</v>
      </c>
      <c r="N1853" s="15">
        <v>30</v>
      </c>
      <c r="O1853" s="9"/>
      <c r="P1853" s="10">
        <v>42958.548460648148</v>
      </c>
      <c r="Q1853" s="14" t="s">
        <v>7519</v>
      </c>
      <c r="R1853" s="14" t="s">
        <v>7520</v>
      </c>
      <c r="S1853" s="7" t="s">
        <v>7521</v>
      </c>
      <c r="T1853" s="8"/>
      <c r="U1853" s="11" t="str">
        <f>HYPERLINK("https://pbs.twimg.com/profile_images/1279323250468806659/_YemOyeH.jpg","View")</f>
        <v>View</v>
      </c>
      <c r="V1853" s="8"/>
      <c r="W1853" s="8"/>
      <c r="X1853" s="8"/>
      <c r="Y1853" s="8"/>
      <c r="Z1853" s="8"/>
    </row>
    <row r="1854" spans="1:26" ht="13.2">
      <c r="A1854" s="13">
        <v>44250.270127314812</v>
      </c>
      <c r="B1854" s="6" t="str">
        <f>HYPERLINK("https://twitter.com/moueller1961","@moueller1961")</f>
        <v>@moueller1961</v>
      </c>
      <c r="C1854" s="14" t="s">
        <v>6414</v>
      </c>
      <c r="D1854" s="14" t="s">
        <v>7522</v>
      </c>
      <c r="E1854" s="6" t="str">
        <f>HYPERLINK("https://twitter.com/moueller1961/status/1364084821492916227","1364084821492916227")</f>
        <v>1364084821492916227</v>
      </c>
      <c r="F1854" s="7" t="s">
        <v>7523</v>
      </c>
      <c r="G1854" s="7" t="s">
        <v>7524</v>
      </c>
      <c r="H1854" s="8"/>
      <c r="I1854" s="14">
        <v>4</v>
      </c>
      <c r="J1854" s="14">
        <v>3</v>
      </c>
      <c r="K1854" s="6" t="str">
        <f>HYPERLINK("https://mobile.twitter.com","Twitter Web App")</f>
        <v>Twitter Web App</v>
      </c>
      <c r="L1854" s="15">
        <v>2581</v>
      </c>
      <c r="M1854" s="15">
        <v>26</v>
      </c>
      <c r="N1854" s="15">
        <v>256</v>
      </c>
      <c r="O1854" s="9"/>
      <c r="P1854" s="10">
        <v>42106.853055555555</v>
      </c>
      <c r="Q1854" s="8"/>
      <c r="R1854" s="14" t="s">
        <v>6418</v>
      </c>
      <c r="S1854" s="8"/>
      <c r="T1854" s="8"/>
      <c r="U1854" s="11" t="str">
        <f>HYPERLINK("https://pbs.twimg.com/profile_images/1202572262156713985/_52Q3Trv.jpg","View")</f>
        <v>View</v>
      </c>
      <c r="V1854" s="8"/>
      <c r="W1854" s="8"/>
      <c r="X1854" s="8"/>
      <c r="Y1854" s="8"/>
      <c r="Z1854" s="8"/>
    </row>
    <row r="1855" spans="1:26" ht="13.2">
      <c r="A1855" s="13">
        <v>44250.269884259258</v>
      </c>
      <c r="B1855" s="6" t="str">
        <f>HYPERLINK("https://twitter.com/SayaSetona","@SayaSetona")</f>
        <v>@SayaSetona</v>
      </c>
      <c r="C1855" s="14" t="s">
        <v>7525</v>
      </c>
      <c r="D1855" s="14" t="s">
        <v>7526</v>
      </c>
      <c r="E1855" s="6" t="str">
        <f>HYPERLINK("https://twitter.com/SayaSetona/status/1364084735128010754","1364084735128010754")</f>
        <v>1364084735128010754</v>
      </c>
      <c r="F1855" s="8"/>
      <c r="G1855" s="7" t="s">
        <v>7527</v>
      </c>
      <c r="H1855" s="8"/>
      <c r="I1855" s="14">
        <v>20</v>
      </c>
      <c r="J1855" s="14">
        <v>6</v>
      </c>
      <c r="K1855" s="6" t="str">
        <f>HYPERLINK("http://twitter.com/download/iphone","Twitter for iPhone")</f>
        <v>Twitter for iPhone</v>
      </c>
      <c r="L1855" s="15">
        <v>1203</v>
      </c>
      <c r="M1855" s="15">
        <v>5001</v>
      </c>
      <c r="N1855" s="15">
        <v>9</v>
      </c>
      <c r="O1855" s="9"/>
      <c r="P1855" s="10">
        <v>41695.798900462964</v>
      </c>
      <c r="Q1855" s="14" t="s">
        <v>1152</v>
      </c>
      <c r="R1855" s="14" t="s">
        <v>7528</v>
      </c>
      <c r="S1855" s="7" t="s">
        <v>7529</v>
      </c>
      <c r="T1855" s="8"/>
      <c r="U1855" s="11" t="str">
        <f>HYPERLINK("https://pbs.twimg.com/profile_images/927615567435005958/5PSvpFBy.jpg","View")</f>
        <v>View</v>
      </c>
      <c r="V1855" s="8"/>
      <c r="W1855" s="8"/>
      <c r="X1855" s="8"/>
      <c r="Y1855" s="8"/>
      <c r="Z1855" s="8"/>
    </row>
    <row r="1856" spans="1:26" ht="13.2">
      <c r="A1856" s="13">
        <v>44250.269050925926</v>
      </c>
      <c r="B1856" s="6" t="str">
        <f>HYPERLINK("https://twitter.com/machinelearnflx","@machinelearnflx")</f>
        <v>@machinelearnflx</v>
      </c>
      <c r="C1856" s="14" t="s">
        <v>279</v>
      </c>
      <c r="D1856" s="14" t="s">
        <v>7530</v>
      </c>
      <c r="E1856" s="6" t="str">
        <f>HYPERLINK("https://twitter.com/machinelearnflx/status/1364084430147584001","1364084430147584001")</f>
        <v>1364084430147584001</v>
      </c>
      <c r="F1856" s="7" t="s">
        <v>7531</v>
      </c>
      <c r="G1856" s="8"/>
      <c r="H1856" s="8"/>
      <c r="I1856" s="14">
        <v>6</v>
      </c>
      <c r="J1856" s="14">
        <v>7</v>
      </c>
      <c r="K1856" s="6" t="str">
        <f>HYPERLINK("https://twitter.com/pythonbot_","Postmatico")</f>
        <v>Postmatico</v>
      </c>
      <c r="L1856" s="15">
        <v>90451</v>
      </c>
      <c r="M1856" s="15">
        <v>35464</v>
      </c>
      <c r="N1856" s="15">
        <v>2228</v>
      </c>
      <c r="O1856" s="9"/>
      <c r="P1856" s="10">
        <v>42386.538865740746</v>
      </c>
      <c r="Q1856" s="8"/>
      <c r="R1856" s="14" t="s">
        <v>282</v>
      </c>
      <c r="S1856" s="7" t="s">
        <v>283</v>
      </c>
      <c r="T1856" s="8"/>
      <c r="U1856" s="11" t="str">
        <f>HYPERLINK("https://pbs.twimg.com/profile_images/688735459892195329/v8sHaWSG.jpg","View")</f>
        <v>View</v>
      </c>
      <c r="V1856" s="8"/>
      <c r="W1856" s="8"/>
      <c r="X1856" s="8"/>
      <c r="Y1856" s="8"/>
      <c r="Z1856" s="8"/>
    </row>
    <row r="1857" spans="1:26" ht="13.2">
      <c r="A1857" s="13">
        <v>44250.268692129626</v>
      </c>
      <c r="B1857" s="6" t="str">
        <f>HYPERLINK("https://twitter.com/BlackWomenInAI","@BlackWomenInAI")</f>
        <v>@BlackWomenInAI</v>
      </c>
      <c r="C1857" s="14" t="s">
        <v>4913</v>
      </c>
      <c r="D1857" s="14" t="s">
        <v>7532</v>
      </c>
      <c r="E1857" s="6" t="str">
        <f>HYPERLINK("https://twitter.com/BlackWomenInAI/status/1364084299729760257","1364084299729760257")</f>
        <v>1364084299729760257</v>
      </c>
      <c r="F1857" s="8"/>
      <c r="G1857" s="7" t="s">
        <v>7533</v>
      </c>
      <c r="H1857" s="8"/>
      <c r="I1857" s="14">
        <v>29</v>
      </c>
      <c r="J1857" s="14">
        <v>10</v>
      </c>
      <c r="K1857" s="6" t="str">
        <f t="shared" ref="K1857:K1859" si="344">HYPERLINK("https://mobile.twitter.com","Twitter Web App")</f>
        <v>Twitter Web App</v>
      </c>
      <c r="L1857" s="15">
        <v>2602</v>
      </c>
      <c r="M1857" s="15">
        <v>561</v>
      </c>
      <c r="N1857" s="15">
        <v>62</v>
      </c>
      <c r="O1857" s="9"/>
      <c r="P1857" s="10">
        <v>43093.338275462964</v>
      </c>
      <c r="Q1857" s="14" t="s">
        <v>1815</v>
      </c>
      <c r="R1857" s="14" t="s">
        <v>4916</v>
      </c>
      <c r="S1857" s="7" t="s">
        <v>4917</v>
      </c>
      <c r="T1857" s="8"/>
      <c r="U1857" s="11" t="str">
        <f>HYPERLINK("https://pbs.twimg.com/profile_images/1128561130857742336/HEk8TZ7g.png","View")</f>
        <v>View</v>
      </c>
      <c r="V1857" s="8"/>
      <c r="W1857" s="8"/>
      <c r="X1857" s="8"/>
      <c r="Y1857" s="8"/>
      <c r="Z1857" s="8"/>
    </row>
    <row r="1858" spans="1:26" ht="13.2">
      <c r="A1858" s="13">
        <v>44250.268599537041</v>
      </c>
      <c r="B1858" s="6" t="str">
        <f>HYPERLINK("https://twitter.com/edurelearning","@edurelearning")</f>
        <v>@edurelearning</v>
      </c>
      <c r="C1858" s="14" t="s">
        <v>7534</v>
      </c>
      <c r="D1858" s="14" t="s">
        <v>7535</v>
      </c>
      <c r="E1858" s="6" t="str">
        <f>HYPERLINK("https://twitter.com/edurelearning/status/1364084268687708161","1364084268687708161")</f>
        <v>1364084268687708161</v>
      </c>
      <c r="F1858" s="8"/>
      <c r="G1858" s="7" t="s">
        <v>7536</v>
      </c>
      <c r="H1858" s="8"/>
      <c r="I1858" s="14">
        <v>0</v>
      </c>
      <c r="J1858" s="14">
        <v>0</v>
      </c>
      <c r="K1858" s="6" t="str">
        <f t="shared" si="344"/>
        <v>Twitter Web App</v>
      </c>
      <c r="L1858" s="15">
        <v>9</v>
      </c>
      <c r="M1858" s="15">
        <v>2</v>
      </c>
      <c r="N1858" s="15">
        <v>0</v>
      </c>
      <c r="O1858" s="9"/>
      <c r="P1858" s="10">
        <v>43530.259791666671</v>
      </c>
      <c r="Q1858" s="14" t="s">
        <v>7537</v>
      </c>
      <c r="R1858" s="14" t="s">
        <v>7538</v>
      </c>
      <c r="S1858" s="7" t="s">
        <v>7539</v>
      </c>
      <c r="T1858" s="8"/>
      <c r="U1858" s="11" t="str">
        <f>HYPERLINK("https://pbs.twimg.com/profile_images/1346031054117687296/Hl0vgbg8.jpg","View")</f>
        <v>View</v>
      </c>
      <c r="V1858" s="8"/>
      <c r="W1858" s="8"/>
      <c r="X1858" s="8"/>
      <c r="Y1858" s="8"/>
      <c r="Z1858" s="8"/>
    </row>
    <row r="1859" spans="1:26" ht="13.2">
      <c r="A1859" s="13">
        <v>44250.268587962964</v>
      </c>
      <c r="B1859" s="6" t="str">
        <f>HYPERLINK("https://twitter.com/erlingasjokvist","@erlingasjokvist")</f>
        <v>@erlingasjokvist</v>
      </c>
      <c r="C1859" s="14" t="s">
        <v>7540</v>
      </c>
      <c r="D1859" s="14" t="s">
        <v>7541</v>
      </c>
      <c r="E1859" s="6" t="str">
        <f>HYPERLINK("https://twitter.com/erlingasjokvist/status/1364084263977705473","1364084263977705473")</f>
        <v>1364084263977705473</v>
      </c>
      <c r="F1859" s="7" t="s">
        <v>7542</v>
      </c>
      <c r="G1859" s="7" t="s">
        <v>7543</v>
      </c>
      <c r="H1859" s="8"/>
      <c r="I1859" s="14">
        <v>2</v>
      </c>
      <c r="J1859" s="14">
        <v>0</v>
      </c>
      <c r="K1859" s="6" t="str">
        <f t="shared" si="344"/>
        <v>Twitter Web App</v>
      </c>
      <c r="L1859" s="15">
        <v>3665</v>
      </c>
      <c r="M1859" s="15">
        <v>3648</v>
      </c>
      <c r="N1859" s="15">
        <v>96</v>
      </c>
      <c r="O1859" s="9"/>
      <c r="P1859" s="10">
        <v>40057.935532407406</v>
      </c>
      <c r="Q1859" s="14" t="s">
        <v>7544</v>
      </c>
      <c r="R1859" s="14" t="s">
        <v>7545</v>
      </c>
      <c r="S1859" s="7" t="s">
        <v>7546</v>
      </c>
      <c r="T1859" s="8"/>
      <c r="U1859" s="11" t="str">
        <f>HYPERLINK("https://pbs.twimg.com/profile_images/994624376564797440/Y65hn58p.jpg","View")</f>
        <v>View</v>
      </c>
      <c r="V1859" s="8"/>
      <c r="W1859" s="8"/>
      <c r="X1859" s="8"/>
      <c r="Y1859" s="8"/>
      <c r="Z1859" s="8"/>
    </row>
    <row r="1860" spans="1:26" ht="13.2">
      <c r="A1860" s="13">
        <v>44250.268194444448</v>
      </c>
      <c r="B1860" s="6" t="str">
        <f>HYPERLINK("https://twitter.com/last_crusaderr","@last_crusaderr")</f>
        <v>@last_crusaderr</v>
      </c>
      <c r="C1860" s="14" t="s">
        <v>7166</v>
      </c>
      <c r="D1860" s="14" t="s">
        <v>7547</v>
      </c>
      <c r="E1860" s="6" t="str">
        <f>HYPERLINK("https://twitter.com/last_crusaderr/status/1364084119764787202","1364084119764787202")</f>
        <v>1364084119764787202</v>
      </c>
      <c r="F1860" s="8"/>
      <c r="G1860" s="8"/>
      <c r="H1860" s="8"/>
      <c r="I1860" s="14">
        <v>34</v>
      </c>
      <c r="J1860" s="14">
        <v>15</v>
      </c>
      <c r="K1860" s="6" t="str">
        <f>HYPERLINK("http://twitter.com/download/iphone","Twitter for iPhone")</f>
        <v>Twitter for iPhone</v>
      </c>
      <c r="L1860" s="15">
        <v>206</v>
      </c>
      <c r="M1860" s="15">
        <v>44</v>
      </c>
      <c r="N1860" s="15">
        <v>1</v>
      </c>
      <c r="O1860" s="9"/>
      <c r="P1860" s="10">
        <v>43787.936643518522</v>
      </c>
      <c r="Q1860" s="8"/>
      <c r="R1860" s="14" t="s">
        <v>7168</v>
      </c>
      <c r="S1860" s="8"/>
      <c r="T1860" s="8"/>
      <c r="U1860" s="11" t="str">
        <f>HYPERLINK("https://pbs.twimg.com/profile_images/1353012546974998528/OIGAEkBG.jpg","View")</f>
        <v>View</v>
      </c>
      <c r="V1860" s="8"/>
      <c r="W1860" s="8"/>
      <c r="X1860" s="8"/>
      <c r="Y1860" s="8"/>
      <c r="Z1860" s="8"/>
    </row>
    <row r="1861" spans="1:26" ht="13.2">
      <c r="A1861" s="13">
        <v>44250.266666666663</v>
      </c>
      <c r="B1861" s="6" t="str">
        <f>HYPERLINK("https://twitter.com/selfdriving360","@selfdriving360")</f>
        <v>@selfdriving360</v>
      </c>
      <c r="C1861" s="14" t="s">
        <v>5938</v>
      </c>
      <c r="D1861" s="14" t="s">
        <v>7548</v>
      </c>
      <c r="E1861" s="6" t="str">
        <f>HYPERLINK("https://twitter.com/selfdriving360/status/1364083565915480068","1364083565915480068")</f>
        <v>1364083565915480068</v>
      </c>
      <c r="F1861" s="7" t="s">
        <v>5940</v>
      </c>
      <c r="G1861" s="7" t="s">
        <v>7549</v>
      </c>
      <c r="H1861" s="8"/>
      <c r="I1861" s="14">
        <v>1</v>
      </c>
      <c r="J1861" s="14">
        <v>6</v>
      </c>
      <c r="K1861" s="6" t="str">
        <f>HYPERLINK("https://about.twitter.com/products/tweetdeck","TweetDeck")</f>
        <v>TweetDeck</v>
      </c>
      <c r="L1861" s="15">
        <v>2550</v>
      </c>
      <c r="M1861" s="15">
        <v>4510</v>
      </c>
      <c r="N1861" s="15">
        <v>35</v>
      </c>
      <c r="O1861" s="9"/>
      <c r="P1861" s="10">
        <v>43214.737951388888</v>
      </c>
      <c r="Q1861" s="8"/>
      <c r="R1861" s="14" t="s">
        <v>5942</v>
      </c>
      <c r="S1861" s="7" t="s">
        <v>5943</v>
      </c>
      <c r="T1861" s="8"/>
      <c r="U1861" s="11" t="str">
        <f>HYPERLINK("https://pbs.twimg.com/profile_images/1191932725734850562/0EjaL8Ga.jpg","View")</f>
        <v>View</v>
      </c>
      <c r="V1861" s="8"/>
      <c r="W1861" s="8"/>
      <c r="X1861" s="8"/>
      <c r="Y1861" s="8"/>
      <c r="Z1861" s="8"/>
    </row>
    <row r="1862" spans="1:26" ht="13.2">
      <c r="A1862" s="13">
        <v>44250.26626157407</v>
      </c>
      <c r="B1862" s="6" t="str">
        <f>HYPERLINK("https://twitter.com/KushMansPicks","@KushMansPicks")</f>
        <v>@KushMansPicks</v>
      </c>
      <c r="C1862" s="14" t="s">
        <v>7550</v>
      </c>
      <c r="D1862" s="14" t="s">
        <v>7551</v>
      </c>
      <c r="E1862" s="6" t="str">
        <f>HYPERLINK("https://twitter.com/KushMansPicks/status/1364083419752374273","1364083419752374273")</f>
        <v>1364083419752374273</v>
      </c>
      <c r="F1862" s="14" t="s">
        <v>7552</v>
      </c>
      <c r="G1862" s="8"/>
      <c r="H1862" s="8"/>
      <c r="I1862" s="14">
        <v>6</v>
      </c>
      <c r="J1862" s="14">
        <v>19</v>
      </c>
      <c r="K1862" s="6" t="str">
        <f>HYPERLINK("https://mobile.twitter.com","Twitter Web App")</f>
        <v>Twitter Web App</v>
      </c>
      <c r="L1862" s="15">
        <v>8632</v>
      </c>
      <c r="M1862" s="15">
        <v>234</v>
      </c>
      <c r="N1862" s="15">
        <v>133</v>
      </c>
      <c r="O1862" s="9"/>
      <c r="P1862" s="10">
        <v>43113.951423611114</v>
      </c>
      <c r="Q1862" s="14" t="s">
        <v>811</v>
      </c>
      <c r="R1862" s="14" t="s">
        <v>7553</v>
      </c>
      <c r="S1862" s="7" t="s">
        <v>7554</v>
      </c>
      <c r="T1862" s="8"/>
      <c r="U1862" s="11" t="str">
        <f>HYPERLINK("https://pbs.twimg.com/profile_images/1302764829795647488/SgH4LAvt.jpg","View")</f>
        <v>View</v>
      </c>
      <c r="V1862" s="8"/>
      <c r="W1862" s="8"/>
      <c r="X1862" s="8"/>
      <c r="Y1862" s="8"/>
      <c r="Z1862" s="8"/>
    </row>
    <row r="1863" spans="1:26" ht="13.2">
      <c r="A1863" s="13">
        <v>44250.266076388885</v>
      </c>
      <c r="B1863" s="6" t="str">
        <f>HYPERLINK("https://twitter.com/Analytics_699","@Analytics_699")</f>
        <v>@Analytics_699</v>
      </c>
      <c r="C1863" s="14" t="s">
        <v>32</v>
      </c>
      <c r="D1863" s="14" t="s">
        <v>7555</v>
      </c>
      <c r="E1863" s="6" t="str">
        <f>HYPERLINK("https://twitter.com/Analytics_699/status/1364083355076026368","1364083355076026368")</f>
        <v>1364083355076026368</v>
      </c>
      <c r="F1863" s="7" t="s">
        <v>7556</v>
      </c>
      <c r="G1863" s="7" t="s">
        <v>7557</v>
      </c>
      <c r="H1863" s="8"/>
      <c r="I1863" s="14">
        <v>51</v>
      </c>
      <c r="J1863" s="14">
        <v>25</v>
      </c>
      <c r="K1863" s="6" t="str">
        <f t="shared" ref="K1863:K1864" si="345">HYPERLINK("http://twitter.com/download/android","Twitter for Android")</f>
        <v>Twitter for Android</v>
      </c>
      <c r="L1863" s="15">
        <v>6859</v>
      </c>
      <c r="M1863" s="15">
        <v>5645</v>
      </c>
      <c r="N1863" s="15">
        <v>48</v>
      </c>
      <c r="O1863" s="9"/>
      <c r="P1863" s="10">
        <v>43674.644641203704</v>
      </c>
      <c r="Q1863" s="8"/>
      <c r="R1863" s="14" t="s">
        <v>36</v>
      </c>
      <c r="S1863" s="7" t="s">
        <v>37</v>
      </c>
      <c r="T1863" s="8"/>
      <c r="U1863" s="11" t="str">
        <f>HYPERLINK("https://pbs.twimg.com/profile_images/1270928144229437440/Ie08vEBd.jpg","View")</f>
        <v>View</v>
      </c>
      <c r="V1863" s="8"/>
      <c r="W1863" s="8"/>
      <c r="X1863" s="8"/>
      <c r="Y1863" s="8"/>
      <c r="Z1863" s="8"/>
    </row>
    <row r="1864" spans="1:26" ht="13.2">
      <c r="A1864" s="13">
        <v>44250.2653587963</v>
      </c>
      <c r="B1864" s="6" t="str">
        <f>HYPERLINK("https://twitter.com/_arpit_bhushan_","@_arpit_bhushan_")</f>
        <v>@_arpit_bhushan_</v>
      </c>
      <c r="C1864" s="14" t="s">
        <v>7558</v>
      </c>
      <c r="D1864" s="14" t="s">
        <v>7559</v>
      </c>
      <c r="E1864" s="6" t="str">
        <f>HYPERLINK("https://twitter.com/_arpit_bhushan_/status/1364083091124326409","1364083091124326409")</f>
        <v>1364083091124326409</v>
      </c>
      <c r="F1864" s="8"/>
      <c r="G1864" s="7" t="s">
        <v>7560</v>
      </c>
      <c r="H1864" s="8"/>
      <c r="I1864" s="14">
        <v>1</v>
      </c>
      <c r="J1864" s="14">
        <v>2</v>
      </c>
      <c r="K1864" s="6" t="str">
        <f t="shared" si="345"/>
        <v>Twitter for Android</v>
      </c>
      <c r="L1864" s="15">
        <v>76</v>
      </c>
      <c r="M1864" s="15">
        <v>280</v>
      </c>
      <c r="N1864" s="15">
        <v>0</v>
      </c>
      <c r="O1864" s="9"/>
      <c r="P1864" s="10">
        <v>42115.385763888888</v>
      </c>
      <c r="Q1864" s="14" t="s">
        <v>7561</v>
      </c>
      <c r="R1864" s="14" t="s">
        <v>7562</v>
      </c>
      <c r="S1864" s="7" t="s">
        <v>7563</v>
      </c>
      <c r="T1864" s="8"/>
      <c r="U1864" s="11" t="str">
        <f>HYPERLINK("https://pbs.twimg.com/profile_images/1350896709841293312/CIDR4dmA.jpg","View")</f>
        <v>View</v>
      </c>
      <c r="V1864" s="8"/>
      <c r="W1864" s="8"/>
      <c r="X1864" s="8"/>
      <c r="Y1864" s="8"/>
      <c r="Z1864" s="8"/>
    </row>
    <row r="1865" spans="1:26" ht="13.2">
      <c r="A1865" s="13">
        <v>44250.264675925922</v>
      </c>
      <c r="B1865" s="6" t="str">
        <f>HYPERLINK("https://twitter.com/Karunadutechno","@Karunadutechno")</f>
        <v>@Karunadutechno</v>
      </c>
      <c r="C1865" s="14" t="s">
        <v>5999</v>
      </c>
      <c r="D1865" s="14" t="s">
        <v>6000</v>
      </c>
      <c r="E1865" s="6" t="str">
        <f>HYPERLINK("https://twitter.com/Karunadutechno/status/1364082845866618888","1364082845866618888")</f>
        <v>1364082845866618888</v>
      </c>
      <c r="F1865" s="7" t="s">
        <v>6001</v>
      </c>
      <c r="G1865" s="7" t="s">
        <v>7564</v>
      </c>
      <c r="H1865" s="8"/>
      <c r="I1865" s="14">
        <v>3</v>
      </c>
      <c r="J1865" s="14">
        <v>1</v>
      </c>
      <c r="K1865" s="6" t="str">
        <f t="shared" ref="K1865:K1866" si="346">HYPERLINK("https://mobile.twitter.com","Twitter Web App")</f>
        <v>Twitter Web App</v>
      </c>
      <c r="L1865" s="15">
        <v>11</v>
      </c>
      <c r="M1865" s="15">
        <v>6</v>
      </c>
      <c r="N1865" s="15">
        <v>0</v>
      </c>
      <c r="O1865" s="9"/>
      <c r="P1865" s="10">
        <v>41967.73369212963</v>
      </c>
      <c r="Q1865" s="14" t="s">
        <v>6003</v>
      </c>
      <c r="R1865" s="14" t="s">
        <v>6004</v>
      </c>
      <c r="S1865" s="7" t="s">
        <v>6005</v>
      </c>
      <c r="T1865" s="8"/>
      <c r="U1865" s="11" t="str">
        <f>HYPERLINK("https://pbs.twimg.com/profile_images/1198568064322654208/rO4F-kPT.jpg","View")</f>
        <v>View</v>
      </c>
      <c r="V1865" s="8"/>
      <c r="W1865" s="8"/>
      <c r="X1865" s="8"/>
      <c r="Y1865" s="8"/>
      <c r="Z1865" s="8"/>
    </row>
    <row r="1866" spans="1:26" ht="13.2">
      <c r="A1866" s="13">
        <v>44250.264513888891</v>
      </c>
      <c r="B1866" s="6" t="str">
        <f>HYPERLINK("https://twitter.com/AiKatonic","@AiKatonic")</f>
        <v>@AiKatonic</v>
      </c>
      <c r="C1866" s="7" t="s">
        <v>7565</v>
      </c>
      <c r="D1866" s="14" t="s">
        <v>7566</v>
      </c>
      <c r="E1866" s="6" t="str">
        <f>HYPERLINK("https://twitter.com/AiKatonic/status/1364082786655608838","1364082786655608838")</f>
        <v>1364082786655608838</v>
      </c>
      <c r="F1866" s="7" t="s">
        <v>7567</v>
      </c>
      <c r="G1866" s="7" t="s">
        <v>7568</v>
      </c>
      <c r="H1866" s="8"/>
      <c r="I1866" s="14">
        <v>3</v>
      </c>
      <c r="J1866" s="14">
        <v>0</v>
      </c>
      <c r="K1866" s="6" t="str">
        <f t="shared" si="346"/>
        <v>Twitter Web App</v>
      </c>
      <c r="L1866" s="15">
        <v>10</v>
      </c>
      <c r="M1866" s="15">
        <v>10</v>
      </c>
      <c r="N1866" s="15">
        <v>0</v>
      </c>
      <c r="O1866" s="9"/>
      <c r="P1866" s="10">
        <v>44083.480173611111</v>
      </c>
      <c r="Q1866" s="14" t="s">
        <v>1965</v>
      </c>
      <c r="R1866" s="14" t="s">
        <v>7569</v>
      </c>
      <c r="S1866" s="7" t="s">
        <v>7570</v>
      </c>
      <c r="T1866" s="8"/>
      <c r="U1866" s="11" t="str">
        <f>HYPERLINK("https://pbs.twimg.com/profile_images/1305493217308110849/GzaGIfUf.jpg","View")</f>
        <v>View</v>
      </c>
      <c r="V1866" s="8"/>
      <c r="W1866" s="8"/>
      <c r="X1866" s="8"/>
      <c r="Y1866" s="8"/>
      <c r="Z1866" s="8"/>
    </row>
    <row r="1867" spans="1:26" ht="13.2">
      <c r="A1867" s="13">
        <v>44250.263958333337</v>
      </c>
      <c r="B1867" s="6" t="str">
        <f>HYPERLINK("https://twitter.com/AustraliaAi","@AustraliaAi")</f>
        <v>@AustraliaAi</v>
      </c>
      <c r="C1867" s="14" t="s">
        <v>1962</v>
      </c>
      <c r="D1867" s="14" t="s">
        <v>7571</v>
      </c>
      <c r="E1867" s="6" t="str">
        <f>HYPERLINK("https://twitter.com/AustraliaAi/status/1364082587241709568","1364082587241709568")</f>
        <v>1364082587241709568</v>
      </c>
      <c r="F1867" s="7" t="s">
        <v>7572</v>
      </c>
      <c r="G1867" s="7" t="s">
        <v>7573</v>
      </c>
      <c r="H1867" s="8"/>
      <c r="I1867" s="14">
        <v>2</v>
      </c>
      <c r="J1867" s="14">
        <v>0</v>
      </c>
      <c r="K1867" s="6" t="str">
        <f>HYPERLINK("https://app.sendible.com","Sendible")</f>
        <v>Sendible</v>
      </c>
      <c r="L1867" s="15">
        <v>372</v>
      </c>
      <c r="M1867" s="15">
        <v>156</v>
      </c>
      <c r="N1867" s="15">
        <v>15</v>
      </c>
      <c r="O1867" s="9"/>
      <c r="P1867" s="10">
        <v>43238.426400462966</v>
      </c>
      <c r="Q1867" s="14" t="s">
        <v>1965</v>
      </c>
      <c r="R1867" s="14" t="s">
        <v>1966</v>
      </c>
      <c r="S1867" s="7" t="s">
        <v>1967</v>
      </c>
      <c r="T1867" s="8"/>
      <c r="U1867" s="11" t="str">
        <f>HYPERLINK("https://pbs.twimg.com/profile_images/997395542169694208/C8IypA30.jpg","View")</f>
        <v>View</v>
      </c>
      <c r="V1867" s="8"/>
      <c r="W1867" s="8"/>
      <c r="X1867" s="8"/>
      <c r="Y1867" s="8"/>
      <c r="Z1867" s="8"/>
    </row>
    <row r="1868" spans="1:26" ht="13.2">
      <c r="A1868" s="13">
        <v>44250.263564814813</v>
      </c>
      <c r="B1868" s="6" t="str">
        <f>HYPERLINK("https://twitter.com/zestexposed","@zestexposed")</f>
        <v>@zestexposed</v>
      </c>
      <c r="C1868" s="14" t="s">
        <v>7574</v>
      </c>
      <c r="D1868" s="14" t="s">
        <v>7575</v>
      </c>
      <c r="E1868" s="6" t="str">
        <f>HYPERLINK("https://twitter.com/zestexposed/status/1364082443922378752","1364082443922378752")</f>
        <v>1364082443922378752</v>
      </c>
      <c r="F1868" s="8"/>
      <c r="G1868" s="7" t="s">
        <v>7576</v>
      </c>
      <c r="H1868" s="8"/>
      <c r="I1868" s="14">
        <v>4</v>
      </c>
      <c r="J1868" s="14">
        <v>1</v>
      </c>
      <c r="K1868" s="6" t="str">
        <f>HYPERLINK("https://mobile.twitter.com","Twitter Web App")</f>
        <v>Twitter Web App</v>
      </c>
      <c r="L1868" s="15">
        <v>221</v>
      </c>
      <c r="M1868" s="15">
        <v>1796</v>
      </c>
      <c r="N1868" s="15">
        <v>1</v>
      </c>
      <c r="O1868" s="9"/>
      <c r="P1868" s="10">
        <v>40694.317847222221</v>
      </c>
      <c r="Q1868" s="14" t="s">
        <v>7577</v>
      </c>
      <c r="R1868" s="14" t="s">
        <v>7578</v>
      </c>
      <c r="S1868" s="7" t="s">
        <v>7579</v>
      </c>
      <c r="T1868" s="8"/>
      <c r="U1868" s="11" t="str">
        <f>HYPERLINK("https://pbs.twimg.com/profile_images/1217429286564614144/dY6yBe4r.jpg","View")</f>
        <v>View</v>
      </c>
      <c r="V1868" s="8"/>
      <c r="W1868" s="8"/>
      <c r="X1868" s="8"/>
      <c r="Y1868" s="8"/>
      <c r="Z1868" s="8"/>
    </row>
    <row r="1869" spans="1:26" ht="13.2">
      <c r="A1869" s="13">
        <v>44250.263217592597</v>
      </c>
      <c r="B1869" s="6" t="str">
        <f>HYPERLINK("https://twitter.com/2morrowknight","@2morrowknight")</f>
        <v>@2morrowknight</v>
      </c>
      <c r="C1869" s="14" t="s">
        <v>7580</v>
      </c>
      <c r="D1869" s="14" t="s">
        <v>7581</v>
      </c>
      <c r="E1869" s="6" t="str">
        <f>HYPERLINK("https://twitter.com/2morrowknight/status/1364082316704849920","1364082316704849920")</f>
        <v>1364082316704849920</v>
      </c>
      <c r="F1869" s="8"/>
      <c r="G1869" s="7" t="s">
        <v>7582</v>
      </c>
      <c r="H1869" s="8"/>
      <c r="I1869" s="14">
        <v>2</v>
      </c>
      <c r="J1869" s="14">
        <v>2</v>
      </c>
      <c r="K1869" s="6" t="str">
        <f>HYPERLINK("http://twitter.com/download/iphone","Twitter for iPhone")</f>
        <v>Twitter for iPhone</v>
      </c>
      <c r="L1869" s="15">
        <v>800499</v>
      </c>
      <c r="M1869" s="15">
        <v>477</v>
      </c>
      <c r="N1869" s="15">
        <v>14583</v>
      </c>
      <c r="O1869" s="15" t="s">
        <v>130</v>
      </c>
      <c r="P1869" s="10">
        <v>39838.248831018514</v>
      </c>
      <c r="Q1869" s="14" t="s">
        <v>7583</v>
      </c>
      <c r="R1869" s="14" t="s">
        <v>7584</v>
      </c>
      <c r="S1869" s="7" t="s">
        <v>7585</v>
      </c>
      <c r="T1869" s="8"/>
      <c r="U1869" s="11" t="str">
        <f>HYPERLINK("https://pbs.twimg.com/profile_images/1032426870740934657/zX4rEcqK.jpg","View")</f>
        <v>View</v>
      </c>
      <c r="V1869" s="8"/>
      <c r="W1869" s="8"/>
      <c r="X1869" s="8"/>
      <c r="Y1869" s="8"/>
      <c r="Z1869" s="8"/>
    </row>
    <row r="1870" spans="1:26" ht="13.2">
      <c r="A1870" s="13">
        <v>44250.260798611111</v>
      </c>
      <c r="B1870" s="6" t="str">
        <f>HYPERLINK("https://twitter.com/IndonesiaEtc","@IndonesiaEtc")</f>
        <v>@IndonesiaEtc</v>
      </c>
      <c r="C1870" s="14" t="s">
        <v>7586</v>
      </c>
      <c r="D1870" s="14" t="s">
        <v>7587</v>
      </c>
      <c r="E1870" s="6" t="str">
        <f>HYPERLINK("https://twitter.com/IndonesiaEtc/status/1364081440665858048","1364081440665858048")</f>
        <v>1364081440665858048</v>
      </c>
      <c r="F1870" s="14" t="s">
        <v>7588</v>
      </c>
      <c r="G1870" s="8"/>
      <c r="H1870" s="8"/>
      <c r="I1870" s="14">
        <v>2</v>
      </c>
      <c r="J1870" s="14">
        <v>1</v>
      </c>
      <c r="K1870" s="6" t="str">
        <f t="shared" ref="K1870:K1871" si="347">HYPERLINK("http://twinybots.com","TwinyBots")</f>
        <v>TwinyBots</v>
      </c>
      <c r="L1870" s="15">
        <v>52</v>
      </c>
      <c r="M1870" s="15">
        <v>184</v>
      </c>
      <c r="N1870" s="15">
        <v>1</v>
      </c>
      <c r="O1870" s="9"/>
      <c r="P1870" s="10">
        <v>43602.258726851855</v>
      </c>
      <c r="Q1870" s="14" t="s">
        <v>7589</v>
      </c>
      <c r="R1870" s="14" t="s">
        <v>7590</v>
      </c>
      <c r="S1870" s="7" t="s">
        <v>7591</v>
      </c>
      <c r="T1870" s="8"/>
      <c r="U1870" s="11" t="str">
        <f>HYPERLINK("https://pbs.twimg.com/profile_images/1301429217771401218/qdRSbl1s.jpg","View")</f>
        <v>View</v>
      </c>
      <c r="V1870" s="8"/>
      <c r="W1870" s="8"/>
      <c r="X1870" s="8"/>
      <c r="Y1870" s="8"/>
      <c r="Z1870" s="8"/>
    </row>
    <row r="1871" spans="1:26" ht="13.2">
      <c r="A1871" s="13">
        <v>44250.260752314818</v>
      </c>
      <c r="B1871" s="6" t="str">
        <f>HYPERLINK("https://twitter.com/IdrisOlasunka13","@IdrisOlasunka13")</f>
        <v>@IdrisOlasunka13</v>
      </c>
      <c r="C1871" s="14" t="s">
        <v>7592</v>
      </c>
      <c r="D1871" s="14" t="s">
        <v>1639</v>
      </c>
      <c r="E1871" s="6" t="str">
        <f>HYPERLINK("https://twitter.com/IdrisOlasunka13/status/1364081424362569729","1364081424362569729")</f>
        <v>1364081424362569729</v>
      </c>
      <c r="F1871" s="14" t="s">
        <v>1640</v>
      </c>
      <c r="G1871" s="8"/>
      <c r="H1871" s="8"/>
      <c r="I1871" s="14">
        <v>24</v>
      </c>
      <c r="J1871" s="14">
        <v>15</v>
      </c>
      <c r="K1871" s="6" t="str">
        <f t="shared" si="347"/>
        <v>TwinyBots</v>
      </c>
      <c r="L1871" s="15">
        <v>605</v>
      </c>
      <c r="M1871" s="15">
        <v>2314</v>
      </c>
      <c r="N1871" s="15">
        <v>0</v>
      </c>
      <c r="O1871" s="9"/>
      <c r="P1871" s="10">
        <v>43568.867731481485</v>
      </c>
      <c r="Q1871" s="14" t="s">
        <v>4217</v>
      </c>
      <c r="R1871" s="14" t="s">
        <v>7593</v>
      </c>
      <c r="S1871" s="7" t="s">
        <v>7594</v>
      </c>
      <c r="T1871" s="8"/>
      <c r="U1871" s="11" t="str">
        <f>HYPERLINK("https://pbs.twimg.com/profile_images/1324228953859596288/oJlu9-yy.jpg","View")</f>
        <v>View</v>
      </c>
      <c r="V1871" s="8"/>
      <c r="W1871" s="8"/>
      <c r="X1871" s="8"/>
      <c r="Y1871" s="8"/>
      <c r="Z1871" s="8"/>
    </row>
    <row r="1872" spans="1:26" ht="13.2">
      <c r="A1872" s="13">
        <v>44250.260474537034</v>
      </c>
      <c r="B1872" s="6" t="str">
        <f>HYPERLINK("https://twitter.com/ipfconline1","@ipfconline1")</f>
        <v>@ipfconline1</v>
      </c>
      <c r="C1872" s="14" t="s">
        <v>65</v>
      </c>
      <c r="D1872" s="14" t="s">
        <v>7595</v>
      </c>
      <c r="E1872" s="6" t="str">
        <f>HYPERLINK("https://twitter.com/ipfconline1/status/1364081321090420738","1364081321090420738")</f>
        <v>1364081321090420738</v>
      </c>
      <c r="F1872" s="7" t="s">
        <v>7596</v>
      </c>
      <c r="G1872" s="7" t="s">
        <v>7597</v>
      </c>
      <c r="H1872" s="8"/>
      <c r="I1872" s="14">
        <v>10</v>
      </c>
      <c r="J1872" s="14">
        <v>8</v>
      </c>
      <c r="K1872" s="6" t="str">
        <f>HYPERLINK("https://twittimer.com","Twittimer")</f>
        <v>Twittimer</v>
      </c>
      <c r="L1872" s="15">
        <v>112675</v>
      </c>
      <c r="M1872" s="15">
        <v>107162</v>
      </c>
      <c r="N1872" s="15">
        <v>7806</v>
      </c>
      <c r="O1872" s="9"/>
      <c r="P1872" s="10">
        <v>42433.031967592593</v>
      </c>
      <c r="Q1872" s="14" t="s">
        <v>69</v>
      </c>
      <c r="R1872" s="14" t="s">
        <v>70</v>
      </c>
      <c r="S1872" s="7" t="s">
        <v>71</v>
      </c>
      <c r="T1872" s="8"/>
      <c r="U1872" s="11" t="str">
        <f>HYPERLINK("https://pbs.twimg.com/profile_images/729065804004769793/St2_Pum9.jpg","View")</f>
        <v>View</v>
      </c>
      <c r="V1872" s="8"/>
      <c r="W1872" s="8"/>
      <c r="X1872" s="8"/>
      <c r="Y1872" s="8"/>
      <c r="Z1872" s="8"/>
    </row>
    <row r="1873" spans="1:26" ht="13.2">
      <c r="A1873" s="13">
        <v>44250.260439814811</v>
      </c>
      <c r="B1873" s="6" t="str">
        <f>HYPERLINK("https://twitter.com/RadiologyGamuts","@RadiologyGamuts")</f>
        <v>@RadiologyGamuts</v>
      </c>
      <c r="C1873" s="14" t="s">
        <v>1481</v>
      </c>
      <c r="D1873" s="14" t="s">
        <v>7598</v>
      </c>
      <c r="E1873" s="6" t="str">
        <f>HYPERLINK("https://twitter.com/RadiologyGamuts/status/1364081309149057024","1364081309149057024")</f>
        <v>1364081309149057024</v>
      </c>
      <c r="F1873" s="7" t="s">
        <v>7599</v>
      </c>
      <c r="G1873" s="8"/>
      <c r="H1873" s="8"/>
      <c r="I1873" s="14">
        <v>1</v>
      </c>
      <c r="J1873" s="14">
        <v>4</v>
      </c>
      <c r="K1873" s="6" t="str">
        <f>HYPERLINK("https://www.gamuts.net","RadiologyGamuts")</f>
        <v>RadiologyGamuts</v>
      </c>
      <c r="L1873" s="15">
        <v>4633</v>
      </c>
      <c r="M1873" s="15">
        <v>3528</v>
      </c>
      <c r="N1873" s="15">
        <v>62</v>
      </c>
      <c r="O1873" s="9"/>
      <c r="P1873" s="10">
        <v>41019.020555555559</v>
      </c>
      <c r="Q1873" s="14" t="s">
        <v>1485</v>
      </c>
      <c r="R1873" s="14" t="s">
        <v>1486</v>
      </c>
      <c r="S1873" s="7" t="s">
        <v>1487</v>
      </c>
      <c r="T1873" s="8"/>
      <c r="U1873" s="11" t="str">
        <f>HYPERLINK("https://pbs.twimg.com/profile_images/2148080535/color-wheel.jpg","View")</f>
        <v>View</v>
      </c>
      <c r="V1873" s="8"/>
      <c r="W1873" s="8"/>
      <c r="X1873" s="8"/>
      <c r="Y1873" s="8"/>
      <c r="Z1873" s="8"/>
    </row>
    <row r="1874" spans="1:26" ht="13.2">
      <c r="A1874" s="13">
        <v>44250.25944444444</v>
      </c>
      <c r="B1874" s="6" t="str">
        <f>HYPERLINK("https://twitter.com/techbytesorg","@techbytesorg")</f>
        <v>@techbytesorg</v>
      </c>
      <c r="C1874" s="14" t="s">
        <v>7600</v>
      </c>
      <c r="D1874" s="14" t="s">
        <v>7601</v>
      </c>
      <c r="E1874" s="6" t="str">
        <f>HYPERLINK("https://twitter.com/techbytesorg/status/1364080951068868608","1364080951068868608")</f>
        <v>1364080951068868608</v>
      </c>
      <c r="F1874" s="8"/>
      <c r="G1874" s="7" t="s">
        <v>7602</v>
      </c>
      <c r="H1874" s="8"/>
      <c r="I1874" s="14">
        <v>31</v>
      </c>
      <c r="J1874" s="14">
        <v>9</v>
      </c>
      <c r="K1874" s="6" t="str">
        <f>HYPERLINK("https://www.hootsuite.com","Hootsuite Inc.")</f>
        <v>Hootsuite Inc.</v>
      </c>
      <c r="L1874" s="15">
        <v>175</v>
      </c>
      <c r="M1874" s="15">
        <v>143</v>
      </c>
      <c r="N1874" s="15">
        <v>1</v>
      </c>
      <c r="O1874" s="9"/>
      <c r="P1874" s="10">
        <v>43601.684664351851</v>
      </c>
      <c r="Q1874" s="14" t="s">
        <v>7603</v>
      </c>
      <c r="R1874" s="14" t="s">
        <v>7604</v>
      </c>
      <c r="S1874" s="7" t="s">
        <v>7605</v>
      </c>
      <c r="T1874" s="8"/>
      <c r="U1874" s="11" t="str">
        <f>HYPERLINK("https://pbs.twimg.com/profile_images/1334136418046672896/k9U3Jguf.jpg","View")</f>
        <v>View</v>
      </c>
      <c r="V1874" s="8"/>
      <c r="W1874" s="8"/>
      <c r="X1874" s="8"/>
      <c r="Y1874" s="8"/>
      <c r="Z1874" s="8"/>
    </row>
    <row r="1875" spans="1:26" ht="13.2">
      <c r="A1875" s="13">
        <v>44250.259340277778</v>
      </c>
      <c r="B1875" s="6" t="str">
        <f>HYPERLINK("https://twitter.com/77Aerorider77","@77Aerorider77")</f>
        <v>@77Aerorider77</v>
      </c>
      <c r="C1875" s="14" t="s">
        <v>7606</v>
      </c>
      <c r="D1875" s="14" t="s">
        <v>7607</v>
      </c>
      <c r="E1875" s="6" t="str">
        <f>HYPERLINK("https://twitter.com/77Aerorider77/status/1364080910988058628","1364080910988058628")</f>
        <v>1364080910988058628</v>
      </c>
      <c r="F1875" s="7" t="s">
        <v>7608</v>
      </c>
      <c r="G1875" s="8"/>
      <c r="H1875" s="8"/>
      <c r="I1875" s="14">
        <v>6</v>
      </c>
      <c r="J1875" s="14">
        <v>2</v>
      </c>
      <c r="K1875" s="6" t="str">
        <f>HYPERLINK("http://www.linkedin.com/","LinkedIn")</f>
        <v>LinkedIn</v>
      </c>
      <c r="L1875" s="15">
        <v>139</v>
      </c>
      <c r="M1875" s="15">
        <v>432</v>
      </c>
      <c r="N1875" s="15">
        <v>0</v>
      </c>
      <c r="O1875" s="9"/>
      <c r="P1875" s="10">
        <v>40613.288356481484</v>
      </c>
      <c r="Q1875" s="14" t="s">
        <v>7609</v>
      </c>
      <c r="R1875" s="14" t="s">
        <v>7610</v>
      </c>
      <c r="S1875" s="7" t="s">
        <v>7611</v>
      </c>
      <c r="T1875" s="8"/>
      <c r="U1875" s="11" t="str">
        <f>HYPERLINK("https://pbs.twimg.com/profile_images/1346255061295325184/KIIH0_9d.jpg","View")</f>
        <v>View</v>
      </c>
      <c r="V1875" s="8"/>
      <c r="W1875" s="8"/>
      <c r="X1875" s="8"/>
      <c r="Y1875" s="8"/>
      <c r="Z1875" s="8"/>
    </row>
    <row r="1876" spans="1:26" ht="13.2">
      <c r="A1876" s="13">
        <v>44250.259317129632</v>
      </c>
      <c r="B1876" s="6" t="str">
        <f>HYPERLINK("https://twitter.com/Analyticsindiam","@Analyticsindiam")</f>
        <v>@Analyticsindiam</v>
      </c>
      <c r="C1876" s="14" t="s">
        <v>5870</v>
      </c>
      <c r="D1876" s="14" t="s">
        <v>7612</v>
      </c>
      <c r="E1876" s="6" t="str">
        <f>HYPERLINK("https://twitter.com/Analyticsindiam/status/1364080902066696198","1364080902066696198")</f>
        <v>1364080902066696198</v>
      </c>
      <c r="F1876" s="7" t="s">
        <v>7613</v>
      </c>
      <c r="G1876" s="8"/>
      <c r="H1876" s="8"/>
      <c r="I1876" s="14">
        <v>4</v>
      </c>
      <c r="J1876" s="14">
        <v>4</v>
      </c>
      <c r="K1876" s="6" t="str">
        <f>HYPERLINK("https://mobile.twitter.com","Twitter Web App")</f>
        <v>Twitter Web App</v>
      </c>
      <c r="L1876" s="15">
        <v>12466</v>
      </c>
      <c r="M1876" s="15">
        <v>353</v>
      </c>
      <c r="N1876" s="15">
        <v>284</v>
      </c>
      <c r="O1876" s="9"/>
      <c r="P1876" s="10">
        <v>41209.688425925924</v>
      </c>
      <c r="Q1876" s="14" t="s">
        <v>1742</v>
      </c>
      <c r="R1876" s="14" t="s">
        <v>5873</v>
      </c>
      <c r="S1876" s="7" t="s">
        <v>5874</v>
      </c>
      <c r="T1876" s="8"/>
      <c r="U1876" s="11" t="str">
        <f>HYPERLINK("https://pbs.twimg.com/profile_images/1346368144391118848/X7OaLwQ5.jpg","View")</f>
        <v>View</v>
      </c>
      <c r="V1876" s="8"/>
      <c r="W1876" s="8"/>
      <c r="X1876" s="8"/>
      <c r="Y1876" s="8"/>
      <c r="Z1876" s="8"/>
    </row>
    <row r="1877" spans="1:26" ht="13.2">
      <c r="A1877" s="13">
        <v>44250.258530092593</v>
      </c>
      <c r="B1877" s="6" t="str">
        <f>HYPERLINK("https://twitter.com/jis_pena","@jis_pena")</f>
        <v>@jis_pena</v>
      </c>
      <c r="C1877" s="14" t="s">
        <v>7614</v>
      </c>
      <c r="D1877" s="14" t="s">
        <v>7615</v>
      </c>
      <c r="E1877" s="6" t="str">
        <f>HYPERLINK("https://twitter.com/jis_pena/status/1364080616434761730","1364080616434761730")</f>
        <v>1364080616434761730</v>
      </c>
      <c r="F1877" s="8"/>
      <c r="G1877" s="7" t="s">
        <v>7616</v>
      </c>
      <c r="H1877" s="8"/>
      <c r="I1877" s="14">
        <v>0</v>
      </c>
      <c r="J1877" s="14">
        <v>3</v>
      </c>
      <c r="K1877" s="6" t="str">
        <f>HYPERLINK("http://twitter.com/download/iphone","Twitter for iPhone")</f>
        <v>Twitter for iPhone</v>
      </c>
      <c r="L1877" s="15">
        <v>394</v>
      </c>
      <c r="M1877" s="15">
        <v>454</v>
      </c>
      <c r="N1877" s="15">
        <v>0</v>
      </c>
      <c r="O1877" s="9"/>
      <c r="P1877" s="10">
        <v>43879.10429398148</v>
      </c>
      <c r="Q1877" s="14" t="s">
        <v>7617</v>
      </c>
      <c r="R1877" s="14" t="s">
        <v>7618</v>
      </c>
      <c r="S1877" s="8"/>
      <c r="T1877" s="8"/>
      <c r="U1877" s="11" t="str">
        <f>HYPERLINK("https://pbs.twimg.com/profile_images/1229581092300247040/mqE2KlJe.jpg","View")</f>
        <v>View</v>
      </c>
      <c r="V1877" s="8"/>
      <c r="W1877" s="8"/>
      <c r="X1877" s="8"/>
      <c r="Y1877" s="8"/>
      <c r="Z1877" s="8"/>
    </row>
    <row r="1878" spans="1:26" ht="13.2">
      <c r="A1878" s="13">
        <v>44250.257245370369</v>
      </c>
      <c r="B1878" s="6" t="str">
        <f>HYPERLINK("https://twitter.com/bigmlcom","@bigmlcom")</f>
        <v>@bigmlcom</v>
      </c>
      <c r="C1878" s="14" t="s">
        <v>4616</v>
      </c>
      <c r="D1878" s="14" t="s">
        <v>7619</v>
      </c>
      <c r="E1878" s="6" t="str">
        <f>HYPERLINK("https://twitter.com/bigmlcom/status/1364080152720809990","1364080152720809990")</f>
        <v>1364080152720809990</v>
      </c>
      <c r="F1878" s="7" t="s">
        <v>7620</v>
      </c>
      <c r="G1878" s="7" t="s">
        <v>7621</v>
      </c>
      <c r="H1878" s="8"/>
      <c r="I1878" s="14">
        <v>2</v>
      </c>
      <c r="J1878" s="14">
        <v>6</v>
      </c>
      <c r="K1878" s="6" t="str">
        <f>HYPERLINK("https://about.twitter.com/products/tweetdeck","TweetDeck")</f>
        <v>TweetDeck</v>
      </c>
      <c r="L1878" s="15">
        <v>6725</v>
      </c>
      <c r="M1878" s="15">
        <v>43</v>
      </c>
      <c r="N1878" s="15">
        <v>492</v>
      </c>
      <c r="O1878" s="9"/>
      <c r="P1878" s="10">
        <v>40552.231423611112</v>
      </c>
      <c r="Q1878" s="14" t="s">
        <v>4619</v>
      </c>
      <c r="R1878" s="14" t="s">
        <v>4620</v>
      </c>
      <c r="S1878" s="7" t="s">
        <v>4621</v>
      </c>
      <c r="T1878" s="8"/>
      <c r="U1878" s="11" t="str">
        <f>HYPERLINK("https://pbs.twimg.com/profile_images/1053243999237087235/j87pTK0n.jpg","View")</f>
        <v>View</v>
      </c>
      <c r="V1878" s="8"/>
      <c r="W1878" s="8"/>
      <c r="X1878" s="8"/>
      <c r="Y1878" s="8"/>
      <c r="Z1878" s="8"/>
    </row>
    <row r="1879" spans="1:26" ht="13.2">
      <c r="A1879" s="13">
        <v>44250.255659722221</v>
      </c>
      <c r="B1879" s="6" t="str">
        <f>HYPERLINK("https://twitter.com/timokissel","@timokissel")</f>
        <v>@timokissel</v>
      </c>
      <c r="C1879" s="14" t="s">
        <v>7622</v>
      </c>
      <c r="D1879" s="14" t="s">
        <v>7623</v>
      </c>
      <c r="E1879" s="6" t="str">
        <f>HYPERLINK("https://twitter.com/timokissel/status/1364079576926744577","1364079576926744577")</f>
        <v>1364079576926744577</v>
      </c>
      <c r="F1879" s="7" t="s">
        <v>7624</v>
      </c>
      <c r="G1879" s="8"/>
      <c r="H1879" s="8"/>
      <c r="I1879" s="14">
        <v>2</v>
      </c>
      <c r="J1879" s="14">
        <v>2</v>
      </c>
      <c r="K1879" s="6" t="str">
        <f>HYPERLINK("https://mobile.twitter.com","Twitter Web App")</f>
        <v>Twitter Web App</v>
      </c>
      <c r="L1879" s="15">
        <v>156</v>
      </c>
      <c r="M1879" s="15">
        <v>194</v>
      </c>
      <c r="N1879" s="15">
        <v>26</v>
      </c>
      <c r="O1879" s="9"/>
      <c r="P1879" s="10">
        <v>40533.844895833332</v>
      </c>
      <c r="Q1879" s="14" t="s">
        <v>7625</v>
      </c>
      <c r="R1879" s="14" t="s">
        <v>7626</v>
      </c>
      <c r="S1879" s="8"/>
      <c r="T1879" s="8"/>
      <c r="U1879" s="11" t="str">
        <f>HYPERLINK("https://pbs.twimg.com/profile_images/2688375451/4909c594dc0fbad5a2d653eed1d432c0.jpeg","View")</f>
        <v>View</v>
      </c>
      <c r="V1879" s="8"/>
      <c r="W1879" s="8"/>
      <c r="X1879" s="8"/>
      <c r="Y1879" s="8"/>
      <c r="Z1879" s="8"/>
    </row>
    <row r="1880" spans="1:26" ht="13.2">
      <c r="A1880" s="13">
        <v>44250.254884259259</v>
      </c>
      <c r="B1880" s="6" t="str">
        <f>HYPERLINK("https://twitter.com/andi_staub","@andi_staub")</f>
        <v>@andi_staub</v>
      </c>
      <c r="C1880" s="14" t="s">
        <v>7627</v>
      </c>
      <c r="D1880" s="14" t="s">
        <v>7628</v>
      </c>
      <c r="E1880" s="6" t="str">
        <f>HYPERLINK("https://twitter.com/andi_staub/status/1364079296382455808","1364079296382455808")</f>
        <v>1364079296382455808</v>
      </c>
      <c r="F1880" s="7" t="s">
        <v>7629</v>
      </c>
      <c r="G1880" s="7" t="s">
        <v>7630</v>
      </c>
      <c r="H1880" s="8"/>
      <c r="I1880" s="14">
        <v>17</v>
      </c>
      <c r="J1880" s="14">
        <v>19</v>
      </c>
      <c r="K1880" s="6" t="str">
        <f>HYPERLINK("https://buffer.com","Buffer")</f>
        <v>Buffer</v>
      </c>
      <c r="L1880" s="15">
        <v>61453</v>
      </c>
      <c r="M1880" s="15">
        <v>7961</v>
      </c>
      <c r="N1880" s="15">
        <v>4257</v>
      </c>
      <c r="O1880" s="9"/>
      <c r="P1880" s="10">
        <v>40677.910370370373</v>
      </c>
      <c r="Q1880" s="8"/>
      <c r="R1880" s="14" t="s">
        <v>7631</v>
      </c>
      <c r="S1880" s="8"/>
      <c r="T1880" s="8"/>
      <c r="U1880" s="11" t="str">
        <f>HYPERLINK("https://pbs.twimg.com/profile_images/732482833407582210/TDe-Ph8r.jpg","View")</f>
        <v>View</v>
      </c>
      <c r="V1880" s="8"/>
      <c r="W1880" s="8"/>
      <c r="X1880" s="8"/>
      <c r="Y1880" s="8"/>
      <c r="Z1880" s="8"/>
    </row>
    <row r="1881" spans="1:26" ht="13.2">
      <c r="A1881" s="13">
        <v>44250.254201388889</v>
      </c>
      <c r="B1881" s="6" t="str">
        <f>HYPERLINK("https://twitter.com/lopezunwired","@lopezunwired")</f>
        <v>@lopezunwired</v>
      </c>
      <c r="C1881" s="14" t="s">
        <v>224</v>
      </c>
      <c r="D1881" s="14" t="s">
        <v>7632</v>
      </c>
      <c r="E1881" s="6" t="str">
        <f>HYPERLINK("https://twitter.com/lopezunwired/status/1364079049363001345","1364079049363001345")</f>
        <v>1364079049363001345</v>
      </c>
      <c r="F1881" s="7" t="s">
        <v>7633</v>
      </c>
      <c r="G1881" s="7" t="s">
        <v>7634</v>
      </c>
      <c r="H1881" s="8"/>
      <c r="I1881" s="14">
        <v>2</v>
      </c>
      <c r="J1881" s="14">
        <v>1</v>
      </c>
      <c r="K1881" s="6" t="str">
        <f>HYPERLINK("https://dlvrit.com/","dlvr.it")</f>
        <v>dlvr.it</v>
      </c>
      <c r="L1881" s="15">
        <v>1803</v>
      </c>
      <c r="M1881" s="15">
        <v>800</v>
      </c>
      <c r="N1881" s="15">
        <v>586</v>
      </c>
      <c r="O1881" s="9"/>
      <c r="P1881" s="10">
        <v>39831.947152777779</v>
      </c>
      <c r="Q1881" s="14" t="s">
        <v>228</v>
      </c>
      <c r="R1881" s="14" t="s">
        <v>229</v>
      </c>
      <c r="S1881" s="7" t="s">
        <v>230</v>
      </c>
      <c r="T1881" s="8"/>
      <c r="U1881" s="11" t="str">
        <f>HYPERLINK("https://pbs.twimg.com/profile_images/3326137784/c6c1c2570fc7b9711dd8de812b996a66.jpeg","View")</f>
        <v>View</v>
      </c>
      <c r="V1881" s="8"/>
      <c r="W1881" s="8"/>
      <c r="X1881" s="8"/>
      <c r="Y1881" s="8"/>
      <c r="Z1881" s="8"/>
    </row>
    <row r="1882" spans="1:26" ht="13.2">
      <c r="A1882" s="13">
        <v>44250.252372685187</v>
      </c>
      <c r="B1882" s="6" t="str">
        <f>HYPERLINK("https://twitter.com/machinelearnflx","@machinelearnflx")</f>
        <v>@machinelearnflx</v>
      </c>
      <c r="C1882" s="14" t="s">
        <v>279</v>
      </c>
      <c r="D1882" s="14" t="s">
        <v>7635</v>
      </c>
      <c r="E1882" s="6" t="str">
        <f>HYPERLINK("https://twitter.com/machinelearnflx/status/1364078388407918593","1364078388407918593")</f>
        <v>1364078388407918593</v>
      </c>
      <c r="F1882" s="7" t="s">
        <v>7636</v>
      </c>
      <c r="G1882" s="8"/>
      <c r="H1882" s="8"/>
      <c r="I1882" s="14">
        <v>2</v>
      </c>
      <c r="J1882" s="14">
        <v>4</v>
      </c>
      <c r="K1882" s="6" t="str">
        <f>HYPERLINK("https://twitter.com/pythonbot_","Postmatico")</f>
        <v>Postmatico</v>
      </c>
      <c r="L1882" s="15">
        <v>90451</v>
      </c>
      <c r="M1882" s="15">
        <v>35464</v>
      </c>
      <c r="N1882" s="15">
        <v>2228</v>
      </c>
      <c r="O1882" s="9"/>
      <c r="P1882" s="10">
        <v>42386.538865740746</v>
      </c>
      <c r="Q1882" s="8"/>
      <c r="R1882" s="14" t="s">
        <v>282</v>
      </c>
      <c r="S1882" s="7" t="s">
        <v>283</v>
      </c>
      <c r="T1882" s="8"/>
      <c r="U1882" s="11" t="str">
        <f>HYPERLINK("https://pbs.twimg.com/profile_images/688735459892195329/v8sHaWSG.jpg","View")</f>
        <v>View</v>
      </c>
      <c r="V1882" s="8"/>
      <c r="W1882" s="8"/>
      <c r="X1882" s="8"/>
      <c r="Y1882" s="8"/>
      <c r="Z1882" s="8"/>
    </row>
    <row r="1883" spans="1:26" ht="13.2">
      <c r="A1883" s="13">
        <v>44250.251666666663</v>
      </c>
      <c r="B1883" s="6" t="str">
        <f>HYPERLINK("https://twitter.com/SpirosMargaris","@SpirosMargaris")</f>
        <v>@SpirosMargaris</v>
      </c>
      <c r="C1883" s="14" t="s">
        <v>3558</v>
      </c>
      <c r="D1883" s="14" t="s">
        <v>7637</v>
      </c>
      <c r="E1883" s="6" t="str">
        <f>HYPERLINK("https://twitter.com/SpirosMargaris/status/1364078133020884993","1364078133020884993")</f>
        <v>1364078133020884993</v>
      </c>
      <c r="F1883" s="7" t="s">
        <v>7638</v>
      </c>
      <c r="G1883" s="8"/>
      <c r="H1883" s="8"/>
      <c r="I1883" s="14">
        <v>18</v>
      </c>
      <c r="J1883" s="14">
        <v>21</v>
      </c>
      <c r="K1883" s="6" t="str">
        <f>HYPERLINK("https://mobile.twitter.com","Twitter Web App")</f>
        <v>Twitter Web App</v>
      </c>
      <c r="L1883" s="15">
        <v>107389</v>
      </c>
      <c r="M1883" s="15">
        <v>15890</v>
      </c>
      <c r="N1883" s="15">
        <v>5693</v>
      </c>
      <c r="O1883" s="15" t="s">
        <v>130</v>
      </c>
      <c r="P1883" s="10">
        <v>41857.30574074074</v>
      </c>
      <c r="Q1883" s="14" t="s">
        <v>3562</v>
      </c>
      <c r="R1883" s="14" t="s">
        <v>3563</v>
      </c>
      <c r="S1883" s="7" t="s">
        <v>3564</v>
      </c>
      <c r="T1883" s="8"/>
      <c r="U1883" s="11" t="str">
        <f>HYPERLINK("https://pbs.twimg.com/profile_images/1346443960986775553/TGeiH97s.jpg","View")</f>
        <v>View</v>
      </c>
      <c r="V1883" s="8"/>
      <c r="W1883" s="8"/>
      <c r="X1883" s="8"/>
      <c r="Y1883" s="8"/>
      <c r="Z1883" s="8"/>
    </row>
    <row r="1884" spans="1:26" ht="13.2">
      <c r="A1884" s="13">
        <v>44250.251400462963</v>
      </c>
      <c r="B1884" s="6" t="str">
        <f>HYPERLINK("https://twitter.com/Deiv101","@Deiv101")</f>
        <v>@Deiv101</v>
      </c>
      <c r="C1884" s="14" t="s">
        <v>7639</v>
      </c>
      <c r="D1884" s="14" t="s">
        <v>7640</v>
      </c>
      <c r="E1884" s="6" t="str">
        <f>HYPERLINK("https://twitter.com/Deiv101/status/1364078035079684099","1364078035079684099")</f>
        <v>1364078035079684099</v>
      </c>
      <c r="F1884" s="8"/>
      <c r="G1884" s="8"/>
      <c r="H1884" s="8"/>
      <c r="I1884" s="14">
        <v>15</v>
      </c>
      <c r="J1884" s="14">
        <v>13</v>
      </c>
      <c r="K1884" s="6" t="str">
        <f>HYPERLINK("http://twitter.com/download/iphone","Twitter for iPhone")</f>
        <v>Twitter for iPhone</v>
      </c>
      <c r="L1884" s="15">
        <v>3202</v>
      </c>
      <c r="M1884" s="15">
        <v>2775</v>
      </c>
      <c r="N1884" s="15">
        <v>38</v>
      </c>
      <c r="O1884" s="9"/>
      <c r="P1884" s="10">
        <v>41070.30259259259</v>
      </c>
      <c r="Q1884" s="14" t="s">
        <v>7641</v>
      </c>
      <c r="R1884" s="14" t="s">
        <v>7642</v>
      </c>
      <c r="S1884" s="7" t="s">
        <v>7643</v>
      </c>
      <c r="T1884" s="8"/>
      <c r="U1884" s="11" t="str">
        <f>HYPERLINK("https://pbs.twimg.com/profile_images/1358659588447498240/ORy6XmvL.jpg","View")</f>
        <v>View</v>
      </c>
      <c r="V1884" s="8"/>
      <c r="W1884" s="8"/>
      <c r="X1884" s="8"/>
      <c r="Y1884" s="8"/>
      <c r="Z1884" s="8"/>
    </row>
    <row r="1885" spans="1:26" ht="13.2">
      <c r="A1885" s="13">
        <v>44250.251319444447</v>
      </c>
      <c r="B1885" s="6" t="str">
        <f>HYPERLINK("https://twitter.com/Deep_In_Depth","@Deep_In_Depth")</f>
        <v>@Deep_In_Depth</v>
      </c>
      <c r="C1885" s="14" t="s">
        <v>312</v>
      </c>
      <c r="D1885" s="14" t="s">
        <v>7644</v>
      </c>
      <c r="E1885" s="6" t="str">
        <f>HYPERLINK("https://twitter.com/Deep_In_Depth/status/1364078005140811776","1364078005140811776")</f>
        <v>1364078005140811776</v>
      </c>
      <c r="F1885" s="14" t="s">
        <v>7645</v>
      </c>
      <c r="G1885" s="8"/>
      <c r="H1885" s="8"/>
      <c r="I1885" s="14">
        <v>2</v>
      </c>
      <c r="J1885" s="14">
        <v>0</v>
      </c>
      <c r="K1885" s="6" t="str">
        <f>HYPERLINK("https://buffer.com","Buffer")</f>
        <v>Buffer</v>
      </c>
      <c r="L1885" s="15">
        <v>10954</v>
      </c>
      <c r="M1885" s="15">
        <v>9176</v>
      </c>
      <c r="N1885" s="15">
        <v>159</v>
      </c>
      <c r="O1885" s="9"/>
      <c r="P1885" s="10">
        <v>42864.439525462964</v>
      </c>
      <c r="Q1885" s="14" t="s">
        <v>315</v>
      </c>
      <c r="R1885" s="14" t="s">
        <v>316</v>
      </c>
      <c r="S1885" s="7" t="s">
        <v>317</v>
      </c>
      <c r="T1885" s="8"/>
      <c r="U1885" s="11" t="str">
        <f>HYPERLINK("https://pbs.twimg.com/profile_images/861866967493431296/PIjaSD4g.jpg","View")</f>
        <v>View</v>
      </c>
      <c r="V1885" s="8"/>
      <c r="W1885" s="8"/>
      <c r="X1885" s="8"/>
      <c r="Y1885" s="8"/>
      <c r="Z1885" s="8"/>
    </row>
    <row r="1886" spans="1:26" ht="13.2">
      <c r="A1886" s="13">
        <v>44250.25099537037</v>
      </c>
      <c r="B1886" s="6" t="str">
        <f t="shared" ref="B1886:B1887" si="348">HYPERLINK("https://twitter.com/into_AI","@into_AI")</f>
        <v>@into_AI</v>
      </c>
      <c r="C1886" s="14" t="s">
        <v>2021</v>
      </c>
      <c r="D1886" s="14" t="s">
        <v>7646</v>
      </c>
      <c r="E1886" s="6" t="str">
        <f>HYPERLINK("https://twitter.com/into_AI/status/1364077885997383680","1364077885997383680")</f>
        <v>1364077885997383680</v>
      </c>
      <c r="F1886" s="7" t="s">
        <v>7647</v>
      </c>
      <c r="G1886" s="8"/>
      <c r="H1886" s="8"/>
      <c r="I1886" s="14">
        <v>1</v>
      </c>
      <c r="J1886" s="14">
        <v>0</v>
      </c>
      <c r="K1886" s="6" t="str">
        <f t="shared" ref="K1886:K1887" si="349">HYPERLINK("http://into.AI","into.AI")</f>
        <v>into.AI</v>
      </c>
      <c r="L1886" s="15">
        <v>19374</v>
      </c>
      <c r="M1886" s="15">
        <v>1707</v>
      </c>
      <c r="N1886" s="15">
        <v>3164</v>
      </c>
      <c r="O1886" s="9"/>
      <c r="P1886" s="10">
        <v>42133.721620370372</v>
      </c>
      <c r="Q1886" s="14" t="s">
        <v>2024</v>
      </c>
      <c r="R1886" s="14" t="s">
        <v>2025</v>
      </c>
      <c r="S1886" s="7" t="s">
        <v>2026</v>
      </c>
      <c r="T1886" s="8"/>
      <c r="U1886" s="11" t="str">
        <f t="shared" ref="U1886:U1887" si="350">HYPERLINK("https://pbs.twimg.com/profile_images/967341160124608512/LM2Y5Q5m.jpg","View")</f>
        <v>View</v>
      </c>
      <c r="V1886" s="8"/>
      <c r="W1886" s="8"/>
      <c r="X1886" s="8"/>
      <c r="Y1886" s="8"/>
      <c r="Z1886" s="8"/>
    </row>
    <row r="1887" spans="1:26" ht="13.2">
      <c r="A1887" s="13">
        <v>44250.250810185185</v>
      </c>
      <c r="B1887" s="6" t="str">
        <f t="shared" si="348"/>
        <v>@into_AI</v>
      </c>
      <c r="C1887" s="14" t="s">
        <v>2021</v>
      </c>
      <c r="D1887" s="14" t="s">
        <v>7648</v>
      </c>
      <c r="E1887" s="6" t="str">
        <f>HYPERLINK("https://twitter.com/into_AI/status/1364077822248161282","1364077822248161282")</f>
        <v>1364077822248161282</v>
      </c>
      <c r="F1887" s="7" t="s">
        <v>7649</v>
      </c>
      <c r="G1887" s="8"/>
      <c r="H1887" s="8"/>
      <c r="I1887" s="14">
        <v>2</v>
      </c>
      <c r="J1887" s="14">
        <v>0</v>
      </c>
      <c r="K1887" s="6" t="str">
        <f t="shared" si="349"/>
        <v>into.AI</v>
      </c>
      <c r="L1887" s="15">
        <v>19374</v>
      </c>
      <c r="M1887" s="15">
        <v>1707</v>
      </c>
      <c r="N1887" s="15">
        <v>3164</v>
      </c>
      <c r="O1887" s="9"/>
      <c r="P1887" s="10">
        <v>42133.721620370372</v>
      </c>
      <c r="Q1887" s="14" t="s">
        <v>2024</v>
      </c>
      <c r="R1887" s="14" t="s">
        <v>2025</v>
      </c>
      <c r="S1887" s="7" t="s">
        <v>2026</v>
      </c>
      <c r="T1887" s="8"/>
      <c r="U1887" s="11" t="str">
        <f t="shared" si="350"/>
        <v>View</v>
      </c>
      <c r="V1887" s="8"/>
      <c r="W1887" s="8"/>
      <c r="X1887" s="8"/>
      <c r="Y1887" s="8"/>
      <c r="Z1887" s="8"/>
    </row>
    <row r="1888" spans="1:26" ht="13.2">
      <c r="A1888" s="13">
        <v>44250.250289351854</v>
      </c>
      <c r="B1888" s="6" t="str">
        <f>HYPERLINK("https://twitter.com/Marktechpost","@Marktechpost")</f>
        <v>@Marktechpost</v>
      </c>
      <c r="C1888" s="7" t="s">
        <v>1071</v>
      </c>
      <c r="D1888" s="14" t="s">
        <v>7650</v>
      </c>
      <c r="E1888" s="6" t="str">
        <f>HYPERLINK("https://twitter.com/Marktechpost/status/1364077630157389824","1364077630157389824")</f>
        <v>1364077630157389824</v>
      </c>
      <c r="F1888" s="7" t="s">
        <v>7651</v>
      </c>
      <c r="G1888" s="7" t="s">
        <v>7652</v>
      </c>
      <c r="H1888" s="8"/>
      <c r="I1888" s="14">
        <v>1</v>
      </c>
      <c r="J1888" s="14">
        <v>3</v>
      </c>
      <c r="K1888" s="6" t="str">
        <f>HYPERLINK("https://www.hootsuite.com","Hootsuite Inc.")</f>
        <v>Hootsuite Inc.</v>
      </c>
      <c r="L1888" s="15">
        <v>2673</v>
      </c>
      <c r="M1888" s="15">
        <v>461</v>
      </c>
      <c r="N1888" s="15">
        <v>24</v>
      </c>
      <c r="O1888" s="9"/>
      <c r="P1888" s="10">
        <v>42467.265682870369</v>
      </c>
      <c r="Q1888" s="14" t="s">
        <v>56</v>
      </c>
      <c r="R1888" s="14" t="s">
        <v>1075</v>
      </c>
      <c r="S1888" s="7" t="s">
        <v>58</v>
      </c>
      <c r="T1888" s="8"/>
      <c r="U1888" s="11" t="str">
        <f>HYPERLINK("https://pbs.twimg.com/profile_images/994114664874180608/tD0vcytP.jpg","View")</f>
        <v>View</v>
      </c>
      <c r="V1888" s="8"/>
      <c r="W1888" s="8"/>
      <c r="X1888" s="8"/>
      <c r="Y1888" s="8"/>
      <c r="Z1888" s="8"/>
    </row>
    <row r="1889" spans="1:26" ht="13.2">
      <c r="A1889" s="13">
        <v>44250.250092592592</v>
      </c>
      <c r="B1889" s="6" t="str">
        <f>HYPERLINK("https://twitter.com/CDOTrends","@CDOTrends")</f>
        <v>@CDOTrends</v>
      </c>
      <c r="C1889" s="14" t="s">
        <v>6754</v>
      </c>
      <c r="D1889" s="14" t="s">
        <v>7653</v>
      </c>
      <c r="E1889" s="6" t="str">
        <f>HYPERLINK("https://twitter.com/CDOTrends/status/1364077562830479361","1364077562830479361")</f>
        <v>1364077562830479361</v>
      </c>
      <c r="F1889" s="14" t="s">
        <v>7654</v>
      </c>
      <c r="G1889" s="7" t="s">
        <v>7655</v>
      </c>
      <c r="H1889" s="8"/>
      <c r="I1889" s="14">
        <v>3</v>
      </c>
      <c r="J1889" s="14">
        <v>1</v>
      </c>
      <c r="K1889" s="6" t="str">
        <f>HYPERLINK("https://buffer.com","Buffer")</f>
        <v>Buffer</v>
      </c>
      <c r="L1889" s="15">
        <v>945</v>
      </c>
      <c r="M1889" s="15">
        <v>2502</v>
      </c>
      <c r="N1889" s="15">
        <v>15</v>
      </c>
      <c r="O1889" s="9"/>
      <c r="P1889" s="10">
        <v>43169.472048611111</v>
      </c>
      <c r="Q1889" s="14" t="s">
        <v>5760</v>
      </c>
      <c r="R1889" s="14" t="s">
        <v>6758</v>
      </c>
      <c r="S1889" s="8"/>
      <c r="T1889" s="8"/>
      <c r="U1889" s="11" t="str">
        <f>HYPERLINK("https://pbs.twimg.com/profile_images/972427641532764162/6Xu1sxja.jpg","View")</f>
        <v>View</v>
      </c>
      <c r="V1889" s="8"/>
      <c r="W1889" s="8"/>
      <c r="X1889" s="8"/>
      <c r="Y1889" s="8"/>
      <c r="Z1889" s="8"/>
    </row>
    <row r="1890" spans="1:26" ht="13.2">
      <c r="A1890" s="13">
        <v>44250.250057870369</v>
      </c>
      <c r="B1890" s="6" t="str">
        <f>HYPERLINK("https://twitter.com/s_kampakis","@s_kampakis")</f>
        <v>@s_kampakis</v>
      </c>
      <c r="C1890" s="14" t="s">
        <v>823</v>
      </c>
      <c r="D1890" s="14" t="s">
        <v>7656</v>
      </c>
      <c r="E1890" s="6" t="str">
        <f>HYPERLINK("https://twitter.com/s_kampakis/status/1364077550054612992","1364077550054612992")</f>
        <v>1364077550054612992</v>
      </c>
      <c r="F1890" s="7" t="s">
        <v>7657</v>
      </c>
      <c r="G1890" s="8"/>
      <c r="H1890" s="8"/>
      <c r="I1890" s="14">
        <v>1</v>
      </c>
      <c r="J1890" s="14">
        <v>1</v>
      </c>
      <c r="K1890" s="6" t="str">
        <f>HYPERLINK("https://crowdfireapp.com","Crowdfire App")</f>
        <v>Crowdfire App</v>
      </c>
      <c r="L1890" s="15">
        <v>1205</v>
      </c>
      <c r="M1890" s="15">
        <v>2076</v>
      </c>
      <c r="N1890" s="15">
        <v>87</v>
      </c>
      <c r="O1890" s="9"/>
      <c r="P1890" s="10">
        <v>41877.766087962962</v>
      </c>
      <c r="Q1890" s="14" t="s">
        <v>753</v>
      </c>
      <c r="R1890" s="14" t="s">
        <v>826</v>
      </c>
      <c r="S1890" s="7" t="s">
        <v>827</v>
      </c>
      <c r="T1890" s="8"/>
      <c r="U1890" s="11" t="str">
        <f>HYPERLINK("https://pbs.twimg.com/profile_images/1175015480496726019/1UxlBHvw.jpg","View")</f>
        <v>View</v>
      </c>
      <c r="V1890" s="8"/>
      <c r="W1890" s="8"/>
      <c r="X1890" s="8"/>
      <c r="Y1890" s="8"/>
      <c r="Z1890" s="8"/>
    </row>
    <row r="1891" spans="1:26" ht="13.2">
      <c r="A1891" s="13">
        <v>44250.250057870369</v>
      </c>
      <c r="B1891" s="6" t="str">
        <f>HYPERLINK("https://twitter.com/Radiology_AI","@Radiology_AI")</f>
        <v>@Radiology_AI</v>
      </c>
      <c r="C1891" s="14" t="s">
        <v>2729</v>
      </c>
      <c r="D1891" s="14" t="s">
        <v>7658</v>
      </c>
      <c r="E1891" s="6" t="str">
        <f>HYPERLINK("https://twitter.com/Radiology_AI/status/1364077548091576320","1364077548091576320")</f>
        <v>1364077548091576320</v>
      </c>
      <c r="F1891" s="7" t="s">
        <v>7659</v>
      </c>
      <c r="G1891" s="7" t="s">
        <v>7660</v>
      </c>
      <c r="H1891" s="8"/>
      <c r="I1891" s="14">
        <v>3</v>
      </c>
      <c r="J1891" s="14">
        <v>4</v>
      </c>
      <c r="K1891" s="6" t="str">
        <f>HYPERLINK("https://pubs.rsna.org/journal/ai","Radiology: AI app")</f>
        <v>Radiology: AI app</v>
      </c>
      <c r="L1891" s="15">
        <v>7117</v>
      </c>
      <c r="M1891" s="15">
        <v>18</v>
      </c>
      <c r="N1891" s="15">
        <v>91</v>
      </c>
      <c r="O1891" s="9"/>
      <c r="P1891" s="10">
        <v>43412.634467592594</v>
      </c>
      <c r="Q1891" s="14" t="s">
        <v>2733</v>
      </c>
      <c r="R1891" s="14" t="s">
        <v>2734</v>
      </c>
      <c r="S1891" s="7" t="s">
        <v>2735</v>
      </c>
      <c r="T1891" s="8"/>
      <c r="U1891" s="11" t="str">
        <f>HYPERLINK("https://pbs.twimg.com/profile_images/1088215563233579008/a69L4EZB.jpg","View")</f>
        <v>View</v>
      </c>
      <c r="V1891" s="8"/>
      <c r="W1891" s="8"/>
      <c r="X1891" s="8"/>
      <c r="Y1891" s="8"/>
      <c r="Z1891" s="8"/>
    </row>
    <row r="1892" spans="1:26" ht="13.2">
      <c r="A1892" s="13">
        <v>44250.250046296293</v>
      </c>
      <c r="B1892" s="6" t="str">
        <f>HYPERLINK("https://twitter.com/rbukralia","@rbukralia")</f>
        <v>@rbukralia</v>
      </c>
      <c r="C1892" s="14" t="s">
        <v>7661</v>
      </c>
      <c r="D1892" s="14" t="s">
        <v>7662</v>
      </c>
      <c r="E1892" s="6" t="str">
        <f>HYPERLINK("https://twitter.com/rbukralia/status/1364077545294094337","1364077545294094337")</f>
        <v>1364077545294094337</v>
      </c>
      <c r="F1892" s="7" t="s">
        <v>7663</v>
      </c>
      <c r="G1892" s="8"/>
      <c r="H1892" s="8"/>
      <c r="I1892" s="14">
        <v>3</v>
      </c>
      <c r="J1892" s="14">
        <v>1</v>
      </c>
      <c r="K1892" s="6" t="str">
        <f>HYPERLINK("https://www.hootsuite.com","Hootsuite Inc.")</f>
        <v>Hootsuite Inc.</v>
      </c>
      <c r="L1892" s="15">
        <v>10204</v>
      </c>
      <c r="M1892" s="15">
        <v>4879</v>
      </c>
      <c r="N1892" s="15">
        <v>937</v>
      </c>
      <c r="O1892" s="9"/>
      <c r="P1892" s="10">
        <v>41567.934606481482</v>
      </c>
      <c r="Q1892" s="14" t="s">
        <v>322</v>
      </c>
      <c r="R1892" s="14" t="s">
        <v>7664</v>
      </c>
      <c r="S1892" s="8"/>
      <c r="T1892" s="8"/>
      <c r="U1892" s="11" t="str">
        <f>HYPERLINK("https://pbs.twimg.com/profile_images/930676116074975234/vjZpXfwA.jpg","View")</f>
        <v>View</v>
      </c>
      <c r="V1892" s="8"/>
      <c r="W1892" s="8"/>
      <c r="X1892" s="8"/>
      <c r="Y1892" s="8"/>
      <c r="Z1892" s="8"/>
    </row>
    <row r="1893" spans="1:26" ht="13.2">
      <c r="A1893" s="13">
        <v>44250.250034722223</v>
      </c>
      <c r="B1893" s="6" t="str">
        <f>HYPERLINK("https://twitter.com/AnnePordon","@AnnePordon")</f>
        <v>@AnnePordon</v>
      </c>
      <c r="C1893" s="14" t="s">
        <v>1138</v>
      </c>
      <c r="D1893" s="14" t="s">
        <v>7665</v>
      </c>
      <c r="E1893" s="6" t="str">
        <f>HYPERLINK("https://twitter.com/AnnePordon/status/1364077538675363842","1364077538675363842")</f>
        <v>1364077538675363842</v>
      </c>
      <c r="F1893" s="7" t="s">
        <v>7666</v>
      </c>
      <c r="G1893" s="8"/>
      <c r="H1893" s="8"/>
      <c r="I1893" s="14">
        <v>1</v>
      </c>
      <c r="J1893" s="14">
        <v>1</v>
      </c>
      <c r="K1893" s="6" t="str">
        <f>HYPERLINK("http://www.linkedin.com/","LinkedIn")</f>
        <v>LinkedIn</v>
      </c>
      <c r="L1893" s="15">
        <v>265</v>
      </c>
      <c r="M1893" s="15">
        <v>565</v>
      </c>
      <c r="N1893" s="15">
        <v>5</v>
      </c>
      <c r="O1893" s="9"/>
      <c r="P1893" s="10">
        <v>43714.793321759258</v>
      </c>
      <c r="Q1893" s="14" t="s">
        <v>1141</v>
      </c>
      <c r="R1893" s="14" t="s">
        <v>1142</v>
      </c>
      <c r="S1893" s="8"/>
      <c r="T1893" s="8"/>
      <c r="U1893" s="11" t="str">
        <f>HYPERLINK("https://pbs.twimg.com/profile_images/1170020149455462401/KK9I4zZR.jpg","View")</f>
        <v>View</v>
      </c>
      <c r="V1893" s="8"/>
      <c r="W1893" s="8"/>
      <c r="X1893" s="8"/>
      <c r="Y1893" s="8"/>
      <c r="Z1893" s="8"/>
    </row>
    <row r="1894" spans="1:26" ht="13.2">
      <c r="A1894" s="13">
        <v>44250.249421296292</v>
      </c>
      <c r="B1894" s="6" t="str">
        <f>HYPERLINK("https://twitter.com/NeurAutomata","@NeurAutomata")</f>
        <v>@NeurAutomata</v>
      </c>
      <c r="C1894" s="14" t="s">
        <v>400</v>
      </c>
      <c r="D1894" s="14" t="s">
        <v>401</v>
      </c>
      <c r="E1894" s="6" t="str">
        <f>HYPERLINK("https://twitter.com/NeurAutomata/status/1364077319116185600","1364077319116185600")</f>
        <v>1364077319116185600</v>
      </c>
      <c r="F1894" s="7" t="s">
        <v>7667</v>
      </c>
      <c r="G1894" s="8"/>
      <c r="H1894" s="8"/>
      <c r="I1894" s="14">
        <v>2</v>
      </c>
      <c r="J1894" s="14">
        <v>1</v>
      </c>
      <c r="K1894" s="6" t="str">
        <f>HYPERLINK("https://ifttt.com","IFTTT")</f>
        <v>IFTTT</v>
      </c>
      <c r="L1894" s="15">
        <v>83</v>
      </c>
      <c r="M1894" s="15">
        <v>14</v>
      </c>
      <c r="N1894" s="15">
        <v>3</v>
      </c>
      <c r="O1894" s="9"/>
      <c r="P1894" s="10">
        <v>42862.083414351851</v>
      </c>
      <c r="Q1894" s="14" t="s">
        <v>403</v>
      </c>
      <c r="R1894" s="14" t="s">
        <v>404</v>
      </c>
      <c r="S1894" s="8"/>
      <c r="T1894" s="8"/>
      <c r="U1894" s="11" t="str">
        <f>HYPERLINK("https://pbs.twimg.com/profile_images/861050448672718848/oHUlrvEK.jpg","View")</f>
        <v>View</v>
      </c>
      <c r="V1894" s="8"/>
      <c r="W1894" s="8"/>
      <c r="X1894" s="8"/>
      <c r="Y1894" s="8"/>
      <c r="Z1894" s="8"/>
    </row>
    <row r="1895" spans="1:26" ht="13.2">
      <c r="A1895" s="13">
        <v>44250.249328703707</v>
      </c>
      <c r="B1895" s="6" t="str">
        <f>HYPERLINK("https://twitter.com/SMEClabs","@SMEClabs")</f>
        <v>@SMEClabs</v>
      </c>
      <c r="C1895" s="14" t="s">
        <v>7668</v>
      </c>
      <c r="D1895" s="14" t="s">
        <v>7669</v>
      </c>
      <c r="E1895" s="6" t="str">
        <f>HYPERLINK("https://twitter.com/SMEClabs/status/1364077285368688640","1364077285368688640")</f>
        <v>1364077285368688640</v>
      </c>
      <c r="F1895" s="7" t="s">
        <v>7670</v>
      </c>
      <c r="G1895" s="7" t="s">
        <v>7671</v>
      </c>
      <c r="H1895" s="8"/>
      <c r="I1895" s="14">
        <v>6</v>
      </c>
      <c r="J1895" s="14">
        <v>4</v>
      </c>
      <c r="K1895" s="6" t="str">
        <f t="shared" ref="K1895:K1896" si="351">HYPERLINK("https://mobile.twitter.com","Twitter Web App")</f>
        <v>Twitter Web App</v>
      </c>
      <c r="L1895" s="15">
        <v>2765</v>
      </c>
      <c r="M1895" s="15">
        <v>177</v>
      </c>
      <c r="N1895" s="15">
        <v>0</v>
      </c>
      <c r="O1895" s="9"/>
      <c r="P1895" s="10">
        <v>40438.512997685189</v>
      </c>
      <c r="Q1895" s="14" t="s">
        <v>364</v>
      </c>
      <c r="R1895" s="14" t="s">
        <v>7672</v>
      </c>
      <c r="S1895" s="7" t="s">
        <v>7673</v>
      </c>
      <c r="T1895" s="8"/>
      <c r="U1895" s="11" t="str">
        <f>HYPERLINK("https://pbs.twimg.com/profile_images/1339167402978734082/pNnfD7W-.jpg","View")</f>
        <v>View</v>
      </c>
      <c r="V1895" s="8"/>
      <c r="W1895" s="8"/>
      <c r="X1895" s="8"/>
      <c r="Y1895" s="8"/>
      <c r="Z1895" s="8"/>
    </row>
    <row r="1896" spans="1:26" ht="13.2">
      <c r="A1896" s="13">
        <v>44250.248668981483</v>
      </c>
      <c r="B1896" s="6" t="str">
        <f>HYPERLINK("https://twitter.com/Shradha55989917","@Shradha55989917")</f>
        <v>@Shradha55989917</v>
      </c>
      <c r="C1896" s="14" t="s">
        <v>7674</v>
      </c>
      <c r="D1896" s="14" t="s">
        <v>7675</v>
      </c>
      <c r="E1896" s="6" t="str">
        <f>HYPERLINK("https://twitter.com/Shradha55989917/status/1364077046977167369","1364077046977167369")</f>
        <v>1364077046977167369</v>
      </c>
      <c r="F1896" s="7" t="s">
        <v>7676</v>
      </c>
      <c r="G1896" s="8"/>
      <c r="H1896" s="8"/>
      <c r="I1896" s="14">
        <v>31</v>
      </c>
      <c r="J1896" s="14">
        <v>18</v>
      </c>
      <c r="K1896" s="6" t="str">
        <f t="shared" si="351"/>
        <v>Twitter Web App</v>
      </c>
      <c r="L1896" s="15">
        <v>182</v>
      </c>
      <c r="M1896" s="15">
        <v>466</v>
      </c>
      <c r="N1896" s="15">
        <v>2</v>
      </c>
      <c r="O1896" s="9"/>
      <c r="P1896" s="10">
        <v>44026.397141203706</v>
      </c>
      <c r="Q1896" s="14" t="s">
        <v>7677</v>
      </c>
      <c r="R1896" s="14" t="s">
        <v>7678</v>
      </c>
      <c r="S1896" s="8"/>
      <c r="T1896" s="8"/>
      <c r="U1896" s="11" t="str">
        <f>HYPERLINK("https://pbs.twimg.com/profile_images/1282940934544556033/s0mnpZVg.jpg","View")</f>
        <v>View</v>
      </c>
      <c r="V1896" s="8"/>
      <c r="W1896" s="8"/>
      <c r="X1896" s="8"/>
      <c r="Y1896" s="8"/>
      <c r="Z1896" s="8"/>
    </row>
    <row r="1897" spans="1:26" ht="13.2">
      <c r="A1897" s="13">
        <v>44250.247939814813</v>
      </c>
      <c r="B1897" s="6" t="str">
        <f>HYPERLINK("https://twitter.com/globaliqx","@globaliqx")</f>
        <v>@globaliqx</v>
      </c>
      <c r="C1897" s="14" t="s">
        <v>305</v>
      </c>
      <c r="D1897" s="14" t="s">
        <v>7679</v>
      </c>
      <c r="E1897" s="6" t="str">
        <f>HYPERLINK("https://twitter.com/globaliqx/status/1364076781653884929","1364076781653884929")</f>
        <v>1364076781653884929</v>
      </c>
      <c r="F1897" s="7" t="s">
        <v>7680</v>
      </c>
      <c r="G1897" s="7" t="s">
        <v>7681</v>
      </c>
      <c r="H1897" s="8"/>
      <c r="I1897" s="14">
        <v>17</v>
      </c>
      <c r="J1897" s="14">
        <v>14</v>
      </c>
      <c r="K1897" s="6" t="str">
        <f>HYPERLINK("https://buffer.com","Buffer")</f>
        <v>Buffer</v>
      </c>
      <c r="L1897" s="15">
        <v>10339</v>
      </c>
      <c r="M1897" s="15">
        <v>7808</v>
      </c>
      <c r="N1897" s="15">
        <v>868</v>
      </c>
      <c r="O1897" s="9"/>
      <c r="P1897" s="10">
        <v>41565.721296296295</v>
      </c>
      <c r="Q1897" s="14" t="s">
        <v>309</v>
      </c>
      <c r="R1897" s="14" t="s">
        <v>310</v>
      </c>
      <c r="S1897" s="7" t="s">
        <v>311</v>
      </c>
      <c r="T1897" s="8"/>
      <c r="U1897" s="11" t="str">
        <f>HYPERLINK("https://pbs.twimg.com/profile_images/695005663492247556/v0EQSRal.jpg","View")</f>
        <v>View</v>
      </c>
      <c r="V1897" s="8"/>
      <c r="W1897" s="8"/>
      <c r="X1897" s="8"/>
      <c r="Y1897" s="8"/>
      <c r="Z1897" s="8"/>
    </row>
    <row r="1898" spans="1:26" ht="13.2">
      <c r="A1898" s="13">
        <v>44250.246504629627</v>
      </c>
      <c r="B1898" s="6" t="str">
        <f>HYPERLINK("https://twitter.com/PiyushRaj714","@PiyushRaj714")</f>
        <v>@PiyushRaj714</v>
      </c>
      <c r="C1898" s="14" t="s">
        <v>7682</v>
      </c>
      <c r="D1898" s="14" t="s">
        <v>7683</v>
      </c>
      <c r="E1898" s="6" t="str">
        <f>HYPERLINK("https://twitter.com/PiyushRaj714/status/1364076258674401284","1364076258674401284")</f>
        <v>1364076258674401284</v>
      </c>
      <c r="F1898" s="8"/>
      <c r="G1898" s="7" t="s">
        <v>7684</v>
      </c>
      <c r="H1898" s="8"/>
      <c r="I1898" s="14">
        <v>13</v>
      </c>
      <c r="J1898" s="14">
        <v>6</v>
      </c>
      <c r="K1898" s="6" t="str">
        <f>HYPERLINK("https://mobile.twitter.com","Twitter Web App")</f>
        <v>Twitter Web App</v>
      </c>
      <c r="L1898" s="15">
        <v>297</v>
      </c>
      <c r="M1898" s="15">
        <v>172</v>
      </c>
      <c r="N1898" s="15">
        <v>3</v>
      </c>
      <c r="O1898" s="9"/>
      <c r="P1898" s="10">
        <v>43941.373425925922</v>
      </c>
      <c r="Q1898" s="14" t="s">
        <v>364</v>
      </c>
      <c r="R1898" s="14" t="s">
        <v>7685</v>
      </c>
      <c r="S1898" s="7" t="s">
        <v>7686</v>
      </c>
      <c r="T1898" s="8"/>
      <c r="U1898" s="11" t="str">
        <f>HYPERLINK("https://pbs.twimg.com/profile_images/1257010755662163971/MPOSNqBB.jpg","View")</f>
        <v>View</v>
      </c>
      <c r="V1898" s="8"/>
      <c r="W1898" s="8"/>
      <c r="X1898" s="8"/>
      <c r="Y1898" s="8"/>
      <c r="Z1898" s="8"/>
    </row>
    <row r="1899" spans="1:26" ht="13.2">
      <c r="A1899" s="13">
        <v>44250.245532407411</v>
      </c>
      <c r="B1899" s="6" t="str">
        <f>HYPERLINK("https://twitter.com/techlazy_msft","@techlazy_msft")</f>
        <v>@techlazy_msft</v>
      </c>
      <c r="C1899" s="14" t="s">
        <v>2027</v>
      </c>
      <c r="D1899" s="14" t="s">
        <v>7687</v>
      </c>
      <c r="E1899" s="6" t="str">
        <f>HYPERLINK("https://twitter.com/techlazy_msft/status/1364075908093669376","1364075908093669376")</f>
        <v>1364075908093669376</v>
      </c>
      <c r="F1899" s="8"/>
      <c r="G1899" s="7" t="s">
        <v>7688</v>
      </c>
      <c r="H1899" s="8"/>
      <c r="I1899" s="14">
        <v>37</v>
      </c>
      <c r="J1899" s="14">
        <v>26</v>
      </c>
      <c r="K1899" s="6" t="str">
        <f>HYPERLINK("http://azure.microsoft.com/en-us/services/app-service/logic/","Microsoft Azure Logic Apps")</f>
        <v>Microsoft Azure Logic Apps</v>
      </c>
      <c r="L1899" s="15">
        <v>1493</v>
      </c>
      <c r="M1899" s="15">
        <v>81</v>
      </c>
      <c r="N1899" s="15">
        <v>804</v>
      </c>
      <c r="O1899" s="9"/>
      <c r="P1899" s="10">
        <v>40443.435752314814</v>
      </c>
      <c r="Q1899" s="14" t="s">
        <v>2030</v>
      </c>
      <c r="R1899" s="14" t="s">
        <v>2031</v>
      </c>
      <c r="S1899" s="7" t="s">
        <v>2032</v>
      </c>
      <c r="T1899" s="8"/>
      <c r="U1899" s="11" t="str">
        <f>HYPERLINK("https://pbs.twimg.com/profile_images/716220444651753472/q6PwsQ8V.jpg","View")</f>
        <v>View</v>
      </c>
      <c r="V1899" s="8"/>
      <c r="W1899" s="8"/>
      <c r="X1899" s="8"/>
      <c r="Y1899" s="8"/>
      <c r="Z1899" s="8"/>
    </row>
    <row r="1900" spans="1:26" ht="13.2">
      <c r="A1900" s="13">
        <v>44250.244537037041</v>
      </c>
      <c r="B1900" s="6" t="str">
        <f>HYPERLINK("https://twitter.com/linkcxo","@linkcxo")</f>
        <v>@linkcxo</v>
      </c>
      <c r="C1900" s="14" t="s">
        <v>7689</v>
      </c>
      <c r="D1900" s="14" t="s">
        <v>7690</v>
      </c>
      <c r="E1900" s="6" t="str">
        <f>HYPERLINK("https://twitter.com/linkcxo/status/1364075548528439296","1364075548528439296")</f>
        <v>1364075548528439296</v>
      </c>
      <c r="F1900" s="8"/>
      <c r="G1900" s="7" t="s">
        <v>7691</v>
      </c>
      <c r="H1900" s="8"/>
      <c r="I1900" s="14">
        <v>3</v>
      </c>
      <c r="J1900" s="14">
        <v>3</v>
      </c>
      <c r="K1900" s="6" t="str">
        <f>HYPERLINK("https://mobile.twitter.com","Twitter Web App")</f>
        <v>Twitter Web App</v>
      </c>
      <c r="L1900" s="15">
        <v>56</v>
      </c>
      <c r="M1900" s="15">
        <v>249</v>
      </c>
      <c r="N1900" s="15">
        <v>3</v>
      </c>
      <c r="O1900" s="9"/>
      <c r="P1900" s="10">
        <v>42374.239837962959</v>
      </c>
      <c r="Q1900" s="14" t="s">
        <v>3176</v>
      </c>
      <c r="R1900" s="14" t="s">
        <v>7692</v>
      </c>
      <c r="S1900" s="7" t="s">
        <v>7693</v>
      </c>
      <c r="T1900" s="8"/>
      <c r="U1900" s="11" t="str">
        <f>HYPERLINK("https://pbs.twimg.com/profile_images/1319523150564999169/v9Tnvtev.jpg","View")</f>
        <v>View</v>
      </c>
      <c r="V1900" s="8"/>
      <c r="W1900" s="8"/>
      <c r="X1900" s="8"/>
      <c r="Y1900" s="8"/>
      <c r="Z1900" s="8"/>
    </row>
    <row r="1901" spans="1:26" ht="13.2">
      <c r="A1901" s="13">
        <v>44250.243703703702</v>
      </c>
      <c r="B1901" s="6" t="str">
        <f>HYPERLINK("https://twitter.com/Datascience__","@Datascience__")</f>
        <v>@Datascience__</v>
      </c>
      <c r="C1901" s="14" t="s">
        <v>1082</v>
      </c>
      <c r="D1901" s="14" t="s">
        <v>7694</v>
      </c>
      <c r="E1901" s="6" t="str">
        <f>HYPERLINK("https://twitter.com/Datascience__/status/1364075244655423491","1364075244655423491")</f>
        <v>1364075244655423491</v>
      </c>
      <c r="F1901" s="7" t="s">
        <v>7695</v>
      </c>
      <c r="G1901" s="8"/>
      <c r="H1901" s="8"/>
      <c r="I1901" s="14">
        <v>4</v>
      </c>
      <c r="J1901" s="14">
        <v>2</v>
      </c>
      <c r="K1901" s="6" t="str">
        <f>HYPERLINK("https://twitter.com/pythonbot_","Postmatico")</f>
        <v>Postmatico</v>
      </c>
      <c r="L1901" s="15">
        <v>21499</v>
      </c>
      <c r="M1901" s="15">
        <v>11071</v>
      </c>
      <c r="N1901" s="15">
        <v>0</v>
      </c>
      <c r="O1901" s="9"/>
      <c r="P1901" s="10">
        <v>42735.551377314812</v>
      </c>
      <c r="Q1901" s="8"/>
      <c r="R1901" s="14" t="s">
        <v>1085</v>
      </c>
      <c r="S1901" s="7" t="s">
        <v>1086</v>
      </c>
      <c r="T1901" s="8"/>
      <c r="U1901" s="11" t="str">
        <f>HYPERLINK("https://pbs.twimg.com/profile_images/989066461435097088/AQZSFyuk.jpg","View")</f>
        <v>View</v>
      </c>
      <c r="V1901" s="8"/>
      <c r="W1901" s="8"/>
      <c r="X1901" s="8"/>
      <c r="Y1901" s="8"/>
      <c r="Z1901" s="8"/>
    </row>
    <row r="1902" spans="1:26" ht="13.2">
      <c r="A1902" s="13">
        <v>44250.24319444444</v>
      </c>
      <c r="B1902" s="6" t="str">
        <f>HYPERLINK("https://twitter.com/iihmjpr","@iihmjpr")</f>
        <v>@iihmjpr</v>
      </c>
      <c r="C1902" s="14" t="s">
        <v>7696</v>
      </c>
      <c r="D1902" s="14" t="s">
        <v>7697</v>
      </c>
      <c r="E1902" s="6" t="str">
        <f>HYPERLINK("https://twitter.com/iihmjpr/status/1364075061129355265","1364075061129355265")</f>
        <v>1364075061129355265</v>
      </c>
      <c r="F1902" s="7" t="s">
        <v>2068</v>
      </c>
      <c r="G1902" s="7" t="s">
        <v>7698</v>
      </c>
      <c r="H1902" s="8"/>
      <c r="I1902" s="14">
        <v>1</v>
      </c>
      <c r="J1902" s="14">
        <v>1</v>
      </c>
      <c r="K1902" s="6" t="str">
        <f>HYPERLINK("http://twitter.com/download/android","Twitter for Android")</f>
        <v>Twitter for Android</v>
      </c>
      <c r="L1902" s="15">
        <v>43</v>
      </c>
      <c r="M1902" s="15">
        <v>45</v>
      </c>
      <c r="N1902" s="15">
        <v>0</v>
      </c>
      <c r="O1902" s="9"/>
      <c r="P1902" s="10">
        <v>44141.269409722227</v>
      </c>
      <c r="Q1902" s="14" t="s">
        <v>7699</v>
      </c>
      <c r="R1902" s="8"/>
      <c r="S1902" s="8"/>
      <c r="T1902" s="8"/>
      <c r="U1902" s="11" t="str">
        <f>HYPERLINK("https://pbs.twimg.com/profile_images/1324585136428523520/kClKcLz8.jpg","View")</f>
        <v>View</v>
      </c>
      <c r="V1902" s="8"/>
      <c r="W1902" s="8"/>
      <c r="X1902" s="8"/>
      <c r="Y1902" s="8"/>
      <c r="Z1902" s="8"/>
    </row>
    <row r="1903" spans="1:26" ht="13.2">
      <c r="A1903" s="13">
        <v>44250.24255787037</v>
      </c>
      <c r="B1903" s="6" t="str">
        <f>HYPERLINK("https://twitter.com/VIncelius","@VIncelius")</f>
        <v>@VIncelius</v>
      </c>
      <c r="C1903" s="14" t="s">
        <v>7700</v>
      </c>
      <c r="D1903" s="14" t="s">
        <v>7701</v>
      </c>
      <c r="E1903" s="6" t="str">
        <f>HYPERLINK("https://twitter.com/VIncelius/status/1364074828781731842","1364074828781731842")</f>
        <v>1364074828781731842</v>
      </c>
      <c r="F1903" s="7" t="s">
        <v>7702</v>
      </c>
      <c r="G1903" s="7" t="s">
        <v>7703</v>
      </c>
      <c r="H1903" s="8"/>
      <c r="I1903" s="14">
        <v>1</v>
      </c>
      <c r="J1903" s="14">
        <v>1</v>
      </c>
      <c r="K1903" s="6" t="str">
        <f>HYPERLINK("https://ifttt.com","IFTTT")</f>
        <v>IFTTT</v>
      </c>
      <c r="L1903" s="15">
        <v>40</v>
      </c>
      <c r="M1903" s="15">
        <v>321</v>
      </c>
      <c r="N1903" s="15">
        <v>0</v>
      </c>
      <c r="O1903" s="9"/>
      <c r="P1903" s="10">
        <v>43622.762442129635</v>
      </c>
      <c r="Q1903" s="8"/>
      <c r="R1903" s="14" t="s">
        <v>7704</v>
      </c>
      <c r="S1903" s="8"/>
      <c r="T1903" s="8"/>
      <c r="U1903" s="11" t="str">
        <f>HYPERLINK("https://pbs.twimg.com/profile_images/1136690424192671750/Fy2RU_8v.png","View")</f>
        <v>View</v>
      </c>
      <c r="V1903" s="8"/>
      <c r="W1903" s="8"/>
      <c r="X1903" s="8"/>
      <c r="Y1903" s="8"/>
      <c r="Z1903" s="8"/>
    </row>
    <row r="1904" spans="1:26" ht="13.2">
      <c r="A1904" s="13">
        <v>44250.241435185184</v>
      </c>
      <c r="B1904" s="6" t="str">
        <f>HYPERLINK("https://twitter.com/danieberg1","@danieberg1")</f>
        <v>@danieberg1</v>
      </c>
      <c r="C1904" s="14" t="s">
        <v>7705</v>
      </c>
      <c r="D1904" s="14" t="s">
        <v>7706</v>
      </c>
      <c r="E1904" s="6" t="str">
        <f>HYPERLINK("https://twitter.com/danieberg1/status/1364074422630424581","1364074422630424581")</f>
        <v>1364074422630424581</v>
      </c>
      <c r="F1904" s="8"/>
      <c r="G1904" s="7" t="s">
        <v>7707</v>
      </c>
      <c r="H1904" s="8"/>
      <c r="I1904" s="14">
        <v>4</v>
      </c>
      <c r="J1904" s="14">
        <v>3</v>
      </c>
      <c r="K1904" s="6" t="str">
        <f>HYPERLINK("https://mobile.twitter.com","Twitter Web App")</f>
        <v>Twitter Web App</v>
      </c>
      <c r="L1904" s="15">
        <v>24</v>
      </c>
      <c r="M1904" s="15">
        <v>68</v>
      </c>
      <c r="N1904" s="15">
        <v>0</v>
      </c>
      <c r="O1904" s="9"/>
      <c r="P1904" s="10">
        <v>44162.491435185184</v>
      </c>
      <c r="Q1904" s="8"/>
      <c r="R1904" s="14" t="s">
        <v>7708</v>
      </c>
      <c r="S1904" s="8"/>
      <c r="T1904" s="8"/>
      <c r="U1904" s="11" t="str">
        <f>HYPERLINK("https://pbs.twimg.com/profile_images/1342073404627820544/wRvdayNC.jpg","View")</f>
        <v>View</v>
      </c>
      <c r="V1904" s="8"/>
      <c r="W1904" s="8"/>
      <c r="X1904" s="8"/>
      <c r="Y1904" s="8"/>
      <c r="Z1904" s="8"/>
    </row>
    <row r="1905" spans="1:26" ht="13.2">
      <c r="A1905" s="13">
        <v>44250.240162037036</v>
      </c>
      <c r="B1905" s="6" t="str">
        <f>HYPERLINK("https://twitter.com/ai_summary","@ai_summary")</f>
        <v>@ai_summary</v>
      </c>
      <c r="C1905" s="14" t="s">
        <v>528</v>
      </c>
      <c r="D1905" s="14" t="s">
        <v>7709</v>
      </c>
      <c r="E1905" s="6" t="str">
        <f>HYPERLINK("https://twitter.com/ai_summary/status/1364073961013805058","1364073961013805058")</f>
        <v>1364073961013805058</v>
      </c>
      <c r="F1905" s="7" t="s">
        <v>7710</v>
      </c>
      <c r="G1905" s="8"/>
      <c r="H1905" s="8"/>
      <c r="I1905" s="14">
        <v>2</v>
      </c>
      <c r="J1905" s="14">
        <v>0</v>
      </c>
      <c r="K1905" s="8"/>
      <c r="L1905" s="15">
        <v>47</v>
      </c>
      <c r="M1905" s="15">
        <v>7</v>
      </c>
      <c r="N1905" s="15">
        <v>2</v>
      </c>
      <c r="O1905" s="9"/>
      <c r="P1905" s="10">
        <v>44039.504699074074</v>
      </c>
      <c r="Q1905" s="8"/>
      <c r="R1905" s="14" t="s">
        <v>531</v>
      </c>
      <c r="S1905" s="8"/>
      <c r="T1905" s="8"/>
      <c r="U1905" s="11" t="str">
        <f>HYPERLINK("https://pbs.twimg.com/profile_images/1315240281206382592/-i10o6Yg.jpg","View")</f>
        <v>View</v>
      </c>
      <c r="V1905" s="8"/>
      <c r="W1905" s="8"/>
      <c r="X1905" s="8"/>
      <c r="Y1905" s="8"/>
      <c r="Z1905" s="8"/>
    </row>
    <row r="1906" spans="1:26" ht="13.2">
      <c r="A1906" s="13">
        <v>44250.24009259259</v>
      </c>
      <c r="B1906" s="6" t="str">
        <f>HYPERLINK("https://twitter.com/HRFahmedabad","@HRFahmedabad")</f>
        <v>@HRFahmedabad</v>
      </c>
      <c r="C1906" s="14" t="s">
        <v>7711</v>
      </c>
      <c r="D1906" s="14" t="s">
        <v>7712</v>
      </c>
      <c r="E1906" s="6" t="str">
        <f>HYPERLINK("https://twitter.com/HRFahmedabad/status/1364073936518975488","1364073936518975488")</f>
        <v>1364073936518975488</v>
      </c>
      <c r="F1906" s="8"/>
      <c r="G1906" s="7" t="s">
        <v>7713</v>
      </c>
      <c r="H1906" s="8"/>
      <c r="I1906" s="14">
        <v>18</v>
      </c>
      <c r="J1906" s="14">
        <v>11</v>
      </c>
      <c r="K1906" s="6" t="str">
        <f t="shared" ref="K1906:K1909" si="352">HYPERLINK("https://mobile.twitter.com","Twitter Web App")</f>
        <v>Twitter Web App</v>
      </c>
      <c r="L1906" s="15">
        <v>921</v>
      </c>
      <c r="M1906" s="15">
        <v>2498</v>
      </c>
      <c r="N1906" s="15">
        <v>4</v>
      </c>
      <c r="O1906" s="9"/>
      <c r="P1906" s="10">
        <v>43264.648587962962</v>
      </c>
      <c r="Q1906" s="14" t="s">
        <v>7714</v>
      </c>
      <c r="R1906" s="14" t="s">
        <v>7715</v>
      </c>
      <c r="S1906" s="8"/>
      <c r="T1906" s="8"/>
      <c r="U1906" s="11" t="str">
        <f>HYPERLINK("https://pbs.twimg.com/profile_images/1245711488213450754/yTYcLX9q.jpg","View")</f>
        <v>View</v>
      </c>
      <c r="V1906" s="8"/>
      <c r="W1906" s="8"/>
      <c r="X1906" s="8"/>
      <c r="Y1906" s="8"/>
      <c r="Z1906" s="8"/>
    </row>
    <row r="1907" spans="1:26" ht="13.2">
      <c r="A1907" s="13">
        <v>44250.239363425921</v>
      </c>
      <c r="B1907" s="6" t="str">
        <f>HYPERLINK("https://twitter.com/CardanoAE","@CardanoAE")</f>
        <v>@CardanoAE</v>
      </c>
      <c r="C1907" s="14" t="s">
        <v>7716</v>
      </c>
      <c r="D1907" s="14" t="s">
        <v>7717</v>
      </c>
      <c r="E1907" s="6" t="str">
        <f>HYPERLINK("https://twitter.com/CardanoAE/status/1364073671053119490","1364073671053119490")</f>
        <v>1364073671053119490</v>
      </c>
      <c r="F1907" s="14" t="s">
        <v>7718</v>
      </c>
      <c r="G1907" s="14" t="s">
        <v>7719</v>
      </c>
      <c r="H1907" s="8"/>
      <c r="I1907" s="14">
        <v>0</v>
      </c>
      <c r="J1907" s="14">
        <v>0</v>
      </c>
      <c r="K1907" s="6" t="str">
        <f t="shared" si="352"/>
        <v>Twitter Web App</v>
      </c>
      <c r="L1907" s="15">
        <v>2970</v>
      </c>
      <c r="M1907" s="15">
        <v>2839</v>
      </c>
      <c r="N1907" s="15">
        <v>8</v>
      </c>
      <c r="O1907" s="9"/>
      <c r="P1907" s="10">
        <v>42650.980393518519</v>
      </c>
      <c r="Q1907" s="14" t="s">
        <v>7720</v>
      </c>
      <c r="R1907" s="14" t="s">
        <v>7721</v>
      </c>
      <c r="S1907" s="7" t="s">
        <v>7722</v>
      </c>
      <c r="T1907" s="8"/>
      <c r="U1907" s="11" t="str">
        <f>HYPERLINK("https://pbs.twimg.com/profile_images/784508288960389120/0GwxBnr1.jpg","View")</f>
        <v>View</v>
      </c>
      <c r="V1907" s="8"/>
      <c r="W1907" s="8"/>
      <c r="X1907" s="8"/>
      <c r="Y1907" s="8"/>
      <c r="Z1907" s="8"/>
    </row>
    <row r="1908" spans="1:26" ht="13.2">
      <c r="A1908" s="13">
        <v>44250.238587962958</v>
      </c>
      <c r="B1908" s="6" t="str">
        <f>HYPERLINK("https://twitter.com/Tech_Taff","@Tech_Taff")</f>
        <v>@Tech_Taff</v>
      </c>
      <c r="C1908" s="14" t="s">
        <v>7723</v>
      </c>
      <c r="D1908" s="14" t="s">
        <v>7724</v>
      </c>
      <c r="E1908" s="6" t="str">
        <f>HYPERLINK("https://twitter.com/Tech_Taff/status/1364073390009708548","1364073390009708548")</f>
        <v>1364073390009708548</v>
      </c>
      <c r="F1908" s="7" t="s">
        <v>7725</v>
      </c>
      <c r="G1908" s="7" t="s">
        <v>7726</v>
      </c>
      <c r="H1908" s="8"/>
      <c r="I1908" s="14">
        <v>3</v>
      </c>
      <c r="J1908" s="14">
        <v>4</v>
      </c>
      <c r="K1908" s="6" t="str">
        <f t="shared" si="352"/>
        <v>Twitter Web App</v>
      </c>
      <c r="L1908" s="15">
        <v>756</v>
      </c>
      <c r="M1908" s="15">
        <v>4975</v>
      </c>
      <c r="N1908" s="15">
        <v>5</v>
      </c>
      <c r="O1908" s="9"/>
      <c r="P1908" s="10">
        <v>43899.430231481485</v>
      </c>
      <c r="Q1908" s="14" t="s">
        <v>7727</v>
      </c>
      <c r="R1908" s="14" t="s">
        <v>7728</v>
      </c>
      <c r="S1908" s="7" t="s">
        <v>7729</v>
      </c>
      <c r="T1908" s="8"/>
      <c r="U1908" s="11" t="str">
        <f>HYPERLINK("https://pbs.twimg.com/profile_images/1240161992494608386/qqMe339H.jpg","View")</f>
        <v>View</v>
      </c>
      <c r="V1908" s="8"/>
      <c r="W1908" s="8"/>
      <c r="X1908" s="8"/>
      <c r="Y1908" s="8"/>
      <c r="Z1908" s="8"/>
    </row>
    <row r="1909" spans="1:26" ht="13.2">
      <c r="A1909" s="13">
        <v>44250.237534722226</v>
      </c>
      <c r="B1909" s="6" t="str">
        <f>HYPERLINK("https://twitter.com/ClassCat_AI_Lab","@ClassCat_AI_Lab")</f>
        <v>@ClassCat_AI_Lab</v>
      </c>
      <c r="C1909" s="14" t="s">
        <v>7730</v>
      </c>
      <c r="D1909" s="14" t="s">
        <v>7731</v>
      </c>
      <c r="E1909" s="6" t="str">
        <f>HYPERLINK("https://twitter.com/ClassCat_AI_Lab/status/1364073009728745476","1364073009728745476")</f>
        <v>1364073009728745476</v>
      </c>
      <c r="F1909" s="7" t="s">
        <v>7732</v>
      </c>
      <c r="G1909" s="8"/>
      <c r="H1909" s="8"/>
      <c r="I1909" s="14">
        <v>0</v>
      </c>
      <c r="J1909" s="14">
        <v>2</v>
      </c>
      <c r="K1909" s="6" t="str">
        <f t="shared" si="352"/>
        <v>Twitter Web App</v>
      </c>
      <c r="L1909" s="15">
        <v>161</v>
      </c>
      <c r="M1909" s="15">
        <v>69</v>
      </c>
      <c r="N1909" s="15">
        <v>7</v>
      </c>
      <c r="O1909" s="9"/>
      <c r="P1909" s="10">
        <v>42742.136597222227</v>
      </c>
      <c r="Q1909" s="14" t="s">
        <v>7733</v>
      </c>
      <c r="R1909" s="14" t="s">
        <v>7734</v>
      </c>
      <c r="S1909" s="7" t="s">
        <v>7735</v>
      </c>
      <c r="T1909" s="8"/>
      <c r="U1909" s="11" t="str">
        <f>HYPERLINK("https://pbs.twimg.com/profile_images/817556107417636864/TTYFgKIZ.jpg","View")</f>
        <v>View</v>
      </c>
      <c r="V1909" s="8"/>
      <c r="W1909" s="8"/>
      <c r="X1909" s="8"/>
      <c r="Y1909" s="8"/>
      <c r="Z1909" s="8"/>
    </row>
    <row r="1910" spans="1:26" ht="13.2">
      <c r="A1910" s="13">
        <v>44250.236944444448</v>
      </c>
      <c r="B1910" s="6" t="str">
        <f t="shared" ref="B1910:B1911" si="353">HYPERLINK("https://twitter.com/ISS_TEC","@ISS_TEC")</f>
        <v>@ISS_TEC</v>
      </c>
      <c r="C1910" s="14" t="s">
        <v>7736</v>
      </c>
      <c r="D1910" s="14" t="s">
        <v>7737</v>
      </c>
      <c r="E1910" s="6" t="str">
        <f>HYPERLINK("https://twitter.com/ISS_TEC/status/1364072794246369282","1364072794246369282")</f>
        <v>1364072794246369282</v>
      </c>
      <c r="F1910" s="7" t="s">
        <v>7738</v>
      </c>
      <c r="G1910" s="8"/>
      <c r="H1910" s="8"/>
      <c r="I1910" s="14">
        <v>3</v>
      </c>
      <c r="J1910" s="14">
        <v>1</v>
      </c>
      <c r="K1910" s="6" t="str">
        <f t="shared" ref="K1910:K1911" si="354">HYPERLINK("https://www.contentmx.com","ContentMX")</f>
        <v>ContentMX</v>
      </c>
      <c r="L1910" s="15">
        <v>49</v>
      </c>
      <c r="M1910" s="15">
        <v>31</v>
      </c>
      <c r="N1910" s="15">
        <v>3</v>
      </c>
      <c r="O1910" s="9"/>
      <c r="P1910" s="10">
        <v>42850.541944444441</v>
      </c>
      <c r="Q1910" s="14" t="s">
        <v>4166</v>
      </c>
      <c r="R1910" s="14" t="s">
        <v>7739</v>
      </c>
      <c r="S1910" s="7" t="s">
        <v>7740</v>
      </c>
      <c r="T1910" s="8"/>
      <c r="U1910" s="11" t="str">
        <f t="shared" ref="U1910:U1911" si="355">HYPERLINK("https://pbs.twimg.com/profile_images/924856990647455745/fNrHo160.jpg","View")</f>
        <v>View</v>
      </c>
      <c r="V1910" s="8"/>
      <c r="W1910" s="8"/>
      <c r="X1910" s="8"/>
      <c r="Y1910" s="8"/>
      <c r="Z1910" s="8"/>
    </row>
    <row r="1911" spans="1:26" ht="13.2">
      <c r="A1911" s="13">
        <v>44250.236932870372</v>
      </c>
      <c r="B1911" s="6" t="str">
        <f t="shared" si="353"/>
        <v>@ISS_TEC</v>
      </c>
      <c r="C1911" s="14" t="s">
        <v>7736</v>
      </c>
      <c r="D1911" s="14" t="s">
        <v>7741</v>
      </c>
      <c r="E1911" s="6" t="str">
        <f>HYPERLINK("https://twitter.com/ISS_TEC/status/1364072791280996355","1364072791280996355")</f>
        <v>1364072791280996355</v>
      </c>
      <c r="F1911" s="7" t="s">
        <v>7742</v>
      </c>
      <c r="G1911" s="8"/>
      <c r="H1911" s="8"/>
      <c r="I1911" s="14">
        <v>2</v>
      </c>
      <c r="J1911" s="14">
        <v>2</v>
      </c>
      <c r="K1911" s="6" t="str">
        <f t="shared" si="354"/>
        <v>ContentMX</v>
      </c>
      <c r="L1911" s="15">
        <v>49</v>
      </c>
      <c r="M1911" s="15">
        <v>31</v>
      </c>
      <c r="N1911" s="15">
        <v>3</v>
      </c>
      <c r="O1911" s="9"/>
      <c r="P1911" s="10">
        <v>42850.541944444441</v>
      </c>
      <c r="Q1911" s="14" t="s">
        <v>4166</v>
      </c>
      <c r="R1911" s="14" t="s">
        <v>7739</v>
      </c>
      <c r="S1911" s="7" t="s">
        <v>7740</v>
      </c>
      <c r="T1911" s="8"/>
      <c r="U1911" s="11" t="str">
        <f t="shared" si="355"/>
        <v>View</v>
      </c>
      <c r="V1911" s="8"/>
      <c r="W1911" s="8"/>
      <c r="X1911" s="8"/>
      <c r="Y1911" s="8"/>
      <c r="Z1911" s="8"/>
    </row>
    <row r="1912" spans="1:26" ht="13.2">
      <c r="A1912" s="13">
        <v>44250.236111111109</v>
      </c>
      <c r="B1912" s="6" t="str">
        <f>HYPERLINK("https://twitter.com/WevolverApp","@WevolverApp")</f>
        <v>@WevolverApp</v>
      </c>
      <c r="C1912" s="14" t="s">
        <v>7743</v>
      </c>
      <c r="D1912" s="14" t="s">
        <v>7744</v>
      </c>
      <c r="E1912" s="6" t="str">
        <f>HYPERLINK("https://twitter.com/WevolverApp/status/1364072494739693573","1364072494739693573")</f>
        <v>1364072494739693573</v>
      </c>
      <c r="F1912" s="7" t="s">
        <v>7745</v>
      </c>
      <c r="G1912" s="8"/>
      <c r="H1912" s="8"/>
      <c r="I1912" s="14">
        <v>4</v>
      </c>
      <c r="J1912" s="14">
        <v>3</v>
      </c>
      <c r="K1912" s="6" t="str">
        <f>HYPERLINK("https://sproutsocial.com","Sprout Social")</f>
        <v>Sprout Social</v>
      </c>
      <c r="L1912" s="15">
        <v>16096</v>
      </c>
      <c r="M1912" s="15">
        <v>2689</v>
      </c>
      <c r="N1912" s="15">
        <v>697</v>
      </c>
      <c r="O1912" s="9"/>
      <c r="P1912" s="10">
        <v>40774.777037037034</v>
      </c>
      <c r="Q1912" s="14" t="s">
        <v>7746</v>
      </c>
      <c r="R1912" s="14" t="s">
        <v>7747</v>
      </c>
      <c r="S1912" s="7" t="s">
        <v>7748</v>
      </c>
      <c r="T1912" s="8"/>
      <c r="U1912" s="11" t="str">
        <f>HYPERLINK("https://pbs.twimg.com/profile_images/1146689717733343232/pcLjpGkp.jpg","View")</f>
        <v>View</v>
      </c>
      <c r="V1912" s="8"/>
      <c r="W1912" s="8"/>
      <c r="X1912" s="8"/>
      <c r="Y1912" s="8"/>
      <c r="Z1912" s="8"/>
    </row>
    <row r="1913" spans="1:26" ht="13.2">
      <c r="A1913" s="13">
        <v>44250.235324074078</v>
      </c>
      <c r="B1913" s="6" t="str">
        <f>HYPERLINK("https://twitter.com/DiverseInAI","@DiverseInAI")</f>
        <v>@DiverseInAI</v>
      </c>
      <c r="C1913" s="14" t="s">
        <v>7749</v>
      </c>
      <c r="D1913" s="14" t="s">
        <v>7750</v>
      </c>
      <c r="E1913" s="6" t="str">
        <f>HYPERLINK("https://twitter.com/DiverseInAI/status/1364072210961289226","1364072210961289226")</f>
        <v>1364072210961289226</v>
      </c>
      <c r="F1913" s="14" t="s">
        <v>7751</v>
      </c>
      <c r="G1913" s="7" t="s">
        <v>7752</v>
      </c>
      <c r="H1913" s="8"/>
      <c r="I1913" s="14">
        <v>4</v>
      </c>
      <c r="J1913" s="14">
        <v>3</v>
      </c>
      <c r="K1913" s="6" t="str">
        <f>HYPERLINK("https://mobile.twitter.com","Twitter Web App")</f>
        <v>Twitter Web App</v>
      </c>
      <c r="L1913" s="15">
        <v>2484</v>
      </c>
      <c r="M1913" s="15">
        <v>194</v>
      </c>
      <c r="N1913" s="15">
        <v>49</v>
      </c>
      <c r="O1913" s="9"/>
      <c r="P1913" s="10">
        <v>43808.037511574075</v>
      </c>
      <c r="Q1913" s="14" t="s">
        <v>215</v>
      </c>
      <c r="R1913" s="14" t="s">
        <v>7753</v>
      </c>
      <c r="S1913" s="7" t="s">
        <v>7754</v>
      </c>
      <c r="T1913" s="8"/>
      <c r="U1913" s="11" t="str">
        <f>HYPERLINK("https://pbs.twimg.com/profile_images/1208647405756993536/k9uP9H3f.jpg","View")</f>
        <v>View</v>
      </c>
      <c r="V1913" s="8"/>
      <c r="W1913" s="8"/>
      <c r="X1913" s="8"/>
      <c r="Y1913" s="8"/>
      <c r="Z1913" s="8"/>
    </row>
    <row r="1914" spans="1:26" ht="13.2">
      <c r="A1914" s="13">
        <v>44250.235312500001</v>
      </c>
      <c r="B1914" s="6" t="str">
        <f>HYPERLINK("https://twitter.com/saqibali_ca","@saqibali_ca")</f>
        <v>@saqibali_ca</v>
      </c>
      <c r="C1914" s="14" t="s">
        <v>965</v>
      </c>
      <c r="D1914" s="14" t="s">
        <v>7755</v>
      </c>
      <c r="E1914" s="6" t="str">
        <f>HYPERLINK("https://twitter.com/saqibali_ca/status/1364072202677538818","1364072202677538818")</f>
        <v>1364072202677538818</v>
      </c>
      <c r="F1914" s="7" t="s">
        <v>7756</v>
      </c>
      <c r="G1914" s="8"/>
      <c r="H1914" s="8"/>
      <c r="I1914" s="14">
        <v>2</v>
      </c>
      <c r="J1914" s="14">
        <v>3</v>
      </c>
      <c r="K1914" s="8"/>
      <c r="L1914" s="15">
        <v>270</v>
      </c>
      <c r="M1914" s="15">
        <v>0</v>
      </c>
      <c r="N1914" s="15">
        <v>3</v>
      </c>
      <c r="O1914" s="9"/>
      <c r="P1914" s="10">
        <v>43119.848680555559</v>
      </c>
      <c r="Q1914" s="14" t="s">
        <v>968</v>
      </c>
      <c r="R1914" s="14" t="s">
        <v>969</v>
      </c>
      <c r="S1914" s="7" t="s">
        <v>970</v>
      </c>
      <c r="T1914" s="8"/>
      <c r="U1914" s="11" t="str">
        <f>HYPERLINK("https://pbs.twimg.com/profile_images/1142963749285855233/c6NRGCvi.jpg","View")</f>
        <v>View</v>
      </c>
      <c r="V1914" s="8"/>
      <c r="W1914" s="8"/>
      <c r="X1914" s="8"/>
      <c r="Y1914" s="8"/>
      <c r="Z1914" s="8"/>
    </row>
    <row r="1915" spans="1:26" ht="13.2">
      <c r="A1915" s="13">
        <v>44250.2346412037</v>
      </c>
      <c r="B1915" s="6" t="str">
        <f>HYPERLINK("https://twitter.com/MistralSoln","@MistralSoln")</f>
        <v>@MistralSoln</v>
      </c>
      <c r="C1915" s="14" t="s">
        <v>7757</v>
      </c>
      <c r="D1915" s="14" t="s">
        <v>7758</v>
      </c>
      <c r="E1915" s="6" t="str">
        <f>HYPERLINK("https://twitter.com/MistralSoln/status/1364071960548810754","1364071960548810754")</f>
        <v>1364071960548810754</v>
      </c>
      <c r="F1915" s="7" t="s">
        <v>7759</v>
      </c>
      <c r="G1915" s="8"/>
      <c r="H1915" s="8"/>
      <c r="I1915" s="14">
        <v>6</v>
      </c>
      <c r="J1915" s="14">
        <v>5</v>
      </c>
      <c r="K1915" s="6" t="str">
        <f t="shared" ref="K1915:K1917" si="356">HYPERLINK("https://mobile.twitter.com","Twitter Web App")</f>
        <v>Twitter Web App</v>
      </c>
      <c r="L1915" s="15">
        <v>2039</v>
      </c>
      <c r="M1915" s="15">
        <v>848</v>
      </c>
      <c r="N1915" s="15">
        <v>23</v>
      </c>
      <c r="O1915" s="9"/>
      <c r="P1915" s="10">
        <v>40228.495763888888</v>
      </c>
      <c r="Q1915" s="14" t="s">
        <v>7760</v>
      </c>
      <c r="R1915" s="14" t="s">
        <v>7761</v>
      </c>
      <c r="S1915" s="7" t="s">
        <v>7762</v>
      </c>
      <c r="T1915" s="8"/>
      <c r="U1915" s="11" t="str">
        <f>HYPERLINK("https://pbs.twimg.com/profile_images/986622520919863297/U9OE9vZ5.jpg","View")</f>
        <v>View</v>
      </c>
      <c r="V1915" s="8"/>
      <c r="W1915" s="8"/>
      <c r="X1915" s="8"/>
      <c r="Y1915" s="8"/>
      <c r="Z1915" s="8"/>
    </row>
    <row r="1916" spans="1:26" ht="13.2">
      <c r="A1916" s="13">
        <v>44250.234432870369</v>
      </c>
      <c r="B1916" s="6" t="str">
        <f>HYPERLINK("https://twitter.com/meisshaily","@meisshaily")</f>
        <v>@meisshaily</v>
      </c>
      <c r="C1916" s="14" t="s">
        <v>5764</v>
      </c>
      <c r="D1916" s="14" t="s">
        <v>7763</v>
      </c>
      <c r="E1916" s="6" t="str">
        <f>HYPERLINK("https://twitter.com/meisshaily/status/1364071885718216712","1364071885718216712")</f>
        <v>1364071885718216712</v>
      </c>
      <c r="F1916" s="7" t="s">
        <v>7764</v>
      </c>
      <c r="G1916" s="8"/>
      <c r="H1916" s="8"/>
      <c r="I1916" s="14">
        <v>2</v>
      </c>
      <c r="J1916" s="14">
        <v>5</v>
      </c>
      <c r="K1916" s="6" t="str">
        <f t="shared" si="356"/>
        <v>Twitter Web App</v>
      </c>
      <c r="L1916" s="15">
        <v>51270</v>
      </c>
      <c r="M1916" s="15">
        <v>38485</v>
      </c>
      <c r="N1916" s="15">
        <v>881</v>
      </c>
      <c r="O1916" s="9"/>
      <c r="P1916" s="10">
        <v>42315.205775462964</v>
      </c>
      <c r="Q1916" s="14" t="s">
        <v>5767</v>
      </c>
      <c r="R1916" s="14" t="s">
        <v>5768</v>
      </c>
      <c r="S1916" s="7" t="s">
        <v>5769</v>
      </c>
      <c r="T1916" s="8"/>
      <c r="U1916" s="11" t="str">
        <f>HYPERLINK("https://pbs.twimg.com/profile_images/1036229921075425280/09bXnSZJ.jpg","View")</f>
        <v>View</v>
      </c>
      <c r="V1916" s="8"/>
      <c r="W1916" s="8"/>
      <c r="X1916" s="8"/>
      <c r="Y1916" s="8"/>
      <c r="Z1916" s="8"/>
    </row>
    <row r="1917" spans="1:26" ht="13.2">
      <c r="A1917" s="13">
        <v>44250.23337962963</v>
      </c>
      <c r="B1917" s="6" t="str">
        <f>HYPERLINK("https://twitter.com/Social_Molly","@Social_Molly")</f>
        <v>@Social_Molly</v>
      </c>
      <c r="C1917" s="14" t="s">
        <v>3631</v>
      </c>
      <c r="D1917" s="14" t="s">
        <v>7765</v>
      </c>
      <c r="E1917" s="6" t="str">
        <f>HYPERLINK("https://twitter.com/Social_Molly/status/1364071504317587456","1364071504317587456")</f>
        <v>1364071504317587456</v>
      </c>
      <c r="F1917" s="7" t="s">
        <v>7766</v>
      </c>
      <c r="G1917" s="7" t="s">
        <v>7767</v>
      </c>
      <c r="H1917" s="8"/>
      <c r="I1917" s="14">
        <v>6</v>
      </c>
      <c r="J1917" s="14">
        <v>2</v>
      </c>
      <c r="K1917" s="6" t="str">
        <f t="shared" si="356"/>
        <v>Twitter Web App</v>
      </c>
      <c r="L1917" s="15">
        <v>12130</v>
      </c>
      <c r="M1917" s="15">
        <v>6463</v>
      </c>
      <c r="N1917" s="15">
        <v>103</v>
      </c>
      <c r="O1917" s="9"/>
      <c r="P1917" s="10">
        <v>43174.238796296297</v>
      </c>
      <c r="Q1917" s="14" t="s">
        <v>3635</v>
      </c>
      <c r="R1917" s="14" t="s">
        <v>3636</v>
      </c>
      <c r="S1917" s="8"/>
      <c r="T1917" s="8"/>
      <c r="U1917" s="11" t="str">
        <f>HYPERLINK("https://pbs.twimg.com/profile_images/981743224749408256/OTsOfujW.jpg","View")</f>
        <v>View</v>
      </c>
      <c r="V1917" s="8"/>
      <c r="W1917" s="8"/>
      <c r="X1917" s="8"/>
      <c r="Y1917" s="8"/>
      <c r="Z1917" s="8"/>
    </row>
    <row r="1918" spans="1:26" ht="13.2">
      <c r="A1918" s="13">
        <v>44250.232858796298</v>
      </c>
      <c r="B1918" s="6" t="str">
        <f>HYPERLINK("https://twitter.com/enderton_justin","@enderton_justin")</f>
        <v>@enderton_justin</v>
      </c>
      <c r="C1918" s="14" t="s">
        <v>7768</v>
      </c>
      <c r="D1918" s="14" t="s">
        <v>1369</v>
      </c>
      <c r="E1918" s="6" t="str">
        <f>HYPERLINK("https://twitter.com/enderton_justin/status/1364071317071425536","1364071317071425536")</f>
        <v>1364071317071425536</v>
      </c>
      <c r="F1918" s="14" t="s">
        <v>7769</v>
      </c>
      <c r="G1918" s="8"/>
      <c r="H1918" s="8"/>
      <c r="I1918" s="14">
        <v>3</v>
      </c>
      <c r="J1918" s="14">
        <v>3</v>
      </c>
      <c r="K1918" s="6" t="str">
        <f>HYPERLINK("http://twinybots.com","TwinyBots")</f>
        <v>TwinyBots</v>
      </c>
      <c r="L1918" s="15">
        <v>2265</v>
      </c>
      <c r="M1918" s="15">
        <v>4347</v>
      </c>
      <c r="N1918" s="15">
        <v>11</v>
      </c>
      <c r="O1918" s="9"/>
      <c r="P1918" s="10">
        <v>42257.204351851848</v>
      </c>
      <c r="Q1918" s="14" t="s">
        <v>322</v>
      </c>
      <c r="R1918" s="14" t="s">
        <v>7770</v>
      </c>
      <c r="S1918" s="7" t="s">
        <v>7771</v>
      </c>
      <c r="T1918" s="8"/>
      <c r="U1918" s="11" t="str">
        <f>HYPERLINK("https://pbs.twimg.com/profile_images/820170359970246656/ReYplGDA.jpg","View")</f>
        <v>View</v>
      </c>
      <c r="V1918" s="8"/>
      <c r="W1918" s="8"/>
      <c r="X1918" s="8"/>
      <c r="Y1918" s="8"/>
      <c r="Z1918" s="8"/>
    </row>
    <row r="1919" spans="1:26" ht="13.2">
      <c r="A1919" s="13">
        <v>44250.232662037037</v>
      </c>
      <c r="B1919" s="6" t="str">
        <f>HYPERLINK("https://twitter.com/MedTectales","@MedTectales")</f>
        <v>@MedTectales</v>
      </c>
      <c r="C1919" s="14" t="s">
        <v>7772</v>
      </c>
      <c r="D1919" s="14" t="s">
        <v>7773</v>
      </c>
      <c r="E1919" s="6" t="str">
        <f>HYPERLINK("https://twitter.com/MedTectales/status/1364071243675279360","1364071243675279360")</f>
        <v>1364071243675279360</v>
      </c>
      <c r="F1919" s="7" t="s">
        <v>7774</v>
      </c>
      <c r="G1919" s="7" t="s">
        <v>7775</v>
      </c>
      <c r="H1919" s="8"/>
      <c r="I1919" s="14">
        <v>1</v>
      </c>
      <c r="J1919" s="14">
        <v>1</v>
      </c>
      <c r="K1919" s="6" t="str">
        <f>HYPERLINK("https://www.hootsuite.com","Hootsuite Inc.")</f>
        <v>Hootsuite Inc.</v>
      </c>
      <c r="L1919" s="15">
        <v>978</v>
      </c>
      <c r="M1919" s="15">
        <v>393</v>
      </c>
      <c r="N1919" s="15">
        <v>14</v>
      </c>
      <c r="O1919" s="9"/>
      <c r="P1919" s="10">
        <v>43055.721875000003</v>
      </c>
      <c r="Q1919" s="8"/>
      <c r="R1919" s="14" t="s">
        <v>7776</v>
      </c>
      <c r="S1919" s="7" t="s">
        <v>7777</v>
      </c>
      <c r="T1919" s="8"/>
      <c r="U1919" s="11" t="str">
        <f>HYPERLINK("https://pbs.twimg.com/profile_images/1223196176998109184/YnwNj7tZ.png","View")</f>
        <v>View</v>
      </c>
      <c r="V1919" s="8"/>
      <c r="W1919" s="8"/>
      <c r="X1919" s="8"/>
      <c r="Y1919" s="8"/>
      <c r="Z1919" s="8"/>
    </row>
    <row r="1920" spans="1:26" ht="13.2">
      <c r="A1920" s="13">
        <v>44250.232511574075</v>
      </c>
      <c r="B1920" s="6" t="str">
        <f>HYPERLINK("https://twitter.com/adnan_hashmi","@adnan_hashmi")</f>
        <v>@adnan_hashmi</v>
      </c>
      <c r="C1920" s="14" t="s">
        <v>6991</v>
      </c>
      <c r="D1920" s="14" t="s">
        <v>7778</v>
      </c>
      <c r="E1920" s="6" t="str">
        <f>HYPERLINK("https://twitter.com/adnan_hashmi/status/1364071190864818176","1364071190864818176")</f>
        <v>1364071190864818176</v>
      </c>
      <c r="F1920" s="7" t="s">
        <v>7779</v>
      </c>
      <c r="G1920" s="8"/>
      <c r="H1920" s="8"/>
      <c r="I1920" s="14">
        <v>3</v>
      </c>
      <c r="J1920" s="14">
        <v>1</v>
      </c>
      <c r="K1920" s="6" t="str">
        <f t="shared" ref="K1920:K1922" si="357">HYPERLINK("https://mobile.twitter.com","Twitter Web App")</f>
        <v>Twitter Web App</v>
      </c>
      <c r="L1920" s="15">
        <v>2330</v>
      </c>
      <c r="M1920" s="15">
        <v>4579</v>
      </c>
      <c r="N1920" s="15">
        <v>551</v>
      </c>
      <c r="O1920" s="9"/>
      <c r="P1920" s="10">
        <v>39834.348483796297</v>
      </c>
      <c r="Q1920" s="14" t="s">
        <v>2853</v>
      </c>
      <c r="R1920" s="14" t="s">
        <v>6995</v>
      </c>
      <c r="S1920" s="7" t="s">
        <v>6996</v>
      </c>
      <c r="T1920" s="8"/>
      <c r="U1920" s="11" t="str">
        <f>HYPERLINK("https://pbs.twimg.com/profile_images/965682432367300611/j4syUFC2.jpg","View")</f>
        <v>View</v>
      </c>
      <c r="V1920" s="8"/>
      <c r="W1920" s="8"/>
      <c r="X1920" s="8"/>
      <c r="Y1920" s="8"/>
      <c r="Z1920" s="8"/>
    </row>
    <row r="1921" spans="1:26" ht="13.2">
      <c r="A1921" s="13">
        <v>44250.232349537036</v>
      </c>
      <c r="B1921" s="6" t="str">
        <f>HYPERLINK("https://twitter.com/AnnetteSophonie","@AnnetteSophonie")</f>
        <v>@AnnetteSophonie</v>
      </c>
      <c r="C1921" s="14" t="s">
        <v>2177</v>
      </c>
      <c r="D1921" s="14" t="s">
        <v>7780</v>
      </c>
      <c r="E1921" s="6" t="str">
        <f>HYPERLINK("https://twitter.com/AnnetteSophonie/status/1364071129569132550","1364071129569132550")</f>
        <v>1364071129569132550</v>
      </c>
      <c r="F1921" s="7" t="s">
        <v>7781</v>
      </c>
      <c r="G1921" s="7" t="s">
        <v>7782</v>
      </c>
      <c r="H1921" s="8"/>
      <c r="I1921" s="14">
        <v>1</v>
      </c>
      <c r="J1921" s="14">
        <v>2</v>
      </c>
      <c r="K1921" s="6" t="str">
        <f t="shared" si="357"/>
        <v>Twitter Web App</v>
      </c>
      <c r="L1921" s="15">
        <v>1254</v>
      </c>
      <c r="M1921" s="15">
        <v>1237</v>
      </c>
      <c r="N1921" s="15">
        <v>11</v>
      </c>
      <c r="O1921" s="9"/>
      <c r="P1921" s="10">
        <v>43514.004745370374</v>
      </c>
      <c r="Q1921" s="14" t="s">
        <v>2181</v>
      </c>
      <c r="R1921" s="14" t="s">
        <v>2182</v>
      </c>
      <c r="S1921" s="8"/>
      <c r="T1921" s="8"/>
      <c r="U1921" s="11" t="str">
        <f>HYPERLINK("https://pbs.twimg.com/profile_images/1097274157040128000/kbJdFYDd.jpg","View")</f>
        <v>View</v>
      </c>
      <c r="V1921" s="8"/>
      <c r="W1921" s="8"/>
      <c r="X1921" s="8"/>
      <c r="Y1921" s="8"/>
      <c r="Z1921" s="8"/>
    </row>
    <row r="1922" spans="1:26" ht="13.2">
      <c r="A1922" s="13">
        <v>44250.231030092589</v>
      </c>
      <c r="B1922" s="6" t="str">
        <f>HYPERLINK("https://twitter.com/adnan_hashmi","@adnan_hashmi")</f>
        <v>@adnan_hashmi</v>
      </c>
      <c r="C1922" s="14" t="s">
        <v>6991</v>
      </c>
      <c r="D1922" s="14" t="s">
        <v>7783</v>
      </c>
      <c r="E1922" s="6" t="str">
        <f>HYPERLINK("https://twitter.com/adnan_hashmi/status/1364070652706238464","1364070652706238464")</f>
        <v>1364070652706238464</v>
      </c>
      <c r="F1922" s="7" t="s">
        <v>7784</v>
      </c>
      <c r="G1922" s="7" t="s">
        <v>7785</v>
      </c>
      <c r="H1922" s="8"/>
      <c r="I1922" s="14">
        <v>0</v>
      </c>
      <c r="J1922" s="14">
        <v>1</v>
      </c>
      <c r="K1922" s="6" t="str">
        <f t="shared" si="357"/>
        <v>Twitter Web App</v>
      </c>
      <c r="L1922" s="15">
        <v>2330</v>
      </c>
      <c r="M1922" s="15">
        <v>4579</v>
      </c>
      <c r="N1922" s="15">
        <v>551</v>
      </c>
      <c r="O1922" s="9"/>
      <c r="P1922" s="10">
        <v>39834.348483796297</v>
      </c>
      <c r="Q1922" s="14" t="s">
        <v>2853</v>
      </c>
      <c r="R1922" s="14" t="s">
        <v>6995</v>
      </c>
      <c r="S1922" s="7" t="s">
        <v>6996</v>
      </c>
      <c r="T1922" s="8"/>
      <c r="U1922" s="11" t="str">
        <f>HYPERLINK("https://pbs.twimg.com/profile_images/965682432367300611/j4syUFC2.jpg","View")</f>
        <v>View</v>
      </c>
      <c r="V1922" s="8"/>
      <c r="W1922" s="8"/>
      <c r="X1922" s="8"/>
      <c r="Y1922" s="8"/>
      <c r="Z1922" s="8"/>
    </row>
    <row r="1923" spans="1:26" ht="13.2">
      <c r="A1923" s="13">
        <v>44250.230208333334</v>
      </c>
      <c r="B1923" s="6" t="str">
        <f>HYPERLINK("https://twitter.com/GannyMcGANFace","@GannyMcGANFace")</f>
        <v>@GannyMcGANFace</v>
      </c>
      <c r="C1923" s="14" t="s">
        <v>677</v>
      </c>
      <c r="D1923" s="14" t="s">
        <v>7786</v>
      </c>
      <c r="E1923" s="6" t="str">
        <f>HYPERLINK("https://twitter.com/GannyMcGANFace/status/1364070353010622467","1364070353010622467")</f>
        <v>1364070353010622467</v>
      </c>
      <c r="F1923" s="8"/>
      <c r="G1923" s="7" t="s">
        <v>7787</v>
      </c>
      <c r="H1923" s="8"/>
      <c r="I1923" s="14">
        <v>0</v>
      </c>
      <c r="J1923" s="14">
        <v>0</v>
      </c>
      <c r="K1923" s="6" t="str">
        <f>HYPERLINK("https://cheapbotsdonequick.com","Cheap Bots, Done Quick!")</f>
        <v>Cheap Bots, Done Quick!</v>
      </c>
      <c r="L1923" s="15">
        <v>109</v>
      </c>
      <c r="M1923" s="15">
        <v>241</v>
      </c>
      <c r="N1923" s="15">
        <v>1</v>
      </c>
      <c r="O1923" s="9"/>
      <c r="P1923" s="10">
        <v>42779.006909722222</v>
      </c>
      <c r="Q1923" s="8"/>
      <c r="R1923" s="14" t="s">
        <v>680</v>
      </c>
      <c r="S1923" s="8"/>
      <c r="T1923" s="8"/>
      <c r="U1923" s="11" t="str">
        <f>HYPERLINK("https://pbs.twimg.com/profile_images/1323328546505428994/-DcHTlvo.png","View")</f>
        <v>View</v>
      </c>
      <c r="V1923" s="8"/>
      <c r="W1923" s="8"/>
      <c r="X1923" s="8"/>
      <c r="Y1923" s="8"/>
      <c r="Z1923" s="8"/>
    </row>
    <row r="1924" spans="1:26" ht="13.2">
      <c r="A1924" s="13">
        <v>44250.229305555556</v>
      </c>
      <c r="B1924" s="6" t="str">
        <f>HYPERLINK("https://twitter.com/henry_education","@henry_education")</f>
        <v>@henry_education</v>
      </c>
      <c r="C1924" s="14" t="s">
        <v>5423</v>
      </c>
      <c r="D1924" s="14" t="s">
        <v>7788</v>
      </c>
      <c r="E1924" s="6" t="str">
        <f>HYPERLINK("https://twitter.com/henry_education/status/1364070029432672257","1364070029432672257")</f>
        <v>1364070029432672257</v>
      </c>
      <c r="F1924" s="8"/>
      <c r="G1924" s="7" t="s">
        <v>7789</v>
      </c>
      <c r="H1924" s="8"/>
      <c r="I1924" s="14">
        <v>4</v>
      </c>
      <c r="J1924" s="14">
        <v>0</v>
      </c>
      <c r="K1924" s="6" t="str">
        <f>HYPERLINK("https://buffer.com","Buffer")</f>
        <v>Buffer</v>
      </c>
      <c r="L1924" s="15">
        <v>25</v>
      </c>
      <c r="M1924" s="15">
        <v>3</v>
      </c>
      <c r="N1924" s="15">
        <v>0</v>
      </c>
      <c r="O1924" s="9"/>
      <c r="P1924" s="10">
        <v>43973.601597222223</v>
      </c>
      <c r="Q1924" s="14" t="s">
        <v>5426</v>
      </c>
      <c r="R1924" s="14" t="s">
        <v>5427</v>
      </c>
      <c r="S1924" s="7" t="s">
        <v>5428</v>
      </c>
      <c r="T1924" s="8"/>
      <c r="U1924" s="11" t="str">
        <f>HYPERLINK("https://pbs.twimg.com/profile_images/1264068748710801409/xjp42EEi.jpg","View")</f>
        <v>View</v>
      </c>
      <c r="V1924" s="8"/>
      <c r="W1924" s="8"/>
      <c r="X1924" s="8"/>
      <c r="Y1924" s="8"/>
      <c r="Z1924" s="8"/>
    </row>
    <row r="1925" spans="1:26" ht="13.2">
      <c r="A1925" s="13">
        <v>44250.229247685187</v>
      </c>
      <c r="B1925" s="6" t="str">
        <f>HYPERLINK("https://twitter.com/rbukralia","@rbukralia")</f>
        <v>@rbukralia</v>
      </c>
      <c r="C1925" s="14" t="s">
        <v>7661</v>
      </c>
      <c r="D1925" s="14" t="s">
        <v>7790</v>
      </c>
      <c r="E1925" s="6" t="str">
        <f>HYPERLINK("https://twitter.com/rbukralia/status/1364070008041725955","1364070008041725955")</f>
        <v>1364070008041725955</v>
      </c>
      <c r="F1925" s="7" t="s">
        <v>7791</v>
      </c>
      <c r="G1925" s="8"/>
      <c r="H1925" s="8"/>
      <c r="I1925" s="14">
        <v>3</v>
      </c>
      <c r="J1925" s="14">
        <v>1</v>
      </c>
      <c r="K1925" s="6" t="str">
        <f>HYPERLINK("https://www.hootsuite.com","Hootsuite Inc.")</f>
        <v>Hootsuite Inc.</v>
      </c>
      <c r="L1925" s="15">
        <v>10204</v>
      </c>
      <c r="M1925" s="15">
        <v>4879</v>
      </c>
      <c r="N1925" s="15">
        <v>937</v>
      </c>
      <c r="O1925" s="9"/>
      <c r="P1925" s="10">
        <v>41567.934606481482</v>
      </c>
      <c r="Q1925" s="14" t="s">
        <v>322</v>
      </c>
      <c r="R1925" s="14" t="s">
        <v>7664</v>
      </c>
      <c r="S1925" s="8"/>
      <c r="T1925" s="8"/>
      <c r="U1925" s="11" t="str">
        <f>HYPERLINK("https://pbs.twimg.com/profile_images/930676116074975234/vjZpXfwA.jpg","View")</f>
        <v>View</v>
      </c>
      <c r="V1925" s="8"/>
      <c r="W1925" s="8"/>
      <c r="X1925" s="8"/>
      <c r="Y1925" s="8"/>
      <c r="Z1925" s="8"/>
    </row>
    <row r="1926" spans="1:26" ht="13.2">
      <c r="A1926" s="13">
        <v>44250.229224537034</v>
      </c>
      <c r="B1926" s="6" t="str">
        <f>HYPERLINK("https://twitter.com/ipfconline1","@ipfconline1")</f>
        <v>@ipfconline1</v>
      </c>
      <c r="C1926" s="14" t="s">
        <v>65</v>
      </c>
      <c r="D1926" s="14" t="s">
        <v>7792</v>
      </c>
      <c r="E1926" s="6" t="str">
        <f>HYPERLINK("https://twitter.com/ipfconline1/status/1364069996905852928","1364069996905852928")</f>
        <v>1364069996905852928</v>
      </c>
      <c r="F1926" s="7" t="s">
        <v>7793</v>
      </c>
      <c r="G1926" s="8"/>
      <c r="H1926" s="8"/>
      <c r="I1926" s="14">
        <v>7</v>
      </c>
      <c r="J1926" s="14">
        <v>6</v>
      </c>
      <c r="K1926" s="6" t="str">
        <f>HYPERLINK("https://twittimer.com","Twittimer")</f>
        <v>Twittimer</v>
      </c>
      <c r="L1926" s="15">
        <v>112675</v>
      </c>
      <c r="M1926" s="15">
        <v>107162</v>
      </c>
      <c r="N1926" s="15">
        <v>7806</v>
      </c>
      <c r="O1926" s="9"/>
      <c r="P1926" s="10">
        <v>42433.031967592593</v>
      </c>
      <c r="Q1926" s="14" t="s">
        <v>69</v>
      </c>
      <c r="R1926" s="14" t="s">
        <v>70</v>
      </c>
      <c r="S1926" s="7" t="s">
        <v>71</v>
      </c>
      <c r="T1926" s="8"/>
      <c r="U1926" s="11" t="str">
        <f>HYPERLINK("https://pbs.twimg.com/profile_images/729065804004769793/St2_Pum9.jpg","View")</f>
        <v>View</v>
      </c>
      <c r="V1926" s="8"/>
      <c r="W1926" s="8"/>
      <c r="X1926" s="8"/>
      <c r="Y1926" s="8"/>
      <c r="Z1926" s="8"/>
    </row>
    <row r="1927" spans="1:26" ht="13.2">
      <c r="A1927" s="13">
        <v>44250.229166666672</v>
      </c>
      <c r="B1927" s="6" t="str">
        <f>HYPERLINK("https://twitter.com/VisiveAI","@VisiveAI")</f>
        <v>@VisiveAI</v>
      </c>
      <c r="C1927" s="14" t="s">
        <v>1586</v>
      </c>
      <c r="D1927" s="14" t="s">
        <v>7794</v>
      </c>
      <c r="E1927" s="6" t="str">
        <f>HYPERLINK("https://twitter.com/VisiveAI/status/1364069976492097537","1364069976492097537")</f>
        <v>1364069976492097537</v>
      </c>
      <c r="F1927" s="8"/>
      <c r="G1927" s="7" t="s">
        <v>7795</v>
      </c>
      <c r="H1927" s="8"/>
      <c r="I1927" s="14">
        <v>5</v>
      </c>
      <c r="J1927" s="14">
        <v>3</v>
      </c>
      <c r="K1927" s="6" t="str">
        <f>HYPERLINK("https://about.twitter.com/products/tweetdeck","TweetDeck")</f>
        <v>TweetDeck</v>
      </c>
      <c r="L1927" s="15">
        <v>1370</v>
      </c>
      <c r="M1927" s="15">
        <v>722</v>
      </c>
      <c r="N1927" s="15">
        <v>19</v>
      </c>
      <c r="O1927" s="9"/>
      <c r="P1927" s="10">
        <v>44020.318541666667</v>
      </c>
      <c r="Q1927" s="14" t="s">
        <v>914</v>
      </c>
      <c r="R1927" s="14" t="s">
        <v>1589</v>
      </c>
      <c r="S1927" s="7" t="s">
        <v>1590</v>
      </c>
      <c r="T1927" s="8"/>
      <c r="U1927" s="11" t="str">
        <f>HYPERLINK("https://pbs.twimg.com/profile_images/1280742386784546816/yppKuStA.jpg","View")</f>
        <v>View</v>
      </c>
      <c r="V1927" s="8"/>
      <c r="W1927" s="8"/>
      <c r="X1927" s="8"/>
      <c r="Y1927" s="8"/>
      <c r="Z1927" s="8"/>
    </row>
    <row r="1928" spans="1:26" ht="13.2">
      <c r="A1928" s="13">
        <v>44250.228541666671</v>
      </c>
      <c r="B1928" s="6" t="str">
        <f>HYPERLINK("https://twitter.com/sajidmirza","@sajidmirza")</f>
        <v>@sajidmirza</v>
      </c>
      <c r="C1928" s="14" t="s">
        <v>200</v>
      </c>
      <c r="D1928" s="14" t="s">
        <v>5542</v>
      </c>
      <c r="E1928" s="6" t="str">
        <f>HYPERLINK("https://twitter.com/sajidmirza/status/1364069752319188995","1364069752319188995")</f>
        <v>1364069752319188995</v>
      </c>
      <c r="F1928" s="14" t="s">
        <v>7402</v>
      </c>
      <c r="G1928" s="8"/>
      <c r="H1928" s="8"/>
      <c r="I1928" s="14">
        <v>3</v>
      </c>
      <c r="J1928" s="14">
        <v>0</v>
      </c>
      <c r="K1928" s="6" t="str">
        <f>HYPERLINK("http://twinybots.com","TwinyBots")</f>
        <v>TwinyBots</v>
      </c>
      <c r="L1928" s="15">
        <v>2160</v>
      </c>
      <c r="M1928" s="15">
        <v>1495</v>
      </c>
      <c r="N1928" s="15">
        <v>43</v>
      </c>
      <c r="O1928" s="9"/>
      <c r="P1928" s="10">
        <v>39986.264884259261</v>
      </c>
      <c r="Q1928" s="14" t="s">
        <v>203</v>
      </c>
      <c r="R1928" s="14" t="s">
        <v>204</v>
      </c>
      <c r="S1928" s="7" t="s">
        <v>205</v>
      </c>
      <c r="T1928" s="8"/>
      <c r="U1928" s="11" t="str">
        <f>HYPERLINK("https://pbs.twimg.com/profile_images/900709336309276672/M5XpdeQJ.jpg","View")</f>
        <v>View</v>
      </c>
      <c r="V1928" s="8"/>
      <c r="W1928" s="8"/>
      <c r="X1928" s="8"/>
      <c r="Y1928" s="8"/>
      <c r="Z1928" s="8"/>
    </row>
    <row r="1929" spans="1:26" ht="13.2">
      <c r="A1929" s="13">
        <v>44250.228252314817</v>
      </c>
      <c r="B1929" s="6" t="str">
        <f>HYPERLINK("https://twitter.com/nareshitech","@nareshitech")</f>
        <v>@nareshitech</v>
      </c>
      <c r="C1929" s="14" t="s">
        <v>7796</v>
      </c>
      <c r="D1929" s="14" t="s">
        <v>7797</v>
      </c>
      <c r="E1929" s="6" t="str">
        <f>HYPERLINK("https://twitter.com/nareshitech/status/1364069647608254466","1364069647608254466")</f>
        <v>1364069647608254466</v>
      </c>
      <c r="F1929" s="7" t="s">
        <v>7798</v>
      </c>
      <c r="G1929" s="8"/>
      <c r="H1929" s="8"/>
      <c r="I1929" s="14">
        <v>8</v>
      </c>
      <c r="J1929" s="14">
        <v>3</v>
      </c>
      <c r="K1929" s="6" t="str">
        <f>HYPERLINK("https://social.zoho.com","Zoho Social")</f>
        <v>Zoho Social</v>
      </c>
      <c r="L1929" s="15">
        <v>2844</v>
      </c>
      <c r="M1929" s="15">
        <v>33</v>
      </c>
      <c r="N1929" s="15">
        <v>39</v>
      </c>
      <c r="O1929" s="9"/>
      <c r="P1929" s="10">
        <v>41359.549421296295</v>
      </c>
      <c r="Q1929" s="14" t="s">
        <v>7799</v>
      </c>
      <c r="R1929" s="14" t="s">
        <v>7800</v>
      </c>
      <c r="S1929" s="7" t="s">
        <v>7801</v>
      </c>
      <c r="T1929" s="8"/>
      <c r="U1929" s="11" t="str">
        <f>HYPERLINK("https://pbs.twimg.com/profile_images/1131103786368299010/77WWG0xk.png","View")</f>
        <v>View</v>
      </c>
      <c r="V1929" s="8"/>
      <c r="W1929" s="8"/>
      <c r="X1929" s="8"/>
      <c r="Y1929" s="8"/>
      <c r="Z1929" s="8"/>
    </row>
    <row r="1930" spans="1:26" ht="13.2">
      <c r="A1930" s="13">
        <v>44250.227974537032</v>
      </c>
      <c r="B1930" s="6" t="str">
        <f>HYPERLINK("https://twitter.com/Ark_Infosoft","@Ark_Infosoft")</f>
        <v>@Ark_Infosoft</v>
      </c>
      <c r="C1930" s="14" t="s">
        <v>7802</v>
      </c>
      <c r="D1930" s="14" t="s">
        <v>7803</v>
      </c>
      <c r="E1930" s="6" t="str">
        <f>HYPERLINK("https://twitter.com/Ark_Infosoft/status/1364069544818397186","1364069544818397186")</f>
        <v>1364069544818397186</v>
      </c>
      <c r="F1930" s="8"/>
      <c r="G1930" s="7" t="s">
        <v>7804</v>
      </c>
      <c r="H1930" s="8"/>
      <c r="I1930" s="14">
        <v>13</v>
      </c>
      <c r="J1930" s="14">
        <v>6</v>
      </c>
      <c r="K1930" s="6" t="str">
        <f t="shared" ref="K1930:K1932" si="358">HYPERLINK("https://mobile.twitter.com","Twitter Web App")</f>
        <v>Twitter Web App</v>
      </c>
      <c r="L1930" s="15">
        <v>58</v>
      </c>
      <c r="M1930" s="15">
        <v>195</v>
      </c>
      <c r="N1930" s="15">
        <v>2</v>
      </c>
      <c r="O1930" s="9"/>
      <c r="P1930" s="10">
        <v>41836.513749999998</v>
      </c>
      <c r="Q1930" s="14" t="s">
        <v>7805</v>
      </c>
      <c r="R1930" s="14" t="s">
        <v>7806</v>
      </c>
      <c r="S1930" s="7" t="s">
        <v>7807</v>
      </c>
      <c r="T1930" s="8"/>
      <c r="U1930" s="11" t="str">
        <f>HYPERLINK("https://pbs.twimg.com/profile_images/1161595570852524032/048N8HMO.jpg","View")</f>
        <v>View</v>
      </c>
      <c r="V1930" s="8"/>
      <c r="W1930" s="8"/>
      <c r="X1930" s="8"/>
      <c r="Y1930" s="8"/>
      <c r="Z1930" s="8"/>
    </row>
    <row r="1931" spans="1:26" ht="13.2">
      <c r="A1931" s="13">
        <v>44250.226168981477</v>
      </c>
      <c r="B1931" s="6" t="str">
        <f>HYPERLINK("https://twitter.com/adnan_hashmi","@adnan_hashmi")</f>
        <v>@adnan_hashmi</v>
      </c>
      <c r="C1931" s="14" t="s">
        <v>6991</v>
      </c>
      <c r="D1931" s="14" t="s">
        <v>7808</v>
      </c>
      <c r="E1931" s="6" t="str">
        <f>HYPERLINK("https://twitter.com/adnan_hashmi/status/1364068891429924864","1364068891429924864")</f>
        <v>1364068891429924864</v>
      </c>
      <c r="F1931" s="7" t="s">
        <v>7809</v>
      </c>
      <c r="G1931" s="7" t="s">
        <v>7810</v>
      </c>
      <c r="H1931" s="8"/>
      <c r="I1931" s="14">
        <v>4</v>
      </c>
      <c r="J1931" s="14">
        <v>2</v>
      </c>
      <c r="K1931" s="6" t="str">
        <f t="shared" si="358"/>
        <v>Twitter Web App</v>
      </c>
      <c r="L1931" s="15">
        <v>2330</v>
      </c>
      <c r="M1931" s="15">
        <v>4579</v>
      </c>
      <c r="N1931" s="15">
        <v>551</v>
      </c>
      <c r="O1931" s="9"/>
      <c r="P1931" s="10">
        <v>39834.348483796297</v>
      </c>
      <c r="Q1931" s="14" t="s">
        <v>2853</v>
      </c>
      <c r="R1931" s="14" t="s">
        <v>6995</v>
      </c>
      <c r="S1931" s="7" t="s">
        <v>6996</v>
      </c>
      <c r="T1931" s="8"/>
      <c r="U1931" s="11" t="str">
        <f>HYPERLINK("https://pbs.twimg.com/profile_images/965682432367300611/j4syUFC2.jpg","View")</f>
        <v>View</v>
      </c>
      <c r="V1931" s="8"/>
      <c r="W1931" s="8"/>
      <c r="X1931" s="8"/>
      <c r="Y1931" s="8"/>
      <c r="Z1931" s="8"/>
    </row>
    <row r="1932" spans="1:26" ht="13.2">
      <c r="A1932" s="13">
        <v>44250.225543981476</v>
      </c>
      <c r="B1932" s="6" t="str">
        <f>HYPERLINK("https://twitter.com/kdmdelhincr","@kdmdelhincr")</f>
        <v>@kdmdelhincr</v>
      </c>
      <c r="C1932" s="14" t="s">
        <v>7811</v>
      </c>
      <c r="D1932" s="14" t="s">
        <v>7812</v>
      </c>
      <c r="E1932" s="6" t="str">
        <f>HYPERLINK("https://twitter.com/kdmdelhincr/status/1364068663771295745","1364068663771295745")</f>
        <v>1364068663771295745</v>
      </c>
      <c r="F1932" s="7" t="s">
        <v>7813</v>
      </c>
      <c r="G1932" s="7" t="s">
        <v>7814</v>
      </c>
      <c r="H1932" s="8"/>
      <c r="I1932" s="14">
        <v>4</v>
      </c>
      <c r="J1932" s="14">
        <v>2</v>
      </c>
      <c r="K1932" s="6" t="str">
        <f t="shared" si="358"/>
        <v>Twitter Web App</v>
      </c>
      <c r="L1932" s="15">
        <v>490</v>
      </c>
      <c r="M1932" s="15">
        <v>4</v>
      </c>
      <c r="N1932" s="15">
        <v>1</v>
      </c>
      <c r="O1932" s="9"/>
      <c r="P1932" s="10">
        <v>43630.410578703704</v>
      </c>
      <c r="Q1932" s="14" t="s">
        <v>7815</v>
      </c>
      <c r="R1932" s="14" t="s">
        <v>7816</v>
      </c>
      <c r="S1932" s="7" t="s">
        <v>7817</v>
      </c>
      <c r="T1932" s="8"/>
      <c r="U1932" s="11" t="str">
        <f>HYPERLINK("https://pbs.twimg.com/profile_images/1298466792495394817/DqlSXiO1.jpg","View")</f>
        <v>View</v>
      </c>
      <c r="V1932" s="8"/>
      <c r="W1932" s="8"/>
      <c r="X1932" s="8"/>
      <c r="Y1932" s="8"/>
      <c r="Z1932" s="8"/>
    </row>
    <row r="1933" spans="1:26" ht="13.2">
      <c r="A1933" s="13">
        <v>44250.225219907406</v>
      </c>
      <c r="B1933" s="6" t="str">
        <f>HYPERLINK("https://twitter.com/WriteX12","@WriteX12")</f>
        <v>@WriteX12</v>
      </c>
      <c r="C1933" s="14" t="s">
        <v>5480</v>
      </c>
      <c r="D1933" s="14" t="s">
        <v>7818</v>
      </c>
      <c r="E1933" s="6" t="str">
        <f>HYPERLINK("https://twitter.com/WriteX12/status/1364068548922933251","1364068548922933251")</f>
        <v>1364068548922933251</v>
      </c>
      <c r="F1933" s="7" t="s">
        <v>7819</v>
      </c>
      <c r="G1933" s="7" t="s">
        <v>7820</v>
      </c>
      <c r="H1933" s="8"/>
      <c r="I1933" s="14">
        <v>21</v>
      </c>
      <c r="J1933" s="14">
        <v>9</v>
      </c>
      <c r="K1933" s="6" t="str">
        <f>HYPERLINK("http://twitter.com/download/android","Twitter for Android")</f>
        <v>Twitter for Android</v>
      </c>
      <c r="L1933" s="15">
        <v>21</v>
      </c>
      <c r="M1933" s="15">
        <v>178</v>
      </c>
      <c r="N1933" s="15">
        <v>0</v>
      </c>
      <c r="O1933" s="9"/>
      <c r="P1933" s="10">
        <v>44118.455312499995</v>
      </c>
      <c r="Q1933" s="8"/>
      <c r="R1933" s="14" t="s">
        <v>5483</v>
      </c>
      <c r="S1933" s="7" t="s">
        <v>5484</v>
      </c>
      <c r="T1933" s="8"/>
      <c r="U1933" s="11" t="str">
        <f>HYPERLINK("https://pbs.twimg.com/profile_images/1316301767731109888/kmWlNQMs.jpg","View")</f>
        <v>View</v>
      </c>
      <c r="V1933" s="8"/>
      <c r="W1933" s="8"/>
      <c r="X1933" s="8"/>
      <c r="Y1933" s="8"/>
      <c r="Z1933" s="8"/>
    </row>
    <row r="1934" spans="1:26" ht="13.2">
      <c r="A1934" s="13">
        <v>44250.225185185191</v>
      </c>
      <c r="B1934" s="6" t="str">
        <f>HYPERLINK("https://twitter.com/Analyticsindiam","@Analyticsindiam")</f>
        <v>@Analyticsindiam</v>
      </c>
      <c r="C1934" s="14" t="s">
        <v>5870</v>
      </c>
      <c r="D1934" s="14" t="s">
        <v>7821</v>
      </c>
      <c r="E1934" s="6" t="str">
        <f>HYPERLINK("https://twitter.com/Analyticsindiam/status/1364068534800711681","1364068534800711681")</f>
        <v>1364068534800711681</v>
      </c>
      <c r="F1934" s="7" t="s">
        <v>7822</v>
      </c>
      <c r="G1934" s="7" t="s">
        <v>7823</v>
      </c>
      <c r="H1934" s="8"/>
      <c r="I1934" s="14">
        <v>0</v>
      </c>
      <c r="J1934" s="14">
        <v>0</v>
      </c>
      <c r="K1934" s="6" t="str">
        <f>HYPERLINK("https://mobile.twitter.com","Twitter Web App")</f>
        <v>Twitter Web App</v>
      </c>
      <c r="L1934" s="15">
        <v>12466</v>
      </c>
      <c r="M1934" s="15">
        <v>353</v>
      </c>
      <c r="N1934" s="15">
        <v>284</v>
      </c>
      <c r="O1934" s="9"/>
      <c r="P1934" s="10">
        <v>41209.688425925924</v>
      </c>
      <c r="Q1934" s="14" t="s">
        <v>1742</v>
      </c>
      <c r="R1934" s="14" t="s">
        <v>5873</v>
      </c>
      <c r="S1934" s="7" t="s">
        <v>5874</v>
      </c>
      <c r="T1934" s="8"/>
      <c r="U1934" s="11" t="str">
        <f>HYPERLINK("https://pbs.twimg.com/profile_images/1346368144391118848/X7OaLwQ5.jpg","View")</f>
        <v>View</v>
      </c>
      <c r="V1934" s="8"/>
      <c r="W1934" s="8"/>
      <c r="X1934" s="8"/>
      <c r="Y1934" s="8"/>
      <c r="Z1934" s="8"/>
    </row>
    <row r="1935" spans="1:26" ht="13.2">
      <c r="A1935" s="13">
        <v>44250.225115740745</v>
      </c>
      <c r="B1935" s="6" t="str">
        <f>HYPERLINK("https://twitter.com/SalomonOli","@SalomonOli")</f>
        <v>@SalomonOli</v>
      </c>
      <c r="C1935" s="14" t="s">
        <v>5731</v>
      </c>
      <c r="D1935" s="14" t="s">
        <v>5542</v>
      </c>
      <c r="E1935" s="6" t="str">
        <f>HYPERLINK("https://twitter.com/SalomonOli/status/1364068508280246272","1364068508280246272")</f>
        <v>1364068508280246272</v>
      </c>
      <c r="F1935" s="14" t="s">
        <v>7402</v>
      </c>
      <c r="G1935" s="8"/>
      <c r="H1935" s="8"/>
      <c r="I1935" s="14">
        <v>1</v>
      </c>
      <c r="J1935" s="14">
        <v>0</v>
      </c>
      <c r="K1935" s="6" t="str">
        <f t="shared" ref="K1935:K1936" si="359">HYPERLINK("http://twinybots.com","TwinyBots")</f>
        <v>TwinyBots</v>
      </c>
      <c r="L1935" s="15">
        <v>3207</v>
      </c>
      <c r="M1935" s="15">
        <v>2673</v>
      </c>
      <c r="N1935" s="15">
        <v>242</v>
      </c>
      <c r="O1935" s="9"/>
      <c r="P1935" s="10">
        <v>42449.350486111114</v>
      </c>
      <c r="Q1935" s="14" t="s">
        <v>5732</v>
      </c>
      <c r="R1935" s="14" t="s">
        <v>5733</v>
      </c>
      <c r="S1935" s="7" t="s">
        <v>5734</v>
      </c>
      <c r="T1935" s="8"/>
      <c r="U1935" s="11" t="str">
        <f>HYPERLINK("https://pbs.twimg.com/profile_images/1245323945924087808/p3xtOUw4.jpg","View")</f>
        <v>View</v>
      </c>
      <c r="V1935" s="8"/>
      <c r="W1935" s="8"/>
      <c r="X1935" s="8"/>
      <c r="Y1935" s="8"/>
      <c r="Z1935" s="8"/>
    </row>
    <row r="1936" spans="1:26" ht="13.2">
      <c r="A1936" s="13">
        <v>44250.225104166668</v>
      </c>
      <c r="B1936" s="6" t="str">
        <f>HYPERLINK("https://twitter.com/Necio_news","@Necio_news")</f>
        <v>@Necio_news</v>
      </c>
      <c r="C1936" s="14" t="s">
        <v>4073</v>
      </c>
      <c r="D1936" s="14" t="s">
        <v>5007</v>
      </c>
      <c r="E1936" s="6" t="str">
        <f>HYPERLINK("https://twitter.com/Necio_news/status/1364068507424538625","1364068507424538625")</f>
        <v>1364068507424538625</v>
      </c>
      <c r="F1936" s="7" t="s">
        <v>5008</v>
      </c>
      <c r="G1936" s="8"/>
      <c r="H1936" s="8"/>
      <c r="I1936" s="14">
        <v>0</v>
      </c>
      <c r="J1936" s="14">
        <v>0</v>
      </c>
      <c r="K1936" s="6" t="str">
        <f t="shared" si="359"/>
        <v>TwinyBots</v>
      </c>
      <c r="L1936" s="15">
        <v>10032</v>
      </c>
      <c r="M1936" s="15">
        <v>3391</v>
      </c>
      <c r="N1936" s="15">
        <v>1115</v>
      </c>
      <c r="O1936" s="9"/>
      <c r="P1936" s="10">
        <v>42430.515879629631</v>
      </c>
      <c r="Q1936" s="14" t="s">
        <v>4074</v>
      </c>
      <c r="R1936" s="14" t="s">
        <v>4075</v>
      </c>
      <c r="S1936" s="7" t="s">
        <v>4076</v>
      </c>
      <c r="T1936" s="8"/>
      <c r="U1936" s="11" t="str">
        <f>HYPERLINK("https://pbs.twimg.com/profile_images/756504133985767425/ulCoCLvF.jpg","View")</f>
        <v>View</v>
      </c>
      <c r="V1936" s="8"/>
      <c r="W1936" s="8"/>
      <c r="X1936" s="8"/>
      <c r="Y1936" s="8"/>
      <c r="Z1936" s="8"/>
    </row>
    <row r="1937" spans="1:26" ht="13.2">
      <c r="A1937" s="13">
        <v>44250.223634259259</v>
      </c>
      <c r="B1937" s="6" t="str">
        <f>HYPERLINK("https://twitter.com/xorlogics","@xorlogics")</f>
        <v>@xorlogics</v>
      </c>
      <c r="C1937" s="14" t="s">
        <v>7824</v>
      </c>
      <c r="D1937" s="14" t="s">
        <v>7825</v>
      </c>
      <c r="E1937" s="6" t="str">
        <f>HYPERLINK("https://twitter.com/xorlogics/status/1364067974278246401","1364067974278246401")</f>
        <v>1364067974278246401</v>
      </c>
      <c r="F1937" s="7" t="s">
        <v>7826</v>
      </c>
      <c r="G1937" s="7" t="s">
        <v>7827</v>
      </c>
      <c r="H1937" s="8"/>
      <c r="I1937" s="14">
        <v>0</v>
      </c>
      <c r="J1937" s="14">
        <v>5</v>
      </c>
      <c r="K1937" s="6" t="str">
        <f>HYPERLINK("https://buffer.com","Buffer")</f>
        <v>Buffer</v>
      </c>
      <c r="L1937" s="15">
        <v>4456</v>
      </c>
      <c r="M1937" s="15">
        <v>3725</v>
      </c>
      <c r="N1937" s="15">
        <v>670</v>
      </c>
      <c r="O1937" s="9"/>
      <c r="P1937" s="10">
        <v>40758.758703703701</v>
      </c>
      <c r="Q1937" s="14" t="s">
        <v>7828</v>
      </c>
      <c r="R1937" s="14" t="s">
        <v>7829</v>
      </c>
      <c r="S1937" s="7" t="s">
        <v>7830</v>
      </c>
      <c r="T1937" s="8"/>
      <c r="U1937" s="11" t="str">
        <f>HYPERLINK("https://pbs.twimg.com/profile_images/699882412247879681/g2iWi4bD.jpg","View")</f>
        <v>View</v>
      </c>
      <c r="V1937" s="8"/>
      <c r="W1937" s="8"/>
      <c r="X1937" s="8"/>
      <c r="Y1937" s="8"/>
      <c r="Z1937" s="8"/>
    </row>
    <row r="1938" spans="1:26" ht="13.2">
      <c r="A1938" s="13">
        <v>44250.223599537036</v>
      </c>
      <c r="B1938" s="6" t="str">
        <f>HYPERLINK("https://twitter.com/Vikezmedia","@Vikezmedia")</f>
        <v>@Vikezmedia</v>
      </c>
      <c r="C1938" s="14" t="s">
        <v>1625</v>
      </c>
      <c r="D1938" s="14" t="s">
        <v>7831</v>
      </c>
      <c r="E1938" s="6" t="str">
        <f>HYPERLINK("https://twitter.com/Vikezmedia/status/1364067958050287617","1364067958050287617")</f>
        <v>1364067958050287617</v>
      </c>
      <c r="F1938" s="8"/>
      <c r="G1938" s="7" t="s">
        <v>7832</v>
      </c>
      <c r="H1938" s="8"/>
      <c r="I1938" s="14">
        <v>8</v>
      </c>
      <c r="J1938" s="14">
        <v>10</v>
      </c>
      <c r="K1938" s="6" t="str">
        <f>HYPERLINK("http://twitter.com/download/iphone","Twitter for iPhone")</f>
        <v>Twitter for iPhone</v>
      </c>
      <c r="L1938" s="15">
        <v>5492</v>
      </c>
      <c r="M1938" s="15">
        <v>6041</v>
      </c>
      <c r="N1938" s="15">
        <v>1526</v>
      </c>
      <c r="O1938" s="9"/>
      <c r="P1938" s="10">
        <v>42258.697187500002</v>
      </c>
      <c r="Q1938" s="14" t="s">
        <v>1629</v>
      </c>
      <c r="R1938" s="14" t="s">
        <v>1630</v>
      </c>
      <c r="S1938" s="7" t="s">
        <v>1631</v>
      </c>
      <c r="T1938" s="8"/>
      <c r="U1938" s="11" t="str">
        <f>HYPERLINK("https://pbs.twimg.com/profile_images/642348669564416000/hqC3m0nb.png","View")</f>
        <v>View</v>
      </c>
      <c r="V1938" s="8"/>
      <c r="W1938" s="8"/>
      <c r="X1938" s="8"/>
      <c r="Y1938" s="8"/>
      <c r="Z1938" s="8"/>
    </row>
    <row r="1939" spans="1:26" ht="13.2">
      <c r="A1939" s="13">
        <v>44250.223368055551</v>
      </c>
      <c r="B1939" s="6" t="str">
        <f>HYPERLINK("https://twitter.com/pranjalsharma","@pranjalsharma")</f>
        <v>@pranjalsharma</v>
      </c>
      <c r="C1939" s="14" t="s">
        <v>7833</v>
      </c>
      <c r="D1939" s="14" t="s">
        <v>7834</v>
      </c>
      <c r="E1939" s="6" t="str">
        <f>HYPERLINK("https://twitter.com/pranjalsharma/status/1364067877121191940","1364067877121191940")</f>
        <v>1364067877121191940</v>
      </c>
      <c r="F1939" s="14" t="s">
        <v>7835</v>
      </c>
      <c r="G1939" s="8"/>
      <c r="H1939" s="8"/>
      <c r="I1939" s="14">
        <v>7</v>
      </c>
      <c r="J1939" s="14">
        <v>15</v>
      </c>
      <c r="K1939" s="6" t="str">
        <f t="shared" ref="K1939:K1940" si="360">HYPERLINK("http://twitter.com/download/android","Twitter for Android")</f>
        <v>Twitter for Android</v>
      </c>
      <c r="L1939" s="15">
        <v>4524</v>
      </c>
      <c r="M1939" s="15">
        <v>1529</v>
      </c>
      <c r="N1939" s="15">
        <v>156</v>
      </c>
      <c r="O1939" s="15" t="s">
        <v>130</v>
      </c>
      <c r="P1939" s="10">
        <v>39952.638402777782</v>
      </c>
      <c r="Q1939" s="14" t="s">
        <v>3787</v>
      </c>
      <c r="R1939" s="14" t="s">
        <v>7836</v>
      </c>
      <c r="S1939" s="7" t="s">
        <v>7837</v>
      </c>
      <c r="T1939" s="8"/>
      <c r="U1939" s="11" t="str">
        <f>HYPERLINK("https://pbs.twimg.com/profile_images/654323753929740288/ads34h7Y.jpg","View")</f>
        <v>View</v>
      </c>
      <c r="V1939" s="8"/>
      <c r="W1939" s="8"/>
      <c r="X1939" s="8"/>
      <c r="Y1939" s="8"/>
      <c r="Z1939" s="8"/>
    </row>
    <row r="1940" spans="1:26" ht="13.2">
      <c r="A1940" s="13">
        <v>44250.222858796296</v>
      </c>
      <c r="B1940" s="6" t="str">
        <f>HYPERLINK("https://twitter.com/KausarNajeeb1","@KausarNajeeb1")</f>
        <v>@KausarNajeeb1</v>
      </c>
      <c r="C1940" s="14" t="s">
        <v>7838</v>
      </c>
      <c r="D1940" s="14" t="s">
        <v>7839</v>
      </c>
      <c r="E1940" s="6" t="str">
        <f>HYPERLINK("https://twitter.com/KausarNajeeb1/status/1364067691279962114","1364067691279962114")</f>
        <v>1364067691279962114</v>
      </c>
      <c r="F1940" s="8"/>
      <c r="G1940" s="8"/>
      <c r="H1940" s="8"/>
      <c r="I1940" s="14">
        <v>3</v>
      </c>
      <c r="J1940" s="14">
        <v>2</v>
      </c>
      <c r="K1940" s="6" t="str">
        <f t="shared" si="360"/>
        <v>Twitter for Android</v>
      </c>
      <c r="L1940" s="15">
        <v>419</v>
      </c>
      <c r="M1940" s="15">
        <v>395</v>
      </c>
      <c r="N1940" s="15">
        <v>0</v>
      </c>
      <c r="O1940" s="9"/>
      <c r="P1940" s="10">
        <v>44215.476215277777</v>
      </c>
      <c r="Q1940" s="8"/>
      <c r="R1940" s="14" t="s">
        <v>7840</v>
      </c>
      <c r="S1940" s="8"/>
      <c r="T1940" s="8"/>
      <c r="U1940" s="11" t="str">
        <f>HYPERLINK("https://pbs.twimg.com/profile_images/1351480640210812931/zCM4-82r.jpg","View")</f>
        <v>View</v>
      </c>
      <c r="V1940" s="8"/>
      <c r="W1940" s="8"/>
      <c r="X1940" s="8"/>
      <c r="Y1940" s="8"/>
      <c r="Z1940" s="8"/>
    </row>
    <row r="1941" spans="1:26" ht="13.2">
      <c r="A1941" s="13">
        <v>44250.222210648149</v>
      </c>
      <c r="B1941" s="6" t="str">
        <f>HYPERLINK("https://twitter.com/AremDzemal","@AremDzemal")</f>
        <v>@AremDzemal</v>
      </c>
      <c r="C1941" s="14" t="s">
        <v>5770</v>
      </c>
      <c r="D1941" s="14" t="s">
        <v>7841</v>
      </c>
      <c r="E1941" s="6" t="str">
        <f>HYPERLINK("https://twitter.com/AremDzemal/status/1364067455841296384","1364067455841296384")</f>
        <v>1364067455841296384</v>
      </c>
      <c r="F1941" s="7" t="s">
        <v>7842</v>
      </c>
      <c r="G1941" s="7" t="s">
        <v>7843</v>
      </c>
      <c r="H1941" s="8"/>
      <c r="I1941" s="14">
        <v>2</v>
      </c>
      <c r="J1941" s="14">
        <v>0</v>
      </c>
      <c r="K1941" s="6" t="str">
        <f>HYPERLINK("https://mobile.twitter.com","Twitter Web App")</f>
        <v>Twitter Web App</v>
      </c>
      <c r="L1941" s="15">
        <v>1592</v>
      </c>
      <c r="M1941" s="15">
        <v>1775</v>
      </c>
      <c r="N1941" s="15">
        <v>16</v>
      </c>
      <c r="O1941" s="9"/>
      <c r="P1941" s="10">
        <v>43513.969027777777</v>
      </c>
      <c r="Q1941" s="14" t="s">
        <v>3596</v>
      </c>
      <c r="R1941" s="14" t="s">
        <v>5774</v>
      </c>
      <c r="S1941" s="8"/>
      <c r="T1941" s="8"/>
      <c r="U1941" s="11" t="str">
        <f>HYPERLINK("https://pbs.twimg.com/profile_images/1097261547213213701/8Pl01wLU.jpg","View")</f>
        <v>View</v>
      </c>
      <c r="V1941" s="8"/>
      <c r="W1941" s="8"/>
      <c r="X1941" s="8"/>
      <c r="Y1941" s="8"/>
      <c r="Z1941" s="8"/>
    </row>
    <row r="1942" spans="1:26" ht="13.2">
      <c r="A1942" s="13">
        <v>44250.221701388888</v>
      </c>
      <c r="B1942" s="6" t="str">
        <f>HYPERLINK("https://twitter.com/ds_vault","@ds_vault")</f>
        <v>@ds_vault</v>
      </c>
      <c r="C1942" s="14" t="s">
        <v>6603</v>
      </c>
      <c r="D1942" s="14" t="s">
        <v>7844</v>
      </c>
      <c r="E1942" s="6" t="str">
        <f>HYPERLINK("https://twitter.com/ds_vault/status/1364067272021708800","1364067272021708800")</f>
        <v>1364067272021708800</v>
      </c>
      <c r="F1942" s="7" t="s">
        <v>7845</v>
      </c>
      <c r="G1942" s="8"/>
      <c r="H1942" s="8"/>
      <c r="I1942" s="14">
        <v>2</v>
      </c>
      <c r="J1942" s="14">
        <v>0</v>
      </c>
      <c r="K1942" s="6" t="str">
        <f>HYPERLINK("https://datasciencevault.com/","Data Science Vault")</f>
        <v>Data Science Vault</v>
      </c>
      <c r="L1942" s="15">
        <v>266</v>
      </c>
      <c r="M1942" s="15">
        <v>2</v>
      </c>
      <c r="N1942" s="15">
        <v>5</v>
      </c>
      <c r="O1942" s="9"/>
      <c r="P1942" s="10">
        <v>43286.570069444446</v>
      </c>
      <c r="Q1942" s="8"/>
      <c r="R1942" s="14" t="s">
        <v>6605</v>
      </c>
      <c r="S1942" s="7" t="s">
        <v>6606</v>
      </c>
      <c r="T1942" s="8"/>
      <c r="U1942" s="11" t="str">
        <f>HYPERLINK("https://pbs.twimg.com/profile_images/1017392978338467842/sXrppUVY.jpg","View")</f>
        <v>View</v>
      </c>
      <c r="V1942" s="8"/>
      <c r="W1942" s="8"/>
      <c r="X1942" s="8"/>
      <c r="Y1942" s="8"/>
      <c r="Z1942" s="8"/>
    </row>
    <row r="1943" spans="1:26" ht="13.2">
      <c r="A1943" s="13">
        <v>44250.220023148147</v>
      </c>
      <c r="B1943" s="6" t="str">
        <f>HYPERLINK("https://twitter.com/SantosFefe4","@SantosFefe4")</f>
        <v>@SantosFefe4</v>
      </c>
      <c r="C1943" s="14" t="s">
        <v>7846</v>
      </c>
      <c r="D1943" s="14" t="s">
        <v>7847</v>
      </c>
      <c r="E1943" s="6" t="str">
        <f>HYPERLINK("https://twitter.com/SantosFefe4/status/1364066664208334848","1364066664208334848")</f>
        <v>1364066664208334848</v>
      </c>
      <c r="F1943" s="7" t="s">
        <v>7848</v>
      </c>
      <c r="G1943" s="8"/>
      <c r="H1943" s="8"/>
      <c r="I1943" s="14">
        <v>15</v>
      </c>
      <c r="J1943" s="14">
        <v>9</v>
      </c>
      <c r="K1943" s="6" t="str">
        <f>HYPERLINK("https://mobile.twitter.com","Twitter Web App")</f>
        <v>Twitter Web App</v>
      </c>
      <c r="L1943" s="15">
        <v>37</v>
      </c>
      <c r="M1943" s="15">
        <v>259</v>
      </c>
      <c r="N1943" s="15">
        <v>0</v>
      </c>
      <c r="O1943" s="9"/>
      <c r="P1943" s="10">
        <v>43448.797615740739</v>
      </c>
      <c r="Q1943" s="14" t="s">
        <v>7849</v>
      </c>
      <c r="R1943" s="14" t="s">
        <v>7850</v>
      </c>
      <c r="S1943" s="7" t="s">
        <v>7851</v>
      </c>
      <c r="T1943" s="8"/>
      <c r="U1943" s="11" t="str">
        <f>HYPERLINK("https://pbs.twimg.com/profile_images/1168234912366956544/MFY_lzbX.jpg","View")</f>
        <v>View</v>
      </c>
      <c r="V1943" s="8"/>
      <c r="W1943" s="8"/>
      <c r="X1943" s="8"/>
      <c r="Y1943" s="8"/>
      <c r="Z1943" s="8"/>
    </row>
    <row r="1944" spans="1:26" ht="13.2">
      <c r="A1944" s="13">
        <v>44250.219548611116</v>
      </c>
      <c r="B1944" s="6" t="str">
        <f>HYPERLINK("https://twitter.com/DecisionsSmart","@DecisionsSmart")</f>
        <v>@DecisionsSmart</v>
      </c>
      <c r="C1944" s="14" t="s">
        <v>212</v>
      </c>
      <c r="D1944" s="14" t="s">
        <v>2495</v>
      </c>
      <c r="E1944" s="6" t="str">
        <f>HYPERLINK("https://twitter.com/DecisionsSmart/status/1364066492980068352","1364066492980068352")</f>
        <v>1364066492980068352</v>
      </c>
      <c r="F1944" s="14" t="s">
        <v>2496</v>
      </c>
      <c r="G1944" s="8"/>
      <c r="H1944" s="8"/>
      <c r="I1944" s="14">
        <v>4</v>
      </c>
      <c r="J1944" s="14">
        <v>3</v>
      </c>
      <c r="K1944" s="6" t="str">
        <f>HYPERLINK("http://twinybots.com","TwinyBots")</f>
        <v>TwinyBots</v>
      </c>
      <c r="L1944" s="15">
        <v>6690</v>
      </c>
      <c r="M1944" s="15">
        <v>5126</v>
      </c>
      <c r="N1944" s="15">
        <v>88</v>
      </c>
      <c r="O1944" s="9"/>
      <c r="P1944" s="10">
        <v>43282.143495370372</v>
      </c>
      <c r="Q1944" s="14" t="s">
        <v>215</v>
      </c>
      <c r="R1944" s="14" t="s">
        <v>216</v>
      </c>
      <c r="S1944" s="8"/>
      <c r="T1944" s="8"/>
      <c r="U1944" s="11" t="str">
        <f>HYPERLINK("https://pbs.twimg.com/profile_images/1273753380373004289/crFq1msz.jpg","View")</f>
        <v>View</v>
      </c>
      <c r="V1944" s="8"/>
      <c r="W1944" s="8"/>
      <c r="X1944" s="8"/>
      <c r="Y1944" s="8"/>
      <c r="Z1944" s="8"/>
    </row>
    <row r="1945" spans="1:26" ht="13.2">
      <c r="A1945" s="13">
        <v>44250.219525462962</v>
      </c>
      <c r="B1945" s="6" t="str">
        <f>HYPERLINK("https://twitter.com/ActivistManjeet","@ActivistManjeet")</f>
        <v>@ActivistManjeet</v>
      </c>
      <c r="C1945" s="14" t="s">
        <v>7852</v>
      </c>
      <c r="D1945" s="14" t="s">
        <v>7853</v>
      </c>
      <c r="E1945" s="6" t="str">
        <f>HYPERLINK("https://twitter.com/ActivistManjeet/status/1364066481860870146","1364066481860870146")</f>
        <v>1364066481860870146</v>
      </c>
      <c r="F1945" s="7" t="s">
        <v>7854</v>
      </c>
      <c r="G1945" s="8"/>
      <c r="H1945" s="8"/>
      <c r="I1945" s="14">
        <v>0</v>
      </c>
      <c r="J1945" s="14">
        <v>1</v>
      </c>
      <c r="K1945" s="6" t="str">
        <f>HYPERLINK("https://mobile.twitter.com","Twitter Web App")</f>
        <v>Twitter Web App</v>
      </c>
      <c r="L1945" s="15">
        <v>19</v>
      </c>
      <c r="M1945" s="15">
        <v>13</v>
      </c>
      <c r="N1945" s="15">
        <v>0</v>
      </c>
      <c r="O1945" s="9"/>
      <c r="P1945" s="10">
        <v>43383.49596064815</v>
      </c>
      <c r="Q1945" s="14" t="s">
        <v>2969</v>
      </c>
      <c r="R1945" s="14" t="s">
        <v>7855</v>
      </c>
      <c r="S1945" s="8"/>
      <c r="T1945" s="8"/>
      <c r="U1945" s="11" t="str">
        <f>HYPERLINK("https://pbs.twimg.com/profile_images/1050320156478464000/N2XcMO4O.jpg","View")</f>
        <v>View</v>
      </c>
      <c r="V1945" s="8"/>
      <c r="W1945" s="8"/>
      <c r="X1945" s="8"/>
      <c r="Y1945" s="8"/>
      <c r="Z1945" s="8"/>
    </row>
    <row r="1946" spans="1:26" ht="13.2">
      <c r="A1946" s="13">
        <v>44250.219513888893</v>
      </c>
      <c r="B1946" s="6" t="str">
        <f>HYPERLINK("https://twitter.com/a_colab","@a_colab")</f>
        <v>@a_colab</v>
      </c>
      <c r="C1946" s="14" t="s">
        <v>7856</v>
      </c>
      <c r="D1946" s="14" t="s">
        <v>7857</v>
      </c>
      <c r="E1946" s="6" t="str">
        <f>HYPERLINK("https://twitter.com/a_colab/status/1364066478069178368","1364066478069178368")</f>
        <v>1364066478069178368</v>
      </c>
      <c r="F1946" s="7" t="s">
        <v>7858</v>
      </c>
      <c r="G1946" s="7" t="s">
        <v>7859</v>
      </c>
      <c r="H1946" s="8"/>
      <c r="I1946" s="14">
        <v>1</v>
      </c>
      <c r="J1946" s="14">
        <v>1</v>
      </c>
      <c r="K1946" s="6" t="str">
        <f>HYPERLINK("http://twitter.com/download/android","Twitter for Android")</f>
        <v>Twitter for Android</v>
      </c>
      <c r="L1946" s="15">
        <v>17</v>
      </c>
      <c r="M1946" s="15">
        <v>14</v>
      </c>
      <c r="N1946" s="15">
        <v>1</v>
      </c>
      <c r="O1946" s="9"/>
      <c r="P1946" s="10">
        <v>43975.615694444445</v>
      </c>
      <c r="Q1946" s="14" t="s">
        <v>3176</v>
      </c>
      <c r="R1946" s="14" t="s">
        <v>7860</v>
      </c>
      <c r="S1946" s="7" t="s">
        <v>7861</v>
      </c>
      <c r="T1946" s="8"/>
      <c r="U1946" s="11" t="str">
        <f>HYPERLINK("https://pbs.twimg.com/profile_images/1264538427615256577/MBmMWFGT.jpg","View")</f>
        <v>View</v>
      </c>
      <c r="V1946" s="8"/>
      <c r="W1946" s="8"/>
      <c r="X1946" s="8"/>
      <c r="Y1946" s="8"/>
      <c r="Z1946" s="8"/>
    </row>
    <row r="1947" spans="1:26" ht="13.2">
      <c r="A1947" s="13">
        <v>44250.2190625</v>
      </c>
      <c r="B1947" s="6" t="str">
        <f>HYPERLINK("https://twitter.com/gp_pulipaka","@gp_pulipaka")</f>
        <v>@gp_pulipaka</v>
      </c>
      <c r="C1947" s="14" t="s">
        <v>2230</v>
      </c>
      <c r="D1947" s="14" t="s">
        <v>7862</v>
      </c>
      <c r="E1947" s="6" t="str">
        <f>HYPERLINK("https://twitter.com/gp_pulipaka/status/1364066316135649280","1364066316135649280")</f>
        <v>1364066316135649280</v>
      </c>
      <c r="F1947" s="7" t="s">
        <v>7863</v>
      </c>
      <c r="G1947" s="7" t="s">
        <v>7864</v>
      </c>
      <c r="H1947" s="8"/>
      <c r="I1947" s="14">
        <v>64</v>
      </c>
      <c r="J1947" s="14">
        <v>42</v>
      </c>
      <c r="K1947" s="6" t="str">
        <f>HYPERLINK("https://buffer.com","Buffer")</f>
        <v>Buffer</v>
      </c>
      <c r="L1947" s="15">
        <v>109083</v>
      </c>
      <c r="M1947" s="15">
        <v>22723</v>
      </c>
      <c r="N1947" s="15">
        <v>3558</v>
      </c>
      <c r="O1947" s="9"/>
      <c r="P1947" s="10">
        <v>42325.138298611113</v>
      </c>
      <c r="Q1947" s="14" t="s">
        <v>2234</v>
      </c>
      <c r="R1947" s="14" t="s">
        <v>2235</v>
      </c>
      <c r="S1947" s="7" t="s">
        <v>2236</v>
      </c>
      <c r="T1947" s="8"/>
      <c r="U1947" s="11" t="str">
        <f>HYPERLINK("https://pbs.twimg.com/profile_images/1354974939887988736/P9wzBxgk.jpg","View")</f>
        <v>View</v>
      </c>
      <c r="V1947" s="8"/>
      <c r="W1947" s="8"/>
      <c r="X1947" s="8"/>
      <c r="Y1947" s="8"/>
      <c r="Z1947" s="8"/>
    </row>
    <row r="1948" spans="1:26" ht="13.2">
      <c r="A1948" s="13">
        <v>44250.21675925926</v>
      </c>
      <c r="B1948" s="6" t="str">
        <f>HYPERLINK("https://twitter.com/RevInfotech","@RevInfotech")</f>
        <v>@RevInfotech</v>
      </c>
      <c r="C1948" s="14" t="s">
        <v>7865</v>
      </c>
      <c r="D1948" s="14" t="s">
        <v>7866</v>
      </c>
      <c r="E1948" s="6" t="str">
        <f>HYPERLINK("https://twitter.com/RevInfotech/status/1364065482391785472","1364065482391785472")</f>
        <v>1364065482391785472</v>
      </c>
      <c r="F1948" s="7" t="s">
        <v>7867</v>
      </c>
      <c r="G1948" s="7" t="s">
        <v>7868</v>
      </c>
      <c r="H1948" s="8"/>
      <c r="I1948" s="14">
        <v>6</v>
      </c>
      <c r="J1948" s="14">
        <v>2</v>
      </c>
      <c r="K1948" s="6" t="str">
        <f>HYPERLINK("https://about.twitter.com/products/tweetdeck","TweetDeck")</f>
        <v>TweetDeck</v>
      </c>
      <c r="L1948" s="15">
        <v>208</v>
      </c>
      <c r="M1948" s="15">
        <v>9</v>
      </c>
      <c r="N1948" s="15">
        <v>17</v>
      </c>
      <c r="O1948" s="9"/>
      <c r="P1948" s="10">
        <v>39877.360185185185</v>
      </c>
      <c r="Q1948" s="14" t="s">
        <v>322</v>
      </c>
      <c r="R1948" s="14" t="s">
        <v>7869</v>
      </c>
      <c r="S1948" s="7" t="s">
        <v>7870</v>
      </c>
      <c r="T1948" s="8"/>
      <c r="U1948" s="11" t="str">
        <f>HYPERLINK("https://pbs.twimg.com/profile_images/1257065480025772033/pqw7Czm2.jpg","View")</f>
        <v>View</v>
      </c>
      <c r="V1948" s="8"/>
      <c r="W1948" s="8"/>
      <c r="X1948" s="8"/>
      <c r="Y1948" s="8"/>
      <c r="Z1948" s="8"/>
    </row>
    <row r="1949" spans="1:26" ht="13.2">
      <c r="A1949" s="13">
        <v>44250.216412037036</v>
      </c>
      <c r="B1949" s="6" t="str">
        <f>HYPERLINK("https://twitter.com/jamyjake1","@jamyjake1")</f>
        <v>@jamyjake1</v>
      </c>
      <c r="C1949" s="14" t="s">
        <v>7871</v>
      </c>
      <c r="D1949" s="14" t="s">
        <v>7872</v>
      </c>
      <c r="E1949" s="6" t="str">
        <f>HYPERLINK("https://twitter.com/jamyjake1/status/1364065354423685121","1364065354423685121")</f>
        <v>1364065354423685121</v>
      </c>
      <c r="F1949" s="7" t="s">
        <v>7873</v>
      </c>
      <c r="G1949" s="8"/>
      <c r="H1949" s="8"/>
      <c r="I1949" s="14">
        <v>14</v>
      </c>
      <c r="J1949" s="14">
        <v>3</v>
      </c>
      <c r="K1949" s="6" t="str">
        <f>HYPERLINK("https://mobile.twitter.com","Twitter Web App")</f>
        <v>Twitter Web App</v>
      </c>
      <c r="L1949" s="15">
        <v>3</v>
      </c>
      <c r="M1949" s="15">
        <v>10</v>
      </c>
      <c r="N1949" s="15">
        <v>0</v>
      </c>
      <c r="O1949" s="9"/>
      <c r="P1949" s="10">
        <v>44116.190949074073</v>
      </c>
      <c r="Q1949" s="8"/>
      <c r="R1949" s="14" t="s">
        <v>7874</v>
      </c>
      <c r="S1949" s="8"/>
      <c r="T1949" s="8"/>
      <c r="U1949" s="11" t="str">
        <f>HYPERLINK("https://pbs.twimg.com/profile_images/1315481153487372290/0QcJY32l.png","View")</f>
        <v>View</v>
      </c>
      <c r="V1949" s="8"/>
      <c r="W1949" s="8"/>
      <c r="X1949" s="8"/>
      <c r="Y1949" s="8"/>
      <c r="Z1949" s="8"/>
    </row>
    <row r="1950" spans="1:26" ht="13.2">
      <c r="A1950" s="13">
        <v>44250.216226851851</v>
      </c>
      <c r="B1950" s="6" t="str">
        <f>HYPERLINK("https://twitter.com/nordicinst","@nordicinst")</f>
        <v>@nordicinst</v>
      </c>
      <c r="C1950" s="14" t="s">
        <v>1812</v>
      </c>
      <c r="D1950" s="14" t="s">
        <v>7875</v>
      </c>
      <c r="E1950" s="6" t="str">
        <f>HYPERLINK("https://twitter.com/nordicinst/status/1364065287868469249","1364065287868469249")</f>
        <v>1364065287868469249</v>
      </c>
      <c r="F1950" s="7" t="s">
        <v>7876</v>
      </c>
      <c r="G1950" s="8"/>
      <c r="H1950" s="8"/>
      <c r="I1950" s="14">
        <v>2</v>
      </c>
      <c r="J1950" s="14">
        <v>3</v>
      </c>
      <c r="K1950" s="6" t="str">
        <f>HYPERLINK("https://ifttt.com","IFTTT")</f>
        <v>IFTTT</v>
      </c>
      <c r="L1950" s="15">
        <v>18247</v>
      </c>
      <c r="M1950" s="15">
        <v>17</v>
      </c>
      <c r="N1950" s="15">
        <v>306</v>
      </c>
      <c r="O1950" s="9"/>
      <c r="P1950" s="10">
        <v>42796.734710648147</v>
      </c>
      <c r="Q1950" s="14" t="s">
        <v>1815</v>
      </c>
      <c r="R1950" s="14" t="s">
        <v>1816</v>
      </c>
      <c r="S1950" s="7" t="s">
        <v>1817</v>
      </c>
      <c r="T1950" s="8"/>
      <c r="U1950" s="11" t="str">
        <f>HYPERLINK("https://pbs.twimg.com/profile_images/894659016705556480/_CJhwfbx.jpg","View")</f>
        <v>View</v>
      </c>
      <c r="V1950" s="8"/>
      <c r="W1950" s="8"/>
      <c r="X1950" s="8"/>
      <c r="Y1950" s="8"/>
      <c r="Z1950" s="8"/>
    </row>
    <row r="1951" spans="1:26" ht="13.2">
      <c r="A1951" s="13">
        <v>44250.215937500005</v>
      </c>
      <c r="B1951" s="6" t="str">
        <f>HYPERLINK("https://twitter.com/SantosFefe4","@SantosFefe4")</f>
        <v>@SantosFefe4</v>
      </c>
      <c r="C1951" s="14" t="s">
        <v>7846</v>
      </c>
      <c r="D1951" s="14" t="s">
        <v>7877</v>
      </c>
      <c r="E1951" s="6" t="str">
        <f>HYPERLINK("https://twitter.com/SantosFefe4/status/1364065185074454529","1364065185074454529")</f>
        <v>1364065185074454529</v>
      </c>
      <c r="F1951" s="7" t="s">
        <v>7848</v>
      </c>
      <c r="G1951" s="8"/>
      <c r="H1951" s="8"/>
      <c r="I1951" s="14">
        <v>12</v>
      </c>
      <c r="J1951" s="14">
        <v>2</v>
      </c>
      <c r="K1951" s="6" t="str">
        <f>HYPERLINK("https://mobile.twitter.com","Twitter Web App")</f>
        <v>Twitter Web App</v>
      </c>
      <c r="L1951" s="15">
        <v>37</v>
      </c>
      <c r="M1951" s="15">
        <v>259</v>
      </c>
      <c r="N1951" s="15">
        <v>0</v>
      </c>
      <c r="O1951" s="9"/>
      <c r="P1951" s="10">
        <v>43448.797615740739</v>
      </c>
      <c r="Q1951" s="14" t="s">
        <v>7849</v>
      </c>
      <c r="R1951" s="14" t="s">
        <v>7850</v>
      </c>
      <c r="S1951" s="7" t="s">
        <v>7851</v>
      </c>
      <c r="T1951" s="8"/>
      <c r="U1951" s="11" t="str">
        <f>HYPERLINK("https://pbs.twimg.com/profile_images/1168234912366956544/MFY_lzbX.jpg","View")</f>
        <v>View</v>
      </c>
      <c r="V1951" s="8"/>
      <c r="W1951" s="8"/>
      <c r="X1951" s="8"/>
      <c r="Y1951" s="8"/>
      <c r="Z1951" s="8"/>
    </row>
    <row r="1952" spans="1:26" ht="13.2">
      <c r="A1952" s="13">
        <v>44250.215266203704</v>
      </c>
      <c r="B1952" s="6" t="str">
        <f>HYPERLINK("https://twitter.com/AdhavadeAshish","@AdhavadeAshish")</f>
        <v>@AdhavadeAshish</v>
      </c>
      <c r="C1952" s="14" t="s">
        <v>7878</v>
      </c>
      <c r="D1952" s="14" t="s">
        <v>7697</v>
      </c>
      <c r="E1952" s="6" t="str">
        <f>HYPERLINK("https://twitter.com/AdhavadeAshish/status/1364064941699858432","1364064941699858432")</f>
        <v>1364064941699858432</v>
      </c>
      <c r="F1952" s="7" t="s">
        <v>2068</v>
      </c>
      <c r="G1952" s="7" t="s">
        <v>7879</v>
      </c>
      <c r="H1952" s="8"/>
      <c r="I1952" s="14">
        <v>0</v>
      </c>
      <c r="J1952" s="14">
        <v>0</v>
      </c>
      <c r="K1952" s="6" t="str">
        <f>HYPERLINK("http://twitter.com/download/android","Twitter for Android")</f>
        <v>Twitter for Android</v>
      </c>
      <c r="L1952" s="15">
        <v>10</v>
      </c>
      <c r="M1952" s="15">
        <v>34</v>
      </c>
      <c r="N1952" s="15">
        <v>0</v>
      </c>
      <c r="O1952" s="9"/>
      <c r="P1952" s="10">
        <v>44230.202870370369</v>
      </c>
      <c r="Q1952" s="14" t="s">
        <v>1854</v>
      </c>
      <c r="R1952" s="14" t="s">
        <v>7880</v>
      </c>
      <c r="S1952" s="8"/>
      <c r="T1952" s="8"/>
      <c r="U1952" s="11" t="str">
        <f>HYPERLINK("https://pbs.twimg.com/profile_images/1356812780989526016/bsz5HRtp.jpg","View")</f>
        <v>View</v>
      </c>
      <c r="V1952" s="8"/>
      <c r="W1952" s="8"/>
      <c r="X1952" s="8"/>
      <c r="Y1952" s="8"/>
      <c r="Z1952" s="8"/>
    </row>
    <row r="1953" spans="1:26" ht="13.2">
      <c r="A1953" s="13">
        <v>44250.214143518519</v>
      </c>
      <c r="B1953" s="6" t="str">
        <f>HYPERLINK("https://twitter.com/designnation20","@designnation20")</f>
        <v>@designnation20</v>
      </c>
      <c r="C1953" s="14" t="s">
        <v>4887</v>
      </c>
      <c r="D1953" s="14" t="s">
        <v>7881</v>
      </c>
      <c r="E1953" s="6" t="str">
        <f>HYPERLINK("https://twitter.com/designnation20/status/1364064535351590916","1364064535351590916")</f>
        <v>1364064535351590916</v>
      </c>
      <c r="F1953" s="7" t="s">
        <v>7882</v>
      </c>
      <c r="G1953" s="8"/>
      <c r="H1953" s="8"/>
      <c r="I1953" s="14">
        <v>12</v>
      </c>
      <c r="J1953" s="14">
        <v>8</v>
      </c>
      <c r="K1953" s="6" t="str">
        <f>HYPERLINK("https://www.hootsuite.com","Hootsuite Inc.")</f>
        <v>Hootsuite Inc.</v>
      </c>
      <c r="L1953" s="15">
        <v>94</v>
      </c>
      <c r="M1953" s="15">
        <v>161</v>
      </c>
      <c r="N1953" s="15">
        <v>0</v>
      </c>
      <c r="O1953" s="9"/>
      <c r="P1953" s="10">
        <v>43936.451412037037</v>
      </c>
      <c r="Q1953" s="14" t="s">
        <v>4890</v>
      </c>
      <c r="R1953" s="14" t="s">
        <v>4891</v>
      </c>
      <c r="S1953" s="7" t="s">
        <v>4892</v>
      </c>
      <c r="T1953" s="8"/>
      <c r="U1953" s="11" t="str">
        <f>HYPERLINK("https://pbs.twimg.com/profile_images/1285972465571647489/OoVAc2X9.jpg","View")</f>
        <v>View</v>
      </c>
      <c r="V1953" s="8"/>
      <c r="W1953" s="8"/>
      <c r="X1953" s="8"/>
      <c r="Y1953" s="8"/>
      <c r="Z1953" s="8"/>
    </row>
    <row r="1954" spans="1:26" ht="13.2">
      <c r="A1954" s="13">
        <v>44250.213900462964</v>
      </c>
      <c r="B1954" s="6" t="str">
        <f>HYPERLINK("https://twitter.com/mpyllan","@mpyllan")</f>
        <v>@mpyllan</v>
      </c>
      <c r="C1954" s="14" t="s">
        <v>7883</v>
      </c>
      <c r="D1954" s="14" t="s">
        <v>7884</v>
      </c>
      <c r="E1954" s="6" t="str">
        <f>HYPERLINK("https://twitter.com/mpyllan/status/1364064444112904193","1364064444112904193")</f>
        <v>1364064444112904193</v>
      </c>
      <c r="F1954" s="7" t="s">
        <v>7885</v>
      </c>
      <c r="G1954" s="8"/>
      <c r="H1954" s="8"/>
      <c r="I1954" s="14">
        <v>1</v>
      </c>
      <c r="J1954" s="14">
        <v>1</v>
      </c>
      <c r="K1954" s="6" t="str">
        <f>HYPERLINK("https://buffer.com","Buffer")</f>
        <v>Buffer</v>
      </c>
      <c r="L1954" s="15">
        <v>799</v>
      </c>
      <c r="M1954" s="15">
        <v>389</v>
      </c>
      <c r="N1954" s="15">
        <v>1164</v>
      </c>
      <c r="O1954" s="9"/>
      <c r="P1954" s="10">
        <v>39658.941886574074</v>
      </c>
      <c r="Q1954" s="14" t="s">
        <v>7886</v>
      </c>
      <c r="R1954" s="14" t="s">
        <v>7887</v>
      </c>
      <c r="S1954" s="7" t="s">
        <v>7888</v>
      </c>
      <c r="T1954" s="8"/>
      <c r="U1954" s="11" t="str">
        <f>HYPERLINK("https://pbs.twimg.com/profile_images/57429082/manu.jpg","View")</f>
        <v>View</v>
      </c>
      <c r="V1954" s="8"/>
      <c r="W1954" s="8"/>
      <c r="X1954" s="8"/>
      <c r="Y1954" s="8"/>
      <c r="Z1954" s="8"/>
    </row>
    <row r="1955" spans="1:26" ht="13.2">
      <c r="A1955" s="13">
        <v>44250.213252314818</v>
      </c>
      <c r="B1955" s="6" t="str">
        <f>HYPERLINK("https://twitter.com/alwaysPratik","@alwaysPratik")</f>
        <v>@alwaysPratik</v>
      </c>
      <c r="C1955" s="14" t="s">
        <v>7889</v>
      </c>
      <c r="D1955" s="14" t="s">
        <v>5647</v>
      </c>
      <c r="E1955" s="6" t="str">
        <f>HYPERLINK("https://twitter.com/alwaysPratik/status/1364064212457299970","1364064212457299970")</f>
        <v>1364064212457299970</v>
      </c>
      <c r="F1955" s="7" t="s">
        <v>7890</v>
      </c>
      <c r="G1955" s="7" t="s">
        <v>7891</v>
      </c>
      <c r="H1955" s="8"/>
      <c r="I1955" s="14">
        <v>1</v>
      </c>
      <c r="J1955" s="14">
        <v>0</v>
      </c>
      <c r="K1955" s="6" t="str">
        <f>HYPERLINK("https://www.oktopost.com","Oktopost")</f>
        <v>Oktopost</v>
      </c>
      <c r="L1955" s="15">
        <v>20</v>
      </c>
      <c r="M1955" s="15">
        <v>18</v>
      </c>
      <c r="N1955" s="15">
        <v>1</v>
      </c>
      <c r="O1955" s="9"/>
      <c r="P1955" s="10">
        <v>39945.382754629631</v>
      </c>
      <c r="Q1955" s="14" t="s">
        <v>7892</v>
      </c>
      <c r="R1955" s="14" t="s">
        <v>7893</v>
      </c>
      <c r="S1955" s="8"/>
      <c r="T1955" s="8"/>
      <c r="U1955" s="11" t="str">
        <f>HYPERLINK("https://pbs.twimg.com/profile_images/687943593319882753/dAzUsaxX.jpg","View")</f>
        <v>View</v>
      </c>
      <c r="V1955" s="8"/>
      <c r="W1955" s="8"/>
      <c r="X1955" s="8"/>
      <c r="Y1955" s="8"/>
      <c r="Z1955" s="8"/>
    </row>
    <row r="1956" spans="1:26" ht="13.2">
      <c r="A1956" s="13">
        <v>44250.21261574074</v>
      </c>
      <c r="B1956" s="6" t="str">
        <f>HYPERLINK("https://twitter.com/kashifmanzoor","@kashifmanzoor")</f>
        <v>@kashifmanzoor</v>
      </c>
      <c r="C1956" s="14" t="s">
        <v>7894</v>
      </c>
      <c r="D1956" s="14" t="s">
        <v>7895</v>
      </c>
      <c r="E1956" s="6" t="str">
        <f>HYPERLINK("https://twitter.com/kashifmanzoor/status/1364063980457721864","1364063980457721864")</f>
        <v>1364063980457721864</v>
      </c>
      <c r="F1956" s="7" t="s">
        <v>7896</v>
      </c>
      <c r="G1956" s="8"/>
      <c r="H1956" s="8"/>
      <c r="I1956" s="14">
        <v>2</v>
      </c>
      <c r="J1956" s="14">
        <v>0</v>
      </c>
      <c r="K1956" s="6" t="str">
        <f>HYPERLINK("https://contentstudio.io","ContentStudio.io")</f>
        <v>ContentStudio.io</v>
      </c>
      <c r="L1956" s="15">
        <v>2320</v>
      </c>
      <c r="M1956" s="15">
        <v>4462</v>
      </c>
      <c r="N1956" s="15">
        <v>226</v>
      </c>
      <c r="O1956" s="9"/>
      <c r="P1956" s="10">
        <v>40161.87636574074</v>
      </c>
      <c r="Q1956" s="14" t="s">
        <v>3701</v>
      </c>
      <c r="R1956" s="14" t="s">
        <v>7897</v>
      </c>
      <c r="S1956" s="7" t="s">
        <v>7898</v>
      </c>
      <c r="T1956" s="8"/>
      <c r="U1956" s="11" t="str">
        <f>HYPERLINK("https://pbs.twimg.com/profile_images/378800000452523707/c87e1249051311e4e174d5a1555b67ff.jpeg","View")</f>
        <v>View</v>
      </c>
      <c r="V1956" s="8"/>
      <c r="W1956" s="8"/>
      <c r="X1956" s="8"/>
      <c r="Y1956" s="8"/>
      <c r="Z1956" s="8"/>
    </row>
    <row r="1957" spans="1:26" ht="13.2">
      <c r="A1957" s="13">
        <v>44250.212511574078</v>
      </c>
      <c r="B1957" s="6" t="str">
        <f>HYPERLINK("https://twitter.com/mpyllan","@mpyllan")</f>
        <v>@mpyllan</v>
      </c>
      <c r="C1957" s="14" t="s">
        <v>7883</v>
      </c>
      <c r="D1957" s="14" t="s">
        <v>7899</v>
      </c>
      <c r="E1957" s="6" t="str">
        <f>HYPERLINK("https://twitter.com/mpyllan/status/1364063942293786624","1364063942293786624")</f>
        <v>1364063942293786624</v>
      </c>
      <c r="F1957" s="7" t="s">
        <v>7900</v>
      </c>
      <c r="G1957" s="8"/>
      <c r="H1957" s="8"/>
      <c r="I1957" s="14">
        <v>1</v>
      </c>
      <c r="J1957" s="14">
        <v>0</v>
      </c>
      <c r="K1957" s="6" t="str">
        <f>HYPERLINK("https://buffer.com","Buffer")</f>
        <v>Buffer</v>
      </c>
      <c r="L1957" s="15">
        <v>799</v>
      </c>
      <c r="M1957" s="15">
        <v>389</v>
      </c>
      <c r="N1957" s="15">
        <v>1164</v>
      </c>
      <c r="O1957" s="9"/>
      <c r="P1957" s="10">
        <v>39658.941886574074</v>
      </c>
      <c r="Q1957" s="14" t="s">
        <v>7886</v>
      </c>
      <c r="R1957" s="14" t="s">
        <v>7887</v>
      </c>
      <c r="S1957" s="7" t="s">
        <v>7888</v>
      </c>
      <c r="T1957" s="8"/>
      <c r="U1957" s="11" t="str">
        <f>HYPERLINK("https://pbs.twimg.com/profile_images/57429082/manu.jpg","View")</f>
        <v>View</v>
      </c>
      <c r="V1957" s="8"/>
      <c r="W1957" s="8"/>
      <c r="X1957" s="8"/>
      <c r="Y1957" s="8"/>
      <c r="Z1957" s="8"/>
    </row>
    <row r="1958" spans="1:26" ht="13.2">
      <c r="A1958" s="13">
        <v>44250.211111111115</v>
      </c>
      <c r="B1958" s="6" t="str">
        <f>HYPERLINK("https://twitter.com/odsc","@odsc")</f>
        <v>@odsc</v>
      </c>
      <c r="C1958" s="14" t="s">
        <v>217</v>
      </c>
      <c r="D1958" s="14" t="s">
        <v>7901</v>
      </c>
      <c r="E1958" s="6" t="str">
        <f>HYPERLINK("https://twitter.com/odsc/status/1364063433243697155","1364063433243697155")</f>
        <v>1364063433243697155</v>
      </c>
      <c r="F1958" s="7" t="s">
        <v>7902</v>
      </c>
      <c r="G1958" s="7" t="s">
        <v>7903</v>
      </c>
      <c r="H1958" s="8"/>
      <c r="I1958" s="14">
        <v>2</v>
      </c>
      <c r="J1958" s="14">
        <v>0</v>
      </c>
      <c r="K1958" s="6" t="str">
        <f>HYPERLINK("http://www.hubspot.com/","HubSpot")</f>
        <v>HubSpot</v>
      </c>
      <c r="L1958" s="15">
        <v>78817</v>
      </c>
      <c r="M1958" s="15">
        <v>27883</v>
      </c>
      <c r="N1958" s="15">
        <v>2461</v>
      </c>
      <c r="O1958" s="9"/>
      <c r="P1958" s="10">
        <v>42039.982766203699</v>
      </c>
      <c r="Q1958" s="14" t="s">
        <v>221</v>
      </c>
      <c r="R1958" s="14" t="s">
        <v>222</v>
      </c>
      <c r="S1958" s="7" t="s">
        <v>223</v>
      </c>
      <c r="T1958" s="8"/>
      <c r="U1958" s="11" t="str">
        <f>HYPERLINK("https://pbs.twimg.com/profile_images/1115210960271228929/lHua2G3l.png","View")</f>
        <v>View</v>
      </c>
      <c r="V1958" s="8"/>
      <c r="W1958" s="8"/>
      <c r="X1958" s="8"/>
      <c r="Y1958" s="8"/>
      <c r="Z1958" s="8"/>
    </row>
    <row r="1959" spans="1:26" ht="13.2">
      <c r="A1959" s="13">
        <v>44250.210636574076</v>
      </c>
      <c r="B1959" s="6" t="str">
        <f>HYPERLINK("https://twitter.com/PrintableEtsy","@PrintableEtsy")</f>
        <v>@PrintableEtsy</v>
      </c>
      <c r="C1959" s="14" t="s">
        <v>5752</v>
      </c>
      <c r="D1959" s="14" t="s">
        <v>7904</v>
      </c>
      <c r="E1959" s="6" t="str">
        <f>HYPERLINK("https://twitter.com/PrintableEtsy/status/1364063263399501827","1364063263399501827")</f>
        <v>1364063263399501827</v>
      </c>
      <c r="F1959" s="14" t="s">
        <v>7905</v>
      </c>
      <c r="G1959" s="8"/>
      <c r="H1959" s="8"/>
      <c r="I1959" s="14">
        <v>3</v>
      </c>
      <c r="J1959" s="14">
        <v>0</v>
      </c>
      <c r="K1959" s="6" t="str">
        <f>HYPERLINK("http://twinybots.com","TwinyBots")</f>
        <v>TwinyBots</v>
      </c>
      <c r="L1959" s="15">
        <v>302</v>
      </c>
      <c r="M1959" s="15">
        <v>705</v>
      </c>
      <c r="N1959" s="15">
        <v>7</v>
      </c>
      <c r="O1959" s="9"/>
      <c r="P1959" s="10">
        <v>43319.598854166667</v>
      </c>
      <c r="Q1959" s="14" t="s">
        <v>5754</v>
      </c>
      <c r="R1959" s="14" t="s">
        <v>5755</v>
      </c>
      <c r="S1959" s="7" t="s">
        <v>5756</v>
      </c>
      <c r="T1959" s="8"/>
      <c r="U1959" s="11" t="str">
        <f>HYPERLINK("https://pbs.twimg.com/profile_images/1329742869914136582/sVdyU9dn.jpg","View")</f>
        <v>View</v>
      </c>
      <c r="V1959" s="8"/>
      <c r="W1959" s="8"/>
      <c r="X1959" s="8"/>
      <c r="Y1959" s="8"/>
      <c r="Z1959" s="8"/>
    </row>
    <row r="1960" spans="1:26" ht="13.2">
      <c r="A1960" s="13">
        <v>44250.210451388892</v>
      </c>
      <c r="B1960" s="6" t="str">
        <f>HYPERLINK("https://twitter.com/danieluriol","@danieluriol")</f>
        <v>@danieluriol</v>
      </c>
      <c r="C1960" s="14" t="s">
        <v>517</v>
      </c>
      <c r="D1960" s="14" t="s">
        <v>7906</v>
      </c>
      <c r="E1960" s="6" t="str">
        <f>HYPERLINK("https://twitter.com/danieluriol/status/1364063195095322626","1364063195095322626")</f>
        <v>1364063195095322626</v>
      </c>
      <c r="F1960" s="7" t="s">
        <v>7907</v>
      </c>
      <c r="G1960" s="7" t="s">
        <v>7908</v>
      </c>
      <c r="H1960" s="8"/>
      <c r="I1960" s="14">
        <v>22</v>
      </c>
      <c r="J1960" s="14">
        <v>11</v>
      </c>
      <c r="K1960" s="6" t="str">
        <f>HYPERLINK("https://buffer.com","Buffer")</f>
        <v>Buffer</v>
      </c>
      <c r="L1960" s="15">
        <v>3441</v>
      </c>
      <c r="M1960" s="15">
        <v>455</v>
      </c>
      <c r="N1960" s="15">
        <v>8</v>
      </c>
      <c r="O1960" s="9"/>
      <c r="P1960" s="10">
        <v>39707.014618055553</v>
      </c>
      <c r="Q1960" s="8"/>
      <c r="R1960" s="14" t="s">
        <v>521</v>
      </c>
      <c r="S1960" s="7" t="s">
        <v>522</v>
      </c>
      <c r="T1960" s="8"/>
      <c r="U1960" s="11" t="str">
        <f>HYPERLINK("https://pbs.twimg.com/profile_images/1284935813604814848/mVDJVdEi.jpg","View")</f>
        <v>View</v>
      </c>
      <c r="V1960" s="8"/>
      <c r="W1960" s="8"/>
      <c r="X1960" s="8"/>
      <c r="Y1960" s="8"/>
      <c r="Z1960" s="8"/>
    </row>
    <row r="1961" spans="1:26" ht="13.2">
      <c r="A1961" s="13">
        <v>44250.210451388892</v>
      </c>
      <c r="B1961" s="6" t="str">
        <f>HYPERLINK("https://twitter.com/ipfconline1","@ipfconline1")</f>
        <v>@ipfconline1</v>
      </c>
      <c r="C1961" s="14" t="s">
        <v>65</v>
      </c>
      <c r="D1961" s="14" t="s">
        <v>7909</v>
      </c>
      <c r="E1961" s="6" t="str">
        <f>HYPERLINK("https://twitter.com/ipfconline1/status/1364063193774047235","1364063193774047235")</f>
        <v>1364063193774047235</v>
      </c>
      <c r="F1961" s="7" t="s">
        <v>7910</v>
      </c>
      <c r="G1961" s="7" t="s">
        <v>7911</v>
      </c>
      <c r="H1961" s="8"/>
      <c r="I1961" s="14">
        <v>12</v>
      </c>
      <c r="J1961" s="14">
        <v>17</v>
      </c>
      <c r="K1961" s="6" t="str">
        <f>HYPERLINK("https://twittimer.com","Twittimer")</f>
        <v>Twittimer</v>
      </c>
      <c r="L1961" s="15">
        <v>112675</v>
      </c>
      <c r="M1961" s="15">
        <v>107162</v>
      </c>
      <c r="N1961" s="15">
        <v>7806</v>
      </c>
      <c r="O1961" s="9"/>
      <c r="P1961" s="10">
        <v>42433.031967592593</v>
      </c>
      <c r="Q1961" s="14" t="s">
        <v>69</v>
      </c>
      <c r="R1961" s="14" t="s">
        <v>70</v>
      </c>
      <c r="S1961" s="7" t="s">
        <v>71</v>
      </c>
      <c r="T1961" s="8"/>
      <c r="U1961" s="11" t="str">
        <f>HYPERLINK("https://pbs.twimg.com/profile_images/729065804004769793/St2_Pum9.jpg","View")</f>
        <v>View</v>
      </c>
      <c r="V1961" s="8"/>
      <c r="W1961" s="8"/>
      <c r="X1961" s="8"/>
      <c r="Y1961" s="8"/>
      <c r="Z1961" s="8"/>
    </row>
    <row r="1962" spans="1:26" ht="13.2">
      <c r="A1962" s="13">
        <v>44250.209664351853</v>
      </c>
      <c r="B1962" s="6" t="str">
        <f>HYPERLINK("https://twitter.com/WiMLDS_Pune","@WiMLDS_Pune")</f>
        <v>@WiMLDS_Pune</v>
      </c>
      <c r="C1962" s="14" t="s">
        <v>7912</v>
      </c>
      <c r="D1962" s="14" t="s">
        <v>7913</v>
      </c>
      <c r="E1962" s="6" t="str">
        <f>HYPERLINK("https://twitter.com/WiMLDS_Pune/status/1364062909274329088","1364062909274329088")</f>
        <v>1364062909274329088</v>
      </c>
      <c r="F1962" s="7" t="s">
        <v>7914</v>
      </c>
      <c r="G1962" s="7" t="s">
        <v>7915</v>
      </c>
      <c r="H1962" s="8"/>
      <c r="I1962" s="14">
        <v>0</v>
      </c>
      <c r="J1962" s="14">
        <v>2</v>
      </c>
      <c r="K1962" s="6" t="str">
        <f>HYPERLINK("http://twitter.com/download/android","Twitter for Android")</f>
        <v>Twitter for Android</v>
      </c>
      <c r="L1962" s="15">
        <v>142</v>
      </c>
      <c r="M1962" s="15">
        <v>133</v>
      </c>
      <c r="N1962" s="15">
        <v>1</v>
      </c>
      <c r="O1962" s="9"/>
      <c r="P1962" s="10">
        <v>43315.799722222218</v>
      </c>
      <c r="Q1962" s="14" t="s">
        <v>2167</v>
      </c>
      <c r="R1962" s="14" t="s">
        <v>7916</v>
      </c>
      <c r="S1962" s="7" t="s">
        <v>7917</v>
      </c>
      <c r="T1962" s="8"/>
      <c r="U1962" s="11" t="str">
        <f>HYPERLINK("https://pbs.twimg.com/profile_images/1025437972743651333/Q97b6__w.jpg","View")</f>
        <v>View</v>
      </c>
      <c r="V1962" s="8"/>
      <c r="W1962" s="8"/>
      <c r="X1962" s="8"/>
      <c r="Y1962" s="8"/>
      <c r="Z1962" s="8"/>
    </row>
    <row r="1963" spans="1:26" ht="13.2">
      <c r="A1963" s="13">
        <v>44250.208564814813</v>
      </c>
      <c r="B1963" s="6" t="str">
        <f>HYPERLINK("https://twitter.com/Paula_Piccard","@Paula_Piccard")</f>
        <v>@Paula_Piccard</v>
      </c>
      <c r="C1963" s="14" t="s">
        <v>1116</v>
      </c>
      <c r="D1963" s="14" t="s">
        <v>7918</v>
      </c>
      <c r="E1963" s="6" t="str">
        <f>HYPERLINK("https://twitter.com/Paula_Piccard/status/1364062511155281920","1364062511155281920")</f>
        <v>1364062511155281920</v>
      </c>
      <c r="F1963" s="7" t="s">
        <v>7919</v>
      </c>
      <c r="G1963" s="7" t="s">
        <v>7920</v>
      </c>
      <c r="H1963" s="8"/>
      <c r="I1963" s="14">
        <v>63</v>
      </c>
      <c r="J1963" s="14">
        <v>35</v>
      </c>
      <c r="K1963" s="6" t="str">
        <f>HYPERLINK("https://smarterqueue.com","SmarterQueue")</f>
        <v>SmarterQueue</v>
      </c>
      <c r="L1963" s="15">
        <v>61067</v>
      </c>
      <c r="M1963" s="15">
        <v>9852</v>
      </c>
      <c r="N1963" s="15">
        <v>1284</v>
      </c>
      <c r="O1963" s="9"/>
      <c r="P1963" s="10">
        <v>40665.824629629627</v>
      </c>
      <c r="Q1963" s="14" t="s">
        <v>1120</v>
      </c>
      <c r="R1963" s="14" t="s">
        <v>1121</v>
      </c>
      <c r="S1963" s="7" t="s">
        <v>1122</v>
      </c>
      <c r="T1963" s="8"/>
      <c r="U1963" s="11" t="str">
        <f>HYPERLINK("https://pbs.twimg.com/profile_images/1307804375981621254/KT6ID8H9.png","View")</f>
        <v>View</v>
      </c>
      <c r="V1963" s="8"/>
      <c r="W1963" s="8"/>
      <c r="X1963" s="8"/>
      <c r="Y1963" s="8"/>
      <c r="Z1963" s="8"/>
    </row>
    <row r="1964" spans="1:26" ht="13.2">
      <c r="A1964" s="13">
        <v>44250.208483796298</v>
      </c>
      <c r="B1964" s="6" t="str">
        <f>HYPERLINK("https://twitter.com/ScienceMagazine","@ScienceMagazine")</f>
        <v>@ScienceMagazine</v>
      </c>
      <c r="C1964" s="14" t="s">
        <v>7921</v>
      </c>
      <c r="D1964" s="14" t="s">
        <v>7922</v>
      </c>
      <c r="E1964" s="6" t="str">
        <f>HYPERLINK("https://twitter.com/ScienceMagazine/status/1364062484055920641","1364062484055920641")</f>
        <v>1364062484055920641</v>
      </c>
      <c r="F1964" s="7" t="s">
        <v>7702</v>
      </c>
      <c r="G1964" s="7" t="s">
        <v>7923</v>
      </c>
      <c r="H1964" s="8"/>
      <c r="I1964" s="14">
        <v>9</v>
      </c>
      <c r="J1964" s="14">
        <v>29</v>
      </c>
      <c r="K1964" s="6" t="str">
        <f>HYPERLINK("https://twitter.facelift-cloud.com/","Facelift-Cloud")</f>
        <v>Facelift-Cloud</v>
      </c>
      <c r="L1964" s="15">
        <v>2075827</v>
      </c>
      <c r="M1964" s="15">
        <v>497</v>
      </c>
      <c r="N1964" s="15">
        <v>17419</v>
      </c>
      <c r="O1964" s="15" t="s">
        <v>130</v>
      </c>
      <c r="P1964" s="10">
        <v>39920.567499999997</v>
      </c>
      <c r="Q1964" s="14" t="s">
        <v>7924</v>
      </c>
      <c r="R1964" s="14" t="s">
        <v>7925</v>
      </c>
      <c r="S1964" s="7" t="s">
        <v>7926</v>
      </c>
      <c r="T1964" s="8"/>
      <c r="U1964" s="11" t="str">
        <f>HYPERLINK("https://pbs.twimg.com/profile_images/1001918231752429568/wUNPvDdW.jpg","View")</f>
        <v>View</v>
      </c>
      <c r="V1964" s="8"/>
      <c r="W1964" s="8"/>
      <c r="X1964" s="8"/>
      <c r="Y1964" s="8"/>
      <c r="Z1964" s="8"/>
    </row>
    <row r="1965" spans="1:26" ht="13.2">
      <c r="A1965" s="13">
        <v>44250.208402777775</v>
      </c>
      <c r="B1965" s="6" t="str">
        <f>HYPERLINK("https://twitter.com/Verinite","@Verinite")</f>
        <v>@Verinite</v>
      </c>
      <c r="C1965" s="14" t="s">
        <v>7329</v>
      </c>
      <c r="D1965" s="14" t="s">
        <v>7927</v>
      </c>
      <c r="E1965" s="6" t="str">
        <f>HYPERLINK("https://twitter.com/Verinite/status/1364062454574161921","1364062454574161921")</f>
        <v>1364062454574161921</v>
      </c>
      <c r="F1965" s="7" t="s">
        <v>7928</v>
      </c>
      <c r="G1965" s="7" t="s">
        <v>7929</v>
      </c>
      <c r="H1965" s="8"/>
      <c r="I1965" s="14">
        <v>7</v>
      </c>
      <c r="J1965" s="14">
        <v>2</v>
      </c>
      <c r="K1965" s="6" t="str">
        <f t="shared" ref="K1965:K1966" si="361">HYPERLINK("https://buffer.com","Buffer")</f>
        <v>Buffer</v>
      </c>
      <c r="L1965" s="15">
        <v>1612</v>
      </c>
      <c r="M1965" s="15">
        <v>4941</v>
      </c>
      <c r="N1965" s="15">
        <v>20</v>
      </c>
      <c r="O1965" s="9"/>
      <c r="P1965" s="10">
        <v>40681.464398148149</v>
      </c>
      <c r="Q1965" s="14" t="s">
        <v>7333</v>
      </c>
      <c r="R1965" s="14" t="s">
        <v>7334</v>
      </c>
      <c r="S1965" s="7" t="s">
        <v>7335</v>
      </c>
      <c r="T1965" s="8"/>
      <c r="U1965" s="11" t="str">
        <f>HYPERLINK("https://pbs.twimg.com/profile_images/1359447308/Verinite_FinalLogo_Twitter.jpg","View")</f>
        <v>View</v>
      </c>
      <c r="V1965" s="8"/>
      <c r="W1965" s="8"/>
      <c r="X1965" s="8"/>
      <c r="Y1965" s="8"/>
      <c r="Z1965" s="8"/>
    </row>
    <row r="1966" spans="1:26" ht="13.2">
      <c r="A1966" s="13">
        <v>44250.208391203705</v>
      </c>
      <c r="B1966" s="6" t="str">
        <f>HYPERLINK("https://twitter.com/Deep_In_Depth","@Deep_In_Depth")</f>
        <v>@Deep_In_Depth</v>
      </c>
      <c r="C1966" s="14" t="s">
        <v>312</v>
      </c>
      <c r="D1966" s="14" t="s">
        <v>7930</v>
      </c>
      <c r="E1966" s="6" t="str">
        <f>HYPERLINK("https://twitter.com/Deep_In_Depth/status/1364062449671012354","1364062449671012354")</f>
        <v>1364062449671012354</v>
      </c>
      <c r="F1966" s="7" t="s">
        <v>7931</v>
      </c>
      <c r="G1966" s="8"/>
      <c r="H1966" s="8"/>
      <c r="I1966" s="14">
        <v>3</v>
      </c>
      <c r="J1966" s="14">
        <v>4</v>
      </c>
      <c r="K1966" s="6" t="str">
        <f t="shared" si="361"/>
        <v>Buffer</v>
      </c>
      <c r="L1966" s="15">
        <v>10954</v>
      </c>
      <c r="M1966" s="15">
        <v>9176</v>
      </c>
      <c r="N1966" s="15">
        <v>159</v>
      </c>
      <c r="O1966" s="9"/>
      <c r="P1966" s="10">
        <v>42864.439525462964</v>
      </c>
      <c r="Q1966" s="14" t="s">
        <v>315</v>
      </c>
      <c r="R1966" s="14" t="s">
        <v>316</v>
      </c>
      <c r="S1966" s="7" t="s">
        <v>317</v>
      </c>
      <c r="T1966" s="8"/>
      <c r="U1966" s="11" t="str">
        <f>HYPERLINK("https://pbs.twimg.com/profile_images/861866967493431296/PIjaSD4g.jpg","View")</f>
        <v>View</v>
      </c>
      <c r="V1966" s="8"/>
      <c r="W1966" s="8"/>
      <c r="X1966" s="8"/>
      <c r="Y1966" s="8"/>
      <c r="Z1966" s="8"/>
    </row>
    <row r="1967" spans="1:26" ht="13.2">
      <c r="A1967" s="13">
        <v>44250.208344907413</v>
      </c>
      <c r="B1967" s="6" t="str">
        <f>HYPERLINK("https://twitter.com/therealjpittman","@therealjpittman")</f>
        <v>@therealjpittman</v>
      </c>
      <c r="C1967" s="14" t="s">
        <v>3386</v>
      </c>
      <c r="D1967" s="14" t="s">
        <v>7932</v>
      </c>
      <c r="E1967" s="6" t="str">
        <f>HYPERLINK("https://twitter.com/therealjpittman/status/1364062433594249218","1364062433594249218")</f>
        <v>1364062433594249218</v>
      </c>
      <c r="F1967" s="7" t="s">
        <v>7933</v>
      </c>
      <c r="G1967" s="8"/>
      <c r="H1967" s="8"/>
      <c r="I1967" s="14">
        <v>1</v>
      </c>
      <c r="J1967" s="14">
        <v>0</v>
      </c>
      <c r="K1967" s="6" t="str">
        <f>HYPERLINK("https://github.com/jasonmpittman/retweet-bot-ng","retweet-bot-ng")</f>
        <v>retweet-bot-ng</v>
      </c>
      <c r="L1967" s="15">
        <v>776</v>
      </c>
      <c r="M1967" s="15">
        <v>749</v>
      </c>
      <c r="N1967" s="15">
        <v>106</v>
      </c>
      <c r="O1967" s="9"/>
      <c r="P1967" s="10">
        <v>41837.757106481484</v>
      </c>
      <c r="Q1967" s="14" t="s">
        <v>3389</v>
      </c>
      <c r="R1967" s="14" t="s">
        <v>3390</v>
      </c>
      <c r="S1967" s="7" t="s">
        <v>3391</v>
      </c>
      <c r="T1967" s="8"/>
      <c r="U1967" s="11" t="str">
        <f>HYPERLINK("https://pbs.twimg.com/profile_images/1175408228978626561/xVOYMpZ3.jpg","View")</f>
        <v>View</v>
      </c>
      <c r="V1967" s="8"/>
      <c r="W1967" s="8"/>
      <c r="X1967" s="8"/>
      <c r="Y1967" s="8"/>
      <c r="Z1967" s="8"/>
    </row>
    <row r="1968" spans="1:26" ht="13.2">
      <c r="A1968" s="13">
        <v>44250.20694444445</v>
      </c>
      <c r="B1968" s="6" t="str">
        <f>HYPERLINK("https://twitter.com/WiDSPune2019","@WiDSPune2019")</f>
        <v>@WiDSPune2019</v>
      </c>
      <c r="C1968" s="14" t="s">
        <v>7934</v>
      </c>
      <c r="D1968" s="14" t="s">
        <v>7935</v>
      </c>
      <c r="E1968" s="6" t="str">
        <f>HYPERLINK("https://twitter.com/WiDSPune2019/status/1364061923474608128","1364061923474608128")</f>
        <v>1364061923474608128</v>
      </c>
      <c r="F1968" s="7" t="s">
        <v>7914</v>
      </c>
      <c r="G1968" s="7" t="s">
        <v>7936</v>
      </c>
      <c r="H1968" s="8"/>
      <c r="I1968" s="14">
        <v>4</v>
      </c>
      <c r="J1968" s="14">
        <v>1</v>
      </c>
      <c r="K1968" s="6" t="str">
        <f>HYPERLINK("http://twitter.com/download/android","Twitter for Android")</f>
        <v>Twitter for Android</v>
      </c>
      <c r="L1968" s="15">
        <v>97</v>
      </c>
      <c r="M1968" s="15">
        <v>7</v>
      </c>
      <c r="N1968" s="15">
        <v>1</v>
      </c>
      <c r="O1968" s="9"/>
      <c r="P1968" s="10">
        <v>43472.287812499999</v>
      </c>
      <c r="Q1968" s="14" t="s">
        <v>2167</v>
      </c>
      <c r="R1968" s="8"/>
      <c r="S1968" s="7" t="s">
        <v>7937</v>
      </c>
      <c r="T1968" s="8"/>
      <c r="U1968" s="11" t="str">
        <f>HYPERLINK("https://pbs.twimg.com/profile_images/1085844360631992320/r-eqCVCg.jpg","View")</f>
        <v>View</v>
      </c>
      <c r="V1968" s="8"/>
      <c r="W1968" s="8"/>
      <c r="X1968" s="8"/>
      <c r="Y1968" s="8"/>
      <c r="Z1968" s="8"/>
    </row>
    <row r="1969" spans="1:26" ht="13.2">
      <c r="A1969" s="13">
        <v>44250.205891203703</v>
      </c>
      <c r="B1969" s="6" t="str">
        <f>HYPERLINK("https://twitter.com/DesignMaster16","@DesignMaster16")</f>
        <v>@DesignMaster16</v>
      </c>
      <c r="C1969" s="14" t="s">
        <v>7938</v>
      </c>
      <c r="D1969" s="14" t="s">
        <v>7939</v>
      </c>
      <c r="E1969" s="6" t="str">
        <f>HYPERLINK("https://twitter.com/DesignMaster16/status/1364061542484828166","1364061542484828166")</f>
        <v>1364061542484828166</v>
      </c>
      <c r="F1969" s="7" t="s">
        <v>7940</v>
      </c>
      <c r="G1969" s="8"/>
      <c r="H1969" s="8"/>
      <c r="I1969" s="14">
        <v>0</v>
      </c>
      <c r="J1969" s="14">
        <v>1</v>
      </c>
      <c r="K1969" s="6" t="str">
        <f>HYPERLINK("https://mobile.twitter.com","Twitter Web App")</f>
        <v>Twitter Web App</v>
      </c>
      <c r="L1969" s="15">
        <v>340</v>
      </c>
      <c r="M1969" s="15">
        <v>3775</v>
      </c>
      <c r="N1969" s="15">
        <v>3</v>
      </c>
      <c r="O1969" s="9"/>
      <c r="P1969" s="10">
        <v>43557.757592592592</v>
      </c>
      <c r="Q1969" s="14" t="s">
        <v>7941</v>
      </c>
      <c r="R1969" s="14" t="s">
        <v>7942</v>
      </c>
      <c r="S1969" s="7" t="s">
        <v>7943</v>
      </c>
      <c r="T1969" s="8"/>
      <c r="U1969" s="11" t="str">
        <f>HYPERLINK("https://pbs.twimg.com/profile_images/1337599717744623618/rFZf-Z8q.jpg","View")</f>
        <v>View</v>
      </c>
      <c r="V1969" s="8"/>
      <c r="W1969" s="8"/>
      <c r="X1969" s="8"/>
      <c r="Y1969" s="8"/>
      <c r="Z1969" s="8"/>
    </row>
    <row r="1970" spans="1:26" ht="13.2">
      <c r="A1970" s="13">
        <v>44250.205358796295</v>
      </c>
      <c r="B1970" s="6" t="str">
        <f>HYPERLINK("https://twitter.com/realColinMac","@realColinMac")</f>
        <v>@realColinMac</v>
      </c>
      <c r="C1970" s="14" t="s">
        <v>2664</v>
      </c>
      <c r="D1970" s="14" t="s">
        <v>7944</v>
      </c>
      <c r="E1970" s="6" t="str">
        <f>HYPERLINK("https://twitter.com/realColinMac/status/1364061350599692291","1364061350599692291")</f>
        <v>1364061350599692291</v>
      </c>
      <c r="F1970" s="8"/>
      <c r="G1970" s="7" t="s">
        <v>7945</v>
      </c>
      <c r="H1970" s="8"/>
      <c r="I1970" s="14">
        <v>11</v>
      </c>
      <c r="J1970" s="14">
        <v>9</v>
      </c>
      <c r="K1970" s="6" t="str">
        <f>HYPERLINK("http://twitter.com/download/android","Twitter for Android")</f>
        <v>Twitter for Android</v>
      </c>
      <c r="L1970" s="15">
        <v>13875</v>
      </c>
      <c r="M1970" s="15">
        <v>7889</v>
      </c>
      <c r="N1970" s="15">
        <v>183</v>
      </c>
      <c r="O1970" s="9"/>
      <c r="P1970" s="10">
        <v>42948.196782407409</v>
      </c>
      <c r="Q1970" s="14" t="s">
        <v>2667</v>
      </c>
      <c r="R1970" s="14" t="s">
        <v>2668</v>
      </c>
      <c r="S1970" s="8"/>
      <c r="T1970" s="8"/>
      <c r="U1970" s="11" t="str">
        <f>HYPERLINK("https://pbs.twimg.com/profile_images/1013521217540837376/3BmkgDBO.jpg","View")</f>
        <v>View</v>
      </c>
      <c r="V1970" s="8"/>
      <c r="W1970" s="8"/>
      <c r="X1970" s="8"/>
      <c r="Y1970" s="8"/>
      <c r="Z1970" s="8"/>
    </row>
    <row r="1971" spans="1:26" ht="13.2">
      <c r="A1971" s="13">
        <v>44250.205046296294</v>
      </c>
      <c r="B1971" s="6" t="str">
        <f>HYPERLINK("https://twitter.com/bigdata_engnr","@bigdata_engnr")</f>
        <v>@bigdata_engnr</v>
      </c>
      <c r="C1971" s="14" t="s">
        <v>7946</v>
      </c>
      <c r="D1971" s="14" t="s">
        <v>7947</v>
      </c>
      <c r="E1971" s="6" t="str">
        <f>HYPERLINK("https://twitter.com/bigdata_engnr/status/1364061237261209608","1364061237261209608")</f>
        <v>1364061237261209608</v>
      </c>
      <c r="F1971" s="7" t="s">
        <v>7948</v>
      </c>
      <c r="G1971" s="8"/>
      <c r="H1971" s="8"/>
      <c r="I1971" s="14">
        <v>3</v>
      </c>
      <c r="J1971" s="14">
        <v>0</v>
      </c>
      <c r="K1971" s="6" t="str">
        <f>HYPERLINK("https://mobile.twitter.com","Twitter Web App")</f>
        <v>Twitter Web App</v>
      </c>
      <c r="L1971" s="15">
        <v>770</v>
      </c>
      <c r="M1971" s="15">
        <v>2829</v>
      </c>
      <c r="N1971" s="15">
        <v>11</v>
      </c>
      <c r="O1971" s="9"/>
      <c r="P1971" s="10">
        <v>42335.338078703702</v>
      </c>
      <c r="Q1971" s="14" t="s">
        <v>3685</v>
      </c>
      <c r="R1971" s="14" t="s">
        <v>7949</v>
      </c>
      <c r="S1971" s="8"/>
      <c r="T1971" s="8"/>
      <c r="U1971" s="11" t="str">
        <f>HYPERLINK("https://pbs.twimg.com/profile_images/1326029619414233088/FXEFkk43.jpg","View")</f>
        <v>View</v>
      </c>
      <c r="V1971" s="8"/>
      <c r="W1971" s="8"/>
      <c r="X1971" s="8"/>
      <c r="Y1971" s="8"/>
      <c r="Z1971" s="8"/>
    </row>
    <row r="1972" spans="1:26" ht="13.2">
      <c r="A1972" s="13">
        <v>44250.204884259263</v>
      </c>
      <c r="B1972" s="6" t="str">
        <f>HYPERLINK("https://twitter.com/sujatvis","@sujatvis")</f>
        <v>@sujatvis</v>
      </c>
      <c r="C1972" s="14" t="s">
        <v>7950</v>
      </c>
      <c r="D1972" s="14" t="s">
        <v>7951</v>
      </c>
      <c r="E1972" s="6" t="str">
        <f>HYPERLINK("https://twitter.com/sujatvis/status/1364061177286963201","1364061177286963201")</f>
        <v>1364061177286963201</v>
      </c>
      <c r="F1972" s="7" t="s">
        <v>7952</v>
      </c>
      <c r="G1972" s="7" t="s">
        <v>7953</v>
      </c>
      <c r="H1972" s="8"/>
      <c r="I1972" s="14">
        <v>7</v>
      </c>
      <c r="J1972" s="14">
        <v>3</v>
      </c>
      <c r="K1972" s="6" t="str">
        <f>HYPERLINK("https://buffer.com","Buffer")</f>
        <v>Buffer</v>
      </c>
      <c r="L1972" s="15">
        <v>1748</v>
      </c>
      <c r="M1972" s="15">
        <v>2341</v>
      </c>
      <c r="N1972" s="15">
        <v>14</v>
      </c>
      <c r="O1972" s="9"/>
      <c r="P1972" s="10">
        <v>40333.669861111113</v>
      </c>
      <c r="Q1972" s="14" t="s">
        <v>1742</v>
      </c>
      <c r="R1972" s="14" t="s">
        <v>7954</v>
      </c>
      <c r="S1972" s="7" t="s">
        <v>7955</v>
      </c>
      <c r="T1972" s="8"/>
      <c r="U1972" s="11" t="str">
        <f>HYPERLINK("https://pbs.twimg.com/profile_images/1339604446632767488/rGmd-3v8.jpg","View")</f>
        <v>View</v>
      </c>
      <c r="V1972" s="8"/>
      <c r="W1972" s="8"/>
      <c r="X1972" s="8"/>
      <c r="Y1972" s="8"/>
      <c r="Z1972" s="8"/>
    </row>
    <row r="1973" spans="1:26" ht="13.2">
      <c r="A1973" s="13">
        <v>44250.204722222217</v>
      </c>
      <c r="B1973" s="6" t="str">
        <f>HYPERLINK("https://twitter.com/Relecura","@Relecura")</f>
        <v>@Relecura</v>
      </c>
      <c r="C1973" s="14" t="s">
        <v>7956</v>
      </c>
      <c r="D1973" s="14" t="s">
        <v>7957</v>
      </c>
      <c r="E1973" s="6" t="str">
        <f>HYPERLINK("https://twitter.com/Relecura/status/1364061117891272706","1364061117891272706")</f>
        <v>1364061117891272706</v>
      </c>
      <c r="F1973" s="7" t="s">
        <v>7958</v>
      </c>
      <c r="G1973" s="7" t="s">
        <v>7959</v>
      </c>
      <c r="H1973" s="8"/>
      <c r="I1973" s="14">
        <v>2</v>
      </c>
      <c r="J1973" s="14">
        <v>2</v>
      </c>
      <c r="K1973" s="6" t="str">
        <f>HYPERLINK("http://twitter.com/download/iphone","Twitter for iPhone")</f>
        <v>Twitter for iPhone</v>
      </c>
      <c r="L1973" s="15">
        <v>372</v>
      </c>
      <c r="M1973" s="15">
        <v>494</v>
      </c>
      <c r="N1973" s="15">
        <v>19</v>
      </c>
      <c r="O1973" s="9"/>
      <c r="P1973" s="10">
        <v>41078.391921296294</v>
      </c>
      <c r="Q1973" s="14" t="s">
        <v>7960</v>
      </c>
      <c r="R1973" s="14" t="s">
        <v>7961</v>
      </c>
      <c r="S1973" s="7" t="s">
        <v>7962</v>
      </c>
      <c r="T1973" s="8"/>
      <c r="U1973" s="11" t="str">
        <f>HYPERLINK("https://pbs.twimg.com/profile_images/504523408017616896/QJWouJIo.png","View")</f>
        <v>View</v>
      </c>
      <c r="V1973" s="8"/>
      <c r="W1973" s="8"/>
      <c r="X1973" s="8"/>
      <c r="Y1973" s="8"/>
      <c r="Z1973" s="8"/>
    </row>
    <row r="1974" spans="1:26" ht="13.2">
      <c r="A1974" s="13">
        <v>44250.204629629632</v>
      </c>
      <c r="B1974" s="6" t="str">
        <f>HYPERLINK("https://twitter.com/thatneedle","@thatneedle")</f>
        <v>@thatneedle</v>
      </c>
      <c r="C1974" s="14" t="s">
        <v>1014</v>
      </c>
      <c r="D1974" s="14" t="s">
        <v>7963</v>
      </c>
      <c r="E1974" s="6" t="str">
        <f>HYPERLINK("https://twitter.com/thatneedle/status/1364061087386148864","1364061087386148864")</f>
        <v>1364061087386148864</v>
      </c>
      <c r="F1974" s="8"/>
      <c r="G1974" s="8"/>
      <c r="H1974" s="8"/>
      <c r="I1974" s="14">
        <v>4</v>
      </c>
      <c r="J1974" s="14">
        <v>0</v>
      </c>
      <c r="K1974" s="6" t="str">
        <f t="shared" ref="K1974:K1975" si="362">HYPERLINK("https://mobile.twitter.com","Twitter Web App")</f>
        <v>Twitter Web App</v>
      </c>
      <c r="L1974" s="15">
        <v>63</v>
      </c>
      <c r="M1974" s="15">
        <v>228</v>
      </c>
      <c r="N1974" s="15">
        <v>4</v>
      </c>
      <c r="O1974" s="9"/>
      <c r="P1974" s="10">
        <v>41827.808807870373</v>
      </c>
      <c r="Q1974" s="8"/>
      <c r="R1974" s="14" t="s">
        <v>1016</v>
      </c>
      <c r="S1974" s="7" t="s">
        <v>1017</v>
      </c>
      <c r="T1974" s="8"/>
      <c r="U1974" s="11" t="str">
        <f>HYPERLINK("https://pbs.twimg.com/profile_images/642575774973751296/USJh0DNN.jpg","View")</f>
        <v>View</v>
      </c>
      <c r="V1974" s="8"/>
      <c r="W1974" s="8"/>
      <c r="X1974" s="8"/>
      <c r="Y1974" s="8"/>
      <c r="Z1974" s="8"/>
    </row>
    <row r="1975" spans="1:26" ht="13.2">
      <c r="A1975" s="13">
        <v>44250.204421296294</v>
      </c>
      <c r="B1975" s="6" t="str">
        <f>HYPERLINK("https://twitter.com/DesignMaster16","@DesignMaster16")</f>
        <v>@DesignMaster16</v>
      </c>
      <c r="C1975" s="14" t="s">
        <v>7938</v>
      </c>
      <c r="D1975" s="14" t="s">
        <v>7964</v>
      </c>
      <c r="E1975" s="6" t="str">
        <f>HYPERLINK("https://twitter.com/DesignMaster16/status/1364061010877849611","1364061010877849611")</f>
        <v>1364061010877849611</v>
      </c>
      <c r="F1975" s="7" t="s">
        <v>7940</v>
      </c>
      <c r="G1975" s="8"/>
      <c r="H1975" s="8"/>
      <c r="I1975" s="14">
        <v>16</v>
      </c>
      <c r="J1975" s="14">
        <v>4</v>
      </c>
      <c r="K1975" s="6" t="str">
        <f t="shared" si="362"/>
        <v>Twitter Web App</v>
      </c>
      <c r="L1975" s="15">
        <v>340</v>
      </c>
      <c r="M1975" s="15">
        <v>3775</v>
      </c>
      <c r="N1975" s="15">
        <v>3</v>
      </c>
      <c r="O1975" s="9"/>
      <c r="P1975" s="10">
        <v>43557.757592592592</v>
      </c>
      <c r="Q1975" s="14" t="s">
        <v>7941</v>
      </c>
      <c r="R1975" s="14" t="s">
        <v>7942</v>
      </c>
      <c r="S1975" s="7" t="s">
        <v>7943</v>
      </c>
      <c r="T1975" s="8"/>
      <c r="U1975" s="11" t="str">
        <f>HYPERLINK("https://pbs.twimg.com/profile_images/1337599717744623618/rFZf-Z8q.jpg","View")</f>
        <v>View</v>
      </c>
      <c r="V1975" s="8"/>
      <c r="W1975" s="8"/>
      <c r="X1975" s="8"/>
      <c r="Y1975" s="8"/>
      <c r="Z1975" s="8"/>
    </row>
    <row r="1976" spans="1:26" ht="13.2">
      <c r="A1976" s="13">
        <v>44250.20040509259</v>
      </c>
      <c r="B1976" s="6" t="str">
        <f t="shared" ref="B1976:B1977" si="363">HYPERLINK("https://twitter.com/machinelearnflx","@machinelearnflx")</f>
        <v>@machinelearnflx</v>
      </c>
      <c r="C1976" s="14" t="s">
        <v>279</v>
      </c>
      <c r="D1976" s="14" t="s">
        <v>7965</v>
      </c>
      <c r="E1976" s="6" t="str">
        <f>HYPERLINK("https://twitter.com/machinelearnflx/status/1364059554930167813","1364059554930167813")</f>
        <v>1364059554930167813</v>
      </c>
      <c r="F1976" s="7" t="s">
        <v>7966</v>
      </c>
      <c r="G1976" s="8"/>
      <c r="H1976" s="8"/>
      <c r="I1976" s="14">
        <v>7</v>
      </c>
      <c r="J1976" s="14">
        <v>7</v>
      </c>
      <c r="K1976" s="6" t="str">
        <f t="shared" ref="K1976:K1977" si="364">HYPERLINK("https://twitter.com/pythonbot_","Postmatico")</f>
        <v>Postmatico</v>
      </c>
      <c r="L1976" s="15">
        <v>90451</v>
      </c>
      <c r="M1976" s="15">
        <v>35464</v>
      </c>
      <c r="N1976" s="15">
        <v>2228</v>
      </c>
      <c r="O1976" s="9"/>
      <c r="P1976" s="10">
        <v>42386.538865740746</v>
      </c>
      <c r="Q1976" s="8"/>
      <c r="R1976" s="14" t="s">
        <v>282</v>
      </c>
      <c r="S1976" s="7" t="s">
        <v>283</v>
      </c>
      <c r="T1976" s="8"/>
      <c r="U1976" s="11" t="str">
        <f t="shared" ref="U1976:U1977" si="365">HYPERLINK("https://pbs.twimg.com/profile_images/688735459892195329/v8sHaWSG.jpg","View")</f>
        <v>View</v>
      </c>
      <c r="V1976" s="8"/>
      <c r="W1976" s="8"/>
      <c r="X1976" s="8"/>
      <c r="Y1976" s="8"/>
      <c r="Z1976" s="8"/>
    </row>
    <row r="1977" spans="1:26" ht="13.2">
      <c r="A1977" s="13">
        <v>44250.199594907404</v>
      </c>
      <c r="B1977" s="6" t="str">
        <f t="shared" si="363"/>
        <v>@machinelearnflx</v>
      </c>
      <c r="C1977" s="14" t="s">
        <v>279</v>
      </c>
      <c r="D1977" s="14" t="s">
        <v>7967</v>
      </c>
      <c r="E1977" s="6" t="str">
        <f>HYPERLINK("https://twitter.com/machinelearnflx/status/1364059260414545922","1364059260414545922")</f>
        <v>1364059260414545922</v>
      </c>
      <c r="F1977" s="7" t="s">
        <v>7968</v>
      </c>
      <c r="G1977" s="8"/>
      <c r="H1977" s="8"/>
      <c r="I1977" s="14">
        <v>4</v>
      </c>
      <c r="J1977" s="14">
        <v>6</v>
      </c>
      <c r="K1977" s="6" t="str">
        <f t="shared" si="364"/>
        <v>Postmatico</v>
      </c>
      <c r="L1977" s="15">
        <v>90451</v>
      </c>
      <c r="M1977" s="15">
        <v>35464</v>
      </c>
      <c r="N1977" s="15">
        <v>2228</v>
      </c>
      <c r="O1977" s="9"/>
      <c r="P1977" s="10">
        <v>42386.538865740746</v>
      </c>
      <c r="Q1977" s="8"/>
      <c r="R1977" s="14" t="s">
        <v>282</v>
      </c>
      <c r="S1977" s="7" t="s">
        <v>283</v>
      </c>
      <c r="T1977" s="8"/>
      <c r="U1977" s="11" t="str">
        <f t="shared" si="365"/>
        <v>View</v>
      </c>
      <c r="V1977" s="8"/>
      <c r="W1977" s="8"/>
      <c r="X1977" s="8"/>
      <c r="Y1977" s="8"/>
      <c r="Z1977" s="8"/>
    </row>
    <row r="1978" spans="1:26" ht="13.2">
      <c r="A1978" s="13">
        <v>44250.199363425927</v>
      </c>
      <c r="B1978" s="6" t="str">
        <f>HYPERLINK("https://twitter.com/Fabriziobustama","@Fabriziobustama")</f>
        <v>@Fabriziobustama</v>
      </c>
      <c r="C1978" s="14" t="s">
        <v>7969</v>
      </c>
      <c r="D1978" s="14" t="s">
        <v>7970</v>
      </c>
      <c r="E1978" s="6" t="str">
        <f>HYPERLINK("https://twitter.com/Fabriziobustama/status/1364059175794462721","1364059175794462721")</f>
        <v>1364059175794462721</v>
      </c>
      <c r="F1978" s="8"/>
      <c r="G1978" s="7" t="s">
        <v>7971</v>
      </c>
      <c r="H1978" s="8"/>
      <c r="I1978" s="14">
        <v>23</v>
      </c>
      <c r="J1978" s="14">
        <v>28</v>
      </c>
      <c r="K1978" s="6" t="str">
        <f>HYPERLINK("http://twitter.com/download/android","Twitter for Android")</f>
        <v>Twitter for Android</v>
      </c>
      <c r="L1978" s="15">
        <v>29476</v>
      </c>
      <c r="M1978" s="15">
        <v>7792</v>
      </c>
      <c r="N1978" s="15">
        <v>774</v>
      </c>
      <c r="O1978" s="9"/>
      <c r="P1978" s="10">
        <v>40723.746944444443</v>
      </c>
      <c r="Q1978" s="8"/>
      <c r="R1978" s="14" t="s">
        <v>7972</v>
      </c>
      <c r="S1978" s="7" t="s">
        <v>7973</v>
      </c>
      <c r="T1978" s="8"/>
      <c r="U1978" s="11" t="str">
        <f>HYPERLINK("https://pbs.twimg.com/profile_images/1090266389724549126/TYtz96Vb.jpg","View")</f>
        <v>View</v>
      </c>
      <c r="V1978" s="8"/>
      <c r="W1978" s="8"/>
      <c r="X1978" s="8"/>
      <c r="Y1978" s="8"/>
      <c r="Z1978" s="8"/>
    </row>
    <row r="1979" spans="1:26" ht="13.2">
      <c r="A1979" s="13">
        <v>44250.19930555555</v>
      </c>
      <c r="B1979" s="6" t="str">
        <f>HYPERLINK("https://twitter.com/rzembo","@rzembo")</f>
        <v>@rzembo</v>
      </c>
      <c r="C1979" s="14" t="s">
        <v>7974</v>
      </c>
      <c r="D1979" s="14" t="s">
        <v>7975</v>
      </c>
      <c r="E1979" s="6" t="str">
        <f>HYPERLINK("https://twitter.com/rzembo/status/1364059158329384961","1364059158329384961")</f>
        <v>1364059158329384961</v>
      </c>
      <c r="F1979" s="7" t="s">
        <v>7976</v>
      </c>
      <c r="G1979" s="8"/>
      <c r="H1979" s="8"/>
      <c r="I1979" s="14">
        <v>1</v>
      </c>
      <c r="J1979" s="14">
        <v>0</v>
      </c>
      <c r="K1979" s="6" t="str">
        <f t="shared" ref="K1979:K1980" si="366">HYPERLINK("https://buffer.com","Buffer")</f>
        <v>Buffer</v>
      </c>
      <c r="L1979" s="15">
        <v>5473</v>
      </c>
      <c r="M1979" s="15">
        <v>5956</v>
      </c>
      <c r="N1979" s="15">
        <v>217</v>
      </c>
      <c r="O1979" s="9"/>
      <c r="P1979" s="10">
        <v>39675.932523148149</v>
      </c>
      <c r="Q1979" s="14" t="s">
        <v>7977</v>
      </c>
      <c r="R1979" s="14" t="s">
        <v>7978</v>
      </c>
      <c r="S1979" s="8"/>
      <c r="T1979" s="8"/>
      <c r="U1979" s="11" t="str">
        <f>HYPERLINK("https://pbs.twimg.com/profile_images/761975642300743680/QaDftVzk.jpg","View")</f>
        <v>View</v>
      </c>
      <c r="V1979" s="8"/>
      <c r="W1979" s="8"/>
      <c r="X1979" s="8"/>
      <c r="Y1979" s="8"/>
      <c r="Z1979" s="8"/>
    </row>
    <row r="1980" spans="1:26" ht="13.2">
      <c r="A1980" s="13">
        <v>44250.197939814811</v>
      </c>
      <c r="B1980" s="6" t="str">
        <f>HYPERLINK("https://twitter.com/fintech_S2T","@fintech_S2T")</f>
        <v>@fintech_S2T</v>
      </c>
      <c r="C1980" s="14" t="s">
        <v>7979</v>
      </c>
      <c r="D1980" s="14" t="s">
        <v>7980</v>
      </c>
      <c r="E1980" s="6" t="str">
        <f>HYPERLINK("https://twitter.com/fintech_S2T/status/1364058662067658754","1364058662067658754")</f>
        <v>1364058662067658754</v>
      </c>
      <c r="F1980" s="8"/>
      <c r="G1980" s="7" t="s">
        <v>7981</v>
      </c>
      <c r="H1980" s="8"/>
      <c r="I1980" s="14">
        <v>0</v>
      </c>
      <c r="J1980" s="14">
        <v>3</v>
      </c>
      <c r="K1980" s="6" t="str">
        <f t="shared" si="366"/>
        <v>Buffer</v>
      </c>
      <c r="L1980" s="15">
        <v>268</v>
      </c>
      <c r="M1980" s="15">
        <v>419</v>
      </c>
      <c r="N1980" s="15">
        <v>0</v>
      </c>
      <c r="O1980" s="9"/>
      <c r="P1980" s="10">
        <v>43104.264849537038</v>
      </c>
      <c r="Q1980" s="14" t="s">
        <v>2222</v>
      </c>
      <c r="R1980" s="14" t="s">
        <v>7982</v>
      </c>
      <c r="S1980" s="7" t="s">
        <v>7983</v>
      </c>
      <c r="T1980" s="8"/>
      <c r="U1980" s="11" t="str">
        <f>HYPERLINK("https://pbs.twimg.com/profile_images/955753019211096065/7FGl2Wv7.jpg","View")</f>
        <v>View</v>
      </c>
      <c r="V1980" s="8"/>
      <c r="W1980" s="8"/>
      <c r="X1980" s="8"/>
      <c r="Y1980" s="8"/>
      <c r="Z1980" s="8"/>
    </row>
    <row r="1981" spans="1:26" ht="13.2">
      <c r="A1981" s="13">
        <v>44250.195648148147</v>
      </c>
      <c r="B1981" s="6" t="str">
        <f>HYPERLINK("https://twitter.com/aravind_ml","@aravind_ml")</f>
        <v>@aravind_ml</v>
      </c>
      <c r="C1981" s="14" t="s">
        <v>7984</v>
      </c>
      <c r="D1981" s="14" t="s">
        <v>7985</v>
      </c>
      <c r="E1981" s="6" t="str">
        <f>HYPERLINK("https://twitter.com/aravind_ml/status/1364057831117258752","1364057831117258752")</f>
        <v>1364057831117258752</v>
      </c>
      <c r="F1981" s="8"/>
      <c r="G1981" s="8"/>
      <c r="H1981" s="8"/>
      <c r="I1981" s="14">
        <v>2</v>
      </c>
      <c r="J1981" s="14">
        <v>1</v>
      </c>
      <c r="K1981" s="6" t="str">
        <f>HYPERLINK("https://mobile.twitter.com","Twitter Web App")</f>
        <v>Twitter Web App</v>
      </c>
      <c r="L1981" s="15">
        <v>59</v>
      </c>
      <c r="M1981" s="15">
        <v>286</v>
      </c>
      <c r="N1981" s="15">
        <v>1</v>
      </c>
      <c r="O1981" s="9"/>
      <c r="P1981" s="10">
        <v>41784.763159722221</v>
      </c>
      <c r="Q1981" s="14" t="s">
        <v>7986</v>
      </c>
      <c r="R1981" s="14" t="s">
        <v>7987</v>
      </c>
      <c r="S1981" s="7" t="s">
        <v>7988</v>
      </c>
      <c r="T1981" s="8"/>
      <c r="U1981" s="11" t="str">
        <f>HYPERLINK("https://pbs.twimg.com/profile_images/781780682481729537/mjZ2UG2P.jpg","View")</f>
        <v>View</v>
      </c>
      <c r="V1981" s="8"/>
      <c r="W1981" s="8"/>
      <c r="X1981" s="8"/>
      <c r="Y1981" s="8"/>
      <c r="Z1981" s="8"/>
    </row>
    <row r="1982" spans="1:26" ht="13.2">
      <c r="A1982" s="13">
        <v>44250.193645833337</v>
      </c>
      <c r="B1982" s="6" t="str">
        <f>HYPERLINK("https://twitter.com/techopcode","@techopcode")</f>
        <v>@techopcode</v>
      </c>
      <c r="C1982" s="14" t="s">
        <v>7989</v>
      </c>
      <c r="D1982" s="14" t="s">
        <v>7990</v>
      </c>
      <c r="E1982" s="6" t="str">
        <f>HYPERLINK("https://twitter.com/techopcode/status/1364057105309687814","1364057105309687814")</f>
        <v>1364057105309687814</v>
      </c>
      <c r="F1982" s="7" t="s">
        <v>7991</v>
      </c>
      <c r="G1982" s="8"/>
      <c r="H1982" s="8"/>
      <c r="I1982" s="14">
        <v>20</v>
      </c>
      <c r="J1982" s="14">
        <v>7</v>
      </c>
      <c r="K1982" s="6" t="str">
        <f t="shared" ref="K1982:K1987" si="367">HYPERLINK("http://www.tweetcaster.com","TweetCaster for Android")</f>
        <v>TweetCaster for Android</v>
      </c>
      <c r="L1982" s="15">
        <v>10664</v>
      </c>
      <c r="M1982" s="15">
        <v>9185</v>
      </c>
      <c r="N1982" s="15">
        <v>892</v>
      </c>
      <c r="O1982" s="9"/>
      <c r="P1982" s="10">
        <v>42210.592175925922</v>
      </c>
      <c r="Q1982" s="14" t="s">
        <v>364</v>
      </c>
      <c r="R1982" s="14" t="s">
        <v>7992</v>
      </c>
      <c r="S1982" s="8"/>
      <c r="T1982" s="8"/>
      <c r="U1982" s="11" t="str">
        <f>HYPERLINK("https://pbs.twimg.com/profile_images/1306930385448701954/2Id5yJKD.jpg","View")</f>
        <v>View</v>
      </c>
      <c r="V1982" s="8"/>
      <c r="W1982" s="8"/>
      <c r="X1982" s="8"/>
      <c r="Y1982" s="8"/>
      <c r="Z1982" s="8"/>
    </row>
    <row r="1983" spans="1:26" ht="13.2">
      <c r="A1983" s="13">
        <v>44250.19363425926</v>
      </c>
      <c r="B1983" s="6" t="str">
        <f>HYPERLINK("https://twitter.com/thisisgulshan","@thisisgulshan")</f>
        <v>@thisisgulshan</v>
      </c>
      <c r="C1983" s="14" t="s">
        <v>7993</v>
      </c>
      <c r="D1983" s="14" t="s">
        <v>7990</v>
      </c>
      <c r="E1983" s="6" t="str">
        <f>HYPERLINK("https://twitter.com/thisisgulshan/status/1364057100234579971","1364057100234579971")</f>
        <v>1364057100234579971</v>
      </c>
      <c r="F1983" s="7" t="s">
        <v>7991</v>
      </c>
      <c r="G1983" s="8"/>
      <c r="H1983" s="8"/>
      <c r="I1983" s="14">
        <v>19</v>
      </c>
      <c r="J1983" s="14">
        <v>6</v>
      </c>
      <c r="K1983" s="6" t="str">
        <f t="shared" si="367"/>
        <v>TweetCaster for Android</v>
      </c>
      <c r="L1983" s="15">
        <v>5148</v>
      </c>
      <c r="M1983" s="15">
        <v>4253</v>
      </c>
      <c r="N1983" s="15">
        <v>255</v>
      </c>
      <c r="O1983" s="9"/>
      <c r="P1983" s="10">
        <v>41587.857685185183</v>
      </c>
      <c r="Q1983" s="14" t="s">
        <v>6970</v>
      </c>
      <c r="R1983" s="14" t="s">
        <v>7994</v>
      </c>
      <c r="S1983" s="7" t="s">
        <v>7995</v>
      </c>
      <c r="T1983" s="8"/>
      <c r="U1983" s="11" t="str">
        <f>HYPERLINK("https://pbs.twimg.com/profile_images/1321352269359542272/xMtucH6-.jpg","View")</f>
        <v>View</v>
      </c>
      <c r="V1983" s="8"/>
      <c r="W1983" s="8"/>
      <c r="X1983" s="8"/>
      <c r="Y1983" s="8"/>
      <c r="Z1983" s="8"/>
    </row>
    <row r="1984" spans="1:26" ht="13.2">
      <c r="A1984" s="13">
        <v>44250.19332175926</v>
      </c>
      <c r="B1984" s="6" t="str">
        <f>HYPERLINK("https://twitter.com/techopcode","@techopcode")</f>
        <v>@techopcode</v>
      </c>
      <c r="C1984" s="14" t="s">
        <v>7989</v>
      </c>
      <c r="D1984" s="14" t="s">
        <v>7996</v>
      </c>
      <c r="E1984" s="6" t="str">
        <f>HYPERLINK("https://twitter.com/techopcode/status/1364056989425278976","1364056989425278976")</f>
        <v>1364056989425278976</v>
      </c>
      <c r="F1984" s="7" t="s">
        <v>7997</v>
      </c>
      <c r="G1984" s="8"/>
      <c r="H1984" s="8"/>
      <c r="I1984" s="14">
        <v>16</v>
      </c>
      <c r="J1984" s="14">
        <v>7</v>
      </c>
      <c r="K1984" s="6" t="str">
        <f t="shared" si="367"/>
        <v>TweetCaster for Android</v>
      </c>
      <c r="L1984" s="15">
        <v>10664</v>
      </c>
      <c r="M1984" s="15">
        <v>9185</v>
      </c>
      <c r="N1984" s="15">
        <v>892</v>
      </c>
      <c r="O1984" s="9"/>
      <c r="P1984" s="10">
        <v>42210.592175925922</v>
      </c>
      <c r="Q1984" s="14" t="s">
        <v>364</v>
      </c>
      <c r="R1984" s="14" t="s">
        <v>7992</v>
      </c>
      <c r="S1984" s="8"/>
      <c r="T1984" s="8"/>
      <c r="U1984" s="11" t="str">
        <f>HYPERLINK("https://pbs.twimg.com/profile_images/1306930385448701954/2Id5yJKD.jpg","View")</f>
        <v>View</v>
      </c>
      <c r="V1984" s="8"/>
      <c r="W1984" s="8"/>
      <c r="X1984" s="8"/>
      <c r="Y1984" s="8"/>
      <c r="Z1984" s="8"/>
    </row>
    <row r="1985" spans="1:26" ht="13.2">
      <c r="A1985" s="13">
        <v>44250.19332175926</v>
      </c>
      <c r="B1985" s="6" t="str">
        <f>HYPERLINK("https://twitter.com/thisisgulshan","@thisisgulshan")</f>
        <v>@thisisgulshan</v>
      </c>
      <c r="C1985" s="14" t="s">
        <v>7993</v>
      </c>
      <c r="D1985" s="14" t="s">
        <v>7996</v>
      </c>
      <c r="E1985" s="6" t="str">
        <f>HYPERLINK("https://twitter.com/thisisgulshan/status/1364056985809809414","1364056985809809414")</f>
        <v>1364056985809809414</v>
      </c>
      <c r="F1985" s="7" t="s">
        <v>7997</v>
      </c>
      <c r="G1985" s="8"/>
      <c r="H1985" s="8"/>
      <c r="I1985" s="14">
        <v>21</v>
      </c>
      <c r="J1985" s="14">
        <v>11</v>
      </c>
      <c r="K1985" s="6" t="str">
        <f t="shared" si="367"/>
        <v>TweetCaster for Android</v>
      </c>
      <c r="L1985" s="15">
        <v>5148</v>
      </c>
      <c r="M1985" s="15">
        <v>4253</v>
      </c>
      <c r="N1985" s="15">
        <v>255</v>
      </c>
      <c r="O1985" s="9"/>
      <c r="P1985" s="10">
        <v>41587.857685185183</v>
      </c>
      <c r="Q1985" s="14" t="s">
        <v>6970</v>
      </c>
      <c r="R1985" s="14" t="s">
        <v>7994</v>
      </c>
      <c r="S1985" s="7" t="s">
        <v>7995</v>
      </c>
      <c r="T1985" s="8"/>
      <c r="U1985" s="11" t="str">
        <f>HYPERLINK("https://pbs.twimg.com/profile_images/1321352269359542272/xMtucH6-.jpg","View")</f>
        <v>View</v>
      </c>
      <c r="V1985" s="8"/>
      <c r="W1985" s="8"/>
      <c r="X1985" s="8"/>
      <c r="Y1985" s="8"/>
      <c r="Z1985" s="8"/>
    </row>
    <row r="1986" spans="1:26" ht="13.2">
      <c r="A1986" s="13">
        <v>44250.191423611112</v>
      </c>
      <c r="B1986" s="6" t="str">
        <f>HYPERLINK("https://twitter.com/techopcode","@techopcode")</f>
        <v>@techopcode</v>
      </c>
      <c r="C1986" s="14" t="s">
        <v>7989</v>
      </c>
      <c r="D1986" s="14" t="s">
        <v>7998</v>
      </c>
      <c r="E1986" s="6" t="str">
        <f>HYPERLINK("https://twitter.com/techopcode/status/1364056300854763522","1364056300854763522")</f>
        <v>1364056300854763522</v>
      </c>
      <c r="F1986" s="7" t="s">
        <v>7999</v>
      </c>
      <c r="G1986" s="8"/>
      <c r="H1986" s="8"/>
      <c r="I1986" s="14">
        <v>13</v>
      </c>
      <c r="J1986" s="14">
        <v>7</v>
      </c>
      <c r="K1986" s="6" t="str">
        <f t="shared" si="367"/>
        <v>TweetCaster for Android</v>
      </c>
      <c r="L1986" s="15">
        <v>10664</v>
      </c>
      <c r="M1986" s="15">
        <v>9185</v>
      </c>
      <c r="N1986" s="15">
        <v>892</v>
      </c>
      <c r="O1986" s="9"/>
      <c r="P1986" s="10">
        <v>42210.592175925922</v>
      </c>
      <c r="Q1986" s="14" t="s">
        <v>364</v>
      </c>
      <c r="R1986" s="14" t="s">
        <v>7992</v>
      </c>
      <c r="S1986" s="8"/>
      <c r="T1986" s="8"/>
      <c r="U1986" s="11" t="str">
        <f>HYPERLINK("https://pbs.twimg.com/profile_images/1306930385448701954/2Id5yJKD.jpg","View")</f>
        <v>View</v>
      </c>
      <c r="V1986" s="8"/>
      <c r="W1986" s="8"/>
      <c r="X1986" s="8"/>
      <c r="Y1986" s="8"/>
      <c r="Z1986" s="8"/>
    </row>
    <row r="1987" spans="1:26" ht="13.2">
      <c r="A1987" s="13">
        <v>44250.191412037035</v>
      </c>
      <c r="B1987" s="6" t="str">
        <f>HYPERLINK("https://twitter.com/thisisgulshan","@thisisgulshan")</f>
        <v>@thisisgulshan</v>
      </c>
      <c r="C1987" s="14" t="s">
        <v>7993</v>
      </c>
      <c r="D1987" s="14" t="s">
        <v>7998</v>
      </c>
      <c r="E1987" s="6" t="str">
        <f>HYPERLINK("https://twitter.com/thisisgulshan/status/1364056296542990336","1364056296542990336")</f>
        <v>1364056296542990336</v>
      </c>
      <c r="F1987" s="7" t="s">
        <v>7999</v>
      </c>
      <c r="G1987" s="8"/>
      <c r="H1987" s="8"/>
      <c r="I1987" s="14">
        <v>28</v>
      </c>
      <c r="J1987" s="14">
        <v>18</v>
      </c>
      <c r="K1987" s="6" t="str">
        <f t="shared" si="367"/>
        <v>TweetCaster for Android</v>
      </c>
      <c r="L1987" s="15">
        <v>5148</v>
      </c>
      <c r="M1987" s="15">
        <v>4253</v>
      </c>
      <c r="N1987" s="15">
        <v>255</v>
      </c>
      <c r="O1987" s="9"/>
      <c r="P1987" s="10">
        <v>41587.857685185183</v>
      </c>
      <c r="Q1987" s="14" t="s">
        <v>6970</v>
      </c>
      <c r="R1987" s="14" t="s">
        <v>7994</v>
      </c>
      <c r="S1987" s="7" t="s">
        <v>7995</v>
      </c>
      <c r="T1987" s="8"/>
      <c r="U1987" s="11" t="str">
        <f>HYPERLINK("https://pbs.twimg.com/profile_images/1321352269359542272/xMtucH6-.jpg","View")</f>
        <v>View</v>
      </c>
      <c r="V1987" s="8"/>
      <c r="W1987" s="8"/>
      <c r="X1987" s="8"/>
      <c r="Y1987" s="8"/>
      <c r="Z1987" s="8"/>
    </row>
    <row r="1988" spans="1:26" ht="13.2">
      <c r="A1988" s="13">
        <v>44250.191203703704</v>
      </c>
      <c r="B1988" s="6" t="str">
        <f>HYPERLINK("https://twitter.com/MichaelMallari","@MichaelMallari")</f>
        <v>@MichaelMallari</v>
      </c>
      <c r="C1988" s="14" t="s">
        <v>638</v>
      </c>
      <c r="D1988" s="14" t="s">
        <v>8000</v>
      </c>
      <c r="E1988" s="6" t="str">
        <f>HYPERLINK("https://twitter.com/MichaelMallari/status/1364056221616119811","1364056221616119811")</f>
        <v>1364056221616119811</v>
      </c>
      <c r="F1988" s="14" t="s">
        <v>4954</v>
      </c>
      <c r="G1988" s="7" t="s">
        <v>4955</v>
      </c>
      <c r="H1988" s="8"/>
      <c r="I1988" s="14">
        <v>1</v>
      </c>
      <c r="J1988" s="14">
        <v>0</v>
      </c>
      <c r="K1988" s="6" t="str">
        <f>HYPERLINK("https://ifttt.com","IFTTT")</f>
        <v>IFTTT</v>
      </c>
      <c r="L1988" s="15">
        <v>323</v>
      </c>
      <c r="M1988" s="15">
        <v>877</v>
      </c>
      <c r="N1988" s="15">
        <v>31</v>
      </c>
      <c r="O1988" s="9"/>
      <c r="P1988" s="10">
        <v>39985.855231481481</v>
      </c>
      <c r="Q1988" s="14" t="s">
        <v>642</v>
      </c>
      <c r="R1988" s="14" t="s">
        <v>643</v>
      </c>
      <c r="S1988" s="7" t="s">
        <v>644</v>
      </c>
      <c r="T1988" s="8"/>
      <c r="U1988" s="11" t="str">
        <f>HYPERLINK("https://pbs.twimg.com/profile_images/1238625460239532032/OJW4jiyV.jpg","View")</f>
        <v>View</v>
      </c>
      <c r="V1988" s="8"/>
      <c r="W1988" s="8"/>
      <c r="X1988" s="8"/>
      <c r="Y1988" s="8"/>
      <c r="Z1988" s="8"/>
    </row>
    <row r="1989" spans="1:26" ht="13.2">
      <c r="A1989" s="13">
        <v>44250.191122685181</v>
      </c>
      <c r="B1989" s="6" t="str">
        <f>HYPERLINK("https://twitter.com/AISydneyEvents","@AISydneyEvents")</f>
        <v>@AISydneyEvents</v>
      </c>
      <c r="C1989" s="14" t="s">
        <v>8001</v>
      </c>
      <c r="D1989" s="14" t="s">
        <v>8002</v>
      </c>
      <c r="E1989" s="6" t="str">
        <f>HYPERLINK("https://twitter.com/AISydneyEvents/status/1364056192306343941","1364056192306343941")</f>
        <v>1364056192306343941</v>
      </c>
      <c r="F1989" s="7" t="s">
        <v>8003</v>
      </c>
      <c r="G1989" s="7" t="s">
        <v>8004</v>
      </c>
      <c r="H1989" s="8"/>
      <c r="I1989" s="14">
        <v>0</v>
      </c>
      <c r="J1989" s="14">
        <v>1</v>
      </c>
      <c r="K1989" s="6" t="str">
        <f>HYPERLINK("https://app.sendible.com","Sendible")</f>
        <v>Sendible</v>
      </c>
      <c r="L1989" s="15">
        <v>175</v>
      </c>
      <c r="M1989" s="15">
        <v>18</v>
      </c>
      <c r="N1989" s="15">
        <v>3</v>
      </c>
      <c r="O1989" s="9"/>
      <c r="P1989" s="10">
        <v>42954.322604166664</v>
      </c>
      <c r="Q1989" s="14" t="s">
        <v>1965</v>
      </c>
      <c r="R1989" s="14" t="s">
        <v>8005</v>
      </c>
      <c r="S1989" s="7" t="s">
        <v>8006</v>
      </c>
      <c r="T1989" s="8"/>
      <c r="U1989" s="11" t="str">
        <f>HYPERLINK("https://pbs.twimg.com/profile_images/894437378349178880/vaLVmWE8.jpg","View")</f>
        <v>View</v>
      </c>
      <c r="V1989" s="8"/>
      <c r="W1989" s="8"/>
      <c r="X1989" s="8"/>
      <c r="Y1989" s="8"/>
      <c r="Z1989" s="8"/>
    </row>
    <row r="1990" spans="1:26" ht="13.2">
      <c r="A1990" s="13">
        <v>44250.189675925925</v>
      </c>
      <c r="B1990" s="6" t="str">
        <f>HYPERLINK("https://twitter.com/enetwork_ai","@enetwork_ai")</f>
        <v>@enetwork_ai</v>
      </c>
      <c r="C1990" s="7" t="s">
        <v>8007</v>
      </c>
      <c r="D1990" s="14" t="s">
        <v>8008</v>
      </c>
      <c r="E1990" s="6" t="str">
        <f>HYPERLINK("https://twitter.com/enetwork_ai/status/1364055668034990091","1364055668034990091")</f>
        <v>1364055668034990091</v>
      </c>
      <c r="F1990" s="7" t="s">
        <v>8009</v>
      </c>
      <c r="G1990" s="8"/>
      <c r="H1990" s="8"/>
      <c r="I1990" s="14">
        <v>0</v>
      </c>
      <c r="J1990" s="14">
        <v>2</v>
      </c>
      <c r="K1990" s="6" t="str">
        <f>HYPERLINK("http://twitter.com/download/android","Twitter for Android")</f>
        <v>Twitter for Android</v>
      </c>
      <c r="L1990" s="15">
        <v>35</v>
      </c>
      <c r="M1990" s="15">
        <v>115</v>
      </c>
      <c r="N1990" s="15">
        <v>0</v>
      </c>
      <c r="O1990" s="9"/>
      <c r="P1990" s="10">
        <v>43584.35292824074</v>
      </c>
      <c r="Q1990" s="14" t="s">
        <v>8010</v>
      </c>
      <c r="R1990" s="14" t="s">
        <v>8011</v>
      </c>
      <c r="S1990" s="7" t="s">
        <v>8012</v>
      </c>
      <c r="T1990" s="8"/>
      <c r="U1990" s="11" t="str">
        <f>HYPERLINK("https://pbs.twimg.com/profile_images/1222506421419294725/z5FLgzby.jpg","View")</f>
        <v>View</v>
      </c>
      <c r="V1990" s="8"/>
      <c r="W1990" s="8"/>
      <c r="X1990" s="8"/>
      <c r="Y1990" s="8"/>
      <c r="Z1990" s="8"/>
    </row>
    <row r="1991" spans="1:26" ht="13.2">
      <c r="A1991" s="13">
        <v>44250.189618055556</v>
      </c>
      <c r="B1991" s="6" t="str">
        <f>HYPERLINK("https://twitter.com/ipfconline1","@ipfconline1")</f>
        <v>@ipfconline1</v>
      </c>
      <c r="C1991" s="14" t="s">
        <v>65</v>
      </c>
      <c r="D1991" s="14" t="s">
        <v>8013</v>
      </c>
      <c r="E1991" s="6" t="str">
        <f>HYPERLINK("https://twitter.com/ipfconline1/status/1364055645079678978","1364055645079678978")</f>
        <v>1364055645079678978</v>
      </c>
      <c r="F1991" s="7" t="s">
        <v>8014</v>
      </c>
      <c r="G1991" s="7" t="s">
        <v>8015</v>
      </c>
      <c r="H1991" s="8"/>
      <c r="I1991" s="14">
        <v>21</v>
      </c>
      <c r="J1991" s="14">
        <v>14</v>
      </c>
      <c r="K1991" s="6" t="str">
        <f>HYPERLINK("https://twittimer.com","Twittimer")</f>
        <v>Twittimer</v>
      </c>
      <c r="L1991" s="15">
        <v>112675</v>
      </c>
      <c r="M1991" s="15">
        <v>107162</v>
      </c>
      <c r="N1991" s="15">
        <v>7806</v>
      </c>
      <c r="O1991" s="9"/>
      <c r="P1991" s="10">
        <v>42433.031967592593</v>
      </c>
      <c r="Q1991" s="14" t="s">
        <v>69</v>
      </c>
      <c r="R1991" s="14" t="s">
        <v>70</v>
      </c>
      <c r="S1991" s="7" t="s">
        <v>71</v>
      </c>
      <c r="T1991" s="8"/>
      <c r="U1991" s="11" t="str">
        <f>HYPERLINK("https://pbs.twimg.com/profile_images/729065804004769793/St2_Pum9.jpg","View")</f>
        <v>View</v>
      </c>
      <c r="V1991" s="8"/>
      <c r="W1991" s="8"/>
      <c r="X1991" s="8"/>
      <c r="Y1991" s="8"/>
      <c r="Z1991" s="8"/>
    </row>
    <row r="1992" spans="1:26" ht="13.2">
      <c r="A1992" s="13">
        <v>44250.18822916667</v>
      </c>
      <c r="B1992" s="6" t="str">
        <f>HYPERLINK("https://twitter.com/clari5_AI","@clari5_AI")</f>
        <v>@clari5_AI</v>
      </c>
      <c r="C1992" s="14" t="s">
        <v>8016</v>
      </c>
      <c r="D1992" s="14" t="s">
        <v>8017</v>
      </c>
      <c r="E1992" s="6" t="str">
        <f>HYPERLINK("https://twitter.com/clari5_AI/status/1364055143004561410","1364055143004561410")</f>
        <v>1364055143004561410</v>
      </c>
      <c r="F1992" s="7" t="s">
        <v>8018</v>
      </c>
      <c r="G1992" s="7" t="s">
        <v>8019</v>
      </c>
      <c r="H1992" s="8"/>
      <c r="I1992" s="14">
        <v>1</v>
      </c>
      <c r="J1992" s="14">
        <v>1</v>
      </c>
      <c r="K1992" s="6" t="str">
        <f>HYPERLINK("https://social.zoho.com","Zoho Social")</f>
        <v>Zoho Social</v>
      </c>
      <c r="L1992" s="15">
        <v>1642</v>
      </c>
      <c r="M1992" s="15">
        <v>2012</v>
      </c>
      <c r="N1992" s="15">
        <v>223</v>
      </c>
      <c r="O1992" s="9"/>
      <c r="P1992" s="10">
        <v>40456.51152777778</v>
      </c>
      <c r="Q1992" s="14" t="s">
        <v>8020</v>
      </c>
      <c r="R1992" s="14" t="s">
        <v>8021</v>
      </c>
      <c r="S1992" s="7" t="s">
        <v>8022</v>
      </c>
      <c r="T1992" s="8"/>
      <c r="U1992" s="11" t="str">
        <f>HYPERLINK("https://pbs.twimg.com/profile_images/799700931638009856/pomFSDhK.jpg","View")</f>
        <v>View</v>
      </c>
      <c r="V1992" s="8"/>
      <c r="W1992" s="8"/>
      <c r="X1992" s="8"/>
      <c r="Y1992" s="8"/>
      <c r="Z1992" s="8"/>
    </row>
    <row r="1993" spans="1:26" ht="13.2">
      <c r="A1993" s="13">
        <v>44250.188020833331</v>
      </c>
      <c r="B1993" s="6" t="str">
        <f>HYPERLINK("https://twitter.com/into_AI","@into_AI")</f>
        <v>@into_AI</v>
      </c>
      <c r="C1993" s="14" t="s">
        <v>2021</v>
      </c>
      <c r="D1993" s="14" t="s">
        <v>8023</v>
      </c>
      <c r="E1993" s="6" t="str">
        <f>HYPERLINK("https://twitter.com/into_AI/status/1364055067821760517","1364055067821760517")</f>
        <v>1364055067821760517</v>
      </c>
      <c r="F1993" s="7" t="s">
        <v>8024</v>
      </c>
      <c r="G1993" s="8"/>
      <c r="H1993" s="8"/>
      <c r="I1993" s="14">
        <v>0</v>
      </c>
      <c r="J1993" s="14">
        <v>0</v>
      </c>
      <c r="K1993" s="6" t="str">
        <f>HYPERLINK("http://into.AI","into.AI")</f>
        <v>into.AI</v>
      </c>
      <c r="L1993" s="15">
        <v>19374</v>
      </c>
      <c r="M1993" s="15">
        <v>1707</v>
      </c>
      <c r="N1993" s="15">
        <v>3164</v>
      </c>
      <c r="O1993" s="9"/>
      <c r="P1993" s="10">
        <v>42133.721620370372</v>
      </c>
      <c r="Q1993" s="14" t="s">
        <v>2024</v>
      </c>
      <c r="R1993" s="14" t="s">
        <v>2025</v>
      </c>
      <c r="S1993" s="7" t="s">
        <v>2026</v>
      </c>
      <c r="T1993" s="8"/>
      <c r="U1993" s="11" t="str">
        <f>HYPERLINK("https://pbs.twimg.com/profile_images/967341160124608512/LM2Y5Q5m.jpg","View")</f>
        <v>View</v>
      </c>
      <c r="V1993" s="8"/>
      <c r="W1993" s="8"/>
      <c r="X1993" s="8"/>
      <c r="Y1993" s="8"/>
      <c r="Z1993" s="8"/>
    </row>
    <row r="1994" spans="1:26" ht="13.2">
      <c r="A1994" s="13">
        <v>44250.187581018516</v>
      </c>
      <c r="B1994" s="6" t="str">
        <f>HYPERLINK("https://twitter.com/dp_network","@dp_network")</f>
        <v>@dp_network</v>
      </c>
      <c r="C1994" s="14" t="s">
        <v>8025</v>
      </c>
      <c r="D1994" s="14" t="s">
        <v>8026</v>
      </c>
      <c r="E1994" s="6" t="str">
        <f>HYPERLINK("https://twitter.com/dp_network/status/1364054905477099522","1364054905477099522")</f>
        <v>1364054905477099522</v>
      </c>
      <c r="F1994" s="7" t="s">
        <v>8027</v>
      </c>
      <c r="G1994" s="7" t="s">
        <v>8028</v>
      </c>
      <c r="H1994" s="8"/>
      <c r="I1994" s="14">
        <v>0</v>
      </c>
      <c r="J1994" s="14">
        <v>0</v>
      </c>
      <c r="K1994" s="6" t="str">
        <f>HYPERLINK("https://publer.io","Publer ")</f>
        <v xml:space="preserve">Publer </v>
      </c>
      <c r="L1994" s="15">
        <v>232</v>
      </c>
      <c r="M1994" s="15">
        <v>240</v>
      </c>
      <c r="N1994" s="15">
        <v>22</v>
      </c>
      <c r="O1994" s="9"/>
      <c r="P1994" s="10">
        <v>41397.503865740742</v>
      </c>
      <c r="Q1994" s="14" t="s">
        <v>901</v>
      </c>
      <c r="R1994" s="14" t="s">
        <v>8029</v>
      </c>
      <c r="S1994" s="7" t="s">
        <v>8030</v>
      </c>
      <c r="T1994" s="8"/>
      <c r="U1994" s="11" t="str">
        <f>HYPERLINK("https://pbs.twimg.com/profile_images/1260079059616190466/QRBqDb8h.jpg","View")</f>
        <v>View</v>
      </c>
      <c r="V1994" s="8"/>
      <c r="W1994" s="8"/>
      <c r="X1994" s="8"/>
      <c r="Y1994" s="8"/>
      <c r="Z1994" s="8"/>
    </row>
    <row r="1995" spans="1:26" ht="13.2">
      <c r="A1995" s="13">
        <v>44250.185335648144</v>
      </c>
      <c r="B1995" s="6" t="str">
        <f>HYPERLINK("https://twitter.com/ehsanmok","@ehsanmok")</f>
        <v>@ehsanmok</v>
      </c>
      <c r="C1995" s="14" t="s">
        <v>8031</v>
      </c>
      <c r="D1995" s="14" t="s">
        <v>8032</v>
      </c>
      <c r="E1995" s="6" t="str">
        <f>HYPERLINK("https://twitter.com/ehsanmok/status/1364054095162601474","1364054095162601474")</f>
        <v>1364054095162601474</v>
      </c>
      <c r="F1995" s="8"/>
      <c r="G1995" s="7" t="s">
        <v>8033</v>
      </c>
      <c r="H1995" s="8"/>
      <c r="I1995" s="14">
        <v>2</v>
      </c>
      <c r="J1995" s="14">
        <v>2</v>
      </c>
      <c r="K1995" s="6" t="str">
        <f>HYPERLINK("http://twitter.com/download/android","Twitter for Android")</f>
        <v>Twitter for Android</v>
      </c>
      <c r="L1995" s="15">
        <v>279</v>
      </c>
      <c r="M1995" s="15">
        <v>70</v>
      </c>
      <c r="N1995" s="15">
        <v>47</v>
      </c>
      <c r="O1995" s="9"/>
      <c r="P1995" s="10">
        <v>41823.697604166664</v>
      </c>
      <c r="Q1995" s="14" t="s">
        <v>8034</v>
      </c>
      <c r="R1995" s="14" t="s">
        <v>8035</v>
      </c>
      <c r="S1995" s="7" t="s">
        <v>8036</v>
      </c>
      <c r="T1995" s="8"/>
      <c r="U1995" s="11" t="str">
        <f>HYPERLINK("https://pbs.twimg.com/profile_images/1269269453583204355/1l5-zViG.jpg","View")</f>
        <v>View</v>
      </c>
      <c r="V1995" s="8"/>
      <c r="W1995" s="8"/>
      <c r="X1995" s="8"/>
      <c r="Y1995" s="8"/>
      <c r="Z1995" s="8"/>
    </row>
    <row r="1996" spans="1:26" ht="13.2">
      <c r="A1996" s="13">
        <v>44250.185011574074</v>
      </c>
      <c r="B1996" s="6" t="str">
        <f>HYPERLINK("https://twitter.com/Superdigital9","@Superdigital9")</f>
        <v>@Superdigital9</v>
      </c>
      <c r="C1996" s="14" t="s">
        <v>4132</v>
      </c>
      <c r="D1996" s="14" t="s">
        <v>8037</v>
      </c>
      <c r="E1996" s="6" t="str">
        <f>HYPERLINK("https://twitter.com/Superdigital9/status/1364053978279993345","1364053978279993345")</f>
        <v>1364053978279993345</v>
      </c>
      <c r="F1996" s="14" t="s">
        <v>8038</v>
      </c>
      <c r="G1996" s="8"/>
      <c r="H1996" s="8"/>
      <c r="I1996" s="14">
        <v>1</v>
      </c>
      <c r="J1996" s="14">
        <v>0</v>
      </c>
      <c r="K1996" s="6" t="str">
        <f>HYPERLINK("http://twinybots.com","TwinyBots")</f>
        <v>TwinyBots</v>
      </c>
      <c r="L1996" s="15">
        <v>796</v>
      </c>
      <c r="M1996" s="15">
        <v>1112</v>
      </c>
      <c r="N1996" s="15">
        <v>11</v>
      </c>
      <c r="O1996" s="9"/>
      <c r="P1996" s="10">
        <v>43821.75409722222</v>
      </c>
      <c r="Q1996" s="14" t="s">
        <v>3176</v>
      </c>
      <c r="R1996" s="14" t="s">
        <v>4135</v>
      </c>
      <c r="S1996" s="7" t="s">
        <v>4136</v>
      </c>
      <c r="T1996" s="8"/>
      <c r="U1996" s="11" t="str">
        <f>HYPERLINK("https://pbs.twimg.com/profile_images/1208795846831067138/cpdkWTEq.jpg","View")</f>
        <v>View</v>
      </c>
      <c r="V1996" s="8"/>
      <c r="W1996" s="8"/>
      <c r="X1996" s="8"/>
      <c r="Y1996" s="8"/>
      <c r="Z1996" s="8"/>
    </row>
    <row r="1997" spans="1:26" ht="13.2">
      <c r="A1997" s="13">
        <v>44250.184942129628</v>
      </c>
      <c r="B1997" s="6" t="str">
        <f>HYPERLINK("https://twitter.com/FrostAnand","@FrostAnand")</f>
        <v>@FrostAnand</v>
      </c>
      <c r="C1997" s="14" t="s">
        <v>8039</v>
      </c>
      <c r="D1997" s="14" t="s">
        <v>8040</v>
      </c>
      <c r="E1997" s="6" t="str">
        <f>HYPERLINK("https://twitter.com/FrostAnand/status/1364053952992407552","1364053952992407552")</f>
        <v>1364053952992407552</v>
      </c>
      <c r="F1997" s="7" t="s">
        <v>8041</v>
      </c>
      <c r="G1997" s="8"/>
      <c r="H1997" s="8"/>
      <c r="I1997" s="14">
        <v>1</v>
      </c>
      <c r="J1997" s="14">
        <v>0</v>
      </c>
      <c r="K1997" s="6" t="str">
        <f>HYPERLINK("http://dynamicsignal.com/","Dynamic Signal")</f>
        <v>Dynamic Signal</v>
      </c>
      <c r="L1997" s="15">
        <v>52</v>
      </c>
      <c r="M1997" s="15">
        <v>38</v>
      </c>
      <c r="N1997" s="15">
        <v>9</v>
      </c>
      <c r="O1997" s="9"/>
      <c r="P1997" s="10">
        <v>42158.579432870371</v>
      </c>
      <c r="Q1997" s="8"/>
      <c r="R1997" s="8"/>
      <c r="S1997" s="8"/>
      <c r="T1997" s="8"/>
      <c r="U1997" s="11" t="str">
        <f>HYPERLINK("https://pbs.twimg.com/profile_images/737140193644269568/q296bC5S.jpg","View")</f>
        <v>View</v>
      </c>
      <c r="V1997" s="8"/>
      <c r="W1997" s="8"/>
      <c r="X1997" s="8"/>
      <c r="Y1997" s="8"/>
      <c r="Z1997" s="8"/>
    </row>
    <row r="1998" spans="1:26" ht="13.2">
      <c r="A1998" s="13">
        <v>44250.184710648144</v>
      </c>
      <c r="B1998" s="6" t="str">
        <f>HYPERLINK("https://twitter.com/Vision33_eGov","@Vision33_eGov")</f>
        <v>@Vision33_eGov</v>
      </c>
      <c r="C1998" s="14" t="s">
        <v>8042</v>
      </c>
      <c r="D1998" s="14" t="s">
        <v>8043</v>
      </c>
      <c r="E1998" s="6" t="str">
        <f>HYPERLINK("https://twitter.com/Vision33_eGov/status/1364053866837401608","1364053866837401608")</f>
        <v>1364053866837401608</v>
      </c>
      <c r="F1998" s="7" t="s">
        <v>8044</v>
      </c>
      <c r="G1998" s="8"/>
      <c r="H1998" s="8"/>
      <c r="I1998" s="14">
        <v>1</v>
      </c>
      <c r="J1998" s="14">
        <v>0</v>
      </c>
      <c r="K1998" s="6" t="str">
        <f>HYPERLINK("http://www.hubspot.com/","HubSpot")</f>
        <v>HubSpot</v>
      </c>
      <c r="L1998" s="15">
        <v>82</v>
      </c>
      <c r="M1998" s="15">
        <v>19</v>
      </c>
      <c r="N1998" s="15">
        <v>1</v>
      </c>
      <c r="O1998" s="9"/>
      <c r="P1998" s="10">
        <v>43355.809710648144</v>
      </c>
      <c r="Q1998" s="8"/>
      <c r="R1998" s="14" t="s">
        <v>8045</v>
      </c>
      <c r="S1998" s="7" t="s">
        <v>8046</v>
      </c>
      <c r="T1998" s="8"/>
      <c r="U1998" s="11" t="str">
        <f>HYPERLINK("https://pbs.twimg.com/profile_images/1046525152836562944/sKxeKPsD.jpg","View")</f>
        <v>View</v>
      </c>
      <c r="V1998" s="8"/>
      <c r="W1998" s="8"/>
      <c r="X1998" s="8"/>
      <c r="Y1998" s="8"/>
      <c r="Z1998" s="8"/>
    </row>
    <row r="1999" spans="1:26" ht="13.2">
      <c r="A1999" s="13">
        <v>44250.184305555551</v>
      </c>
      <c r="B1999" s="6" t="str">
        <f>HYPERLINK("https://twitter.com/machinelearnflx","@machinelearnflx")</f>
        <v>@machinelearnflx</v>
      </c>
      <c r="C1999" s="14" t="s">
        <v>279</v>
      </c>
      <c r="D1999" s="14" t="s">
        <v>8047</v>
      </c>
      <c r="E1999" s="6" t="str">
        <f>HYPERLINK("https://twitter.com/machinelearnflx/status/1364053722012262401","1364053722012262401")</f>
        <v>1364053722012262401</v>
      </c>
      <c r="F1999" s="7" t="s">
        <v>8048</v>
      </c>
      <c r="G1999" s="8"/>
      <c r="H1999" s="8"/>
      <c r="I1999" s="14">
        <v>2</v>
      </c>
      <c r="J1999" s="14">
        <v>4</v>
      </c>
      <c r="K1999" s="6" t="str">
        <f>HYPERLINK("https://twitter.com/pythonbot_","Postmatico")</f>
        <v>Postmatico</v>
      </c>
      <c r="L1999" s="15">
        <v>90451</v>
      </c>
      <c r="M1999" s="15">
        <v>35464</v>
      </c>
      <c r="N1999" s="15">
        <v>2228</v>
      </c>
      <c r="O1999" s="9"/>
      <c r="P1999" s="10">
        <v>42386.538865740746</v>
      </c>
      <c r="Q1999" s="8"/>
      <c r="R1999" s="14" t="s">
        <v>282</v>
      </c>
      <c r="S1999" s="7" t="s">
        <v>283</v>
      </c>
      <c r="T1999" s="8"/>
      <c r="U1999" s="11" t="str">
        <f>HYPERLINK("https://pbs.twimg.com/profile_images/688735459892195329/v8sHaWSG.jpg","View")</f>
        <v>View</v>
      </c>
      <c r="V1999" s="8"/>
      <c r="W1999" s="8"/>
      <c r="X1999" s="8"/>
      <c r="Y1999" s="8"/>
      <c r="Z1999" s="8"/>
    </row>
    <row r="2000" spans="1:26" ht="13.2">
      <c r="A2000" s="13">
        <v>44250.178831018522</v>
      </c>
      <c r="B2000" s="6" t="str">
        <f>HYPERLINK("https://twitter.com/SarbottamM","@SarbottamM")</f>
        <v>@SarbottamM</v>
      </c>
      <c r="C2000" s="14" t="s">
        <v>8049</v>
      </c>
      <c r="D2000" s="14" t="s">
        <v>8050</v>
      </c>
      <c r="E2000" s="6" t="str">
        <f>HYPERLINK("https://twitter.com/SarbottamM/status/1364051734780403715","1364051734780403715")</f>
        <v>1364051734780403715</v>
      </c>
      <c r="F2000" s="8"/>
      <c r="G2000" s="7" t="s">
        <v>8051</v>
      </c>
      <c r="H2000" s="8"/>
      <c r="I2000" s="14">
        <v>6</v>
      </c>
      <c r="J2000" s="14">
        <v>3</v>
      </c>
      <c r="K2000" s="6" t="str">
        <f>HYPERLINK("https://mobile.twitter.com","Twitter Web App")</f>
        <v>Twitter Web App</v>
      </c>
      <c r="L2000" s="15">
        <v>8</v>
      </c>
      <c r="M2000" s="15">
        <v>20</v>
      </c>
      <c r="N2000" s="15">
        <v>0</v>
      </c>
      <c r="O2000" s="9"/>
      <c r="P2000" s="10">
        <v>43519.753310185188</v>
      </c>
      <c r="Q2000" s="8"/>
      <c r="R2000" s="8"/>
      <c r="S2000" s="8"/>
      <c r="T2000" s="8"/>
      <c r="U2000" s="11" t="str">
        <f>HYPERLINK("https://pbs.twimg.com/profile_images/1345429440583643137/alE6AhdL.jpg","View")</f>
        <v>View</v>
      </c>
      <c r="V2000" s="8"/>
      <c r="W2000" s="8"/>
      <c r="X2000" s="8"/>
      <c r="Y2000" s="8"/>
      <c r="Z2000" s="8"/>
    </row>
    <row r="2001" spans="1:26" ht="13.2">
      <c r="A2001" s="13">
        <v>44250.177939814814</v>
      </c>
      <c r="B2001" s="6" t="str">
        <f>HYPERLINK("https://twitter.com/AhsanEhtesham1","@AhsanEhtesham1")</f>
        <v>@AhsanEhtesham1</v>
      </c>
      <c r="C2001" s="14" t="s">
        <v>8052</v>
      </c>
      <c r="D2001" s="14" t="s">
        <v>8053</v>
      </c>
      <c r="E2001" s="6" t="str">
        <f>HYPERLINK("https://twitter.com/AhsanEhtesham1/status/1364051415044390912","1364051415044390912")</f>
        <v>1364051415044390912</v>
      </c>
      <c r="F2001" s="14" t="s">
        <v>8054</v>
      </c>
      <c r="G2001" s="8"/>
      <c r="H2001" s="8"/>
      <c r="I2001" s="14">
        <v>2</v>
      </c>
      <c r="J2001" s="14">
        <v>0</v>
      </c>
      <c r="K2001" s="6" t="str">
        <f>HYPERLINK("http://twinybots.com","TwinyBots")</f>
        <v>TwinyBots</v>
      </c>
      <c r="L2001" s="15">
        <v>130</v>
      </c>
      <c r="M2001" s="15">
        <v>59</v>
      </c>
      <c r="N2001" s="15">
        <v>0</v>
      </c>
      <c r="O2001" s="9"/>
      <c r="P2001" s="10">
        <v>43514.85765046296</v>
      </c>
      <c r="Q2001" s="8"/>
      <c r="R2001" s="14" t="s">
        <v>8055</v>
      </c>
      <c r="S2001" s="7" t="s">
        <v>8056</v>
      </c>
      <c r="T2001" s="8"/>
      <c r="U2001" s="11" t="str">
        <f>HYPERLINK("https://pbs.twimg.com/profile_images/1160074672324653057/Uy0y3u39.jpg","View")</f>
        <v>View</v>
      </c>
      <c r="V2001" s="8"/>
      <c r="W2001" s="8"/>
      <c r="X2001" s="8"/>
      <c r="Y2001" s="8"/>
      <c r="Z2001" s="8"/>
    </row>
    <row r="2002" spans="1:26" ht="13.2">
      <c r="A2002" s="13">
        <v>44250.177118055552</v>
      </c>
      <c r="B2002" s="6" t="str">
        <f>HYPERLINK("https://twitter.com/SpirosMargaris","@SpirosMargaris")</f>
        <v>@SpirosMargaris</v>
      </c>
      <c r="C2002" s="14" t="s">
        <v>3558</v>
      </c>
      <c r="D2002" s="14" t="s">
        <v>8057</v>
      </c>
      <c r="E2002" s="6" t="str">
        <f>HYPERLINK("https://twitter.com/SpirosMargaris/status/1364051117190094848","1364051117190094848")</f>
        <v>1364051117190094848</v>
      </c>
      <c r="F2002" s="7" t="s">
        <v>8058</v>
      </c>
      <c r="G2002" s="7" t="s">
        <v>8059</v>
      </c>
      <c r="H2002" s="8"/>
      <c r="I2002" s="14">
        <v>5</v>
      </c>
      <c r="J2002" s="14">
        <v>4</v>
      </c>
      <c r="K2002" s="6" t="str">
        <f>HYPERLINK("https://buffer.com","Buffer")</f>
        <v>Buffer</v>
      </c>
      <c r="L2002" s="15">
        <v>107389</v>
      </c>
      <c r="M2002" s="15">
        <v>15890</v>
      </c>
      <c r="N2002" s="15">
        <v>5693</v>
      </c>
      <c r="O2002" s="15" t="s">
        <v>130</v>
      </c>
      <c r="P2002" s="10">
        <v>41857.30574074074</v>
      </c>
      <c r="Q2002" s="14" t="s">
        <v>3562</v>
      </c>
      <c r="R2002" s="14" t="s">
        <v>3563</v>
      </c>
      <c r="S2002" s="7" t="s">
        <v>3564</v>
      </c>
      <c r="T2002" s="8"/>
      <c r="U2002" s="11" t="str">
        <f>HYPERLINK("https://pbs.twimg.com/profile_images/1346443960986775553/TGeiH97s.jpg","View")</f>
        <v>View</v>
      </c>
      <c r="V2002" s="8"/>
      <c r="W2002" s="8"/>
      <c r="X2002" s="8"/>
      <c r="Y2002" s="8"/>
      <c r="Z2002" s="8"/>
    </row>
    <row r="2003" spans="1:26" ht="13.2">
      <c r="A2003" s="13">
        <v>44250.176736111112</v>
      </c>
      <c r="B2003" s="6" t="str">
        <f>HYPERLINK("https://twitter.com/cfregly","@cfregly")</f>
        <v>@cfregly</v>
      </c>
      <c r="C2003" s="14" t="s">
        <v>8060</v>
      </c>
      <c r="D2003" s="14" t="s">
        <v>8061</v>
      </c>
      <c r="E2003" s="6" t="str">
        <f>HYPERLINK("https://twitter.com/cfregly/status/1364050975560884226","1364050975560884226")</f>
        <v>1364050975560884226</v>
      </c>
      <c r="F2003" s="7" t="s">
        <v>8062</v>
      </c>
      <c r="G2003" s="8"/>
      <c r="H2003" s="8"/>
      <c r="I2003" s="14">
        <v>9</v>
      </c>
      <c r="J2003" s="14">
        <v>3</v>
      </c>
      <c r="K2003" s="6" t="str">
        <f>HYPERLINK("http://www.linkedin.com/","LinkedIn")</f>
        <v>LinkedIn</v>
      </c>
      <c r="L2003" s="15">
        <v>2606</v>
      </c>
      <c r="M2003" s="15">
        <v>1028</v>
      </c>
      <c r="N2003" s="15">
        <v>138</v>
      </c>
      <c r="O2003" s="9"/>
      <c r="P2003" s="10">
        <v>39929.054733796293</v>
      </c>
      <c r="Q2003" s="14" t="s">
        <v>390</v>
      </c>
      <c r="R2003" s="14" t="s">
        <v>8063</v>
      </c>
      <c r="S2003" s="7" t="s">
        <v>8064</v>
      </c>
      <c r="T2003" s="8"/>
      <c r="U2003" s="11" t="str">
        <f>HYPERLINK("https://pbs.twimg.com/profile_images/1201893489933344769/HyO4MV8f.jpg","View")</f>
        <v>View</v>
      </c>
      <c r="V2003" s="8"/>
      <c r="W2003" s="8"/>
      <c r="X2003" s="8"/>
      <c r="Y2003" s="8"/>
      <c r="Z2003" s="8"/>
    </row>
    <row r="2004" spans="1:26" ht="13.2">
      <c r="A2004" s="13">
        <v>44250.174039351856</v>
      </c>
      <c r="B2004" s="6" t="str">
        <f>HYPERLINK("https://twitter.com/RetailNZ","@RetailNZ")</f>
        <v>@RetailNZ</v>
      </c>
      <c r="C2004" s="14" t="s">
        <v>8065</v>
      </c>
      <c r="D2004" s="14" t="s">
        <v>8066</v>
      </c>
      <c r="E2004" s="6" t="str">
        <f>HYPERLINK("https://twitter.com/RetailNZ/status/1364049998300676101","1364049998300676101")</f>
        <v>1364049998300676101</v>
      </c>
      <c r="F2004" s="7" t="s">
        <v>8067</v>
      </c>
      <c r="G2004" s="7" t="s">
        <v>8068</v>
      </c>
      <c r="H2004" s="8"/>
      <c r="I2004" s="14">
        <v>6</v>
      </c>
      <c r="J2004" s="14">
        <v>0</v>
      </c>
      <c r="K2004" s="6" t="str">
        <f>HYPERLINK("https://mobile.twitter.com","Twitter Web App")</f>
        <v>Twitter Web App</v>
      </c>
      <c r="L2004" s="15">
        <v>1743</v>
      </c>
      <c r="M2004" s="15">
        <v>1248</v>
      </c>
      <c r="N2004" s="15">
        <v>55</v>
      </c>
      <c r="O2004" s="9"/>
      <c r="P2004" s="10">
        <v>40613.134687500002</v>
      </c>
      <c r="Q2004" s="14" t="s">
        <v>8069</v>
      </c>
      <c r="R2004" s="14" t="s">
        <v>8070</v>
      </c>
      <c r="S2004" s="7" t="s">
        <v>8071</v>
      </c>
      <c r="T2004" s="8"/>
      <c r="U2004" s="11" t="str">
        <f>HYPERLINK("https://pbs.twimg.com/profile_images/1159238161920167938/DpKzErsB.jpg","View")</f>
        <v>View</v>
      </c>
      <c r="V2004" s="8"/>
      <c r="W2004" s="8"/>
      <c r="X2004" s="8"/>
      <c r="Y2004" s="8"/>
      <c r="Z2004" s="8"/>
    </row>
    <row r="2005" spans="1:26" ht="13.2">
      <c r="A2005" s="13">
        <v>44250.173622685186</v>
      </c>
      <c r="B2005" s="6" t="str">
        <f>HYPERLINK("https://twitter.com/mpyllan","@mpyllan")</f>
        <v>@mpyllan</v>
      </c>
      <c r="C2005" s="14" t="s">
        <v>7883</v>
      </c>
      <c r="D2005" s="14" t="s">
        <v>8072</v>
      </c>
      <c r="E2005" s="6" t="str">
        <f>HYPERLINK("https://twitter.com/mpyllan/status/1364049850900377602","1364049850900377602")</f>
        <v>1364049850900377602</v>
      </c>
      <c r="F2005" s="7" t="s">
        <v>8073</v>
      </c>
      <c r="G2005" s="8"/>
      <c r="H2005" s="8"/>
      <c r="I2005" s="14">
        <v>3</v>
      </c>
      <c r="J2005" s="14">
        <v>2</v>
      </c>
      <c r="K2005" s="6" t="str">
        <f>HYPERLINK("https://buffer.com","Buffer")</f>
        <v>Buffer</v>
      </c>
      <c r="L2005" s="15">
        <v>799</v>
      </c>
      <c r="M2005" s="15">
        <v>389</v>
      </c>
      <c r="N2005" s="15">
        <v>1164</v>
      </c>
      <c r="O2005" s="9"/>
      <c r="P2005" s="10">
        <v>39658.941886574074</v>
      </c>
      <c r="Q2005" s="14" t="s">
        <v>7886</v>
      </c>
      <c r="R2005" s="14" t="s">
        <v>7887</v>
      </c>
      <c r="S2005" s="7" t="s">
        <v>7888</v>
      </c>
      <c r="T2005" s="8"/>
      <c r="U2005" s="11" t="str">
        <f>HYPERLINK("https://pbs.twimg.com/profile_images/57429082/manu.jpg","View")</f>
        <v>View</v>
      </c>
      <c r="V2005" s="8"/>
      <c r="W2005" s="8"/>
      <c r="X2005" s="8"/>
      <c r="Y2005" s="8"/>
      <c r="Z2005" s="8"/>
    </row>
    <row r="2006" spans="1:26" ht="13.2">
      <c r="A2006" s="13">
        <v>44250.172986111109</v>
      </c>
      <c r="B2006" s="6" t="str">
        <f>HYPERLINK("https://twitter.com/imtiyaz18689686","@imtiyaz18689686")</f>
        <v>@imtiyaz18689686</v>
      </c>
      <c r="C2006" s="14" t="s">
        <v>8074</v>
      </c>
      <c r="D2006" s="14" t="s">
        <v>8075</v>
      </c>
      <c r="E2006" s="6" t="str">
        <f>HYPERLINK("https://twitter.com/imtiyaz18689686/status/1364049619227799555","1364049619227799555")</f>
        <v>1364049619227799555</v>
      </c>
      <c r="F2006" s="7" t="s">
        <v>8076</v>
      </c>
      <c r="G2006" s="8"/>
      <c r="H2006" s="8"/>
      <c r="I2006" s="14">
        <v>30</v>
      </c>
      <c r="J2006" s="14">
        <v>15</v>
      </c>
      <c r="K2006" s="6" t="str">
        <f>HYPERLINK("https://mobile.twitter.com","Twitter Web App")</f>
        <v>Twitter Web App</v>
      </c>
      <c r="L2006" s="15">
        <v>28</v>
      </c>
      <c r="M2006" s="15">
        <v>269</v>
      </c>
      <c r="N2006" s="15">
        <v>0</v>
      </c>
      <c r="O2006" s="9"/>
      <c r="P2006" s="10">
        <v>44020.539189814815</v>
      </c>
      <c r="Q2006" s="8"/>
      <c r="R2006" s="8"/>
      <c r="S2006" s="8"/>
      <c r="T2006" s="8"/>
      <c r="U2006" s="15" t="s">
        <v>1879</v>
      </c>
      <c r="V2006" s="8"/>
      <c r="W2006" s="8"/>
      <c r="X2006" s="8"/>
      <c r="Y2006" s="8"/>
      <c r="Z2006" s="8"/>
    </row>
    <row r="2007" spans="1:26" ht="13.2">
      <c r="A2007" s="13">
        <v>44250.17224537037</v>
      </c>
      <c r="B2007" s="6" t="str">
        <f>HYPERLINK("https://twitter.com/Calsoft_Data","@Calsoft_Data")</f>
        <v>@Calsoft_Data</v>
      </c>
      <c r="C2007" s="14" t="s">
        <v>1001</v>
      </c>
      <c r="D2007" s="14" t="s">
        <v>7255</v>
      </c>
      <c r="E2007" s="6" t="str">
        <f>HYPERLINK("https://twitter.com/Calsoft_Data/status/1364049351144845312","1364049351144845312")</f>
        <v>1364049351144845312</v>
      </c>
      <c r="F2007" s="8"/>
      <c r="G2007" s="7" t="s">
        <v>8077</v>
      </c>
      <c r="H2007" s="8"/>
      <c r="I2007" s="14">
        <v>15</v>
      </c>
      <c r="J2007" s="14">
        <v>7</v>
      </c>
      <c r="K2007" s="6" t="str">
        <f>HYPERLINK("https://buffer.com","Buffer")</f>
        <v>Buffer</v>
      </c>
      <c r="L2007" s="15">
        <v>2700</v>
      </c>
      <c r="M2007" s="15">
        <v>960</v>
      </c>
      <c r="N2007" s="15">
        <v>20</v>
      </c>
      <c r="O2007" s="9"/>
      <c r="P2007" s="10">
        <v>43510.451793981483</v>
      </c>
      <c r="Q2007" s="8"/>
      <c r="R2007" s="14" t="s">
        <v>1005</v>
      </c>
      <c r="S2007" s="8"/>
      <c r="T2007" s="8"/>
      <c r="U2007" s="11" t="str">
        <f>HYPERLINK("https://pbs.twimg.com/profile_images/1095985545094651904/dL1oPs8X.png","View")</f>
        <v>View</v>
      </c>
      <c r="V2007" s="8"/>
      <c r="W2007" s="8"/>
      <c r="X2007" s="8"/>
      <c r="Y2007" s="8"/>
      <c r="Z2007" s="8"/>
    </row>
    <row r="2008" spans="1:26" ht="13.2">
      <c r="A2008" s="13">
        <v>44250.171643518523</v>
      </c>
      <c r="B2008" s="6" t="str">
        <f>HYPERLINK("https://twitter.com/AhsanEhtesham1","@AhsanEhtesham1")</f>
        <v>@AhsanEhtesham1</v>
      </c>
      <c r="C2008" s="14" t="s">
        <v>8052</v>
      </c>
      <c r="D2008" s="14" t="s">
        <v>8078</v>
      </c>
      <c r="E2008" s="6" t="str">
        <f>HYPERLINK("https://twitter.com/AhsanEhtesham1/status/1364049133426868224","1364049133426868224")</f>
        <v>1364049133426868224</v>
      </c>
      <c r="F2008" s="14" t="s">
        <v>8079</v>
      </c>
      <c r="G2008" s="8"/>
      <c r="H2008" s="8"/>
      <c r="I2008" s="14">
        <v>2</v>
      </c>
      <c r="J2008" s="14">
        <v>1</v>
      </c>
      <c r="K2008" s="6" t="str">
        <f>HYPERLINK("http://twinybots.com","TwinyBots")</f>
        <v>TwinyBots</v>
      </c>
      <c r="L2008" s="15">
        <v>130</v>
      </c>
      <c r="M2008" s="15">
        <v>59</v>
      </c>
      <c r="N2008" s="15">
        <v>0</v>
      </c>
      <c r="O2008" s="9"/>
      <c r="P2008" s="10">
        <v>43514.85765046296</v>
      </c>
      <c r="Q2008" s="8"/>
      <c r="R2008" s="14" t="s">
        <v>8055</v>
      </c>
      <c r="S2008" s="7" t="s">
        <v>8056</v>
      </c>
      <c r="T2008" s="8"/>
      <c r="U2008" s="11" t="str">
        <f>HYPERLINK("https://pbs.twimg.com/profile_images/1160074672324653057/Uy0y3u39.jpg","View")</f>
        <v>View</v>
      </c>
      <c r="V2008" s="8"/>
      <c r="W2008" s="8"/>
      <c r="X2008" s="8"/>
      <c r="Y2008" s="8"/>
      <c r="Z2008" s="8"/>
    </row>
    <row r="2009" spans="1:26" ht="13.2">
      <c r="A2009" s="13">
        <v>44250.170891203699</v>
      </c>
      <c r="B2009" s="6" t="str">
        <f>HYPERLINK("https://twitter.com/BlackWomenInAI","@BlackWomenInAI")</f>
        <v>@BlackWomenInAI</v>
      </c>
      <c r="C2009" s="14" t="s">
        <v>4913</v>
      </c>
      <c r="D2009" s="14" t="s">
        <v>8080</v>
      </c>
      <c r="E2009" s="6" t="str">
        <f>HYPERLINK("https://twitter.com/BlackWomenInAI/status/1364048861296168969","1364048861296168969")</f>
        <v>1364048861296168969</v>
      </c>
      <c r="F2009" s="8"/>
      <c r="G2009" s="7" t="s">
        <v>8081</v>
      </c>
      <c r="H2009" s="8"/>
      <c r="I2009" s="14">
        <v>14</v>
      </c>
      <c r="J2009" s="14">
        <v>9</v>
      </c>
      <c r="K2009" s="6" t="str">
        <f t="shared" ref="K2009:K2010" si="368">HYPERLINK("https://mobile.twitter.com","Twitter Web App")</f>
        <v>Twitter Web App</v>
      </c>
      <c r="L2009" s="15">
        <v>2602</v>
      </c>
      <c r="M2009" s="15">
        <v>561</v>
      </c>
      <c r="N2009" s="15">
        <v>62</v>
      </c>
      <c r="O2009" s="9"/>
      <c r="P2009" s="10">
        <v>43093.338275462964</v>
      </c>
      <c r="Q2009" s="14" t="s">
        <v>1815</v>
      </c>
      <c r="R2009" s="14" t="s">
        <v>4916</v>
      </c>
      <c r="S2009" s="7" t="s">
        <v>4917</v>
      </c>
      <c r="T2009" s="8"/>
      <c r="U2009" s="11" t="str">
        <f>HYPERLINK("https://pbs.twimg.com/profile_images/1128561130857742336/HEk8TZ7g.png","View")</f>
        <v>View</v>
      </c>
      <c r="V2009" s="8"/>
      <c r="W2009" s="8"/>
      <c r="X2009" s="8"/>
      <c r="Y2009" s="8"/>
      <c r="Z2009" s="8"/>
    </row>
    <row r="2010" spans="1:26" ht="13.2">
      <c r="A2010" s="13">
        <v>44250.170740740738</v>
      </c>
      <c r="B2010" s="6" t="str">
        <f>HYPERLINK("https://twitter.com/intriago_vanesa","@intriago_vanesa")</f>
        <v>@intriago_vanesa</v>
      </c>
      <c r="C2010" s="14" t="s">
        <v>8082</v>
      </c>
      <c r="D2010" s="14" t="s">
        <v>8083</v>
      </c>
      <c r="E2010" s="6" t="str">
        <f>HYPERLINK("https://twitter.com/intriago_vanesa/status/1364048803221880837","1364048803221880837")</f>
        <v>1364048803221880837</v>
      </c>
      <c r="F2010" s="7" t="s">
        <v>8084</v>
      </c>
      <c r="G2010" s="7" t="s">
        <v>8085</v>
      </c>
      <c r="H2010" s="8"/>
      <c r="I2010" s="14">
        <v>24</v>
      </c>
      <c r="J2010" s="14">
        <v>9</v>
      </c>
      <c r="K2010" s="6" t="str">
        <f t="shared" si="368"/>
        <v>Twitter Web App</v>
      </c>
      <c r="L2010" s="15">
        <v>37</v>
      </c>
      <c r="M2010" s="15">
        <v>69</v>
      </c>
      <c r="N2010" s="15">
        <v>0</v>
      </c>
      <c r="O2010" s="9"/>
      <c r="P2010" s="10">
        <v>44202.965543981481</v>
      </c>
      <c r="Q2010" s="8"/>
      <c r="R2010" s="14" t="s">
        <v>8086</v>
      </c>
      <c r="S2010" s="8"/>
      <c r="T2010" s="8"/>
      <c r="U2010" s="11" t="str">
        <f>HYPERLINK("https://pbs.twimg.com/profile_images/1346942486556631041/W_hPcqca.jpg","View")</f>
        <v>View</v>
      </c>
      <c r="V2010" s="8"/>
      <c r="W2010" s="8"/>
      <c r="X2010" s="8"/>
      <c r="Y2010" s="8"/>
      <c r="Z2010" s="8"/>
    </row>
    <row r="2011" spans="1:26" ht="13.2">
      <c r="A2011" s="13">
        <v>44250.170219907406</v>
      </c>
      <c r="B2011" s="6" t="str">
        <f>HYPERLINK("https://twitter.com/MiriamAsensi","@MiriamAsensi")</f>
        <v>@MiriamAsensi</v>
      </c>
      <c r="C2011" s="14" t="s">
        <v>2634</v>
      </c>
      <c r="D2011" s="14" t="s">
        <v>8087</v>
      </c>
      <c r="E2011" s="6" t="str">
        <f>HYPERLINK("https://twitter.com/MiriamAsensi/status/1364048617858871299","1364048617858871299")</f>
        <v>1364048617858871299</v>
      </c>
      <c r="F2011" s="7" t="s">
        <v>8088</v>
      </c>
      <c r="G2011" s="8"/>
      <c r="H2011" s="8"/>
      <c r="I2011" s="14">
        <v>4</v>
      </c>
      <c r="J2011" s="14">
        <v>4</v>
      </c>
      <c r="K2011" s="6" t="str">
        <f>HYPERLINK("https://socxopte.com/","SocxoPte")</f>
        <v>SocxoPte</v>
      </c>
      <c r="L2011" s="15">
        <v>746</v>
      </c>
      <c r="M2011" s="15">
        <v>882</v>
      </c>
      <c r="N2011" s="15">
        <v>5</v>
      </c>
      <c r="O2011" s="9"/>
      <c r="P2011" s="10">
        <v>43995.357581018514</v>
      </c>
      <c r="Q2011" s="14" t="s">
        <v>599</v>
      </c>
      <c r="R2011" s="14" t="s">
        <v>2637</v>
      </c>
      <c r="S2011" s="7" t="s">
        <v>2638</v>
      </c>
      <c r="T2011" s="8"/>
      <c r="U2011" s="11" t="str">
        <f>HYPERLINK("https://pbs.twimg.com/profile_images/1271692933683699712/Y4d_WLK4.jpg","View")</f>
        <v>View</v>
      </c>
      <c r="V2011" s="8"/>
      <c r="W2011" s="8"/>
      <c r="X2011" s="8"/>
      <c r="Y2011" s="8"/>
      <c r="Z2011" s="8"/>
    </row>
    <row r="2012" spans="1:26" ht="13.2">
      <c r="A2012" s="13">
        <v>44250.169432870374</v>
      </c>
      <c r="B2012" s="6" t="str">
        <f>HYPERLINK("https://twitter.com/DataScienceDojo","@DataScienceDojo")</f>
        <v>@DataScienceDojo</v>
      </c>
      <c r="C2012" s="14" t="s">
        <v>8089</v>
      </c>
      <c r="D2012" s="14" t="s">
        <v>8090</v>
      </c>
      <c r="E2012" s="6" t="str">
        <f>HYPERLINK("https://twitter.com/DataScienceDojo/status/1364048330767106048","1364048330767106048")</f>
        <v>1364048330767106048</v>
      </c>
      <c r="F2012" s="7" t="s">
        <v>8091</v>
      </c>
      <c r="G2012" s="8"/>
      <c r="H2012" s="8"/>
      <c r="I2012" s="14">
        <v>10</v>
      </c>
      <c r="J2012" s="14">
        <v>1</v>
      </c>
      <c r="K2012" s="6" t="str">
        <f>HYPERLINK("http://www.hubspot.com/","HubSpot")</f>
        <v>HubSpot</v>
      </c>
      <c r="L2012" s="15">
        <v>7398</v>
      </c>
      <c r="M2012" s="15">
        <v>999</v>
      </c>
      <c r="N2012" s="15">
        <v>880</v>
      </c>
      <c r="O2012" s="9"/>
      <c r="P2012" s="10">
        <v>41364.893020833333</v>
      </c>
      <c r="Q2012" s="14" t="s">
        <v>8092</v>
      </c>
      <c r="R2012" s="14" t="s">
        <v>8093</v>
      </c>
      <c r="S2012" s="7" t="s">
        <v>8094</v>
      </c>
      <c r="T2012" s="8"/>
      <c r="U2012" s="11" t="str">
        <f>HYPERLINK("https://pbs.twimg.com/profile_images/1191411823821479936/2MLLa0IP.jpg","View")</f>
        <v>View</v>
      </c>
      <c r="V2012" s="8"/>
      <c r="W2012" s="8"/>
      <c r="X2012" s="8"/>
      <c r="Y2012" s="8"/>
      <c r="Z2012" s="8"/>
    </row>
    <row r="2013" spans="1:26" ht="13.2">
      <c r="A2013" s="13">
        <v>44250.16851851852</v>
      </c>
      <c r="B2013" s="6" t="str">
        <f>HYPERLINK("https://twitter.com/BlackWomenInAI","@BlackWomenInAI")</f>
        <v>@BlackWomenInAI</v>
      </c>
      <c r="C2013" s="14" t="s">
        <v>4913</v>
      </c>
      <c r="D2013" s="14" t="s">
        <v>8095</v>
      </c>
      <c r="E2013" s="6" t="str">
        <f>HYPERLINK("https://twitter.com/BlackWomenInAI/status/1364048001161977856","1364048001161977856")</f>
        <v>1364048001161977856</v>
      </c>
      <c r="F2013" s="8"/>
      <c r="G2013" s="7" t="s">
        <v>8096</v>
      </c>
      <c r="H2013" s="8"/>
      <c r="I2013" s="14">
        <v>33</v>
      </c>
      <c r="J2013" s="14">
        <v>17</v>
      </c>
      <c r="K2013" s="6" t="str">
        <f t="shared" ref="K2013:K2014" si="369">HYPERLINK("https://mobile.twitter.com","Twitter Web App")</f>
        <v>Twitter Web App</v>
      </c>
      <c r="L2013" s="15">
        <v>2602</v>
      </c>
      <c r="M2013" s="15">
        <v>561</v>
      </c>
      <c r="N2013" s="15">
        <v>62</v>
      </c>
      <c r="O2013" s="9"/>
      <c r="P2013" s="10">
        <v>43093.338275462964</v>
      </c>
      <c r="Q2013" s="14" t="s">
        <v>1815</v>
      </c>
      <c r="R2013" s="14" t="s">
        <v>4916</v>
      </c>
      <c r="S2013" s="7" t="s">
        <v>4917</v>
      </c>
      <c r="T2013" s="8"/>
      <c r="U2013" s="11" t="str">
        <f>HYPERLINK("https://pbs.twimg.com/profile_images/1128561130857742336/HEk8TZ7g.png","View")</f>
        <v>View</v>
      </c>
      <c r="V2013" s="8"/>
      <c r="W2013" s="8"/>
      <c r="X2013" s="8"/>
      <c r="Y2013" s="8"/>
      <c r="Z2013" s="8"/>
    </row>
    <row r="2014" spans="1:26" ht="13.2">
      <c r="A2014" s="13">
        <v>44250.168379629627</v>
      </c>
      <c r="B2014" s="6" t="str">
        <f>HYPERLINK("https://twitter.com/FreeHipwee","@FreeHipwee")</f>
        <v>@FreeHipwee</v>
      </c>
      <c r="C2014" s="14" t="s">
        <v>1968</v>
      </c>
      <c r="D2014" s="14" t="s">
        <v>8097</v>
      </c>
      <c r="E2014" s="6" t="str">
        <f>HYPERLINK("https://twitter.com/FreeHipwee/status/1364047950368829441","1364047950368829441")</f>
        <v>1364047950368829441</v>
      </c>
      <c r="F2014" s="7" t="s">
        <v>8098</v>
      </c>
      <c r="G2014" s="8"/>
      <c r="H2014" s="8"/>
      <c r="I2014" s="14">
        <v>20</v>
      </c>
      <c r="J2014" s="14">
        <v>6</v>
      </c>
      <c r="K2014" s="6" t="str">
        <f t="shared" si="369"/>
        <v>Twitter Web App</v>
      </c>
      <c r="L2014" s="15">
        <v>444</v>
      </c>
      <c r="M2014" s="15">
        <v>152</v>
      </c>
      <c r="N2014" s="15">
        <v>7</v>
      </c>
      <c r="O2014" s="9"/>
      <c r="P2014" s="10">
        <v>43642.24018518519</v>
      </c>
      <c r="Q2014" s="8"/>
      <c r="R2014" s="14" t="s">
        <v>1971</v>
      </c>
      <c r="S2014" s="8"/>
      <c r="T2014" s="8"/>
      <c r="U2014" s="11" t="str">
        <f>HYPERLINK("https://pbs.twimg.com/profile_images/1143734724977762304/i9HNUbp4.png","View")</f>
        <v>View</v>
      </c>
      <c r="V2014" s="8"/>
      <c r="W2014" s="8"/>
      <c r="X2014" s="8"/>
      <c r="Y2014" s="8"/>
      <c r="Z2014" s="8"/>
    </row>
    <row r="2015" spans="1:26" ht="13.2">
      <c r="A2015" s="13">
        <v>44250.167384259257</v>
      </c>
      <c r="B2015" s="6" t="str">
        <f>HYPERLINK("https://twitter.com/ArthurGuttilla","@ArthurGuttilla")</f>
        <v>@ArthurGuttilla</v>
      </c>
      <c r="C2015" s="14" t="s">
        <v>8099</v>
      </c>
      <c r="D2015" s="14" t="s">
        <v>8100</v>
      </c>
      <c r="E2015" s="6" t="str">
        <f>HYPERLINK("https://twitter.com/ArthurGuttilla/status/1364047588232728580","1364047588232728580")</f>
        <v>1364047588232728580</v>
      </c>
      <c r="F2015" s="7" t="s">
        <v>8101</v>
      </c>
      <c r="G2015" s="7" t="s">
        <v>8102</v>
      </c>
      <c r="H2015" s="8"/>
      <c r="I2015" s="14">
        <v>0</v>
      </c>
      <c r="J2015" s="14">
        <v>0</v>
      </c>
      <c r="K2015" s="6" t="str">
        <f>HYPERLINK("http://www.everyonesocial.com","EveryoneSocial")</f>
        <v>EveryoneSocial</v>
      </c>
      <c r="L2015" s="15">
        <v>36</v>
      </c>
      <c r="M2015" s="15">
        <v>388</v>
      </c>
      <c r="N2015" s="15">
        <v>0</v>
      </c>
      <c r="O2015" s="9"/>
      <c r="P2015" s="10">
        <v>40077.855636574073</v>
      </c>
      <c r="Q2015" s="14" t="s">
        <v>3040</v>
      </c>
      <c r="R2015" s="14" t="s">
        <v>8103</v>
      </c>
      <c r="S2015" s="7" t="s">
        <v>8104</v>
      </c>
      <c r="T2015" s="8"/>
      <c r="U2015" s="11" t="str">
        <f>HYPERLINK("https://pbs.twimg.com/profile_images/1266353385659420673/SD2ML-vx.jpg","View")</f>
        <v>View</v>
      </c>
      <c r="V2015" s="8"/>
      <c r="W2015" s="8"/>
      <c r="X2015" s="8"/>
      <c r="Y2015" s="8"/>
      <c r="Z2015" s="8"/>
    </row>
    <row r="2016" spans="1:26" ht="13.2">
      <c r="A2016" s="13">
        <v>44250.167384259257</v>
      </c>
      <c r="B2016" s="6" t="str">
        <f>HYPERLINK("https://twitter.com/SpirosMargaris","@SpirosMargaris")</f>
        <v>@SpirosMargaris</v>
      </c>
      <c r="C2016" s="14" t="s">
        <v>3558</v>
      </c>
      <c r="D2016" s="14" t="s">
        <v>8105</v>
      </c>
      <c r="E2016" s="6" t="str">
        <f>HYPERLINK("https://twitter.com/SpirosMargaris/status/1364047587624558592","1364047587624558592")</f>
        <v>1364047587624558592</v>
      </c>
      <c r="F2016" s="7" t="s">
        <v>5920</v>
      </c>
      <c r="G2016" s="7" t="s">
        <v>8106</v>
      </c>
      <c r="H2016" s="8"/>
      <c r="I2016" s="14">
        <v>29</v>
      </c>
      <c r="J2016" s="14">
        <v>37</v>
      </c>
      <c r="K2016" s="6" t="str">
        <f>HYPERLINK("https://buffer.com","Buffer")</f>
        <v>Buffer</v>
      </c>
      <c r="L2016" s="15">
        <v>107389</v>
      </c>
      <c r="M2016" s="15">
        <v>15890</v>
      </c>
      <c r="N2016" s="15">
        <v>5693</v>
      </c>
      <c r="O2016" s="15" t="s">
        <v>130</v>
      </c>
      <c r="P2016" s="10">
        <v>41857.30574074074</v>
      </c>
      <c r="Q2016" s="14" t="s">
        <v>3562</v>
      </c>
      <c r="R2016" s="14" t="s">
        <v>3563</v>
      </c>
      <c r="S2016" s="7" t="s">
        <v>3564</v>
      </c>
      <c r="T2016" s="8"/>
      <c r="U2016" s="11" t="str">
        <f>HYPERLINK("https://pbs.twimg.com/profile_images/1346443960986775553/TGeiH97s.jpg","View")</f>
        <v>View</v>
      </c>
      <c r="V2016" s="8"/>
      <c r="W2016" s="8"/>
      <c r="X2016" s="8"/>
      <c r="Y2016" s="8"/>
      <c r="Z2016" s="8"/>
    </row>
    <row r="2017" spans="1:26" ht="13.2">
      <c r="A2017" s="13">
        <v>44250.167384259257</v>
      </c>
      <c r="B2017" s="6" t="str">
        <f>HYPERLINK("https://twitter.com/ArthurGuttilla","@ArthurGuttilla")</f>
        <v>@ArthurGuttilla</v>
      </c>
      <c r="C2017" s="14" t="s">
        <v>8099</v>
      </c>
      <c r="D2017" s="14" t="s">
        <v>8100</v>
      </c>
      <c r="E2017" s="6" t="str">
        <f>HYPERLINK("https://twitter.com/ArthurGuttilla/status/1364047586508824577","1364047586508824577")</f>
        <v>1364047586508824577</v>
      </c>
      <c r="F2017" s="7" t="s">
        <v>8101</v>
      </c>
      <c r="G2017" s="7" t="s">
        <v>8107</v>
      </c>
      <c r="H2017" s="8"/>
      <c r="I2017" s="14">
        <v>0</v>
      </c>
      <c r="J2017" s="14">
        <v>0</v>
      </c>
      <c r="K2017" s="6" t="str">
        <f>HYPERLINK("http://www.everyonesocial.com","EveryoneSocial")</f>
        <v>EveryoneSocial</v>
      </c>
      <c r="L2017" s="15">
        <v>36</v>
      </c>
      <c r="M2017" s="15">
        <v>388</v>
      </c>
      <c r="N2017" s="15">
        <v>0</v>
      </c>
      <c r="O2017" s="9"/>
      <c r="P2017" s="10">
        <v>40077.855636574073</v>
      </c>
      <c r="Q2017" s="14" t="s">
        <v>3040</v>
      </c>
      <c r="R2017" s="14" t="s">
        <v>8103</v>
      </c>
      <c r="S2017" s="7" t="s">
        <v>8104</v>
      </c>
      <c r="T2017" s="8"/>
      <c r="U2017" s="11" t="str">
        <f>HYPERLINK("https://pbs.twimg.com/profile_images/1266353385659420673/SD2ML-vx.jpg","View")</f>
        <v>View</v>
      </c>
      <c r="V2017" s="8"/>
      <c r="W2017" s="8"/>
      <c r="X2017" s="8"/>
      <c r="Y2017" s="8"/>
      <c r="Z2017" s="8"/>
    </row>
    <row r="2018" spans="1:26" ht="13.2">
      <c r="A2018" s="13">
        <v>44250.167025462964</v>
      </c>
      <c r="B2018" s="6" t="str">
        <f>HYPERLINK("https://twitter.com/Marktechpost","@Marktechpost")</f>
        <v>@Marktechpost</v>
      </c>
      <c r="C2018" s="7" t="s">
        <v>1071</v>
      </c>
      <c r="D2018" s="14" t="s">
        <v>8108</v>
      </c>
      <c r="E2018" s="6" t="str">
        <f>HYPERLINK("https://twitter.com/Marktechpost/status/1364047458171572225","1364047458171572225")</f>
        <v>1364047458171572225</v>
      </c>
      <c r="F2018" s="7" t="s">
        <v>8109</v>
      </c>
      <c r="G2018" s="7" t="s">
        <v>8110</v>
      </c>
      <c r="H2018" s="8"/>
      <c r="I2018" s="14">
        <v>2</v>
      </c>
      <c r="J2018" s="14">
        <v>1</v>
      </c>
      <c r="K2018" s="6" t="str">
        <f>HYPERLINK("https://www.hootsuite.com","Hootsuite Inc.")</f>
        <v>Hootsuite Inc.</v>
      </c>
      <c r="L2018" s="15">
        <v>2673</v>
      </c>
      <c r="M2018" s="15">
        <v>461</v>
      </c>
      <c r="N2018" s="15">
        <v>24</v>
      </c>
      <c r="O2018" s="9"/>
      <c r="P2018" s="10">
        <v>42467.265682870369</v>
      </c>
      <c r="Q2018" s="14" t="s">
        <v>56</v>
      </c>
      <c r="R2018" s="14" t="s">
        <v>1075</v>
      </c>
      <c r="S2018" s="7" t="s">
        <v>58</v>
      </c>
      <c r="T2018" s="8"/>
      <c r="U2018" s="11" t="str">
        <f>HYPERLINK("https://pbs.twimg.com/profile_images/994114664874180608/tD0vcytP.jpg","View")</f>
        <v>View</v>
      </c>
      <c r="V2018" s="8"/>
      <c r="W2018" s="8"/>
      <c r="X2018" s="8"/>
      <c r="Y2018" s="8"/>
      <c r="Z2018" s="8"/>
    </row>
    <row r="2019" spans="1:26" ht="13.2">
      <c r="A2019" s="13">
        <v>44250.166724537034</v>
      </c>
      <c r="B2019" s="6" t="str">
        <f>HYPERLINK("https://twitter.com/ipfconline1","@ipfconline1")</f>
        <v>@ipfconline1</v>
      </c>
      <c r="C2019" s="14" t="s">
        <v>65</v>
      </c>
      <c r="D2019" s="14" t="s">
        <v>8111</v>
      </c>
      <c r="E2019" s="6" t="str">
        <f>HYPERLINK("https://twitter.com/ipfconline1/status/1364047349610393604","1364047349610393604")</f>
        <v>1364047349610393604</v>
      </c>
      <c r="F2019" s="7" t="s">
        <v>8112</v>
      </c>
      <c r="G2019" s="7" t="s">
        <v>8113</v>
      </c>
      <c r="H2019" s="8"/>
      <c r="I2019" s="14">
        <v>13</v>
      </c>
      <c r="J2019" s="14">
        <v>12</v>
      </c>
      <c r="K2019" s="6" t="str">
        <f>HYPERLINK("https://twittimer.com","Twittimer")</f>
        <v>Twittimer</v>
      </c>
      <c r="L2019" s="15">
        <v>112675</v>
      </c>
      <c r="M2019" s="15">
        <v>107162</v>
      </c>
      <c r="N2019" s="15">
        <v>7806</v>
      </c>
      <c r="O2019" s="9"/>
      <c r="P2019" s="10">
        <v>42433.031967592593</v>
      </c>
      <c r="Q2019" s="14" t="s">
        <v>69</v>
      </c>
      <c r="R2019" s="14" t="s">
        <v>70</v>
      </c>
      <c r="S2019" s="7" t="s">
        <v>71</v>
      </c>
      <c r="T2019" s="8"/>
      <c r="U2019" s="11" t="str">
        <f>HYPERLINK("https://pbs.twimg.com/profile_images/729065804004769793/St2_Pum9.jpg","View")</f>
        <v>View</v>
      </c>
      <c r="V2019" s="8"/>
      <c r="W2019" s="8"/>
      <c r="X2019" s="8"/>
      <c r="Y2019" s="8"/>
      <c r="Z2019" s="8"/>
    </row>
    <row r="2020" spans="1:26" ht="13.2">
      <c r="A2020" s="13">
        <v>44250.166689814811</v>
      </c>
      <c r="B2020" s="6" t="str">
        <f t="shared" ref="B2020:B2021" si="370">HYPERLINK("https://twitter.com/reddit_ml","@reddit_ml")</f>
        <v>@reddit_ml</v>
      </c>
      <c r="C2020" s="14" t="s">
        <v>2744</v>
      </c>
      <c r="D2020" s="14" t="s">
        <v>8114</v>
      </c>
      <c r="E2020" s="6" t="str">
        <f>HYPERLINK("https://twitter.com/reddit_ml/status/1364047336742215687","1364047336742215687")</f>
        <v>1364047336742215687</v>
      </c>
      <c r="F2020" s="7" t="s">
        <v>8115</v>
      </c>
      <c r="G2020" s="8"/>
      <c r="H2020" s="8"/>
      <c r="I2020" s="14">
        <v>0</v>
      </c>
      <c r="J2020" s="14">
        <v>1</v>
      </c>
      <c r="K2020" s="6" t="str">
        <f t="shared" ref="K2020:K2021" si="371">HYPERLINK("https://www.reddit.com/r/MachineLearning/","reddit-ml-bot")</f>
        <v>reddit-ml-bot</v>
      </c>
      <c r="L2020" s="15">
        <v>411</v>
      </c>
      <c r="M2020" s="15">
        <v>93</v>
      </c>
      <c r="N2020" s="15">
        <v>35</v>
      </c>
      <c r="O2020" s="9"/>
      <c r="P2020" s="10">
        <v>42527.844641203701</v>
      </c>
      <c r="Q2020" s="8"/>
      <c r="R2020" s="8"/>
      <c r="S2020" s="7" t="s">
        <v>2746</v>
      </c>
      <c r="T2020" s="8"/>
      <c r="U2020" s="11" t="str">
        <f t="shared" ref="U2020:U2021" si="372">HYPERLINK("https://pbs.twimg.com/profile_images/739887457206996992/9NUmKQvu.jpg","View")</f>
        <v>View</v>
      </c>
      <c r="V2020" s="8"/>
      <c r="W2020" s="8"/>
      <c r="X2020" s="8"/>
      <c r="Y2020" s="8"/>
      <c r="Z2020" s="8"/>
    </row>
    <row r="2021" spans="1:26" ht="13.2">
      <c r="A2021" s="13">
        <v>44250.166689814811</v>
      </c>
      <c r="B2021" s="6" t="str">
        <f t="shared" si="370"/>
        <v>@reddit_ml</v>
      </c>
      <c r="C2021" s="14" t="s">
        <v>2744</v>
      </c>
      <c r="D2021" s="14" t="s">
        <v>8116</v>
      </c>
      <c r="E2021" s="6" t="str">
        <f>HYPERLINK("https://twitter.com/reddit_ml/status/1364047335643353090","1364047335643353090")</f>
        <v>1364047335643353090</v>
      </c>
      <c r="F2021" s="7" t="s">
        <v>8117</v>
      </c>
      <c r="G2021" s="8"/>
      <c r="H2021" s="8"/>
      <c r="I2021" s="14">
        <v>0</v>
      </c>
      <c r="J2021" s="14">
        <v>0</v>
      </c>
      <c r="K2021" s="6" t="str">
        <f t="shared" si="371"/>
        <v>reddit-ml-bot</v>
      </c>
      <c r="L2021" s="15">
        <v>411</v>
      </c>
      <c r="M2021" s="15">
        <v>93</v>
      </c>
      <c r="N2021" s="15">
        <v>35</v>
      </c>
      <c r="O2021" s="9"/>
      <c r="P2021" s="10">
        <v>42527.844641203701</v>
      </c>
      <c r="Q2021" s="8"/>
      <c r="R2021" s="8"/>
      <c r="S2021" s="7" t="s">
        <v>2746</v>
      </c>
      <c r="T2021" s="8"/>
      <c r="U2021" s="11" t="str">
        <f t="shared" si="372"/>
        <v>View</v>
      </c>
      <c r="V2021" s="8"/>
      <c r="W2021" s="8"/>
      <c r="X2021" s="8"/>
      <c r="Y2021" s="8"/>
      <c r="Z2021" s="8"/>
    </row>
    <row r="2022" spans="1:26" ht="13.2">
      <c r="A2022" s="13">
        <v>44250.166076388894</v>
      </c>
      <c r="B2022" s="6" t="str">
        <f>HYPERLINK("https://twitter.com/NeurAutomata","@NeurAutomata")</f>
        <v>@NeurAutomata</v>
      </c>
      <c r="C2022" s="14" t="s">
        <v>400</v>
      </c>
      <c r="D2022" s="14" t="s">
        <v>401</v>
      </c>
      <c r="E2022" s="6" t="str">
        <f>HYPERLINK("https://twitter.com/NeurAutomata/status/1364047114079191040","1364047114079191040")</f>
        <v>1364047114079191040</v>
      </c>
      <c r="F2022" s="7" t="s">
        <v>8118</v>
      </c>
      <c r="G2022" s="8"/>
      <c r="H2022" s="8"/>
      <c r="I2022" s="14">
        <v>3</v>
      </c>
      <c r="J2022" s="14">
        <v>1</v>
      </c>
      <c r="K2022" s="6" t="str">
        <f>HYPERLINK("https://ifttt.com","IFTTT")</f>
        <v>IFTTT</v>
      </c>
      <c r="L2022" s="15">
        <v>83</v>
      </c>
      <c r="M2022" s="15">
        <v>14</v>
      </c>
      <c r="N2022" s="15">
        <v>3</v>
      </c>
      <c r="O2022" s="9"/>
      <c r="P2022" s="10">
        <v>42862.083414351851</v>
      </c>
      <c r="Q2022" s="14" t="s">
        <v>403</v>
      </c>
      <c r="R2022" s="14" t="s">
        <v>404</v>
      </c>
      <c r="S2022" s="8"/>
      <c r="T2022" s="8"/>
      <c r="U2022" s="11" t="str">
        <f>HYPERLINK("https://pbs.twimg.com/profile_images/861050448672718848/oHUlrvEK.jpg","View")</f>
        <v>View</v>
      </c>
      <c r="V2022" s="8"/>
      <c r="W2022" s="8"/>
      <c r="X2022" s="8"/>
      <c r="Y2022" s="8"/>
      <c r="Z2022" s="8"/>
    </row>
    <row r="2023" spans="1:26" ht="13.2">
      <c r="A2023" s="13">
        <v>44250.165682870371</v>
      </c>
      <c r="B2023" s="6" t="str">
        <f>HYPERLINK("https://twitter.com/krigby38","@krigby38")</f>
        <v>@krigby38</v>
      </c>
      <c r="C2023" s="14" t="s">
        <v>8119</v>
      </c>
      <c r="D2023" s="14" t="s">
        <v>8120</v>
      </c>
      <c r="E2023" s="6" t="str">
        <f>HYPERLINK("https://twitter.com/krigby38/status/1364046971296747524","1364046971296747524")</f>
        <v>1364046971296747524</v>
      </c>
      <c r="F2023" s="7" t="s">
        <v>8121</v>
      </c>
      <c r="G2023" s="8"/>
      <c r="H2023" s="8"/>
      <c r="I2023" s="14">
        <v>3</v>
      </c>
      <c r="J2023" s="14">
        <v>1</v>
      </c>
      <c r="K2023" s="6" t="str">
        <f>HYPERLINK("https://paper.li","Paper.li")</f>
        <v>Paper.li</v>
      </c>
      <c r="L2023" s="15">
        <v>308</v>
      </c>
      <c r="M2023" s="15">
        <v>470</v>
      </c>
      <c r="N2023" s="15">
        <v>2</v>
      </c>
      <c r="O2023" s="9"/>
      <c r="P2023" s="10">
        <v>42867.164270833338</v>
      </c>
      <c r="Q2023" s="14" t="s">
        <v>3768</v>
      </c>
      <c r="R2023" s="14" t="s">
        <v>8122</v>
      </c>
      <c r="S2023" s="7" t="s">
        <v>8123</v>
      </c>
      <c r="T2023" s="8"/>
      <c r="U2023" s="11" t="str">
        <f>HYPERLINK("https://pbs.twimg.com/profile_images/947168666260516864/zg1CAUPY.jpg","View")</f>
        <v>View</v>
      </c>
      <c r="V2023" s="8"/>
      <c r="W2023" s="8"/>
      <c r="X2023" s="8"/>
      <c r="Y2023" s="8"/>
      <c r="Z2023" s="8"/>
    </row>
    <row r="2024" spans="1:26" ht="13.2">
      <c r="A2024" s="13">
        <v>44250.165324074071</v>
      </c>
      <c r="B2024" s="6" t="str">
        <f>HYPERLINK("https://twitter.com/JyotiSahai","@JyotiSahai")</f>
        <v>@JyotiSahai</v>
      </c>
      <c r="C2024" s="14" t="s">
        <v>3173</v>
      </c>
      <c r="D2024" s="14" t="s">
        <v>8124</v>
      </c>
      <c r="E2024" s="6" t="str">
        <f>HYPERLINK("https://twitter.com/JyotiSahai/status/1364046841503830017","1364046841503830017")</f>
        <v>1364046841503830017</v>
      </c>
      <c r="F2024" s="7" t="s">
        <v>5697</v>
      </c>
      <c r="G2024" s="8"/>
      <c r="H2024" s="8"/>
      <c r="I2024" s="14">
        <v>4</v>
      </c>
      <c r="J2024" s="14">
        <v>2</v>
      </c>
      <c r="K2024" s="6" t="str">
        <f>HYPERLINK("https://mobile.twitter.com","Twitter Web App")</f>
        <v>Twitter Web App</v>
      </c>
      <c r="L2024" s="15">
        <v>426</v>
      </c>
      <c r="M2024" s="15">
        <v>595</v>
      </c>
      <c r="N2024" s="15">
        <v>12</v>
      </c>
      <c r="O2024" s="9"/>
      <c r="P2024" s="10">
        <v>41622.584618055553</v>
      </c>
      <c r="Q2024" s="14" t="s">
        <v>3176</v>
      </c>
      <c r="R2024" s="14" t="s">
        <v>3177</v>
      </c>
      <c r="S2024" s="7" t="s">
        <v>3178</v>
      </c>
      <c r="T2024" s="8"/>
      <c r="U2024" s="11" t="str">
        <f>HYPERLINK("https://pbs.twimg.com/profile_images/414052426824421376/3G4eYsXQ.jpeg","View")</f>
        <v>View</v>
      </c>
      <c r="V2024" s="8"/>
      <c r="W2024" s="8"/>
      <c r="X2024" s="8"/>
      <c r="Y2024" s="8"/>
      <c r="Z2024" s="8"/>
    </row>
    <row r="2025" spans="1:26" ht="13.2">
      <c r="A2025" s="13">
        <v>44250.163206018522</v>
      </c>
      <c r="B2025" s="6" t="str">
        <f>HYPERLINK("https://twitter.com/analytikus1","@analytikus1")</f>
        <v>@analytikus1</v>
      </c>
      <c r="C2025" s="14" t="s">
        <v>8125</v>
      </c>
      <c r="D2025" s="14" t="s">
        <v>8126</v>
      </c>
      <c r="E2025" s="6" t="str">
        <f>HYPERLINK("https://twitter.com/analytikus1/status/1364046075322073089","1364046075322073089")</f>
        <v>1364046075322073089</v>
      </c>
      <c r="F2025" s="7" t="s">
        <v>8127</v>
      </c>
      <c r="G2025" s="8"/>
      <c r="H2025" s="8"/>
      <c r="I2025" s="14">
        <v>3</v>
      </c>
      <c r="J2025" s="14">
        <v>2</v>
      </c>
      <c r="K2025" s="6" t="str">
        <f>HYPERLINK("https://www.hootsuite.com","Hootsuite Inc.")</f>
        <v>Hootsuite Inc.</v>
      </c>
      <c r="L2025" s="15">
        <v>983</v>
      </c>
      <c r="M2025" s="15">
        <v>258</v>
      </c>
      <c r="N2025" s="15">
        <v>116</v>
      </c>
      <c r="O2025" s="9"/>
      <c r="P2025" s="10">
        <v>42161.835034722222</v>
      </c>
      <c r="Q2025" s="14" t="s">
        <v>8128</v>
      </c>
      <c r="R2025" s="14" t="s">
        <v>8129</v>
      </c>
      <c r="S2025" s="7" t="s">
        <v>8130</v>
      </c>
      <c r="T2025" s="8"/>
      <c r="U2025" s="11" t="str">
        <f>HYPERLINK("https://pbs.twimg.com/profile_images/1346228729052327937/3F_Laici.jpg","View")</f>
        <v>View</v>
      </c>
      <c r="V2025" s="8"/>
      <c r="W2025" s="8"/>
      <c r="X2025" s="8"/>
      <c r="Y2025" s="8"/>
      <c r="Z2025" s="8"/>
    </row>
    <row r="2026" spans="1:26" ht="13.2">
      <c r="A2026" s="13">
        <v>44250.162499999999</v>
      </c>
      <c r="B2026" s="6" t="str">
        <f>HYPERLINK("https://twitter.com/AnnoDomaini","@AnnoDomaini")</f>
        <v>@AnnoDomaini</v>
      </c>
      <c r="C2026" s="14" t="s">
        <v>8131</v>
      </c>
      <c r="D2026" s="14" t="s">
        <v>8132</v>
      </c>
      <c r="E2026" s="6" t="str">
        <f>HYPERLINK("https://twitter.com/AnnoDomaini/status/1364045817259167745","1364045817259167745")</f>
        <v>1364045817259167745</v>
      </c>
      <c r="F2026" s="7" t="s">
        <v>8133</v>
      </c>
      <c r="G2026" s="7" t="s">
        <v>8134</v>
      </c>
      <c r="H2026" s="8"/>
      <c r="I2026" s="14">
        <v>32</v>
      </c>
      <c r="J2026" s="14">
        <v>17</v>
      </c>
      <c r="K2026" s="6" t="str">
        <f>HYPERLINK("https://about.twitter.com/products/tweetdeck","TweetDeck")</f>
        <v>TweetDeck</v>
      </c>
      <c r="L2026" s="15">
        <v>1756</v>
      </c>
      <c r="M2026" s="15">
        <v>4573</v>
      </c>
      <c r="N2026" s="15">
        <v>495</v>
      </c>
      <c r="O2026" s="9"/>
      <c r="P2026" s="10">
        <v>41465.106273148151</v>
      </c>
      <c r="Q2026" s="14" t="s">
        <v>8135</v>
      </c>
      <c r="R2026" s="14" t="s">
        <v>8136</v>
      </c>
      <c r="S2026" s="7" t="s">
        <v>8137</v>
      </c>
      <c r="T2026" s="8"/>
      <c r="U2026" s="11" t="str">
        <f>HYPERLINK("https://pbs.twimg.com/profile_images/1101886568321769473/N6LH3j1l.png","View")</f>
        <v>View</v>
      </c>
      <c r="V2026" s="8"/>
      <c r="W2026" s="8"/>
      <c r="X2026" s="8"/>
      <c r="Y2026" s="8"/>
      <c r="Z2026" s="8"/>
    </row>
    <row r="2027" spans="1:26" ht="13.2">
      <c r="A2027" s="13">
        <v>44250.160810185189</v>
      </c>
      <c r="B2027" s="6" t="str">
        <f>HYPERLINK("https://twitter.com/SureshRukman","@SureshRukman")</f>
        <v>@SureshRukman</v>
      </c>
      <c r="C2027" s="14" t="s">
        <v>3313</v>
      </c>
      <c r="D2027" s="14" t="s">
        <v>8138</v>
      </c>
      <c r="E2027" s="6" t="str">
        <f>HYPERLINK("https://twitter.com/SureshRukman/status/1364045207981981700","1364045207981981700")</f>
        <v>1364045207981981700</v>
      </c>
      <c r="F2027" s="14" t="s">
        <v>8139</v>
      </c>
      <c r="G2027" s="8"/>
      <c r="H2027" s="8"/>
      <c r="I2027" s="14">
        <v>3</v>
      </c>
      <c r="J2027" s="14">
        <v>0</v>
      </c>
      <c r="K2027" s="6" t="str">
        <f t="shared" ref="K2027:K2028" si="373">HYPERLINK("http://twinybots.com","TwinyBots")</f>
        <v>TwinyBots</v>
      </c>
      <c r="L2027" s="15">
        <v>2176</v>
      </c>
      <c r="M2027" s="15">
        <v>2281</v>
      </c>
      <c r="N2027" s="15">
        <v>293</v>
      </c>
      <c r="O2027" s="9"/>
      <c r="P2027" s="10">
        <v>41359.54041666667</v>
      </c>
      <c r="Q2027" s="14" t="s">
        <v>2551</v>
      </c>
      <c r="R2027" s="14" t="s">
        <v>3314</v>
      </c>
      <c r="S2027" s="7" t="s">
        <v>2553</v>
      </c>
      <c r="T2027" s="8"/>
      <c r="U2027" s="11" t="str">
        <f>HYPERLINK("https://pbs.twimg.com/profile_images/1038762339368087554/JICJ5viP.jpg","View")</f>
        <v>View</v>
      </c>
      <c r="V2027" s="8"/>
      <c r="W2027" s="8"/>
      <c r="X2027" s="8"/>
      <c r="Y2027" s="8"/>
      <c r="Z2027" s="8"/>
    </row>
    <row r="2028" spans="1:26" ht="13.2">
      <c r="A2028" s="13">
        <v>44250.160810185189</v>
      </c>
      <c r="B2028" s="6" t="str">
        <f>HYPERLINK("https://twitter.com/The__Real__Gabo","@The__Real__Gabo")</f>
        <v>@The__Real__Gabo</v>
      </c>
      <c r="C2028" s="14" t="s">
        <v>8140</v>
      </c>
      <c r="D2028" s="14" t="s">
        <v>8141</v>
      </c>
      <c r="E2028" s="6" t="str">
        <f>HYPERLINK("https://twitter.com/The__Real__Gabo/status/1364045207977754624","1364045207977754624")</f>
        <v>1364045207977754624</v>
      </c>
      <c r="F2028" s="14" t="s">
        <v>8142</v>
      </c>
      <c r="G2028" s="8"/>
      <c r="H2028" s="8"/>
      <c r="I2028" s="14">
        <v>6</v>
      </c>
      <c r="J2028" s="14">
        <v>3</v>
      </c>
      <c r="K2028" s="6" t="str">
        <f t="shared" si="373"/>
        <v>TwinyBots</v>
      </c>
      <c r="L2028" s="15">
        <v>748</v>
      </c>
      <c r="M2028" s="15">
        <v>2039</v>
      </c>
      <c r="N2028" s="15">
        <v>13</v>
      </c>
      <c r="O2028" s="9"/>
      <c r="P2028" s="10">
        <v>42879.815659722226</v>
      </c>
      <c r="Q2028" s="14" t="s">
        <v>8143</v>
      </c>
      <c r="R2028" s="14" t="s">
        <v>8144</v>
      </c>
      <c r="S2028" s="7" t="s">
        <v>8145</v>
      </c>
      <c r="T2028" s="8"/>
      <c r="U2028" s="11" t="str">
        <f>HYPERLINK("https://pbs.twimg.com/profile_images/1360623761880408074/uv4_dv-4.jpg","View")</f>
        <v>View</v>
      </c>
      <c r="V2028" s="8"/>
      <c r="W2028" s="8"/>
      <c r="X2028" s="8"/>
      <c r="Y2028" s="8"/>
      <c r="Z2028" s="8"/>
    </row>
    <row r="2029" spans="1:26" ht="13.2">
      <c r="A2029" s="13">
        <v>44250.158472222218</v>
      </c>
      <c r="B2029" s="6" t="str">
        <f>HYPERLINK("https://twitter.com/Everyday_MBA","@Everyday_MBA")</f>
        <v>@Everyday_MBA</v>
      </c>
      <c r="C2029" s="14" t="s">
        <v>3546</v>
      </c>
      <c r="D2029" s="14" t="s">
        <v>8146</v>
      </c>
      <c r="E2029" s="6" t="str">
        <f>HYPERLINK("https://twitter.com/Everyday_MBA/status/1364044360170557441","1364044360170557441")</f>
        <v>1364044360170557441</v>
      </c>
      <c r="F2029" s="7" t="s">
        <v>8147</v>
      </c>
      <c r="G2029" s="8"/>
      <c r="H2029" s="8"/>
      <c r="I2029" s="14">
        <v>2</v>
      </c>
      <c r="J2029" s="14">
        <v>1</v>
      </c>
      <c r="K2029" s="6" t="str">
        <f>HYPERLINK("https://www.socialjukebox.com","The Social Jukebox")</f>
        <v>The Social Jukebox</v>
      </c>
      <c r="L2029" s="15">
        <v>3819</v>
      </c>
      <c r="M2029" s="15">
        <v>3185</v>
      </c>
      <c r="N2029" s="15">
        <v>1740</v>
      </c>
      <c r="O2029" s="9"/>
      <c r="P2029" s="10">
        <v>42070.982476851852</v>
      </c>
      <c r="Q2029" s="14" t="s">
        <v>3549</v>
      </c>
      <c r="R2029" s="14" t="s">
        <v>3550</v>
      </c>
      <c r="S2029" s="7" t="s">
        <v>3551</v>
      </c>
      <c r="T2029" s="8"/>
      <c r="U2029" s="11" t="str">
        <f>HYPERLINK("https://pbs.twimg.com/profile_images/574337677459202048/Q2PmXkVJ.jpeg","View")</f>
        <v>View</v>
      </c>
      <c r="V2029" s="8"/>
      <c r="W2029" s="8"/>
      <c r="X2029" s="8"/>
      <c r="Y2029" s="8"/>
      <c r="Z2029" s="8"/>
    </row>
    <row r="2030" spans="1:26" ht="13.2">
      <c r="A2030" s="13">
        <v>44250.158368055556</v>
      </c>
      <c r="B2030" s="6" t="str">
        <f>HYPERLINK("https://twitter.com/sachinjainphd","@sachinjainphd")</f>
        <v>@sachinjainphd</v>
      </c>
      <c r="C2030" s="14" t="s">
        <v>4312</v>
      </c>
      <c r="D2030" s="14" t="s">
        <v>8148</v>
      </c>
      <c r="E2030" s="6" t="str">
        <f>HYPERLINK("https://twitter.com/sachinjainphd/status/1364044319901024258","1364044319901024258")</f>
        <v>1364044319901024258</v>
      </c>
      <c r="F2030" s="7" t="s">
        <v>8149</v>
      </c>
      <c r="G2030" s="8"/>
      <c r="H2030" s="8"/>
      <c r="I2030" s="14">
        <v>12</v>
      </c>
      <c r="J2030" s="14">
        <v>4</v>
      </c>
      <c r="K2030" s="6" t="str">
        <f>HYPERLINK("http://twitter.com/download/android","Twitter for Android")</f>
        <v>Twitter for Android</v>
      </c>
      <c r="L2030" s="15">
        <v>151</v>
      </c>
      <c r="M2030" s="15">
        <v>90</v>
      </c>
      <c r="N2030" s="15">
        <v>1</v>
      </c>
      <c r="O2030" s="9"/>
      <c r="P2030" s="10">
        <v>40495.178032407406</v>
      </c>
      <c r="Q2030" s="14" t="s">
        <v>221</v>
      </c>
      <c r="R2030" s="14" t="s">
        <v>4315</v>
      </c>
      <c r="S2030" s="8"/>
      <c r="T2030" s="8"/>
      <c r="U2030" s="11" t="str">
        <f>HYPERLINK("https://pbs.twimg.com/profile_images/1248474611202658304/JZtqih-r.jpg","View")</f>
        <v>View</v>
      </c>
      <c r="V2030" s="8"/>
      <c r="W2030" s="8"/>
      <c r="X2030" s="8"/>
      <c r="Y2030" s="8"/>
      <c r="Z2030" s="8"/>
    </row>
    <row r="2031" spans="1:26" ht="13.2">
      <c r="A2031" s="13">
        <v>44250.158333333333</v>
      </c>
      <c r="B2031" s="6" t="str">
        <f>HYPERLINK("https://twitter.com/ArceoChoya","@ArceoChoya")</f>
        <v>@ArceoChoya</v>
      </c>
      <c r="C2031" s="14" t="s">
        <v>3670</v>
      </c>
      <c r="D2031" s="14" t="s">
        <v>8150</v>
      </c>
      <c r="E2031" s="6" t="str">
        <f>HYPERLINK("https://twitter.com/ArceoChoya/status/1364044310014873600","1364044310014873600")</f>
        <v>1364044310014873600</v>
      </c>
      <c r="F2031" s="7" t="s">
        <v>8151</v>
      </c>
      <c r="G2031" s="7" t="s">
        <v>8152</v>
      </c>
      <c r="H2031" s="8"/>
      <c r="I2031" s="14">
        <v>3</v>
      </c>
      <c r="J2031" s="14">
        <v>1</v>
      </c>
      <c r="K2031" s="6" t="str">
        <f>HYPERLINK("https://mobile.twitter.com","Twitter Web App")</f>
        <v>Twitter Web App</v>
      </c>
      <c r="L2031" s="15">
        <v>943</v>
      </c>
      <c r="M2031" s="15">
        <v>890</v>
      </c>
      <c r="N2031" s="15">
        <v>11</v>
      </c>
      <c r="O2031" s="9"/>
      <c r="P2031" s="10">
        <v>43514.004432870366</v>
      </c>
      <c r="Q2031" s="14" t="s">
        <v>3674</v>
      </c>
      <c r="R2031" s="14" t="s">
        <v>3675</v>
      </c>
      <c r="S2031" s="8"/>
      <c r="T2031" s="8"/>
      <c r="U2031" s="11" t="str">
        <f>HYPERLINK("https://pbs.twimg.com/profile_images/1116159551307255809/OK6d0ci1.png","View")</f>
        <v>View</v>
      </c>
      <c r="V2031" s="8"/>
      <c r="W2031" s="8"/>
      <c r="X2031" s="8"/>
      <c r="Y2031" s="8"/>
      <c r="Z2031" s="8"/>
    </row>
    <row r="2032" spans="1:26" ht="13.2">
      <c r="A2032" s="13">
        <v>44250.158020833333</v>
      </c>
      <c r="B2032" s="6" t="str">
        <f>HYPERLINK("https://twitter.com/machinelearnflx","@machinelearnflx")</f>
        <v>@machinelearnflx</v>
      </c>
      <c r="C2032" s="14" t="s">
        <v>279</v>
      </c>
      <c r="D2032" s="14" t="s">
        <v>8153</v>
      </c>
      <c r="E2032" s="6" t="str">
        <f>HYPERLINK("https://twitter.com/machinelearnflx/status/1364044196378800131","1364044196378800131")</f>
        <v>1364044196378800131</v>
      </c>
      <c r="F2032" s="7" t="s">
        <v>8154</v>
      </c>
      <c r="G2032" s="8"/>
      <c r="H2032" s="8"/>
      <c r="I2032" s="14">
        <v>6</v>
      </c>
      <c r="J2032" s="14">
        <v>5</v>
      </c>
      <c r="K2032" s="6" t="str">
        <f>HYPERLINK("https://twitter.com/pythonbot_","Postmatico")</f>
        <v>Postmatico</v>
      </c>
      <c r="L2032" s="15">
        <v>90451</v>
      </c>
      <c r="M2032" s="15">
        <v>35464</v>
      </c>
      <c r="N2032" s="15">
        <v>2228</v>
      </c>
      <c r="O2032" s="9"/>
      <c r="P2032" s="10">
        <v>42386.538865740746</v>
      </c>
      <c r="Q2032" s="8"/>
      <c r="R2032" s="14" t="s">
        <v>282</v>
      </c>
      <c r="S2032" s="7" t="s">
        <v>283</v>
      </c>
      <c r="T2032" s="8"/>
      <c r="U2032" s="11" t="str">
        <f>HYPERLINK("https://pbs.twimg.com/profile_images/688735459892195329/v8sHaWSG.jpg","View")</f>
        <v>View</v>
      </c>
      <c r="V2032" s="8"/>
      <c r="W2032" s="8"/>
      <c r="X2032" s="8"/>
      <c r="Y2032" s="8"/>
      <c r="Z2032" s="8"/>
    </row>
    <row r="2033" spans="1:26" ht="13.2">
      <c r="A2033" s="13">
        <v>44250.157175925924</v>
      </c>
      <c r="B2033" s="6" t="str">
        <f>HYPERLINK("https://twitter.com/DarsaAi","@DarsaAi")</f>
        <v>@DarsaAi</v>
      </c>
      <c r="C2033" s="14" t="s">
        <v>8155</v>
      </c>
      <c r="D2033" s="14" t="s">
        <v>8156</v>
      </c>
      <c r="E2033" s="6" t="str">
        <f>HYPERLINK("https://twitter.com/DarsaAi/status/1364043887854161929","1364043887854161929")</f>
        <v>1364043887854161929</v>
      </c>
      <c r="F2033" s="8"/>
      <c r="G2033" s="8"/>
      <c r="H2033" s="8"/>
      <c r="I2033" s="14">
        <v>3</v>
      </c>
      <c r="J2033" s="14">
        <v>2</v>
      </c>
      <c r="K2033" s="6" t="str">
        <f>HYPERLINK("http://twitter.com/download/android","Twitter for Android")</f>
        <v>Twitter for Android</v>
      </c>
      <c r="L2033" s="15">
        <v>22</v>
      </c>
      <c r="M2033" s="15">
        <v>57</v>
      </c>
      <c r="N2033" s="15">
        <v>0</v>
      </c>
      <c r="O2033" s="9"/>
      <c r="P2033" s="10">
        <v>43608.620381944449</v>
      </c>
      <c r="Q2033" s="14" t="s">
        <v>6895</v>
      </c>
      <c r="R2033" s="14" t="s">
        <v>8157</v>
      </c>
      <c r="S2033" s="7" t="s">
        <v>8158</v>
      </c>
      <c r="T2033" s="8"/>
      <c r="U2033" s="11" t="str">
        <f>HYPERLINK("https://pbs.twimg.com/profile_images/1275819817107206145/bUPigSlT.jpg","View")</f>
        <v>View</v>
      </c>
      <c r="V2033" s="8"/>
      <c r="W2033" s="8"/>
      <c r="X2033" s="8"/>
      <c r="Y2033" s="8"/>
      <c r="Z2033" s="8"/>
    </row>
    <row r="2034" spans="1:26" ht="13.2">
      <c r="A2034" s="13">
        <v>44250.156145833331</v>
      </c>
      <c r="B2034" s="6" t="str">
        <f>HYPERLINK("https://twitter.com/HeliodoroSantos","@HeliodoroSantos")</f>
        <v>@HeliodoroSantos</v>
      </c>
      <c r="C2034" s="14" t="s">
        <v>8159</v>
      </c>
      <c r="D2034" s="14" t="s">
        <v>8160</v>
      </c>
      <c r="E2034" s="6" t="str">
        <f>HYPERLINK("https://twitter.com/HeliodoroSantos/status/1364043517031424000","1364043517031424000")</f>
        <v>1364043517031424000</v>
      </c>
      <c r="F2034" s="8"/>
      <c r="G2034" s="7" t="s">
        <v>8161</v>
      </c>
      <c r="H2034" s="8"/>
      <c r="I2034" s="14">
        <v>9</v>
      </c>
      <c r="J2034" s="14">
        <v>7</v>
      </c>
      <c r="K2034" s="6" t="str">
        <f>HYPERLINK("https://www.heliosantos.org","pyt1")</f>
        <v>pyt1</v>
      </c>
      <c r="L2034" s="15">
        <v>280</v>
      </c>
      <c r="M2034" s="15">
        <v>769</v>
      </c>
      <c r="N2034" s="15">
        <v>6</v>
      </c>
      <c r="O2034" s="9"/>
      <c r="P2034" s="10">
        <v>40610.833437499998</v>
      </c>
      <c r="Q2034" s="14" t="s">
        <v>8162</v>
      </c>
      <c r="R2034" s="8"/>
      <c r="S2034" s="7" t="s">
        <v>8163</v>
      </c>
      <c r="T2034" s="8"/>
      <c r="U2034" s="11" t="str">
        <f>HYPERLINK("https://pbs.twimg.com/profile_images/1242256799715037185/YzdNmVH9.jpg","View")</f>
        <v>View</v>
      </c>
      <c r="V2034" s="8"/>
      <c r="W2034" s="8"/>
      <c r="X2034" s="8"/>
      <c r="Y2034" s="8"/>
      <c r="Z2034" s="8"/>
    </row>
    <row r="2035" spans="1:26" ht="13.2">
      <c r="A2035" s="13">
        <v>44250.154363425929</v>
      </c>
      <c r="B2035" s="6" t="str">
        <f>HYPERLINK("https://twitter.com/naikrd","@naikrd")</f>
        <v>@naikrd</v>
      </c>
      <c r="C2035" s="14" t="s">
        <v>3152</v>
      </c>
      <c r="D2035" s="14" t="s">
        <v>5854</v>
      </c>
      <c r="E2035" s="6" t="str">
        <f>HYPERLINK("https://twitter.com/naikrd/status/1364042871096172544","1364042871096172544")</f>
        <v>1364042871096172544</v>
      </c>
      <c r="F2035" s="14" t="s">
        <v>5855</v>
      </c>
      <c r="G2035" s="8"/>
      <c r="H2035" s="8"/>
      <c r="I2035" s="14">
        <v>2</v>
      </c>
      <c r="J2035" s="14">
        <v>0</v>
      </c>
      <c r="K2035" s="6" t="str">
        <f>HYPERLINK("http://twinybots.com","TwinyBots")</f>
        <v>TwinyBots</v>
      </c>
      <c r="L2035" s="15">
        <v>525</v>
      </c>
      <c r="M2035" s="15">
        <v>297</v>
      </c>
      <c r="N2035" s="15">
        <v>25</v>
      </c>
      <c r="O2035" s="9"/>
      <c r="P2035" s="10">
        <v>39946.865474537037</v>
      </c>
      <c r="Q2035" s="14" t="s">
        <v>914</v>
      </c>
      <c r="R2035" s="14" t="s">
        <v>3155</v>
      </c>
      <c r="S2035" s="8"/>
      <c r="T2035" s="8"/>
      <c r="U2035" s="11" t="str">
        <f>HYPERLINK("https://pbs.twimg.com/profile_images/1185037441696174080/kw-QxCdn.jpg","View")</f>
        <v>View</v>
      </c>
      <c r="V2035" s="8"/>
      <c r="W2035" s="8"/>
      <c r="X2035" s="8"/>
      <c r="Y2035" s="8"/>
      <c r="Z2035" s="8"/>
    </row>
    <row r="2036" spans="1:26" ht="13.2">
      <c r="A2036" s="13">
        <v>44250.15347222222</v>
      </c>
      <c r="B2036" s="6" t="str">
        <f>HYPERLINK("https://twitter.com/SourabhSKatoch","@SourabhSKatoch")</f>
        <v>@SourabhSKatoch</v>
      </c>
      <c r="C2036" s="14" t="s">
        <v>2965</v>
      </c>
      <c r="D2036" s="14" t="s">
        <v>8164</v>
      </c>
      <c r="E2036" s="6" t="str">
        <f>HYPERLINK("https://twitter.com/SourabhSKatoch/status/1364042545676906506","1364042545676906506")</f>
        <v>1364042545676906506</v>
      </c>
      <c r="F2036" s="7" t="s">
        <v>8165</v>
      </c>
      <c r="G2036" s="7" t="s">
        <v>8166</v>
      </c>
      <c r="H2036" s="8"/>
      <c r="I2036" s="14">
        <v>43</v>
      </c>
      <c r="J2036" s="14">
        <v>19</v>
      </c>
      <c r="K2036" s="6" t="str">
        <f t="shared" ref="K2036:K2038" si="374">HYPERLINK("https://mobile.twitter.com","Twitter Web App")</f>
        <v>Twitter Web App</v>
      </c>
      <c r="L2036" s="15">
        <v>12277</v>
      </c>
      <c r="M2036" s="15">
        <v>11846</v>
      </c>
      <c r="N2036" s="15">
        <v>59</v>
      </c>
      <c r="O2036" s="9"/>
      <c r="P2036" s="10">
        <v>42623.507314814815</v>
      </c>
      <c r="Q2036" s="14" t="s">
        <v>2969</v>
      </c>
      <c r="R2036" s="14" t="s">
        <v>2970</v>
      </c>
      <c r="S2036" s="8"/>
      <c r="T2036" s="8"/>
      <c r="U2036" s="11" t="str">
        <f>HYPERLINK("https://pbs.twimg.com/profile_images/1250501846709334017/WU0jzEqi.jpg","View")</f>
        <v>View</v>
      </c>
      <c r="V2036" s="8"/>
      <c r="W2036" s="8"/>
      <c r="X2036" s="8"/>
      <c r="Y2036" s="8"/>
      <c r="Z2036" s="8"/>
    </row>
    <row r="2037" spans="1:26" ht="13.2">
      <c r="A2037" s="13">
        <v>44250.15325231482</v>
      </c>
      <c r="B2037" s="6" t="str">
        <f>HYPERLINK("https://twitter.com/real_straxxxes","@real_straxxxes")</f>
        <v>@real_straxxxes</v>
      </c>
      <c r="C2037" s="14" t="s">
        <v>8167</v>
      </c>
      <c r="D2037" s="14" t="s">
        <v>8168</v>
      </c>
      <c r="E2037" s="6" t="str">
        <f>HYPERLINK("https://twitter.com/real_straxxxes/status/1364042467612459009","1364042467612459009")</f>
        <v>1364042467612459009</v>
      </c>
      <c r="F2037" s="8"/>
      <c r="G2037" s="7" t="s">
        <v>8169</v>
      </c>
      <c r="H2037" s="8"/>
      <c r="I2037" s="14">
        <v>26</v>
      </c>
      <c r="J2037" s="14">
        <v>7</v>
      </c>
      <c r="K2037" s="6" t="str">
        <f t="shared" si="374"/>
        <v>Twitter Web App</v>
      </c>
      <c r="L2037" s="15">
        <v>58</v>
      </c>
      <c r="M2037" s="15">
        <v>205</v>
      </c>
      <c r="N2037" s="15">
        <v>0</v>
      </c>
      <c r="O2037" s="9"/>
      <c r="P2037" s="10">
        <v>44080.25267361111</v>
      </c>
      <c r="Q2037" s="14" t="s">
        <v>6299</v>
      </c>
      <c r="R2037" s="14" t="s">
        <v>8170</v>
      </c>
      <c r="S2037" s="7" t="s">
        <v>8171</v>
      </c>
      <c r="T2037" s="8"/>
      <c r="U2037" s="11" t="str">
        <f>HYPERLINK("https://pbs.twimg.com/profile_images/1338713355616477184/aVeBzvxw.png","View")</f>
        <v>View</v>
      </c>
      <c r="V2037" s="8"/>
      <c r="W2037" s="8"/>
      <c r="X2037" s="8"/>
      <c r="Y2037" s="8"/>
      <c r="Z2037" s="8"/>
    </row>
    <row r="2038" spans="1:26" ht="13.2">
      <c r="A2038" s="13">
        <v>44250.152777777781</v>
      </c>
      <c r="B2038" s="6" t="str">
        <f>HYPERLINK("https://twitter.com/ANoorTech","@ANoorTech")</f>
        <v>@ANoorTech</v>
      </c>
      <c r="C2038" s="14" t="s">
        <v>2117</v>
      </c>
      <c r="D2038" s="14" t="s">
        <v>8172</v>
      </c>
      <c r="E2038" s="6" t="str">
        <f>HYPERLINK("https://twitter.com/ANoorTech/status/1364042293955596289","1364042293955596289")</f>
        <v>1364042293955596289</v>
      </c>
      <c r="F2038" s="8"/>
      <c r="G2038" s="7" t="s">
        <v>8173</v>
      </c>
      <c r="H2038" s="8"/>
      <c r="I2038" s="14">
        <v>23</v>
      </c>
      <c r="J2038" s="14">
        <v>27</v>
      </c>
      <c r="K2038" s="6" t="str">
        <f t="shared" si="374"/>
        <v>Twitter Web App</v>
      </c>
      <c r="L2038" s="15">
        <v>392</v>
      </c>
      <c r="M2038" s="15">
        <v>333</v>
      </c>
      <c r="N2038" s="15">
        <v>0</v>
      </c>
      <c r="O2038" s="9"/>
      <c r="P2038" s="10">
        <v>44241.511238425926</v>
      </c>
      <c r="Q2038" s="14" t="s">
        <v>2120</v>
      </c>
      <c r="R2038" s="14" t="s">
        <v>2121</v>
      </c>
      <c r="S2038" s="8"/>
      <c r="T2038" s="8"/>
      <c r="U2038" s="11" t="str">
        <f>HYPERLINK("https://pbs.twimg.com/profile_images/1361417183574839302/G5WcAJbe.jpg","View")</f>
        <v>View</v>
      </c>
      <c r="V2038" s="8"/>
      <c r="W2038" s="8"/>
      <c r="X2038" s="8"/>
      <c r="Y2038" s="8"/>
      <c r="Z2038" s="8"/>
    </row>
    <row r="2039" spans="1:26" ht="13.2">
      <c r="A2039" s="13">
        <v>44250.151956018519</v>
      </c>
      <c r="B2039" s="6" t="str">
        <f>HYPERLINK("https://twitter.com/saqibali_ca","@saqibali_ca")</f>
        <v>@saqibali_ca</v>
      </c>
      <c r="C2039" s="14" t="s">
        <v>965</v>
      </c>
      <c r="D2039" s="14" t="s">
        <v>8174</v>
      </c>
      <c r="E2039" s="6" t="str">
        <f>HYPERLINK("https://twitter.com/saqibali_ca/status/1364041997808410631","1364041997808410631")</f>
        <v>1364041997808410631</v>
      </c>
      <c r="F2039" s="7" t="s">
        <v>3213</v>
      </c>
      <c r="G2039" s="8"/>
      <c r="H2039" s="8"/>
      <c r="I2039" s="14">
        <v>1</v>
      </c>
      <c r="J2039" s="14">
        <v>0</v>
      </c>
      <c r="K2039" s="8"/>
      <c r="L2039" s="15">
        <v>270</v>
      </c>
      <c r="M2039" s="15">
        <v>0</v>
      </c>
      <c r="N2039" s="15">
        <v>3</v>
      </c>
      <c r="O2039" s="9"/>
      <c r="P2039" s="10">
        <v>43119.848680555559</v>
      </c>
      <c r="Q2039" s="14" t="s">
        <v>968</v>
      </c>
      <c r="R2039" s="14" t="s">
        <v>969</v>
      </c>
      <c r="S2039" s="7" t="s">
        <v>970</v>
      </c>
      <c r="T2039" s="8"/>
      <c r="U2039" s="11" t="str">
        <f>HYPERLINK("https://pbs.twimg.com/profile_images/1142963749285855233/c6NRGCvi.jpg","View")</f>
        <v>View</v>
      </c>
      <c r="V2039" s="8"/>
      <c r="W2039" s="8"/>
      <c r="X2039" s="8"/>
      <c r="Y2039" s="8"/>
      <c r="Z2039" s="8"/>
    </row>
    <row r="2040" spans="1:26" ht="13.2">
      <c r="A2040" s="13">
        <v>44250.149849537032</v>
      </c>
      <c r="B2040" s="6" t="str">
        <f>HYPERLINK("https://twitter.com/buysidereport","@buysidereport")</f>
        <v>@buysidereport</v>
      </c>
      <c r="C2040" s="14" t="s">
        <v>8175</v>
      </c>
      <c r="D2040" s="14" t="s">
        <v>8176</v>
      </c>
      <c r="E2040" s="6" t="str">
        <f>HYPERLINK("https://twitter.com/buysidereport/status/1364041235741179904","1364041235741179904")</f>
        <v>1364041235741179904</v>
      </c>
      <c r="F2040" s="7" t="s">
        <v>8177</v>
      </c>
      <c r="G2040" s="8"/>
      <c r="H2040" s="8"/>
      <c r="I2040" s="14">
        <v>2</v>
      </c>
      <c r="J2040" s="14">
        <v>6</v>
      </c>
      <c r="K2040" s="6" t="str">
        <f>HYPERLINK("http://twitter.com/download/iphone","Twitter for iPhone")</f>
        <v>Twitter for iPhone</v>
      </c>
      <c r="L2040" s="15">
        <v>959</v>
      </c>
      <c r="M2040" s="15">
        <v>2803</v>
      </c>
      <c r="N2040" s="15">
        <v>16</v>
      </c>
      <c r="O2040" s="9"/>
      <c r="P2040" s="10">
        <v>43750.078449074077</v>
      </c>
      <c r="Q2040" s="8"/>
      <c r="R2040" s="14" t="s">
        <v>8178</v>
      </c>
      <c r="S2040" s="7" t="s">
        <v>8179</v>
      </c>
      <c r="T2040" s="8"/>
      <c r="U2040" s="11" t="str">
        <f>HYPERLINK("https://pbs.twimg.com/profile_images/1182816001483784192/9W9mCfWO.jpg","View")</f>
        <v>View</v>
      </c>
      <c r="V2040" s="8"/>
      <c r="W2040" s="8"/>
      <c r="X2040" s="8"/>
      <c r="Y2040" s="8"/>
      <c r="Z2040" s="8"/>
    </row>
    <row r="2041" spans="1:26" ht="13.2">
      <c r="A2041" s="13">
        <v>44250.149722222224</v>
      </c>
      <c r="B2041" s="6" t="str">
        <f>HYPERLINK("https://twitter.com/corizance","@corizance")</f>
        <v>@corizance</v>
      </c>
      <c r="C2041" s="14" t="s">
        <v>2550</v>
      </c>
      <c r="D2041" s="14" t="s">
        <v>8180</v>
      </c>
      <c r="E2041" s="6" t="str">
        <f>HYPERLINK("https://twitter.com/corizance/status/1364041187137617921","1364041187137617921")</f>
        <v>1364041187137617921</v>
      </c>
      <c r="F2041" s="14" t="s">
        <v>8181</v>
      </c>
      <c r="G2041" s="8"/>
      <c r="H2041" s="8"/>
      <c r="I2041" s="14">
        <v>0</v>
      </c>
      <c r="J2041" s="14">
        <v>0</v>
      </c>
      <c r="K2041" s="6" t="str">
        <f>HYPERLINK("http://twinybots.com","TwinyBots")</f>
        <v>TwinyBots</v>
      </c>
      <c r="L2041" s="15">
        <v>488</v>
      </c>
      <c r="M2041" s="15">
        <v>434</v>
      </c>
      <c r="N2041" s="15">
        <v>13</v>
      </c>
      <c r="O2041" s="9"/>
      <c r="P2041" s="10">
        <v>43789.49145833333</v>
      </c>
      <c r="Q2041" s="14" t="s">
        <v>2551</v>
      </c>
      <c r="R2041" s="14" t="s">
        <v>2552</v>
      </c>
      <c r="S2041" s="7" t="s">
        <v>2553</v>
      </c>
      <c r="T2041" s="8"/>
      <c r="U2041" s="11" t="str">
        <f>HYPERLINK("https://pbs.twimg.com/profile_images/1223176339697565697/q38i7r9K.jpg","View")</f>
        <v>View</v>
      </c>
      <c r="V2041" s="8"/>
      <c r="W2041" s="8"/>
      <c r="X2041" s="8"/>
      <c r="Y2041" s="8"/>
      <c r="Z2041" s="8"/>
    </row>
    <row r="2042" spans="1:26" ht="13.2">
      <c r="A2042" s="13">
        <v>44250.149236111116</v>
      </c>
      <c r="B2042" s="6" t="str">
        <f>HYPERLINK("https://twitter.com/Datascience__","@Datascience__")</f>
        <v>@Datascience__</v>
      </c>
      <c r="C2042" s="14" t="s">
        <v>1082</v>
      </c>
      <c r="D2042" s="14" t="s">
        <v>8182</v>
      </c>
      <c r="E2042" s="6" t="str">
        <f>HYPERLINK("https://twitter.com/Datascience__/status/1364041012700581890","1364041012700581890")</f>
        <v>1364041012700581890</v>
      </c>
      <c r="F2042" s="7" t="s">
        <v>8183</v>
      </c>
      <c r="G2042" s="8"/>
      <c r="H2042" s="8"/>
      <c r="I2042" s="14">
        <v>3</v>
      </c>
      <c r="J2042" s="14">
        <v>3</v>
      </c>
      <c r="K2042" s="6" t="str">
        <f>HYPERLINK("https://twitter.com/pythonbot_","Postmatico")</f>
        <v>Postmatico</v>
      </c>
      <c r="L2042" s="15">
        <v>21499</v>
      </c>
      <c r="M2042" s="15">
        <v>11071</v>
      </c>
      <c r="N2042" s="15">
        <v>0</v>
      </c>
      <c r="O2042" s="9"/>
      <c r="P2042" s="10">
        <v>42735.551377314812</v>
      </c>
      <c r="Q2042" s="8"/>
      <c r="R2042" s="14" t="s">
        <v>1085</v>
      </c>
      <c r="S2042" s="7" t="s">
        <v>1086</v>
      </c>
      <c r="T2042" s="8"/>
      <c r="U2042" s="11" t="str">
        <f>HYPERLINK("https://pbs.twimg.com/profile_images/989066461435097088/AQZSFyuk.jpg","View")</f>
        <v>View</v>
      </c>
      <c r="V2042" s="8"/>
      <c r="W2042" s="8"/>
      <c r="X2042" s="8"/>
      <c r="Y2042" s="8"/>
      <c r="Z2042" s="8"/>
    </row>
    <row r="2043" spans="1:26" ht="13.2">
      <c r="A2043" s="13">
        <v>44250.148599537039</v>
      </c>
      <c r="B2043" s="6" t="str">
        <f>HYPERLINK("https://twitter.com/odsc","@odsc")</f>
        <v>@odsc</v>
      </c>
      <c r="C2043" s="14" t="s">
        <v>217</v>
      </c>
      <c r="D2043" s="14" t="s">
        <v>8184</v>
      </c>
      <c r="E2043" s="6" t="str">
        <f>HYPERLINK("https://twitter.com/odsc/status/1364040781133189120","1364040781133189120")</f>
        <v>1364040781133189120</v>
      </c>
      <c r="F2043" s="7" t="s">
        <v>8185</v>
      </c>
      <c r="G2043" s="8"/>
      <c r="H2043" s="8"/>
      <c r="I2043" s="14">
        <v>9</v>
      </c>
      <c r="J2043" s="14">
        <v>10</v>
      </c>
      <c r="K2043" s="6" t="str">
        <f>HYPERLINK("http://www.hubspot.com/","HubSpot")</f>
        <v>HubSpot</v>
      </c>
      <c r="L2043" s="15">
        <v>78817</v>
      </c>
      <c r="M2043" s="15">
        <v>27883</v>
      </c>
      <c r="N2043" s="15">
        <v>2461</v>
      </c>
      <c r="O2043" s="9"/>
      <c r="P2043" s="10">
        <v>42039.982766203699</v>
      </c>
      <c r="Q2043" s="14" t="s">
        <v>221</v>
      </c>
      <c r="R2043" s="14" t="s">
        <v>222</v>
      </c>
      <c r="S2043" s="7" t="s">
        <v>223</v>
      </c>
      <c r="T2043" s="8"/>
      <c r="U2043" s="11" t="str">
        <f>HYPERLINK("https://pbs.twimg.com/profile_images/1115210960271228929/lHua2G3l.png","View")</f>
        <v>View</v>
      </c>
      <c r="V2043" s="8"/>
      <c r="W2043" s="8"/>
      <c r="X2043" s="8"/>
      <c r="Y2043" s="8"/>
      <c r="Z2043" s="8"/>
    </row>
    <row r="2044" spans="1:26" ht="13.2">
      <c r="A2044" s="13">
        <v>44250.147256944445</v>
      </c>
      <c r="B2044" s="6" t="str">
        <f>HYPERLINK("https://twitter.com/ipfconline1","@ipfconline1")</f>
        <v>@ipfconline1</v>
      </c>
      <c r="C2044" s="14" t="s">
        <v>65</v>
      </c>
      <c r="D2044" s="14" t="s">
        <v>8186</v>
      </c>
      <c r="E2044" s="6" t="str">
        <f>HYPERLINK("https://twitter.com/ipfconline1/status/1364040292391911425","1364040292391911425")</f>
        <v>1364040292391911425</v>
      </c>
      <c r="F2044" s="7" t="s">
        <v>8187</v>
      </c>
      <c r="G2044" s="8"/>
      <c r="H2044" s="8"/>
      <c r="I2044" s="14">
        <v>12</v>
      </c>
      <c r="J2044" s="14">
        <v>9</v>
      </c>
      <c r="K2044" s="6" t="str">
        <f>HYPERLINK("https://twittimer.com","Twittimer")</f>
        <v>Twittimer</v>
      </c>
      <c r="L2044" s="15">
        <v>112675</v>
      </c>
      <c r="M2044" s="15">
        <v>107162</v>
      </c>
      <c r="N2044" s="15">
        <v>7806</v>
      </c>
      <c r="O2044" s="9"/>
      <c r="P2044" s="10">
        <v>42433.031967592593</v>
      </c>
      <c r="Q2044" s="14" t="s">
        <v>69</v>
      </c>
      <c r="R2044" s="14" t="s">
        <v>70</v>
      </c>
      <c r="S2044" s="7" t="s">
        <v>71</v>
      </c>
      <c r="T2044" s="8"/>
      <c r="U2044" s="11" t="str">
        <f>HYPERLINK("https://pbs.twimg.com/profile_images/729065804004769793/St2_Pum9.jpg","View")</f>
        <v>View</v>
      </c>
      <c r="V2044" s="8"/>
      <c r="W2044" s="8"/>
      <c r="X2044" s="8"/>
      <c r="Y2044" s="8"/>
      <c r="Z2044" s="8"/>
    </row>
    <row r="2045" spans="1:26" ht="13.2">
      <c r="A2045" s="13">
        <v>44250.147222222222</v>
      </c>
      <c r="B2045" s="6" t="str">
        <f>HYPERLINK("https://twitter.com/hashnode","@hashnode")</f>
        <v>@hashnode</v>
      </c>
      <c r="C2045" s="14" t="s">
        <v>8188</v>
      </c>
      <c r="D2045" s="14" t="s">
        <v>8189</v>
      </c>
      <c r="E2045" s="6" t="str">
        <f>HYPERLINK("https://twitter.com/hashnode/status/1364040281637744643","1364040281637744643")</f>
        <v>1364040281637744643</v>
      </c>
      <c r="F2045" s="7" t="s">
        <v>8190</v>
      </c>
      <c r="G2045" s="8"/>
      <c r="H2045" s="8"/>
      <c r="I2045" s="14">
        <v>1</v>
      </c>
      <c r="J2045" s="14">
        <v>5</v>
      </c>
      <c r="K2045" s="6" t="str">
        <f>HYPERLINK("https://www.loomly.com/","Loomly")</f>
        <v>Loomly</v>
      </c>
      <c r="L2045" s="15">
        <v>18044</v>
      </c>
      <c r="M2045" s="15">
        <v>337</v>
      </c>
      <c r="N2045" s="15">
        <v>418</v>
      </c>
      <c r="O2045" s="9"/>
      <c r="P2045" s="10">
        <v>42297.596689814818</v>
      </c>
      <c r="Q2045" s="14" t="s">
        <v>8191</v>
      </c>
      <c r="R2045" s="14" t="s">
        <v>8192</v>
      </c>
      <c r="S2045" s="7" t="s">
        <v>8193</v>
      </c>
      <c r="T2045" s="8"/>
      <c r="U2045" s="11" t="str">
        <f>HYPERLINK("https://pbs.twimg.com/profile_images/1275811077754781697/qtOiI8lk.jpg","View")</f>
        <v>View</v>
      </c>
      <c r="V2045" s="8"/>
      <c r="W2045" s="8"/>
      <c r="X2045" s="8"/>
      <c r="Y2045" s="8"/>
      <c r="Z2045" s="8"/>
    </row>
    <row r="2046" spans="1:26" ht="13.2">
      <c r="A2046" s="13">
        <v>44250.146956018521</v>
      </c>
      <c r="B2046" s="6" t="str">
        <f>HYPERLINK("https://twitter.com/netcarreiras","@netcarreiras")</f>
        <v>@netcarreiras</v>
      </c>
      <c r="C2046" s="14" t="s">
        <v>2831</v>
      </c>
      <c r="D2046" s="14" t="s">
        <v>2832</v>
      </c>
      <c r="E2046" s="6" t="str">
        <f>HYPERLINK("https://twitter.com/netcarreiras/status/1364040187232272384","1364040187232272384")</f>
        <v>1364040187232272384</v>
      </c>
      <c r="F2046" s="7" t="s">
        <v>8194</v>
      </c>
      <c r="G2046" s="8"/>
      <c r="H2046" s="8"/>
      <c r="I2046" s="14">
        <v>0</v>
      </c>
      <c r="J2046" s="14">
        <v>0</v>
      </c>
      <c r="K2046" s="6" t="str">
        <f t="shared" ref="K2046:K2047" si="375">HYPERLINK("https://mobile.twitter.com","Twitter Web App")</f>
        <v>Twitter Web App</v>
      </c>
      <c r="L2046" s="15">
        <v>1274</v>
      </c>
      <c r="M2046" s="15">
        <v>329</v>
      </c>
      <c r="N2046" s="15">
        <v>42</v>
      </c>
      <c r="O2046" s="9"/>
      <c r="P2046" s="10">
        <v>40239.792523148149</v>
      </c>
      <c r="Q2046" s="14" t="s">
        <v>2834</v>
      </c>
      <c r="R2046" s="14" t="s">
        <v>2835</v>
      </c>
      <c r="S2046" s="7" t="s">
        <v>2836</v>
      </c>
      <c r="T2046" s="8"/>
      <c r="U2046" s="11" t="str">
        <f>HYPERLINK("https://pbs.twimg.com/profile_images/1133795533573820417/dFZjCue4.png","View")</f>
        <v>View</v>
      </c>
      <c r="V2046" s="8"/>
      <c r="W2046" s="8"/>
      <c r="X2046" s="8"/>
      <c r="Y2046" s="8"/>
      <c r="Z2046" s="8"/>
    </row>
    <row r="2047" spans="1:26" ht="13.2">
      <c r="A2047" s="13">
        <v>44250.146944444445</v>
      </c>
      <c r="B2047" s="6" t="str">
        <f>HYPERLINK("https://twitter.com/Malinovskiy_V_V","@Malinovskiy_V_V")</f>
        <v>@Malinovskiy_V_V</v>
      </c>
      <c r="C2047" s="14" t="s">
        <v>5960</v>
      </c>
      <c r="D2047" s="14" t="s">
        <v>8195</v>
      </c>
      <c r="E2047" s="6" t="str">
        <f>HYPERLINK("https://twitter.com/Malinovskiy_V_V/status/1364040183021260800","1364040183021260800")</f>
        <v>1364040183021260800</v>
      </c>
      <c r="F2047" s="8"/>
      <c r="G2047" s="7" t="s">
        <v>8196</v>
      </c>
      <c r="H2047" s="8"/>
      <c r="I2047" s="14">
        <v>25</v>
      </c>
      <c r="J2047" s="14">
        <v>10</v>
      </c>
      <c r="K2047" s="6" t="str">
        <f t="shared" si="375"/>
        <v>Twitter Web App</v>
      </c>
      <c r="L2047" s="15">
        <v>32</v>
      </c>
      <c r="M2047" s="15">
        <v>275</v>
      </c>
      <c r="N2047" s="15">
        <v>1</v>
      </c>
      <c r="O2047" s="9"/>
      <c r="P2047" s="10">
        <v>42445.410451388889</v>
      </c>
      <c r="Q2047" s="8"/>
      <c r="R2047" s="8"/>
      <c r="S2047" s="7" t="s">
        <v>5963</v>
      </c>
      <c r="T2047" s="8"/>
      <c r="U2047" s="11" t="str">
        <f>HYPERLINK("https://pbs.twimg.com/profile_images/1346067960650207233/AI-S3ZiH.jpg","View")</f>
        <v>View</v>
      </c>
      <c r="V2047" s="8"/>
      <c r="W2047" s="8"/>
      <c r="X2047" s="8"/>
      <c r="Y2047" s="8"/>
      <c r="Z2047" s="8"/>
    </row>
    <row r="2048" spans="1:26" ht="13.2">
      <c r="A2048" s="13">
        <v>44250.146724537037</v>
      </c>
      <c r="B2048" s="6" t="str">
        <f>HYPERLINK("https://twitter.com/Jadirectivestwt","@Jadirectivestwt")</f>
        <v>@Jadirectivestwt</v>
      </c>
      <c r="C2048" s="14" t="s">
        <v>5404</v>
      </c>
      <c r="D2048" s="14" t="s">
        <v>8197</v>
      </c>
      <c r="E2048" s="6" t="str">
        <f>HYPERLINK("https://twitter.com/Jadirectivestwt/status/1364040100087218180","1364040100087218180")</f>
        <v>1364040100087218180</v>
      </c>
      <c r="F2048" s="7" t="s">
        <v>8198</v>
      </c>
      <c r="G2048" s="8"/>
      <c r="H2048" s="8"/>
      <c r="I2048" s="14">
        <v>0</v>
      </c>
      <c r="J2048" s="14">
        <v>0</v>
      </c>
      <c r="K2048" s="6" t="str">
        <f>HYPERLINK("https://app.socialpilot.co/","SocialPilot.co")</f>
        <v>SocialPilot.co</v>
      </c>
      <c r="L2048" s="15">
        <v>5733</v>
      </c>
      <c r="M2048" s="15">
        <v>5891</v>
      </c>
      <c r="N2048" s="15">
        <v>849</v>
      </c>
      <c r="O2048" s="9"/>
      <c r="P2048" s="10">
        <v>42216.877835648149</v>
      </c>
      <c r="Q2048" s="8"/>
      <c r="R2048" s="14" t="s">
        <v>5407</v>
      </c>
      <c r="S2048" s="7" t="s">
        <v>5408</v>
      </c>
      <c r="T2048" s="8"/>
      <c r="U2048" s="11" t="str">
        <f>HYPERLINK("https://pbs.twimg.com/profile_images/1292933771977617410/Tf1ixrZG.jpg","View")</f>
        <v>View</v>
      </c>
      <c r="V2048" s="8"/>
      <c r="W2048" s="8"/>
      <c r="X2048" s="8"/>
      <c r="Y2048" s="8"/>
      <c r="Z2048" s="8"/>
    </row>
    <row r="2049" spans="1:26" ht="13.2">
      <c r="A2049" s="13">
        <v>44250.14565972222</v>
      </c>
      <c r="B2049" s="6" t="str">
        <f>HYPERLINK("https://twitter.com/HeliodoroSantos","@HeliodoroSantos")</f>
        <v>@HeliodoroSantos</v>
      </c>
      <c r="C2049" s="14" t="s">
        <v>8159</v>
      </c>
      <c r="D2049" s="14" t="s">
        <v>8199</v>
      </c>
      <c r="E2049" s="6" t="str">
        <f>HYPERLINK("https://twitter.com/HeliodoroSantos/status/1364039715880505345","1364039715880505345")</f>
        <v>1364039715880505345</v>
      </c>
      <c r="F2049" s="8"/>
      <c r="G2049" s="7" t="s">
        <v>8200</v>
      </c>
      <c r="H2049" s="8"/>
      <c r="I2049" s="14">
        <v>8</v>
      </c>
      <c r="J2049" s="14">
        <v>0</v>
      </c>
      <c r="K2049" s="6" t="str">
        <f>HYPERLINK("https://www.heliosantos.org","pyt1")</f>
        <v>pyt1</v>
      </c>
      <c r="L2049" s="15">
        <v>280</v>
      </c>
      <c r="M2049" s="15">
        <v>769</v>
      </c>
      <c r="N2049" s="15">
        <v>6</v>
      </c>
      <c r="O2049" s="9"/>
      <c r="P2049" s="10">
        <v>40610.833437499998</v>
      </c>
      <c r="Q2049" s="14" t="s">
        <v>8162</v>
      </c>
      <c r="R2049" s="8"/>
      <c r="S2049" s="7" t="s">
        <v>8163</v>
      </c>
      <c r="T2049" s="8"/>
      <c r="U2049" s="11" t="str">
        <f>HYPERLINK("https://pbs.twimg.com/profile_images/1242256799715037185/YzdNmVH9.jpg","View")</f>
        <v>View</v>
      </c>
      <c r="V2049" s="8"/>
      <c r="W2049" s="8"/>
      <c r="X2049" s="8"/>
      <c r="Y2049" s="8"/>
      <c r="Z2049" s="8"/>
    </row>
    <row r="2050" spans="1:26" ht="13.2">
      <c r="A2050" s="13">
        <v>44250.145208333328</v>
      </c>
      <c r="B2050" s="6" t="str">
        <f>HYPERLINK("https://twitter.com/corizance","@corizance")</f>
        <v>@corizance</v>
      </c>
      <c r="C2050" s="14" t="s">
        <v>2550</v>
      </c>
      <c r="D2050" s="14" t="s">
        <v>8201</v>
      </c>
      <c r="E2050" s="6" t="str">
        <f>HYPERLINK("https://twitter.com/corizance/status/1364039552957112323","1364039552957112323")</f>
        <v>1364039552957112323</v>
      </c>
      <c r="F2050" s="14" t="s">
        <v>7905</v>
      </c>
      <c r="G2050" s="8"/>
      <c r="H2050" s="8"/>
      <c r="I2050" s="14">
        <v>1</v>
      </c>
      <c r="J2050" s="14">
        <v>0</v>
      </c>
      <c r="K2050" s="6" t="str">
        <f>HYPERLINK("http://twinybots.com","TwinyBots")</f>
        <v>TwinyBots</v>
      </c>
      <c r="L2050" s="15">
        <v>488</v>
      </c>
      <c r="M2050" s="15">
        <v>434</v>
      </c>
      <c r="N2050" s="15">
        <v>13</v>
      </c>
      <c r="O2050" s="9"/>
      <c r="P2050" s="10">
        <v>43789.49145833333</v>
      </c>
      <c r="Q2050" s="14" t="s">
        <v>2551</v>
      </c>
      <c r="R2050" s="14" t="s">
        <v>2552</v>
      </c>
      <c r="S2050" s="7" t="s">
        <v>2553</v>
      </c>
      <c r="T2050" s="8"/>
      <c r="U2050" s="11" t="str">
        <f>HYPERLINK("https://pbs.twimg.com/profile_images/1223176339697565697/q38i7r9K.jpg","View")</f>
        <v>View</v>
      </c>
      <c r="V2050" s="8"/>
      <c r="W2050" s="8"/>
      <c r="X2050" s="8"/>
      <c r="Y2050" s="8"/>
      <c r="Z2050" s="8"/>
    </row>
    <row r="2051" spans="1:26" ht="13.2">
      <c r="A2051" s="13">
        <v>44250.143206018518</v>
      </c>
      <c r="B2051" s="6" t="str">
        <f>HYPERLINK("https://twitter.com/rautsan","@rautsan")</f>
        <v>@rautsan</v>
      </c>
      <c r="C2051" s="14" t="s">
        <v>8202</v>
      </c>
      <c r="D2051" s="14" t="s">
        <v>8203</v>
      </c>
      <c r="E2051" s="6" t="str">
        <f>HYPERLINK("https://twitter.com/rautsan/status/1364038825371201537","1364038825371201537")</f>
        <v>1364038825371201537</v>
      </c>
      <c r="F2051" s="7" t="s">
        <v>8204</v>
      </c>
      <c r="G2051" s="8"/>
      <c r="H2051" s="8"/>
      <c r="I2051" s="14">
        <v>2</v>
      </c>
      <c r="J2051" s="14">
        <v>0</v>
      </c>
      <c r="K2051" s="6" t="str">
        <f>HYPERLINK("https://paper.li","Paper.li")</f>
        <v>Paper.li</v>
      </c>
      <c r="L2051" s="15">
        <v>15321</v>
      </c>
      <c r="M2051" s="15">
        <v>15714</v>
      </c>
      <c r="N2051" s="15">
        <v>3495</v>
      </c>
      <c r="O2051" s="9"/>
      <c r="P2051" s="10">
        <v>39971.757488425923</v>
      </c>
      <c r="Q2051" s="14" t="s">
        <v>8205</v>
      </c>
      <c r="R2051" s="14" t="s">
        <v>8206</v>
      </c>
      <c r="S2051" s="7" t="s">
        <v>8207</v>
      </c>
      <c r="T2051" s="8"/>
      <c r="U2051" s="11" t="str">
        <f>HYPERLINK("https://pbs.twimg.com/profile_images/1087750225870102529/GsQx_JfU.jpg","View")</f>
        <v>View</v>
      </c>
      <c r="V2051" s="8"/>
      <c r="W2051" s="8"/>
      <c r="X2051" s="8"/>
      <c r="Y2051" s="8"/>
      <c r="Z2051" s="8"/>
    </row>
    <row r="2052" spans="1:26" ht="13.2">
      <c r="A2052" s="13">
        <v>44250.141250000001</v>
      </c>
      <c r="B2052" s="6" t="str">
        <f>HYPERLINK("https://twitter.com/Mathias57203266","@Mathias57203266")</f>
        <v>@Mathias57203266</v>
      </c>
      <c r="C2052" s="14" t="s">
        <v>8208</v>
      </c>
      <c r="D2052" s="14" t="s">
        <v>8209</v>
      </c>
      <c r="E2052" s="6" t="str">
        <f>HYPERLINK("https://twitter.com/Mathias57203266/status/1364038117599150086","1364038117599150086")</f>
        <v>1364038117599150086</v>
      </c>
      <c r="F2052" s="8"/>
      <c r="G2052" s="7" t="s">
        <v>8210</v>
      </c>
      <c r="H2052" s="8"/>
      <c r="I2052" s="14">
        <v>6</v>
      </c>
      <c r="J2052" s="14">
        <v>5</v>
      </c>
      <c r="K2052" s="6" t="str">
        <f>HYPERLINK("http://twitter.com/download/iphone","Twitter for iPhone")</f>
        <v>Twitter for iPhone</v>
      </c>
      <c r="L2052" s="15">
        <v>11</v>
      </c>
      <c r="M2052" s="15">
        <v>77</v>
      </c>
      <c r="N2052" s="15">
        <v>0</v>
      </c>
      <c r="O2052" s="9"/>
      <c r="P2052" s="10">
        <v>43954.626377314809</v>
      </c>
      <c r="Q2052" s="8"/>
      <c r="R2052" s="14" t="s">
        <v>8211</v>
      </c>
      <c r="S2052" s="8"/>
      <c r="T2052" s="8"/>
      <c r="U2052" s="11" t="str">
        <f>HYPERLINK("https://pbs.twimg.com/profile_images/1345791168790069248/xs1Phrau.jpg","View")</f>
        <v>View</v>
      </c>
      <c r="V2052" s="8"/>
      <c r="W2052" s="8"/>
      <c r="X2052" s="8"/>
      <c r="Y2052" s="8"/>
      <c r="Z2052" s="8"/>
    </row>
    <row r="2053" spans="1:26" ht="13.2">
      <c r="A2053" s="13">
        <v>44250.14099537037</v>
      </c>
      <c r="B2053" s="6" t="str">
        <f>HYPERLINK("https://twitter.com/milocamj","@milocamj")</f>
        <v>@milocamj</v>
      </c>
      <c r="C2053" s="14" t="s">
        <v>1805</v>
      </c>
      <c r="D2053" s="14" t="s">
        <v>8212</v>
      </c>
      <c r="E2053" s="6" t="str">
        <f>HYPERLINK("https://twitter.com/milocamj/status/1364038026712682496","1364038026712682496")</f>
        <v>1364038026712682496</v>
      </c>
      <c r="F2053" s="7" t="s">
        <v>8213</v>
      </c>
      <c r="G2053" s="8"/>
      <c r="H2053" s="8"/>
      <c r="I2053" s="14">
        <v>2</v>
      </c>
      <c r="J2053" s="14">
        <v>0</v>
      </c>
      <c r="K2053" s="6" t="str">
        <f>HYPERLINK("https://dlvrit.com/","dlvr.it")</f>
        <v>dlvr.it</v>
      </c>
      <c r="L2053" s="15">
        <v>2595</v>
      </c>
      <c r="M2053" s="15">
        <v>48</v>
      </c>
      <c r="N2053" s="15">
        <v>1282</v>
      </c>
      <c r="O2053" s="9"/>
      <c r="P2053" s="10">
        <v>39904.699837962966</v>
      </c>
      <c r="Q2053" s="14" t="s">
        <v>1809</v>
      </c>
      <c r="R2053" s="14" t="s">
        <v>1810</v>
      </c>
      <c r="S2053" s="7" t="s">
        <v>1811</v>
      </c>
      <c r="T2053" s="8"/>
      <c r="U2053" s="11" t="str">
        <f>HYPERLINK("https://pbs.twimg.com/profile_images/1108578778018709505/56I0aOhL.jpg","View")</f>
        <v>View</v>
      </c>
      <c r="V2053" s="8"/>
      <c r="W2053" s="8"/>
      <c r="X2053" s="8"/>
      <c r="Y2053" s="8"/>
      <c r="Z2053" s="8"/>
    </row>
    <row r="2054" spans="1:26" ht="13.2">
      <c r="A2054" s="13">
        <v>44250.140520833331</v>
      </c>
      <c r="B2054" s="6" t="str">
        <f>HYPERLINK("https://twitter.com/slashML","@slashML")</f>
        <v>@slashML</v>
      </c>
      <c r="C2054" s="14" t="s">
        <v>779</v>
      </c>
      <c r="D2054" s="14" t="s">
        <v>8214</v>
      </c>
      <c r="E2054" s="6" t="str">
        <f>HYPERLINK("https://twitter.com/slashML/status/1364037854599409665","1364037854599409665")</f>
        <v>1364037854599409665</v>
      </c>
      <c r="F2054" s="7" t="s">
        <v>8117</v>
      </c>
      <c r="G2054" s="8"/>
      <c r="H2054" s="8"/>
      <c r="I2054" s="14">
        <v>1</v>
      </c>
      <c r="J2054" s="14">
        <v>6</v>
      </c>
      <c r="K2054" s="6" t="str">
        <f>HYPERLINK("https://www.reddit.com/r/MachineLearning/","From /r/MachineLearning")</f>
        <v>From /r/MachineLearning</v>
      </c>
      <c r="L2054" s="15">
        <v>44297</v>
      </c>
      <c r="M2054" s="15">
        <v>1</v>
      </c>
      <c r="N2054" s="15">
        <v>600</v>
      </c>
      <c r="O2054" s="9"/>
      <c r="P2054" s="10">
        <v>42710.818564814814</v>
      </c>
      <c r="Q2054" s="8"/>
      <c r="R2054" s="14" t="s">
        <v>782</v>
      </c>
      <c r="S2054" s="8"/>
      <c r="T2054" s="8"/>
      <c r="U2054" s="11" t="str">
        <f>HYPERLINK("https://pbs.twimg.com/profile_images/806213385545273344/s7sE4E8a.jpg","View")</f>
        <v>View</v>
      </c>
      <c r="V2054" s="8"/>
      <c r="W2054" s="8"/>
      <c r="X2054" s="8"/>
      <c r="Y2054" s="8"/>
      <c r="Z2054" s="8"/>
    </row>
    <row r="2055" spans="1:26" ht="13.2">
      <c r="A2055" s="13">
        <v>44250.1403587963</v>
      </c>
      <c r="B2055" s="6" t="str">
        <f>HYPERLINK("https://twitter.com/1nterestingTech","@1nterestingTech")</f>
        <v>@1nterestingTech</v>
      </c>
      <c r="C2055" s="14" t="s">
        <v>7446</v>
      </c>
      <c r="D2055" s="14" t="s">
        <v>8215</v>
      </c>
      <c r="E2055" s="6" t="str">
        <f>HYPERLINK("https://twitter.com/1nterestingTech/status/1364037796562948096","1364037796562948096")</f>
        <v>1364037796562948096</v>
      </c>
      <c r="F2055" s="14" t="s">
        <v>8216</v>
      </c>
      <c r="G2055" s="8"/>
      <c r="H2055" s="8"/>
      <c r="I2055" s="14">
        <v>3</v>
      </c>
      <c r="J2055" s="14">
        <v>0</v>
      </c>
      <c r="K2055" s="6" t="str">
        <f>HYPERLINK("http://twinybots.com","TwinyBots")</f>
        <v>TwinyBots</v>
      </c>
      <c r="L2055" s="15">
        <v>996</v>
      </c>
      <c r="M2055" s="15">
        <v>2324</v>
      </c>
      <c r="N2055" s="15">
        <v>22</v>
      </c>
      <c r="O2055" s="9"/>
      <c r="P2055" s="10">
        <v>43671.640625</v>
      </c>
      <c r="Q2055" s="14" t="s">
        <v>203</v>
      </c>
      <c r="R2055" s="14" t="s">
        <v>7448</v>
      </c>
      <c r="S2055" s="7" t="s">
        <v>7449</v>
      </c>
      <c r="T2055" s="8"/>
      <c r="U2055" s="11" t="str">
        <f>HYPERLINK("https://pbs.twimg.com/profile_images/1154383562088599552/RbyNTvSg.jpg","View")</f>
        <v>View</v>
      </c>
      <c r="V2055" s="8"/>
      <c r="W2055" s="8"/>
      <c r="X2055" s="8"/>
      <c r="Y2055" s="8"/>
      <c r="Z2055" s="8"/>
    </row>
    <row r="2056" spans="1:26" ht="13.2">
      <c r="A2056" s="13">
        <v>44250.139467592591</v>
      </c>
      <c r="B2056" s="6" t="str">
        <f t="shared" ref="B2056:B2060" si="376">HYPERLINK("https://twitter.com/into_AI","@into_AI")</f>
        <v>@into_AI</v>
      </c>
      <c r="C2056" s="14" t="s">
        <v>2021</v>
      </c>
      <c r="D2056" s="14" t="s">
        <v>8217</v>
      </c>
      <c r="E2056" s="6" t="str">
        <f>HYPERLINK("https://twitter.com/into_AI/status/1364037472947220480","1364037472947220480")</f>
        <v>1364037472947220480</v>
      </c>
      <c r="F2056" s="7" t="s">
        <v>8218</v>
      </c>
      <c r="G2056" s="8"/>
      <c r="H2056" s="8"/>
      <c r="I2056" s="14">
        <v>2</v>
      </c>
      <c r="J2056" s="14">
        <v>1</v>
      </c>
      <c r="K2056" s="6" t="str">
        <f t="shared" ref="K2056:K2060" si="377">HYPERLINK("http://into.AI","into.AI")</f>
        <v>into.AI</v>
      </c>
      <c r="L2056" s="15">
        <v>19374</v>
      </c>
      <c r="M2056" s="15">
        <v>1707</v>
      </c>
      <c r="N2056" s="15">
        <v>3164</v>
      </c>
      <c r="O2056" s="9"/>
      <c r="P2056" s="10">
        <v>42133.721620370372</v>
      </c>
      <c r="Q2056" s="14" t="s">
        <v>2024</v>
      </c>
      <c r="R2056" s="14" t="s">
        <v>2025</v>
      </c>
      <c r="S2056" s="7" t="s">
        <v>2026</v>
      </c>
      <c r="T2056" s="8"/>
      <c r="U2056" s="11" t="str">
        <f t="shared" ref="U2056:U2060" si="378">HYPERLINK("https://pbs.twimg.com/profile_images/967341160124608512/LM2Y5Q5m.jpg","View")</f>
        <v>View</v>
      </c>
      <c r="V2056" s="8"/>
      <c r="W2056" s="8"/>
      <c r="X2056" s="8"/>
      <c r="Y2056" s="8"/>
      <c r="Z2056" s="8"/>
    </row>
    <row r="2057" spans="1:26" ht="13.2">
      <c r="A2057" s="13">
        <v>44250.139386574076</v>
      </c>
      <c r="B2057" s="6" t="str">
        <f t="shared" si="376"/>
        <v>@into_AI</v>
      </c>
      <c r="C2057" s="14" t="s">
        <v>2021</v>
      </c>
      <c r="D2057" s="14" t="s">
        <v>8219</v>
      </c>
      <c r="E2057" s="6" t="str">
        <f>HYPERLINK("https://twitter.com/into_AI/status/1364037444006514688","1364037444006514688")</f>
        <v>1364037444006514688</v>
      </c>
      <c r="F2057" s="7" t="s">
        <v>8220</v>
      </c>
      <c r="G2057" s="8"/>
      <c r="H2057" s="8"/>
      <c r="I2057" s="14">
        <v>2</v>
      </c>
      <c r="J2057" s="14">
        <v>2</v>
      </c>
      <c r="K2057" s="6" t="str">
        <f t="shared" si="377"/>
        <v>into.AI</v>
      </c>
      <c r="L2057" s="15">
        <v>19374</v>
      </c>
      <c r="M2057" s="15">
        <v>1707</v>
      </c>
      <c r="N2057" s="15">
        <v>3164</v>
      </c>
      <c r="O2057" s="9"/>
      <c r="P2057" s="10">
        <v>42133.721620370372</v>
      </c>
      <c r="Q2057" s="14" t="s">
        <v>2024</v>
      </c>
      <c r="R2057" s="14" t="s">
        <v>2025</v>
      </c>
      <c r="S2057" s="7" t="s">
        <v>2026</v>
      </c>
      <c r="T2057" s="8"/>
      <c r="U2057" s="11" t="str">
        <f t="shared" si="378"/>
        <v>View</v>
      </c>
      <c r="V2057" s="8"/>
      <c r="W2057" s="8"/>
      <c r="X2057" s="8"/>
      <c r="Y2057" s="8"/>
      <c r="Z2057" s="8"/>
    </row>
    <row r="2058" spans="1:26" ht="13.2">
      <c r="A2058" s="13">
        <v>44250.139293981483</v>
      </c>
      <c r="B2058" s="6" t="str">
        <f t="shared" si="376"/>
        <v>@into_AI</v>
      </c>
      <c r="C2058" s="14" t="s">
        <v>2021</v>
      </c>
      <c r="D2058" s="14" t="s">
        <v>8221</v>
      </c>
      <c r="E2058" s="6" t="str">
        <f>HYPERLINK("https://twitter.com/into_AI/status/1364037407323095047","1364037407323095047")</f>
        <v>1364037407323095047</v>
      </c>
      <c r="F2058" s="7" t="s">
        <v>8222</v>
      </c>
      <c r="G2058" s="8"/>
      <c r="H2058" s="8"/>
      <c r="I2058" s="14">
        <v>1</v>
      </c>
      <c r="J2058" s="14">
        <v>1</v>
      </c>
      <c r="K2058" s="6" t="str">
        <f t="shared" si="377"/>
        <v>into.AI</v>
      </c>
      <c r="L2058" s="15">
        <v>19374</v>
      </c>
      <c r="M2058" s="15">
        <v>1707</v>
      </c>
      <c r="N2058" s="15">
        <v>3164</v>
      </c>
      <c r="O2058" s="9"/>
      <c r="P2058" s="10">
        <v>42133.721620370372</v>
      </c>
      <c r="Q2058" s="14" t="s">
        <v>2024</v>
      </c>
      <c r="R2058" s="14" t="s">
        <v>2025</v>
      </c>
      <c r="S2058" s="7" t="s">
        <v>2026</v>
      </c>
      <c r="T2058" s="8"/>
      <c r="U2058" s="11" t="str">
        <f t="shared" si="378"/>
        <v>View</v>
      </c>
      <c r="V2058" s="8"/>
      <c r="W2058" s="8"/>
      <c r="X2058" s="8"/>
      <c r="Y2058" s="8"/>
      <c r="Z2058" s="8"/>
    </row>
    <row r="2059" spans="1:26" ht="13.2">
      <c r="A2059" s="13">
        <v>44250.139224537037</v>
      </c>
      <c r="B2059" s="6" t="str">
        <f t="shared" si="376"/>
        <v>@into_AI</v>
      </c>
      <c r="C2059" s="14" t="s">
        <v>2021</v>
      </c>
      <c r="D2059" s="14" t="s">
        <v>8223</v>
      </c>
      <c r="E2059" s="6" t="str">
        <f>HYPERLINK("https://twitter.com/into_AI/status/1364037384615133187","1364037384615133187")</f>
        <v>1364037384615133187</v>
      </c>
      <c r="F2059" s="7" t="s">
        <v>8224</v>
      </c>
      <c r="G2059" s="8"/>
      <c r="H2059" s="8"/>
      <c r="I2059" s="14">
        <v>0</v>
      </c>
      <c r="J2059" s="14">
        <v>0</v>
      </c>
      <c r="K2059" s="6" t="str">
        <f t="shared" si="377"/>
        <v>into.AI</v>
      </c>
      <c r="L2059" s="15">
        <v>19374</v>
      </c>
      <c r="M2059" s="15">
        <v>1707</v>
      </c>
      <c r="N2059" s="15">
        <v>3164</v>
      </c>
      <c r="O2059" s="9"/>
      <c r="P2059" s="10">
        <v>42133.721620370372</v>
      </c>
      <c r="Q2059" s="14" t="s">
        <v>2024</v>
      </c>
      <c r="R2059" s="14" t="s">
        <v>2025</v>
      </c>
      <c r="S2059" s="7" t="s">
        <v>2026</v>
      </c>
      <c r="T2059" s="8"/>
      <c r="U2059" s="11" t="str">
        <f t="shared" si="378"/>
        <v>View</v>
      </c>
      <c r="V2059" s="8"/>
      <c r="W2059" s="8"/>
      <c r="X2059" s="8"/>
      <c r="Y2059" s="8"/>
      <c r="Z2059" s="8"/>
    </row>
    <row r="2060" spans="1:26" ht="13.2">
      <c r="A2060" s="13">
        <v>44250.139166666668</v>
      </c>
      <c r="B2060" s="6" t="str">
        <f t="shared" si="376"/>
        <v>@into_AI</v>
      </c>
      <c r="C2060" s="14" t="s">
        <v>2021</v>
      </c>
      <c r="D2060" s="14" t="s">
        <v>8225</v>
      </c>
      <c r="E2060" s="6" t="str">
        <f>HYPERLINK("https://twitter.com/into_AI/status/1364037362003623937","1364037362003623937")</f>
        <v>1364037362003623937</v>
      </c>
      <c r="F2060" s="7" t="s">
        <v>8226</v>
      </c>
      <c r="G2060" s="8"/>
      <c r="H2060" s="8"/>
      <c r="I2060" s="14">
        <v>3</v>
      </c>
      <c r="J2060" s="14">
        <v>1</v>
      </c>
      <c r="K2060" s="6" t="str">
        <f t="shared" si="377"/>
        <v>into.AI</v>
      </c>
      <c r="L2060" s="15">
        <v>19374</v>
      </c>
      <c r="M2060" s="15">
        <v>1707</v>
      </c>
      <c r="N2060" s="15">
        <v>3164</v>
      </c>
      <c r="O2060" s="9"/>
      <c r="P2060" s="10">
        <v>42133.721620370372</v>
      </c>
      <c r="Q2060" s="14" t="s">
        <v>2024</v>
      </c>
      <c r="R2060" s="14" t="s">
        <v>2025</v>
      </c>
      <c r="S2060" s="7" t="s">
        <v>2026</v>
      </c>
      <c r="T2060" s="8"/>
      <c r="U2060" s="11" t="str">
        <f t="shared" si="378"/>
        <v>View</v>
      </c>
      <c r="V2060" s="8"/>
      <c r="W2060" s="8"/>
      <c r="X2060" s="8"/>
      <c r="Y2060" s="8"/>
      <c r="Z2060" s="8"/>
    </row>
    <row r="2061" spans="1:26" ht="13.2">
      <c r="A2061" s="13">
        <v>44250.139120370368</v>
      </c>
      <c r="B2061" s="6" t="str">
        <f>HYPERLINK("https://twitter.com/contempediacom","@contempediacom")</f>
        <v>@contempediacom</v>
      </c>
      <c r="C2061" s="14" t="s">
        <v>8227</v>
      </c>
      <c r="D2061" s="14" t="s">
        <v>8228</v>
      </c>
      <c r="E2061" s="6" t="str">
        <f>HYPERLINK("https://twitter.com/contempediacom/status/1364037344572006401","1364037344572006401")</f>
        <v>1364037344572006401</v>
      </c>
      <c r="F2061" s="7" t="s">
        <v>6608</v>
      </c>
      <c r="G2061" s="8"/>
      <c r="H2061" s="8"/>
      <c r="I2061" s="14">
        <v>26</v>
      </c>
      <c r="J2061" s="14">
        <v>10</v>
      </c>
      <c r="K2061" s="6" t="str">
        <f>HYPERLINK("https://mobile.twitter.com","Twitter Web App")</f>
        <v>Twitter Web App</v>
      </c>
      <c r="L2061" s="15">
        <v>275</v>
      </c>
      <c r="M2061" s="15">
        <v>71</v>
      </c>
      <c r="N2061" s="15">
        <v>5</v>
      </c>
      <c r="O2061" s="9"/>
      <c r="P2061" s="10">
        <v>43644.431759259256</v>
      </c>
      <c r="Q2061" s="8"/>
      <c r="R2061" s="14" t="s">
        <v>8229</v>
      </c>
      <c r="S2061" s="8"/>
      <c r="T2061" s="8"/>
      <c r="U2061" s="11" t="str">
        <f>HYPERLINK("https://pbs.twimg.com/profile_images/1146954281838190592/5Om3hTLk.png","View")</f>
        <v>View</v>
      </c>
      <c r="V2061" s="8"/>
      <c r="W2061" s="8"/>
      <c r="X2061" s="8"/>
      <c r="Y2061" s="8"/>
      <c r="Z2061" s="8"/>
    </row>
    <row r="2062" spans="1:26" ht="13.2">
      <c r="A2062" s="13">
        <v>44250.138888888891</v>
      </c>
      <c r="B2062" s="6" t="str">
        <f>HYPERLINK("https://twitter.com/couponfree01","@couponfree01")</f>
        <v>@couponfree01</v>
      </c>
      <c r="C2062" s="14" t="s">
        <v>3074</v>
      </c>
      <c r="D2062" s="14" t="s">
        <v>8230</v>
      </c>
      <c r="E2062" s="6" t="str">
        <f>HYPERLINK("https://twitter.com/couponfree01/status/1364037260937736193","1364037260937736193")</f>
        <v>1364037260937736193</v>
      </c>
      <c r="F2062" s="7" t="s">
        <v>8231</v>
      </c>
      <c r="G2062" s="8"/>
      <c r="H2062" s="8"/>
      <c r="I2062" s="14">
        <v>13</v>
      </c>
      <c r="J2062" s="14">
        <v>8</v>
      </c>
      <c r="K2062" s="6" t="str">
        <f>HYPERLINK("https://about.twitter.com/products/tweetdeck","TweetDeck")</f>
        <v>TweetDeck</v>
      </c>
      <c r="L2062" s="15">
        <v>2207</v>
      </c>
      <c r="M2062" s="15">
        <v>4235</v>
      </c>
      <c r="N2062" s="15">
        <v>28</v>
      </c>
      <c r="O2062" s="9"/>
      <c r="P2062" s="10">
        <v>43164.382303240738</v>
      </c>
      <c r="Q2062" s="14" t="s">
        <v>3077</v>
      </c>
      <c r="R2062" s="14" t="s">
        <v>3078</v>
      </c>
      <c r="S2062" s="8"/>
      <c r="T2062" s="8"/>
      <c r="U2062" s="11" t="str">
        <f>HYPERLINK("https://pbs.twimg.com/profile_images/970573416821547009/oDkr4BWt.jpg","View")</f>
        <v>View</v>
      </c>
      <c r="V2062" s="8"/>
      <c r="W2062" s="8"/>
      <c r="X2062" s="8"/>
      <c r="Y2062" s="8"/>
      <c r="Z2062" s="8"/>
    </row>
    <row r="2063" spans="1:26" ht="13.2">
      <c r="A2063" s="13">
        <v>44250.137233796297</v>
      </c>
      <c r="B2063" s="6" t="str">
        <f>HYPERLINK("https://twitter.com/paula_abci","@paula_abci")</f>
        <v>@paula_abci</v>
      </c>
      <c r="C2063" s="14" t="s">
        <v>8232</v>
      </c>
      <c r="D2063" s="14" t="s">
        <v>8233</v>
      </c>
      <c r="E2063" s="6" t="str">
        <f>HYPERLINK("https://twitter.com/paula_abci/status/1364036663438053385","1364036663438053385")</f>
        <v>1364036663438053385</v>
      </c>
      <c r="F2063" s="7" t="s">
        <v>8234</v>
      </c>
      <c r="G2063" s="7" t="s">
        <v>8235</v>
      </c>
      <c r="H2063" s="8"/>
      <c r="I2063" s="14">
        <v>2</v>
      </c>
      <c r="J2063" s="14">
        <v>3</v>
      </c>
      <c r="K2063" s="6" t="str">
        <f>HYPERLINK("http://twitter.com/download/iphone","Twitter for iPhone")</f>
        <v>Twitter for iPhone</v>
      </c>
      <c r="L2063" s="15">
        <v>11295</v>
      </c>
      <c r="M2063" s="15">
        <v>6251</v>
      </c>
      <c r="N2063" s="15">
        <v>312</v>
      </c>
      <c r="O2063" s="9"/>
      <c r="P2063" s="10">
        <v>40039.937442129631</v>
      </c>
      <c r="Q2063" s="14" t="s">
        <v>8236</v>
      </c>
      <c r="R2063" s="14" t="s">
        <v>8237</v>
      </c>
      <c r="S2063" s="7" t="s">
        <v>8238</v>
      </c>
      <c r="T2063" s="8"/>
      <c r="U2063" s="11" t="str">
        <f>HYPERLINK("https://pbs.twimg.com/profile_images/1337074257663197184/phwoix9L.jpg","View")</f>
        <v>View</v>
      </c>
      <c r="V2063" s="8"/>
      <c r="W2063" s="8"/>
      <c r="X2063" s="8"/>
      <c r="Y2063" s="8"/>
      <c r="Z2063" s="8"/>
    </row>
    <row r="2064" spans="1:26" ht="13.2">
      <c r="A2064" s="13">
        <v>44250.137083333335</v>
      </c>
      <c r="B2064" s="6" t="str">
        <f>HYPERLINK("https://twitter.com/machinelearnflx","@machinelearnflx")</f>
        <v>@machinelearnflx</v>
      </c>
      <c r="C2064" s="14" t="s">
        <v>279</v>
      </c>
      <c r="D2064" s="14" t="s">
        <v>8239</v>
      </c>
      <c r="E2064" s="6" t="str">
        <f>HYPERLINK("https://twitter.com/machinelearnflx/status/1364036606982828034","1364036606982828034")</f>
        <v>1364036606982828034</v>
      </c>
      <c r="F2064" s="7" t="s">
        <v>8240</v>
      </c>
      <c r="G2064" s="8"/>
      <c r="H2064" s="8"/>
      <c r="I2064" s="14">
        <v>2</v>
      </c>
      <c r="J2064" s="14">
        <v>6</v>
      </c>
      <c r="K2064" s="6" t="str">
        <f>HYPERLINK("https://twitter.com/pythonbot_","Postmatico")</f>
        <v>Postmatico</v>
      </c>
      <c r="L2064" s="15">
        <v>90451</v>
      </c>
      <c r="M2064" s="15">
        <v>35464</v>
      </c>
      <c r="N2064" s="15">
        <v>2228</v>
      </c>
      <c r="O2064" s="9"/>
      <c r="P2064" s="10">
        <v>42386.538865740746</v>
      </c>
      <c r="Q2064" s="8"/>
      <c r="R2064" s="14" t="s">
        <v>282</v>
      </c>
      <c r="S2064" s="7" t="s">
        <v>283</v>
      </c>
      <c r="T2064" s="8"/>
      <c r="U2064" s="11" t="str">
        <f>HYPERLINK("https://pbs.twimg.com/profile_images/688735459892195329/v8sHaWSG.jpg","View")</f>
        <v>View</v>
      </c>
      <c r="V2064" s="8"/>
      <c r="W2064" s="8"/>
      <c r="X2064" s="8"/>
      <c r="Y2064" s="8"/>
      <c r="Z2064" s="8"/>
    </row>
    <row r="2065" spans="1:26" ht="13.2">
      <c r="A2065" s="13">
        <v>44250.136828703704</v>
      </c>
      <c r="B2065" s="6" t="str">
        <f>HYPERLINK("https://twitter.com/SpirosMargaris","@SpirosMargaris")</f>
        <v>@SpirosMargaris</v>
      </c>
      <c r="C2065" s="14" t="s">
        <v>3558</v>
      </c>
      <c r="D2065" s="14" t="s">
        <v>8241</v>
      </c>
      <c r="E2065" s="6" t="str">
        <f>HYPERLINK("https://twitter.com/SpirosMargaris/status/1364036515794403333","1364036515794403333")</f>
        <v>1364036515794403333</v>
      </c>
      <c r="F2065" s="7" t="s">
        <v>8242</v>
      </c>
      <c r="G2065" s="7" t="s">
        <v>8243</v>
      </c>
      <c r="H2065" s="8"/>
      <c r="I2065" s="14">
        <v>8</v>
      </c>
      <c r="J2065" s="14">
        <v>7</v>
      </c>
      <c r="K2065" s="6" t="str">
        <f>HYPERLINK("https://buffer.com","Buffer")</f>
        <v>Buffer</v>
      </c>
      <c r="L2065" s="15">
        <v>107389</v>
      </c>
      <c r="M2065" s="15">
        <v>15890</v>
      </c>
      <c r="N2065" s="15">
        <v>5693</v>
      </c>
      <c r="O2065" s="15" t="s">
        <v>130</v>
      </c>
      <c r="P2065" s="10">
        <v>41857.30574074074</v>
      </c>
      <c r="Q2065" s="14" t="s">
        <v>3562</v>
      </c>
      <c r="R2065" s="14" t="s">
        <v>3563</v>
      </c>
      <c r="S2065" s="7" t="s">
        <v>3564</v>
      </c>
      <c r="T2065" s="8"/>
      <c r="U2065" s="11" t="str">
        <f>HYPERLINK("https://pbs.twimg.com/profile_images/1346443960986775553/TGeiH97s.jpg","View")</f>
        <v>View</v>
      </c>
      <c r="V2065" s="8"/>
      <c r="W2065" s="8"/>
      <c r="X2065" s="8"/>
      <c r="Y2065" s="8"/>
      <c r="Z2065" s="8"/>
    </row>
    <row r="2066" spans="1:26" ht="13.2">
      <c r="A2066" s="13">
        <v>44250.13663194445</v>
      </c>
      <c r="B2066" s="6" t="str">
        <f>HYPERLINK("https://twitter.com/MargaretSiegien","@MargaretSiegien")</f>
        <v>@MargaretSiegien</v>
      </c>
      <c r="C2066" s="14" t="s">
        <v>8244</v>
      </c>
      <c r="D2066" s="14" t="s">
        <v>8245</v>
      </c>
      <c r="E2066" s="6" t="str">
        <f>HYPERLINK("https://twitter.com/MargaretSiegien/status/1364036443367231491","1364036443367231491")</f>
        <v>1364036443367231491</v>
      </c>
      <c r="F2066" s="8"/>
      <c r="G2066" s="7" t="s">
        <v>8085</v>
      </c>
      <c r="H2066" s="8"/>
      <c r="I2066" s="14">
        <v>48</v>
      </c>
      <c r="J2066" s="14">
        <v>46</v>
      </c>
      <c r="K2066" s="6" t="str">
        <f>HYPERLINK("http://twitter.com/#!/download/ipad","Twitter for iPad")</f>
        <v>Twitter for iPad</v>
      </c>
      <c r="L2066" s="15">
        <v>6806</v>
      </c>
      <c r="M2066" s="15">
        <v>2278</v>
      </c>
      <c r="N2066" s="15">
        <v>116</v>
      </c>
      <c r="O2066" s="9"/>
      <c r="P2066" s="10">
        <v>42631.542222222226</v>
      </c>
      <c r="Q2066" s="14" t="s">
        <v>8246</v>
      </c>
      <c r="R2066" s="14" t="s">
        <v>8247</v>
      </c>
      <c r="S2066" s="7" t="s">
        <v>8248</v>
      </c>
      <c r="T2066" s="8"/>
      <c r="U2066" s="11" t="str">
        <f>HYPERLINK("https://pbs.twimg.com/profile_images/1329686190853861376/ufKf5KkY.jpg","View")</f>
        <v>View</v>
      </c>
      <c r="V2066" s="8"/>
      <c r="W2066" s="8"/>
      <c r="X2066" s="8"/>
      <c r="Y2066" s="8"/>
      <c r="Z2066" s="8"/>
    </row>
    <row r="2067" spans="1:26" ht="13.2">
      <c r="A2067" s="13">
        <v>44250.135740740741</v>
      </c>
      <c r="B2067" s="6" t="str">
        <f>HYPERLINK("https://twitter.com/PawanSomanchi","@PawanSomanchi")</f>
        <v>@PawanSomanchi</v>
      </c>
      <c r="C2067" s="14" t="s">
        <v>6714</v>
      </c>
      <c r="D2067" s="14" t="s">
        <v>7452</v>
      </c>
      <c r="E2067" s="6" t="str">
        <f>HYPERLINK("https://twitter.com/PawanSomanchi/status/1364036119273353221","1364036119273353221")</f>
        <v>1364036119273353221</v>
      </c>
      <c r="F2067" s="14" t="s">
        <v>7453</v>
      </c>
      <c r="G2067" s="8"/>
      <c r="H2067" s="8"/>
      <c r="I2067" s="14">
        <v>2</v>
      </c>
      <c r="J2067" s="14">
        <v>2</v>
      </c>
      <c r="K2067" s="6" t="str">
        <f t="shared" ref="K2067:K2068" si="379">HYPERLINK("http://twinybots.com","TwinyBots")</f>
        <v>TwinyBots</v>
      </c>
      <c r="L2067" s="15">
        <v>895</v>
      </c>
      <c r="M2067" s="15">
        <v>1377</v>
      </c>
      <c r="N2067" s="15">
        <v>12</v>
      </c>
      <c r="O2067" s="9"/>
      <c r="P2067" s="10">
        <v>42629.507384259261</v>
      </c>
      <c r="Q2067" s="14" t="s">
        <v>4166</v>
      </c>
      <c r="R2067" s="14" t="s">
        <v>6715</v>
      </c>
      <c r="S2067" s="7" t="s">
        <v>6716</v>
      </c>
      <c r="T2067" s="8"/>
      <c r="U2067" s="11" t="str">
        <f>HYPERLINK("https://pbs.twimg.com/profile_images/1234794854355369984/b5uzwAtt.jpg","View")</f>
        <v>View</v>
      </c>
      <c r="V2067" s="8"/>
      <c r="W2067" s="8"/>
      <c r="X2067" s="8"/>
      <c r="Y2067" s="8"/>
      <c r="Z2067" s="8"/>
    </row>
    <row r="2068" spans="1:26" ht="13.2">
      <c r="A2068" s="13">
        <v>44250.135694444441</v>
      </c>
      <c r="B2068" s="6" t="str">
        <f>HYPERLINK("https://twitter.com/aisear_ch","@aisear_ch")</f>
        <v>@aisear_ch</v>
      </c>
      <c r="C2068" s="14" t="s">
        <v>739</v>
      </c>
      <c r="D2068" s="14" t="s">
        <v>7904</v>
      </c>
      <c r="E2068" s="6" t="str">
        <f>HYPERLINK("https://twitter.com/aisear_ch/status/1364036103699857413","1364036103699857413")</f>
        <v>1364036103699857413</v>
      </c>
      <c r="F2068" s="14" t="s">
        <v>7905</v>
      </c>
      <c r="G2068" s="8"/>
      <c r="H2068" s="8"/>
      <c r="I2068" s="14">
        <v>1</v>
      </c>
      <c r="J2068" s="14">
        <v>0</v>
      </c>
      <c r="K2068" s="6" t="str">
        <f t="shared" si="379"/>
        <v>TwinyBots</v>
      </c>
      <c r="L2068" s="15">
        <v>200</v>
      </c>
      <c r="M2068" s="15">
        <v>27</v>
      </c>
      <c r="N2068" s="15">
        <v>6</v>
      </c>
      <c r="O2068" s="9"/>
      <c r="P2068" s="10">
        <v>43992.386319444442</v>
      </c>
      <c r="Q2068" s="8"/>
      <c r="R2068" s="14" t="s">
        <v>742</v>
      </c>
      <c r="S2068" s="7" t="s">
        <v>743</v>
      </c>
      <c r="T2068" s="8"/>
      <c r="U2068" s="11" t="str">
        <f>HYPERLINK("https://pbs.twimg.com/profile_images/1271018990178045953/M-vBrs0H.png","View")</f>
        <v>View</v>
      </c>
      <c r="V2068" s="8"/>
      <c r="W2068" s="8"/>
      <c r="X2068" s="8"/>
      <c r="Y2068" s="8"/>
      <c r="Z2068" s="8"/>
    </row>
    <row r="2069" spans="1:26" ht="13.2">
      <c r="A2069" s="13">
        <v>44250.135416666672</v>
      </c>
      <c r="B2069" s="6" t="str">
        <f>HYPERLINK("https://twitter.com/couponfree01","@couponfree01")</f>
        <v>@couponfree01</v>
      </c>
      <c r="C2069" s="14" t="s">
        <v>3074</v>
      </c>
      <c r="D2069" s="14" t="s">
        <v>8249</v>
      </c>
      <c r="E2069" s="6" t="str">
        <f>HYPERLINK("https://twitter.com/couponfree01/status/1364036002558394378","1364036002558394378")</f>
        <v>1364036002558394378</v>
      </c>
      <c r="F2069" s="7" t="s">
        <v>8250</v>
      </c>
      <c r="G2069" s="8"/>
      <c r="H2069" s="8"/>
      <c r="I2069" s="14">
        <v>19</v>
      </c>
      <c r="J2069" s="14">
        <v>7</v>
      </c>
      <c r="K2069" s="6" t="str">
        <f>HYPERLINK("https://about.twitter.com/products/tweetdeck","TweetDeck")</f>
        <v>TweetDeck</v>
      </c>
      <c r="L2069" s="15">
        <v>2207</v>
      </c>
      <c r="M2069" s="15">
        <v>4235</v>
      </c>
      <c r="N2069" s="15">
        <v>28</v>
      </c>
      <c r="O2069" s="9"/>
      <c r="P2069" s="10">
        <v>43164.382303240738</v>
      </c>
      <c r="Q2069" s="14" t="s">
        <v>3077</v>
      </c>
      <c r="R2069" s="14" t="s">
        <v>3078</v>
      </c>
      <c r="S2069" s="8"/>
      <c r="T2069" s="8"/>
      <c r="U2069" s="11" t="str">
        <f>HYPERLINK("https://pbs.twimg.com/profile_images/970573416821547009/oDkr4BWt.jpg","View")</f>
        <v>View</v>
      </c>
      <c r="V2069" s="8"/>
      <c r="W2069" s="8"/>
      <c r="X2069" s="8"/>
      <c r="Y2069" s="8"/>
      <c r="Z2069" s="8"/>
    </row>
    <row r="2070" spans="1:26" ht="13.2">
      <c r="A2070" s="13">
        <v>44250.135150462964</v>
      </c>
      <c r="B2070" s="6" t="str">
        <f>HYPERLINK("https://twitter.com/HeliodoroSantos","@HeliodoroSantos")</f>
        <v>@HeliodoroSantos</v>
      </c>
      <c r="C2070" s="14" t="s">
        <v>8159</v>
      </c>
      <c r="D2070" s="14" t="s">
        <v>8251</v>
      </c>
      <c r="E2070" s="6" t="str">
        <f>HYPERLINK("https://twitter.com/HeliodoroSantos/status/1364035906961727490","1364035906961727490")</f>
        <v>1364035906961727490</v>
      </c>
      <c r="F2070" s="8"/>
      <c r="G2070" s="7" t="s">
        <v>8252</v>
      </c>
      <c r="H2070" s="8"/>
      <c r="I2070" s="14">
        <v>15</v>
      </c>
      <c r="J2070" s="14">
        <v>0</v>
      </c>
      <c r="K2070" s="6" t="str">
        <f>HYPERLINK("https://www.heliosantos.org","pyt1")</f>
        <v>pyt1</v>
      </c>
      <c r="L2070" s="15">
        <v>280</v>
      </c>
      <c r="M2070" s="15">
        <v>769</v>
      </c>
      <c r="N2070" s="15">
        <v>6</v>
      </c>
      <c r="O2070" s="9"/>
      <c r="P2070" s="10">
        <v>40610.833437499998</v>
      </c>
      <c r="Q2070" s="14" t="s">
        <v>8162</v>
      </c>
      <c r="R2070" s="8"/>
      <c r="S2070" s="7" t="s">
        <v>8163</v>
      </c>
      <c r="T2070" s="8"/>
      <c r="U2070" s="11" t="str">
        <f>HYPERLINK("https://pbs.twimg.com/profile_images/1242256799715037185/YzdNmVH9.jpg","View")</f>
        <v>View</v>
      </c>
      <c r="V2070" s="8"/>
      <c r="W2070" s="8"/>
      <c r="X2070" s="8"/>
      <c r="Y2070" s="8"/>
      <c r="Z2070" s="8"/>
    </row>
    <row r="2071" spans="1:26" ht="13.2">
      <c r="A2071" s="13">
        <v>44250.134571759263</v>
      </c>
      <c r="B2071" s="6" t="str">
        <f>HYPERLINK("https://twitter.com/SiMa_Inc","@SiMa_Inc")</f>
        <v>@SiMa_Inc</v>
      </c>
      <c r="C2071" s="7" t="s">
        <v>8253</v>
      </c>
      <c r="D2071" s="14" t="s">
        <v>8254</v>
      </c>
      <c r="E2071" s="6" t="str">
        <f>HYPERLINK("https://twitter.com/SiMa_Inc/status/1364035697682751489","1364035697682751489")</f>
        <v>1364035697682751489</v>
      </c>
      <c r="F2071" s="14" t="s">
        <v>8255</v>
      </c>
      <c r="G2071" s="8"/>
      <c r="H2071" s="8"/>
      <c r="I2071" s="14">
        <v>2</v>
      </c>
      <c r="J2071" s="14">
        <v>2</v>
      </c>
      <c r="K2071" s="6" t="str">
        <f t="shared" ref="K2071:K2072" si="380">HYPERLINK("https://mobile.twitter.com","Twitter Web App")</f>
        <v>Twitter Web App</v>
      </c>
      <c r="L2071" s="15">
        <v>63</v>
      </c>
      <c r="M2071" s="15">
        <v>54</v>
      </c>
      <c r="N2071" s="15">
        <v>5</v>
      </c>
      <c r="O2071" s="9"/>
      <c r="P2071" s="10">
        <v>43960.120347222226</v>
      </c>
      <c r="Q2071" s="14" t="s">
        <v>968</v>
      </c>
      <c r="R2071" s="14" t="s">
        <v>8256</v>
      </c>
      <c r="S2071" s="7" t="s">
        <v>8257</v>
      </c>
      <c r="T2071" s="8"/>
      <c r="U2071" s="11" t="str">
        <f>HYPERLINK("https://pbs.twimg.com/profile_images/1259187492416184320/zHPEjH2m.jpg","View")</f>
        <v>View</v>
      </c>
      <c r="V2071" s="8"/>
      <c r="W2071" s="8"/>
      <c r="X2071" s="8"/>
      <c r="Y2071" s="8"/>
      <c r="Z2071" s="8"/>
    </row>
    <row r="2072" spans="1:26" ht="13.2">
      <c r="A2072" s="13">
        <v>44250.132303240738</v>
      </c>
      <c r="B2072" s="6" t="str">
        <f>HYPERLINK("https://twitter.com/MTechSG","@MTechSG")</f>
        <v>@MTechSG</v>
      </c>
      <c r="C2072" s="14" t="s">
        <v>8258</v>
      </c>
      <c r="D2072" s="14" t="s">
        <v>8259</v>
      </c>
      <c r="E2072" s="6" t="str">
        <f>HYPERLINK("https://twitter.com/MTechSG/status/1364034875783716866","1364034875783716866")</f>
        <v>1364034875783716866</v>
      </c>
      <c r="F2072" s="7" t="s">
        <v>8260</v>
      </c>
      <c r="G2072" s="7" t="s">
        <v>8261</v>
      </c>
      <c r="H2072" s="8"/>
      <c r="I2072" s="14">
        <v>3</v>
      </c>
      <c r="J2072" s="14">
        <v>2</v>
      </c>
      <c r="K2072" s="6" t="str">
        <f t="shared" si="380"/>
        <v>Twitter Web App</v>
      </c>
      <c r="L2072" s="15">
        <v>104</v>
      </c>
      <c r="M2072" s="15">
        <v>105</v>
      </c>
      <c r="N2072" s="15">
        <v>10</v>
      </c>
      <c r="O2072" s="9"/>
      <c r="P2072" s="10">
        <v>41737.680277777778</v>
      </c>
      <c r="Q2072" s="8"/>
      <c r="R2072" s="14" t="s">
        <v>8262</v>
      </c>
      <c r="S2072" s="7" t="s">
        <v>8263</v>
      </c>
      <c r="T2072" s="8"/>
      <c r="U2072" s="11" t="str">
        <f>HYPERLINK("https://pbs.twimg.com/profile_images/1011461982778609664/640bStxW.jpg","View")</f>
        <v>View</v>
      </c>
      <c r="V2072" s="8"/>
      <c r="W2072" s="8"/>
      <c r="X2072" s="8"/>
      <c r="Y2072" s="8"/>
      <c r="Z2072" s="8"/>
    </row>
    <row r="2073" spans="1:26" ht="13.2">
      <c r="A2073" s="13">
        <v>44250.131273148145</v>
      </c>
      <c r="B2073" s="6" t="str">
        <f>HYPERLINK("https://twitter.com/globaliqx","@globaliqx")</f>
        <v>@globaliqx</v>
      </c>
      <c r="C2073" s="14" t="s">
        <v>305</v>
      </c>
      <c r="D2073" s="14" t="s">
        <v>8264</v>
      </c>
      <c r="E2073" s="6" t="str">
        <f>HYPERLINK("https://twitter.com/globaliqx/status/1364034501899399173","1364034501899399173")</f>
        <v>1364034501899399173</v>
      </c>
      <c r="F2073" s="7" t="s">
        <v>8265</v>
      </c>
      <c r="G2073" s="7" t="s">
        <v>8266</v>
      </c>
      <c r="H2073" s="8"/>
      <c r="I2073" s="14">
        <v>13</v>
      </c>
      <c r="J2073" s="14">
        <v>14</v>
      </c>
      <c r="K2073" s="6" t="str">
        <f>HYPERLINK("https://buffer.com","Buffer")</f>
        <v>Buffer</v>
      </c>
      <c r="L2073" s="15">
        <v>10339</v>
      </c>
      <c r="M2073" s="15">
        <v>7808</v>
      </c>
      <c r="N2073" s="15">
        <v>868</v>
      </c>
      <c r="O2073" s="9"/>
      <c r="P2073" s="10">
        <v>41565.721296296295</v>
      </c>
      <c r="Q2073" s="14" t="s">
        <v>309</v>
      </c>
      <c r="R2073" s="14" t="s">
        <v>310</v>
      </c>
      <c r="S2073" s="7" t="s">
        <v>311</v>
      </c>
      <c r="T2073" s="8"/>
      <c r="U2073" s="11" t="str">
        <f>HYPERLINK("https://pbs.twimg.com/profile_images/695005663492247556/v0EQSRal.jpg","View")</f>
        <v>View</v>
      </c>
      <c r="V2073" s="8"/>
      <c r="W2073" s="8"/>
      <c r="X2073" s="8"/>
      <c r="Y2073" s="8"/>
      <c r="Z2073" s="8"/>
    </row>
    <row r="2074" spans="1:26" ht="13.2">
      <c r="A2074" s="13">
        <v>44250.129756944443</v>
      </c>
      <c r="B2074" s="6" t="str">
        <f>HYPERLINK("https://twitter.com/AvolutionAbacus","@AvolutionAbacus")</f>
        <v>@AvolutionAbacus</v>
      </c>
      <c r="C2074" s="14" t="s">
        <v>8267</v>
      </c>
      <c r="D2074" s="14" t="s">
        <v>8268</v>
      </c>
      <c r="E2074" s="6" t="str">
        <f>HYPERLINK("https://twitter.com/AvolutionAbacus/status/1364033952835543043","1364033952835543043")</f>
        <v>1364033952835543043</v>
      </c>
      <c r="F2074" s="14" t="s">
        <v>8269</v>
      </c>
      <c r="G2074" s="8"/>
      <c r="H2074" s="8"/>
      <c r="I2074" s="14">
        <v>2</v>
      </c>
      <c r="J2074" s="14">
        <v>1</v>
      </c>
      <c r="K2074" s="6" t="str">
        <f>HYPERLINK("https://mobile.twitter.com","Twitter Web App")</f>
        <v>Twitter Web App</v>
      </c>
      <c r="L2074" s="15">
        <v>668</v>
      </c>
      <c r="M2074" s="15">
        <v>857</v>
      </c>
      <c r="N2074" s="15">
        <v>140</v>
      </c>
      <c r="O2074" s="9"/>
      <c r="P2074" s="10">
        <v>40484.020462962959</v>
      </c>
      <c r="Q2074" s="8"/>
      <c r="R2074" s="14" t="s">
        <v>8270</v>
      </c>
      <c r="S2074" s="7" t="s">
        <v>8271</v>
      </c>
      <c r="T2074" s="8"/>
      <c r="U2074" s="11" t="str">
        <f>HYPERLINK("https://pbs.twimg.com/profile_images/3594881560/6d9f0ca4960649e649f551d739bdfd9e.png","View")</f>
        <v>View</v>
      </c>
      <c r="V2074" s="8"/>
      <c r="W2074" s="8"/>
      <c r="X2074" s="8"/>
      <c r="Y2074" s="8"/>
      <c r="Z2074" s="8"/>
    </row>
    <row r="2075" spans="1:26" ht="13.2">
      <c r="A2075" s="13">
        <v>44250.129270833335</v>
      </c>
      <c r="B2075" s="6" t="str">
        <f>HYPERLINK("https://twitter.com/rautsan","@rautsan")</f>
        <v>@rautsan</v>
      </c>
      <c r="C2075" s="14" t="s">
        <v>8202</v>
      </c>
      <c r="D2075" s="14" t="s">
        <v>8272</v>
      </c>
      <c r="E2075" s="6" t="str">
        <f>HYPERLINK("https://twitter.com/rautsan/status/1364033777752760324","1364033777752760324")</f>
        <v>1364033777752760324</v>
      </c>
      <c r="F2075" s="7" t="s">
        <v>8273</v>
      </c>
      <c r="G2075" s="8"/>
      <c r="H2075" s="8"/>
      <c r="I2075" s="14">
        <v>1</v>
      </c>
      <c r="J2075" s="14">
        <v>0</v>
      </c>
      <c r="K2075" s="6" t="str">
        <f>HYPERLINK("https://paper.li","Paper.li")</f>
        <v>Paper.li</v>
      </c>
      <c r="L2075" s="15">
        <v>15321</v>
      </c>
      <c r="M2075" s="15">
        <v>15714</v>
      </c>
      <c r="N2075" s="15">
        <v>3495</v>
      </c>
      <c r="O2075" s="9"/>
      <c r="P2075" s="10">
        <v>39971.757488425923</v>
      </c>
      <c r="Q2075" s="14" t="s">
        <v>8205</v>
      </c>
      <c r="R2075" s="14" t="s">
        <v>8206</v>
      </c>
      <c r="S2075" s="7" t="s">
        <v>8207</v>
      </c>
      <c r="T2075" s="8"/>
      <c r="U2075" s="11" t="str">
        <f>HYPERLINK("https://pbs.twimg.com/profile_images/1087750225870102529/GsQx_JfU.jpg","View")</f>
        <v>View</v>
      </c>
      <c r="V2075" s="8"/>
      <c r="W2075" s="8"/>
      <c r="X2075" s="8"/>
      <c r="Y2075" s="8"/>
      <c r="Z2075" s="8"/>
    </row>
    <row r="2076" spans="1:26" ht="13.2">
      <c r="A2076" s="13">
        <v>44250.129189814819</v>
      </c>
      <c r="B2076" s="6" t="str">
        <f>HYPERLINK("https://twitter.com/lopezunwired","@lopezunwired")</f>
        <v>@lopezunwired</v>
      </c>
      <c r="C2076" s="14" t="s">
        <v>224</v>
      </c>
      <c r="D2076" s="14" t="s">
        <v>8274</v>
      </c>
      <c r="E2076" s="6" t="str">
        <f>HYPERLINK("https://twitter.com/lopezunwired/status/1364033747390058498","1364033747390058498")</f>
        <v>1364033747390058498</v>
      </c>
      <c r="F2076" s="7" t="s">
        <v>8275</v>
      </c>
      <c r="G2076" s="7" t="s">
        <v>8276</v>
      </c>
      <c r="H2076" s="8"/>
      <c r="I2076" s="14">
        <v>1</v>
      </c>
      <c r="J2076" s="14">
        <v>0</v>
      </c>
      <c r="K2076" s="6" t="str">
        <f>HYPERLINK("https://dlvrit.com/","dlvr.it")</f>
        <v>dlvr.it</v>
      </c>
      <c r="L2076" s="15">
        <v>1803</v>
      </c>
      <c r="M2076" s="15">
        <v>800</v>
      </c>
      <c r="N2076" s="15">
        <v>586</v>
      </c>
      <c r="O2076" s="9"/>
      <c r="P2076" s="10">
        <v>39831.947152777779</v>
      </c>
      <c r="Q2076" s="14" t="s">
        <v>228</v>
      </c>
      <c r="R2076" s="14" t="s">
        <v>229</v>
      </c>
      <c r="S2076" s="7" t="s">
        <v>230</v>
      </c>
      <c r="T2076" s="8"/>
      <c r="U2076" s="11" t="str">
        <f>HYPERLINK("https://pbs.twimg.com/profile_images/3326137784/c6c1c2570fc7b9711dd8de812b996a66.jpeg","View")</f>
        <v>View</v>
      </c>
      <c r="V2076" s="8"/>
      <c r="W2076" s="8"/>
      <c r="X2076" s="8"/>
      <c r="Y2076" s="8"/>
      <c r="Z2076" s="8"/>
    </row>
    <row r="2077" spans="1:26" ht="13.2">
      <c r="A2077" s="13">
        <v>44250.129178240742</v>
      </c>
      <c r="B2077" s="6" t="str">
        <f>HYPERLINK("https://twitter.com/rzembo","@rzembo")</f>
        <v>@rzembo</v>
      </c>
      <c r="C2077" s="14" t="s">
        <v>7974</v>
      </c>
      <c r="D2077" s="14" t="s">
        <v>8277</v>
      </c>
      <c r="E2077" s="6" t="str">
        <f>HYPERLINK("https://twitter.com/rzembo/status/1364033741191081984","1364033741191081984")</f>
        <v>1364033741191081984</v>
      </c>
      <c r="F2077" s="7" t="s">
        <v>8278</v>
      </c>
      <c r="G2077" s="8"/>
      <c r="H2077" s="8"/>
      <c r="I2077" s="14">
        <v>2</v>
      </c>
      <c r="J2077" s="14">
        <v>1</v>
      </c>
      <c r="K2077" s="6" t="str">
        <f>HYPERLINK("https://buffer.com","Buffer")</f>
        <v>Buffer</v>
      </c>
      <c r="L2077" s="15">
        <v>5473</v>
      </c>
      <c r="M2077" s="15">
        <v>5956</v>
      </c>
      <c r="N2077" s="15">
        <v>217</v>
      </c>
      <c r="O2077" s="9"/>
      <c r="P2077" s="10">
        <v>39675.932523148149</v>
      </c>
      <c r="Q2077" s="14" t="s">
        <v>7977</v>
      </c>
      <c r="R2077" s="14" t="s">
        <v>7978</v>
      </c>
      <c r="S2077" s="8"/>
      <c r="T2077" s="8"/>
      <c r="U2077" s="11" t="str">
        <f>HYPERLINK("https://pbs.twimg.com/profile_images/761975642300743680/QaDftVzk.jpg","View")</f>
        <v>View</v>
      </c>
      <c r="V2077" s="8"/>
      <c r="W2077" s="8"/>
      <c r="X2077" s="8"/>
      <c r="Y2077" s="8"/>
      <c r="Z2077" s="8"/>
    </row>
    <row r="2078" spans="1:26" ht="13.2">
      <c r="A2078" s="13">
        <v>44250.129016203704</v>
      </c>
      <c r="B2078" s="6" t="str">
        <f>HYPERLINK("https://twitter.com/FrankVTaylor","@FrankVTaylor")</f>
        <v>@FrankVTaylor</v>
      </c>
      <c r="C2078" s="14" t="s">
        <v>8279</v>
      </c>
      <c r="D2078" s="14" t="s">
        <v>8280</v>
      </c>
      <c r="E2078" s="6" t="str">
        <f>HYPERLINK("https://twitter.com/FrankVTaylor/status/1364033685155180544","1364033685155180544")</f>
        <v>1364033685155180544</v>
      </c>
      <c r="F2078" s="8"/>
      <c r="G2078" s="8"/>
      <c r="H2078" s="8"/>
      <c r="I2078" s="14">
        <v>5</v>
      </c>
      <c r="J2078" s="14">
        <v>1</v>
      </c>
      <c r="K2078" s="6" t="str">
        <f>HYPERLINK("http://twitter.com/download/iphone","Twitter for iPhone")</f>
        <v>Twitter for iPhone</v>
      </c>
      <c r="L2078" s="15">
        <v>2848</v>
      </c>
      <c r="M2078" s="15">
        <v>2620</v>
      </c>
      <c r="N2078" s="15">
        <v>327</v>
      </c>
      <c r="O2078" s="9"/>
      <c r="P2078" s="10">
        <v>40829.991805555554</v>
      </c>
      <c r="Q2078" s="14" t="s">
        <v>792</v>
      </c>
      <c r="R2078" s="14" t="s">
        <v>8281</v>
      </c>
      <c r="S2078" s="7" t="s">
        <v>8282</v>
      </c>
      <c r="T2078" s="8"/>
      <c r="U2078" s="11" t="str">
        <f>HYPERLINK("https://pbs.twimg.com/profile_images/1040090170412941314/MCkjeNeh.jpg","View")</f>
        <v>View</v>
      </c>
      <c r="V2078" s="8"/>
      <c r="W2078" s="8"/>
      <c r="X2078" s="8"/>
      <c r="Y2078" s="8"/>
      <c r="Z2078" s="8"/>
    </row>
    <row r="2079" spans="1:26" ht="13.2">
      <c r="A2079" s="13">
        <v>44250.128738425927</v>
      </c>
      <c r="B2079" s="6" t="str">
        <f>HYPERLINK("https://twitter.com/machinelearnflx","@machinelearnflx")</f>
        <v>@machinelearnflx</v>
      </c>
      <c r="C2079" s="14" t="s">
        <v>279</v>
      </c>
      <c r="D2079" s="14" t="s">
        <v>8283</v>
      </c>
      <c r="E2079" s="6" t="str">
        <f>HYPERLINK("https://twitter.com/machinelearnflx/status/1364033585435574273","1364033585435574273")</f>
        <v>1364033585435574273</v>
      </c>
      <c r="F2079" s="7" t="s">
        <v>8284</v>
      </c>
      <c r="G2079" s="8"/>
      <c r="H2079" s="8"/>
      <c r="I2079" s="14">
        <v>2</v>
      </c>
      <c r="J2079" s="14">
        <v>2</v>
      </c>
      <c r="K2079" s="6" t="str">
        <f>HYPERLINK("https://twitter.com/pythonbot_","Postmatico")</f>
        <v>Postmatico</v>
      </c>
      <c r="L2079" s="15">
        <v>90451</v>
      </c>
      <c r="M2079" s="15">
        <v>35464</v>
      </c>
      <c r="N2079" s="15">
        <v>2228</v>
      </c>
      <c r="O2079" s="9"/>
      <c r="P2079" s="10">
        <v>42386.538865740746</v>
      </c>
      <c r="Q2079" s="8"/>
      <c r="R2079" s="14" t="s">
        <v>282</v>
      </c>
      <c r="S2079" s="7" t="s">
        <v>283</v>
      </c>
      <c r="T2079" s="8"/>
      <c r="U2079" s="11" t="str">
        <f>HYPERLINK("https://pbs.twimg.com/profile_images/688735459892195329/v8sHaWSG.jpg","View")</f>
        <v>View</v>
      </c>
      <c r="V2079" s="8"/>
      <c r="W2079" s="8"/>
      <c r="X2079" s="8"/>
      <c r="Y2079" s="8"/>
      <c r="Z2079" s="8"/>
    </row>
    <row r="2080" spans="1:26" ht="13.2">
      <c r="A2080" s="13">
        <v>44250.128622685181</v>
      </c>
      <c r="B2080" s="6" t="str">
        <f>HYPERLINK("https://twitter.com/StephTweetChat","@StephTweetChat")</f>
        <v>@StephTweetChat</v>
      </c>
      <c r="C2080" s="14" t="s">
        <v>8285</v>
      </c>
      <c r="D2080" s="14" t="s">
        <v>8286</v>
      </c>
      <c r="E2080" s="6" t="str">
        <f>HYPERLINK("https://twitter.com/StephTweetChat/status/1364033542330572808","1364033542330572808")</f>
        <v>1364033542330572808</v>
      </c>
      <c r="F2080" s="7" t="s">
        <v>8287</v>
      </c>
      <c r="G2080" s="8"/>
      <c r="H2080" s="8"/>
      <c r="I2080" s="14">
        <v>2</v>
      </c>
      <c r="J2080" s="14">
        <v>0</v>
      </c>
      <c r="K2080" s="6" t="str">
        <f>HYPERLINK("http://www.linkedin.com/","LinkedIn")</f>
        <v>LinkedIn</v>
      </c>
      <c r="L2080" s="15">
        <v>8798</v>
      </c>
      <c r="M2080" s="15">
        <v>8182</v>
      </c>
      <c r="N2080" s="15">
        <v>117</v>
      </c>
      <c r="O2080" s="9"/>
      <c r="P2080" s="10">
        <v>42066.979166666672</v>
      </c>
      <c r="Q2080" s="14" t="s">
        <v>8288</v>
      </c>
      <c r="R2080" s="14" t="s">
        <v>8289</v>
      </c>
      <c r="S2080" s="7" t="s">
        <v>8290</v>
      </c>
      <c r="T2080" s="8"/>
      <c r="U2080" s="11" t="str">
        <f>HYPERLINK("https://pbs.twimg.com/profile_images/859198421420433409/Yu9b_2os.jpg","View")</f>
        <v>View</v>
      </c>
      <c r="V2080" s="8"/>
      <c r="W2080" s="8"/>
      <c r="X2080" s="8"/>
      <c r="Y2080" s="8"/>
      <c r="Z2080" s="8"/>
    </row>
    <row r="2081" spans="1:26" ht="13.2">
      <c r="A2081" s="13">
        <v>44250.128518518519</v>
      </c>
      <c r="B2081" s="6" t="str">
        <f>HYPERLINK("https://twitter.com/ipfconline1","@ipfconline1")</f>
        <v>@ipfconline1</v>
      </c>
      <c r="C2081" s="14" t="s">
        <v>65</v>
      </c>
      <c r="D2081" s="14" t="s">
        <v>8291</v>
      </c>
      <c r="E2081" s="6" t="str">
        <f>HYPERLINK("https://twitter.com/ipfconline1/status/1364033505517330434","1364033505517330434")</f>
        <v>1364033505517330434</v>
      </c>
      <c r="F2081" s="7" t="s">
        <v>8292</v>
      </c>
      <c r="G2081" s="7" t="s">
        <v>8293</v>
      </c>
      <c r="H2081" s="8"/>
      <c r="I2081" s="14">
        <v>13</v>
      </c>
      <c r="J2081" s="14">
        <v>9</v>
      </c>
      <c r="K2081" s="6" t="str">
        <f>HYPERLINK("https://twittimer.com","Twittimer")</f>
        <v>Twittimer</v>
      </c>
      <c r="L2081" s="15">
        <v>112675</v>
      </c>
      <c r="M2081" s="15">
        <v>107162</v>
      </c>
      <c r="N2081" s="15">
        <v>7806</v>
      </c>
      <c r="O2081" s="9"/>
      <c r="P2081" s="10">
        <v>42433.031967592593</v>
      </c>
      <c r="Q2081" s="14" t="s">
        <v>69</v>
      </c>
      <c r="R2081" s="14" t="s">
        <v>70</v>
      </c>
      <c r="S2081" s="7" t="s">
        <v>71</v>
      </c>
      <c r="T2081" s="8"/>
      <c r="U2081" s="11" t="str">
        <f>HYPERLINK("https://pbs.twimg.com/profile_images/729065804004769793/St2_Pum9.jpg","View")</f>
        <v>View</v>
      </c>
      <c r="V2081" s="8"/>
      <c r="W2081" s="8"/>
      <c r="X2081" s="8"/>
      <c r="Y2081" s="8"/>
      <c r="Z2081" s="8"/>
    </row>
    <row r="2082" spans="1:26" ht="13.2">
      <c r="A2082" s="13">
        <v>44250.127083333333</v>
      </c>
      <c r="B2082" s="6" t="str">
        <f>HYPERLINK("https://twitter.com/ANoorTech","@ANoorTech")</f>
        <v>@ANoorTech</v>
      </c>
      <c r="C2082" s="14" t="s">
        <v>2117</v>
      </c>
      <c r="D2082" s="14" t="s">
        <v>8294</v>
      </c>
      <c r="E2082" s="6" t="str">
        <f>HYPERLINK("https://twitter.com/ANoorTech/status/1364032983099826177","1364032983099826177")</f>
        <v>1364032983099826177</v>
      </c>
      <c r="F2082" s="8"/>
      <c r="G2082" s="7" t="s">
        <v>8295</v>
      </c>
      <c r="H2082" s="8"/>
      <c r="I2082" s="14">
        <v>21</v>
      </c>
      <c r="J2082" s="14">
        <v>13</v>
      </c>
      <c r="K2082" s="6" t="str">
        <f t="shared" ref="K2082:K2084" si="381">HYPERLINK("https://mobile.twitter.com","Twitter Web App")</f>
        <v>Twitter Web App</v>
      </c>
      <c r="L2082" s="15">
        <v>392</v>
      </c>
      <c r="M2082" s="15">
        <v>333</v>
      </c>
      <c r="N2082" s="15">
        <v>0</v>
      </c>
      <c r="O2082" s="9"/>
      <c r="P2082" s="10">
        <v>44241.511238425926</v>
      </c>
      <c r="Q2082" s="14" t="s">
        <v>2120</v>
      </c>
      <c r="R2082" s="14" t="s">
        <v>2121</v>
      </c>
      <c r="S2082" s="8"/>
      <c r="T2082" s="8"/>
      <c r="U2082" s="11" t="str">
        <f>HYPERLINK("https://pbs.twimg.com/profile_images/1361417183574839302/G5WcAJbe.jpg","View")</f>
        <v>View</v>
      </c>
      <c r="V2082" s="8"/>
      <c r="W2082" s="8"/>
      <c r="X2082" s="8"/>
      <c r="Y2082" s="8"/>
      <c r="Z2082" s="8"/>
    </row>
    <row r="2083" spans="1:26" ht="13.2">
      <c r="A2083" s="13">
        <v>44250.126388888893</v>
      </c>
      <c r="B2083" s="6" t="str">
        <f>HYPERLINK("https://twitter.com/ANoorTM","@ANoorTM")</f>
        <v>@ANoorTM</v>
      </c>
      <c r="C2083" s="14" t="s">
        <v>1720</v>
      </c>
      <c r="D2083" s="14" t="s">
        <v>8296</v>
      </c>
      <c r="E2083" s="6" t="str">
        <f>HYPERLINK("https://twitter.com/ANoorTM/status/1364032731424952320","1364032731424952320")</f>
        <v>1364032731424952320</v>
      </c>
      <c r="F2083" s="8"/>
      <c r="G2083" s="7" t="s">
        <v>8297</v>
      </c>
      <c r="H2083" s="8"/>
      <c r="I2083" s="14">
        <v>11</v>
      </c>
      <c r="J2083" s="14">
        <v>5</v>
      </c>
      <c r="K2083" s="6" t="str">
        <f t="shared" si="381"/>
        <v>Twitter Web App</v>
      </c>
      <c r="L2083" s="15">
        <v>115</v>
      </c>
      <c r="M2083" s="15">
        <v>396</v>
      </c>
      <c r="N2083" s="15">
        <v>0</v>
      </c>
      <c r="O2083" s="9"/>
      <c r="P2083" s="10">
        <v>41609.607916666668</v>
      </c>
      <c r="Q2083" s="14" t="s">
        <v>1722</v>
      </c>
      <c r="R2083" s="14" t="s">
        <v>1723</v>
      </c>
      <c r="S2083" s="7" t="s">
        <v>1724</v>
      </c>
      <c r="T2083" s="8"/>
      <c r="U2083" s="11" t="str">
        <f>HYPERLINK("https://pbs.twimg.com/profile_images/1360847327636955136/AMGDy86d.jpg","View")</f>
        <v>View</v>
      </c>
      <c r="V2083" s="8"/>
      <c r="W2083" s="8"/>
      <c r="X2083" s="8"/>
      <c r="Y2083" s="8"/>
      <c r="Z2083" s="8"/>
    </row>
    <row r="2084" spans="1:26" ht="13.2">
      <c r="A2084" s="13">
        <v>44250.126273148147</v>
      </c>
      <c r="B2084" s="6" t="str">
        <f>HYPERLINK("https://twitter.com/digilitiks","@digilitiks")</f>
        <v>@digilitiks</v>
      </c>
      <c r="C2084" s="14" t="s">
        <v>8298</v>
      </c>
      <c r="D2084" s="14" t="s">
        <v>8299</v>
      </c>
      <c r="E2084" s="6" t="str">
        <f>HYPERLINK("https://twitter.com/digilitiks/status/1364032691805380611","1364032691805380611")</f>
        <v>1364032691805380611</v>
      </c>
      <c r="F2084" s="7" t="s">
        <v>8300</v>
      </c>
      <c r="G2084" s="8"/>
      <c r="H2084" s="8"/>
      <c r="I2084" s="14">
        <v>4</v>
      </c>
      <c r="J2084" s="14">
        <v>1</v>
      </c>
      <c r="K2084" s="6" t="str">
        <f t="shared" si="381"/>
        <v>Twitter Web App</v>
      </c>
      <c r="L2084" s="15">
        <v>73</v>
      </c>
      <c r="M2084" s="15">
        <v>101</v>
      </c>
      <c r="N2084" s="15">
        <v>1</v>
      </c>
      <c r="O2084" s="9"/>
      <c r="P2084" s="10">
        <v>44013.333715277782</v>
      </c>
      <c r="Q2084" s="14" t="s">
        <v>8301</v>
      </c>
      <c r="R2084" s="14" t="s">
        <v>8302</v>
      </c>
      <c r="S2084" s="8"/>
      <c r="T2084" s="8"/>
      <c r="U2084" s="11" t="str">
        <f>HYPERLINK("https://pbs.twimg.com/profile_images/1278206928317853696/2UNYMsn6.jpg","View")</f>
        <v>View</v>
      </c>
      <c r="V2084" s="8"/>
      <c r="W2084" s="8"/>
      <c r="X2084" s="8"/>
      <c r="Y2084" s="8"/>
      <c r="Z2084" s="8"/>
    </row>
    <row r="2085" spans="1:26" ht="13.2">
      <c r="A2085" s="13">
        <v>44250.125717592593</v>
      </c>
      <c r="B2085" s="6" t="str">
        <f>HYPERLINK("https://twitter.com/MikeTamir","@MikeTamir")</f>
        <v>@MikeTamir</v>
      </c>
      <c r="C2085" s="14" t="s">
        <v>1458</v>
      </c>
      <c r="D2085" s="14" t="s">
        <v>8303</v>
      </c>
      <c r="E2085" s="6" t="str">
        <f>HYPERLINK("https://twitter.com/MikeTamir/status/1364032490848026625","1364032490848026625")</f>
        <v>1364032490848026625</v>
      </c>
      <c r="F2085" s="7" t="s">
        <v>8304</v>
      </c>
      <c r="G2085" s="7" t="s">
        <v>4955</v>
      </c>
      <c r="H2085" s="8"/>
      <c r="I2085" s="14">
        <v>33</v>
      </c>
      <c r="J2085" s="14">
        <v>43</v>
      </c>
      <c r="K2085" s="6" t="str">
        <f>HYPERLINK("https://buffer.com","Buffer")</f>
        <v>Buffer</v>
      </c>
      <c r="L2085" s="15">
        <v>22385</v>
      </c>
      <c r="M2085" s="15">
        <v>52</v>
      </c>
      <c r="N2085" s="15">
        <v>1067</v>
      </c>
      <c r="O2085" s="9"/>
      <c r="P2085" s="10">
        <v>40732.691851851851</v>
      </c>
      <c r="Q2085" s="14" t="s">
        <v>1461</v>
      </c>
      <c r="R2085" s="14" t="s">
        <v>1462</v>
      </c>
      <c r="S2085" s="7" t="s">
        <v>1463</v>
      </c>
      <c r="T2085" s="8"/>
      <c r="U2085" s="11" t="str">
        <f>HYPERLINK("https://pbs.twimg.com/profile_images/674658758472024064/1BWd5LDj.jpg","View")</f>
        <v>View</v>
      </c>
      <c r="V2085" s="8"/>
      <c r="W2085" s="8"/>
      <c r="X2085" s="8"/>
      <c r="Y2085" s="8"/>
      <c r="Z2085" s="8"/>
    </row>
    <row r="2086" spans="1:26" ht="13.2">
      <c r="A2086" s="13">
        <v>44250.125717592593</v>
      </c>
      <c r="B2086" s="6" t="str">
        <f>HYPERLINK("https://twitter.com/bernardleong","@bernardleong")</f>
        <v>@bernardleong</v>
      </c>
      <c r="C2086" s="14" t="s">
        <v>8305</v>
      </c>
      <c r="D2086" s="14" t="s">
        <v>8306</v>
      </c>
      <c r="E2086" s="6" t="str">
        <f>HYPERLINK("https://twitter.com/bernardleong/status/1364032489065492488","1364032489065492488")</f>
        <v>1364032489065492488</v>
      </c>
      <c r="F2086" s="7" t="s">
        <v>8307</v>
      </c>
      <c r="G2086" s="7" t="s">
        <v>8308</v>
      </c>
      <c r="H2086" s="8"/>
      <c r="I2086" s="14">
        <v>1</v>
      </c>
      <c r="J2086" s="14">
        <v>0</v>
      </c>
      <c r="K2086" s="6" t="str">
        <f>HYPERLINK("http://www.everyonesocial.com","EveryoneSocial")</f>
        <v>EveryoneSocial</v>
      </c>
      <c r="L2086" s="15">
        <v>6755</v>
      </c>
      <c r="M2086" s="15">
        <v>207</v>
      </c>
      <c r="N2086" s="15">
        <v>463</v>
      </c>
      <c r="O2086" s="15" t="s">
        <v>130</v>
      </c>
      <c r="P2086" s="10">
        <v>39166.836805555555</v>
      </c>
      <c r="Q2086" s="14" t="s">
        <v>322</v>
      </c>
      <c r="R2086" s="14" t="s">
        <v>8309</v>
      </c>
      <c r="S2086" s="7" t="s">
        <v>8310</v>
      </c>
      <c r="T2086" s="8"/>
      <c r="U2086" s="11" t="str">
        <f>HYPERLINK("https://pbs.twimg.com/profile_images/750746934801944576/wFn6x_6g.jpg","View")</f>
        <v>View</v>
      </c>
      <c r="V2086" s="8"/>
      <c r="W2086" s="8"/>
      <c r="X2086" s="8"/>
      <c r="Y2086" s="8"/>
      <c r="Z2086" s="8"/>
    </row>
    <row r="2087" spans="1:26" ht="13.2">
      <c r="A2087" s="13">
        <v>44250.125405092593</v>
      </c>
      <c r="B2087" s="6" t="str">
        <f>HYPERLINK("https://twitter.com/pythonwebconf","@pythonwebconf")</f>
        <v>@pythonwebconf</v>
      </c>
      <c r="C2087" s="14" t="s">
        <v>5145</v>
      </c>
      <c r="D2087" s="14" t="s">
        <v>5146</v>
      </c>
      <c r="E2087" s="6" t="str">
        <f>HYPERLINK("https://twitter.com/pythonwebconf/status/1364032373722071046","1364032373722071046")</f>
        <v>1364032373722071046</v>
      </c>
      <c r="F2087" s="7" t="s">
        <v>5147</v>
      </c>
      <c r="G2087" s="7" t="s">
        <v>8311</v>
      </c>
      <c r="H2087" s="8"/>
      <c r="I2087" s="14">
        <v>10</v>
      </c>
      <c r="J2087" s="14">
        <v>4</v>
      </c>
      <c r="K2087" s="6" t="str">
        <f>HYPERLINK("https://www.loomly.com/","Loomly")</f>
        <v>Loomly</v>
      </c>
      <c r="L2087" s="15">
        <v>111</v>
      </c>
      <c r="M2087" s="15">
        <v>145</v>
      </c>
      <c r="N2087" s="15">
        <v>3</v>
      </c>
      <c r="O2087" s="9"/>
      <c r="P2087" s="10">
        <v>44099.711886574078</v>
      </c>
      <c r="Q2087" s="14" t="s">
        <v>179</v>
      </c>
      <c r="R2087" s="14" t="s">
        <v>5149</v>
      </c>
      <c r="S2087" s="7" t="s">
        <v>5150</v>
      </c>
      <c r="T2087" s="8"/>
      <c r="U2087" s="11" t="str">
        <f>HYPERLINK("https://pbs.twimg.com/profile_images/1341147078328770563/5DE7iPIB.jpg","View")</f>
        <v>View</v>
      </c>
      <c r="V2087" s="8"/>
      <c r="W2087" s="8"/>
      <c r="X2087" s="8"/>
      <c r="Y2087" s="8"/>
      <c r="Z2087" s="8"/>
    </row>
    <row r="2088" spans="1:26" ht="13.2">
      <c r="A2088" s="13">
        <v>44250.125069444446</v>
      </c>
      <c r="B2088" s="6" t="str">
        <f>HYPERLINK("https://twitter.com/monaarishi","@monaarishi")</f>
        <v>@monaarishi</v>
      </c>
      <c r="C2088" s="14" t="s">
        <v>8312</v>
      </c>
      <c r="D2088" s="14" t="s">
        <v>8313</v>
      </c>
      <c r="E2088" s="6" t="str">
        <f>HYPERLINK("https://twitter.com/monaarishi/status/1364032255568588805","1364032255568588805")</f>
        <v>1364032255568588805</v>
      </c>
      <c r="F2088" s="7" t="s">
        <v>8314</v>
      </c>
      <c r="G2088" s="8"/>
      <c r="H2088" s="8"/>
      <c r="I2088" s="14">
        <v>2</v>
      </c>
      <c r="J2088" s="14">
        <v>0</v>
      </c>
      <c r="K2088" s="6" t="str">
        <f>HYPERLINK("http://www.linkedin.com/","LinkedIn")</f>
        <v>LinkedIn</v>
      </c>
      <c r="L2088" s="15">
        <v>1015</v>
      </c>
      <c r="M2088" s="15">
        <v>1515</v>
      </c>
      <c r="N2088" s="15">
        <v>46</v>
      </c>
      <c r="O2088" s="9"/>
      <c r="P2088" s="10">
        <v>40012.443715277775</v>
      </c>
      <c r="Q2088" s="14" t="s">
        <v>8315</v>
      </c>
      <c r="R2088" s="14" t="s">
        <v>8316</v>
      </c>
      <c r="S2088" s="7" t="s">
        <v>8317</v>
      </c>
      <c r="T2088" s="8"/>
      <c r="U2088" s="11" t="str">
        <f>HYPERLINK("https://pbs.twimg.com/profile_images/1240181274/Mona_by_karim_and_Yassmin.jpg","View")</f>
        <v>View</v>
      </c>
      <c r="V2088" s="8"/>
      <c r="W2088" s="8"/>
      <c r="X2088" s="8"/>
      <c r="Y2088" s="8"/>
      <c r="Z2088" s="8"/>
    </row>
    <row r="2089" spans="1:26" ht="13.2">
      <c r="A2089" s="13">
        <v>44250.125034722223</v>
      </c>
      <c r="B2089" s="6" t="str">
        <f>HYPERLINK("https://twitter.com/Deep_In_Depth","@Deep_In_Depth")</f>
        <v>@Deep_In_Depth</v>
      </c>
      <c r="C2089" s="14" t="s">
        <v>312</v>
      </c>
      <c r="D2089" s="14" t="s">
        <v>8318</v>
      </c>
      <c r="E2089" s="6" t="str">
        <f>HYPERLINK("https://twitter.com/Deep_In_Depth/status/1364032242268438532","1364032242268438532")</f>
        <v>1364032242268438532</v>
      </c>
      <c r="F2089" s="7" t="s">
        <v>8319</v>
      </c>
      <c r="G2089" s="8"/>
      <c r="H2089" s="8"/>
      <c r="I2089" s="14">
        <v>1</v>
      </c>
      <c r="J2089" s="14">
        <v>2</v>
      </c>
      <c r="K2089" s="6" t="str">
        <f>HYPERLINK("https://buffer.com","Buffer")</f>
        <v>Buffer</v>
      </c>
      <c r="L2089" s="15">
        <v>10954</v>
      </c>
      <c r="M2089" s="15">
        <v>9176</v>
      </c>
      <c r="N2089" s="15">
        <v>159</v>
      </c>
      <c r="O2089" s="9"/>
      <c r="P2089" s="10">
        <v>42864.439525462964</v>
      </c>
      <c r="Q2089" s="14" t="s">
        <v>315</v>
      </c>
      <c r="R2089" s="14" t="s">
        <v>316</v>
      </c>
      <c r="S2089" s="7" t="s">
        <v>317</v>
      </c>
      <c r="T2089" s="8"/>
      <c r="U2089" s="11" t="str">
        <f>HYPERLINK("https://pbs.twimg.com/profile_images/861866967493431296/PIjaSD4g.jpg","View")</f>
        <v>View</v>
      </c>
      <c r="V2089" s="8"/>
      <c r="W2089" s="8"/>
      <c r="X2089" s="8"/>
      <c r="Y2089" s="8"/>
      <c r="Z2089" s="8"/>
    </row>
    <row r="2090" spans="1:26" ht="13.2">
      <c r="A2090" s="13">
        <v>44250.125</v>
      </c>
      <c r="B2090" s="6" t="str">
        <f>HYPERLINK("https://twitter.com/9Course","@9Course")</f>
        <v>@9Course</v>
      </c>
      <c r="C2090" s="14" t="s">
        <v>8320</v>
      </c>
      <c r="D2090" s="14" t="s">
        <v>8321</v>
      </c>
      <c r="E2090" s="6" t="str">
        <f>HYPERLINK("https://twitter.com/9Course/status/1364032230675288064","1364032230675288064")</f>
        <v>1364032230675288064</v>
      </c>
      <c r="F2090" s="7" t="s">
        <v>8322</v>
      </c>
      <c r="G2090" s="8"/>
      <c r="H2090" s="8"/>
      <c r="I2090" s="14">
        <v>23</v>
      </c>
      <c r="J2090" s="14">
        <v>9</v>
      </c>
      <c r="K2090" s="6" t="str">
        <f>HYPERLINK("https://about.twitter.com/products/tweetdeck","TweetDeck")</f>
        <v>TweetDeck</v>
      </c>
      <c r="L2090" s="15">
        <v>58</v>
      </c>
      <c r="M2090" s="15">
        <v>0</v>
      </c>
      <c r="N2090" s="15">
        <v>0</v>
      </c>
      <c r="O2090" s="9"/>
      <c r="P2090" s="10">
        <v>43993.224756944444</v>
      </c>
      <c r="Q2090" s="8"/>
      <c r="R2090" s="14" t="s">
        <v>8323</v>
      </c>
      <c r="S2090" s="8"/>
      <c r="T2090" s="8"/>
      <c r="U2090" s="11" t="str">
        <f>HYPERLINK("https://pbs.twimg.com/profile_images/1272155875898056704/rGxDdeJs.jpg","View")</f>
        <v>View</v>
      </c>
      <c r="V2090" s="8"/>
      <c r="W2090" s="8"/>
      <c r="X2090" s="8"/>
      <c r="Y2090" s="8"/>
      <c r="Z2090" s="8"/>
    </row>
    <row r="2091" spans="1:26" ht="13.2">
      <c r="A2091" s="13">
        <v>44250.124930555554</v>
      </c>
      <c r="B2091" s="6" t="str">
        <f>HYPERLINK("https://twitter.com/Datascience__","@Datascience__")</f>
        <v>@Datascience__</v>
      </c>
      <c r="C2091" s="14" t="s">
        <v>1082</v>
      </c>
      <c r="D2091" s="14" t="s">
        <v>8324</v>
      </c>
      <c r="E2091" s="6" t="str">
        <f>HYPERLINK("https://twitter.com/Datascience__/status/1364032202430951424","1364032202430951424")</f>
        <v>1364032202430951424</v>
      </c>
      <c r="F2091" s="14" t="s">
        <v>8325</v>
      </c>
      <c r="G2091" s="8"/>
      <c r="H2091" s="8"/>
      <c r="I2091" s="14">
        <v>2</v>
      </c>
      <c r="J2091" s="14">
        <v>0</v>
      </c>
      <c r="K2091" s="6" t="str">
        <f>HYPERLINK("https://twitter.com/pythonbot_","Postmatico")</f>
        <v>Postmatico</v>
      </c>
      <c r="L2091" s="15">
        <v>21499</v>
      </c>
      <c r="M2091" s="15">
        <v>11071</v>
      </c>
      <c r="N2091" s="15">
        <v>0</v>
      </c>
      <c r="O2091" s="9"/>
      <c r="P2091" s="10">
        <v>42735.551377314812</v>
      </c>
      <c r="Q2091" s="8"/>
      <c r="R2091" s="14" t="s">
        <v>1085</v>
      </c>
      <c r="S2091" s="7" t="s">
        <v>1086</v>
      </c>
      <c r="T2091" s="8"/>
      <c r="U2091" s="11" t="str">
        <f>HYPERLINK("https://pbs.twimg.com/profile_images/989066461435097088/AQZSFyuk.jpg","View")</f>
        <v>View</v>
      </c>
      <c r="V2091" s="8"/>
      <c r="W2091" s="8"/>
      <c r="X2091" s="8"/>
      <c r="Y2091" s="8"/>
      <c r="Z2091" s="8"/>
    </row>
    <row r="2092" spans="1:26" ht="13.2">
      <c r="A2092" s="13">
        <v>44250.124664351853</v>
      </c>
      <c r="B2092" s="6" t="str">
        <f>HYPERLINK("https://twitter.com/HeliodoroSantos","@HeliodoroSantos")</f>
        <v>@HeliodoroSantos</v>
      </c>
      <c r="C2092" s="14" t="s">
        <v>8159</v>
      </c>
      <c r="D2092" s="14" t="s">
        <v>8326</v>
      </c>
      <c r="E2092" s="6" t="str">
        <f>HYPERLINK("https://twitter.com/HeliodoroSantos/status/1364032106544852996","1364032106544852996")</f>
        <v>1364032106544852996</v>
      </c>
      <c r="F2092" s="8"/>
      <c r="G2092" s="7" t="s">
        <v>8327</v>
      </c>
      <c r="H2092" s="8"/>
      <c r="I2092" s="14">
        <v>10</v>
      </c>
      <c r="J2092" s="14">
        <v>1</v>
      </c>
      <c r="K2092" s="6" t="str">
        <f>HYPERLINK("https://www.heliosantos.org","pyt1")</f>
        <v>pyt1</v>
      </c>
      <c r="L2092" s="15">
        <v>280</v>
      </c>
      <c r="M2092" s="15">
        <v>769</v>
      </c>
      <c r="N2092" s="15">
        <v>6</v>
      </c>
      <c r="O2092" s="9"/>
      <c r="P2092" s="10">
        <v>40610.833437499998</v>
      </c>
      <c r="Q2092" s="14" t="s">
        <v>8162</v>
      </c>
      <c r="R2092" s="8"/>
      <c r="S2092" s="7" t="s">
        <v>8163</v>
      </c>
      <c r="T2092" s="8"/>
      <c r="U2092" s="11" t="str">
        <f>HYPERLINK("https://pbs.twimg.com/profile_images/1242256799715037185/YzdNmVH9.jpg","View")</f>
        <v>View</v>
      </c>
      <c r="V2092" s="8"/>
      <c r="W2092" s="8"/>
      <c r="X2092" s="8"/>
      <c r="Y2092" s="8"/>
      <c r="Z2092" s="8"/>
    </row>
    <row r="2093" spans="1:26" ht="13.2">
      <c r="A2093" s="13">
        <v>44250.124537037038</v>
      </c>
      <c r="B2093" s="6" t="str">
        <f>HYPERLINK("https://twitter.com/Sheraj99","@Sheraj99")</f>
        <v>@Sheraj99</v>
      </c>
      <c r="C2093" s="14" t="s">
        <v>4576</v>
      </c>
      <c r="D2093" s="14" t="s">
        <v>8328</v>
      </c>
      <c r="E2093" s="6" t="str">
        <f>HYPERLINK("https://twitter.com/Sheraj99/status/1364032060160172039","1364032060160172039")</f>
        <v>1364032060160172039</v>
      </c>
      <c r="F2093" s="7" t="s">
        <v>8329</v>
      </c>
      <c r="G2093" s="8"/>
      <c r="H2093" s="8"/>
      <c r="I2093" s="14">
        <v>37</v>
      </c>
      <c r="J2093" s="14">
        <v>18</v>
      </c>
      <c r="K2093" s="6" t="str">
        <f>HYPERLINK("http://twitter.com/download/iphone","Twitter for iPhone")</f>
        <v>Twitter for iPhone</v>
      </c>
      <c r="L2093" s="15">
        <v>288</v>
      </c>
      <c r="M2093" s="15">
        <v>92</v>
      </c>
      <c r="N2093" s="15">
        <v>3</v>
      </c>
      <c r="O2093" s="9"/>
      <c r="P2093" s="10">
        <v>40621.211805555555</v>
      </c>
      <c r="Q2093" s="14" t="s">
        <v>696</v>
      </c>
      <c r="R2093" s="14" t="s">
        <v>4579</v>
      </c>
      <c r="S2093" s="8"/>
      <c r="T2093" s="8"/>
      <c r="U2093" s="11" t="str">
        <f>HYPERLINK("https://pbs.twimg.com/profile_images/1258879283877105664/_UZhqUDu.jpg","View")</f>
        <v>View</v>
      </c>
      <c r="V2093" s="8"/>
      <c r="W2093" s="8"/>
      <c r="X2093" s="8"/>
      <c r="Y2093" s="8"/>
      <c r="Z2093" s="8"/>
    </row>
    <row r="2094" spans="1:26" ht="13.2">
      <c r="A2094" s="13">
        <v>44250.12364583333</v>
      </c>
      <c r="B2094" s="6" t="str">
        <f>HYPERLINK("https://twitter.com/SpirosMargaris","@SpirosMargaris")</f>
        <v>@SpirosMargaris</v>
      </c>
      <c r="C2094" s="14" t="s">
        <v>3558</v>
      </c>
      <c r="D2094" s="14" t="s">
        <v>8330</v>
      </c>
      <c r="E2094" s="6" t="str">
        <f>HYPERLINK("https://twitter.com/SpirosMargaris/status/1364031738956111872","1364031738956111872")</f>
        <v>1364031738956111872</v>
      </c>
      <c r="F2094" s="7" t="s">
        <v>5912</v>
      </c>
      <c r="G2094" s="7" t="s">
        <v>8331</v>
      </c>
      <c r="H2094" s="8"/>
      <c r="I2094" s="14">
        <v>34</v>
      </c>
      <c r="J2094" s="14">
        <v>43</v>
      </c>
      <c r="K2094" s="6" t="str">
        <f>HYPERLINK("https://buffer.com","Buffer")</f>
        <v>Buffer</v>
      </c>
      <c r="L2094" s="15">
        <v>107389</v>
      </c>
      <c r="M2094" s="15">
        <v>15890</v>
      </c>
      <c r="N2094" s="15">
        <v>5693</v>
      </c>
      <c r="O2094" s="15" t="s">
        <v>130</v>
      </c>
      <c r="P2094" s="10">
        <v>41857.30574074074</v>
      </c>
      <c r="Q2094" s="14" t="s">
        <v>3562</v>
      </c>
      <c r="R2094" s="14" t="s">
        <v>3563</v>
      </c>
      <c r="S2094" s="7" t="s">
        <v>3564</v>
      </c>
      <c r="T2094" s="8"/>
      <c r="U2094" s="11" t="str">
        <f>HYPERLINK("https://pbs.twimg.com/profile_images/1346443960986775553/TGeiH97s.jpg","View")</f>
        <v>View</v>
      </c>
      <c r="V2094" s="8"/>
      <c r="W2094" s="8"/>
      <c r="X2094" s="8"/>
      <c r="Y2094" s="8"/>
      <c r="Z2094" s="8"/>
    </row>
    <row r="2095" spans="1:26" ht="13.2">
      <c r="A2095" s="13">
        <v>44250.123182870375</v>
      </c>
      <c r="B2095" s="6" t="str">
        <f>HYPERLINK("https://twitter.com/machinelearnflx","@machinelearnflx")</f>
        <v>@machinelearnflx</v>
      </c>
      <c r="C2095" s="14" t="s">
        <v>279</v>
      </c>
      <c r="D2095" s="14" t="s">
        <v>8332</v>
      </c>
      <c r="E2095" s="6" t="str">
        <f>HYPERLINK("https://twitter.com/machinelearnflx/status/1364031570294812674","1364031570294812674")</f>
        <v>1364031570294812674</v>
      </c>
      <c r="F2095" s="7" t="s">
        <v>8333</v>
      </c>
      <c r="G2095" s="8"/>
      <c r="H2095" s="8"/>
      <c r="I2095" s="14">
        <v>10</v>
      </c>
      <c r="J2095" s="14">
        <v>6</v>
      </c>
      <c r="K2095" s="6" t="str">
        <f>HYPERLINK("https://twitter.com/pythonbot_","Postmatico")</f>
        <v>Postmatico</v>
      </c>
      <c r="L2095" s="15">
        <v>90451</v>
      </c>
      <c r="M2095" s="15">
        <v>35464</v>
      </c>
      <c r="N2095" s="15">
        <v>2228</v>
      </c>
      <c r="O2095" s="9"/>
      <c r="P2095" s="10">
        <v>42386.538865740746</v>
      </c>
      <c r="Q2095" s="8"/>
      <c r="R2095" s="14" t="s">
        <v>282</v>
      </c>
      <c r="S2095" s="7" t="s">
        <v>283</v>
      </c>
      <c r="T2095" s="8"/>
      <c r="U2095" s="11" t="str">
        <f>HYPERLINK("https://pbs.twimg.com/profile_images/688735459892195329/v8sHaWSG.jpg","View")</f>
        <v>View</v>
      </c>
      <c r="V2095" s="8"/>
      <c r="W2095" s="8"/>
      <c r="X2095" s="8"/>
      <c r="Y2095" s="8"/>
      <c r="Z2095" s="8"/>
    </row>
    <row r="2096" spans="1:26" ht="13.2">
      <c r="A2096" s="13">
        <v>44250.122719907406</v>
      </c>
      <c r="B2096" s="6" t="str">
        <f>HYPERLINK("https://twitter.com/Sheraj99","@Sheraj99")</f>
        <v>@Sheraj99</v>
      </c>
      <c r="C2096" s="14" t="s">
        <v>4576</v>
      </c>
      <c r="D2096" s="14" t="s">
        <v>8334</v>
      </c>
      <c r="E2096" s="6" t="str">
        <f>HYPERLINK("https://twitter.com/Sheraj99/status/1364031404015763457","1364031404015763457")</f>
        <v>1364031404015763457</v>
      </c>
      <c r="F2096" s="7" t="s">
        <v>8335</v>
      </c>
      <c r="G2096" s="8"/>
      <c r="H2096" s="8"/>
      <c r="I2096" s="14">
        <v>40</v>
      </c>
      <c r="J2096" s="14">
        <v>27</v>
      </c>
      <c r="K2096" s="6" t="str">
        <f>HYPERLINK("http://twitter.com/download/iphone","Twitter for iPhone")</f>
        <v>Twitter for iPhone</v>
      </c>
      <c r="L2096" s="15">
        <v>288</v>
      </c>
      <c r="M2096" s="15">
        <v>92</v>
      </c>
      <c r="N2096" s="15">
        <v>3</v>
      </c>
      <c r="O2096" s="9"/>
      <c r="P2096" s="10">
        <v>40621.211805555555</v>
      </c>
      <c r="Q2096" s="14" t="s">
        <v>696</v>
      </c>
      <c r="R2096" s="14" t="s">
        <v>4579</v>
      </c>
      <c r="S2096" s="8"/>
      <c r="T2096" s="8"/>
      <c r="U2096" s="11" t="str">
        <f>HYPERLINK("https://pbs.twimg.com/profile_images/1258879283877105664/_UZhqUDu.jpg","View")</f>
        <v>View</v>
      </c>
      <c r="V2096" s="8"/>
      <c r="W2096" s="8"/>
      <c r="X2096" s="8"/>
      <c r="Y2096" s="8"/>
      <c r="Z2096" s="8"/>
    </row>
    <row r="2097" spans="1:26" ht="13.2">
      <c r="A2097" s="13">
        <v>44250.122129629628</v>
      </c>
      <c r="B2097" s="6" t="str">
        <f>HYPERLINK("https://twitter.com/Innovat78455398","@Innovat78455398")</f>
        <v>@Innovat78455398</v>
      </c>
      <c r="C2097" s="14" t="s">
        <v>4318</v>
      </c>
      <c r="D2097" s="14" t="s">
        <v>8336</v>
      </c>
      <c r="E2097" s="6" t="str">
        <f>HYPERLINK("https://twitter.com/Innovat78455398/status/1364031186960453637","1364031186960453637")</f>
        <v>1364031186960453637</v>
      </c>
      <c r="F2097" s="7" t="s">
        <v>8337</v>
      </c>
      <c r="G2097" s="7" t="s">
        <v>8338</v>
      </c>
      <c r="H2097" s="8"/>
      <c r="I2097" s="14">
        <v>27</v>
      </c>
      <c r="J2097" s="14">
        <v>15</v>
      </c>
      <c r="K2097" s="6" t="str">
        <f t="shared" ref="K2097:K2100" si="382">HYPERLINK("https://mobile.twitter.com","Twitter Web App")</f>
        <v>Twitter Web App</v>
      </c>
      <c r="L2097" s="15">
        <v>101</v>
      </c>
      <c r="M2097" s="15">
        <v>142</v>
      </c>
      <c r="N2097" s="15">
        <v>1</v>
      </c>
      <c r="O2097" s="9"/>
      <c r="P2097" s="10">
        <v>44075.047534722224</v>
      </c>
      <c r="Q2097" s="14" t="s">
        <v>623</v>
      </c>
      <c r="R2097" s="14" t="s">
        <v>4322</v>
      </c>
      <c r="S2097" s="8"/>
      <c r="T2097" s="8"/>
      <c r="U2097" s="11" t="str">
        <f>HYPERLINK("https://pbs.twimg.com/profile_images/1300571380098850818/YjKI8L9l.jpg","View")</f>
        <v>View</v>
      </c>
      <c r="V2097" s="8"/>
      <c r="W2097" s="8"/>
      <c r="X2097" s="8"/>
      <c r="Y2097" s="8"/>
      <c r="Z2097" s="8"/>
    </row>
    <row r="2098" spans="1:26" ht="13.2">
      <c r="A2098" s="13">
        <v>44250.121504629627</v>
      </c>
      <c r="B2098" s="6" t="str">
        <f>HYPERLINK("https://twitter.com/sivarajTweets","@sivarajTweets")</f>
        <v>@sivarajTweets</v>
      </c>
      <c r="C2098" s="14" t="s">
        <v>8339</v>
      </c>
      <c r="D2098" s="14" t="s">
        <v>8340</v>
      </c>
      <c r="E2098" s="6" t="str">
        <f>HYPERLINK("https://twitter.com/sivarajTweets/status/1364030961701195778","1364030961701195778")</f>
        <v>1364030961701195778</v>
      </c>
      <c r="F2098" s="7" t="s">
        <v>8341</v>
      </c>
      <c r="G2098" s="8"/>
      <c r="H2098" s="8"/>
      <c r="I2098" s="14">
        <v>1</v>
      </c>
      <c r="J2098" s="14">
        <v>0</v>
      </c>
      <c r="K2098" s="6" t="str">
        <f t="shared" si="382"/>
        <v>Twitter Web App</v>
      </c>
      <c r="L2098" s="15">
        <v>488</v>
      </c>
      <c r="M2098" s="15">
        <v>1017</v>
      </c>
      <c r="N2098" s="15">
        <v>150</v>
      </c>
      <c r="O2098" s="9"/>
      <c r="P2098" s="10">
        <v>40333.236597222218</v>
      </c>
      <c r="Q2098" s="14" t="s">
        <v>364</v>
      </c>
      <c r="R2098" s="14" t="s">
        <v>8342</v>
      </c>
      <c r="S2098" s="8"/>
      <c r="T2098" s="8"/>
      <c r="U2098" s="11" t="str">
        <f>HYPERLINK("https://pbs.twimg.com/profile_images/1024009273335013376/myPwa1HC.jpg","View")</f>
        <v>View</v>
      </c>
      <c r="V2098" s="8"/>
      <c r="W2098" s="8"/>
      <c r="X2098" s="8"/>
      <c r="Y2098" s="8"/>
      <c r="Z2098" s="8"/>
    </row>
    <row r="2099" spans="1:26" ht="13.2">
      <c r="A2099" s="13">
        <v>44250.120972222227</v>
      </c>
      <c r="B2099" s="6" t="str">
        <f>HYPERLINK("https://twitter.com/Python_Dv","@Python_Dv")</f>
        <v>@Python_Dv</v>
      </c>
      <c r="C2099" s="14" t="s">
        <v>8343</v>
      </c>
      <c r="D2099" s="14" t="s">
        <v>8344</v>
      </c>
      <c r="E2099" s="6" t="str">
        <f>HYPERLINK("https://twitter.com/Python_Dv/status/1364030767630753802","1364030767630753802")</f>
        <v>1364030767630753802</v>
      </c>
      <c r="F2099" s="7" t="s">
        <v>8345</v>
      </c>
      <c r="G2099" s="8"/>
      <c r="H2099" s="8"/>
      <c r="I2099" s="14">
        <v>7</v>
      </c>
      <c r="J2099" s="14">
        <v>7</v>
      </c>
      <c r="K2099" s="6" t="str">
        <f t="shared" si="382"/>
        <v>Twitter Web App</v>
      </c>
      <c r="L2099" s="15">
        <v>4311</v>
      </c>
      <c r="M2099" s="15">
        <v>1125</v>
      </c>
      <c r="N2099" s="15">
        <v>73</v>
      </c>
      <c r="O2099" s="9"/>
      <c r="P2099" s="10">
        <v>42538.59878472222</v>
      </c>
      <c r="Q2099" s="14" t="s">
        <v>322</v>
      </c>
      <c r="R2099" s="14" t="s">
        <v>8346</v>
      </c>
      <c r="S2099" s="7" t="s">
        <v>2310</v>
      </c>
      <c r="T2099" s="8"/>
      <c r="U2099" s="11" t="str">
        <f>HYPERLINK("https://pbs.twimg.com/profile_images/842358957997883392/59-UQhVS.jpg","View")</f>
        <v>View</v>
      </c>
      <c r="V2099" s="8"/>
      <c r="W2099" s="8"/>
      <c r="X2099" s="8"/>
      <c r="Y2099" s="8"/>
      <c r="Z2099" s="8"/>
    </row>
    <row r="2100" spans="1:26" ht="13.2">
      <c r="A2100" s="13">
        <v>44250.120046296295</v>
      </c>
      <c r="B2100" s="6" t="str">
        <f>HYPERLINK("https://twitter.com/MLAucklandUni","@MLAucklandUni")</f>
        <v>@MLAucklandUni</v>
      </c>
      <c r="C2100" s="14" t="s">
        <v>8347</v>
      </c>
      <c r="D2100" s="14" t="s">
        <v>8348</v>
      </c>
      <c r="E2100" s="6" t="str">
        <f>HYPERLINK("https://twitter.com/MLAucklandUni/status/1364030435580239878","1364030435580239878")</f>
        <v>1364030435580239878</v>
      </c>
      <c r="F2100" s="7" t="s">
        <v>8349</v>
      </c>
      <c r="G2100" s="8"/>
      <c r="H2100" s="8"/>
      <c r="I2100" s="14">
        <v>4</v>
      </c>
      <c r="J2100" s="14">
        <v>2</v>
      </c>
      <c r="K2100" s="6" t="str">
        <f t="shared" si="382"/>
        <v>Twitter Web App</v>
      </c>
      <c r="L2100" s="15">
        <v>77</v>
      </c>
      <c r="M2100" s="15">
        <v>42</v>
      </c>
      <c r="N2100" s="15">
        <v>0</v>
      </c>
      <c r="O2100" s="9"/>
      <c r="P2100" s="10">
        <v>43928.365810185191</v>
      </c>
      <c r="Q2100" s="14" t="s">
        <v>8350</v>
      </c>
      <c r="R2100" s="14" t="s">
        <v>8351</v>
      </c>
      <c r="S2100" s="7" t="s">
        <v>8352</v>
      </c>
      <c r="T2100" s="8"/>
      <c r="U2100" s="11" t="str">
        <f>HYPERLINK("https://pbs.twimg.com/profile_images/1250920952138854400/b0zpmb9i.jpg","View")</f>
        <v>View</v>
      </c>
      <c r="V2100" s="8"/>
      <c r="W2100" s="8"/>
      <c r="X2100" s="8"/>
      <c r="Y2100" s="8"/>
      <c r="Z2100" s="8"/>
    </row>
    <row r="2101" spans="1:26" ht="13.2">
      <c r="A2101" s="13">
        <v>44250.119143518517</v>
      </c>
      <c r="B2101" s="6" t="str">
        <f>HYPERLINK("https://twitter.com/Superdigital9","@Superdigital9")</f>
        <v>@Superdigital9</v>
      </c>
      <c r="C2101" s="14" t="s">
        <v>4132</v>
      </c>
      <c r="D2101" s="14" t="s">
        <v>8353</v>
      </c>
      <c r="E2101" s="6" t="str">
        <f>HYPERLINK("https://twitter.com/Superdigital9/status/1364030105090224128","1364030105090224128")</f>
        <v>1364030105090224128</v>
      </c>
      <c r="F2101" s="14" t="s">
        <v>8354</v>
      </c>
      <c r="G2101" s="8"/>
      <c r="H2101" s="8"/>
      <c r="I2101" s="14">
        <v>1</v>
      </c>
      <c r="J2101" s="14">
        <v>0</v>
      </c>
      <c r="K2101" s="6" t="str">
        <f>HYPERLINK("http://twinybots.com","TwinyBots")</f>
        <v>TwinyBots</v>
      </c>
      <c r="L2101" s="15">
        <v>796</v>
      </c>
      <c r="M2101" s="15">
        <v>1112</v>
      </c>
      <c r="N2101" s="15">
        <v>11</v>
      </c>
      <c r="O2101" s="9"/>
      <c r="P2101" s="10">
        <v>43821.75409722222</v>
      </c>
      <c r="Q2101" s="14" t="s">
        <v>3176</v>
      </c>
      <c r="R2101" s="14" t="s">
        <v>4135</v>
      </c>
      <c r="S2101" s="7" t="s">
        <v>4136</v>
      </c>
      <c r="T2101" s="8"/>
      <c r="U2101" s="11" t="str">
        <f>HYPERLINK("https://pbs.twimg.com/profile_images/1208795846831067138/cpdkWTEq.jpg","View")</f>
        <v>View</v>
      </c>
      <c r="V2101" s="8"/>
      <c r="W2101" s="8"/>
      <c r="X2101" s="8"/>
      <c r="Y2101" s="8"/>
      <c r="Z2101" s="8"/>
    </row>
    <row r="2102" spans="1:26" ht="13.2">
      <c r="A2102" s="13">
        <v>44250.118842592594</v>
      </c>
      <c r="B2102" s="6" t="str">
        <f>HYPERLINK("https://twitter.com/sivarajTweets","@sivarajTweets")</f>
        <v>@sivarajTweets</v>
      </c>
      <c r="C2102" s="14" t="s">
        <v>8339</v>
      </c>
      <c r="D2102" s="14" t="s">
        <v>8355</v>
      </c>
      <c r="E2102" s="6" t="str">
        <f>HYPERLINK("https://twitter.com/sivarajTweets/status/1364029997980086272","1364029997980086272")</f>
        <v>1364029997980086272</v>
      </c>
      <c r="F2102" s="7" t="s">
        <v>7756</v>
      </c>
      <c r="G2102" s="8"/>
      <c r="H2102" s="8"/>
      <c r="I2102" s="14">
        <v>4</v>
      </c>
      <c r="J2102" s="14">
        <v>0</v>
      </c>
      <c r="K2102" s="6" t="str">
        <f>HYPERLINK("https://mobile.twitter.com","Twitter Web App")</f>
        <v>Twitter Web App</v>
      </c>
      <c r="L2102" s="15">
        <v>488</v>
      </c>
      <c r="M2102" s="15">
        <v>1017</v>
      </c>
      <c r="N2102" s="15">
        <v>150</v>
      </c>
      <c r="O2102" s="9"/>
      <c r="P2102" s="10">
        <v>40333.236597222218</v>
      </c>
      <c r="Q2102" s="14" t="s">
        <v>364</v>
      </c>
      <c r="R2102" s="14" t="s">
        <v>8342</v>
      </c>
      <c r="S2102" s="8"/>
      <c r="T2102" s="8"/>
      <c r="U2102" s="11" t="str">
        <f>HYPERLINK("https://pbs.twimg.com/profile_images/1024009273335013376/myPwa1HC.jpg","View")</f>
        <v>View</v>
      </c>
      <c r="V2102" s="8"/>
      <c r="W2102" s="8"/>
      <c r="X2102" s="8"/>
      <c r="Y2102" s="8"/>
      <c r="Z2102" s="8"/>
    </row>
    <row r="2103" spans="1:26" ht="13.2">
      <c r="A2103" s="13">
        <v>44250.118229166663</v>
      </c>
      <c r="B2103" s="6" t="str">
        <f>HYPERLINK("https://twitter.com/Sheraj99","@Sheraj99")</f>
        <v>@Sheraj99</v>
      </c>
      <c r="C2103" s="14" t="s">
        <v>4576</v>
      </c>
      <c r="D2103" s="14" t="s">
        <v>8356</v>
      </c>
      <c r="E2103" s="6" t="str">
        <f>HYPERLINK("https://twitter.com/Sheraj99/status/1364029775254335489","1364029775254335489")</f>
        <v>1364029775254335489</v>
      </c>
      <c r="F2103" s="7" t="s">
        <v>8357</v>
      </c>
      <c r="G2103" s="8"/>
      <c r="H2103" s="8"/>
      <c r="I2103" s="14">
        <v>28</v>
      </c>
      <c r="J2103" s="14">
        <v>12</v>
      </c>
      <c r="K2103" s="6" t="str">
        <f>HYPERLINK("http://twitter.com/download/iphone","Twitter for iPhone")</f>
        <v>Twitter for iPhone</v>
      </c>
      <c r="L2103" s="15">
        <v>288</v>
      </c>
      <c r="M2103" s="15">
        <v>92</v>
      </c>
      <c r="N2103" s="15">
        <v>3</v>
      </c>
      <c r="O2103" s="9"/>
      <c r="P2103" s="10">
        <v>40621.211805555555</v>
      </c>
      <c r="Q2103" s="14" t="s">
        <v>696</v>
      </c>
      <c r="R2103" s="14" t="s">
        <v>4579</v>
      </c>
      <c r="S2103" s="8"/>
      <c r="T2103" s="8"/>
      <c r="U2103" s="11" t="str">
        <f>HYPERLINK("https://pbs.twimg.com/profile_images/1258879283877105664/_UZhqUDu.jpg","View")</f>
        <v>View</v>
      </c>
      <c r="V2103" s="8"/>
      <c r="W2103" s="8"/>
      <c r="X2103" s="8"/>
      <c r="Y2103" s="8"/>
      <c r="Z2103" s="8"/>
    </row>
    <row r="2104" spans="1:26" ht="13.2">
      <c r="A2104" s="13">
        <v>44250.118078703701</v>
      </c>
      <c r="B2104" s="6" t="str">
        <f>HYPERLINK("https://twitter.com/stanford__ai","@stanford__ai")</f>
        <v>@stanford__ai</v>
      </c>
      <c r="C2104" s="14" t="s">
        <v>475</v>
      </c>
      <c r="D2104" s="14" t="s">
        <v>8358</v>
      </c>
      <c r="E2104" s="6" t="str">
        <f>HYPERLINK("https://twitter.com/stanford__ai/status/1364029722297069570","1364029722297069570")</f>
        <v>1364029722297069570</v>
      </c>
      <c r="F2104" s="7" t="s">
        <v>8359</v>
      </c>
      <c r="G2104" s="8"/>
      <c r="H2104" s="8"/>
      <c r="I2104" s="14">
        <v>1</v>
      </c>
      <c r="J2104" s="14">
        <v>0</v>
      </c>
      <c r="K2104" s="6" t="str">
        <f>HYPERLINK("https://ifttt.com","IFTTT")</f>
        <v>IFTTT</v>
      </c>
      <c r="L2104" s="15">
        <v>928</v>
      </c>
      <c r="M2104" s="15">
        <v>1487</v>
      </c>
      <c r="N2104" s="15">
        <v>20</v>
      </c>
      <c r="O2104" s="9"/>
      <c r="P2104" s="10">
        <v>43558.915891203702</v>
      </c>
      <c r="Q2104" s="14" t="s">
        <v>478</v>
      </c>
      <c r="R2104" s="14" t="s">
        <v>479</v>
      </c>
      <c r="S2104" s="7" t="s">
        <v>480</v>
      </c>
      <c r="T2104" s="8"/>
      <c r="U2104" s="11" t="str">
        <f>HYPERLINK("https://pbs.twimg.com/profile_images/1113531441625935878/OR4W_sLY.jpg","View")</f>
        <v>View</v>
      </c>
      <c r="V2104" s="8"/>
      <c r="W2104" s="8"/>
      <c r="X2104" s="8"/>
      <c r="Y2104" s="8"/>
      <c r="Z2104" s="8"/>
    </row>
    <row r="2105" spans="1:26" ht="13.2">
      <c r="A2105" s="13">
        <v>44250.116932870369</v>
      </c>
      <c r="B2105" s="6" t="str">
        <f>HYPERLINK("https://twitter.com/MargieRamosTO","@MargieRamosTO")</f>
        <v>@MargieRamosTO</v>
      </c>
      <c r="C2105" s="14" t="s">
        <v>8360</v>
      </c>
      <c r="D2105" s="14" t="s">
        <v>8361</v>
      </c>
      <c r="E2105" s="6" t="str">
        <f>HYPERLINK("https://twitter.com/MargieRamosTO/status/1364029305706135553","1364029305706135553")</f>
        <v>1364029305706135553</v>
      </c>
      <c r="F2105" s="8"/>
      <c r="G2105" s="8"/>
      <c r="H2105" s="8"/>
      <c r="I2105" s="14">
        <v>2</v>
      </c>
      <c r="J2105" s="14">
        <v>1</v>
      </c>
      <c r="K2105" s="6" t="str">
        <f>HYPERLINK("http://twitter.com/download/iphone","Twitter for iPhone")</f>
        <v>Twitter for iPhone</v>
      </c>
      <c r="L2105" s="15">
        <v>265</v>
      </c>
      <c r="M2105" s="15">
        <v>1298</v>
      </c>
      <c r="N2105" s="15">
        <v>10</v>
      </c>
      <c r="O2105" s="9"/>
      <c r="P2105" s="10">
        <v>41118.112766203703</v>
      </c>
      <c r="Q2105" s="14" t="s">
        <v>696</v>
      </c>
      <c r="R2105" s="14" t="s">
        <v>8362</v>
      </c>
      <c r="S2105" s="7" t="s">
        <v>8363</v>
      </c>
      <c r="T2105" s="8"/>
      <c r="U2105" s="11" t="str">
        <f>HYPERLINK("https://pbs.twimg.com/profile_images/1362809405469827079/E753epIk.jpg","View")</f>
        <v>View</v>
      </c>
      <c r="V2105" s="8"/>
      <c r="W2105" s="8"/>
      <c r="X2105" s="8"/>
      <c r="Y2105" s="8"/>
      <c r="Z2105" s="8"/>
    </row>
    <row r="2106" spans="1:26" ht="13.2">
      <c r="A2106" s="13">
        <v>44250.115254629629</v>
      </c>
      <c r="B2106" s="6" t="str">
        <f>HYPERLINK("https://twitter.com/anilmshanbhag","@anilmshanbhag")</f>
        <v>@anilmshanbhag</v>
      </c>
      <c r="C2106" s="14" t="s">
        <v>808</v>
      </c>
      <c r="D2106" s="14" t="s">
        <v>8364</v>
      </c>
      <c r="E2106" s="6" t="str">
        <f>HYPERLINK("https://twitter.com/anilmshanbhag/status/1364028696399667201","1364028696399667201")</f>
        <v>1364028696399667201</v>
      </c>
      <c r="F2106" s="7" t="s">
        <v>8365</v>
      </c>
      <c r="G2106" s="7" t="s">
        <v>8366</v>
      </c>
      <c r="H2106" s="8"/>
      <c r="I2106" s="14">
        <v>0</v>
      </c>
      <c r="J2106" s="14">
        <v>2</v>
      </c>
      <c r="K2106" s="6" t="str">
        <f>HYPERLINK("https://mobile.twitter.com","Twitter Web App")</f>
        <v>Twitter Web App</v>
      </c>
      <c r="L2106" s="15">
        <v>178</v>
      </c>
      <c r="M2106" s="15">
        <v>173</v>
      </c>
      <c r="N2106" s="15">
        <v>0</v>
      </c>
      <c r="O2106" s="9"/>
      <c r="P2106" s="10">
        <v>43840.638935185183</v>
      </c>
      <c r="Q2106" s="14" t="s">
        <v>811</v>
      </c>
      <c r="R2106" s="14" t="s">
        <v>812</v>
      </c>
      <c r="S2106" s="7" t="s">
        <v>813</v>
      </c>
      <c r="T2106" s="8"/>
      <c r="U2106" s="11" t="str">
        <f>HYPERLINK("https://pbs.twimg.com/profile_images/1353085925908209667/mzY1sPuT.jpg","View")</f>
        <v>View</v>
      </c>
      <c r="V2106" s="8"/>
      <c r="W2106" s="8"/>
      <c r="X2106" s="8"/>
      <c r="Y2106" s="8"/>
      <c r="Z2106" s="8"/>
    </row>
    <row r="2107" spans="1:26" ht="13.2">
      <c r="A2107" s="13">
        <v>44250.114606481482</v>
      </c>
      <c r="B2107" s="6" t="str">
        <f>HYPERLINK("https://twitter.com/SpirosMargaris","@SpirosMargaris")</f>
        <v>@SpirosMargaris</v>
      </c>
      <c r="C2107" s="14" t="s">
        <v>3558</v>
      </c>
      <c r="D2107" s="14" t="s">
        <v>8367</v>
      </c>
      <c r="E2107" s="6" t="str">
        <f>HYPERLINK("https://twitter.com/SpirosMargaris/status/1364028462235869184","1364028462235869184")</f>
        <v>1364028462235869184</v>
      </c>
      <c r="F2107" s="7" t="s">
        <v>8368</v>
      </c>
      <c r="G2107" s="7" t="s">
        <v>8369</v>
      </c>
      <c r="H2107" s="8"/>
      <c r="I2107" s="14">
        <v>6</v>
      </c>
      <c r="J2107" s="14">
        <v>4</v>
      </c>
      <c r="K2107" s="6" t="str">
        <f>HYPERLINK("https://buffer.com","Buffer")</f>
        <v>Buffer</v>
      </c>
      <c r="L2107" s="15">
        <v>107389</v>
      </c>
      <c r="M2107" s="15">
        <v>15890</v>
      </c>
      <c r="N2107" s="15">
        <v>5693</v>
      </c>
      <c r="O2107" s="15" t="s">
        <v>130</v>
      </c>
      <c r="P2107" s="10">
        <v>41857.30574074074</v>
      </c>
      <c r="Q2107" s="14" t="s">
        <v>3562</v>
      </c>
      <c r="R2107" s="14" t="s">
        <v>3563</v>
      </c>
      <c r="S2107" s="7" t="s">
        <v>3564</v>
      </c>
      <c r="T2107" s="8"/>
      <c r="U2107" s="11" t="str">
        <f>HYPERLINK("https://pbs.twimg.com/profile_images/1346443960986775553/TGeiH97s.jpg","View")</f>
        <v>View</v>
      </c>
      <c r="V2107" s="8"/>
      <c r="W2107" s="8"/>
      <c r="X2107" s="8"/>
      <c r="Y2107" s="8"/>
      <c r="Z2107" s="8"/>
    </row>
    <row r="2108" spans="1:26" ht="13.2">
      <c r="A2108" s="13">
        <v>44250.114317129628</v>
      </c>
      <c r="B2108" s="6" t="str">
        <f>HYPERLINK("https://twitter.com/PrintableEtsy","@PrintableEtsy")</f>
        <v>@PrintableEtsy</v>
      </c>
      <c r="C2108" s="14" t="s">
        <v>5752</v>
      </c>
      <c r="D2108" s="14" t="s">
        <v>1639</v>
      </c>
      <c r="E2108" s="6" t="str">
        <f>HYPERLINK("https://twitter.com/PrintableEtsy/status/1364028358535831556","1364028358535831556")</f>
        <v>1364028358535831556</v>
      </c>
      <c r="F2108" s="14" t="s">
        <v>1640</v>
      </c>
      <c r="G2108" s="8"/>
      <c r="H2108" s="8"/>
      <c r="I2108" s="14">
        <v>29</v>
      </c>
      <c r="J2108" s="14">
        <v>16</v>
      </c>
      <c r="K2108" s="6" t="str">
        <f t="shared" ref="K2108:K2109" si="383">HYPERLINK("http://twinybots.com","TwinyBots")</f>
        <v>TwinyBots</v>
      </c>
      <c r="L2108" s="15">
        <v>302</v>
      </c>
      <c r="M2108" s="15">
        <v>705</v>
      </c>
      <c r="N2108" s="15">
        <v>7</v>
      </c>
      <c r="O2108" s="9"/>
      <c r="P2108" s="10">
        <v>43319.598854166667</v>
      </c>
      <c r="Q2108" s="14" t="s">
        <v>5754</v>
      </c>
      <c r="R2108" s="14" t="s">
        <v>5755</v>
      </c>
      <c r="S2108" s="7" t="s">
        <v>5756</v>
      </c>
      <c r="T2108" s="8"/>
      <c r="U2108" s="11" t="str">
        <f>HYPERLINK("https://pbs.twimg.com/profile_images/1329742869914136582/sVdyU9dn.jpg","View")</f>
        <v>View</v>
      </c>
      <c r="V2108" s="8"/>
      <c r="W2108" s="8"/>
      <c r="X2108" s="8"/>
      <c r="Y2108" s="8"/>
      <c r="Z2108" s="8"/>
    </row>
    <row r="2109" spans="1:26" ht="13.2">
      <c r="A2109" s="13">
        <v>44250.114317129628</v>
      </c>
      <c r="B2109" s="6" t="str">
        <f>HYPERLINK("https://twitter.com/cornichecorp","@cornichecorp")</f>
        <v>@cornichecorp</v>
      </c>
      <c r="C2109" s="14" t="s">
        <v>2271</v>
      </c>
      <c r="D2109" s="14" t="s">
        <v>2495</v>
      </c>
      <c r="E2109" s="6" t="str">
        <f>HYPERLINK("https://twitter.com/cornichecorp/status/1364028358493896706","1364028358493896706")</f>
        <v>1364028358493896706</v>
      </c>
      <c r="F2109" s="14" t="s">
        <v>2496</v>
      </c>
      <c r="G2109" s="8"/>
      <c r="H2109" s="8"/>
      <c r="I2109" s="14">
        <v>2</v>
      </c>
      <c r="J2109" s="14">
        <v>0</v>
      </c>
      <c r="K2109" s="6" t="str">
        <f t="shared" si="383"/>
        <v>TwinyBots</v>
      </c>
      <c r="L2109" s="15">
        <v>2349</v>
      </c>
      <c r="M2109" s="15">
        <v>2163</v>
      </c>
      <c r="N2109" s="15">
        <v>30</v>
      </c>
      <c r="O2109" s="9"/>
      <c r="P2109" s="10">
        <v>42246.917499999996</v>
      </c>
      <c r="Q2109" s="14" t="s">
        <v>2274</v>
      </c>
      <c r="R2109" s="14" t="s">
        <v>2275</v>
      </c>
      <c r="S2109" s="8"/>
      <c r="T2109" s="8"/>
      <c r="U2109" s="11" t="str">
        <f>HYPERLINK("https://pbs.twimg.com/profile_images/1135863200396775424/vPe8Htor.png","View")</f>
        <v>View</v>
      </c>
      <c r="V2109" s="8"/>
      <c r="W2109" s="8"/>
      <c r="X2109" s="8"/>
      <c r="Y2109" s="8"/>
      <c r="Z2109" s="8"/>
    </row>
    <row r="2110" spans="1:26" ht="13.2">
      <c r="A2110" s="13">
        <v>44250.114166666666</v>
      </c>
      <c r="B2110" s="6" t="str">
        <f>HYPERLINK("https://twitter.com/HeliodoroSantos","@HeliodoroSantos")</f>
        <v>@HeliodoroSantos</v>
      </c>
      <c r="C2110" s="14" t="s">
        <v>8159</v>
      </c>
      <c r="D2110" s="14" t="s">
        <v>8370</v>
      </c>
      <c r="E2110" s="6" t="str">
        <f>HYPERLINK("https://twitter.com/HeliodoroSantos/status/1364028304542507008","1364028304542507008")</f>
        <v>1364028304542507008</v>
      </c>
      <c r="F2110" s="8"/>
      <c r="G2110" s="7" t="s">
        <v>8371</v>
      </c>
      <c r="H2110" s="8"/>
      <c r="I2110" s="14">
        <v>6</v>
      </c>
      <c r="J2110" s="14">
        <v>1</v>
      </c>
      <c r="K2110" s="6" t="str">
        <f>HYPERLINK("https://www.heliosantos.org","pyt1")</f>
        <v>pyt1</v>
      </c>
      <c r="L2110" s="15">
        <v>280</v>
      </c>
      <c r="M2110" s="15">
        <v>769</v>
      </c>
      <c r="N2110" s="15">
        <v>6</v>
      </c>
      <c r="O2110" s="9"/>
      <c r="P2110" s="10">
        <v>40610.833437499998</v>
      </c>
      <c r="Q2110" s="14" t="s">
        <v>8162</v>
      </c>
      <c r="R2110" s="8"/>
      <c r="S2110" s="7" t="s">
        <v>8163</v>
      </c>
      <c r="T2110" s="8"/>
      <c r="U2110" s="11" t="str">
        <f>HYPERLINK("https://pbs.twimg.com/profile_images/1242256799715037185/YzdNmVH9.jpg","View")</f>
        <v>View</v>
      </c>
      <c r="V2110" s="8"/>
      <c r="W2110" s="8"/>
      <c r="X2110" s="8"/>
      <c r="Y2110" s="8"/>
      <c r="Z2110" s="8"/>
    </row>
    <row r="2111" spans="1:26" ht="13.2">
      <c r="A2111" s="13">
        <v>44250.11336805555</v>
      </c>
      <c r="B2111" s="6" t="str">
        <f>HYPERLINK("https://twitter.com/mlmemoirs","@mlmemoirs")</f>
        <v>@mlmemoirs</v>
      </c>
      <c r="C2111" s="14" t="s">
        <v>577</v>
      </c>
      <c r="D2111" s="14" t="s">
        <v>8358</v>
      </c>
      <c r="E2111" s="6" t="str">
        <f>HYPERLINK("https://twitter.com/mlmemoirs/status/1364028015580246016","1364028015580246016")</f>
        <v>1364028015580246016</v>
      </c>
      <c r="F2111" s="7" t="s">
        <v>8372</v>
      </c>
      <c r="G2111" s="8"/>
      <c r="H2111" s="8"/>
      <c r="I2111" s="14">
        <v>1</v>
      </c>
      <c r="J2111" s="14">
        <v>2</v>
      </c>
      <c r="K2111" s="6" t="str">
        <f>HYPERLINK("https://ifttt.com","IFTTT")</f>
        <v>IFTTT</v>
      </c>
      <c r="L2111" s="15">
        <v>1674</v>
      </c>
      <c r="M2111" s="15">
        <v>2216</v>
      </c>
      <c r="N2111" s="15">
        <v>30</v>
      </c>
      <c r="O2111" s="9"/>
      <c r="P2111" s="10">
        <v>43238.970069444447</v>
      </c>
      <c r="Q2111" s="14" t="s">
        <v>478</v>
      </c>
      <c r="R2111" s="14" t="s">
        <v>579</v>
      </c>
      <c r="S2111" s="8"/>
      <c r="T2111" s="8"/>
      <c r="U2111" s="11" t="str">
        <f>HYPERLINK("https://pbs.twimg.com/profile_images/1050964116729413637/Q5tLLPAf.jpg","View")</f>
        <v>View</v>
      </c>
      <c r="V2111" s="8"/>
      <c r="W2111" s="8"/>
      <c r="X2111" s="8"/>
      <c r="Y2111" s="8"/>
      <c r="Z2111" s="8"/>
    </row>
    <row r="2112" spans="1:26" ht="13.2">
      <c r="A2112" s="13">
        <v>44250.11310185185</v>
      </c>
      <c r="B2112" s="6" t="str">
        <f>HYPERLINK("https://twitter.com/DebateLover","@DebateLover")</f>
        <v>@DebateLover</v>
      </c>
      <c r="C2112" s="14" t="s">
        <v>8373</v>
      </c>
      <c r="D2112" s="14" t="s">
        <v>8374</v>
      </c>
      <c r="E2112" s="6" t="str">
        <f>HYPERLINK("https://twitter.com/DebateLover/status/1364027917831839745","1364027917831839745")</f>
        <v>1364027917831839745</v>
      </c>
      <c r="F2112" s="14" t="s">
        <v>8375</v>
      </c>
      <c r="G2112" s="8"/>
      <c r="H2112" s="8"/>
      <c r="I2112" s="14">
        <v>4</v>
      </c>
      <c r="J2112" s="14">
        <v>3</v>
      </c>
      <c r="K2112" s="6" t="str">
        <f t="shared" ref="K2112:K2113" si="384">HYPERLINK("https://mobile.twitter.com","Twitter Web App")</f>
        <v>Twitter Web App</v>
      </c>
      <c r="L2112" s="15">
        <v>532</v>
      </c>
      <c r="M2112" s="15">
        <v>399</v>
      </c>
      <c r="N2112" s="15">
        <v>14</v>
      </c>
      <c r="O2112" s="9"/>
      <c r="P2112" s="10">
        <v>40294.418877314813</v>
      </c>
      <c r="Q2112" s="14" t="s">
        <v>390</v>
      </c>
      <c r="R2112" s="14" t="s">
        <v>8376</v>
      </c>
      <c r="S2112" s="8"/>
      <c r="T2112" s="8"/>
      <c r="U2112" s="11" t="str">
        <f>HYPERLINK("https://pbs.twimg.com/profile_images/909707534902083585/ZpfCnbjx.jpg","View")</f>
        <v>View</v>
      </c>
      <c r="V2112" s="8"/>
      <c r="W2112" s="8"/>
      <c r="X2112" s="8"/>
      <c r="Y2112" s="8"/>
      <c r="Z2112" s="8"/>
    </row>
    <row r="2113" spans="1:26" ht="13.2">
      <c r="A2113" s="13">
        <v>44250.112939814819</v>
      </c>
      <c r="B2113" s="6" t="str">
        <f>HYPERLINK("https://twitter.com/AremDzemal","@AremDzemal")</f>
        <v>@AremDzemal</v>
      </c>
      <c r="C2113" s="14" t="s">
        <v>5770</v>
      </c>
      <c r="D2113" s="14" t="s">
        <v>8377</v>
      </c>
      <c r="E2113" s="6" t="str">
        <f>HYPERLINK("https://twitter.com/AremDzemal/status/1364027857182347267","1364027857182347267")</f>
        <v>1364027857182347267</v>
      </c>
      <c r="F2113" s="7" t="s">
        <v>8378</v>
      </c>
      <c r="G2113" s="7" t="s">
        <v>8379</v>
      </c>
      <c r="H2113" s="8"/>
      <c r="I2113" s="14">
        <v>1</v>
      </c>
      <c r="J2113" s="14">
        <v>0</v>
      </c>
      <c r="K2113" s="6" t="str">
        <f t="shared" si="384"/>
        <v>Twitter Web App</v>
      </c>
      <c r="L2113" s="15">
        <v>1592</v>
      </c>
      <c r="M2113" s="15">
        <v>1775</v>
      </c>
      <c r="N2113" s="15">
        <v>16</v>
      </c>
      <c r="O2113" s="9"/>
      <c r="P2113" s="10">
        <v>43513.969027777777</v>
      </c>
      <c r="Q2113" s="14" t="s">
        <v>3596</v>
      </c>
      <c r="R2113" s="14" t="s">
        <v>5774</v>
      </c>
      <c r="S2113" s="8"/>
      <c r="T2113" s="8"/>
      <c r="U2113" s="11" t="str">
        <f>HYPERLINK("https://pbs.twimg.com/profile_images/1097261547213213701/8Pl01wLU.jpg","View")</f>
        <v>View</v>
      </c>
      <c r="V2113" s="8"/>
      <c r="W2113" s="8"/>
      <c r="X2113" s="8"/>
      <c r="Y2113" s="8"/>
      <c r="Z2113" s="8"/>
    </row>
    <row r="2114" spans="1:26" ht="13.2">
      <c r="A2114" s="13">
        <v>44250.112824074073</v>
      </c>
      <c r="B2114" s="6" t="str">
        <f>HYPERLINK("https://twitter.com/iamBrianGraham","@iamBrianGraham")</f>
        <v>@iamBrianGraham</v>
      </c>
      <c r="C2114" s="14" t="s">
        <v>4259</v>
      </c>
      <c r="D2114" s="14" t="s">
        <v>8380</v>
      </c>
      <c r="E2114" s="6" t="str">
        <f>HYPERLINK("https://twitter.com/iamBrianGraham/status/1364027818389159938","1364027818389159938")</f>
        <v>1364027818389159938</v>
      </c>
      <c r="F2114" s="8"/>
      <c r="G2114" s="7" t="s">
        <v>8381</v>
      </c>
      <c r="H2114" s="8"/>
      <c r="I2114" s="14">
        <v>2</v>
      </c>
      <c r="J2114" s="14">
        <v>2</v>
      </c>
      <c r="K2114" s="6" t="str">
        <f>HYPERLINK("https://bypeers.net","ByPeers Social CRM (1)")</f>
        <v>ByPeers Social CRM (1)</v>
      </c>
      <c r="L2114" s="15">
        <v>5759</v>
      </c>
      <c r="M2114" s="15">
        <v>4549</v>
      </c>
      <c r="N2114" s="15">
        <v>211</v>
      </c>
      <c r="O2114" s="9"/>
      <c r="P2114" s="10">
        <v>42570.927037037036</v>
      </c>
      <c r="Q2114" s="14" t="s">
        <v>4262</v>
      </c>
      <c r="R2114" s="14" t="s">
        <v>4263</v>
      </c>
      <c r="S2114" s="7" t="s">
        <v>4264</v>
      </c>
      <c r="T2114" s="8"/>
      <c r="U2114" s="11" t="str">
        <f>HYPERLINK("https://pbs.twimg.com/profile_images/1099684609703510017/zcsjRYt2.png","View")</f>
        <v>View</v>
      </c>
      <c r="V2114" s="8"/>
      <c r="W2114" s="8"/>
      <c r="X2114" s="8"/>
      <c r="Y2114" s="8"/>
      <c r="Z2114" s="8"/>
    </row>
    <row r="2115" spans="1:26" ht="13.2">
      <c r="A2115" s="13">
        <v>44250.111851851849</v>
      </c>
      <c r="B2115" s="6" t="str">
        <f>HYPERLINK("https://twitter.com/AnnetteSophonie","@AnnetteSophonie")</f>
        <v>@AnnetteSophonie</v>
      </c>
      <c r="C2115" s="14" t="s">
        <v>2177</v>
      </c>
      <c r="D2115" s="14" t="s">
        <v>8382</v>
      </c>
      <c r="E2115" s="6" t="str">
        <f>HYPERLINK("https://twitter.com/AnnetteSophonie/status/1364027462947020800","1364027462947020800")</f>
        <v>1364027462947020800</v>
      </c>
      <c r="F2115" s="7" t="s">
        <v>8383</v>
      </c>
      <c r="G2115" s="7" t="s">
        <v>8384</v>
      </c>
      <c r="H2115" s="8"/>
      <c r="I2115" s="14">
        <v>4</v>
      </c>
      <c r="J2115" s="14">
        <v>1</v>
      </c>
      <c r="K2115" s="6" t="str">
        <f t="shared" ref="K2115:K2116" si="385">HYPERLINK("https://mobile.twitter.com","Twitter Web App")</f>
        <v>Twitter Web App</v>
      </c>
      <c r="L2115" s="15">
        <v>1254</v>
      </c>
      <c r="M2115" s="15">
        <v>1237</v>
      </c>
      <c r="N2115" s="15">
        <v>11</v>
      </c>
      <c r="O2115" s="9"/>
      <c r="P2115" s="10">
        <v>43514.004745370374</v>
      </c>
      <c r="Q2115" s="14" t="s">
        <v>2181</v>
      </c>
      <c r="R2115" s="14" t="s">
        <v>2182</v>
      </c>
      <c r="S2115" s="8"/>
      <c r="T2115" s="8"/>
      <c r="U2115" s="11" t="str">
        <f>HYPERLINK("https://pbs.twimg.com/profile_images/1097274157040128000/kbJdFYDd.jpg","View")</f>
        <v>View</v>
      </c>
      <c r="V2115" s="8"/>
      <c r="W2115" s="8"/>
      <c r="X2115" s="8"/>
      <c r="Y2115" s="8"/>
      <c r="Z2115" s="8"/>
    </row>
    <row r="2116" spans="1:26" ht="13.2">
      <c r="A2116" s="13">
        <v>44250.111307870371</v>
      </c>
      <c r="B2116" s="6" t="str">
        <f>HYPERLINK("https://twitter.com/ManyWorldsRD","@ManyWorldsRD")</f>
        <v>@ManyWorldsRD</v>
      </c>
      <c r="C2116" s="14" t="s">
        <v>8385</v>
      </c>
      <c r="D2116" s="14" t="s">
        <v>8386</v>
      </c>
      <c r="E2116" s="6" t="str">
        <f>HYPERLINK("https://twitter.com/ManyWorldsRD/status/1364027266158653448","1364027266158653448")</f>
        <v>1364027266158653448</v>
      </c>
      <c r="F2116" s="7" t="s">
        <v>8387</v>
      </c>
      <c r="G2116" s="7" t="s">
        <v>8388</v>
      </c>
      <c r="H2116" s="8"/>
      <c r="I2116" s="14">
        <v>1</v>
      </c>
      <c r="J2116" s="14">
        <v>0</v>
      </c>
      <c r="K2116" s="6" t="str">
        <f t="shared" si="385"/>
        <v>Twitter Web App</v>
      </c>
      <c r="L2116" s="15">
        <v>294</v>
      </c>
      <c r="M2116" s="15">
        <v>551</v>
      </c>
      <c r="N2116" s="15">
        <v>144</v>
      </c>
      <c r="O2116" s="9"/>
      <c r="P2116" s="10">
        <v>40547.995763888888</v>
      </c>
      <c r="Q2116" s="8"/>
      <c r="R2116" s="14" t="s">
        <v>8389</v>
      </c>
      <c r="S2116" s="7" t="s">
        <v>8390</v>
      </c>
      <c r="T2116" s="8"/>
      <c r="U2116" s="11" t="str">
        <f>HYPERLINK("https://pbs.twimg.com/profile_images/1258932807503675396/8d5_fZUi.jpg","View")</f>
        <v>View</v>
      </c>
      <c r="V2116" s="8"/>
      <c r="W2116" s="8"/>
      <c r="X2116" s="8"/>
      <c r="Y2116" s="8"/>
      <c r="Z2116" s="8"/>
    </row>
    <row r="2117" spans="1:26" ht="13.2">
      <c r="A2117" s="13">
        <v>44250.111203703702</v>
      </c>
      <c r="B2117" s="6" t="str">
        <f>HYPERLINK("https://twitter.com/HeliodoroSantos","@HeliodoroSantos")</f>
        <v>@HeliodoroSantos</v>
      </c>
      <c r="C2117" s="14" t="s">
        <v>8159</v>
      </c>
      <c r="D2117" s="14" t="s">
        <v>8391</v>
      </c>
      <c r="E2117" s="6" t="str">
        <f>HYPERLINK("https://twitter.com/HeliodoroSantos/status/1364027231194943489","1364027231194943489")</f>
        <v>1364027231194943489</v>
      </c>
      <c r="F2117" s="8"/>
      <c r="G2117" s="7" t="s">
        <v>8392</v>
      </c>
      <c r="H2117" s="8"/>
      <c r="I2117" s="14">
        <v>6</v>
      </c>
      <c r="J2117" s="14">
        <v>5</v>
      </c>
      <c r="K2117" s="6" t="str">
        <f>HYPERLINK("https://www.heliosantos.org","pyt1")</f>
        <v>pyt1</v>
      </c>
      <c r="L2117" s="15">
        <v>280</v>
      </c>
      <c r="M2117" s="15">
        <v>769</v>
      </c>
      <c r="N2117" s="15">
        <v>6</v>
      </c>
      <c r="O2117" s="9"/>
      <c r="P2117" s="10">
        <v>40610.833437499998</v>
      </c>
      <c r="Q2117" s="14" t="s">
        <v>8162</v>
      </c>
      <c r="R2117" s="8"/>
      <c r="S2117" s="7" t="s">
        <v>8163</v>
      </c>
      <c r="T2117" s="8"/>
      <c r="U2117" s="11" t="str">
        <f>HYPERLINK("https://pbs.twimg.com/profile_images/1242256799715037185/YzdNmVH9.jpg","View")</f>
        <v>View</v>
      </c>
      <c r="V2117" s="8"/>
      <c r="W2117" s="8"/>
      <c r="X2117" s="8"/>
      <c r="Y2117" s="8"/>
      <c r="Z2117" s="8"/>
    </row>
    <row r="2118" spans="1:26" ht="13.2">
      <c r="A2118" s="13">
        <v>44250.109444444446</v>
      </c>
      <c r="B2118" s="6" t="str">
        <f>HYPERLINK("https://twitter.com/QS2Point","@QS2Point")</f>
        <v>@QS2Point</v>
      </c>
      <c r="C2118" s="14" t="s">
        <v>8393</v>
      </c>
      <c r="D2118" s="14" t="s">
        <v>8394</v>
      </c>
      <c r="E2118" s="6" t="str">
        <f>HYPERLINK("https://twitter.com/QS2Point/status/1364026591941193729","1364026591941193729")</f>
        <v>1364026591941193729</v>
      </c>
      <c r="F2118" s="7" t="s">
        <v>8395</v>
      </c>
      <c r="G2118" s="7" t="s">
        <v>8396</v>
      </c>
      <c r="H2118" s="8"/>
      <c r="I2118" s="14">
        <v>5</v>
      </c>
      <c r="J2118" s="14">
        <v>1</v>
      </c>
      <c r="K2118" s="6" t="str">
        <f>HYPERLINK("https://buffer.com","Buffer")</f>
        <v>Buffer</v>
      </c>
      <c r="L2118" s="15">
        <v>1473</v>
      </c>
      <c r="M2118" s="15">
        <v>1964</v>
      </c>
      <c r="N2118" s="15">
        <v>178</v>
      </c>
      <c r="O2118" s="9"/>
      <c r="P2118" s="10">
        <v>42039.842638888891</v>
      </c>
      <c r="Q2118" s="14" t="s">
        <v>8397</v>
      </c>
      <c r="R2118" s="14" t="s">
        <v>8398</v>
      </c>
      <c r="S2118" s="7" t="s">
        <v>8399</v>
      </c>
      <c r="T2118" s="8"/>
      <c r="U2118" s="11" t="str">
        <f>HYPERLINK("https://pbs.twimg.com/profile_images/1362162825481900035/gtsVCJfO.jpg","View")</f>
        <v>View</v>
      </c>
      <c r="V2118" s="8"/>
      <c r="W2118" s="8"/>
      <c r="X2118" s="8"/>
      <c r="Y2118" s="8"/>
      <c r="Z2118" s="8"/>
    </row>
    <row r="2119" spans="1:26" ht="13.2">
      <c r="A2119" s="13">
        <v>44250.109270833331</v>
      </c>
      <c r="B2119" s="6" t="str">
        <f>HYPERLINK("https://twitter.com/Social_Molly","@Social_Molly")</f>
        <v>@Social_Molly</v>
      </c>
      <c r="C2119" s="14" t="s">
        <v>3631</v>
      </c>
      <c r="D2119" s="14" t="s">
        <v>8400</v>
      </c>
      <c r="E2119" s="6" t="str">
        <f>HYPERLINK("https://twitter.com/Social_Molly/status/1364026528506413057","1364026528506413057")</f>
        <v>1364026528506413057</v>
      </c>
      <c r="F2119" s="7" t="s">
        <v>8401</v>
      </c>
      <c r="G2119" s="7" t="s">
        <v>8402</v>
      </c>
      <c r="H2119" s="8"/>
      <c r="I2119" s="14">
        <v>3</v>
      </c>
      <c r="J2119" s="14">
        <v>0</v>
      </c>
      <c r="K2119" s="6" t="str">
        <f>HYPERLINK("https://mobile.twitter.com","Twitter Web App")</f>
        <v>Twitter Web App</v>
      </c>
      <c r="L2119" s="15">
        <v>12130</v>
      </c>
      <c r="M2119" s="15">
        <v>6463</v>
      </c>
      <c r="N2119" s="15">
        <v>103</v>
      </c>
      <c r="O2119" s="9"/>
      <c r="P2119" s="10">
        <v>43174.238796296297</v>
      </c>
      <c r="Q2119" s="14" t="s">
        <v>3635</v>
      </c>
      <c r="R2119" s="14" t="s">
        <v>3636</v>
      </c>
      <c r="S2119" s="8"/>
      <c r="T2119" s="8"/>
      <c r="U2119" s="11" t="str">
        <f>HYPERLINK("https://pbs.twimg.com/profile_images/981743224749408256/OTsOfujW.jpg","View")</f>
        <v>View</v>
      </c>
      <c r="V2119" s="8"/>
      <c r="W2119" s="8"/>
      <c r="X2119" s="8"/>
      <c r="Y2119" s="8"/>
      <c r="Z2119" s="8"/>
    </row>
    <row r="2120" spans="1:26" ht="13.2">
      <c r="A2120" s="13">
        <v>44250.10836805556</v>
      </c>
      <c r="B2120" s="6" t="str">
        <f>HYPERLINK("https://twitter.com/DrDataScientist","@DrDataScientist")</f>
        <v>@DrDataScientist</v>
      </c>
      <c r="C2120" s="14" t="s">
        <v>4495</v>
      </c>
      <c r="D2120" s="14" t="s">
        <v>8403</v>
      </c>
      <c r="E2120" s="6" t="str">
        <f>HYPERLINK("https://twitter.com/DrDataScientist/status/1364026203120705538","1364026203120705538")</f>
        <v>1364026203120705538</v>
      </c>
      <c r="F2120" s="7" t="s">
        <v>8404</v>
      </c>
      <c r="G2120" s="7" t="s">
        <v>8405</v>
      </c>
      <c r="H2120" s="8"/>
      <c r="I2120" s="14">
        <v>3</v>
      </c>
      <c r="J2120" s="14">
        <v>0</v>
      </c>
      <c r="K2120" s="6" t="str">
        <f>HYPERLINK("https://dlvrit.com/","dlvr.it")</f>
        <v>dlvr.it</v>
      </c>
      <c r="L2120" s="15">
        <v>99655</v>
      </c>
      <c r="M2120" s="15">
        <v>1426</v>
      </c>
      <c r="N2120" s="15">
        <v>1332</v>
      </c>
      <c r="O2120" s="9"/>
      <c r="P2120" s="10">
        <v>39933.965081018519</v>
      </c>
      <c r="Q2120" s="14" t="s">
        <v>509</v>
      </c>
      <c r="R2120" s="14" t="s">
        <v>4499</v>
      </c>
      <c r="S2120" s="7" t="s">
        <v>4500</v>
      </c>
      <c r="T2120" s="8"/>
      <c r="U2120" s="11" t="str">
        <f>HYPERLINK("https://pbs.twimg.com/profile_images/841454359682596864/4weAUbxO.jpg","View")</f>
        <v>View</v>
      </c>
      <c r="V2120" s="8"/>
      <c r="W2120" s="8"/>
      <c r="X2120" s="8"/>
      <c r="Y2120" s="8"/>
      <c r="Z2120" s="8"/>
    </row>
    <row r="2121" spans="1:26" ht="13.2">
      <c r="A2121" s="13">
        <v>44250.108194444445</v>
      </c>
      <c r="B2121" s="6" t="str">
        <f>HYPERLINK("https://twitter.com/CourseGift","@CourseGift")</f>
        <v>@CourseGift</v>
      </c>
      <c r="C2121" s="14" t="s">
        <v>8406</v>
      </c>
      <c r="D2121" s="14" t="s">
        <v>8407</v>
      </c>
      <c r="E2121" s="6" t="str">
        <f>HYPERLINK("https://twitter.com/CourseGift/status/1364026138960429059","1364026138960429059")</f>
        <v>1364026138960429059</v>
      </c>
      <c r="F2121" s="7" t="s">
        <v>8408</v>
      </c>
      <c r="G2121" s="8"/>
      <c r="H2121" s="8"/>
      <c r="I2121" s="14">
        <v>16</v>
      </c>
      <c r="J2121" s="14">
        <v>9</v>
      </c>
      <c r="K2121" s="6" t="str">
        <f t="shared" ref="K2121:K2125" si="386">HYPERLINK("https://mobile.twitter.com","Twitter Web App")</f>
        <v>Twitter Web App</v>
      </c>
      <c r="L2121" s="15">
        <v>2654</v>
      </c>
      <c r="M2121" s="15">
        <v>2993</v>
      </c>
      <c r="N2121" s="15">
        <v>40</v>
      </c>
      <c r="O2121" s="9"/>
      <c r="P2121" s="10">
        <v>43030.693182870367</v>
      </c>
      <c r="Q2121" s="14" t="s">
        <v>3077</v>
      </c>
      <c r="R2121" s="14" t="s">
        <v>8409</v>
      </c>
      <c r="S2121" s="7" t="s">
        <v>8410</v>
      </c>
      <c r="T2121" s="8"/>
      <c r="U2121" s="11" t="str">
        <f>HYPERLINK("https://pbs.twimg.com/profile_images/1159562177591726080/js_LfulD.jpg","View")</f>
        <v>View</v>
      </c>
      <c r="V2121" s="8"/>
      <c r="W2121" s="8"/>
      <c r="X2121" s="8"/>
      <c r="Y2121" s="8"/>
      <c r="Z2121" s="8"/>
    </row>
    <row r="2122" spans="1:26" ht="13.2">
      <c r="A2122" s="13">
        <v>44250.107800925922</v>
      </c>
      <c r="B2122" s="6" t="str">
        <f>HYPERLINK("https://twitter.com/RoshanPaudeI","@RoshanPaudeI")</f>
        <v>@RoshanPaudeI</v>
      </c>
      <c r="C2122" s="14" t="s">
        <v>8411</v>
      </c>
      <c r="D2122" s="14" t="s">
        <v>8412</v>
      </c>
      <c r="E2122" s="6" t="str">
        <f>HYPERLINK("https://twitter.com/RoshanPaudeI/status/1364025997859971072","1364025997859971072")</f>
        <v>1364025997859971072</v>
      </c>
      <c r="F2122" s="7" t="s">
        <v>8413</v>
      </c>
      <c r="G2122" s="8"/>
      <c r="H2122" s="8"/>
      <c r="I2122" s="14">
        <v>18</v>
      </c>
      <c r="J2122" s="14">
        <v>12</v>
      </c>
      <c r="K2122" s="6" t="str">
        <f t="shared" si="386"/>
        <v>Twitter Web App</v>
      </c>
      <c r="L2122" s="15">
        <v>4090</v>
      </c>
      <c r="M2122" s="15">
        <v>3530</v>
      </c>
      <c r="N2122" s="15">
        <v>1</v>
      </c>
      <c r="O2122" s="9"/>
      <c r="P2122" s="10">
        <v>44071.118136574078</v>
      </c>
      <c r="Q2122" s="14" t="s">
        <v>8414</v>
      </c>
      <c r="R2122" s="14" t="s">
        <v>8415</v>
      </c>
      <c r="S2122" s="8"/>
      <c r="T2122" s="8"/>
      <c r="U2122" s="11" t="str">
        <f>HYPERLINK("https://pbs.twimg.com/profile_images/1346836729605591042/Ykl4JHMp.jpg","View")</f>
        <v>View</v>
      </c>
      <c r="V2122" s="8"/>
      <c r="W2122" s="8"/>
      <c r="X2122" s="8"/>
      <c r="Y2122" s="8"/>
      <c r="Z2122" s="8"/>
    </row>
    <row r="2123" spans="1:26" ht="13.2">
      <c r="A2123" s="13">
        <v>44250.107673611114</v>
      </c>
      <c r="B2123" s="6" t="str">
        <f>HYPERLINK("https://twitter.com/WorldTrendsInfo","@WorldTrendsInfo")</f>
        <v>@WorldTrendsInfo</v>
      </c>
      <c r="C2123" s="14" t="s">
        <v>6985</v>
      </c>
      <c r="D2123" s="14" t="s">
        <v>8416</v>
      </c>
      <c r="E2123" s="6" t="str">
        <f>HYPERLINK("https://twitter.com/WorldTrendsInfo/status/1364025949277224966","1364025949277224966")</f>
        <v>1364025949277224966</v>
      </c>
      <c r="F2123" s="7" t="s">
        <v>8417</v>
      </c>
      <c r="G2123" s="7" t="s">
        <v>8418</v>
      </c>
      <c r="H2123" s="8"/>
      <c r="I2123" s="14">
        <v>1</v>
      </c>
      <c r="J2123" s="14">
        <v>0</v>
      </c>
      <c r="K2123" s="6" t="str">
        <f t="shared" si="386"/>
        <v>Twitter Web App</v>
      </c>
      <c r="L2123" s="15">
        <v>29477</v>
      </c>
      <c r="M2123" s="15">
        <v>17450</v>
      </c>
      <c r="N2123" s="15">
        <v>1697</v>
      </c>
      <c r="O2123" s="9"/>
      <c r="P2123" s="10">
        <v>41987.800578703704</v>
      </c>
      <c r="Q2123" s="14" t="s">
        <v>914</v>
      </c>
      <c r="R2123" s="14" t="s">
        <v>6989</v>
      </c>
      <c r="S2123" s="7" t="s">
        <v>6990</v>
      </c>
      <c r="T2123" s="8"/>
      <c r="U2123" s="11" t="str">
        <f>HYPERLINK("https://pbs.twimg.com/profile_images/976703867344703488/ZXpt0cl0.jpg","View")</f>
        <v>View</v>
      </c>
      <c r="V2123" s="8"/>
      <c r="W2123" s="8"/>
      <c r="X2123" s="8"/>
      <c r="Y2123" s="8"/>
      <c r="Z2123" s="8"/>
    </row>
    <row r="2124" spans="1:26" ht="13.2">
      <c r="A2124" s="13">
        <v>44250.107662037037</v>
      </c>
      <c r="B2124" s="6" t="str">
        <f>HYPERLINK("https://twitter.com/gp_pulipaka","@gp_pulipaka")</f>
        <v>@gp_pulipaka</v>
      </c>
      <c r="C2124" s="14" t="s">
        <v>2230</v>
      </c>
      <c r="D2124" s="14" t="s">
        <v>8419</v>
      </c>
      <c r="E2124" s="6" t="str">
        <f>HYPERLINK("https://twitter.com/gp_pulipaka/status/1364025946974556162","1364025946974556162")</f>
        <v>1364025946974556162</v>
      </c>
      <c r="F2124" s="7" t="s">
        <v>8420</v>
      </c>
      <c r="G2124" s="7" t="s">
        <v>8421</v>
      </c>
      <c r="H2124" s="8"/>
      <c r="I2124" s="14">
        <v>54</v>
      </c>
      <c r="J2124" s="14">
        <v>22</v>
      </c>
      <c r="K2124" s="6" t="str">
        <f t="shared" si="386"/>
        <v>Twitter Web App</v>
      </c>
      <c r="L2124" s="15">
        <v>109083</v>
      </c>
      <c r="M2124" s="15">
        <v>22723</v>
      </c>
      <c r="N2124" s="15">
        <v>3558</v>
      </c>
      <c r="O2124" s="9"/>
      <c r="P2124" s="10">
        <v>42325.138298611113</v>
      </c>
      <c r="Q2124" s="14" t="s">
        <v>2234</v>
      </c>
      <c r="R2124" s="14" t="s">
        <v>2235</v>
      </c>
      <c r="S2124" s="7" t="s">
        <v>2236</v>
      </c>
      <c r="T2124" s="8"/>
      <c r="U2124" s="11" t="str">
        <f>HYPERLINK("https://pbs.twimg.com/profile_images/1354974939887988736/P9wzBxgk.jpg","View")</f>
        <v>View</v>
      </c>
      <c r="V2124" s="8"/>
      <c r="W2124" s="8"/>
      <c r="X2124" s="8"/>
      <c r="Y2124" s="8"/>
      <c r="Z2124" s="8"/>
    </row>
    <row r="2125" spans="1:26" ht="13.2">
      <c r="A2125" s="13">
        <v>44250.106759259259</v>
      </c>
      <c r="B2125" s="6" t="str">
        <f>HYPERLINK("https://twitter.com/SilkeLeFay","@SilkeLeFay")</f>
        <v>@SilkeLeFay</v>
      </c>
      <c r="C2125" s="14" t="s">
        <v>8422</v>
      </c>
      <c r="D2125" s="14" t="s">
        <v>8423</v>
      </c>
      <c r="E2125" s="6" t="str">
        <f>HYPERLINK("https://twitter.com/SilkeLeFay/status/1364025620401856515","1364025620401856515")</f>
        <v>1364025620401856515</v>
      </c>
      <c r="F2125" s="8"/>
      <c r="G2125" s="7" t="s">
        <v>8424</v>
      </c>
      <c r="H2125" s="8"/>
      <c r="I2125" s="14">
        <v>1</v>
      </c>
      <c r="J2125" s="14">
        <v>0</v>
      </c>
      <c r="K2125" s="6" t="str">
        <f t="shared" si="386"/>
        <v>Twitter Web App</v>
      </c>
      <c r="L2125" s="15">
        <v>4637</v>
      </c>
      <c r="M2125" s="15">
        <v>5126</v>
      </c>
      <c r="N2125" s="15">
        <v>49</v>
      </c>
      <c r="O2125" s="9"/>
      <c r="P2125" s="10">
        <v>41031.560717592591</v>
      </c>
      <c r="Q2125" s="14" t="s">
        <v>8425</v>
      </c>
      <c r="R2125" s="14" t="s">
        <v>8426</v>
      </c>
      <c r="S2125" s="8"/>
      <c r="T2125" s="8"/>
      <c r="U2125" s="11" t="str">
        <f>HYPERLINK("https://pbs.twimg.com/profile_images/2633121271/553983b499a61b08f40744d20ed8951e.jpeg","View")</f>
        <v>View</v>
      </c>
      <c r="V2125" s="8"/>
      <c r="W2125" s="8"/>
      <c r="X2125" s="8"/>
      <c r="Y2125" s="8"/>
      <c r="Z2125" s="8"/>
    </row>
    <row r="2126" spans="1:26" ht="13.2">
      <c r="A2126" s="13">
        <v>44250.105717592596</v>
      </c>
      <c r="B2126" s="6" t="str">
        <f>HYPERLINK("https://twitter.com/JoeWehbe7","@JoeWehbe7")</f>
        <v>@JoeWehbe7</v>
      </c>
      <c r="C2126" s="14" t="s">
        <v>8427</v>
      </c>
      <c r="D2126" s="14" t="s">
        <v>8428</v>
      </c>
      <c r="E2126" s="6" t="str">
        <f>HYPERLINK("https://twitter.com/JoeWehbe7/status/1364025242218340359","1364025242218340359")</f>
        <v>1364025242218340359</v>
      </c>
      <c r="F2126" s="8"/>
      <c r="G2126" s="7" t="s">
        <v>8429</v>
      </c>
      <c r="H2126" s="8"/>
      <c r="I2126" s="14">
        <v>4</v>
      </c>
      <c r="J2126" s="14">
        <v>5</v>
      </c>
      <c r="K2126" s="6" t="str">
        <f>HYPERLINK("http://twitter.com/download/iphone","Twitter for iPhone")</f>
        <v>Twitter for iPhone</v>
      </c>
      <c r="L2126" s="15">
        <v>84</v>
      </c>
      <c r="M2126" s="15">
        <v>55</v>
      </c>
      <c r="N2126" s="15">
        <v>1</v>
      </c>
      <c r="O2126" s="9"/>
      <c r="P2126" s="10">
        <v>43665.931203703702</v>
      </c>
      <c r="Q2126" s="14" t="s">
        <v>696</v>
      </c>
      <c r="R2126" s="14" t="s">
        <v>8430</v>
      </c>
      <c r="S2126" s="7" t="s">
        <v>8431</v>
      </c>
      <c r="T2126" s="8"/>
      <c r="U2126" s="11" t="str">
        <f>HYPERLINK("https://pbs.twimg.com/profile_images/1312290383255273472/E7Hd9XRe.jpg","View")</f>
        <v>View</v>
      </c>
      <c r="V2126" s="8"/>
      <c r="W2126" s="8"/>
      <c r="X2126" s="8"/>
      <c r="Y2126" s="8"/>
      <c r="Z2126" s="8"/>
    </row>
    <row r="2127" spans="1:26" ht="13.2">
      <c r="A2127" s="13">
        <v>44250.105347222227</v>
      </c>
      <c r="B2127" s="6" t="str">
        <f>HYPERLINK("https://twitter.com/meplassey","@meplassey")</f>
        <v>@meplassey</v>
      </c>
      <c r="C2127" s="14" t="s">
        <v>8432</v>
      </c>
      <c r="D2127" s="14" t="s">
        <v>8040</v>
      </c>
      <c r="E2127" s="6" t="str">
        <f>HYPERLINK("https://twitter.com/meplassey/status/1364025108428333062","1364025108428333062")</f>
        <v>1364025108428333062</v>
      </c>
      <c r="F2127" s="7" t="s">
        <v>8433</v>
      </c>
      <c r="G2127" s="8"/>
      <c r="H2127" s="8"/>
      <c r="I2127" s="14">
        <v>1</v>
      </c>
      <c r="J2127" s="14">
        <v>0</v>
      </c>
      <c r="K2127" s="6" t="str">
        <f>HYPERLINK("http://dynamicsignal.com/","Dynamic Signal")</f>
        <v>Dynamic Signal</v>
      </c>
      <c r="L2127" s="15">
        <v>890</v>
      </c>
      <c r="M2127" s="15">
        <v>807</v>
      </c>
      <c r="N2127" s="15">
        <v>297</v>
      </c>
      <c r="O2127" s="9"/>
      <c r="P2127" s="10">
        <v>39917.299525462964</v>
      </c>
      <c r="Q2127" s="14" t="s">
        <v>2222</v>
      </c>
      <c r="R2127" s="14" t="s">
        <v>8434</v>
      </c>
      <c r="S2127" s="8"/>
      <c r="T2127" s="8"/>
      <c r="U2127" s="11" t="str">
        <f>HYPERLINK("https://pbs.twimg.com/profile_images/725280655752318978/lMq-yo0f.jpg","View")</f>
        <v>View</v>
      </c>
      <c r="V2127" s="8"/>
      <c r="W2127" s="8"/>
      <c r="X2127" s="8"/>
      <c r="Y2127" s="8"/>
      <c r="Z2127" s="8"/>
    </row>
    <row r="2128" spans="1:26" ht="13.2">
      <c r="A2128" s="13">
        <v>44250.104861111111</v>
      </c>
      <c r="B2128" s="6" t="str">
        <f>HYPERLINK("https://twitter.com/InnovationMerge","@InnovationMerge")</f>
        <v>@InnovationMerge</v>
      </c>
      <c r="C2128" s="14" t="s">
        <v>8435</v>
      </c>
      <c r="D2128" s="14" t="s">
        <v>8436</v>
      </c>
      <c r="E2128" s="6" t="str">
        <f>HYPERLINK("https://twitter.com/InnovationMerge/status/1364024929562353668","1364024929562353668")</f>
        <v>1364024929562353668</v>
      </c>
      <c r="F2128" s="8"/>
      <c r="G2128" s="7" t="s">
        <v>8437</v>
      </c>
      <c r="H2128" s="8"/>
      <c r="I2128" s="14">
        <v>5</v>
      </c>
      <c r="J2128" s="14">
        <v>4</v>
      </c>
      <c r="K2128" s="6" t="str">
        <f>HYPERLINK("https://mobile.twitter.com","Twitter Web App")</f>
        <v>Twitter Web App</v>
      </c>
      <c r="L2128" s="15">
        <v>77</v>
      </c>
      <c r="M2128" s="15">
        <v>126</v>
      </c>
      <c r="N2128" s="15">
        <v>0</v>
      </c>
      <c r="O2128" s="9"/>
      <c r="P2128" s="10">
        <v>44071.496435185181</v>
      </c>
      <c r="Q2128" s="14" t="s">
        <v>364</v>
      </c>
      <c r="R2128" s="14" t="s">
        <v>8438</v>
      </c>
      <c r="S2128" s="7" t="s">
        <v>8439</v>
      </c>
      <c r="T2128" s="8"/>
      <c r="U2128" s="11" t="str">
        <f>HYPERLINK("https://pbs.twimg.com/profile_images/1299297403548254208/YS9z4lWd.jpg","View")</f>
        <v>View</v>
      </c>
      <c r="V2128" s="8"/>
      <c r="W2128" s="8"/>
      <c r="X2128" s="8"/>
      <c r="Y2128" s="8"/>
      <c r="Z2128" s="8"/>
    </row>
    <row r="2129" spans="1:26" ht="13.2">
      <c r="A2129" s="13">
        <v>44250.104814814811</v>
      </c>
      <c r="B2129" s="6" t="str">
        <f>HYPERLINK("https://twitter.com/GodoldG","@GodoldG")</f>
        <v>@GodoldG</v>
      </c>
      <c r="C2129" s="14" t="s">
        <v>8440</v>
      </c>
      <c r="D2129" s="14" t="s">
        <v>8441</v>
      </c>
      <c r="E2129" s="6" t="str">
        <f>HYPERLINK("https://twitter.com/GodoldG/status/1364024915721035778","1364024915721035778")</f>
        <v>1364024915721035778</v>
      </c>
      <c r="F2129" s="8"/>
      <c r="G2129" s="8"/>
      <c r="H2129" s="8"/>
      <c r="I2129" s="14">
        <v>3</v>
      </c>
      <c r="J2129" s="14">
        <v>3</v>
      </c>
      <c r="K2129" s="6" t="str">
        <f>HYPERLINK("http://twitter.com/download/android","Twitter for Android")</f>
        <v>Twitter for Android</v>
      </c>
      <c r="L2129" s="15">
        <v>1</v>
      </c>
      <c r="M2129" s="15">
        <v>0</v>
      </c>
      <c r="N2129" s="15">
        <v>0</v>
      </c>
      <c r="O2129" s="9"/>
      <c r="P2129" s="10">
        <v>44230.368275462963</v>
      </c>
      <c r="Q2129" s="8"/>
      <c r="R2129" s="14" t="s">
        <v>8442</v>
      </c>
      <c r="S2129" s="7" t="s">
        <v>8443</v>
      </c>
      <c r="T2129" s="8"/>
      <c r="U2129" s="11" t="str">
        <f>HYPERLINK("https://pbs.twimg.com/profile_images/1362196065202577408/2PTLSwK3.jpg","View")</f>
        <v>View</v>
      </c>
      <c r="V2129" s="8"/>
      <c r="W2129" s="8"/>
      <c r="X2129" s="8"/>
      <c r="Y2129" s="8"/>
      <c r="Z2129" s="8"/>
    </row>
    <row r="2130" spans="1:26" ht="13.2">
      <c r="A2130" s="13">
        <v>44250.104224537034</v>
      </c>
      <c r="B2130" s="6" t="str">
        <f>HYPERLINK("https://twitter.com/ipfconline1","@ipfconline1")</f>
        <v>@ipfconline1</v>
      </c>
      <c r="C2130" s="14" t="s">
        <v>65</v>
      </c>
      <c r="D2130" s="14" t="s">
        <v>8444</v>
      </c>
      <c r="E2130" s="6" t="str">
        <f>HYPERLINK("https://twitter.com/ipfconline1/status/1364024699437666305","1364024699437666305")</f>
        <v>1364024699437666305</v>
      </c>
      <c r="F2130" s="7" t="s">
        <v>8445</v>
      </c>
      <c r="G2130" s="7" t="s">
        <v>8446</v>
      </c>
      <c r="H2130" s="8"/>
      <c r="I2130" s="14">
        <v>17</v>
      </c>
      <c r="J2130" s="14">
        <v>14</v>
      </c>
      <c r="K2130" s="6" t="str">
        <f>HYPERLINK("https://twittimer.com","Twittimer")</f>
        <v>Twittimer</v>
      </c>
      <c r="L2130" s="15">
        <v>112675</v>
      </c>
      <c r="M2130" s="15">
        <v>107162</v>
      </c>
      <c r="N2130" s="15">
        <v>7806</v>
      </c>
      <c r="O2130" s="9"/>
      <c r="P2130" s="10">
        <v>42433.031967592593</v>
      </c>
      <c r="Q2130" s="14" t="s">
        <v>69</v>
      </c>
      <c r="R2130" s="14" t="s">
        <v>70</v>
      </c>
      <c r="S2130" s="7" t="s">
        <v>71</v>
      </c>
      <c r="T2130" s="8"/>
      <c r="U2130" s="11" t="str">
        <f>HYPERLINK("https://pbs.twimg.com/profile_images/729065804004769793/St2_Pum9.jpg","View")</f>
        <v>View</v>
      </c>
      <c r="V2130" s="8"/>
      <c r="W2130" s="8"/>
      <c r="X2130" s="8"/>
      <c r="Y2130" s="8"/>
      <c r="Z2130" s="8"/>
    </row>
    <row r="2131" spans="1:26" ht="13.2">
      <c r="A2131" s="13">
        <v>44250.103576388894</v>
      </c>
      <c r="B2131" s="6" t="str">
        <f>HYPERLINK("https://twitter.com/SureshRukman","@SureshRukman")</f>
        <v>@SureshRukman</v>
      </c>
      <c r="C2131" s="14" t="s">
        <v>3313</v>
      </c>
      <c r="D2131" s="14" t="s">
        <v>8447</v>
      </c>
      <c r="E2131" s="6" t="str">
        <f>HYPERLINK("https://twitter.com/SureshRukman/status/1364024466129436673","1364024466129436673")</f>
        <v>1364024466129436673</v>
      </c>
      <c r="F2131" s="14" t="s">
        <v>8448</v>
      </c>
      <c r="G2131" s="8"/>
      <c r="H2131" s="8"/>
      <c r="I2131" s="14">
        <v>2</v>
      </c>
      <c r="J2131" s="14">
        <v>1</v>
      </c>
      <c r="K2131" s="6" t="str">
        <f>HYPERLINK("http://twinybots.com","TwinyBots")</f>
        <v>TwinyBots</v>
      </c>
      <c r="L2131" s="15">
        <v>2176</v>
      </c>
      <c r="M2131" s="15">
        <v>2281</v>
      </c>
      <c r="N2131" s="15">
        <v>293</v>
      </c>
      <c r="O2131" s="9"/>
      <c r="P2131" s="10">
        <v>41359.54041666667</v>
      </c>
      <c r="Q2131" s="14" t="s">
        <v>2551</v>
      </c>
      <c r="R2131" s="14" t="s">
        <v>3314</v>
      </c>
      <c r="S2131" s="7" t="s">
        <v>2553</v>
      </c>
      <c r="T2131" s="8"/>
      <c r="U2131" s="11" t="str">
        <f>HYPERLINK("https://pbs.twimg.com/profile_images/1038762339368087554/JICJ5viP.jpg","View")</f>
        <v>View</v>
      </c>
      <c r="V2131" s="8"/>
      <c r="W2131" s="8"/>
      <c r="X2131" s="8"/>
      <c r="Y2131" s="8"/>
      <c r="Z2131" s="8"/>
    </row>
    <row r="2132" spans="1:26" ht="13.2">
      <c r="A2132" s="13">
        <v>44250.103391203702</v>
      </c>
      <c r="B2132" s="6" t="str">
        <f>HYPERLINK("https://twitter.com/rasangarocks","@rasangarocks")</f>
        <v>@rasangarocks</v>
      </c>
      <c r="C2132" s="14" t="s">
        <v>5437</v>
      </c>
      <c r="D2132" s="14" t="s">
        <v>8449</v>
      </c>
      <c r="E2132" s="6" t="str">
        <f>HYPERLINK("https://twitter.com/rasangarocks/status/1364024398861111297","1364024398861111297")</f>
        <v>1364024398861111297</v>
      </c>
      <c r="F2132" s="14" t="s">
        <v>8450</v>
      </c>
      <c r="G2132" s="7" t="s">
        <v>8451</v>
      </c>
      <c r="H2132" s="8"/>
      <c r="I2132" s="14">
        <v>36</v>
      </c>
      <c r="J2132" s="14">
        <v>21</v>
      </c>
      <c r="K2132" s="6" t="str">
        <f>HYPERLINK("https://mobile.twitter.com","Twitter Web App")</f>
        <v>Twitter Web App</v>
      </c>
      <c r="L2132" s="15">
        <v>50654</v>
      </c>
      <c r="M2132" s="15">
        <v>49987</v>
      </c>
      <c r="N2132" s="15">
        <v>624</v>
      </c>
      <c r="O2132" s="9"/>
      <c r="P2132" s="10">
        <v>42071.75949074074</v>
      </c>
      <c r="Q2132" s="8"/>
      <c r="R2132" s="14" t="s">
        <v>5440</v>
      </c>
      <c r="S2132" s="7" t="s">
        <v>5441</v>
      </c>
      <c r="T2132" s="8"/>
      <c r="U2132" s="11" t="str">
        <f>HYPERLINK("https://pbs.twimg.com/profile_images/771872242300956672/j1H-OInO.jpg","View")</f>
        <v>View</v>
      </c>
      <c r="V2132" s="8"/>
      <c r="W2132" s="8"/>
      <c r="X2132" s="8"/>
      <c r="Y2132" s="8"/>
      <c r="Z2132" s="8"/>
    </row>
    <row r="2133" spans="1:26" ht="13.2">
      <c r="A2133" s="13">
        <v>44250.102592592593</v>
      </c>
      <c r="B2133" s="6" t="str">
        <f>HYPERLINK("https://twitter.com/travissari","@travissari")</f>
        <v>@travissari</v>
      </c>
      <c r="C2133" s="14" t="s">
        <v>8452</v>
      </c>
      <c r="D2133" s="14" t="s">
        <v>8453</v>
      </c>
      <c r="E2133" s="6" t="str">
        <f>HYPERLINK("https://twitter.com/travissari/status/1364024109760405504","1364024109760405504")</f>
        <v>1364024109760405504</v>
      </c>
      <c r="F2133" s="7" t="s">
        <v>8454</v>
      </c>
      <c r="G2133" s="8"/>
      <c r="H2133" s="8"/>
      <c r="I2133" s="14">
        <v>1</v>
      </c>
      <c r="J2133" s="14">
        <v>0</v>
      </c>
      <c r="K2133" s="6" t="str">
        <f>HYPERLINK("http://twitter.com/download/iphone","Twitter for iPhone")</f>
        <v>Twitter for iPhone</v>
      </c>
      <c r="L2133" s="15">
        <v>239</v>
      </c>
      <c r="M2133" s="15">
        <v>406</v>
      </c>
      <c r="N2133" s="15">
        <v>65</v>
      </c>
      <c r="O2133" s="9"/>
      <c r="P2133" s="10">
        <v>42164.752407407403</v>
      </c>
      <c r="Q2133" s="14" t="s">
        <v>3487</v>
      </c>
      <c r="R2133" s="14" t="s">
        <v>8455</v>
      </c>
      <c r="S2133" s="7" t="s">
        <v>8456</v>
      </c>
      <c r="T2133" s="8"/>
      <c r="U2133" s="11" t="str">
        <f>HYPERLINK("https://pbs.twimg.com/profile_images/640514369579819009/H71Y_fUO.jpg","View")</f>
        <v>View</v>
      </c>
      <c r="V2133" s="8"/>
      <c r="W2133" s="8"/>
      <c r="X2133" s="8"/>
      <c r="Y2133" s="8"/>
      <c r="Z2133" s="8"/>
    </row>
    <row r="2134" spans="1:26" ht="13.2">
      <c r="A2134" s="13">
        <v>44250.102349537032</v>
      </c>
      <c r="B2134" s="6" t="str">
        <f>HYPERLINK("https://twitter.com/machinelearnflx","@machinelearnflx")</f>
        <v>@machinelearnflx</v>
      </c>
      <c r="C2134" s="14" t="s">
        <v>279</v>
      </c>
      <c r="D2134" s="14" t="s">
        <v>8457</v>
      </c>
      <c r="E2134" s="6" t="str">
        <f>HYPERLINK("https://twitter.com/machinelearnflx/status/1364024018643394566","1364024018643394566")</f>
        <v>1364024018643394566</v>
      </c>
      <c r="F2134" s="7" t="s">
        <v>8458</v>
      </c>
      <c r="G2134" s="8"/>
      <c r="H2134" s="8"/>
      <c r="I2134" s="14">
        <v>1</v>
      </c>
      <c r="J2134" s="14">
        <v>5</v>
      </c>
      <c r="K2134" s="6" t="str">
        <f>HYPERLINK("https://twitter.com/pythonbot_","Postmatico")</f>
        <v>Postmatico</v>
      </c>
      <c r="L2134" s="15">
        <v>90451</v>
      </c>
      <c r="M2134" s="15">
        <v>35464</v>
      </c>
      <c r="N2134" s="15">
        <v>2228</v>
      </c>
      <c r="O2134" s="9"/>
      <c r="P2134" s="10">
        <v>42386.538865740746</v>
      </c>
      <c r="Q2134" s="8"/>
      <c r="R2134" s="14" t="s">
        <v>282</v>
      </c>
      <c r="S2134" s="7" t="s">
        <v>283</v>
      </c>
      <c r="T2134" s="8"/>
      <c r="U2134" s="11" t="str">
        <f>HYPERLINK("https://pbs.twimg.com/profile_images/688735459892195329/v8sHaWSG.jpg","View")</f>
        <v>View</v>
      </c>
      <c r="V2134" s="8"/>
      <c r="W2134" s="8"/>
      <c r="X2134" s="8"/>
      <c r="Y2134" s="8"/>
      <c r="Z2134" s="8"/>
    </row>
    <row r="2135" spans="1:26" ht="13.2">
      <c r="A2135" s="13">
        <v>44250.101736111115</v>
      </c>
      <c r="B2135" s="6" t="str">
        <f>HYPERLINK("https://twitter.com/NewsMedical","@NewsMedical")</f>
        <v>@NewsMedical</v>
      </c>
      <c r="C2135" s="14" t="s">
        <v>8459</v>
      </c>
      <c r="D2135" s="14" t="s">
        <v>8460</v>
      </c>
      <c r="E2135" s="6" t="str">
        <f>HYPERLINK("https://twitter.com/NewsMedical/status/1364023798094266370","1364023798094266370")</f>
        <v>1364023798094266370</v>
      </c>
      <c r="F2135" s="7" t="s">
        <v>7876</v>
      </c>
      <c r="G2135" s="7" t="s">
        <v>8461</v>
      </c>
      <c r="H2135" s="8"/>
      <c r="I2135" s="14">
        <v>4</v>
      </c>
      <c r="J2135" s="14">
        <v>1</v>
      </c>
      <c r="K2135" s="6" t="str">
        <f>HYPERLINK("http://www.news-medical.net/","News Medical")</f>
        <v>News Medical</v>
      </c>
      <c r="L2135" s="15">
        <v>13833</v>
      </c>
      <c r="M2135" s="15">
        <v>3423</v>
      </c>
      <c r="N2135" s="15">
        <v>450</v>
      </c>
      <c r="O2135" s="9"/>
      <c r="P2135" s="10">
        <v>39944.392488425925</v>
      </c>
      <c r="Q2135" s="8"/>
      <c r="R2135" s="14" t="s">
        <v>8462</v>
      </c>
      <c r="S2135" s="7" t="s">
        <v>8463</v>
      </c>
      <c r="T2135" s="8"/>
      <c r="U2135" s="11" t="str">
        <f>HYPERLINK("https://pbs.twimg.com/profile_images/780395551565058048/104TSnWw.jpg","View")</f>
        <v>View</v>
      </c>
      <c r="V2135" s="8"/>
      <c r="W2135" s="8"/>
      <c r="X2135" s="8"/>
      <c r="Y2135" s="8"/>
      <c r="Z2135" s="8"/>
    </row>
    <row r="2136" spans="1:26" ht="13.2">
      <c r="A2136" s="13">
        <v>44250.100659722222</v>
      </c>
      <c r="B2136" s="6" t="str">
        <f>HYPERLINK("https://twitter.com/louis__simpson","@louis__simpson")</f>
        <v>@louis__simpson</v>
      </c>
      <c r="C2136" s="14" t="s">
        <v>8464</v>
      </c>
      <c r="D2136" s="14" t="s">
        <v>8465</v>
      </c>
      <c r="E2136" s="6" t="str">
        <f>HYPERLINK("https://twitter.com/louis__simpson/status/1364023406656684033","1364023406656684033")</f>
        <v>1364023406656684033</v>
      </c>
      <c r="F2136" s="8"/>
      <c r="G2136" s="8"/>
      <c r="H2136" s="8"/>
      <c r="I2136" s="14">
        <v>2</v>
      </c>
      <c r="J2136" s="14">
        <v>3</v>
      </c>
      <c r="K2136" s="6" t="str">
        <f t="shared" ref="K2136:K2137" si="387">HYPERLINK("https://mobile.twitter.com","Twitter Web App")</f>
        <v>Twitter Web App</v>
      </c>
      <c r="L2136" s="15">
        <v>382</v>
      </c>
      <c r="M2136" s="15">
        <v>1892</v>
      </c>
      <c r="N2136" s="15">
        <v>5</v>
      </c>
      <c r="O2136" s="9"/>
      <c r="P2136" s="10">
        <v>42380.123402777783</v>
      </c>
      <c r="Q2136" s="14" t="s">
        <v>8466</v>
      </c>
      <c r="R2136" s="14" t="s">
        <v>8467</v>
      </c>
      <c r="S2136" s="8"/>
      <c r="T2136" s="8"/>
      <c r="U2136" s="11" t="str">
        <f>HYPERLINK("https://pbs.twimg.com/profile_images/1340513147036286981/Bor3qzgV.jpg","View")</f>
        <v>View</v>
      </c>
      <c r="V2136" s="8"/>
      <c r="W2136" s="8"/>
      <c r="X2136" s="8"/>
      <c r="Y2136" s="8"/>
      <c r="Z2136" s="8"/>
    </row>
    <row r="2137" spans="1:26" ht="13.2">
      <c r="A2137" s="13">
        <v>44250.099675925929</v>
      </c>
      <c r="B2137" s="6" t="str">
        <f>HYPERLINK("https://twitter.com/TKV93096440","@TKV93096440")</f>
        <v>@TKV93096440</v>
      </c>
      <c r="C2137" s="14" t="s">
        <v>8468</v>
      </c>
      <c r="D2137" s="14" t="s">
        <v>8469</v>
      </c>
      <c r="E2137" s="6" t="str">
        <f>HYPERLINK("https://twitter.com/TKV93096440/status/1364023050425884675","1364023050425884675")</f>
        <v>1364023050425884675</v>
      </c>
      <c r="F2137" s="14" t="s">
        <v>8470</v>
      </c>
      <c r="G2137" s="7" t="s">
        <v>8471</v>
      </c>
      <c r="H2137" s="8"/>
      <c r="I2137" s="14">
        <v>0</v>
      </c>
      <c r="J2137" s="14">
        <v>0</v>
      </c>
      <c r="K2137" s="6" t="str">
        <f t="shared" si="387"/>
        <v>Twitter Web App</v>
      </c>
      <c r="L2137" s="15">
        <v>130</v>
      </c>
      <c r="M2137" s="15">
        <v>176</v>
      </c>
      <c r="N2137" s="15">
        <v>0</v>
      </c>
      <c r="O2137" s="9"/>
      <c r="P2137" s="10">
        <v>44168.726388888885</v>
      </c>
      <c r="Q2137" s="14" t="s">
        <v>8472</v>
      </c>
      <c r="R2137" s="14" t="s">
        <v>8473</v>
      </c>
      <c r="S2137" s="8"/>
      <c r="T2137" s="8"/>
      <c r="U2137" s="11" t="str">
        <f>HYPERLINK("https://pbs.twimg.com/profile_images/1336346011241836546/QXvQ60es.jpg","View")</f>
        <v>View</v>
      </c>
      <c r="V2137" s="8"/>
      <c r="W2137" s="8"/>
      <c r="X2137" s="8"/>
      <c r="Y2137" s="8"/>
      <c r="Z2137" s="8"/>
    </row>
    <row r="2138" spans="1:26" ht="13.2">
      <c r="A2138" s="13">
        <v>44250.099386574075</v>
      </c>
      <c r="B2138" s="6" t="str">
        <f>HYPERLINK("https://twitter.com/towards_AI","@towards_AI")</f>
        <v>@towards_AI</v>
      </c>
      <c r="C2138" s="14" t="s">
        <v>993</v>
      </c>
      <c r="D2138" s="14" t="s">
        <v>8358</v>
      </c>
      <c r="E2138" s="6" t="str">
        <f>HYPERLINK("https://twitter.com/towards_AI/status/1364022946243747843","1364022946243747843")</f>
        <v>1364022946243747843</v>
      </c>
      <c r="F2138" s="7" t="s">
        <v>8359</v>
      </c>
      <c r="G2138" s="8"/>
      <c r="H2138" s="8"/>
      <c r="I2138" s="14">
        <v>3</v>
      </c>
      <c r="J2138" s="14">
        <v>6</v>
      </c>
      <c r="K2138" s="6" t="str">
        <f>HYPERLINK("https://ifttt.com","IFTTT")</f>
        <v>IFTTT</v>
      </c>
      <c r="L2138" s="15">
        <v>4357</v>
      </c>
      <c r="M2138" s="15">
        <v>17</v>
      </c>
      <c r="N2138" s="15">
        <v>66</v>
      </c>
      <c r="O2138" s="9"/>
      <c r="P2138" s="10">
        <v>43565.689467592594</v>
      </c>
      <c r="Q2138" s="14" t="s">
        <v>322</v>
      </c>
      <c r="R2138" s="14" t="s">
        <v>994</v>
      </c>
      <c r="S2138" s="7" t="s">
        <v>995</v>
      </c>
      <c r="T2138" s="8"/>
      <c r="U2138" s="11" t="str">
        <f>HYPERLINK("https://pbs.twimg.com/profile_images/1289733180468203520/z8oEBpFo.png","View")</f>
        <v>View</v>
      </c>
      <c r="V2138" s="8"/>
      <c r="W2138" s="8"/>
      <c r="X2138" s="8"/>
      <c r="Y2138" s="8"/>
      <c r="Z2138" s="8"/>
    </row>
    <row r="2139" spans="1:26" ht="13.2">
      <c r="A2139" s="13">
        <v>44250.097928240742</v>
      </c>
      <c r="B2139" s="6" t="str">
        <f>HYPERLINK("https://twitter.com/Ronald_vanLoon","@Ronald_vanLoon")</f>
        <v>@Ronald_vanLoon</v>
      </c>
      <c r="C2139" s="14" t="s">
        <v>2433</v>
      </c>
      <c r="D2139" s="14" t="s">
        <v>8474</v>
      </c>
      <c r="E2139" s="6" t="str">
        <f>HYPERLINK("https://twitter.com/Ronald_vanLoon/status/1364022417899859968","1364022417899859968")</f>
        <v>1364022417899859968</v>
      </c>
      <c r="F2139" s="8"/>
      <c r="G2139" s="7" t="s">
        <v>8475</v>
      </c>
      <c r="H2139" s="8"/>
      <c r="I2139" s="14">
        <v>17</v>
      </c>
      <c r="J2139" s="14">
        <v>21</v>
      </c>
      <c r="K2139" s="6" t="str">
        <f>HYPERLINK("https://about.twitter.com/products/tweetdeck","TweetDeck")</f>
        <v>TweetDeck</v>
      </c>
      <c r="L2139" s="15">
        <v>239362</v>
      </c>
      <c r="M2139" s="15">
        <v>180517</v>
      </c>
      <c r="N2139" s="15">
        <v>5589</v>
      </c>
      <c r="O2139" s="9"/>
      <c r="P2139" s="10">
        <v>41015.413553240738</v>
      </c>
      <c r="Q2139" s="14" t="s">
        <v>1141</v>
      </c>
      <c r="R2139" s="14" t="s">
        <v>2437</v>
      </c>
      <c r="S2139" s="7" t="s">
        <v>2438</v>
      </c>
      <c r="T2139" s="8"/>
      <c r="U2139" s="11" t="str">
        <f>HYPERLINK("https://pbs.twimg.com/profile_images/1107936345769607169/sJKWJd7g.png","View")</f>
        <v>View</v>
      </c>
      <c r="V2139" s="8"/>
      <c r="W2139" s="8"/>
      <c r="X2139" s="8"/>
      <c r="Y2139" s="8"/>
      <c r="Z2139" s="8"/>
    </row>
    <row r="2140" spans="1:26" ht="13.2">
      <c r="A2140" s="13">
        <v>44250.097314814819</v>
      </c>
      <c r="B2140" s="6" t="str">
        <f>HYPERLINK("https://twitter.com/s_kampakis","@s_kampakis")</f>
        <v>@s_kampakis</v>
      </c>
      <c r="C2140" s="14" t="s">
        <v>823</v>
      </c>
      <c r="D2140" s="14" t="s">
        <v>7281</v>
      </c>
      <c r="E2140" s="6" t="str">
        <f>HYPERLINK("https://twitter.com/s_kampakis/status/1364022197187141636","1364022197187141636")</f>
        <v>1364022197187141636</v>
      </c>
      <c r="F2140" s="7" t="s">
        <v>7282</v>
      </c>
      <c r="G2140" s="8"/>
      <c r="H2140" s="8"/>
      <c r="I2140" s="14">
        <v>2</v>
      </c>
      <c r="J2140" s="14">
        <v>1</v>
      </c>
      <c r="K2140" s="6" t="str">
        <f>HYPERLINK("https://crowdfireapp.com","Crowdfire App")</f>
        <v>Crowdfire App</v>
      </c>
      <c r="L2140" s="15">
        <v>1205</v>
      </c>
      <c r="M2140" s="15">
        <v>2076</v>
      </c>
      <c r="N2140" s="15">
        <v>87</v>
      </c>
      <c r="O2140" s="9"/>
      <c r="P2140" s="10">
        <v>41877.766087962962</v>
      </c>
      <c r="Q2140" s="14" t="s">
        <v>753</v>
      </c>
      <c r="R2140" s="14" t="s">
        <v>826</v>
      </c>
      <c r="S2140" s="7" t="s">
        <v>827</v>
      </c>
      <c r="T2140" s="8"/>
      <c r="U2140" s="11" t="str">
        <f>HYPERLINK("https://pbs.twimg.com/profile_images/1175015480496726019/1UxlBHvw.jpg","View")</f>
        <v>View</v>
      </c>
      <c r="V2140" s="8"/>
      <c r="W2140" s="8"/>
      <c r="X2140" s="8"/>
      <c r="Y2140" s="8"/>
      <c r="Z2140" s="8"/>
    </row>
    <row r="2141" spans="1:26" ht="13.2">
      <c r="A2141" s="13">
        <v>44250.096307870372</v>
      </c>
      <c r="B2141" s="6" t="str">
        <f>HYPERLINK("https://twitter.com/rwang0","@rwang0")</f>
        <v>@rwang0</v>
      </c>
      <c r="C2141" s="14" t="s">
        <v>2263</v>
      </c>
      <c r="D2141" s="14" t="s">
        <v>8476</v>
      </c>
      <c r="E2141" s="6" t="str">
        <f>HYPERLINK("https://twitter.com/rwang0/status/1364021832584732673","1364021832584732673")</f>
        <v>1364021832584732673</v>
      </c>
      <c r="F2141" s="7" t="s">
        <v>8477</v>
      </c>
      <c r="G2141" s="8"/>
      <c r="H2141" s="8"/>
      <c r="I2141" s="14">
        <v>1</v>
      </c>
      <c r="J2141" s="14">
        <v>4</v>
      </c>
      <c r="K2141" s="6" t="str">
        <f>HYPERLINK("https://paper.li","Paper.li")</f>
        <v>Paper.li</v>
      </c>
      <c r="L2141" s="15">
        <v>131943</v>
      </c>
      <c r="M2141" s="15">
        <v>100551</v>
      </c>
      <c r="N2141" s="15">
        <v>6846</v>
      </c>
      <c r="O2141" s="15" t="s">
        <v>130</v>
      </c>
      <c r="P2141" s="10">
        <v>39566.045532407406</v>
      </c>
      <c r="Q2141" s="14" t="s">
        <v>2266</v>
      </c>
      <c r="R2141" s="14" t="s">
        <v>2267</v>
      </c>
      <c r="S2141" s="7" t="s">
        <v>2268</v>
      </c>
      <c r="T2141" s="8"/>
      <c r="U2141" s="11" t="str">
        <f>HYPERLINK("https://pbs.twimg.com/profile_images/1046576251949862912/axeUR8EK.jpg","View")</f>
        <v>View</v>
      </c>
      <c r="V2141" s="8"/>
      <c r="W2141" s="8"/>
      <c r="X2141" s="8"/>
      <c r="Y2141" s="8"/>
      <c r="Z2141" s="8"/>
    </row>
    <row r="2142" spans="1:26" ht="13.2">
      <c r="A2142" s="13">
        <v>44250.094571759255</v>
      </c>
      <c r="B2142" s="6" t="str">
        <f>HYPERLINK("https://twitter.com/EndPainStigma","@EndPainStigma")</f>
        <v>@EndPainStigma</v>
      </c>
      <c r="C2142" s="14" t="s">
        <v>8478</v>
      </c>
      <c r="D2142" s="14" t="s">
        <v>8479</v>
      </c>
      <c r="E2142" s="6" t="str">
        <f>HYPERLINK("https://twitter.com/EndPainStigma/status/1364021203858464771","1364021203858464771")</f>
        <v>1364021203858464771</v>
      </c>
      <c r="F2142" s="7" t="s">
        <v>8480</v>
      </c>
      <c r="G2142" s="8"/>
      <c r="H2142" s="8"/>
      <c r="I2142" s="14">
        <v>4</v>
      </c>
      <c r="J2142" s="14">
        <v>4</v>
      </c>
      <c r="K2142" s="6" t="str">
        <f>HYPERLINK("http://twitter.com/download/iphone","Twitter for iPhone")</f>
        <v>Twitter for iPhone</v>
      </c>
      <c r="L2142" s="15">
        <v>114</v>
      </c>
      <c r="M2142" s="15">
        <v>216</v>
      </c>
      <c r="N2142" s="15">
        <v>0</v>
      </c>
      <c r="O2142" s="9"/>
      <c r="P2142" s="10">
        <v>44212.242025462961</v>
      </c>
      <c r="Q2142" s="14" t="s">
        <v>8481</v>
      </c>
      <c r="R2142" s="14" t="s">
        <v>8482</v>
      </c>
      <c r="S2142" s="7" t="s">
        <v>8483</v>
      </c>
      <c r="T2142" s="8"/>
      <c r="U2142" s="11" t="str">
        <f>HYPERLINK("https://pbs.twimg.com/profile_images/1352879213716664320/-0W0wa9W.jpg","View")</f>
        <v>View</v>
      </c>
      <c r="V2142" s="8"/>
      <c r="W2142" s="8"/>
      <c r="X2142" s="8"/>
      <c r="Y2142" s="8"/>
      <c r="Z2142" s="8"/>
    </row>
    <row r="2143" spans="1:26" ht="13.2">
      <c r="A2143" s="13">
        <v>44250.093831018516</v>
      </c>
      <c r="B2143" s="6" t="str">
        <f>HYPERLINK("https://twitter.com/SpirosMargaris","@SpirosMargaris")</f>
        <v>@SpirosMargaris</v>
      </c>
      <c r="C2143" s="14" t="s">
        <v>3558</v>
      </c>
      <c r="D2143" s="14" t="s">
        <v>8484</v>
      </c>
      <c r="E2143" s="6" t="str">
        <f>HYPERLINK("https://twitter.com/SpirosMargaris/status/1364020931539132416","1364020931539132416")</f>
        <v>1364020931539132416</v>
      </c>
      <c r="F2143" s="7" t="s">
        <v>8485</v>
      </c>
      <c r="G2143" s="7" t="s">
        <v>8486</v>
      </c>
      <c r="H2143" s="8"/>
      <c r="I2143" s="14">
        <v>6</v>
      </c>
      <c r="J2143" s="14">
        <v>8</v>
      </c>
      <c r="K2143" s="6" t="str">
        <f>HYPERLINK("https://buffer.com","Buffer")</f>
        <v>Buffer</v>
      </c>
      <c r="L2143" s="15">
        <v>107389</v>
      </c>
      <c r="M2143" s="15">
        <v>15890</v>
      </c>
      <c r="N2143" s="15">
        <v>5693</v>
      </c>
      <c r="O2143" s="15" t="s">
        <v>130</v>
      </c>
      <c r="P2143" s="10">
        <v>41857.30574074074</v>
      </c>
      <c r="Q2143" s="14" t="s">
        <v>3562</v>
      </c>
      <c r="R2143" s="14" t="s">
        <v>3563</v>
      </c>
      <c r="S2143" s="7" t="s">
        <v>3564</v>
      </c>
      <c r="T2143" s="8"/>
      <c r="U2143" s="11" t="str">
        <f>HYPERLINK("https://pbs.twimg.com/profile_images/1346443960986775553/TGeiH97s.jpg","View")</f>
        <v>View</v>
      </c>
      <c r="V2143" s="8"/>
      <c r="W2143" s="8"/>
      <c r="X2143" s="8"/>
      <c r="Y2143" s="8"/>
      <c r="Z2143" s="8"/>
    </row>
    <row r="2144" spans="1:26" ht="13.2">
      <c r="A2144" s="13">
        <v>44250.09375</v>
      </c>
      <c r="B2144" s="6" t="str">
        <f>HYPERLINK("https://twitter.com/ANoorTM","@ANoorTM")</f>
        <v>@ANoorTM</v>
      </c>
      <c r="C2144" s="14" t="s">
        <v>1720</v>
      </c>
      <c r="D2144" s="14" t="s">
        <v>8487</v>
      </c>
      <c r="E2144" s="6" t="str">
        <f>HYPERLINK("https://twitter.com/ANoorTM/status/1364020903055654913","1364020903055654913")</f>
        <v>1364020903055654913</v>
      </c>
      <c r="F2144" s="8"/>
      <c r="G2144" s="7" t="s">
        <v>8488</v>
      </c>
      <c r="H2144" s="8"/>
      <c r="I2144" s="14">
        <v>12</v>
      </c>
      <c r="J2144" s="14">
        <v>6</v>
      </c>
      <c r="K2144" s="6" t="str">
        <f>HYPERLINK("https://mobile.twitter.com","Twitter Web App")</f>
        <v>Twitter Web App</v>
      </c>
      <c r="L2144" s="15">
        <v>115</v>
      </c>
      <c r="M2144" s="15">
        <v>396</v>
      </c>
      <c r="N2144" s="15">
        <v>0</v>
      </c>
      <c r="O2144" s="9"/>
      <c r="P2144" s="10">
        <v>41609.607916666668</v>
      </c>
      <c r="Q2144" s="14" t="s">
        <v>1722</v>
      </c>
      <c r="R2144" s="14" t="s">
        <v>1723</v>
      </c>
      <c r="S2144" s="7" t="s">
        <v>1724</v>
      </c>
      <c r="T2144" s="8"/>
      <c r="U2144" s="11" t="str">
        <f>HYPERLINK("https://pbs.twimg.com/profile_images/1360847327636955136/AMGDy86d.jpg","View")</f>
        <v>View</v>
      </c>
      <c r="V2144" s="8"/>
      <c r="W2144" s="8"/>
      <c r="X2144" s="8"/>
      <c r="Y2144" s="8"/>
      <c r="Z2144" s="8"/>
    </row>
    <row r="2145" spans="1:26" ht="13.2">
      <c r="A2145" s="13">
        <v>44250.092685185184</v>
      </c>
      <c r="B2145" s="6" t="str">
        <f>HYPERLINK("https://twitter.com/AdamBouras3","@AdamBouras3")</f>
        <v>@AdamBouras3</v>
      </c>
      <c r="C2145" s="14" t="s">
        <v>8489</v>
      </c>
      <c r="D2145" s="14" t="s">
        <v>8490</v>
      </c>
      <c r="E2145" s="6" t="str">
        <f>HYPERLINK("https://twitter.com/AdamBouras3/status/1364020519490576390","1364020519490576390")</f>
        <v>1364020519490576390</v>
      </c>
      <c r="F2145" s="7" t="s">
        <v>8491</v>
      </c>
      <c r="G2145" s="8"/>
      <c r="H2145" s="8"/>
      <c r="I2145" s="14">
        <v>6</v>
      </c>
      <c r="J2145" s="14">
        <v>2</v>
      </c>
      <c r="K2145" s="6" t="str">
        <f>HYPERLINK("http://www.linkedin.com/","LinkedIn")</f>
        <v>LinkedIn</v>
      </c>
      <c r="L2145" s="15">
        <v>88</v>
      </c>
      <c r="M2145" s="15">
        <v>175</v>
      </c>
      <c r="N2145" s="15">
        <v>3</v>
      </c>
      <c r="O2145" s="9"/>
      <c r="P2145" s="10">
        <v>43029.080393518518</v>
      </c>
      <c r="Q2145" s="14" t="s">
        <v>8492</v>
      </c>
      <c r="R2145" s="14" t="s">
        <v>8493</v>
      </c>
      <c r="S2145" s="7" t="s">
        <v>8494</v>
      </c>
      <c r="T2145" s="8"/>
      <c r="U2145" s="11" t="str">
        <f>HYPERLINK("https://pbs.twimg.com/profile_images/1332836018475720704/mHz6sh79.jpg","View")</f>
        <v>View</v>
      </c>
      <c r="V2145" s="8"/>
      <c r="W2145" s="8"/>
      <c r="X2145" s="8"/>
      <c r="Y2145" s="8"/>
      <c r="Z2145" s="8"/>
    </row>
    <row r="2146" spans="1:26" ht="13.2">
      <c r="A2146" s="13">
        <v>44250.091770833329</v>
      </c>
      <c r="B2146" s="6" t="str">
        <f>HYPERLINK("https://twitter.com/SureshRukman","@SureshRukman")</f>
        <v>@SureshRukman</v>
      </c>
      <c r="C2146" s="14" t="s">
        <v>3313</v>
      </c>
      <c r="D2146" s="14" t="s">
        <v>8495</v>
      </c>
      <c r="E2146" s="6" t="str">
        <f>HYPERLINK("https://twitter.com/SureshRukman/status/1364020185682874368","1364020185682874368")</f>
        <v>1364020185682874368</v>
      </c>
      <c r="F2146" s="14" t="s">
        <v>8496</v>
      </c>
      <c r="G2146" s="8"/>
      <c r="H2146" s="8"/>
      <c r="I2146" s="14">
        <v>2</v>
      </c>
      <c r="J2146" s="14">
        <v>3</v>
      </c>
      <c r="K2146" s="6" t="str">
        <f>HYPERLINK("http://twinybots.com","TwinyBots")</f>
        <v>TwinyBots</v>
      </c>
      <c r="L2146" s="15">
        <v>2176</v>
      </c>
      <c r="M2146" s="15">
        <v>2281</v>
      </c>
      <c r="N2146" s="15">
        <v>293</v>
      </c>
      <c r="O2146" s="9"/>
      <c r="P2146" s="10">
        <v>41359.54041666667</v>
      </c>
      <c r="Q2146" s="14" t="s">
        <v>2551</v>
      </c>
      <c r="R2146" s="14" t="s">
        <v>3314</v>
      </c>
      <c r="S2146" s="7" t="s">
        <v>2553</v>
      </c>
      <c r="T2146" s="8"/>
      <c r="U2146" s="11" t="str">
        <f>HYPERLINK("https://pbs.twimg.com/profile_images/1038762339368087554/JICJ5viP.jpg","View")</f>
        <v>View</v>
      </c>
      <c r="V2146" s="8"/>
      <c r="W2146" s="8"/>
      <c r="X2146" s="8"/>
      <c r="Y2146" s="8"/>
      <c r="Z2146" s="8"/>
    </row>
    <row r="2147" spans="1:26" ht="13.2">
      <c r="A2147" s="13">
        <v>44250.091377314813</v>
      </c>
      <c r="B2147" s="6" t="str">
        <f>HYPERLINK("https://twitter.com/nordicinst","@nordicinst")</f>
        <v>@nordicinst</v>
      </c>
      <c r="C2147" s="14" t="s">
        <v>1812</v>
      </c>
      <c r="D2147" s="14" t="s">
        <v>8497</v>
      </c>
      <c r="E2147" s="6" t="str">
        <f>HYPERLINK("https://twitter.com/nordicinst/status/1364020045060444160","1364020045060444160")</f>
        <v>1364020045060444160</v>
      </c>
      <c r="F2147" s="7" t="s">
        <v>6304</v>
      </c>
      <c r="G2147" s="8"/>
      <c r="H2147" s="8"/>
      <c r="I2147" s="14">
        <v>2</v>
      </c>
      <c r="J2147" s="14">
        <v>4</v>
      </c>
      <c r="K2147" s="6" t="str">
        <f>HYPERLINK("https://ifttt.com","IFTTT")</f>
        <v>IFTTT</v>
      </c>
      <c r="L2147" s="15">
        <v>18247</v>
      </c>
      <c r="M2147" s="15">
        <v>17</v>
      </c>
      <c r="N2147" s="15">
        <v>306</v>
      </c>
      <c r="O2147" s="9"/>
      <c r="P2147" s="10">
        <v>42796.734710648147</v>
      </c>
      <c r="Q2147" s="14" t="s">
        <v>1815</v>
      </c>
      <c r="R2147" s="14" t="s">
        <v>1816</v>
      </c>
      <c r="S2147" s="7" t="s">
        <v>1817</v>
      </c>
      <c r="T2147" s="8"/>
      <c r="U2147" s="11" t="str">
        <f>HYPERLINK("https://pbs.twimg.com/profile_images/894659016705556480/_CJhwfbx.jpg","View")</f>
        <v>View</v>
      </c>
      <c r="V2147" s="8"/>
      <c r="W2147" s="8"/>
      <c r="X2147" s="8"/>
      <c r="Y2147" s="8"/>
      <c r="Z2147" s="8"/>
    </row>
    <row r="2148" spans="1:26" ht="13.2">
      <c r="A2148" s="13">
        <v>44250.088159722218</v>
      </c>
      <c r="B2148" s="6" t="str">
        <f>HYPERLINK("https://twitter.com/1QB_IT","@1QB_IT")</f>
        <v>@1QB_IT</v>
      </c>
      <c r="C2148" s="14" t="s">
        <v>8498</v>
      </c>
      <c r="D2148" s="14" t="s">
        <v>8499</v>
      </c>
      <c r="E2148" s="6" t="str">
        <f>HYPERLINK("https://twitter.com/1QB_IT/status/1364018877697568768","1364018877697568768")</f>
        <v>1364018877697568768</v>
      </c>
      <c r="F2148" s="7" t="s">
        <v>8500</v>
      </c>
      <c r="G2148" s="7" t="s">
        <v>8501</v>
      </c>
      <c r="H2148" s="8"/>
      <c r="I2148" s="14">
        <v>4</v>
      </c>
      <c r="J2148" s="14">
        <v>2</v>
      </c>
      <c r="K2148" s="6" t="str">
        <f>HYPERLINK("https://sproutsocial.com","Sprout Social")</f>
        <v>Sprout Social</v>
      </c>
      <c r="L2148" s="15">
        <v>2984</v>
      </c>
      <c r="M2148" s="15">
        <v>168</v>
      </c>
      <c r="N2148" s="15">
        <v>81</v>
      </c>
      <c r="O2148" s="9"/>
      <c r="P2148" s="10">
        <v>42417.221307870372</v>
      </c>
      <c r="Q2148" s="14" t="s">
        <v>8034</v>
      </c>
      <c r="R2148" s="14" t="s">
        <v>8502</v>
      </c>
      <c r="S2148" s="7" t="s">
        <v>8503</v>
      </c>
      <c r="T2148" s="8"/>
      <c r="U2148" s="11" t="str">
        <f>HYPERLINK("https://pbs.twimg.com/profile_images/1293695851798306817/e_Wf-2Ev.jpg","View")</f>
        <v>View</v>
      </c>
      <c r="V2148" s="8"/>
      <c r="W2148" s="8"/>
      <c r="X2148" s="8"/>
      <c r="Y2148" s="8"/>
      <c r="Z2148" s="8"/>
    </row>
    <row r="2149" spans="1:26" ht="13.2">
      <c r="A2149" s="13">
        <v>44250.08699074074</v>
      </c>
      <c r="B2149" s="6" t="str">
        <f>HYPERLINK("https://twitter.com/TeachTechU","@TeachTechU")</f>
        <v>@TeachTechU</v>
      </c>
      <c r="C2149" s="14" t="s">
        <v>8504</v>
      </c>
      <c r="D2149" s="14" t="s">
        <v>8505</v>
      </c>
      <c r="E2149" s="6" t="str">
        <f>HYPERLINK("https://twitter.com/TeachTechU/status/1364018453275901952","1364018453275901952")</f>
        <v>1364018453275901952</v>
      </c>
      <c r="F2149" s="7" t="s">
        <v>8506</v>
      </c>
      <c r="G2149" s="8"/>
      <c r="H2149" s="8"/>
      <c r="I2149" s="14">
        <v>0</v>
      </c>
      <c r="J2149" s="14">
        <v>4</v>
      </c>
      <c r="K2149" s="6" t="str">
        <f>HYPERLINK("https://paper.li","Paper.li")</f>
        <v>Paper.li</v>
      </c>
      <c r="L2149" s="15">
        <v>125</v>
      </c>
      <c r="M2149" s="15">
        <v>528</v>
      </c>
      <c r="N2149" s="15">
        <v>2</v>
      </c>
      <c r="O2149" s="9"/>
      <c r="P2149" s="10">
        <v>42988.161550925928</v>
      </c>
      <c r="Q2149" s="14" t="s">
        <v>8507</v>
      </c>
      <c r="R2149" s="14" t="s">
        <v>8508</v>
      </c>
      <c r="S2149" s="7" t="s">
        <v>8509</v>
      </c>
      <c r="T2149" s="8"/>
      <c r="U2149" s="11" t="str">
        <f>HYPERLINK("https://pbs.twimg.com/profile_images/1231001257478782977/ugVDMTsL.jpg","View")</f>
        <v>View</v>
      </c>
      <c r="V2149" s="8"/>
      <c r="W2149" s="8"/>
      <c r="X2149" s="8"/>
      <c r="Y2149" s="8"/>
      <c r="Z2149" s="8"/>
    </row>
    <row r="2150" spans="1:26" ht="13.2">
      <c r="A2150" s="13">
        <v>44250.086875000001</v>
      </c>
      <c r="B2150" s="6" t="str">
        <f>HYPERLINK("https://twitter.com/realsportsbrain","@realsportsbrain")</f>
        <v>@realsportsbrain</v>
      </c>
      <c r="C2150" s="14" t="s">
        <v>8510</v>
      </c>
      <c r="D2150" s="14" t="s">
        <v>8511</v>
      </c>
      <c r="E2150" s="6" t="str">
        <f>HYPERLINK("https://twitter.com/realsportsbrain/status/1364018411018231808","1364018411018231808")</f>
        <v>1364018411018231808</v>
      </c>
      <c r="F2150" s="8"/>
      <c r="G2150" s="8"/>
      <c r="H2150" s="8"/>
      <c r="I2150" s="14">
        <v>0</v>
      </c>
      <c r="J2150" s="14">
        <v>1</v>
      </c>
      <c r="K2150" s="6" t="str">
        <f>HYPERLINK("http://twitter.com/download/android","Twitter for Android")</f>
        <v>Twitter for Android</v>
      </c>
      <c r="L2150" s="15">
        <v>39</v>
      </c>
      <c r="M2150" s="15">
        <v>69</v>
      </c>
      <c r="N2150" s="15">
        <v>0</v>
      </c>
      <c r="O2150" s="9"/>
      <c r="P2150" s="10">
        <v>39888.776597222226</v>
      </c>
      <c r="Q2150" s="14" t="s">
        <v>8512</v>
      </c>
      <c r="R2150" s="14" t="s">
        <v>8513</v>
      </c>
      <c r="S2150" s="8"/>
      <c r="T2150" s="8"/>
      <c r="U2150" s="11" t="str">
        <f>HYPERLINK("https://pbs.twimg.com/profile_images/1347590586392408064/GMoUMFyA.jpg","View")</f>
        <v>View</v>
      </c>
      <c r="V2150" s="8"/>
      <c r="W2150" s="8"/>
      <c r="X2150" s="8"/>
      <c r="Y2150" s="8"/>
      <c r="Z2150" s="8"/>
    </row>
    <row r="2151" spans="1:26" ht="13.2">
      <c r="A2151" s="13">
        <v>44250.086111111115</v>
      </c>
      <c r="B2151" s="6" t="str">
        <f>HYPERLINK("https://twitter.com/aiplustraining","@aiplustraining")</f>
        <v>@aiplustraining</v>
      </c>
      <c r="C2151" s="14" t="s">
        <v>231</v>
      </c>
      <c r="D2151" s="14" t="s">
        <v>8514</v>
      </c>
      <c r="E2151" s="6" t="str">
        <f>HYPERLINK("https://twitter.com/aiplustraining/status/1364018137855897602","1364018137855897602")</f>
        <v>1364018137855897602</v>
      </c>
      <c r="F2151" s="7" t="s">
        <v>8515</v>
      </c>
      <c r="G2151" s="7" t="s">
        <v>8516</v>
      </c>
      <c r="H2151" s="8"/>
      <c r="I2151" s="14">
        <v>2</v>
      </c>
      <c r="J2151" s="14">
        <v>2</v>
      </c>
      <c r="K2151" s="6" t="str">
        <f>HYPERLINK("http://www.hubspot.com/","HubSpot")</f>
        <v>HubSpot</v>
      </c>
      <c r="L2151" s="15">
        <v>5</v>
      </c>
      <c r="M2151" s="15">
        <v>2</v>
      </c>
      <c r="N2151" s="15">
        <v>0</v>
      </c>
      <c r="O2151" s="9"/>
      <c r="P2151" s="10">
        <v>44237.778668981482</v>
      </c>
      <c r="Q2151" s="14" t="s">
        <v>221</v>
      </c>
      <c r="R2151" s="14" t="s">
        <v>235</v>
      </c>
      <c r="S2151" s="7" t="s">
        <v>236</v>
      </c>
      <c r="T2151" s="8"/>
      <c r="U2151" s="11" t="str">
        <f>HYPERLINK("https://pbs.twimg.com/profile_images/1359558269157707783/sqig3Ehi.png","View")</f>
        <v>View</v>
      </c>
      <c r="V2151" s="8"/>
      <c r="W2151" s="8"/>
      <c r="X2151" s="8"/>
      <c r="Y2151" s="8"/>
      <c r="Z2151" s="8"/>
    </row>
    <row r="2152" spans="1:26" ht="13.2">
      <c r="A2152" s="13">
        <v>44250.084374999999</v>
      </c>
      <c r="B2152" s="6" t="str">
        <f>HYPERLINK("https://twitter.com/EverythingFind","@EverythingFind")</f>
        <v>@EverythingFind</v>
      </c>
      <c r="C2152" s="14" t="s">
        <v>8517</v>
      </c>
      <c r="D2152" s="14" t="s">
        <v>7741</v>
      </c>
      <c r="E2152" s="6" t="str">
        <f>HYPERLINK("https://twitter.com/EverythingFind/status/1364017505207947270","1364017505207947270")</f>
        <v>1364017505207947270</v>
      </c>
      <c r="F2152" s="7" t="s">
        <v>8518</v>
      </c>
      <c r="G2152" s="8"/>
      <c r="H2152" s="8"/>
      <c r="I2152" s="14">
        <v>0</v>
      </c>
      <c r="J2152" s="14">
        <v>1</v>
      </c>
      <c r="K2152" s="6" t="str">
        <f>HYPERLINK("https://www.contentmx.com","ContentMX")</f>
        <v>ContentMX</v>
      </c>
      <c r="L2152" s="15">
        <v>26</v>
      </c>
      <c r="M2152" s="15">
        <v>5</v>
      </c>
      <c r="N2152" s="15">
        <v>0</v>
      </c>
      <c r="O2152" s="9"/>
      <c r="P2152" s="10">
        <v>43515.078043981484</v>
      </c>
      <c r="Q2152" s="8"/>
      <c r="R2152" s="14" t="s">
        <v>8519</v>
      </c>
      <c r="S2152" s="8"/>
      <c r="T2152" s="8"/>
      <c r="U2152" s="11" t="str">
        <f>HYPERLINK("https://pbs.twimg.com/profile_images/1097660773348794369/8Iat46-1.jpg","View")</f>
        <v>View</v>
      </c>
      <c r="V2152" s="8"/>
      <c r="W2152" s="8"/>
      <c r="X2152" s="8"/>
      <c r="Y2152" s="8"/>
      <c r="Z2152" s="8"/>
    </row>
    <row r="2153" spans="1:26" ht="13.2">
      <c r="A2153" s="13">
        <v>44250.084097222221</v>
      </c>
      <c r="B2153" s="6" t="str">
        <f>HYPERLINK("https://twitter.com/JohnontheJohn1","@JohnontheJohn1")</f>
        <v>@JohnontheJohn1</v>
      </c>
      <c r="C2153" s="14" t="s">
        <v>8520</v>
      </c>
      <c r="D2153" s="14" t="s">
        <v>8521</v>
      </c>
      <c r="E2153" s="6" t="str">
        <f>HYPERLINK("https://twitter.com/JohnontheJohn1/status/1364017405270220801","1364017405270220801")</f>
        <v>1364017405270220801</v>
      </c>
      <c r="F2153" s="7" t="s">
        <v>8522</v>
      </c>
      <c r="G2153" s="8"/>
      <c r="H2153" s="8"/>
      <c r="I2153" s="14">
        <v>1</v>
      </c>
      <c r="J2153" s="14">
        <v>2</v>
      </c>
      <c r="K2153" s="6" t="str">
        <f>HYPERLINK("https://mobile.twitter.com","Twitter Web App")</f>
        <v>Twitter Web App</v>
      </c>
      <c r="L2153" s="15">
        <v>1</v>
      </c>
      <c r="M2153" s="15">
        <v>93</v>
      </c>
      <c r="N2153" s="15">
        <v>0</v>
      </c>
      <c r="O2153" s="9"/>
      <c r="P2153" s="10">
        <v>44216.94049768518</v>
      </c>
      <c r="Q2153" s="14" t="s">
        <v>8523</v>
      </c>
      <c r="R2153" s="14" t="s">
        <v>8524</v>
      </c>
      <c r="S2153" s="7" t="s">
        <v>8525</v>
      </c>
      <c r="T2153" s="8"/>
      <c r="U2153" s="11" t="str">
        <f>HYPERLINK("https://pbs.twimg.com/profile_images/1352007631322316803/ZlvXVfEj.jpg","View")</f>
        <v>View</v>
      </c>
      <c r="V2153" s="8"/>
      <c r="W2153" s="8"/>
      <c r="X2153" s="8"/>
      <c r="Y2153" s="8"/>
      <c r="Z2153" s="8"/>
    </row>
    <row r="2154" spans="1:26" ht="13.2">
      <c r="A2154" s="13">
        <v>44250.084085648152</v>
      </c>
      <c r="B2154" s="6" t="str">
        <f>HYPERLINK("https://twitter.com/LGFonsecaGuzman","@LGFonsecaGuzman")</f>
        <v>@LGFonsecaGuzman</v>
      </c>
      <c r="C2154" s="14" t="s">
        <v>8526</v>
      </c>
      <c r="D2154" s="14" t="s">
        <v>8527</v>
      </c>
      <c r="E2154" s="6" t="str">
        <f>HYPERLINK("https://twitter.com/LGFonsecaGuzman/status/1364017400694333446","1364017400694333446")</f>
        <v>1364017400694333446</v>
      </c>
      <c r="F2154" s="7" t="s">
        <v>8528</v>
      </c>
      <c r="G2154" s="8"/>
      <c r="H2154" s="8"/>
      <c r="I2154" s="14">
        <v>0</v>
      </c>
      <c r="J2154" s="14">
        <v>0</v>
      </c>
      <c r="K2154" s="6" t="str">
        <f>HYPERLINK("https://www.hootsuite.com","Hootsuite Inc.")</f>
        <v>Hootsuite Inc.</v>
      </c>
      <c r="L2154" s="15">
        <v>1627</v>
      </c>
      <c r="M2154" s="15">
        <v>86</v>
      </c>
      <c r="N2154" s="15">
        <v>10</v>
      </c>
      <c r="O2154" s="9"/>
      <c r="P2154" s="10">
        <v>40899.729826388888</v>
      </c>
      <c r="Q2154" s="14" t="s">
        <v>8529</v>
      </c>
      <c r="R2154" s="14" t="s">
        <v>8530</v>
      </c>
      <c r="S2154" s="7" t="s">
        <v>8531</v>
      </c>
      <c r="T2154" s="8"/>
      <c r="U2154" s="11" t="str">
        <f>HYPERLINK("https://pbs.twimg.com/profile_images/2165954808/LGFG001.jpg","View")</f>
        <v>View</v>
      </c>
      <c r="V2154" s="8"/>
      <c r="W2154" s="8"/>
      <c r="X2154" s="8"/>
      <c r="Y2154" s="8"/>
      <c r="Z2154" s="8"/>
    </row>
    <row r="2155" spans="1:26" ht="13.2">
      <c r="A2155" s="13">
        <v>44250.084062499998</v>
      </c>
      <c r="B2155" s="6" t="str">
        <f>HYPERLINK("https://twitter.com/SpirosMargaris","@SpirosMargaris")</f>
        <v>@SpirosMargaris</v>
      </c>
      <c r="C2155" s="14" t="s">
        <v>3558</v>
      </c>
      <c r="D2155" s="14" t="s">
        <v>8532</v>
      </c>
      <c r="E2155" s="6" t="str">
        <f>HYPERLINK("https://twitter.com/SpirosMargaris/status/1364017394025435136","1364017394025435136")</f>
        <v>1364017394025435136</v>
      </c>
      <c r="F2155" s="7" t="s">
        <v>8533</v>
      </c>
      <c r="G2155" s="7" t="s">
        <v>8534</v>
      </c>
      <c r="H2155" s="8"/>
      <c r="I2155" s="14">
        <v>19</v>
      </c>
      <c r="J2155" s="14">
        <v>23</v>
      </c>
      <c r="K2155" s="6" t="str">
        <f>HYPERLINK("https://buffer.com","Buffer")</f>
        <v>Buffer</v>
      </c>
      <c r="L2155" s="15">
        <v>107389</v>
      </c>
      <c r="M2155" s="15">
        <v>15890</v>
      </c>
      <c r="N2155" s="15">
        <v>5693</v>
      </c>
      <c r="O2155" s="15" t="s">
        <v>130</v>
      </c>
      <c r="P2155" s="10">
        <v>41857.30574074074</v>
      </c>
      <c r="Q2155" s="14" t="s">
        <v>3562</v>
      </c>
      <c r="R2155" s="14" t="s">
        <v>3563</v>
      </c>
      <c r="S2155" s="7" t="s">
        <v>3564</v>
      </c>
      <c r="T2155" s="8"/>
      <c r="U2155" s="11" t="str">
        <f>HYPERLINK("https://pbs.twimg.com/profile_images/1346443960986775553/TGeiH97s.jpg","View")</f>
        <v>View</v>
      </c>
      <c r="V2155" s="8"/>
      <c r="W2155" s="8"/>
      <c r="X2155" s="8"/>
      <c r="Y2155" s="8"/>
      <c r="Z2155" s="8"/>
    </row>
    <row r="2156" spans="1:26" ht="13.2">
      <c r="A2156" s="13">
        <v>44250.084050925929</v>
      </c>
      <c r="B2156" s="6" t="str">
        <f>HYPERLINK("https://twitter.com/lopezunwired","@lopezunwired")</f>
        <v>@lopezunwired</v>
      </c>
      <c r="C2156" s="14" t="s">
        <v>224</v>
      </c>
      <c r="D2156" s="14" t="s">
        <v>8535</v>
      </c>
      <c r="E2156" s="6" t="str">
        <f>HYPERLINK("https://twitter.com/lopezunwired/status/1364017388451024899","1364017388451024899")</f>
        <v>1364017388451024899</v>
      </c>
      <c r="F2156" s="7" t="s">
        <v>8536</v>
      </c>
      <c r="G2156" s="8"/>
      <c r="H2156" s="8"/>
      <c r="I2156" s="14">
        <v>1</v>
      </c>
      <c r="J2156" s="14">
        <v>1</v>
      </c>
      <c r="K2156" s="6" t="str">
        <f>HYPERLINK("https://dlvrit.com/","dlvr.it")</f>
        <v>dlvr.it</v>
      </c>
      <c r="L2156" s="15">
        <v>1803</v>
      </c>
      <c r="M2156" s="15">
        <v>800</v>
      </c>
      <c r="N2156" s="15">
        <v>586</v>
      </c>
      <c r="O2156" s="9"/>
      <c r="P2156" s="10">
        <v>39831.947152777779</v>
      </c>
      <c r="Q2156" s="14" t="s">
        <v>228</v>
      </c>
      <c r="R2156" s="14" t="s">
        <v>229</v>
      </c>
      <c r="S2156" s="7" t="s">
        <v>230</v>
      </c>
      <c r="T2156" s="8"/>
      <c r="U2156" s="11" t="str">
        <f>HYPERLINK("https://pbs.twimg.com/profile_images/3326137784/c6c1c2570fc7b9711dd8de812b996a66.jpeg","View")</f>
        <v>View</v>
      </c>
      <c r="V2156" s="8"/>
      <c r="W2156" s="8"/>
      <c r="X2156" s="8"/>
      <c r="Y2156" s="8"/>
      <c r="Z2156" s="8"/>
    </row>
    <row r="2157" spans="1:26" ht="13.2">
      <c r="A2157" s="13">
        <v>44250.083981481483</v>
      </c>
      <c r="B2157" s="6" t="str">
        <f>HYPERLINK("https://twitter.com/Marktechpost","@Marktechpost")</f>
        <v>@Marktechpost</v>
      </c>
      <c r="C2157" s="7" t="s">
        <v>1071</v>
      </c>
      <c r="D2157" s="14" t="s">
        <v>8537</v>
      </c>
      <c r="E2157" s="6" t="str">
        <f>HYPERLINK("https://twitter.com/Marktechpost/status/1364017365361508352","1364017365361508352")</f>
        <v>1364017365361508352</v>
      </c>
      <c r="F2157" s="7" t="s">
        <v>8538</v>
      </c>
      <c r="G2157" s="7" t="s">
        <v>8539</v>
      </c>
      <c r="H2157" s="8"/>
      <c r="I2157" s="14">
        <v>0</v>
      </c>
      <c r="J2157" s="14">
        <v>0</v>
      </c>
      <c r="K2157" s="6" t="str">
        <f>HYPERLINK("https://www.hootsuite.com","Hootsuite Inc.")</f>
        <v>Hootsuite Inc.</v>
      </c>
      <c r="L2157" s="15">
        <v>2673</v>
      </c>
      <c r="M2157" s="15">
        <v>461</v>
      </c>
      <c r="N2157" s="15">
        <v>24</v>
      </c>
      <c r="O2157" s="9"/>
      <c r="P2157" s="10">
        <v>42467.265682870369</v>
      </c>
      <c r="Q2157" s="14" t="s">
        <v>56</v>
      </c>
      <c r="R2157" s="14" t="s">
        <v>1075</v>
      </c>
      <c r="S2157" s="7" t="s">
        <v>58</v>
      </c>
      <c r="T2157" s="8"/>
      <c r="U2157" s="11" t="str">
        <f>HYPERLINK("https://pbs.twimg.com/profile_images/994114664874180608/tD0vcytP.jpg","View")</f>
        <v>View</v>
      </c>
      <c r="V2157" s="8"/>
      <c r="W2157" s="8"/>
      <c r="X2157" s="8"/>
      <c r="Y2157" s="8"/>
      <c r="Z2157" s="8"/>
    </row>
    <row r="2158" spans="1:26" ht="13.2">
      <c r="A2158" s="13">
        <v>44250.083831018521</v>
      </c>
      <c r="B2158" s="6" t="str">
        <f>HYPERLINK("https://twitter.com/bukmedianet","@bukmedianet")</f>
        <v>@bukmedianet</v>
      </c>
      <c r="C2158" s="14" t="s">
        <v>8540</v>
      </c>
      <c r="D2158" s="14" t="s">
        <v>8541</v>
      </c>
      <c r="E2158" s="6" t="str">
        <f>HYPERLINK("https://twitter.com/bukmedianet/status/1364017308641845254","1364017308641845254")</f>
        <v>1364017308641845254</v>
      </c>
      <c r="F2158" s="7" t="s">
        <v>8542</v>
      </c>
      <c r="G2158" s="8"/>
      <c r="H2158" s="8"/>
      <c r="I2158" s="14">
        <v>10</v>
      </c>
      <c r="J2158" s="14">
        <v>5</v>
      </c>
      <c r="K2158" s="6" t="str">
        <f>HYPERLINK("https://mobile.twitter.com","Twitter Web App")</f>
        <v>Twitter Web App</v>
      </c>
      <c r="L2158" s="15">
        <v>329</v>
      </c>
      <c r="M2158" s="15">
        <v>3</v>
      </c>
      <c r="N2158" s="15">
        <v>9</v>
      </c>
      <c r="O2158" s="9"/>
      <c r="P2158" s="10">
        <v>43664.737025462964</v>
      </c>
      <c r="Q2158" s="8"/>
      <c r="R2158" s="14" t="s">
        <v>8543</v>
      </c>
      <c r="S2158" s="8"/>
      <c r="T2158" s="8"/>
      <c r="U2158" s="11" t="str">
        <f>HYPERLINK("https://pbs.twimg.com/profile_images/1155319953307815936/ekaX8ck7.jpg","View")</f>
        <v>View</v>
      </c>
      <c r="V2158" s="8"/>
      <c r="W2158" s="8"/>
      <c r="X2158" s="8"/>
      <c r="Y2158" s="8"/>
      <c r="Z2158" s="8"/>
    </row>
    <row r="2159" spans="1:26" ht="13.2">
      <c r="A2159" s="13">
        <v>44250.083564814813</v>
      </c>
      <c r="B2159" s="6" t="str">
        <f>HYPERLINK("https://twitter.com/Paula_Piccard","@Paula_Piccard")</f>
        <v>@Paula_Piccard</v>
      </c>
      <c r="C2159" s="14" t="s">
        <v>1116</v>
      </c>
      <c r="D2159" s="14" t="s">
        <v>8544</v>
      </c>
      <c r="E2159" s="6" t="str">
        <f>HYPERLINK("https://twitter.com/Paula_Piccard/status/1364017212651147264","1364017212651147264")</f>
        <v>1364017212651147264</v>
      </c>
      <c r="F2159" s="7" t="s">
        <v>8545</v>
      </c>
      <c r="G2159" s="7" t="s">
        <v>8546</v>
      </c>
      <c r="H2159" s="8"/>
      <c r="I2159" s="14">
        <v>63</v>
      </c>
      <c r="J2159" s="14">
        <v>38</v>
      </c>
      <c r="K2159" s="6" t="str">
        <f>HYPERLINK("https://smarterqueue.com","SmarterQueue")</f>
        <v>SmarterQueue</v>
      </c>
      <c r="L2159" s="15">
        <v>61067</v>
      </c>
      <c r="M2159" s="15">
        <v>9852</v>
      </c>
      <c r="N2159" s="15">
        <v>1284</v>
      </c>
      <c r="O2159" s="9"/>
      <c r="P2159" s="10">
        <v>40665.824629629627</v>
      </c>
      <c r="Q2159" s="14" t="s">
        <v>1120</v>
      </c>
      <c r="R2159" s="14" t="s">
        <v>1121</v>
      </c>
      <c r="S2159" s="7" t="s">
        <v>1122</v>
      </c>
      <c r="T2159" s="8"/>
      <c r="U2159" s="11" t="str">
        <f>HYPERLINK("https://pbs.twimg.com/profile_images/1307804375981621254/KT6ID8H9.png","View")</f>
        <v>View</v>
      </c>
      <c r="V2159" s="8"/>
      <c r="W2159" s="8"/>
      <c r="X2159" s="8"/>
      <c r="Y2159" s="8"/>
      <c r="Z2159" s="8"/>
    </row>
    <row r="2160" spans="1:26" ht="13.2">
      <c r="A2160" s="13">
        <v>44250.083425925928</v>
      </c>
      <c r="B2160" s="6" t="str">
        <f>HYPERLINK("https://twitter.com/AphidFS","@AphidFS")</f>
        <v>@AphidFS</v>
      </c>
      <c r="C2160" s="14" t="s">
        <v>8547</v>
      </c>
      <c r="D2160" s="14" t="s">
        <v>8548</v>
      </c>
      <c r="E2160" s="6" t="str">
        <f>HYPERLINK("https://twitter.com/AphidFS/status/1364017162743123975","1364017162743123975")</f>
        <v>1364017162743123975</v>
      </c>
      <c r="F2160" s="8"/>
      <c r="G2160" s="7" t="s">
        <v>8549</v>
      </c>
      <c r="H2160" s="8"/>
      <c r="I2160" s="14">
        <v>3</v>
      </c>
      <c r="J2160" s="14">
        <v>5</v>
      </c>
      <c r="K2160" s="6" t="str">
        <f>HYPERLINK("https://www.hootsuite.com","Hootsuite Inc.")</f>
        <v>Hootsuite Inc.</v>
      </c>
      <c r="L2160" s="15">
        <v>48339</v>
      </c>
      <c r="M2160" s="15">
        <v>4029</v>
      </c>
      <c r="N2160" s="15">
        <v>67</v>
      </c>
      <c r="O2160" s="9"/>
      <c r="P2160" s="10">
        <v>41519.826944444445</v>
      </c>
      <c r="Q2160" s="14" t="s">
        <v>2386</v>
      </c>
      <c r="R2160" s="14" t="s">
        <v>8550</v>
      </c>
      <c r="S2160" s="7" t="s">
        <v>8551</v>
      </c>
      <c r="T2160" s="8"/>
      <c r="U2160" s="11" t="str">
        <f>HYPERLINK("https://pbs.twimg.com/profile_images/1297295448076517376/WQJqw8ya.jpg","View")</f>
        <v>View</v>
      </c>
      <c r="V2160" s="8"/>
      <c r="W2160" s="8"/>
      <c r="X2160" s="8"/>
      <c r="Y2160" s="8"/>
      <c r="Z2160" s="8"/>
    </row>
    <row r="2161" spans="1:26" ht="13.2">
      <c r="A2161" s="13">
        <v>44250.083391203705</v>
      </c>
      <c r="B2161" s="6" t="str">
        <f>HYPERLINK("https://twitter.com/Radiology_AI","@Radiology_AI")</f>
        <v>@Radiology_AI</v>
      </c>
      <c r="C2161" s="14" t="s">
        <v>2729</v>
      </c>
      <c r="D2161" s="14" t="s">
        <v>8552</v>
      </c>
      <c r="E2161" s="6" t="str">
        <f>HYPERLINK("https://twitter.com/Radiology_AI/status/1364017150629847042","1364017150629847042")</f>
        <v>1364017150629847042</v>
      </c>
      <c r="F2161" s="7" t="s">
        <v>8553</v>
      </c>
      <c r="G2161" s="7" t="s">
        <v>8554</v>
      </c>
      <c r="H2161" s="8"/>
      <c r="I2161" s="14">
        <v>1</v>
      </c>
      <c r="J2161" s="14">
        <v>10</v>
      </c>
      <c r="K2161" s="6" t="str">
        <f>HYPERLINK("https://pubs.rsna.org/journal/ai","Radiology: AI app")</f>
        <v>Radiology: AI app</v>
      </c>
      <c r="L2161" s="15">
        <v>7117</v>
      </c>
      <c r="M2161" s="15">
        <v>18</v>
      </c>
      <c r="N2161" s="15">
        <v>91</v>
      </c>
      <c r="O2161" s="9"/>
      <c r="P2161" s="10">
        <v>43412.634467592594</v>
      </c>
      <c r="Q2161" s="14" t="s">
        <v>2733</v>
      </c>
      <c r="R2161" s="14" t="s">
        <v>2734</v>
      </c>
      <c r="S2161" s="7" t="s">
        <v>2735</v>
      </c>
      <c r="T2161" s="8"/>
      <c r="U2161" s="11" t="str">
        <f>HYPERLINK("https://pbs.twimg.com/profile_images/1088215563233579008/a69L4EZB.jpg","View")</f>
        <v>View</v>
      </c>
      <c r="V2161" s="8"/>
      <c r="W2161" s="8"/>
      <c r="X2161" s="8"/>
      <c r="Y2161" s="8"/>
      <c r="Z2161" s="8"/>
    </row>
    <row r="2162" spans="1:26" ht="13.2">
      <c r="A2162" s="13">
        <v>44250.083368055552</v>
      </c>
      <c r="B2162" s="6" t="str">
        <f>HYPERLINK("https://twitter.com/reddit_ml","@reddit_ml")</f>
        <v>@reddit_ml</v>
      </c>
      <c r="C2162" s="14" t="s">
        <v>2744</v>
      </c>
      <c r="D2162" s="14" t="s">
        <v>8555</v>
      </c>
      <c r="E2162" s="6" t="str">
        <f>HYPERLINK("https://twitter.com/reddit_ml/status/1364017140362321924","1364017140362321924")</f>
        <v>1364017140362321924</v>
      </c>
      <c r="F2162" s="7" t="s">
        <v>8556</v>
      </c>
      <c r="G2162" s="8"/>
      <c r="H2162" s="8"/>
      <c r="I2162" s="14">
        <v>0</v>
      </c>
      <c r="J2162" s="14">
        <v>0</v>
      </c>
      <c r="K2162" s="6" t="str">
        <f>HYPERLINK("https://www.reddit.com/r/MachineLearning/","reddit-ml-bot")</f>
        <v>reddit-ml-bot</v>
      </c>
      <c r="L2162" s="15">
        <v>411</v>
      </c>
      <c r="M2162" s="15">
        <v>93</v>
      </c>
      <c r="N2162" s="15">
        <v>35</v>
      </c>
      <c r="O2162" s="9"/>
      <c r="P2162" s="10">
        <v>42527.844641203701</v>
      </c>
      <c r="Q2162" s="8"/>
      <c r="R2162" s="8"/>
      <c r="S2162" s="7" t="s">
        <v>2746</v>
      </c>
      <c r="T2162" s="8"/>
      <c r="U2162" s="11" t="str">
        <f>HYPERLINK("https://pbs.twimg.com/profile_images/739887457206996992/9NUmKQvu.jpg","View")</f>
        <v>View</v>
      </c>
      <c r="V2162" s="8"/>
      <c r="W2162" s="8"/>
      <c r="X2162" s="8"/>
      <c r="Y2162" s="8"/>
      <c r="Z2162" s="8"/>
    </row>
    <row r="2163" spans="1:26" ht="13.2">
      <c r="A2163" s="13">
        <v>44250.083356481482</v>
      </c>
      <c r="B2163" s="6" t="str">
        <f>HYPERLINK("https://twitter.com/LaForge_AI","@LaForge_AI")</f>
        <v>@LaForge_AI</v>
      </c>
      <c r="C2163" s="14" t="s">
        <v>102</v>
      </c>
      <c r="D2163" s="14" t="s">
        <v>8557</v>
      </c>
      <c r="E2163" s="6" t="str">
        <f>HYPERLINK("https://twitter.com/LaForge_AI/status/1364017138646872067","1364017138646872067")</f>
        <v>1364017138646872067</v>
      </c>
      <c r="F2163" s="7" t="s">
        <v>8558</v>
      </c>
      <c r="G2163" s="7" t="s">
        <v>8559</v>
      </c>
      <c r="H2163" s="8"/>
      <c r="I2163" s="14">
        <v>8</v>
      </c>
      <c r="J2163" s="14">
        <v>5</v>
      </c>
      <c r="K2163" s="6" t="str">
        <f>HYPERLINK("https://www.la-forge.ai","Rss2Twitter for La Forge")</f>
        <v>Rss2Twitter for La Forge</v>
      </c>
      <c r="L2163" s="15">
        <v>9854</v>
      </c>
      <c r="M2163" s="15">
        <v>10507</v>
      </c>
      <c r="N2163" s="15">
        <v>126</v>
      </c>
      <c r="O2163" s="9"/>
      <c r="P2163" s="10">
        <v>43660.755891203706</v>
      </c>
      <c r="Q2163" s="14" t="s">
        <v>106</v>
      </c>
      <c r="R2163" s="14" t="s">
        <v>107</v>
      </c>
      <c r="S2163" s="7" t="s">
        <v>108</v>
      </c>
      <c r="T2163" s="8"/>
      <c r="U2163" s="11" t="str">
        <f>HYPERLINK("https://pbs.twimg.com/profile_images/1261961910020423681/fC-WUmbt.jpg","View")</f>
        <v>View</v>
      </c>
      <c r="V2163" s="8"/>
      <c r="W2163" s="8"/>
      <c r="X2163" s="8"/>
      <c r="Y2163" s="8"/>
      <c r="Z2163" s="8"/>
    </row>
    <row r="2164" spans="1:26" ht="13.2">
      <c r="A2164" s="13">
        <v>44250.082349537042</v>
      </c>
      <c r="B2164" s="6" t="str">
        <f>HYPERLINK("https://twitter.com/Innovat78455398","@Innovat78455398")</f>
        <v>@Innovat78455398</v>
      </c>
      <c r="C2164" s="14" t="s">
        <v>4318</v>
      </c>
      <c r="D2164" s="14" t="s">
        <v>8560</v>
      </c>
      <c r="E2164" s="6" t="str">
        <f>HYPERLINK("https://twitter.com/Innovat78455398/status/1364016773465468930","1364016773465468930")</f>
        <v>1364016773465468930</v>
      </c>
      <c r="F2164" s="7" t="s">
        <v>8561</v>
      </c>
      <c r="G2164" s="7" t="s">
        <v>8562</v>
      </c>
      <c r="H2164" s="8"/>
      <c r="I2164" s="14">
        <v>18</v>
      </c>
      <c r="J2164" s="14">
        <v>6</v>
      </c>
      <c r="K2164" s="6" t="str">
        <f>HYPERLINK("https://mobile.twitter.com","Twitter Web App")</f>
        <v>Twitter Web App</v>
      </c>
      <c r="L2164" s="15">
        <v>101</v>
      </c>
      <c r="M2164" s="15">
        <v>142</v>
      </c>
      <c r="N2164" s="15">
        <v>1</v>
      </c>
      <c r="O2164" s="9"/>
      <c r="P2164" s="10">
        <v>44075.047534722224</v>
      </c>
      <c r="Q2164" s="14" t="s">
        <v>623</v>
      </c>
      <c r="R2164" s="14" t="s">
        <v>4322</v>
      </c>
      <c r="S2164" s="8"/>
      <c r="T2164" s="8"/>
      <c r="U2164" s="11" t="str">
        <f>HYPERLINK("https://pbs.twimg.com/profile_images/1300571380098850818/YjKI8L9l.jpg","View")</f>
        <v>View</v>
      </c>
      <c r="V2164" s="8"/>
      <c r="W2164" s="8"/>
      <c r="X2164" s="8"/>
      <c r="Y2164" s="8"/>
      <c r="Z2164" s="8"/>
    </row>
    <row r="2165" spans="1:26" ht="13.2">
      <c r="A2165" s="13">
        <v>44250.079895833333</v>
      </c>
      <c r="B2165" s="6" t="str">
        <f>HYPERLINK("https://twitter.com/Financedata1","@Financedata1")</f>
        <v>@Financedata1</v>
      </c>
      <c r="C2165" s="14" t="s">
        <v>2215</v>
      </c>
      <c r="D2165" s="14" t="s">
        <v>8563</v>
      </c>
      <c r="E2165" s="6" t="str">
        <f>HYPERLINK("https://twitter.com/Financedata1/status/1364015881555116034","1364015881555116034")</f>
        <v>1364015881555116034</v>
      </c>
      <c r="F2165" s="7" t="s">
        <v>8564</v>
      </c>
      <c r="G2165" s="8"/>
      <c r="H2165" s="8"/>
      <c r="I2165" s="14">
        <v>6</v>
      </c>
      <c r="J2165" s="14">
        <v>0</v>
      </c>
      <c r="K2165" s="6" t="str">
        <f>HYPERLINK("https://dlvrit.com/","dlvr.it")</f>
        <v>dlvr.it</v>
      </c>
      <c r="L2165" s="15">
        <v>1123</v>
      </c>
      <c r="M2165" s="15">
        <v>2408</v>
      </c>
      <c r="N2165" s="15">
        <v>6</v>
      </c>
      <c r="O2165" s="9"/>
      <c r="P2165" s="10">
        <v>44009.041550925926</v>
      </c>
      <c r="Q2165" s="14" t="s">
        <v>1815</v>
      </c>
      <c r="R2165" s="14" t="s">
        <v>2218</v>
      </c>
      <c r="S2165" s="8"/>
      <c r="T2165" s="8"/>
      <c r="U2165" s="11" t="str">
        <f>HYPERLINK("https://pbs.twimg.com/profile_images/1276887152488579072/N1Dr3txg.jpg","View")</f>
        <v>View</v>
      </c>
      <c r="V2165" s="8"/>
      <c r="W2165" s="8"/>
      <c r="X2165" s="8"/>
      <c r="Y2165" s="8"/>
      <c r="Z2165" s="8"/>
    </row>
    <row r="2166" spans="1:26" ht="13.2">
      <c r="A2166" s="13">
        <v>44250.078993055555</v>
      </c>
      <c r="B2166" s="6" t="str">
        <f>HYPERLINK("https://twitter.com/Innovat78455398","@Innovat78455398")</f>
        <v>@Innovat78455398</v>
      </c>
      <c r="C2166" s="14" t="s">
        <v>4318</v>
      </c>
      <c r="D2166" s="14" t="s">
        <v>8565</v>
      </c>
      <c r="E2166" s="6" t="str">
        <f>HYPERLINK("https://twitter.com/Innovat78455398/status/1364015557641523201","1364015557641523201")</f>
        <v>1364015557641523201</v>
      </c>
      <c r="F2166" s="7" t="s">
        <v>8566</v>
      </c>
      <c r="G2166" s="7" t="s">
        <v>8567</v>
      </c>
      <c r="H2166" s="8"/>
      <c r="I2166" s="14">
        <v>19</v>
      </c>
      <c r="J2166" s="14">
        <v>6</v>
      </c>
      <c r="K2166" s="6" t="str">
        <f>HYPERLINK("https://mobile.twitter.com","Twitter Web App")</f>
        <v>Twitter Web App</v>
      </c>
      <c r="L2166" s="15">
        <v>101</v>
      </c>
      <c r="M2166" s="15">
        <v>142</v>
      </c>
      <c r="N2166" s="15">
        <v>1</v>
      </c>
      <c r="O2166" s="9"/>
      <c r="P2166" s="10">
        <v>44075.047534722224</v>
      </c>
      <c r="Q2166" s="14" t="s">
        <v>623</v>
      </c>
      <c r="R2166" s="14" t="s">
        <v>4322</v>
      </c>
      <c r="S2166" s="8"/>
      <c r="T2166" s="8"/>
      <c r="U2166" s="11" t="str">
        <f>HYPERLINK("https://pbs.twimg.com/profile_images/1300571380098850818/YjKI8L9l.jpg","View")</f>
        <v>View</v>
      </c>
      <c r="V2166" s="8"/>
      <c r="W2166" s="8"/>
      <c r="X2166" s="8"/>
      <c r="Y2166" s="8"/>
      <c r="Z2166" s="8"/>
    </row>
    <row r="2167" spans="1:26" ht="13.2">
      <c r="A2167" s="13">
        <v>44250.07811342593</v>
      </c>
      <c r="B2167" s="6" t="str">
        <f>HYPERLINK("https://twitter.com/islanderrobotic","@islanderrobotic")</f>
        <v>@islanderrobotic</v>
      </c>
      <c r="C2167" s="14" t="s">
        <v>8568</v>
      </c>
      <c r="D2167" s="14" t="s">
        <v>8569</v>
      </c>
      <c r="E2167" s="6" t="str">
        <f>HYPERLINK("https://twitter.com/islanderrobotic/status/1364015236618010626","1364015236618010626")</f>
        <v>1364015236618010626</v>
      </c>
      <c r="F2167" s="7" t="s">
        <v>8570</v>
      </c>
      <c r="G2167" s="7" t="s">
        <v>8571</v>
      </c>
      <c r="H2167" s="8"/>
      <c r="I2167" s="14">
        <v>12</v>
      </c>
      <c r="J2167" s="14">
        <v>8</v>
      </c>
      <c r="K2167" s="6" t="str">
        <f>HYPERLINK("http://twitter.com/download/iphone","Twitter for iPhone")</f>
        <v>Twitter for iPhone</v>
      </c>
      <c r="L2167" s="15">
        <v>8</v>
      </c>
      <c r="M2167" s="15">
        <v>24</v>
      </c>
      <c r="N2167" s="15">
        <v>0</v>
      </c>
      <c r="O2167" s="9"/>
      <c r="P2167" s="10">
        <v>44074.709062499998</v>
      </c>
      <c r="Q2167" s="8"/>
      <c r="R2167" s="14" t="s">
        <v>8572</v>
      </c>
      <c r="S2167" s="7" t="s">
        <v>8573</v>
      </c>
      <c r="T2167" s="8"/>
      <c r="U2167" s="11" t="str">
        <f>HYPERLINK("https://pbs.twimg.com/profile_images/1300448607393533953/7ARQS0Od.jpg","View")</f>
        <v>View</v>
      </c>
      <c r="V2167" s="8"/>
      <c r="W2167" s="8"/>
      <c r="X2167" s="8"/>
      <c r="Y2167" s="8"/>
      <c r="Z2167" s="8"/>
    </row>
    <row r="2168" spans="1:26" ht="13.2">
      <c r="A2168" s="13">
        <v>44250.077465277776</v>
      </c>
      <c r="B2168" s="6" t="str">
        <f>HYPERLINK("https://twitter.com/enderton_justin","@enderton_justin")</f>
        <v>@enderton_justin</v>
      </c>
      <c r="C2168" s="14" t="s">
        <v>7768</v>
      </c>
      <c r="D2168" s="14" t="s">
        <v>1369</v>
      </c>
      <c r="E2168" s="6" t="str">
        <f>HYPERLINK("https://twitter.com/enderton_justin/status/1364015004014571521","1364015004014571521")</f>
        <v>1364015004014571521</v>
      </c>
      <c r="F2168" s="14" t="s">
        <v>1370</v>
      </c>
      <c r="G2168" s="8"/>
      <c r="H2168" s="8"/>
      <c r="I2168" s="14">
        <v>0</v>
      </c>
      <c r="J2168" s="14">
        <v>1</v>
      </c>
      <c r="K2168" s="6" t="str">
        <f>HYPERLINK("http://twinybots.com","TwinyBots")</f>
        <v>TwinyBots</v>
      </c>
      <c r="L2168" s="15">
        <v>2265</v>
      </c>
      <c r="M2168" s="15">
        <v>4347</v>
      </c>
      <c r="N2168" s="15">
        <v>11</v>
      </c>
      <c r="O2168" s="9"/>
      <c r="P2168" s="10">
        <v>42257.204351851848</v>
      </c>
      <c r="Q2168" s="14" t="s">
        <v>322</v>
      </c>
      <c r="R2168" s="14" t="s">
        <v>7770</v>
      </c>
      <c r="S2168" s="7" t="s">
        <v>7771</v>
      </c>
      <c r="T2168" s="8"/>
      <c r="U2168" s="11" t="str">
        <f>HYPERLINK("https://pbs.twimg.com/profile_images/820170359970246656/ReYplGDA.jpg","View")</f>
        <v>View</v>
      </c>
      <c r="V2168" s="8"/>
      <c r="W2168" s="8"/>
      <c r="X2168" s="8"/>
      <c r="Y2168" s="8"/>
      <c r="Z2168" s="8"/>
    </row>
    <row r="2169" spans="1:26" ht="13.2">
      <c r="A2169" s="13">
        <v>44250.077013888891</v>
      </c>
      <c r="B2169" s="6" t="str">
        <f>HYPERLINK("https://twitter.com/marycamacho","@marycamacho")</f>
        <v>@marycamacho</v>
      </c>
      <c r="C2169" s="14" t="s">
        <v>8574</v>
      </c>
      <c r="D2169" s="14" t="s">
        <v>8575</v>
      </c>
      <c r="E2169" s="6" t="str">
        <f>HYPERLINK("https://twitter.com/marycamacho/status/1364014837186052097","1364014837186052097")</f>
        <v>1364014837186052097</v>
      </c>
      <c r="F2169" s="14" t="s">
        <v>8576</v>
      </c>
      <c r="G2169" s="8"/>
      <c r="H2169" s="8"/>
      <c r="I2169" s="14">
        <v>7</v>
      </c>
      <c r="J2169" s="14">
        <v>32</v>
      </c>
      <c r="K2169" s="6" t="str">
        <f>HYPERLINK("http://twitter.com/download/android","Twitter for Android")</f>
        <v>Twitter for Android</v>
      </c>
      <c r="L2169" s="15">
        <v>3092</v>
      </c>
      <c r="M2169" s="15">
        <v>680</v>
      </c>
      <c r="N2169" s="15">
        <v>106</v>
      </c>
      <c r="O2169" s="9"/>
      <c r="P2169" s="10">
        <v>39832.745370370372</v>
      </c>
      <c r="Q2169" s="14" t="s">
        <v>8577</v>
      </c>
      <c r="R2169" s="14" t="s">
        <v>8578</v>
      </c>
      <c r="S2169" s="7" t="s">
        <v>8579</v>
      </c>
      <c r="T2169" s="8"/>
      <c r="U2169" s="11" t="str">
        <f>HYPERLINK("https://pbs.twimg.com/profile_images/864500954149695488/4yupqf-q.jpg","View")</f>
        <v>View</v>
      </c>
      <c r="V2169" s="8"/>
      <c r="W2169" s="8"/>
      <c r="X2169" s="8"/>
      <c r="Y2169" s="8"/>
      <c r="Z2169" s="8"/>
    </row>
    <row r="2170" spans="1:26" ht="13.2">
      <c r="A2170" s="13">
        <v>44250.076469907406</v>
      </c>
      <c r="B2170" s="6" t="str">
        <f>HYPERLINK("https://twitter.com/biconnections","@biconnections")</f>
        <v>@biconnections</v>
      </c>
      <c r="C2170" s="14" t="s">
        <v>8580</v>
      </c>
      <c r="D2170" s="14" t="s">
        <v>8581</v>
      </c>
      <c r="E2170" s="6" t="str">
        <f>HYPERLINK("https://twitter.com/biconnections/status/1364014643396694022","1364014643396694022")</f>
        <v>1364014643396694022</v>
      </c>
      <c r="F2170" s="7" t="s">
        <v>8582</v>
      </c>
      <c r="G2170" s="7" t="s">
        <v>8583</v>
      </c>
      <c r="H2170" s="8"/>
      <c r="I2170" s="14">
        <v>0</v>
      </c>
      <c r="J2170" s="14">
        <v>0</v>
      </c>
      <c r="K2170" s="6" t="str">
        <f>HYPERLINK("https://mobile.twitter.com","Twitter Web App")</f>
        <v>Twitter Web App</v>
      </c>
      <c r="L2170" s="15">
        <v>64769</v>
      </c>
      <c r="M2170" s="15">
        <v>53250</v>
      </c>
      <c r="N2170" s="15">
        <v>11963</v>
      </c>
      <c r="O2170" s="9"/>
      <c r="P2170" s="10">
        <v>40970.494305555556</v>
      </c>
      <c r="Q2170" s="14" t="s">
        <v>1079</v>
      </c>
      <c r="R2170" s="14" t="s">
        <v>8584</v>
      </c>
      <c r="S2170" s="7" t="s">
        <v>8585</v>
      </c>
      <c r="T2170" s="8"/>
      <c r="U2170" s="11" t="str">
        <f>HYPERLINK("https://pbs.twimg.com/profile_images/1866862979/50519_388209157862059_947380685_n.jpg","View")</f>
        <v>View</v>
      </c>
      <c r="V2170" s="8"/>
      <c r="W2170" s="8"/>
      <c r="X2170" s="8"/>
      <c r="Y2170" s="8"/>
      <c r="Z2170" s="8"/>
    </row>
    <row r="2171" spans="1:26" ht="13.2">
      <c r="A2171" s="13">
        <v>44250.076423611114</v>
      </c>
      <c r="B2171" s="6" t="str">
        <f>HYPERLINK("https://twitter.com/into_AI","@into_AI")</f>
        <v>@into_AI</v>
      </c>
      <c r="C2171" s="14" t="s">
        <v>2021</v>
      </c>
      <c r="D2171" s="14" t="s">
        <v>8586</v>
      </c>
      <c r="E2171" s="6" t="str">
        <f>HYPERLINK("https://twitter.com/into_AI/status/1364014624111222784","1364014624111222784")</f>
        <v>1364014624111222784</v>
      </c>
      <c r="F2171" s="7" t="s">
        <v>8587</v>
      </c>
      <c r="G2171" s="8"/>
      <c r="H2171" s="8"/>
      <c r="I2171" s="14">
        <v>2</v>
      </c>
      <c r="J2171" s="14">
        <v>1</v>
      </c>
      <c r="K2171" s="6" t="str">
        <f>HYPERLINK("http://into.AI","into.AI")</f>
        <v>into.AI</v>
      </c>
      <c r="L2171" s="15">
        <v>19374</v>
      </c>
      <c r="M2171" s="15">
        <v>1707</v>
      </c>
      <c r="N2171" s="15">
        <v>3164</v>
      </c>
      <c r="O2171" s="9"/>
      <c r="P2171" s="10">
        <v>42133.721620370372</v>
      </c>
      <c r="Q2171" s="14" t="s">
        <v>2024</v>
      </c>
      <c r="R2171" s="14" t="s">
        <v>2025</v>
      </c>
      <c r="S2171" s="7" t="s">
        <v>2026</v>
      </c>
      <c r="T2171" s="8"/>
      <c r="U2171" s="11" t="str">
        <f>HYPERLINK("https://pbs.twimg.com/profile_images/967341160124608512/LM2Y5Q5m.jpg","View")</f>
        <v>View</v>
      </c>
      <c r="V2171" s="8"/>
      <c r="W2171" s="8"/>
      <c r="X2171" s="8"/>
      <c r="Y2171" s="8"/>
      <c r="Z2171" s="8"/>
    </row>
    <row r="2172" spans="1:26" ht="13.2">
      <c r="A2172" s="13">
        <v>44250.073958333334</v>
      </c>
      <c r="B2172" s="6" t="str">
        <f>HYPERLINK("https://twitter.com/rasangarocks","@rasangarocks")</f>
        <v>@rasangarocks</v>
      </c>
      <c r="C2172" s="14" t="s">
        <v>5437</v>
      </c>
      <c r="D2172" s="14" t="s">
        <v>8588</v>
      </c>
      <c r="E2172" s="6" t="str">
        <f>HYPERLINK("https://twitter.com/rasangarocks/status/1364013730166575104","1364013730166575104")</f>
        <v>1364013730166575104</v>
      </c>
      <c r="F2172" s="7" t="s">
        <v>8589</v>
      </c>
      <c r="G2172" s="8"/>
      <c r="H2172" s="8"/>
      <c r="I2172" s="14">
        <v>31</v>
      </c>
      <c r="J2172" s="14">
        <v>9</v>
      </c>
      <c r="K2172" s="6" t="str">
        <f>HYPERLINK("https://mobile.twitter.com","Twitter Web App")</f>
        <v>Twitter Web App</v>
      </c>
      <c r="L2172" s="15">
        <v>50654</v>
      </c>
      <c r="M2172" s="15">
        <v>49987</v>
      </c>
      <c r="N2172" s="15">
        <v>624</v>
      </c>
      <c r="O2172" s="9"/>
      <c r="P2172" s="10">
        <v>42071.75949074074</v>
      </c>
      <c r="Q2172" s="8"/>
      <c r="R2172" s="14" t="s">
        <v>5440</v>
      </c>
      <c r="S2172" s="7" t="s">
        <v>5441</v>
      </c>
      <c r="T2172" s="8"/>
      <c r="U2172" s="11" t="str">
        <f>HYPERLINK("https://pbs.twimg.com/profile_images/771872242300956672/j1H-OInO.jpg","View")</f>
        <v>View</v>
      </c>
      <c r="V2172" s="8"/>
      <c r="W2172" s="8"/>
      <c r="X2172" s="8"/>
      <c r="Y2172" s="8"/>
      <c r="Z2172" s="8"/>
    </row>
    <row r="2173" spans="1:26" ht="13.2">
      <c r="A2173" s="13">
        <v>44250.073773148149</v>
      </c>
      <c r="B2173" s="6" t="str">
        <f>HYPERLINK("https://twitter.com/visitors_i","@visitors_i")</f>
        <v>@visitors_i</v>
      </c>
      <c r="C2173" s="14" t="s">
        <v>8590</v>
      </c>
      <c r="D2173" s="14" t="s">
        <v>8591</v>
      </c>
      <c r="E2173" s="6" t="str">
        <f>HYPERLINK("https://twitter.com/visitors_i/status/1364013666429886469","1364013666429886469")</f>
        <v>1364013666429886469</v>
      </c>
      <c r="F2173" s="8"/>
      <c r="G2173" s="7" t="s">
        <v>8592</v>
      </c>
      <c r="H2173" s="8"/>
      <c r="I2173" s="14">
        <v>2</v>
      </c>
      <c r="J2173" s="14">
        <v>1</v>
      </c>
      <c r="K2173" s="6" t="str">
        <f>HYPERLINK("http://twitter.com/download/android","Twitter for Android")</f>
        <v>Twitter for Android</v>
      </c>
      <c r="L2173" s="15">
        <v>40</v>
      </c>
      <c r="M2173" s="15">
        <v>94</v>
      </c>
      <c r="N2173" s="15">
        <v>2</v>
      </c>
      <c r="O2173" s="9"/>
      <c r="P2173" s="10">
        <v>44073.923831018517</v>
      </c>
      <c r="Q2173" s="8"/>
      <c r="R2173" s="14" t="s">
        <v>8593</v>
      </c>
      <c r="S2173" s="7" t="s">
        <v>8594</v>
      </c>
      <c r="T2173" s="8"/>
      <c r="U2173" s="11" t="str">
        <f>HYPERLINK("https://pbs.twimg.com/profile_images/1360914180061077510/7l8EtQoi.jpg","View")</f>
        <v>View</v>
      </c>
      <c r="V2173" s="8"/>
      <c r="W2173" s="8"/>
      <c r="X2173" s="8"/>
      <c r="Y2173" s="8"/>
      <c r="Z2173" s="8"/>
    </row>
    <row r="2174" spans="1:26" ht="13.2">
      <c r="A2174" s="13">
        <v>44250.073414351849</v>
      </c>
      <c r="B2174" s="6" t="str">
        <f>HYPERLINK("https://twitter.com/ai_summary","@ai_summary")</f>
        <v>@ai_summary</v>
      </c>
      <c r="C2174" s="14" t="s">
        <v>528</v>
      </c>
      <c r="D2174" s="14" t="s">
        <v>8595</v>
      </c>
      <c r="E2174" s="6" t="str">
        <f>HYPERLINK("https://twitter.com/ai_summary/status/1364013533290237956","1364013533290237956")</f>
        <v>1364013533290237956</v>
      </c>
      <c r="F2174" s="7" t="s">
        <v>8596</v>
      </c>
      <c r="G2174" s="8"/>
      <c r="H2174" s="8"/>
      <c r="I2174" s="14">
        <v>3</v>
      </c>
      <c r="J2174" s="14">
        <v>0</v>
      </c>
      <c r="K2174" s="8"/>
      <c r="L2174" s="15">
        <v>47</v>
      </c>
      <c r="M2174" s="15">
        <v>7</v>
      </c>
      <c r="N2174" s="15">
        <v>2</v>
      </c>
      <c r="O2174" s="9"/>
      <c r="P2174" s="10">
        <v>44039.504699074074</v>
      </c>
      <c r="Q2174" s="8"/>
      <c r="R2174" s="14" t="s">
        <v>531</v>
      </c>
      <c r="S2174" s="8"/>
      <c r="T2174" s="8"/>
      <c r="U2174" s="11" t="str">
        <f>HYPERLINK("https://pbs.twimg.com/profile_images/1315240281206382592/-i10o6Yg.jpg","View")</f>
        <v>View</v>
      </c>
      <c r="V2174" s="8"/>
      <c r="W2174" s="8"/>
      <c r="X2174" s="8"/>
      <c r="Y2174" s="8"/>
      <c r="Z2174" s="8"/>
    </row>
    <row r="2175" spans="1:26" ht="13.2">
      <c r="A2175" s="13">
        <v>44250.072962962964</v>
      </c>
      <c r="B2175" s="6" t="str">
        <f>HYPERLINK("https://twitter.com/ipfconline1","@ipfconline1")</f>
        <v>@ipfconline1</v>
      </c>
      <c r="C2175" s="14" t="s">
        <v>65</v>
      </c>
      <c r="D2175" s="14" t="s">
        <v>8597</v>
      </c>
      <c r="E2175" s="6" t="str">
        <f>HYPERLINK("https://twitter.com/ipfconline1/status/1364013372484841475","1364013372484841475")</f>
        <v>1364013372484841475</v>
      </c>
      <c r="F2175" s="7" t="s">
        <v>8598</v>
      </c>
      <c r="G2175" s="7" t="s">
        <v>8599</v>
      </c>
      <c r="H2175" s="8"/>
      <c r="I2175" s="14">
        <v>12</v>
      </c>
      <c r="J2175" s="14">
        <v>13</v>
      </c>
      <c r="K2175" s="6" t="str">
        <f>HYPERLINK("https://twittimer.com","Twittimer")</f>
        <v>Twittimer</v>
      </c>
      <c r="L2175" s="15">
        <v>112675</v>
      </c>
      <c r="M2175" s="15">
        <v>107162</v>
      </c>
      <c r="N2175" s="15">
        <v>7806</v>
      </c>
      <c r="O2175" s="9"/>
      <c r="P2175" s="10">
        <v>42433.031967592593</v>
      </c>
      <c r="Q2175" s="14" t="s">
        <v>69</v>
      </c>
      <c r="R2175" s="14" t="s">
        <v>70</v>
      </c>
      <c r="S2175" s="7" t="s">
        <v>71</v>
      </c>
      <c r="T2175" s="8"/>
      <c r="U2175" s="11" t="str">
        <f>HYPERLINK("https://pbs.twimg.com/profile_images/729065804004769793/St2_Pum9.jpg","View")</f>
        <v>View</v>
      </c>
      <c r="V2175" s="8"/>
      <c r="W2175" s="8"/>
      <c r="X2175" s="8"/>
      <c r="Y2175" s="8"/>
      <c r="Z2175" s="8"/>
    </row>
    <row r="2176" spans="1:26" ht="13.2">
      <c r="A2176" s="13">
        <v>44250.071909722217</v>
      </c>
      <c r="B2176" s="6" t="str">
        <f>HYPERLINK("https://twitter.com/Synced_Global","@Synced_Global")</f>
        <v>@Synced_Global</v>
      </c>
      <c r="C2176" s="14" t="s">
        <v>1339</v>
      </c>
      <c r="D2176" s="14" t="s">
        <v>8600</v>
      </c>
      <c r="E2176" s="6" t="str">
        <f>HYPERLINK("https://twitter.com/Synced_Global/status/1364012989960003584","1364012989960003584")</f>
        <v>1364012989960003584</v>
      </c>
      <c r="F2176" s="7" t="s">
        <v>8601</v>
      </c>
      <c r="G2176" s="8"/>
      <c r="H2176" s="8"/>
      <c r="I2176" s="14">
        <v>0</v>
      </c>
      <c r="J2176" s="14">
        <v>2</v>
      </c>
      <c r="K2176" s="6" t="str">
        <f t="shared" ref="K2176:K2178" si="388">HYPERLINK("https://mobile.twitter.com","Twitter Web App")</f>
        <v>Twitter Web App</v>
      </c>
      <c r="L2176" s="15">
        <v>3608</v>
      </c>
      <c r="M2176" s="15">
        <v>251</v>
      </c>
      <c r="N2176" s="15">
        <v>118</v>
      </c>
      <c r="O2176" s="9"/>
      <c r="P2176" s="10">
        <v>42748.499421296292</v>
      </c>
      <c r="Q2176" s="14" t="s">
        <v>696</v>
      </c>
      <c r="R2176" s="14" t="s">
        <v>1343</v>
      </c>
      <c r="S2176" s="7" t="s">
        <v>1344</v>
      </c>
      <c r="T2176" s="8"/>
      <c r="U2176" s="11" t="str">
        <f>HYPERLINK("https://pbs.twimg.com/profile_images/895029477192851456/7dh0KKva.jpg","View")</f>
        <v>View</v>
      </c>
      <c r="V2176" s="8"/>
      <c r="W2176" s="8"/>
      <c r="X2176" s="8"/>
      <c r="Y2176" s="8"/>
      <c r="Z2176" s="8"/>
    </row>
    <row r="2177" spans="1:26" ht="13.2">
      <c r="A2177" s="13">
        <v>44250.071770833332</v>
      </c>
      <c r="B2177" s="6" t="str">
        <f t="shared" ref="B2177:B2178" si="389">HYPERLINK("https://twitter.com/Innovat78455398","@Innovat78455398")</f>
        <v>@Innovat78455398</v>
      </c>
      <c r="C2177" s="14" t="s">
        <v>4318</v>
      </c>
      <c r="D2177" s="14" t="s">
        <v>8602</v>
      </c>
      <c r="E2177" s="6" t="str">
        <f>HYPERLINK("https://twitter.com/Innovat78455398/status/1364012937355034624","1364012937355034624")</f>
        <v>1364012937355034624</v>
      </c>
      <c r="F2177" s="14" t="s">
        <v>8603</v>
      </c>
      <c r="G2177" s="7" t="s">
        <v>8604</v>
      </c>
      <c r="H2177" s="8"/>
      <c r="I2177" s="14">
        <v>14</v>
      </c>
      <c r="J2177" s="14">
        <v>8</v>
      </c>
      <c r="K2177" s="6" t="str">
        <f t="shared" si="388"/>
        <v>Twitter Web App</v>
      </c>
      <c r="L2177" s="15">
        <v>101</v>
      </c>
      <c r="M2177" s="15">
        <v>142</v>
      </c>
      <c r="N2177" s="15">
        <v>1</v>
      </c>
      <c r="O2177" s="9"/>
      <c r="P2177" s="10">
        <v>44075.047534722224</v>
      </c>
      <c r="Q2177" s="14" t="s">
        <v>623</v>
      </c>
      <c r="R2177" s="14" t="s">
        <v>4322</v>
      </c>
      <c r="S2177" s="8"/>
      <c r="T2177" s="8"/>
      <c r="U2177" s="11" t="str">
        <f t="shared" ref="U2177:U2178" si="390">HYPERLINK("https://pbs.twimg.com/profile_images/1300571380098850818/YjKI8L9l.jpg","View")</f>
        <v>View</v>
      </c>
      <c r="V2177" s="8"/>
      <c r="W2177" s="8"/>
      <c r="X2177" s="8"/>
      <c r="Y2177" s="8"/>
      <c r="Z2177" s="8"/>
    </row>
    <row r="2178" spans="1:26" ht="13.2">
      <c r="A2178" s="13">
        <v>44250.070740740739</v>
      </c>
      <c r="B2178" s="6" t="str">
        <f t="shared" si="389"/>
        <v>@Innovat78455398</v>
      </c>
      <c r="C2178" s="14" t="s">
        <v>4318</v>
      </c>
      <c r="D2178" s="14" t="s">
        <v>8605</v>
      </c>
      <c r="E2178" s="6" t="str">
        <f>HYPERLINK("https://twitter.com/Innovat78455398/status/1364012565710299137","1364012565710299137")</f>
        <v>1364012565710299137</v>
      </c>
      <c r="F2178" s="7" t="s">
        <v>8606</v>
      </c>
      <c r="G2178" s="7" t="s">
        <v>8607</v>
      </c>
      <c r="H2178" s="8"/>
      <c r="I2178" s="14">
        <v>11</v>
      </c>
      <c r="J2178" s="14">
        <v>2</v>
      </c>
      <c r="K2178" s="6" t="str">
        <f t="shared" si="388"/>
        <v>Twitter Web App</v>
      </c>
      <c r="L2178" s="15">
        <v>101</v>
      </c>
      <c r="M2178" s="15">
        <v>142</v>
      </c>
      <c r="N2178" s="15">
        <v>1</v>
      </c>
      <c r="O2178" s="9"/>
      <c r="P2178" s="10">
        <v>44075.047534722224</v>
      </c>
      <c r="Q2178" s="14" t="s">
        <v>623</v>
      </c>
      <c r="R2178" s="14" t="s">
        <v>4322</v>
      </c>
      <c r="S2178" s="8"/>
      <c r="T2178" s="8"/>
      <c r="U2178" s="11" t="str">
        <f t="shared" si="390"/>
        <v>View</v>
      </c>
      <c r="V2178" s="8"/>
      <c r="W2178" s="8"/>
      <c r="X2178" s="8"/>
      <c r="Y2178" s="8"/>
      <c r="Z2178" s="8"/>
    </row>
    <row r="2179" spans="1:26" ht="13.2">
      <c r="A2179" s="13">
        <v>44250.070497685185</v>
      </c>
      <c r="B2179" s="6" t="str">
        <f>HYPERLINK("https://twitter.com/machinelearnflx","@machinelearnflx")</f>
        <v>@machinelearnflx</v>
      </c>
      <c r="C2179" s="14" t="s">
        <v>279</v>
      </c>
      <c r="D2179" s="14" t="s">
        <v>8608</v>
      </c>
      <c r="E2179" s="6" t="str">
        <f>HYPERLINK("https://twitter.com/machinelearnflx/status/1364012478951260161","1364012478951260161")</f>
        <v>1364012478951260161</v>
      </c>
      <c r="F2179" s="7" t="s">
        <v>8609</v>
      </c>
      <c r="G2179" s="8"/>
      <c r="H2179" s="8"/>
      <c r="I2179" s="14">
        <v>6</v>
      </c>
      <c r="J2179" s="14">
        <v>7</v>
      </c>
      <c r="K2179" s="6" t="str">
        <f>HYPERLINK("https://twitter.com/pythonbot_","Postmatico")</f>
        <v>Postmatico</v>
      </c>
      <c r="L2179" s="15">
        <v>90451</v>
      </c>
      <c r="M2179" s="15">
        <v>35464</v>
      </c>
      <c r="N2179" s="15">
        <v>2228</v>
      </c>
      <c r="O2179" s="9"/>
      <c r="P2179" s="10">
        <v>42386.538865740746</v>
      </c>
      <c r="Q2179" s="8"/>
      <c r="R2179" s="14" t="s">
        <v>282</v>
      </c>
      <c r="S2179" s="7" t="s">
        <v>283</v>
      </c>
      <c r="T2179" s="8"/>
      <c r="U2179" s="11" t="str">
        <f>HYPERLINK("https://pbs.twimg.com/profile_images/688735459892195329/v8sHaWSG.jpg","View")</f>
        <v>View</v>
      </c>
      <c r="V2179" s="8"/>
      <c r="W2179" s="8"/>
      <c r="X2179" s="8"/>
      <c r="Y2179" s="8"/>
      <c r="Z2179" s="8"/>
    </row>
    <row r="2180" spans="1:26" ht="13.2">
      <c r="A2180" s="13">
        <v>44250.069895833338</v>
      </c>
      <c r="B2180" s="6" t="str">
        <f t="shared" ref="B2180:B2181" si="391">HYPERLINK("https://twitter.com/Innovat78455398","@Innovat78455398")</f>
        <v>@Innovat78455398</v>
      </c>
      <c r="C2180" s="14" t="s">
        <v>4318</v>
      </c>
      <c r="D2180" s="14" t="s">
        <v>8610</v>
      </c>
      <c r="E2180" s="6" t="str">
        <f>HYPERLINK("https://twitter.com/Innovat78455398/status/1364012259605843968","1364012259605843968")</f>
        <v>1364012259605843968</v>
      </c>
      <c r="F2180" s="7" t="s">
        <v>8611</v>
      </c>
      <c r="G2180" s="7" t="s">
        <v>8612</v>
      </c>
      <c r="H2180" s="8"/>
      <c r="I2180" s="14">
        <v>13</v>
      </c>
      <c r="J2180" s="14">
        <v>6</v>
      </c>
      <c r="K2180" s="6" t="str">
        <f t="shared" ref="K2180:K2181" si="392">HYPERLINK("https://mobile.twitter.com","Twitter Web App")</f>
        <v>Twitter Web App</v>
      </c>
      <c r="L2180" s="15">
        <v>101</v>
      </c>
      <c r="M2180" s="15">
        <v>142</v>
      </c>
      <c r="N2180" s="15">
        <v>1</v>
      </c>
      <c r="O2180" s="9"/>
      <c r="P2180" s="10">
        <v>44075.047534722224</v>
      </c>
      <c r="Q2180" s="14" t="s">
        <v>623</v>
      </c>
      <c r="R2180" s="14" t="s">
        <v>4322</v>
      </c>
      <c r="S2180" s="8"/>
      <c r="T2180" s="8"/>
      <c r="U2180" s="11" t="str">
        <f t="shared" ref="U2180:U2181" si="393">HYPERLINK("https://pbs.twimg.com/profile_images/1300571380098850818/YjKI8L9l.jpg","View")</f>
        <v>View</v>
      </c>
      <c r="V2180" s="8"/>
      <c r="W2180" s="8"/>
      <c r="X2180" s="8"/>
      <c r="Y2180" s="8"/>
      <c r="Z2180" s="8"/>
    </row>
    <row r="2181" spans="1:26" ht="13.2">
      <c r="A2181" s="13">
        <v>44250.068761574075</v>
      </c>
      <c r="B2181" s="6" t="str">
        <f t="shared" si="391"/>
        <v>@Innovat78455398</v>
      </c>
      <c r="C2181" s="14" t="s">
        <v>4318</v>
      </c>
      <c r="D2181" s="14" t="s">
        <v>8613</v>
      </c>
      <c r="E2181" s="6" t="str">
        <f>HYPERLINK("https://twitter.com/Innovat78455398/status/1364011849126006784","1364011849126006784")</f>
        <v>1364011849126006784</v>
      </c>
      <c r="F2181" s="7" t="s">
        <v>8614</v>
      </c>
      <c r="G2181" s="7" t="s">
        <v>8615</v>
      </c>
      <c r="H2181" s="8"/>
      <c r="I2181" s="14">
        <v>18</v>
      </c>
      <c r="J2181" s="14">
        <v>9</v>
      </c>
      <c r="K2181" s="6" t="str">
        <f t="shared" si="392"/>
        <v>Twitter Web App</v>
      </c>
      <c r="L2181" s="15">
        <v>101</v>
      </c>
      <c r="M2181" s="15">
        <v>142</v>
      </c>
      <c r="N2181" s="15">
        <v>1</v>
      </c>
      <c r="O2181" s="9"/>
      <c r="P2181" s="10">
        <v>44075.047534722224</v>
      </c>
      <c r="Q2181" s="14" t="s">
        <v>623</v>
      </c>
      <c r="R2181" s="14" t="s">
        <v>4322</v>
      </c>
      <c r="S2181" s="8"/>
      <c r="T2181" s="8"/>
      <c r="U2181" s="11" t="str">
        <f t="shared" si="393"/>
        <v>View</v>
      </c>
      <c r="V2181" s="8"/>
      <c r="W2181" s="8"/>
      <c r="X2181" s="8"/>
      <c r="Y2181" s="8"/>
      <c r="Z2181" s="8"/>
    </row>
    <row r="2182" spans="1:26" ht="13.2">
      <c r="A2182" s="13">
        <v>44250.066875000004</v>
      </c>
      <c r="B2182" s="6" t="str">
        <f>HYPERLINK("https://twitter.com/amcsolutions","@amcsolutions")</f>
        <v>@amcsolutions</v>
      </c>
      <c r="C2182" s="14" t="s">
        <v>8616</v>
      </c>
      <c r="D2182" s="14" t="s">
        <v>8617</v>
      </c>
      <c r="E2182" s="6" t="str">
        <f>HYPERLINK("https://twitter.com/amcsolutions/status/1364011165123112961","1364011165123112961")</f>
        <v>1364011165123112961</v>
      </c>
      <c r="F2182" s="7" t="s">
        <v>8618</v>
      </c>
      <c r="G2182" s="8"/>
      <c r="H2182" s="8"/>
      <c r="I2182" s="14">
        <v>0</v>
      </c>
      <c r="J2182" s="14">
        <v>1</v>
      </c>
      <c r="K2182" s="6" t="str">
        <f>HYPERLINK("https://www.contentmx.com","ContentMX")</f>
        <v>ContentMX</v>
      </c>
      <c r="L2182" s="15">
        <v>697</v>
      </c>
      <c r="M2182" s="15">
        <v>1062</v>
      </c>
      <c r="N2182" s="15">
        <v>7</v>
      </c>
      <c r="O2182" s="9"/>
      <c r="P2182" s="10">
        <v>39925.357766203706</v>
      </c>
      <c r="Q2182" s="14" t="s">
        <v>8619</v>
      </c>
      <c r="R2182" s="14" t="s">
        <v>8620</v>
      </c>
      <c r="S2182" s="7" t="s">
        <v>8621</v>
      </c>
      <c r="T2182" s="8"/>
      <c r="U2182" s="11" t="str">
        <f>HYPERLINK("https://pbs.twimg.com/profile_images/1152999275304898560/-XipkD6f.jpg","View")</f>
        <v>View</v>
      </c>
      <c r="V2182" s="8"/>
      <c r="W2182" s="8"/>
      <c r="X2182" s="8"/>
      <c r="Y2182" s="8"/>
      <c r="Z2182" s="8"/>
    </row>
    <row r="2183" spans="1:26" ht="13.2">
      <c r="A2183" s="13">
        <v>44250.066018518519</v>
      </c>
      <c r="B2183" s="6" t="str">
        <f>HYPERLINK("https://twitter.com/AI_PlainEnglish","@AI_PlainEnglish")</f>
        <v>@AI_PlainEnglish</v>
      </c>
      <c r="C2183" s="14" t="s">
        <v>2282</v>
      </c>
      <c r="D2183" s="14" t="s">
        <v>8622</v>
      </c>
      <c r="E2183" s="6" t="str">
        <f>HYPERLINK("https://twitter.com/AI_PlainEnglish/status/1364010852723130371","1364010852723130371")</f>
        <v>1364010852723130371</v>
      </c>
      <c r="F2183" s="7" t="s">
        <v>8623</v>
      </c>
      <c r="G2183" s="8"/>
      <c r="H2183" s="8"/>
      <c r="I2183" s="14">
        <v>0</v>
      </c>
      <c r="J2183" s="14">
        <v>0</v>
      </c>
      <c r="K2183" s="8"/>
      <c r="L2183" s="15">
        <v>32</v>
      </c>
      <c r="M2183" s="15">
        <v>5</v>
      </c>
      <c r="N2183" s="15">
        <v>0</v>
      </c>
      <c r="O2183" s="9"/>
      <c r="P2183" s="10">
        <v>44206.451215277775</v>
      </c>
      <c r="Q2183" s="14" t="s">
        <v>2285</v>
      </c>
      <c r="R2183" s="14" t="s">
        <v>2286</v>
      </c>
      <c r="S2183" s="7" t="s">
        <v>2287</v>
      </c>
      <c r="T2183" s="8"/>
      <c r="U2183" s="11" t="str">
        <f>HYPERLINK("https://pbs.twimg.com/profile_images/1359444764098260999/C6-rgvq0.jpg","View")</f>
        <v>View</v>
      </c>
      <c r="V2183" s="8"/>
      <c r="W2183" s="8"/>
      <c r="X2183" s="8"/>
      <c r="Y2183" s="8"/>
      <c r="Z2183" s="8"/>
    </row>
    <row r="2184" spans="1:26" ht="13.2">
      <c r="A2184" s="13">
        <v>44250.065995370373</v>
      </c>
      <c r="B2184" s="6" t="str">
        <f>HYPERLINK("https://twitter.com/UCBerkeleySPH","@UCBerkeleySPH")</f>
        <v>@UCBerkeleySPH</v>
      </c>
      <c r="C2184" s="14" t="s">
        <v>8624</v>
      </c>
      <c r="D2184" s="14" t="s">
        <v>8625</v>
      </c>
      <c r="E2184" s="6" t="str">
        <f>HYPERLINK("https://twitter.com/UCBerkeleySPH/status/1364010846641393664","1364010846641393664")</f>
        <v>1364010846641393664</v>
      </c>
      <c r="F2184" s="7" t="s">
        <v>8626</v>
      </c>
      <c r="G2184" s="7" t="s">
        <v>8627</v>
      </c>
      <c r="H2184" s="8"/>
      <c r="I2184" s="14">
        <v>2</v>
      </c>
      <c r="J2184" s="14">
        <v>0</v>
      </c>
      <c r="K2184" s="6" t="str">
        <f t="shared" ref="K2184:K2185" si="394">HYPERLINK("https://www.hootsuite.com","Hootsuite Inc.")</f>
        <v>Hootsuite Inc.</v>
      </c>
      <c r="L2184" s="15">
        <v>4920</v>
      </c>
      <c r="M2184" s="15">
        <v>434</v>
      </c>
      <c r="N2184" s="15">
        <v>165</v>
      </c>
      <c r="O2184" s="9"/>
      <c r="P2184" s="10">
        <v>41432.930590277778</v>
      </c>
      <c r="Q2184" s="14" t="s">
        <v>8628</v>
      </c>
      <c r="R2184" s="14" t="s">
        <v>8629</v>
      </c>
      <c r="S2184" s="7" t="s">
        <v>8630</v>
      </c>
      <c r="T2184" s="8"/>
      <c r="U2184" s="11" t="str">
        <f>HYPERLINK("https://pbs.twimg.com/profile_images/1185262546053300224/V2kGQePH.jpg","View")</f>
        <v>View</v>
      </c>
      <c r="V2184" s="8"/>
      <c r="W2184" s="8"/>
      <c r="X2184" s="8"/>
      <c r="Y2184" s="8"/>
      <c r="Z2184" s="8"/>
    </row>
    <row r="2185" spans="1:26" ht="13.2">
      <c r="A2185" s="13">
        <v>44250.065995370373</v>
      </c>
      <c r="B2185" s="6" t="str">
        <f>HYPERLINK("https://twitter.com/BerkeleyMPH","@BerkeleyMPH")</f>
        <v>@BerkeleyMPH</v>
      </c>
      <c r="C2185" s="14" t="s">
        <v>8631</v>
      </c>
      <c r="D2185" s="14" t="s">
        <v>8625</v>
      </c>
      <c r="E2185" s="6" t="str">
        <f>HYPERLINK("https://twitter.com/BerkeleyMPH/status/1364010844204503041","1364010844204503041")</f>
        <v>1364010844204503041</v>
      </c>
      <c r="F2185" s="7" t="s">
        <v>8632</v>
      </c>
      <c r="G2185" s="8"/>
      <c r="H2185" s="8"/>
      <c r="I2185" s="14">
        <v>0</v>
      </c>
      <c r="J2185" s="14">
        <v>0</v>
      </c>
      <c r="K2185" s="6" t="str">
        <f t="shared" si="394"/>
        <v>Hootsuite Inc.</v>
      </c>
      <c r="L2185" s="15">
        <v>458</v>
      </c>
      <c r="M2185" s="15">
        <v>1031</v>
      </c>
      <c r="N2185" s="15">
        <v>6</v>
      </c>
      <c r="O2185" s="9"/>
      <c r="P2185" s="10">
        <v>42362.018541666665</v>
      </c>
      <c r="Q2185" s="14" t="s">
        <v>8628</v>
      </c>
      <c r="R2185" s="14" t="s">
        <v>8633</v>
      </c>
      <c r="S2185" s="7" t="s">
        <v>8634</v>
      </c>
      <c r="T2185" s="8"/>
      <c r="U2185" s="11" t="str">
        <f>HYPERLINK("https://pbs.twimg.com/profile_images/893564535948296192/JVoF03nG.jpg","View")</f>
        <v>View</v>
      </c>
      <c r="V2185" s="8"/>
      <c r="W2185" s="8"/>
      <c r="X2185" s="8"/>
      <c r="Y2185" s="8"/>
      <c r="Z2185" s="8"/>
    </row>
    <row r="2186" spans="1:26" ht="13.2">
      <c r="A2186" s="13">
        <v>44250.065520833334</v>
      </c>
      <c r="B2186" s="6" t="str">
        <f>HYPERLINK("https://twitter.com/Adem67139146","@Adem67139146")</f>
        <v>@Adem67139146</v>
      </c>
      <c r="C2186" s="14" t="s">
        <v>8635</v>
      </c>
      <c r="D2186" s="14" t="s">
        <v>5638</v>
      </c>
      <c r="E2186" s="6" t="str">
        <f>HYPERLINK("https://twitter.com/Adem67139146/status/1364010676017004547","1364010676017004547")</f>
        <v>1364010676017004547</v>
      </c>
      <c r="F2186" s="7" t="s">
        <v>8636</v>
      </c>
      <c r="G2186" s="7" t="s">
        <v>8637</v>
      </c>
      <c r="H2186" s="8"/>
      <c r="I2186" s="14">
        <v>0</v>
      </c>
      <c r="J2186" s="14">
        <v>0</v>
      </c>
      <c r="K2186" s="6" t="str">
        <f>HYPERLINK("http://dynamicsignal.com/","Dynamic Signal")</f>
        <v>Dynamic Signal</v>
      </c>
      <c r="L2186" s="15">
        <v>0</v>
      </c>
      <c r="M2186" s="15">
        <v>0</v>
      </c>
      <c r="N2186" s="15">
        <v>0</v>
      </c>
      <c r="O2186" s="9"/>
      <c r="P2186" s="10">
        <v>44073.521562499998</v>
      </c>
      <c r="Q2186" s="8"/>
      <c r="R2186" s="14" t="s">
        <v>8638</v>
      </c>
      <c r="S2186" s="8"/>
      <c r="T2186" s="8"/>
      <c r="U2186" s="11" t="str">
        <f>HYPERLINK("https://pbs.twimg.com/profile_images/1300018405425250307/oDRTQ1sd.jpg","View")</f>
        <v>View</v>
      </c>
      <c r="V2186" s="8"/>
      <c r="W2186" s="8"/>
      <c r="X2186" s="8"/>
      <c r="Y2186" s="8"/>
      <c r="Z2186" s="8"/>
    </row>
    <row r="2187" spans="1:26" ht="13.2">
      <c r="A2187" s="13">
        <v>44250.065300925926</v>
      </c>
      <c r="B2187" s="6" t="str">
        <f>HYPERLINK("https://twitter.com/techjunkiejh","@techjunkiejh")</f>
        <v>@techjunkiejh</v>
      </c>
      <c r="C2187" s="14" t="s">
        <v>1945</v>
      </c>
      <c r="D2187" s="14" t="s">
        <v>8639</v>
      </c>
      <c r="E2187" s="6" t="str">
        <f>HYPERLINK("https://twitter.com/techjunkiejh/status/1364010596086263808","1364010596086263808")</f>
        <v>1364010596086263808</v>
      </c>
      <c r="F2187" s="7" t="s">
        <v>8640</v>
      </c>
      <c r="G2187" s="7" t="s">
        <v>8641</v>
      </c>
      <c r="H2187" s="8"/>
      <c r="I2187" s="14">
        <v>7</v>
      </c>
      <c r="J2187" s="14">
        <v>2</v>
      </c>
      <c r="K2187" s="6" t="str">
        <f>HYPERLINK("https://buffer.com","Buffer")</f>
        <v>Buffer</v>
      </c>
      <c r="L2187" s="15">
        <v>28541</v>
      </c>
      <c r="M2187" s="15">
        <v>22044</v>
      </c>
      <c r="N2187" s="15">
        <v>6147</v>
      </c>
      <c r="O2187" s="9"/>
      <c r="P2187" s="10">
        <v>42062.082199074073</v>
      </c>
      <c r="Q2187" s="8"/>
      <c r="R2187" s="14" t="s">
        <v>1949</v>
      </c>
      <c r="S2187" s="7" t="s">
        <v>1950</v>
      </c>
      <c r="T2187" s="8"/>
      <c r="U2187" s="11" t="str">
        <f>HYPERLINK("https://pbs.twimg.com/profile_images/587160065536299009/9MBFPj6a.png","View")</f>
        <v>View</v>
      </c>
      <c r="V2187" s="8"/>
      <c r="W2187" s="8"/>
      <c r="X2187" s="8"/>
      <c r="Y2187" s="8"/>
      <c r="Z2187" s="8"/>
    </row>
    <row r="2188" spans="1:26" ht="13.2">
      <c r="A2188" s="13">
        <v>44250.062743055554</v>
      </c>
      <c r="B2188" s="6" t="str">
        <f>HYPERLINK("https://twitter.com/AustraliaAi","@AustraliaAi")</f>
        <v>@AustraliaAi</v>
      </c>
      <c r="C2188" s="14" t="s">
        <v>1962</v>
      </c>
      <c r="D2188" s="14" t="s">
        <v>8642</v>
      </c>
      <c r="E2188" s="6" t="str">
        <f>HYPERLINK("https://twitter.com/AustraliaAi/status/1364009667555450885","1364009667555450885")</f>
        <v>1364009667555450885</v>
      </c>
      <c r="F2188" s="7" t="s">
        <v>8643</v>
      </c>
      <c r="G2188" s="7" t="s">
        <v>8644</v>
      </c>
      <c r="H2188" s="8"/>
      <c r="I2188" s="14">
        <v>0</v>
      </c>
      <c r="J2188" s="14">
        <v>1</v>
      </c>
      <c r="K2188" s="6" t="str">
        <f>HYPERLINK("https://app.sendible.com","Sendible")</f>
        <v>Sendible</v>
      </c>
      <c r="L2188" s="15">
        <v>372</v>
      </c>
      <c r="M2188" s="15">
        <v>156</v>
      </c>
      <c r="N2188" s="15">
        <v>15</v>
      </c>
      <c r="O2188" s="9"/>
      <c r="P2188" s="10">
        <v>43238.426400462966</v>
      </c>
      <c r="Q2188" s="14" t="s">
        <v>1965</v>
      </c>
      <c r="R2188" s="14" t="s">
        <v>1966</v>
      </c>
      <c r="S2188" s="7" t="s">
        <v>1967</v>
      </c>
      <c r="T2188" s="8"/>
      <c r="U2188" s="11" t="str">
        <f>HYPERLINK("https://pbs.twimg.com/profile_images/997395542169694208/C8IypA30.jpg","View")</f>
        <v>View</v>
      </c>
      <c r="V2188" s="8"/>
      <c r="W2188" s="8"/>
      <c r="X2188" s="8"/>
      <c r="Y2188" s="8"/>
      <c r="Z2188" s="8"/>
    </row>
    <row r="2189" spans="1:26" ht="13.2">
      <c r="A2189" s="13">
        <v>44250.062534722223</v>
      </c>
      <c r="B2189" s="6" t="str">
        <f>HYPERLINK("https://twitter.com/bobehayes","@bobehayes")</f>
        <v>@bobehayes</v>
      </c>
      <c r="C2189" s="14" t="s">
        <v>8645</v>
      </c>
      <c r="D2189" s="14" t="s">
        <v>8646</v>
      </c>
      <c r="E2189" s="6" t="str">
        <f>HYPERLINK("https://twitter.com/bobehayes/status/1364009591084883970","1364009591084883970")</f>
        <v>1364009591084883970</v>
      </c>
      <c r="F2189" s="7" t="s">
        <v>8647</v>
      </c>
      <c r="G2189" s="8"/>
      <c r="H2189" s="8"/>
      <c r="I2189" s="14">
        <v>2</v>
      </c>
      <c r="J2189" s="14">
        <v>2</v>
      </c>
      <c r="K2189" s="6" t="str">
        <f>HYPERLINK("https://buffer.com","Buffer")</f>
        <v>Buffer</v>
      </c>
      <c r="L2189" s="15">
        <v>45597</v>
      </c>
      <c r="M2189" s="15">
        <v>754</v>
      </c>
      <c r="N2189" s="15">
        <v>2922</v>
      </c>
      <c r="O2189" s="9"/>
      <c r="P2189" s="10">
        <v>39857.246574074074</v>
      </c>
      <c r="Q2189" s="14" t="s">
        <v>8092</v>
      </c>
      <c r="R2189" s="14" t="s">
        <v>8648</v>
      </c>
      <c r="S2189" s="7" t="s">
        <v>8649</v>
      </c>
      <c r="T2189" s="8"/>
      <c r="U2189" s="11" t="str">
        <f>HYPERLINK("https://pbs.twimg.com/profile_images/1252709413401452545/60imMuqZ.jpg","View")</f>
        <v>View</v>
      </c>
      <c r="V2189" s="8"/>
      <c r="W2189" s="8"/>
      <c r="X2189" s="8"/>
      <c r="Y2189" s="8"/>
      <c r="Z2189" s="8"/>
    </row>
    <row r="2190" spans="1:26" ht="13.2">
      <c r="A2190" s="13">
        <v>44250.06251157407</v>
      </c>
      <c r="B2190" s="6" t="str">
        <f>HYPERLINK("https://twitter.com/LaForge_AI","@LaForge_AI")</f>
        <v>@LaForge_AI</v>
      </c>
      <c r="C2190" s="14" t="s">
        <v>102</v>
      </c>
      <c r="D2190" s="14" t="s">
        <v>8650</v>
      </c>
      <c r="E2190" s="6" t="str">
        <f>HYPERLINK("https://twitter.com/LaForge_AI/status/1364009582318780419","1364009582318780419")</f>
        <v>1364009582318780419</v>
      </c>
      <c r="F2190" s="7" t="s">
        <v>8651</v>
      </c>
      <c r="G2190" s="7" t="s">
        <v>8652</v>
      </c>
      <c r="H2190" s="8"/>
      <c r="I2190" s="14">
        <v>6</v>
      </c>
      <c r="J2190" s="14">
        <v>0</v>
      </c>
      <c r="K2190" s="6" t="str">
        <f>HYPERLINK("https://www.la-forge.ai","Rss2Twitter for La Forge")</f>
        <v>Rss2Twitter for La Forge</v>
      </c>
      <c r="L2190" s="15">
        <v>9854</v>
      </c>
      <c r="M2190" s="15">
        <v>10507</v>
      </c>
      <c r="N2190" s="15">
        <v>126</v>
      </c>
      <c r="O2190" s="9"/>
      <c r="P2190" s="10">
        <v>43660.755891203706</v>
      </c>
      <c r="Q2190" s="14" t="s">
        <v>106</v>
      </c>
      <c r="R2190" s="14" t="s">
        <v>107</v>
      </c>
      <c r="S2190" s="7" t="s">
        <v>108</v>
      </c>
      <c r="T2190" s="8"/>
      <c r="U2190" s="11" t="str">
        <f>HYPERLINK("https://pbs.twimg.com/profile_images/1261961910020423681/fC-WUmbt.jpg","View")</f>
        <v>View</v>
      </c>
      <c r="V2190" s="8"/>
      <c r="W2190" s="8"/>
      <c r="X2190" s="8"/>
      <c r="Y2190" s="8"/>
      <c r="Z2190" s="8"/>
    </row>
    <row r="2191" spans="1:26" ht="13.2">
      <c r="A2191" s="13">
        <v>44250.0625</v>
      </c>
      <c r="B2191" s="6" t="str">
        <f>HYPERLINK("https://twitter.com/yywwy3","@yywwy3")</f>
        <v>@yywwy3</v>
      </c>
      <c r="C2191" s="14" t="s">
        <v>3899</v>
      </c>
      <c r="D2191" s="14" t="s">
        <v>8653</v>
      </c>
      <c r="E2191" s="6" t="str">
        <f>HYPERLINK("https://twitter.com/yywwy3/status/1364009579831509003","1364009579831509003")</f>
        <v>1364009579831509003</v>
      </c>
      <c r="F2191" s="8"/>
      <c r="G2191" s="7" t="s">
        <v>8338</v>
      </c>
      <c r="H2191" s="8"/>
      <c r="I2191" s="14">
        <v>38</v>
      </c>
      <c r="J2191" s="14">
        <v>18</v>
      </c>
      <c r="K2191" s="6" t="str">
        <f>HYPERLINK("https://mobile.twitter.com","Twitter Web App")</f>
        <v>Twitter Web App</v>
      </c>
      <c r="L2191" s="15">
        <v>1168</v>
      </c>
      <c r="M2191" s="15">
        <v>1444</v>
      </c>
      <c r="N2191" s="15">
        <v>4</v>
      </c>
      <c r="O2191" s="9"/>
      <c r="P2191" s="10">
        <v>44127.356435185182</v>
      </c>
      <c r="Q2191" s="14" t="s">
        <v>2501</v>
      </c>
      <c r="R2191" s="14" t="s">
        <v>3902</v>
      </c>
      <c r="S2191" s="8"/>
      <c r="T2191" s="8"/>
      <c r="U2191" s="11" t="str">
        <f>HYPERLINK("https://pbs.twimg.com/profile_images/1319539085661200384/VSgFxaju.jpg","View")</f>
        <v>View</v>
      </c>
      <c r="V2191" s="8"/>
      <c r="W2191" s="8"/>
      <c r="X2191" s="8"/>
      <c r="Y2191" s="8"/>
      <c r="Z2191" s="8"/>
    </row>
    <row r="2192" spans="1:26" ht="13.2">
      <c r="A2192" s="13">
        <v>44250.061828703707</v>
      </c>
      <c r="B2192" s="6" t="str">
        <f>HYPERLINK("https://twitter.com/danieluriol","@danieluriol")</f>
        <v>@danieluriol</v>
      </c>
      <c r="C2192" s="14" t="s">
        <v>517</v>
      </c>
      <c r="D2192" s="14" t="s">
        <v>8654</v>
      </c>
      <c r="E2192" s="6" t="str">
        <f>HYPERLINK("https://twitter.com/danieluriol/status/1364009337920892929","1364009337920892929")</f>
        <v>1364009337920892929</v>
      </c>
      <c r="F2192" s="7" t="s">
        <v>8655</v>
      </c>
      <c r="G2192" s="7" t="s">
        <v>8656</v>
      </c>
      <c r="H2192" s="8"/>
      <c r="I2192" s="14">
        <v>4</v>
      </c>
      <c r="J2192" s="14">
        <v>2</v>
      </c>
      <c r="K2192" s="6" t="str">
        <f>HYPERLINK("https://buffer.com","Buffer")</f>
        <v>Buffer</v>
      </c>
      <c r="L2192" s="15">
        <v>3441</v>
      </c>
      <c r="M2192" s="15">
        <v>455</v>
      </c>
      <c r="N2192" s="15">
        <v>8</v>
      </c>
      <c r="O2192" s="9"/>
      <c r="P2192" s="10">
        <v>39707.014618055553</v>
      </c>
      <c r="Q2192" s="8"/>
      <c r="R2192" s="14" t="s">
        <v>521</v>
      </c>
      <c r="S2192" s="7" t="s">
        <v>522</v>
      </c>
      <c r="T2192" s="8"/>
      <c r="U2192" s="11" t="str">
        <f>HYPERLINK("https://pbs.twimg.com/profile_images/1284935813604814848/mVDJVdEi.jpg","View")</f>
        <v>View</v>
      </c>
      <c r="V2192" s="8"/>
      <c r="W2192" s="8"/>
      <c r="X2192" s="8"/>
      <c r="Y2192" s="8"/>
      <c r="Z2192" s="8"/>
    </row>
    <row r="2193" spans="1:26" ht="13.2">
      <c r="A2193" s="13">
        <v>44250.060914351852</v>
      </c>
      <c r="B2193" s="6" t="str">
        <f>HYPERLINK("https://twitter.com/threatwatchinc","@threatwatchinc")</f>
        <v>@threatwatchinc</v>
      </c>
      <c r="C2193" s="7" t="s">
        <v>8657</v>
      </c>
      <c r="D2193" s="14" t="s">
        <v>8658</v>
      </c>
      <c r="E2193" s="6" t="str">
        <f>HYPERLINK("https://twitter.com/threatwatchinc/status/1364009003731222530","1364009003731222530")</f>
        <v>1364009003731222530</v>
      </c>
      <c r="F2193" s="7" t="s">
        <v>8659</v>
      </c>
      <c r="G2193" s="8"/>
      <c r="H2193" s="8"/>
      <c r="I2193" s="14">
        <v>1</v>
      </c>
      <c r="J2193" s="14">
        <v>1</v>
      </c>
      <c r="K2193" s="6" t="str">
        <f>HYPERLINK("https://mobile.twitter.com","Twitter Web App")</f>
        <v>Twitter Web App</v>
      </c>
      <c r="L2193" s="15">
        <v>288</v>
      </c>
      <c r="M2193" s="15">
        <v>231</v>
      </c>
      <c r="N2193" s="15">
        <v>4</v>
      </c>
      <c r="O2193" s="9"/>
      <c r="P2193" s="10">
        <v>42513.154780092591</v>
      </c>
      <c r="Q2193" s="8"/>
      <c r="R2193" s="14" t="s">
        <v>8660</v>
      </c>
      <c r="S2193" s="7" t="s">
        <v>8661</v>
      </c>
      <c r="T2193" s="8"/>
      <c r="U2193" s="11" t="str">
        <f>HYPERLINK("https://pbs.twimg.com/profile_images/1029226556755824640/_GzMTbiF.jpg","View")</f>
        <v>View</v>
      </c>
      <c r="V2193" s="8"/>
      <c r="W2193" s="8"/>
      <c r="X2193" s="8"/>
      <c r="Y2193" s="8"/>
      <c r="Z2193" s="8"/>
    </row>
    <row r="2194" spans="1:26" ht="13.2">
      <c r="A2194" s="13">
        <v>44250.060439814813</v>
      </c>
      <c r="B2194" s="6" t="str">
        <f>HYPERLINK("https://twitter.com/Lance_Edelman","@Lance_Edelman")</f>
        <v>@Lance_Edelman</v>
      </c>
      <c r="C2194" s="14" t="s">
        <v>8662</v>
      </c>
      <c r="D2194" s="14" t="s">
        <v>8663</v>
      </c>
      <c r="E2194" s="6" t="str">
        <f>HYPERLINK("https://twitter.com/Lance_Edelman/status/1364008833920757764","1364008833920757764")</f>
        <v>1364008833920757764</v>
      </c>
      <c r="F2194" s="7" t="s">
        <v>8664</v>
      </c>
      <c r="G2194" s="7" t="s">
        <v>8665</v>
      </c>
      <c r="H2194" s="8"/>
      <c r="I2194" s="14">
        <v>2</v>
      </c>
      <c r="J2194" s="14">
        <v>1</v>
      </c>
      <c r="K2194" s="6" t="str">
        <f>HYPERLINK("https://buffer.com","Buffer")</f>
        <v>Buffer</v>
      </c>
      <c r="L2194" s="15">
        <v>2470</v>
      </c>
      <c r="M2194" s="15">
        <v>1688</v>
      </c>
      <c r="N2194" s="15">
        <v>1575</v>
      </c>
      <c r="O2194" s="9"/>
      <c r="P2194" s="10">
        <v>41891.965115740742</v>
      </c>
      <c r="Q2194" s="14" t="s">
        <v>3487</v>
      </c>
      <c r="R2194" s="14" t="s">
        <v>8666</v>
      </c>
      <c r="S2194" s="7" t="s">
        <v>8667</v>
      </c>
      <c r="T2194" s="8"/>
      <c r="U2194" s="11" t="str">
        <f>HYPERLINK("https://pbs.twimg.com/profile_images/509451923850674176/zlr0xIJo.jpeg","View")</f>
        <v>View</v>
      </c>
      <c r="V2194" s="8"/>
      <c r="W2194" s="8"/>
      <c r="X2194" s="8"/>
      <c r="Y2194" s="8"/>
      <c r="Z2194" s="8"/>
    </row>
    <row r="2195" spans="1:26" ht="13.2">
      <c r="A2195" s="13">
        <v>44250.059988425928</v>
      </c>
      <c r="B2195" s="6" t="str">
        <f>HYPERLINK("https://twitter.com/hudson_chatbots","@hudson_chatbots")</f>
        <v>@hudson_chatbots</v>
      </c>
      <c r="C2195" s="14" t="s">
        <v>8668</v>
      </c>
      <c r="D2195" s="14" t="s">
        <v>8669</v>
      </c>
      <c r="E2195" s="6" t="str">
        <f>HYPERLINK("https://twitter.com/hudson_chatbots/status/1364008668350545924","1364008668350545924")</f>
        <v>1364008668350545924</v>
      </c>
      <c r="F2195" s="7" t="s">
        <v>8670</v>
      </c>
      <c r="G2195" s="7" t="s">
        <v>8671</v>
      </c>
      <c r="H2195" s="8"/>
      <c r="I2195" s="14">
        <v>2</v>
      </c>
      <c r="J2195" s="14">
        <v>1</v>
      </c>
      <c r="K2195" s="6" t="str">
        <f>HYPERLINK("https://mobile.twitter.com","Twitter Web App")</f>
        <v>Twitter Web App</v>
      </c>
      <c r="L2195" s="15">
        <v>15508</v>
      </c>
      <c r="M2195" s="15">
        <v>7921</v>
      </c>
      <c r="N2195" s="15">
        <v>130</v>
      </c>
      <c r="O2195" s="9"/>
      <c r="P2195" s="10">
        <v>43174.230173611111</v>
      </c>
      <c r="Q2195" s="14" t="s">
        <v>8672</v>
      </c>
      <c r="R2195" s="14" t="s">
        <v>8673</v>
      </c>
      <c r="S2195" s="7" t="s">
        <v>8674</v>
      </c>
      <c r="T2195" s="8"/>
      <c r="U2195" s="11" t="str">
        <f>HYPERLINK("https://pbs.twimg.com/profile_images/987840487762616321/BYdtt0Ol.jpg","View")</f>
        <v>View</v>
      </c>
      <c r="V2195" s="8"/>
      <c r="W2195" s="8"/>
      <c r="X2195" s="8"/>
      <c r="Y2195" s="8"/>
      <c r="Z2195" s="8"/>
    </row>
    <row r="2196" spans="1:26" ht="13.2">
      <c r="A2196" s="13">
        <v>44250.05978009259</v>
      </c>
      <c r="B2196" s="6" t="str">
        <f>HYPERLINK("https://twitter.com/milocamj","@milocamj")</f>
        <v>@milocamj</v>
      </c>
      <c r="C2196" s="14" t="s">
        <v>1805</v>
      </c>
      <c r="D2196" s="14" t="s">
        <v>8675</v>
      </c>
      <c r="E2196" s="6" t="str">
        <f>HYPERLINK("https://twitter.com/milocamj/status/1364008592186036225","1364008592186036225")</f>
        <v>1364008592186036225</v>
      </c>
      <c r="F2196" s="14" t="s">
        <v>8676</v>
      </c>
      <c r="G2196" s="7" t="s">
        <v>8677</v>
      </c>
      <c r="H2196" s="8"/>
      <c r="I2196" s="14">
        <v>2</v>
      </c>
      <c r="J2196" s="14">
        <v>0</v>
      </c>
      <c r="K2196" s="6" t="str">
        <f>HYPERLINK("https://dlvrit.com/","dlvr.it")</f>
        <v>dlvr.it</v>
      </c>
      <c r="L2196" s="15">
        <v>2595</v>
      </c>
      <c r="M2196" s="15">
        <v>48</v>
      </c>
      <c r="N2196" s="15">
        <v>1282</v>
      </c>
      <c r="O2196" s="9"/>
      <c r="P2196" s="10">
        <v>39904.699837962966</v>
      </c>
      <c r="Q2196" s="14" t="s">
        <v>1809</v>
      </c>
      <c r="R2196" s="14" t="s">
        <v>1810</v>
      </c>
      <c r="S2196" s="7" t="s">
        <v>1811</v>
      </c>
      <c r="T2196" s="8"/>
      <c r="U2196" s="11" t="str">
        <f>HYPERLINK("https://pbs.twimg.com/profile_images/1108578778018709505/56I0aOhL.jpg","View")</f>
        <v>View</v>
      </c>
      <c r="V2196" s="8"/>
      <c r="W2196" s="8"/>
      <c r="X2196" s="8"/>
      <c r="Y2196" s="8"/>
      <c r="Z2196" s="8"/>
    </row>
    <row r="2197" spans="1:26" ht="13.2">
      <c r="A2197" s="13">
        <v>44250.056840277779</v>
      </c>
      <c r="B2197" s="6" t="str">
        <f>HYPERLINK("https://twitter.com/opsmatters_uk","@opsmatters_uk")</f>
        <v>@opsmatters_uk</v>
      </c>
      <c r="C2197" s="14" t="s">
        <v>8678</v>
      </c>
      <c r="D2197" s="14" t="s">
        <v>8679</v>
      </c>
      <c r="E2197" s="6" t="str">
        <f>HYPERLINK("https://twitter.com/opsmatters_uk/status/1364007529425104896","1364007529425104896")</f>
        <v>1364007529425104896</v>
      </c>
      <c r="F2197" s="7" t="s">
        <v>8680</v>
      </c>
      <c r="G2197" s="8"/>
      <c r="H2197" s="8"/>
      <c r="I2197" s="14">
        <v>2</v>
      </c>
      <c r="J2197" s="14">
        <v>0</v>
      </c>
      <c r="K2197" s="6" t="str">
        <f>HYPERLINK("http://publisher.opsmatters.com/","opsmatters-publisher")</f>
        <v>opsmatters-publisher</v>
      </c>
      <c r="L2197" s="15">
        <v>2020</v>
      </c>
      <c r="M2197" s="15">
        <v>2009</v>
      </c>
      <c r="N2197" s="15">
        <v>30</v>
      </c>
      <c r="O2197" s="9"/>
      <c r="P2197" s="10">
        <v>43171.641805555555</v>
      </c>
      <c r="Q2197" s="14" t="s">
        <v>599</v>
      </c>
      <c r="R2197" s="14" t="s">
        <v>8681</v>
      </c>
      <c r="S2197" s="7" t="s">
        <v>8682</v>
      </c>
      <c r="T2197" s="8"/>
      <c r="U2197" s="11" t="str">
        <f>HYPERLINK("https://pbs.twimg.com/profile_images/1048608411313741824/FRWltd91.jpg","View")</f>
        <v>View</v>
      </c>
      <c r="V2197" s="8"/>
      <c r="W2197" s="8"/>
      <c r="X2197" s="8"/>
      <c r="Y2197" s="8"/>
      <c r="Z2197" s="8"/>
    </row>
    <row r="2198" spans="1:26" ht="13.2">
      <c r="A2198" s="13">
        <v>44250.055810185186</v>
      </c>
      <c r="B2198" s="6" t="str">
        <f>HYPERLINK("https://twitter.com/machinelearnflx","@machinelearnflx")</f>
        <v>@machinelearnflx</v>
      </c>
      <c r="C2198" s="14" t="s">
        <v>279</v>
      </c>
      <c r="D2198" s="14" t="s">
        <v>3160</v>
      </c>
      <c r="E2198" s="6" t="str">
        <f>HYPERLINK("https://twitter.com/machinelearnflx/status/1364007155590979585","1364007155590979585")</f>
        <v>1364007155590979585</v>
      </c>
      <c r="F2198" s="7" t="s">
        <v>3161</v>
      </c>
      <c r="G2198" s="8"/>
      <c r="H2198" s="8"/>
      <c r="I2198" s="14">
        <v>3</v>
      </c>
      <c r="J2198" s="14">
        <v>5</v>
      </c>
      <c r="K2198" s="6" t="str">
        <f>HYPERLINK("https://twitter.com/pythonbot_","Postmatico")</f>
        <v>Postmatico</v>
      </c>
      <c r="L2198" s="15">
        <v>90451</v>
      </c>
      <c r="M2198" s="15">
        <v>35464</v>
      </c>
      <c r="N2198" s="15">
        <v>2228</v>
      </c>
      <c r="O2198" s="9"/>
      <c r="P2198" s="10">
        <v>42386.538865740746</v>
      </c>
      <c r="Q2198" s="8"/>
      <c r="R2198" s="14" t="s">
        <v>282</v>
      </c>
      <c r="S2198" s="7" t="s">
        <v>283</v>
      </c>
      <c r="T2198" s="8"/>
      <c r="U2198" s="11" t="str">
        <f>HYPERLINK("https://pbs.twimg.com/profile_images/688735459892195329/v8sHaWSG.jpg","View")</f>
        <v>View</v>
      </c>
      <c r="V2198" s="8"/>
      <c r="W2198" s="8"/>
      <c r="X2198" s="8"/>
      <c r="Y2198" s="8"/>
      <c r="Z2198" s="8"/>
    </row>
    <row r="2199" spans="1:26" ht="13.2">
      <c r="A2199" s="13">
        <v>44250.055671296301</v>
      </c>
      <c r="B2199" s="6" t="str">
        <f>HYPERLINK("https://twitter.com/SureshRukman","@SureshRukman")</f>
        <v>@SureshRukman</v>
      </c>
      <c r="C2199" s="14" t="s">
        <v>3313</v>
      </c>
      <c r="D2199" s="14" t="s">
        <v>7904</v>
      </c>
      <c r="E2199" s="6" t="str">
        <f>HYPERLINK("https://twitter.com/SureshRukman/status/1364007104986644481","1364007104986644481")</f>
        <v>1364007104986644481</v>
      </c>
      <c r="F2199" s="14" t="s">
        <v>7905</v>
      </c>
      <c r="G2199" s="8"/>
      <c r="H2199" s="8"/>
      <c r="I2199" s="14">
        <v>2</v>
      </c>
      <c r="J2199" s="14">
        <v>1</v>
      </c>
      <c r="K2199" s="6" t="str">
        <f>HYPERLINK("http://twinybots.com","TwinyBots")</f>
        <v>TwinyBots</v>
      </c>
      <c r="L2199" s="15">
        <v>2176</v>
      </c>
      <c r="M2199" s="15">
        <v>2281</v>
      </c>
      <c r="N2199" s="15">
        <v>293</v>
      </c>
      <c r="O2199" s="9"/>
      <c r="P2199" s="10">
        <v>41359.54041666667</v>
      </c>
      <c r="Q2199" s="14" t="s">
        <v>2551</v>
      </c>
      <c r="R2199" s="14" t="s">
        <v>3314</v>
      </c>
      <c r="S2199" s="7" t="s">
        <v>2553</v>
      </c>
      <c r="T2199" s="8"/>
      <c r="U2199" s="11" t="str">
        <f>HYPERLINK("https://pbs.twimg.com/profile_images/1038762339368087554/JICJ5viP.jpg","View")</f>
        <v>View</v>
      </c>
      <c r="V2199" s="8"/>
      <c r="W2199" s="8"/>
      <c r="X2199" s="8"/>
      <c r="Y2199" s="8"/>
      <c r="Z2199" s="8"/>
    </row>
    <row r="2200" spans="1:26" ht="13.2">
      <c r="A2200" s="13">
        <v>44250.055613425924</v>
      </c>
      <c r="B2200" s="6" t="str">
        <f>HYPERLINK("https://twitter.com/TesseractAcade1","@TesseractAcade1")</f>
        <v>@TesseractAcade1</v>
      </c>
      <c r="C2200" s="14" t="s">
        <v>750</v>
      </c>
      <c r="D2200" s="14" t="s">
        <v>7281</v>
      </c>
      <c r="E2200" s="6" t="str">
        <f>HYPERLINK("https://twitter.com/TesseractAcade1/status/1364007085399281673","1364007085399281673")</f>
        <v>1364007085399281673</v>
      </c>
      <c r="F2200" s="7" t="s">
        <v>7282</v>
      </c>
      <c r="G2200" s="8"/>
      <c r="H2200" s="8"/>
      <c r="I2200" s="14">
        <v>2</v>
      </c>
      <c r="J2200" s="14">
        <v>0</v>
      </c>
      <c r="K2200" s="6" t="str">
        <f>HYPERLINK("https://crowdfireapp.com","Crowdfire App")</f>
        <v>Crowdfire App</v>
      </c>
      <c r="L2200" s="15">
        <v>678</v>
      </c>
      <c r="M2200" s="15">
        <v>796</v>
      </c>
      <c r="N2200" s="15">
        <v>14</v>
      </c>
      <c r="O2200" s="9"/>
      <c r="P2200" s="10">
        <v>43371.73810185185</v>
      </c>
      <c r="Q2200" s="14" t="s">
        <v>753</v>
      </c>
      <c r="R2200" s="14" t="s">
        <v>754</v>
      </c>
      <c r="S2200" s="7" t="s">
        <v>755</v>
      </c>
      <c r="T2200" s="8"/>
      <c r="U2200" s="11" t="str">
        <f>HYPERLINK("https://pbs.twimg.com/profile_images/1045702404187066368/KvYhTAxM.jpg","View")</f>
        <v>View</v>
      </c>
      <c r="V2200" s="8"/>
      <c r="W2200" s="8"/>
      <c r="X2200" s="8"/>
      <c r="Y2200" s="8"/>
      <c r="Z2200" s="8"/>
    </row>
    <row r="2201" spans="1:26" ht="13.2">
      <c r="A2201" s="13">
        <v>44250.054895833338</v>
      </c>
      <c r="B2201" s="6" t="str">
        <f>HYPERLINK("https://twitter.com/ds_vault","@ds_vault")</f>
        <v>@ds_vault</v>
      </c>
      <c r="C2201" s="14" t="s">
        <v>6603</v>
      </c>
      <c r="D2201" s="14" t="s">
        <v>8683</v>
      </c>
      <c r="E2201" s="6" t="str">
        <f>HYPERLINK("https://twitter.com/ds_vault/status/1364006821963436032","1364006821963436032")</f>
        <v>1364006821963436032</v>
      </c>
      <c r="F2201" s="7" t="s">
        <v>8684</v>
      </c>
      <c r="G2201" s="8"/>
      <c r="H2201" s="8"/>
      <c r="I2201" s="14">
        <v>9</v>
      </c>
      <c r="J2201" s="14">
        <v>0</v>
      </c>
      <c r="K2201" s="6" t="str">
        <f>HYPERLINK("https://datasciencevault.com/","Data Science Vault")</f>
        <v>Data Science Vault</v>
      </c>
      <c r="L2201" s="15">
        <v>266</v>
      </c>
      <c r="M2201" s="15">
        <v>2</v>
      </c>
      <c r="N2201" s="15">
        <v>5</v>
      </c>
      <c r="O2201" s="9"/>
      <c r="P2201" s="10">
        <v>43286.570069444446</v>
      </c>
      <c r="Q2201" s="8"/>
      <c r="R2201" s="14" t="s">
        <v>6605</v>
      </c>
      <c r="S2201" s="7" t="s">
        <v>6606</v>
      </c>
      <c r="T2201" s="8"/>
      <c r="U2201" s="11" t="str">
        <f>HYPERLINK("https://pbs.twimg.com/profile_images/1017392978338467842/sXrppUVY.jpg","View")</f>
        <v>View</v>
      </c>
      <c r="V2201" s="8"/>
      <c r="W2201" s="8"/>
      <c r="X2201" s="8"/>
      <c r="Y2201" s="8"/>
      <c r="Z2201" s="8"/>
    </row>
    <row r="2202" spans="1:26" ht="13.2">
      <c r="A2202" s="13">
        <v>44250.054791666669</v>
      </c>
      <c r="B2202" s="6" t="str">
        <f>HYPERLINK("https://twitter.com/StatsSolver","@StatsSolver")</f>
        <v>@StatsSolver</v>
      </c>
      <c r="C2202" s="14" t="s">
        <v>8685</v>
      </c>
      <c r="D2202" s="14" t="s">
        <v>8686</v>
      </c>
      <c r="E2202" s="6" t="str">
        <f>HYPERLINK("https://twitter.com/StatsSolver/status/1364006788186603526","1364006788186603526")</f>
        <v>1364006788186603526</v>
      </c>
      <c r="F2202" s="8"/>
      <c r="G2202" s="7" t="s">
        <v>8687</v>
      </c>
      <c r="H2202" s="8"/>
      <c r="I2202" s="14">
        <v>4</v>
      </c>
      <c r="J2202" s="14">
        <v>1</v>
      </c>
      <c r="K2202" s="6" t="str">
        <f>HYPERLINK("http://twitter.com/download/iphone","Twitter for iPhone")</f>
        <v>Twitter for iPhone</v>
      </c>
      <c r="L2202" s="15">
        <v>23</v>
      </c>
      <c r="M2202" s="15">
        <v>26</v>
      </c>
      <c r="N2202" s="15">
        <v>0</v>
      </c>
      <c r="O2202" s="9"/>
      <c r="P2202" s="10">
        <v>44001.437719907408</v>
      </c>
      <c r="Q2202" s="8"/>
      <c r="R2202" s="14" t="s">
        <v>8688</v>
      </c>
      <c r="S2202" s="7" t="s">
        <v>8689</v>
      </c>
      <c r="T2202" s="8"/>
      <c r="U2202" s="11" t="str">
        <f>HYPERLINK("https://pbs.twimg.com/profile_images/1276223836590145549/264XkHQs.jpg","View")</f>
        <v>View</v>
      </c>
      <c r="V2202" s="8"/>
      <c r="W2202" s="8"/>
      <c r="X2202" s="8"/>
      <c r="Y2202" s="8"/>
      <c r="Z2202" s="8"/>
    </row>
    <row r="2203" spans="1:26" ht="13.2">
      <c r="A2203" s="13">
        <v>44250.0543287037</v>
      </c>
      <c r="B2203" s="6" t="str">
        <f>HYPERLINK("https://twitter.com/redspotseopro","@redspotseopro")</f>
        <v>@redspotseopro</v>
      </c>
      <c r="C2203" s="14" t="s">
        <v>8690</v>
      </c>
      <c r="D2203" s="14" t="s">
        <v>8691</v>
      </c>
      <c r="E2203" s="6" t="str">
        <f>HYPERLINK("https://twitter.com/redspotseopro/status/1364006618107633666","1364006618107633666")</f>
        <v>1364006618107633666</v>
      </c>
      <c r="F2203" s="14" t="s">
        <v>8692</v>
      </c>
      <c r="G2203" s="8"/>
      <c r="H2203" s="8"/>
      <c r="I2203" s="14">
        <v>4</v>
      </c>
      <c r="J2203" s="14">
        <v>0</v>
      </c>
      <c r="K2203" s="6" t="str">
        <f t="shared" ref="K2203:K2207" si="395">HYPERLINK("https://mobile.twitter.com","Twitter Web App")</f>
        <v>Twitter Web App</v>
      </c>
      <c r="L2203" s="15">
        <v>321</v>
      </c>
      <c r="M2203" s="15">
        <v>640</v>
      </c>
      <c r="N2203" s="15">
        <v>91</v>
      </c>
      <c r="O2203" s="9"/>
      <c r="P2203" s="10">
        <v>42383.850520833337</v>
      </c>
      <c r="Q2203" s="14" t="s">
        <v>907</v>
      </c>
      <c r="R2203" s="14" t="s">
        <v>8693</v>
      </c>
      <c r="S2203" s="7" t="s">
        <v>8694</v>
      </c>
      <c r="T2203" s="8"/>
      <c r="U2203" s="11" t="str">
        <f>HYPERLINK("https://pbs.twimg.com/profile_images/718237028773703684/kT_jEo4s.jpg","View")</f>
        <v>View</v>
      </c>
      <c r="V2203" s="8"/>
      <c r="W2203" s="8"/>
      <c r="X2203" s="8"/>
      <c r="Y2203" s="8"/>
      <c r="Z2203" s="8"/>
    </row>
    <row r="2204" spans="1:26" ht="13.2">
      <c r="A2204" s="13">
        <v>44250.053749999999</v>
      </c>
      <c r="B2204" s="6" t="str">
        <f t="shared" ref="B2204:B2207" si="396">HYPERLINK("https://twitter.com/Innovat78455398","@Innovat78455398")</f>
        <v>@Innovat78455398</v>
      </c>
      <c r="C2204" s="14" t="s">
        <v>4318</v>
      </c>
      <c r="D2204" s="14" t="s">
        <v>8695</v>
      </c>
      <c r="E2204" s="6" t="str">
        <f>HYPERLINK("https://twitter.com/Innovat78455398/status/1364006409579335680","1364006409579335680")</f>
        <v>1364006409579335680</v>
      </c>
      <c r="F2204" s="7" t="s">
        <v>8696</v>
      </c>
      <c r="G2204" s="7" t="s">
        <v>8697</v>
      </c>
      <c r="H2204" s="8"/>
      <c r="I2204" s="14">
        <v>24</v>
      </c>
      <c r="J2204" s="14">
        <v>8</v>
      </c>
      <c r="K2204" s="6" t="str">
        <f t="shared" si="395"/>
        <v>Twitter Web App</v>
      </c>
      <c r="L2204" s="15">
        <v>101</v>
      </c>
      <c r="M2204" s="15">
        <v>142</v>
      </c>
      <c r="N2204" s="15">
        <v>1</v>
      </c>
      <c r="O2204" s="9"/>
      <c r="P2204" s="10">
        <v>44075.047534722224</v>
      </c>
      <c r="Q2204" s="14" t="s">
        <v>623</v>
      </c>
      <c r="R2204" s="14" t="s">
        <v>4322</v>
      </c>
      <c r="S2204" s="8"/>
      <c r="T2204" s="8"/>
      <c r="U2204" s="11" t="str">
        <f t="shared" ref="U2204:U2207" si="397">HYPERLINK("https://pbs.twimg.com/profile_images/1300571380098850818/YjKI8L9l.jpg","View")</f>
        <v>View</v>
      </c>
      <c r="V2204" s="8"/>
      <c r="W2204" s="8"/>
      <c r="X2204" s="8"/>
      <c r="Y2204" s="8"/>
      <c r="Z2204" s="8"/>
    </row>
    <row r="2205" spans="1:26" ht="13.2">
      <c r="A2205" s="13">
        <v>44250.052951388891</v>
      </c>
      <c r="B2205" s="6" t="str">
        <f t="shared" si="396"/>
        <v>@Innovat78455398</v>
      </c>
      <c r="C2205" s="14" t="s">
        <v>4318</v>
      </c>
      <c r="D2205" s="14" t="s">
        <v>8698</v>
      </c>
      <c r="E2205" s="6" t="str">
        <f>HYPERLINK("https://twitter.com/Innovat78455398/status/1364006117886488580","1364006117886488580")</f>
        <v>1364006117886488580</v>
      </c>
      <c r="F2205" s="7" t="s">
        <v>8699</v>
      </c>
      <c r="G2205" s="7" t="s">
        <v>8700</v>
      </c>
      <c r="H2205" s="8"/>
      <c r="I2205" s="14">
        <v>33</v>
      </c>
      <c r="J2205" s="14">
        <v>20</v>
      </c>
      <c r="K2205" s="6" t="str">
        <f t="shared" si="395"/>
        <v>Twitter Web App</v>
      </c>
      <c r="L2205" s="15">
        <v>101</v>
      </c>
      <c r="M2205" s="15">
        <v>142</v>
      </c>
      <c r="N2205" s="15">
        <v>1</v>
      </c>
      <c r="O2205" s="9"/>
      <c r="P2205" s="10">
        <v>44075.047534722224</v>
      </c>
      <c r="Q2205" s="14" t="s">
        <v>623</v>
      </c>
      <c r="R2205" s="14" t="s">
        <v>4322</v>
      </c>
      <c r="S2205" s="8"/>
      <c r="T2205" s="8"/>
      <c r="U2205" s="11" t="str">
        <f t="shared" si="397"/>
        <v>View</v>
      </c>
      <c r="V2205" s="8"/>
      <c r="W2205" s="8"/>
      <c r="X2205" s="8"/>
      <c r="Y2205" s="8"/>
      <c r="Z2205" s="8"/>
    </row>
    <row r="2206" spans="1:26" ht="13.2">
      <c r="A2206" s="13">
        <v>44250.052256944444</v>
      </c>
      <c r="B2206" s="6" t="str">
        <f t="shared" si="396"/>
        <v>@Innovat78455398</v>
      </c>
      <c r="C2206" s="14" t="s">
        <v>4318</v>
      </c>
      <c r="D2206" s="14" t="s">
        <v>8701</v>
      </c>
      <c r="E2206" s="6" t="str">
        <f>HYPERLINK("https://twitter.com/Innovat78455398/status/1364005866412761089","1364005866412761089")</f>
        <v>1364005866412761089</v>
      </c>
      <c r="F2206" s="7" t="s">
        <v>8702</v>
      </c>
      <c r="G2206" s="7" t="s">
        <v>8703</v>
      </c>
      <c r="H2206" s="8"/>
      <c r="I2206" s="14">
        <v>23</v>
      </c>
      <c r="J2206" s="14">
        <v>13</v>
      </c>
      <c r="K2206" s="6" t="str">
        <f t="shared" si="395"/>
        <v>Twitter Web App</v>
      </c>
      <c r="L2206" s="15">
        <v>101</v>
      </c>
      <c r="M2206" s="15">
        <v>142</v>
      </c>
      <c r="N2206" s="15">
        <v>1</v>
      </c>
      <c r="O2206" s="9"/>
      <c r="P2206" s="10">
        <v>44075.047534722224</v>
      </c>
      <c r="Q2206" s="14" t="s">
        <v>623</v>
      </c>
      <c r="R2206" s="14" t="s">
        <v>4322</v>
      </c>
      <c r="S2206" s="8"/>
      <c r="T2206" s="8"/>
      <c r="U2206" s="11" t="str">
        <f t="shared" si="397"/>
        <v>View</v>
      </c>
      <c r="V2206" s="8"/>
      <c r="W2206" s="8"/>
      <c r="X2206" s="8"/>
      <c r="Y2206" s="8"/>
      <c r="Z2206" s="8"/>
    </row>
    <row r="2207" spans="1:26" ht="13.2">
      <c r="A2207" s="13">
        <v>44250.051388888889</v>
      </c>
      <c r="B2207" s="6" t="str">
        <f t="shared" si="396"/>
        <v>@Innovat78455398</v>
      </c>
      <c r="C2207" s="14" t="s">
        <v>4318</v>
      </c>
      <c r="D2207" s="14" t="s">
        <v>8704</v>
      </c>
      <c r="E2207" s="6" t="str">
        <f>HYPERLINK("https://twitter.com/Innovat78455398/status/1364005552066416645","1364005552066416645")</f>
        <v>1364005552066416645</v>
      </c>
      <c r="F2207" s="7" t="s">
        <v>8705</v>
      </c>
      <c r="G2207" s="7" t="s">
        <v>8706</v>
      </c>
      <c r="H2207" s="8"/>
      <c r="I2207" s="14">
        <v>9</v>
      </c>
      <c r="J2207" s="14">
        <v>3</v>
      </c>
      <c r="K2207" s="6" t="str">
        <f t="shared" si="395"/>
        <v>Twitter Web App</v>
      </c>
      <c r="L2207" s="15">
        <v>101</v>
      </c>
      <c r="M2207" s="15">
        <v>142</v>
      </c>
      <c r="N2207" s="15">
        <v>1</v>
      </c>
      <c r="O2207" s="9"/>
      <c r="P2207" s="10">
        <v>44075.047534722224</v>
      </c>
      <c r="Q2207" s="14" t="s">
        <v>623</v>
      </c>
      <c r="R2207" s="14" t="s">
        <v>4322</v>
      </c>
      <c r="S2207" s="8"/>
      <c r="T2207" s="8"/>
      <c r="U2207" s="11" t="str">
        <f t="shared" si="397"/>
        <v>View</v>
      </c>
      <c r="V2207" s="8"/>
      <c r="W2207" s="8"/>
      <c r="X2207" s="8"/>
      <c r="Y2207" s="8"/>
      <c r="Z2207" s="8"/>
    </row>
    <row r="2208" spans="1:26" ht="13.2">
      <c r="A2208" s="13">
        <v>44250.051365740743</v>
      </c>
      <c r="B2208" s="6" t="str">
        <f>HYPERLINK("https://twitter.com/NicoleSte","@NicoleSte")</f>
        <v>@NicoleSte</v>
      </c>
      <c r="C2208" s="14" t="s">
        <v>8707</v>
      </c>
      <c r="D2208" s="14" t="s">
        <v>8708</v>
      </c>
      <c r="E2208" s="6" t="str">
        <f>HYPERLINK("https://twitter.com/NicoleSte/status/1364005544885841921","1364005544885841921")</f>
        <v>1364005544885841921</v>
      </c>
      <c r="F2208" s="7" t="s">
        <v>8709</v>
      </c>
      <c r="G2208" s="7" t="s">
        <v>8710</v>
      </c>
      <c r="H2208" s="8"/>
      <c r="I2208" s="14">
        <v>3</v>
      </c>
      <c r="J2208" s="14">
        <v>0</v>
      </c>
      <c r="K2208" s="6" t="str">
        <f>HYPERLINK("http://dynamicsignal.com/","Dynamic Signal")</f>
        <v>Dynamic Signal</v>
      </c>
      <c r="L2208" s="15">
        <v>235</v>
      </c>
      <c r="M2208" s="15">
        <v>452</v>
      </c>
      <c r="N2208" s="15">
        <v>3</v>
      </c>
      <c r="O2208" s="9"/>
      <c r="P2208" s="10">
        <v>39883.576261574075</v>
      </c>
      <c r="Q2208" s="14" t="s">
        <v>8711</v>
      </c>
      <c r="R2208" s="8"/>
      <c r="S2208" s="8"/>
      <c r="T2208" s="8"/>
      <c r="U2208" s="11" t="str">
        <f>HYPERLINK("https://pbs.twimg.com/profile_images/92744905/NS2.JPG","View")</f>
        <v>View</v>
      </c>
      <c r="V2208" s="8"/>
      <c r="W2208" s="8"/>
      <c r="X2208" s="8"/>
      <c r="Y2208" s="8"/>
      <c r="Z2208" s="8"/>
    </row>
    <row r="2209" spans="1:26" ht="13.2">
      <c r="A2209" s="13">
        <v>44250.050370370373</v>
      </c>
      <c r="B2209" s="6" t="str">
        <f>HYPERLINK("https://twitter.com/lopezunwired","@lopezunwired")</f>
        <v>@lopezunwired</v>
      </c>
      <c r="C2209" s="14" t="s">
        <v>224</v>
      </c>
      <c r="D2209" s="14" t="s">
        <v>8712</v>
      </c>
      <c r="E2209" s="6" t="str">
        <f>HYPERLINK("https://twitter.com/lopezunwired/status/1364005185924734978","1364005185924734978")</f>
        <v>1364005185924734978</v>
      </c>
      <c r="F2209" s="7" t="s">
        <v>8713</v>
      </c>
      <c r="G2209" s="7" t="s">
        <v>8714</v>
      </c>
      <c r="H2209" s="8"/>
      <c r="I2209" s="14">
        <v>6</v>
      </c>
      <c r="J2209" s="14">
        <v>2</v>
      </c>
      <c r="K2209" s="6" t="str">
        <f>HYPERLINK("https://dlvrit.com/","dlvr.it")</f>
        <v>dlvr.it</v>
      </c>
      <c r="L2209" s="15">
        <v>1803</v>
      </c>
      <c r="M2209" s="15">
        <v>800</v>
      </c>
      <c r="N2209" s="15">
        <v>586</v>
      </c>
      <c r="O2209" s="9"/>
      <c r="P2209" s="10">
        <v>39831.947152777779</v>
      </c>
      <c r="Q2209" s="14" t="s">
        <v>228</v>
      </c>
      <c r="R2209" s="14" t="s">
        <v>229</v>
      </c>
      <c r="S2209" s="7" t="s">
        <v>230</v>
      </c>
      <c r="T2209" s="8"/>
      <c r="U2209" s="11" t="str">
        <f>HYPERLINK("https://pbs.twimg.com/profile_images/3326137784/c6c1c2570fc7b9711dd8de812b996a66.jpeg","View")</f>
        <v>View</v>
      </c>
      <c r="V2209" s="8"/>
      <c r="W2209" s="8"/>
      <c r="X2209" s="8"/>
      <c r="Y2209" s="8"/>
      <c r="Z2209" s="8"/>
    </row>
    <row r="2210" spans="1:26" ht="13.2">
      <c r="A2210" s="13">
        <v>44250.050219907411</v>
      </c>
      <c r="B2210" s="6" t="str">
        <f>HYPERLINK("https://twitter.com/Innovat78455398","@Innovat78455398")</f>
        <v>@Innovat78455398</v>
      </c>
      <c r="C2210" s="14" t="s">
        <v>4318</v>
      </c>
      <c r="D2210" s="14" t="s">
        <v>8715</v>
      </c>
      <c r="E2210" s="6" t="str">
        <f>HYPERLINK("https://twitter.com/Innovat78455398/status/1364005128601182208","1364005128601182208")</f>
        <v>1364005128601182208</v>
      </c>
      <c r="F2210" s="7" t="s">
        <v>8716</v>
      </c>
      <c r="G2210" s="7" t="s">
        <v>8717</v>
      </c>
      <c r="H2210" s="8"/>
      <c r="I2210" s="14">
        <v>30</v>
      </c>
      <c r="J2210" s="14">
        <v>9</v>
      </c>
      <c r="K2210" s="6" t="str">
        <f>HYPERLINK("https://mobile.twitter.com","Twitter Web App")</f>
        <v>Twitter Web App</v>
      </c>
      <c r="L2210" s="15">
        <v>101</v>
      </c>
      <c r="M2210" s="15">
        <v>142</v>
      </c>
      <c r="N2210" s="15">
        <v>1</v>
      </c>
      <c r="O2210" s="9"/>
      <c r="P2210" s="10">
        <v>44075.047534722224</v>
      </c>
      <c r="Q2210" s="14" t="s">
        <v>623</v>
      </c>
      <c r="R2210" s="14" t="s">
        <v>4322</v>
      </c>
      <c r="S2210" s="8"/>
      <c r="T2210" s="8"/>
      <c r="U2210" s="11" t="str">
        <f>HYPERLINK("https://pbs.twimg.com/profile_images/1300571380098850818/YjKI8L9l.jpg","View")</f>
        <v>View</v>
      </c>
      <c r="V2210" s="8"/>
      <c r="W2210" s="8"/>
      <c r="X2210" s="8"/>
      <c r="Y2210" s="8"/>
      <c r="Z2210" s="8"/>
    </row>
    <row r="2211" spans="1:26" ht="13.2">
      <c r="A2211" s="13">
        <v>44250.050138888888</v>
      </c>
      <c r="B2211" s="6" t="str">
        <f>HYPERLINK("https://twitter.com/AIApparelStore","@AIApparelStore")</f>
        <v>@AIApparelStore</v>
      </c>
      <c r="C2211" s="14" t="s">
        <v>7483</v>
      </c>
      <c r="D2211" s="14" t="s">
        <v>8718</v>
      </c>
      <c r="E2211" s="6" t="str">
        <f>HYPERLINK("https://twitter.com/AIApparelStore/status/1364005100411305986","1364005100411305986")</f>
        <v>1364005100411305986</v>
      </c>
      <c r="F2211" s="8"/>
      <c r="G2211" s="7" t="s">
        <v>8719</v>
      </c>
      <c r="H2211" s="8"/>
      <c r="I2211" s="14">
        <v>11</v>
      </c>
      <c r="J2211" s="14">
        <v>0</v>
      </c>
      <c r="K2211" s="6" t="str">
        <f>HYPERLINK("https://ifttt.com","IFTTT")</f>
        <v>IFTTT</v>
      </c>
      <c r="L2211" s="15">
        <v>386</v>
      </c>
      <c r="M2211" s="15">
        <v>524</v>
      </c>
      <c r="N2211" s="15">
        <v>15</v>
      </c>
      <c r="O2211" s="9"/>
      <c r="P2211" s="10">
        <v>43331.869895833333</v>
      </c>
      <c r="Q2211" s="14" t="s">
        <v>1505</v>
      </c>
      <c r="R2211" s="14" t="s">
        <v>7486</v>
      </c>
      <c r="S2211" s="7" t="s">
        <v>7487</v>
      </c>
      <c r="T2211" s="8"/>
      <c r="U2211" s="11" t="str">
        <f>HYPERLINK("https://pbs.twimg.com/profile_images/1031255768845021184/CEFgCC0y.jpg","View")</f>
        <v>View</v>
      </c>
      <c r="V2211" s="8"/>
      <c r="W2211" s="8"/>
      <c r="X2211" s="8"/>
      <c r="Y2211" s="8"/>
      <c r="Z2211" s="8"/>
    </row>
    <row r="2212" spans="1:26" ht="13.2">
      <c r="A2212" s="13">
        <v>44250.049143518518</v>
      </c>
      <c r="B2212" s="6" t="str">
        <f>HYPERLINK("https://twitter.com/Innovat78455398","@Innovat78455398")</f>
        <v>@Innovat78455398</v>
      </c>
      <c r="C2212" s="14" t="s">
        <v>4318</v>
      </c>
      <c r="D2212" s="14" t="s">
        <v>8720</v>
      </c>
      <c r="E2212" s="6" t="str">
        <f>HYPERLINK("https://twitter.com/Innovat78455398/status/1364004739315159045","1364004739315159045")</f>
        <v>1364004739315159045</v>
      </c>
      <c r="F2212" s="7" t="s">
        <v>8721</v>
      </c>
      <c r="G2212" s="7" t="s">
        <v>8722</v>
      </c>
      <c r="H2212" s="8"/>
      <c r="I2212" s="14">
        <v>21</v>
      </c>
      <c r="J2212" s="14">
        <v>6</v>
      </c>
      <c r="K2212" s="6" t="str">
        <f>HYPERLINK("https://mobile.twitter.com","Twitter Web App")</f>
        <v>Twitter Web App</v>
      </c>
      <c r="L2212" s="15">
        <v>101</v>
      </c>
      <c r="M2212" s="15">
        <v>142</v>
      </c>
      <c r="N2212" s="15">
        <v>1</v>
      </c>
      <c r="O2212" s="9"/>
      <c r="P2212" s="10">
        <v>44075.047534722224</v>
      </c>
      <c r="Q2212" s="14" t="s">
        <v>623</v>
      </c>
      <c r="R2212" s="14" t="s">
        <v>4322</v>
      </c>
      <c r="S2212" s="8"/>
      <c r="T2212" s="8"/>
      <c r="U2212" s="11" t="str">
        <f>HYPERLINK("https://pbs.twimg.com/profile_images/1300571380098850818/YjKI8L9l.jpg","View")</f>
        <v>View</v>
      </c>
      <c r="V2212" s="8"/>
      <c r="W2212" s="8"/>
      <c r="X2212" s="8"/>
      <c r="Y2212" s="8"/>
      <c r="Z2212" s="8"/>
    </row>
    <row r="2213" spans="1:26" ht="13.2">
      <c r="A2213" s="13">
        <v>44250.048611111109</v>
      </c>
      <c r="B2213" s="6" t="str">
        <f>HYPERLINK("https://twitter.com/TamaraMcCleary","@TamaraMcCleary")</f>
        <v>@TamaraMcCleary</v>
      </c>
      <c r="C2213" s="14" t="s">
        <v>6670</v>
      </c>
      <c r="D2213" s="14" t="s">
        <v>8723</v>
      </c>
      <c r="E2213" s="6" t="str">
        <f>HYPERLINK("https://twitter.com/TamaraMcCleary/status/1364004545362235392","1364004545362235392")</f>
        <v>1364004545362235392</v>
      </c>
      <c r="F2213" s="7" t="s">
        <v>8724</v>
      </c>
      <c r="G2213" s="7" t="s">
        <v>8725</v>
      </c>
      <c r="H2213" s="8"/>
      <c r="I2213" s="14">
        <v>9</v>
      </c>
      <c r="J2213" s="14">
        <v>9</v>
      </c>
      <c r="K2213" s="6" t="str">
        <f>HYPERLINK("https://about.twitter.com/products/tweetdeck","TweetDeck")</f>
        <v>TweetDeck</v>
      </c>
      <c r="L2213" s="15">
        <v>306870</v>
      </c>
      <c r="M2213" s="15">
        <v>206817</v>
      </c>
      <c r="N2213" s="15">
        <v>8235</v>
      </c>
      <c r="O2213" s="15" t="s">
        <v>130</v>
      </c>
      <c r="P2213" s="10">
        <v>41663.201851851853</v>
      </c>
      <c r="Q2213" s="14" t="s">
        <v>6169</v>
      </c>
      <c r="R2213" s="14" t="s">
        <v>6674</v>
      </c>
      <c r="S2213" s="7" t="s">
        <v>6675</v>
      </c>
      <c r="T2213" s="8"/>
      <c r="U2213" s="11" t="str">
        <f>HYPERLINK("https://pbs.twimg.com/profile_images/1255693536629932033/hFa5JpaK.jpg","View")</f>
        <v>View</v>
      </c>
      <c r="V2213" s="8"/>
      <c r="W2213" s="8"/>
      <c r="X2213" s="8"/>
      <c r="Y2213" s="8"/>
      <c r="Z2213" s="8"/>
    </row>
    <row r="2214" spans="1:26" ht="13.2">
      <c r="A2214" s="13">
        <v>44250.047129629631</v>
      </c>
      <c r="B2214" s="6" t="str">
        <f>HYPERLINK("https://twitter.com/Datascience__","@Datascience__")</f>
        <v>@Datascience__</v>
      </c>
      <c r="C2214" s="14" t="s">
        <v>1082</v>
      </c>
      <c r="D2214" s="14" t="s">
        <v>8726</v>
      </c>
      <c r="E2214" s="6" t="str">
        <f>HYPERLINK("https://twitter.com/Datascience__/status/1364004009451872261","1364004009451872261")</f>
        <v>1364004009451872261</v>
      </c>
      <c r="F2214" s="7" t="s">
        <v>8727</v>
      </c>
      <c r="G2214" s="8"/>
      <c r="H2214" s="8"/>
      <c r="I2214" s="14">
        <v>4</v>
      </c>
      <c r="J2214" s="14">
        <v>0</v>
      </c>
      <c r="K2214" s="6" t="str">
        <f>HYPERLINK("https://twitter.com/pythonbot_","Postmatico")</f>
        <v>Postmatico</v>
      </c>
      <c r="L2214" s="15">
        <v>21499</v>
      </c>
      <c r="M2214" s="15">
        <v>11071</v>
      </c>
      <c r="N2214" s="15">
        <v>0</v>
      </c>
      <c r="O2214" s="9"/>
      <c r="P2214" s="10">
        <v>42735.551377314812</v>
      </c>
      <c r="Q2214" s="8"/>
      <c r="R2214" s="14" t="s">
        <v>1085</v>
      </c>
      <c r="S2214" s="7" t="s">
        <v>1086</v>
      </c>
      <c r="T2214" s="8"/>
      <c r="U2214" s="11" t="str">
        <f>HYPERLINK("https://pbs.twimg.com/profile_images/989066461435097088/AQZSFyuk.jpg","View")</f>
        <v>View</v>
      </c>
      <c r="V2214" s="8"/>
      <c r="W2214" s="8"/>
      <c r="X2214" s="8"/>
      <c r="Y2214" s="8"/>
      <c r="Z2214" s="8"/>
    </row>
    <row r="2215" spans="1:26" ht="13.2">
      <c r="A2215" s="13">
        <v>44250.0466087963</v>
      </c>
      <c r="B2215" s="6" t="str">
        <f>HYPERLINK("https://twitter.com/hashem25","@hashem25")</f>
        <v>@hashem25</v>
      </c>
      <c r="C2215" s="14" t="s">
        <v>3164</v>
      </c>
      <c r="D2215" s="14" t="s">
        <v>8728</v>
      </c>
      <c r="E2215" s="6" t="str">
        <f>HYPERLINK("https://twitter.com/hashem25/status/1364003821937192961","1364003821937192961")</f>
        <v>1364003821937192961</v>
      </c>
      <c r="F2215" s="7" t="s">
        <v>8651</v>
      </c>
      <c r="G2215" s="8"/>
      <c r="H2215" s="8"/>
      <c r="I2215" s="14">
        <v>6</v>
      </c>
      <c r="J2215" s="14">
        <v>0</v>
      </c>
      <c r="K2215" s="6" t="str">
        <f>HYPERLINK("http://twinybots.com","TwinyBots")</f>
        <v>TwinyBots</v>
      </c>
      <c r="L2215" s="15">
        <v>2283</v>
      </c>
      <c r="M2215" s="15">
        <v>2047</v>
      </c>
      <c r="N2215" s="15">
        <v>93</v>
      </c>
      <c r="O2215" s="9"/>
      <c r="P2215" s="10">
        <v>39985.529166666667</v>
      </c>
      <c r="Q2215" s="14" t="s">
        <v>3167</v>
      </c>
      <c r="R2215" s="14" t="s">
        <v>3168</v>
      </c>
      <c r="S2215" s="8"/>
      <c r="T2215" s="8"/>
      <c r="U2215" s="11" t="str">
        <f>HYPERLINK("https://pbs.twimg.com/profile_images/605251240675573761/Ldc2HXa7.jpg","View")</f>
        <v>View</v>
      </c>
      <c r="V2215" s="8"/>
      <c r="W2215" s="8"/>
      <c r="X2215" s="8"/>
      <c r="Y2215" s="8"/>
      <c r="Z2215" s="8"/>
    </row>
    <row r="2216" spans="1:26" ht="13.2">
      <c r="A2216" s="13">
        <v>44250.0465625</v>
      </c>
      <c r="B2216" s="6" t="str">
        <f>HYPERLINK("https://twitter.com/Innovat78455398","@Innovat78455398")</f>
        <v>@Innovat78455398</v>
      </c>
      <c r="C2216" s="14" t="s">
        <v>4318</v>
      </c>
      <c r="D2216" s="14" t="s">
        <v>8729</v>
      </c>
      <c r="E2216" s="6" t="str">
        <f>HYPERLINK("https://twitter.com/Innovat78455398/status/1364003803658293249","1364003803658293249")</f>
        <v>1364003803658293249</v>
      </c>
      <c r="F2216" s="7" t="s">
        <v>8730</v>
      </c>
      <c r="G2216" s="7" t="s">
        <v>8731</v>
      </c>
      <c r="H2216" s="8"/>
      <c r="I2216" s="14">
        <v>25</v>
      </c>
      <c r="J2216" s="14">
        <v>9</v>
      </c>
      <c r="K2216" s="6" t="str">
        <f>HYPERLINK("https://mobile.twitter.com","Twitter Web App")</f>
        <v>Twitter Web App</v>
      </c>
      <c r="L2216" s="15">
        <v>101</v>
      </c>
      <c r="M2216" s="15">
        <v>142</v>
      </c>
      <c r="N2216" s="15">
        <v>1</v>
      </c>
      <c r="O2216" s="9"/>
      <c r="P2216" s="10">
        <v>44075.047534722224</v>
      </c>
      <c r="Q2216" s="14" t="s">
        <v>623</v>
      </c>
      <c r="R2216" s="14" t="s">
        <v>4322</v>
      </c>
      <c r="S2216" s="8"/>
      <c r="T2216" s="8"/>
      <c r="U2216" s="11" t="str">
        <f>HYPERLINK("https://pbs.twimg.com/profile_images/1300571380098850818/YjKI8L9l.jpg","View")</f>
        <v>View</v>
      </c>
      <c r="V2216" s="8"/>
      <c r="W2216" s="8"/>
      <c r="X2216" s="8"/>
      <c r="Y2216" s="8"/>
      <c r="Z2216" s="8"/>
    </row>
    <row r="2217" spans="1:26" ht="13.2">
      <c r="A2217" s="13">
        <v>44250.04582175926</v>
      </c>
      <c r="B2217" s="6" t="str">
        <f>HYPERLINK("https://twitter.com/StevenAiroldi","@StevenAiroldi")</f>
        <v>@StevenAiroldi</v>
      </c>
      <c r="C2217" s="14" t="s">
        <v>8732</v>
      </c>
      <c r="D2217" s="14" t="s">
        <v>8043</v>
      </c>
      <c r="E2217" s="6" t="str">
        <f>HYPERLINK("https://twitter.com/StevenAiroldi/status/1364003536917397513","1364003536917397513")</f>
        <v>1364003536917397513</v>
      </c>
      <c r="F2217" s="7" t="s">
        <v>8733</v>
      </c>
      <c r="G2217" s="8"/>
      <c r="H2217" s="8"/>
      <c r="I2217" s="14">
        <v>3</v>
      </c>
      <c r="J2217" s="14">
        <v>0</v>
      </c>
      <c r="K2217" s="6" t="str">
        <f>HYPERLINK("http://www.hubspot.com/","HubSpot")</f>
        <v>HubSpot</v>
      </c>
      <c r="L2217" s="15">
        <v>268</v>
      </c>
      <c r="M2217" s="15">
        <v>161</v>
      </c>
      <c r="N2217" s="15">
        <v>11</v>
      </c>
      <c r="O2217" s="9"/>
      <c r="P2217" s="10">
        <v>40248.830162037033</v>
      </c>
      <c r="Q2217" s="14" t="s">
        <v>8734</v>
      </c>
      <c r="R2217" s="14" t="s">
        <v>8735</v>
      </c>
      <c r="S2217" s="7" t="s">
        <v>8736</v>
      </c>
      <c r="T2217" s="8"/>
      <c r="U2217" s="11" t="str">
        <f>HYPERLINK("https://pbs.twimg.com/profile_images/741348683103371264/2q2NzNt_.jpg","View")</f>
        <v>View</v>
      </c>
      <c r="V2217" s="8"/>
      <c r="W2217" s="8"/>
      <c r="X2217" s="8"/>
      <c r="Y2217" s="8"/>
      <c r="Z2217" s="8"/>
    </row>
    <row r="2218" spans="1:26" ht="13.2">
      <c r="A2218" s="13">
        <v>44250.045590277776</v>
      </c>
      <c r="B2218" s="6" t="str">
        <f>HYPERLINK("https://twitter.com/Innovat78455398","@Innovat78455398")</f>
        <v>@Innovat78455398</v>
      </c>
      <c r="C2218" s="14" t="s">
        <v>4318</v>
      </c>
      <c r="D2218" s="14" t="s">
        <v>8737</v>
      </c>
      <c r="E2218" s="6" t="str">
        <f>HYPERLINK("https://twitter.com/Innovat78455398/status/1364003450799804420","1364003450799804420")</f>
        <v>1364003450799804420</v>
      </c>
      <c r="F2218" s="7" t="s">
        <v>8738</v>
      </c>
      <c r="G2218" s="7" t="s">
        <v>8739</v>
      </c>
      <c r="H2218" s="8"/>
      <c r="I2218" s="14">
        <v>16</v>
      </c>
      <c r="J2218" s="14">
        <v>5</v>
      </c>
      <c r="K2218" s="6" t="str">
        <f>HYPERLINK("https://mobile.twitter.com","Twitter Web App")</f>
        <v>Twitter Web App</v>
      </c>
      <c r="L2218" s="15">
        <v>101</v>
      </c>
      <c r="M2218" s="15">
        <v>142</v>
      </c>
      <c r="N2218" s="15">
        <v>1</v>
      </c>
      <c r="O2218" s="9"/>
      <c r="P2218" s="10">
        <v>44075.047534722224</v>
      </c>
      <c r="Q2218" s="14" t="s">
        <v>623</v>
      </c>
      <c r="R2218" s="14" t="s">
        <v>4322</v>
      </c>
      <c r="S2218" s="8"/>
      <c r="T2218" s="8"/>
      <c r="U2218" s="11" t="str">
        <f>HYPERLINK("https://pbs.twimg.com/profile_images/1300571380098850818/YjKI8L9l.jpg","View")</f>
        <v>View</v>
      </c>
      <c r="V2218" s="8"/>
      <c r="W2218" s="8"/>
      <c r="X2218" s="8"/>
      <c r="Y2218" s="8"/>
      <c r="Z2218" s="8"/>
    </row>
    <row r="2219" spans="1:26" ht="13.2">
      <c r="A2219" s="13">
        <v>44250.045208333337</v>
      </c>
      <c r="B2219" s="6" t="str">
        <f>HYPERLINK("https://twitter.com/AlertTrade","@AlertTrade")</f>
        <v>@AlertTrade</v>
      </c>
      <c r="C2219" s="14" t="s">
        <v>1043</v>
      </c>
      <c r="D2219" s="14" t="s">
        <v>8740</v>
      </c>
      <c r="E2219" s="6" t="str">
        <f>HYPERLINK("https://twitter.com/AlertTrade/status/1364003312685694976","1364003312685694976")</f>
        <v>1364003312685694976</v>
      </c>
      <c r="F2219" s="7" t="s">
        <v>1045</v>
      </c>
      <c r="G2219" s="7" t="s">
        <v>8741</v>
      </c>
      <c r="H2219" s="8"/>
      <c r="I2219" s="14">
        <v>0</v>
      </c>
      <c r="J2219" s="14">
        <v>0</v>
      </c>
      <c r="K2219" s="6" t="str">
        <f>HYPERLINK("https://buffer.com","Buffer")</f>
        <v>Buffer</v>
      </c>
      <c r="L2219" s="15">
        <v>147561</v>
      </c>
      <c r="M2219" s="15">
        <v>149760</v>
      </c>
      <c r="N2219" s="15">
        <v>2503</v>
      </c>
      <c r="O2219" s="9"/>
      <c r="P2219" s="10">
        <v>40245.718449074076</v>
      </c>
      <c r="Q2219" s="8"/>
      <c r="R2219" s="14" t="s">
        <v>1047</v>
      </c>
      <c r="S2219" s="7" t="s">
        <v>1048</v>
      </c>
      <c r="T2219" s="8"/>
      <c r="U2219" s="11" t="str">
        <f>HYPERLINK("https://pbs.twimg.com/profile_images/909427952001146880/UoMAp4JA.jpg","View")</f>
        <v>View</v>
      </c>
      <c r="V2219" s="8"/>
      <c r="W2219" s="8"/>
      <c r="X2219" s="8"/>
      <c r="Y2219" s="8"/>
      <c r="Z2219" s="8"/>
    </row>
    <row r="2220" spans="1:26" ht="13.2">
      <c r="A2220" s="13"/>
      <c r="B2220" s="14"/>
      <c r="C2220" s="14"/>
      <c r="D2220" s="14"/>
      <c r="E2220" s="14"/>
      <c r="F2220" s="14"/>
      <c r="G2220" s="14"/>
      <c r="H2220" s="14"/>
      <c r="I2220" s="14"/>
      <c r="J2220" s="14"/>
      <c r="K2220" s="14"/>
      <c r="L2220" s="15"/>
      <c r="M2220" s="15"/>
      <c r="N2220" s="15"/>
      <c r="O2220" s="15"/>
      <c r="P2220" s="15"/>
      <c r="Q2220" s="14"/>
      <c r="R2220" s="14"/>
      <c r="S2220" s="14"/>
      <c r="T2220" s="14"/>
      <c r="U2220" s="15"/>
      <c r="V2220" s="14"/>
      <c r="W2220" s="14"/>
      <c r="X2220" s="14"/>
      <c r="Y2220" s="14"/>
      <c r="Z2220" s="14"/>
    </row>
    <row r="2221" spans="1:26" ht="13.2">
      <c r="A2221" s="13"/>
      <c r="B2221" s="14"/>
      <c r="C2221" s="14"/>
      <c r="D2221" s="14"/>
      <c r="E2221" s="14"/>
      <c r="F2221" s="14"/>
      <c r="G2221" s="14"/>
      <c r="H2221" s="14"/>
      <c r="I2221" s="14"/>
      <c r="J2221" s="14"/>
      <c r="K2221" s="14"/>
      <c r="L2221" s="15"/>
      <c r="M2221" s="15"/>
      <c r="N2221" s="15"/>
      <c r="O2221" s="15"/>
      <c r="P2221" s="15"/>
      <c r="Q2221" s="14"/>
      <c r="R2221" s="14"/>
      <c r="S2221" s="14"/>
      <c r="T2221" s="14"/>
      <c r="U2221" s="15"/>
      <c r="V2221" s="14"/>
      <c r="W2221" s="14"/>
      <c r="X2221" s="14"/>
      <c r="Y2221" s="14"/>
      <c r="Z2221" s="14"/>
    </row>
    <row r="2222" spans="1:26" ht="13.2">
      <c r="A2222" s="13"/>
      <c r="B2222" s="14"/>
      <c r="C2222" s="14"/>
      <c r="D2222" s="14"/>
      <c r="E2222" s="14"/>
      <c r="F2222" s="14"/>
      <c r="G2222" s="14"/>
      <c r="H2222" s="14"/>
      <c r="I2222" s="14"/>
      <c r="J2222" s="14"/>
      <c r="K2222" s="14"/>
      <c r="L2222" s="15"/>
      <c r="M2222" s="15"/>
      <c r="N2222" s="15"/>
      <c r="O2222" s="15"/>
      <c r="P2222" s="15"/>
      <c r="Q2222" s="14"/>
      <c r="R2222" s="14"/>
      <c r="S2222" s="14"/>
      <c r="T2222" s="14"/>
      <c r="U2222" s="15"/>
      <c r="V2222" s="14"/>
      <c r="W2222" s="14"/>
      <c r="X2222" s="14"/>
      <c r="Y2222" s="14"/>
      <c r="Z2222" s="14"/>
    </row>
    <row r="2223" spans="1:26" ht="13.2">
      <c r="A2223" s="13"/>
      <c r="B2223" s="14"/>
      <c r="C2223" s="14"/>
      <c r="D2223" s="14"/>
      <c r="E2223" s="14"/>
      <c r="F2223" s="14"/>
      <c r="G2223" s="14"/>
      <c r="H2223" s="14"/>
      <c r="I2223" s="14"/>
      <c r="J2223" s="14"/>
      <c r="K2223" s="14"/>
      <c r="L2223" s="15"/>
      <c r="M2223" s="15"/>
      <c r="N2223" s="15"/>
      <c r="O2223" s="15"/>
      <c r="P2223" s="15"/>
      <c r="Q2223" s="14"/>
      <c r="R2223" s="14"/>
      <c r="S2223" s="14"/>
      <c r="T2223" s="14"/>
      <c r="U2223" s="15"/>
      <c r="V2223" s="14"/>
      <c r="W2223" s="14"/>
      <c r="X2223" s="14"/>
      <c r="Y2223" s="14"/>
      <c r="Z2223" s="14"/>
    </row>
    <row r="2224" spans="1:26" ht="13.2">
      <c r="A2224" s="13"/>
      <c r="B2224" s="14"/>
      <c r="C2224" s="14"/>
      <c r="D2224" s="14"/>
      <c r="E2224" s="14"/>
      <c r="F2224" s="14"/>
      <c r="G2224" s="14"/>
      <c r="H2224" s="14"/>
      <c r="I2224" s="14"/>
      <c r="J2224" s="14"/>
      <c r="K2224" s="14"/>
      <c r="L2224" s="15"/>
      <c r="M2224" s="15"/>
      <c r="N2224" s="15"/>
      <c r="O2224" s="15"/>
      <c r="P2224" s="15"/>
      <c r="Q2224" s="14"/>
      <c r="R2224" s="14"/>
      <c r="S2224" s="14"/>
      <c r="T2224" s="14"/>
      <c r="U2224" s="15"/>
      <c r="V2224" s="14"/>
      <c r="W2224" s="14"/>
      <c r="X2224" s="14"/>
      <c r="Y2224" s="14"/>
      <c r="Z2224" s="14"/>
    </row>
    <row r="2225" spans="1:26" ht="13.2">
      <c r="A2225" s="13"/>
      <c r="B2225" s="14"/>
      <c r="C2225" s="14"/>
      <c r="D2225" s="14"/>
      <c r="E2225" s="14"/>
      <c r="F2225" s="14"/>
      <c r="G2225" s="14"/>
      <c r="H2225" s="14"/>
      <c r="I2225" s="14"/>
      <c r="J2225" s="14"/>
      <c r="K2225" s="14"/>
      <c r="L2225" s="15"/>
      <c r="M2225" s="15"/>
      <c r="N2225" s="15"/>
      <c r="O2225" s="15"/>
      <c r="P2225" s="15"/>
      <c r="Q2225" s="14"/>
      <c r="R2225" s="14"/>
      <c r="S2225" s="14"/>
      <c r="T2225" s="14"/>
      <c r="U2225" s="15"/>
      <c r="V2225" s="14"/>
      <c r="W2225" s="14"/>
      <c r="X2225" s="14"/>
      <c r="Y2225" s="14"/>
      <c r="Z2225" s="14"/>
    </row>
    <row r="2226" spans="1:26" ht="13.2">
      <c r="A2226" s="13"/>
      <c r="B2226" s="14"/>
      <c r="C2226" s="14"/>
      <c r="D2226" s="14"/>
      <c r="E2226" s="14"/>
      <c r="F2226" s="14"/>
      <c r="G2226" s="14"/>
      <c r="H2226" s="14"/>
      <c r="I2226" s="14"/>
      <c r="J2226" s="14"/>
      <c r="K2226" s="14"/>
      <c r="L2226" s="15"/>
      <c r="M2226" s="15"/>
      <c r="N2226" s="15"/>
      <c r="O2226" s="15"/>
      <c r="P2226" s="15"/>
      <c r="Q2226" s="14"/>
      <c r="R2226" s="14"/>
      <c r="S2226" s="14"/>
      <c r="T2226" s="14"/>
      <c r="U2226" s="15"/>
      <c r="V2226" s="14"/>
      <c r="W2226" s="14"/>
      <c r="X2226" s="14"/>
      <c r="Y2226" s="14"/>
      <c r="Z2226" s="14"/>
    </row>
    <row r="2227" spans="1:26" ht="13.2">
      <c r="A2227" s="13"/>
      <c r="B2227" s="14"/>
      <c r="C2227" s="14"/>
      <c r="D2227" s="14"/>
      <c r="E2227" s="14"/>
      <c r="F2227" s="14"/>
      <c r="G2227" s="14"/>
      <c r="H2227" s="14"/>
      <c r="I2227" s="14"/>
      <c r="J2227" s="14"/>
      <c r="K2227" s="14"/>
      <c r="L2227" s="15"/>
      <c r="M2227" s="15"/>
      <c r="N2227" s="15"/>
      <c r="O2227" s="15"/>
      <c r="P2227" s="15"/>
      <c r="Q2227" s="14"/>
      <c r="R2227" s="14"/>
      <c r="S2227" s="14"/>
      <c r="T2227" s="14"/>
      <c r="U2227" s="15"/>
      <c r="V2227" s="14"/>
      <c r="W2227" s="14"/>
      <c r="X2227" s="14"/>
      <c r="Y2227" s="14"/>
      <c r="Z2227" s="14"/>
    </row>
    <row r="2228" spans="1:26" ht="13.2">
      <c r="A2228" s="13"/>
      <c r="B2228" s="14"/>
      <c r="C2228" s="14"/>
      <c r="D2228" s="14"/>
      <c r="E2228" s="14"/>
      <c r="F2228" s="14"/>
      <c r="G2228" s="14"/>
      <c r="H2228" s="14"/>
      <c r="I2228" s="14"/>
      <c r="J2228" s="14"/>
      <c r="K2228" s="14"/>
      <c r="L2228" s="15"/>
      <c r="M2228" s="15"/>
      <c r="N2228" s="15"/>
      <c r="O2228" s="15"/>
      <c r="P2228" s="15"/>
      <c r="Q2228" s="14"/>
      <c r="R2228" s="14"/>
      <c r="S2228" s="14"/>
      <c r="T2228" s="14"/>
      <c r="U2228" s="15"/>
      <c r="V2228" s="14"/>
      <c r="W2228" s="14"/>
      <c r="X2228" s="14"/>
      <c r="Y2228" s="14"/>
      <c r="Z2228" s="14"/>
    </row>
    <row r="2229" spans="1:26" ht="13.2">
      <c r="A2229" s="13"/>
      <c r="B2229" s="14"/>
      <c r="C2229" s="14"/>
      <c r="D2229" s="14"/>
      <c r="E2229" s="14"/>
      <c r="F2229" s="14"/>
      <c r="G2229" s="14"/>
      <c r="H2229" s="14"/>
      <c r="I2229" s="14"/>
      <c r="J2229" s="14"/>
      <c r="K2229" s="14"/>
      <c r="L2229" s="15"/>
      <c r="M2229" s="15"/>
      <c r="N2229" s="15"/>
      <c r="O2229" s="15"/>
      <c r="P2229" s="15"/>
      <c r="Q2229" s="14"/>
      <c r="R2229" s="14"/>
      <c r="S2229" s="14"/>
      <c r="T2229" s="14"/>
      <c r="U2229" s="15"/>
      <c r="V2229" s="14"/>
      <c r="W2229" s="14"/>
      <c r="X2229" s="14"/>
      <c r="Y2229" s="14"/>
      <c r="Z2229" s="14"/>
    </row>
    <row r="2230" spans="1:26" ht="13.2">
      <c r="A2230" s="13"/>
      <c r="B2230" s="14"/>
      <c r="C2230" s="14"/>
      <c r="D2230" s="14"/>
      <c r="E2230" s="14"/>
      <c r="F2230" s="14"/>
      <c r="G2230" s="14"/>
      <c r="H2230" s="14"/>
      <c r="I2230" s="14"/>
      <c r="J2230" s="14"/>
      <c r="K2230" s="14"/>
      <c r="L2230" s="15"/>
      <c r="M2230" s="15"/>
      <c r="N2230" s="15"/>
      <c r="O2230" s="15"/>
      <c r="P2230" s="15"/>
      <c r="Q2230" s="14"/>
      <c r="R2230" s="14"/>
      <c r="S2230" s="14"/>
      <c r="T2230" s="14"/>
      <c r="U2230" s="15"/>
      <c r="V2230" s="14"/>
      <c r="W2230" s="14"/>
      <c r="X2230" s="14"/>
      <c r="Y2230" s="14"/>
      <c r="Z2230" s="14"/>
    </row>
    <row r="2231" spans="1:26" ht="13.2">
      <c r="A2231" s="13"/>
      <c r="B2231" s="14"/>
      <c r="C2231" s="14"/>
      <c r="D2231" s="14"/>
      <c r="E2231" s="14"/>
      <c r="F2231" s="14"/>
      <c r="G2231" s="14"/>
      <c r="H2231" s="14"/>
      <c r="I2231" s="14"/>
      <c r="J2231" s="14"/>
      <c r="K2231" s="14"/>
      <c r="L2231" s="15"/>
      <c r="M2231" s="15"/>
      <c r="N2231" s="15"/>
      <c r="O2231" s="15"/>
      <c r="P2231" s="15"/>
      <c r="Q2231" s="14"/>
      <c r="R2231" s="14"/>
      <c r="S2231" s="14"/>
      <c r="T2231" s="14"/>
      <c r="U2231" s="15"/>
      <c r="V2231" s="14"/>
      <c r="W2231" s="14"/>
      <c r="X2231" s="14"/>
      <c r="Y2231" s="14"/>
      <c r="Z2231" s="14"/>
    </row>
    <row r="2232" spans="1:26" ht="13.2">
      <c r="A2232" s="13"/>
      <c r="B2232" s="14"/>
      <c r="C2232" s="14"/>
      <c r="D2232" s="14"/>
      <c r="E2232" s="14"/>
      <c r="F2232" s="14"/>
      <c r="G2232" s="14"/>
      <c r="H2232" s="14"/>
      <c r="I2232" s="14"/>
      <c r="J2232" s="14"/>
      <c r="K2232" s="14"/>
      <c r="L2232" s="15"/>
      <c r="M2232" s="15"/>
      <c r="N2232" s="15"/>
      <c r="O2232" s="15"/>
      <c r="P2232" s="15"/>
      <c r="Q2232" s="14"/>
      <c r="R2232" s="14"/>
      <c r="S2232" s="14"/>
      <c r="T2232" s="14"/>
      <c r="U2232" s="15"/>
      <c r="V2232" s="14"/>
      <c r="W2232" s="14"/>
      <c r="X2232" s="14"/>
      <c r="Y2232" s="14"/>
      <c r="Z2232" s="14"/>
    </row>
    <row r="2233" spans="1:26" ht="13.2">
      <c r="A2233" s="13"/>
      <c r="B2233" s="14"/>
      <c r="C2233" s="14"/>
      <c r="D2233" s="14"/>
      <c r="E2233" s="14"/>
      <c r="F2233" s="14"/>
      <c r="G2233" s="14"/>
      <c r="H2233" s="14"/>
      <c r="I2233" s="14"/>
      <c r="J2233" s="14"/>
      <c r="K2233" s="14"/>
      <c r="L2233" s="15"/>
      <c r="M2233" s="15"/>
      <c r="N2233" s="15"/>
      <c r="O2233" s="15"/>
      <c r="P2233" s="15"/>
      <c r="Q2233" s="14"/>
      <c r="R2233" s="14"/>
      <c r="S2233" s="14"/>
      <c r="T2233" s="14"/>
      <c r="U2233" s="15"/>
      <c r="V2233" s="14"/>
      <c r="W2233" s="14"/>
      <c r="X2233" s="14"/>
      <c r="Y2233" s="14"/>
      <c r="Z2233" s="14"/>
    </row>
    <row r="2234" spans="1:26" ht="13.2">
      <c r="A2234" s="13"/>
      <c r="B2234" s="14"/>
      <c r="C2234" s="14"/>
      <c r="D2234" s="14"/>
      <c r="E2234" s="14"/>
      <c r="F2234" s="14"/>
      <c r="G2234" s="14"/>
      <c r="H2234" s="14"/>
      <c r="I2234" s="14"/>
      <c r="J2234" s="14"/>
      <c r="K2234" s="14"/>
      <c r="L2234" s="15"/>
      <c r="M2234" s="15"/>
      <c r="N2234" s="15"/>
      <c r="O2234" s="15"/>
      <c r="P2234" s="15"/>
      <c r="Q2234" s="14"/>
      <c r="R2234" s="14"/>
      <c r="S2234" s="14"/>
      <c r="T2234" s="14"/>
      <c r="U2234" s="15"/>
      <c r="V2234" s="14"/>
      <c r="W2234" s="14"/>
      <c r="X2234" s="14"/>
      <c r="Y2234" s="14"/>
      <c r="Z2234" s="14"/>
    </row>
    <row r="2235" spans="1:26" ht="13.2">
      <c r="A2235" s="13"/>
      <c r="B2235" s="14"/>
      <c r="C2235" s="14"/>
      <c r="D2235" s="14"/>
      <c r="E2235" s="14"/>
      <c r="F2235" s="14"/>
      <c r="G2235" s="14"/>
      <c r="H2235" s="14"/>
      <c r="I2235" s="14"/>
      <c r="J2235" s="14"/>
      <c r="K2235" s="14"/>
      <c r="L2235" s="15"/>
      <c r="M2235" s="15"/>
      <c r="N2235" s="15"/>
      <c r="O2235" s="15"/>
      <c r="P2235" s="15"/>
      <c r="Q2235" s="14"/>
      <c r="R2235" s="14"/>
      <c r="S2235" s="14"/>
      <c r="T2235" s="14"/>
      <c r="U2235" s="15"/>
      <c r="V2235" s="14"/>
      <c r="W2235" s="14"/>
      <c r="X2235" s="14"/>
      <c r="Y2235" s="14"/>
      <c r="Z2235" s="14"/>
    </row>
    <row r="2236" spans="1:26" ht="13.2">
      <c r="A2236" s="13"/>
      <c r="B2236" s="14"/>
      <c r="C2236" s="14"/>
      <c r="D2236" s="14"/>
      <c r="E2236" s="14"/>
      <c r="F2236" s="14"/>
      <c r="G2236" s="14"/>
      <c r="H2236" s="14"/>
      <c r="I2236" s="14"/>
      <c r="J2236" s="14"/>
      <c r="K2236" s="14"/>
      <c r="L2236" s="15"/>
      <c r="M2236" s="15"/>
      <c r="N2236" s="15"/>
      <c r="O2236" s="15"/>
      <c r="P2236" s="15"/>
      <c r="Q2236" s="14"/>
      <c r="R2236" s="14"/>
      <c r="S2236" s="14"/>
      <c r="T2236" s="14"/>
      <c r="U2236" s="15"/>
      <c r="V2236" s="14"/>
      <c r="W2236" s="14"/>
      <c r="X2236" s="14"/>
      <c r="Y2236" s="14"/>
      <c r="Z2236" s="14"/>
    </row>
    <row r="2237" spans="1:26" ht="13.2">
      <c r="A2237" s="13"/>
      <c r="B2237" s="14"/>
      <c r="C2237" s="14"/>
      <c r="D2237" s="14"/>
      <c r="E2237" s="14"/>
      <c r="F2237" s="14"/>
      <c r="G2237" s="14"/>
      <c r="H2237" s="14"/>
      <c r="I2237" s="14"/>
      <c r="J2237" s="14"/>
      <c r="K2237" s="14"/>
      <c r="L2237" s="15"/>
      <c r="M2237" s="15"/>
      <c r="N2237" s="15"/>
      <c r="O2237" s="15"/>
      <c r="P2237" s="15"/>
      <c r="Q2237" s="14"/>
      <c r="R2237" s="14"/>
      <c r="S2237" s="14"/>
      <c r="T2237" s="14"/>
      <c r="U2237" s="15"/>
      <c r="V2237" s="14"/>
      <c r="W2237" s="14"/>
      <c r="X2237" s="14"/>
      <c r="Y2237" s="14"/>
      <c r="Z2237" s="14"/>
    </row>
    <row r="2238" spans="1:26" ht="13.2">
      <c r="A2238" s="13"/>
      <c r="B2238" s="14"/>
      <c r="C2238" s="14"/>
      <c r="D2238" s="14"/>
      <c r="E2238" s="14"/>
      <c r="F2238" s="14"/>
      <c r="G2238" s="14"/>
      <c r="H2238" s="14"/>
      <c r="I2238" s="14"/>
      <c r="J2238" s="14"/>
      <c r="K2238" s="14"/>
      <c r="L2238" s="15"/>
      <c r="M2238" s="15"/>
      <c r="N2238" s="15"/>
      <c r="O2238" s="15"/>
      <c r="P2238" s="15"/>
      <c r="Q2238" s="14"/>
      <c r="R2238" s="14"/>
      <c r="S2238" s="14"/>
      <c r="T2238" s="14"/>
      <c r="U2238" s="15"/>
      <c r="V2238" s="14"/>
      <c r="W2238" s="14"/>
      <c r="X2238" s="14"/>
      <c r="Y2238" s="14"/>
      <c r="Z2238" s="14"/>
    </row>
    <row r="2239" spans="1:26" ht="13.2">
      <c r="A2239" s="13"/>
      <c r="B2239" s="14"/>
      <c r="C2239" s="14"/>
      <c r="D2239" s="14"/>
      <c r="E2239" s="14"/>
      <c r="F2239" s="14"/>
      <c r="G2239" s="14"/>
      <c r="H2239" s="14"/>
      <c r="I2239" s="14"/>
      <c r="J2239" s="14"/>
      <c r="K2239" s="14"/>
      <c r="L2239" s="15"/>
      <c r="M2239" s="15"/>
      <c r="N2239" s="15"/>
      <c r="O2239" s="15"/>
      <c r="P2239" s="15"/>
      <c r="Q2239" s="14"/>
      <c r="R2239" s="14"/>
      <c r="S2239" s="14"/>
      <c r="T2239" s="14"/>
      <c r="U2239" s="15"/>
      <c r="V2239" s="14"/>
      <c r="W2239" s="14"/>
      <c r="X2239" s="14"/>
      <c r="Y2239" s="14"/>
      <c r="Z2239" s="14"/>
    </row>
    <row r="2240" spans="1:26" ht="13.2">
      <c r="A2240" s="13"/>
      <c r="B2240" s="14"/>
      <c r="C2240" s="14"/>
      <c r="D2240" s="14"/>
      <c r="E2240" s="14"/>
      <c r="F2240" s="14"/>
      <c r="G2240" s="14"/>
      <c r="H2240" s="14"/>
      <c r="I2240" s="14"/>
      <c r="J2240" s="14"/>
      <c r="K2240" s="14"/>
      <c r="L2240" s="15"/>
      <c r="M2240" s="15"/>
      <c r="N2240" s="15"/>
      <c r="O2240" s="15"/>
      <c r="P2240" s="15"/>
      <c r="Q2240" s="14"/>
      <c r="R2240" s="14"/>
      <c r="S2240" s="14"/>
      <c r="T2240" s="14"/>
      <c r="U2240" s="15"/>
      <c r="V2240" s="14"/>
      <c r="W2240" s="14"/>
      <c r="X2240" s="14"/>
      <c r="Y2240" s="14"/>
      <c r="Z2240" s="14"/>
    </row>
    <row r="2241" spans="1:26" ht="13.2">
      <c r="A2241" s="13"/>
      <c r="B2241" s="14"/>
      <c r="C2241" s="14"/>
      <c r="D2241" s="14"/>
      <c r="E2241" s="14"/>
      <c r="F2241" s="14"/>
      <c r="G2241" s="14"/>
      <c r="H2241" s="14"/>
      <c r="I2241" s="14"/>
      <c r="J2241" s="14"/>
      <c r="K2241" s="14"/>
      <c r="L2241" s="15"/>
      <c r="M2241" s="15"/>
      <c r="N2241" s="15"/>
      <c r="O2241" s="15"/>
      <c r="P2241" s="15"/>
      <c r="Q2241" s="14"/>
      <c r="R2241" s="14"/>
      <c r="S2241" s="14"/>
      <c r="T2241" s="14"/>
      <c r="U2241" s="15"/>
      <c r="V2241" s="14"/>
      <c r="W2241" s="14"/>
      <c r="X2241" s="14"/>
      <c r="Y2241" s="14"/>
      <c r="Z2241" s="14"/>
    </row>
    <row r="2242" spans="1:26" ht="13.2">
      <c r="A2242" s="13"/>
      <c r="B2242" s="14"/>
      <c r="C2242" s="14"/>
      <c r="D2242" s="14"/>
      <c r="E2242" s="14"/>
      <c r="F2242" s="14"/>
      <c r="G2242" s="14"/>
      <c r="H2242" s="14"/>
      <c r="I2242" s="14"/>
      <c r="J2242" s="14"/>
      <c r="K2242" s="14"/>
      <c r="L2242" s="15"/>
      <c r="M2242" s="15"/>
      <c r="N2242" s="15"/>
      <c r="O2242" s="15"/>
      <c r="P2242" s="15"/>
      <c r="Q2242" s="14"/>
      <c r="R2242" s="14"/>
      <c r="S2242" s="14"/>
      <c r="T2242" s="14"/>
      <c r="U2242" s="15"/>
      <c r="V2242" s="14"/>
      <c r="W2242" s="14"/>
      <c r="X2242" s="14"/>
      <c r="Y2242" s="14"/>
      <c r="Z2242" s="14"/>
    </row>
    <row r="2243" spans="1:26" ht="13.2">
      <c r="A2243" s="13"/>
      <c r="B2243" s="14"/>
      <c r="C2243" s="14"/>
      <c r="D2243" s="14"/>
      <c r="E2243" s="14"/>
      <c r="F2243" s="14"/>
      <c r="G2243" s="14"/>
      <c r="H2243" s="14"/>
      <c r="I2243" s="14"/>
      <c r="J2243" s="14"/>
      <c r="K2243" s="14"/>
      <c r="L2243" s="15"/>
      <c r="M2243" s="15"/>
      <c r="N2243" s="15"/>
      <c r="O2243" s="15"/>
      <c r="P2243" s="15"/>
      <c r="Q2243" s="14"/>
      <c r="R2243" s="14"/>
      <c r="S2243" s="14"/>
      <c r="T2243" s="14"/>
      <c r="U2243" s="15"/>
      <c r="V2243" s="14"/>
      <c r="W2243" s="14"/>
      <c r="X2243" s="14"/>
      <c r="Y2243" s="14"/>
      <c r="Z2243" s="14"/>
    </row>
    <row r="2244" spans="1:26" ht="13.2">
      <c r="A2244" s="13"/>
      <c r="B2244" s="14"/>
      <c r="C2244" s="14"/>
      <c r="D2244" s="14"/>
      <c r="E2244" s="14"/>
      <c r="F2244" s="14"/>
      <c r="G2244" s="14"/>
      <c r="H2244" s="14"/>
      <c r="I2244" s="14"/>
      <c r="J2244" s="14"/>
      <c r="K2244" s="14"/>
      <c r="L2244" s="15"/>
      <c r="M2244" s="15"/>
      <c r="N2244" s="15"/>
      <c r="O2244" s="15"/>
      <c r="P2244" s="15"/>
      <c r="Q2244" s="14"/>
      <c r="R2244" s="14"/>
      <c r="S2244" s="14"/>
      <c r="T2244" s="14"/>
      <c r="U2244" s="15"/>
      <c r="V2244" s="14"/>
      <c r="W2244" s="14"/>
      <c r="X2244" s="14"/>
      <c r="Y2244" s="14"/>
      <c r="Z2244" s="14"/>
    </row>
    <row r="2245" spans="1:26" ht="13.2">
      <c r="A2245" s="13"/>
      <c r="B2245" s="14"/>
      <c r="C2245" s="14"/>
      <c r="D2245" s="14"/>
      <c r="E2245" s="14"/>
      <c r="F2245" s="14"/>
      <c r="G2245" s="14"/>
      <c r="H2245" s="14"/>
      <c r="I2245" s="14"/>
      <c r="J2245" s="14"/>
      <c r="K2245" s="14"/>
      <c r="L2245" s="15"/>
      <c r="M2245" s="15"/>
      <c r="N2245" s="15"/>
      <c r="O2245" s="15"/>
      <c r="P2245" s="15"/>
      <c r="Q2245" s="14"/>
      <c r="R2245" s="14"/>
      <c r="S2245" s="14"/>
      <c r="T2245" s="14"/>
      <c r="U2245" s="15"/>
      <c r="V2245" s="14"/>
      <c r="W2245" s="14"/>
      <c r="X2245" s="14"/>
      <c r="Y2245" s="14"/>
      <c r="Z2245" s="14"/>
    </row>
    <row r="2246" spans="1:26" ht="13.2">
      <c r="A2246" s="13"/>
      <c r="B2246" s="14"/>
      <c r="C2246" s="14"/>
      <c r="D2246" s="14"/>
      <c r="E2246" s="14"/>
      <c r="F2246" s="14"/>
      <c r="G2246" s="14"/>
      <c r="H2246" s="14"/>
      <c r="I2246" s="14"/>
      <c r="J2246" s="14"/>
      <c r="K2246" s="14"/>
      <c r="L2246" s="15"/>
      <c r="M2246" s="15"/>
      <c r="N2246" s="15"/>
      <c r="O2246" s="15"/>
      <c r="P2246" s="15"/>
      <c r="Q2246" s="14"/>
      <c r="R2246" s="14"/>
      <c r="S2246" s="14"/>
      <c r="T2246" s="14"/>
      <c r="U2246" s="15"/>
      <c r="V2246" s="14"/>
      <c r="W2246" s="14"/>
      <c r="X2246" s="14"/>
      <c r="Y2246" s="14"/>
      <c r="Z2246" s="14"/>
    </row>
    <row r="2247" spans="1:26" ht="13.2">
      <c r="A2247" s="13"/>
      <c r="B2247" s="14"/>
      <c r="C2247" s="14"/>
      <c r="D2247" s="14"/>
      <c r="E2247" s="14"/>
      <c r="F2247" s="14"/>
      <c r="G2247" s="14"/>
      <c r="H2247" s="14"/>
      <c r="I2247" s="14"/>
      <c r="J2247" s="14"/>
      <c r="K2247" s="14"/>
      <c r="L2247" s="15"/>
      <c r="M2247" s="15"/>
      <c r="N2247" s="15"/>
      <c r="O2247" s="15"/>
      <c r="P2247" s="15"/>
      <c r="Q2247" s="14"/>
      <c r="R2247" s="14"/>
      <c r="S2247" s="14"/>
      <c r="T2247" s="14"/>
      <c r="U2247" s="15"/>
      <c r="V2247" s="14"/>
      <c r="W2247" s="14"/>
      <c r="X2247" s="14"/>
      <c r="Y2247" s="14"/>
      <c r="Z2247" s="14"/>
    </row>
    <row r="2248" spans="1:26" ht="13.2">
      <c r="A2248" s="13"/>
      <c r="B2248" s="14"/>
      <c r="C2248" s="14"/>
      <c r="D2248" s="14"/>
      <c r="E2248" s="14"/>
      <c r="F2248" s="14"/>
      <c r="G2248" s="14"/>
      <c r="H2248" s="14"/>
      <c r="I2248" s="14"/>
      <c r="J2248" s="14"/>
      <c r="K2248" s="14"/>
      <c r="L2248" s="15"/>
      <c r="M2248" s="15"/>
      <c r="N2248" s="15"/>
      <c r="O2248" s="15"/>
      <c r="P2248" s="15"/>
      <c r="Q2248" s="14"/>
      <c r="R2248" s="14"/>
      <c r="S2248" s="14"/>
      <c r="T2248" s="14"/>
      <c r="U2248" s="15"/>
      <c r="V2248" s="14"/>
      <c r="W2248" s="14"/>
      <c r="X2248" s="14"/>
      <c r="Y2248" s="14"/>
      <c r="Z2248" s="14"/>
    </row>
    <row r="2249" spans="1:26" ht="13.2">
      <c r="A2249" s="13"/>
      <c r="B2249" s="14"/>
      <c r="C2249" s="14"/>
      <c r="D2249" s="14"/>
      <c r="E2249" s="14"/>
      <c r="F2249" s="14"/>
      <c r="G2249" s="14"/>
      <c r="H2249" s="14"/>
      <c r="I2249" s="14"/>
      <c r="J2249" s="14"/>
      <c r="K2249" s="14"/>
      <c r="L2249" s="15"/>
      <c r="M2249" s="15"/>
      <c r="N2249" s="15"/>
      <c r="O2249" s="15"/>
      <c r="P2249" s="15"/>
      <c r="Q2249" s="14"/>
      <c r="R2249" s="14"/>
      <c r="S2249" s="14"/>
      <c r="T2249" s="14"/>
      <c r="U2249" s="15"/>
      <c r="V2249" s="14"/>
      <c r="W2249" s="14"/>
      <c r="X2249" s="14"/>
      <c r="Y2249" s="14"/>
      <c r="Z2249" s="14"/>
    </row>
    <row r="2250" spans="1:26" ht="13.2">
      <c r="A2250" s="13"/>
      <c r="B2250" s="14"/>
      <c r="C2250" s="14"/>
      <c r="D2250" s="14"/>
      <c r="E2250" s="14"/>
      <c r="F2250" s="14"/>
      <c r="G2250" s="14"/>
      <c r="H2250" s="14"/>
      <c r="I2250" s="14"/>
      <c r="J2250" s="14"/>
      <c r="K2250" s="14"/>
      <c r="L2250" s="15"/>
      <c r="M2250" s="15"/>
      <c r="N2250" s="15"/>
      <c r="O2250" s="15"/>
      <c r="P2250" s="15"/>
      <c r="Q2250" s="14"/>
      <c r="R2250" s="14"/>
      <c r="S2250" s="14"/>
      <c r="T2250" s="14"/>
      <c r="U2250" s="15"/>
      <c r="V2250" s="14"/>
      <c r="W2250" s="14"/>
      <c r="X2250" s="14"/>
      <c r="Y2250" s="14"/>
      <c r="Z2250" s="14"/>
    </row>
    <row r="2251" spans="1:26" ht="13.2">
      <c r="A2251" s="13"/>
      <c r="B2251" s="14"/>
      <c r="C2251" s="14"/>
      <c r="D2251" s="14"/>
      <c r="E2251" s="14"/>
      <c r="F2251" s="14"/>
      <c r="G2251" s="14"/>
      <c r="H2251" s="14"/>
      <c r="I2251" s="14"/>
      <c r="J2251" s="14"/>
      <c r="K2251" s="14"/>
      <c r="L2251" s="15"/>
      <c r="M2251" s="15"/>
      <c r="N2251" s="15"/>
      <c r="O2251" s="15"/>
      <c r="P2251" s="15"/>
      <c r="Q2251" s="14"/>
      <c r="R2251" s="14"/>
      <c r="S2251" s="14"/>
      <c r="T2251" s="14"/>
      <c r="U2251" s="15"/>
      <c r="V2251" s="14"/>
      <c r="W2251" s="14"/>
      <c r="X2251" s="14"/>
      <c r="Y2251" s="14"/>
      <c r="Z2251" s="14"/>
    </row>
    <row r="2252" spans="1:26" ht="13.2">
      <c r="A2252" s="13"/>
      <c r="B2252" s="14"/>
      <c r="C2252" s="14"/>
      <c r="D2252" s="14"/>
      <c r="E2252" s="14"/>
      <c r="F2252" s="14"/>
      <c r="G2252" s="14"/>
      <c r="H2252" s="14"/>
      <c r="I2252" s="14"/>
      <c r="J2252" s="14"/>
      <c r="K2252" s="14"/>
      <c r="L2252" s="15"/>
      <c r="M2252" s="15"/>
      <c r="N2252" s="15"/>
      <c r="O2252" s="15"/>
      <c r="P2252" s="15"/>
      <c r="Q2252" s="14"/>
      <c r="R2252" s="14"/>
      <c r="S2252" s="14"/>
      <c r="T2252" s="14"/>
      <c r="U2252" s="15"/>
      <c r="V2252" s="14"/>
      <c r="W2252" s="14"/>
      <c r="X2252" s="14"/>
      <c r="Y2252" s="14"/>
      <c r="Z2252" s="14"/>
    </row>
    <row r="2253" spans="1:26" ht="13.2">
      <c r="A2253" s="13"/>
      <c r="B2253" s="14"/>
      <c r="C2253" s="14"/>
      <c r="D2253" s="14"/>
      <c r="E2253" s="14"/>
      <c r="F2253" s="14"/>
      <c r="G2253" s="14"/>
      <c r="H2253" s="14"/>
      <c r="I2253" s="14"/>
      <c r="J2253" s="14"/>
      <c r="K2253" s="14"/>
      <c r="L2253" s="15"/>
      <c r="M2253" s="15"/>
      <c r="N2253" s="15"/>
      <c r="O2253" s="15"/>
      <c r="P2253" s="15"/>
      <c r="Q2253" s="14"/>
      <c r="R2253" s="14"/>
      <c r="S2253" s="14"/>
      <c r="T2253" s="14"/>
      <c r="U2253" s="15"/>
      <c r="V2253" s="14"/>
      <c r="W2253" s="14"/>
      <c r="X2253" s="14"/>
      <c r="Y2253" s="14"/>
      <c r="Z2253" s="14"/>
    </row>
    <row r="2254" spans="1:26" ht="13.2">
      <c r="A2254" s="13"/>
      <c r="B2254" s="14"/>
      <c r="C2254" s="14"/>
      <c r="D2254" s="14"/>
      <c r="E2254" s="14"/>
      <c r="F2254" s="14"/>
      <c r="G2254" s="14"/>
      <c r="H2254" s="14"/>
      <c r="I2254" s="14"/>
      <c r="J2254" s="14"/>
      <c r="K2254" s="14"/>
      <c r="L2254" s="15"/>
      <c r="M2254" s="15"/>
      <c r="N2254" s="15"/>
      <c r="O2254" s="15"/>
      <c r="P2254" s="15"/>
      <c r="Q2254" s="14"/>
      <c r="R2254" s="14"/>
      <c r="S2254" s="14"/>
      <c r="T2254" s="14"/>
      <c r="U2254" s="15"/>
      <c r="V2254" s="14"/>
      <c r="W2254" s="14"/>
      <c r="X2254" s="14"/>
      <c r="Y2254" s="14"/>
      <c r="Z2254" s="14"/>
    </row>
    <row r="2255" spans="1:26" ht="13.2">
      <c r="A2255" s="13"/>
      <c r="B2255" s="14"/>
      <c r="C2255" s="14"/>
      <c r="D2255" s="14"/>
      <c r="E2255" s="14"/>
      <c r="F2255" s="14"/>
      <c r="G2255" s="14"/>
      <c r="H2255" s="14"/>
      <c r="I2255" s="14"/>
      <c r="J2255" s="14"/>
      <c r="K2255" s="14"/>
      <c r="L2255" s="15"/>
      <c r="M2255" s="15"/>
      <c r="N2255" s="15"/>
      <c r="O2255" s="15"/>
      <c r="P2255" s="15"/>
      <c r="Q2255" s="14"/>
      <c r="R2255" s="14"/>
      <c r="S2255" s="14"/>
      <c r="T2255" s="14"/>
      <c r="U2255" s="15"/>
      <c r="V2255" s="14"/>
      <c r="W2255" s="14"/>
      <c r="X2255" s="14"/>
      <c r="Y2255" s="14"/>
      <c r="Z2255" s="14"/>
    </row>
    <row r="2256" spans="1:26" ht="13.2">
      <c r="A2256" s="13"/>
      <c r="B2256" s="14"/>
      <c r="C2256" s="14"/>
      <c r="D2256" s="14"/>
      <c r="E2256" s="14"/>
      <c r="F2256" s="14"/>
      <c r="G2256" s="14"/>
      <c r="H2256" s="14"/>
      <c r="I2256" s="14"/>
      <c r="J2256" s="14"/>
      <c r="K2256" s="14"/>
      <c r="L2256" s="15"/>
      <c r="M2256" s="15"/>
      <c r="N2256" s="15"/>
      <c r="O2256" s="15"/>
      <c r="P2256" s="15"/>
      <c r="Q2256" s="14"/>
      <c r="R2256" s="14"/>
      <c r="S2256" s="14"/>
      <c r="T2256" s="14"/>
      <c r="U2256" s="15"/>
      <c r="V2256" s="14"/>
      <c r="W2256" s="14"/>
      <c r="X2256" s="14"/>
      <c r="Y2256" s="14"/>
      <c r="Z2256" s="14"/>
    </row>
    <row r="2257" spans="1:26" ht="13.2">
      <c r="A2257" s="13"/>
      <c r="B2257" s="14"/>
      <c r="C2257" s="14"/>
      <c r="D2257" s="14"/>
      <c r="E2257" s="14"/>
      <c r="F2257" s="14"/>
      <c r="G2257" s="14"/>
      <c r="H2257" s="14"/>
      <c r="I2257" s="14"/>
      <c r="J2257" s="14"/>
      <c r="K2257" s="14"/>
      <c r="L2257" s="15"/>
      <c r="M2257" s="15"/>
      <c r="N2257" s="15"/>
      <c r="O2257" s="15"/>
      <c r="P2257" s="15"/>
      <c r="Q2257" s="14"/>
      <c r="R2257" s="14"/>
      <c r="S2257" s="14"/>
      <c r="T2257" s="14"/>
      <c r="U2257" s="15"/>
      <c r="V2257" s="14"/>
      <c r="W2257" s="14"/>
      <c r="X2257" s="14"/>
      <c r="Y2257" s="14"/>
      <c r="Z2257" s="14"/>
    </row>
    <row r="2258" spans="1:26" ht="13.2">
      <c r="A2258" s="13"/>
      <c r="B2258" s="14"/>
      <c r="C2258" s="14"/>
      <c r="D2258" s="14"/>
      <c r="E2258" s="14"/>
      <c r="F2258" s="14"/>
      <c r="G2258" s="14"/>
      <c r="H2258" s="14"/>
      <c r="I2258" s="14"/>
      <c r="J2258" s="14"/>
      <c r="K2258" s="14"/>
      <c r="L2258" s="15"/>
      <c r="M2258" s="15"/>
      <c r="N2258" s="15"/>
      <c r="O2258" s="15"/>
      <c r="P2258" s="15"/>
      <c r="Q2258" s="14"/>
      <c r="R2258" s="14"/>
      <c r="S2258" s="14"/>
      <c r="T2258" s="14"/>
      <c r="U2258" s="15"/>
      <c r="V2258" s="14"/>
      <c r="W2258" s="14"/>
      <c r="X2258" s="14"/>
      <c r="Y2258" s="14"/>
      <c r="Z2258" s="14"/>
    </row>
    <row r="2259" spans="1:26" ht="13.2">
      <c r="A2259" s="13"/>
      <c r="B2259" s="14"/>
      <c r="C2259" s="14"/>
      <c r="D2259" s="14"/>
      <c r="E2259" s="14"/>
      <c r="F2259" s="14"/>
      <c r="G2259" s="14"/>
      <c r="H2259" s="14"/>
      <c r="I2259" s="14"/>
      <c r="J2259" s="14"/>
      <c r="K2259" s="14"/>
      <c r="L2259" s="15"/>
      <c r="M2259" s="15"/>
      <c r="N2259" s="15"/>
      <c r="O2259" s="15"/>
      <c r="P2259" s="15"/>
      <c r="Q2259" s="14"/>
      <c r="R2259" s="14"/>
      <c r="S2259" s="14"/>
      <c r="T2259" s="14"/>
      <c r="U2259" s="15"/>
      <c r="V2259" s="14"/>
      <c r="W2259" s="14"/>
      <c r="X2259" s="14"/>
      <c r="Y2259" s="14"/>
      <c r="Z2259" s="14"/>
    </row>
    <row r="2260" spans="1:26" ht="13.2">
      <c r="A2260" s="13"/>
      <c r="B2260" s="14"/>
      <c r="C2260" s="14"/>
      <c r="D2260" s="14"/>
      <c r="E2260" s="14"/>
      <c r="F2260" s="14"/>
      <c r="G2260" s="14"/>
      <c r="H2260" s="14"/>
      <c r="I2260" s="14"/>
      <c r="J2260" s="14"/>
      <c r="K2260" s="14"/>
      <c r="L2260" s="15"/>
      <c r="M2260" s="15"/>
      <c r="N2260" s="15"/>
      <c r="O2260" s="15"/>
      <c r="P2260" s="15"/>
      <c r="Q2260" s="14"/>
      <c r="R2260" s="14"/>
      <c r="S2260" s="14"/>
      <c r="T2260" s="14"/>
      <c r="U2260" s="15"/>
      <c r="V2260" s="14"/>
      <c r="W2260" s="14"/>
      <c r="X2260" s="14"/>
      <c r="Y2260" s="14"/>
      <c r="Z2260" s="14"/>
    </row>
    <row r="2261" spans="1:26" ht="13.2">
      <c r="A2261" s="13"/>
      <c r="B2261" s="14"/>
      <c r="C2261" s="14"/>
      <c r="D2261" s="14"/>
      <c r="E2261" s="14"/>
      <c r="F2261" s="14"/>
      <c r="G2261" s="14"/>
      <c r="H2261" s="14"/>
      <c r="I2261" s="14"/>
      <c r="J2261" s="14"/>
      <c r="K2261" s="14"/>
      <c r="L2261" s="15"/>
      <c r="M2261" s="15"/>
      <c r="N2261" s="15"/>
      <c r="O2261" s="15"/>
      <c r="P2261" s="15"/>
      <c r="Q2261" s="14"/>
      <c r="R2261" s="14"/>
      <c r="S2261" s="14"/>
      <c r="T2261" s="14"/>
      <c r="U2261" s="15"/>
      <c r="V2261" s="14"/>
      <c r="W2261" s="14"/>
      <c r="X2261" s="14"/>
      <c r="Y2261" s="14"/>
      <c r="Z2261" s="14"/>
    </row>
    <row r="2262" spans="1:26" ht="13.2">
      <c r="A2262" s="13"/>
      <c r="B2262" s="14"/>
      <c r="C2262" s="14"/>
      <c r="D2262" s="14"/>
      <c r="E2262" s="14"/>
      <c r="F2262" s="14"/>
      <c r="G2262" s="14"/>
      <c r="H2262" s="14"/>
      <c r="I2262" s="14"/>
      <c r="J2262" s="14"/>
      <c r="K2262" s="14"/>
      <c r="L2262" s="15"/>
      <c r="M2262" s="15"/>
      <c r="N2262" s="15"/>
      <c r="O2262" s="15"/>
      <c r="P2262" s="15"/>
      <c r="Q2262" s="14"/>
      <c r="R2262" s="14"/>
      <c r="S2262" s="14"/>
      <c r="T2262" s="14"/>
      <c r="U2262" s="15"/>
      <c r="V2262" s="14"/>
      <c r="W2262" s="14"/>
      <c r="X2262" s="14"/>
      <c r="Y2262" s="14"/>
      <c r="Z2262" s="14"/>
    </row>
    <row r="2263" spans="1:26" ht="13.2">
      <c r="A2263" s="13"/>
      <c r="B2263" s="14"/>
      <c r="C2263" s="14"/>
      <c r="D2263" s="14"/>
      <c r="E2263" s="14"/>
      <c r="F2263" s="14"/>
      <c r="G2263" s="14"/>
      <c r="H2263" s="14"/>
      <c r="I2263" s="14"/>
      <c r="J2263" s="14"/>
      <c r="K2263" s="14"/>
      <c r="L2263" s="15"/>
      <c r="M2263" s="15"/>
      <c r="N2263" s="15"/>
      <c r="O2263" s="15"/>
      <c r="P2263" s="15"/>
      <c r="Q2263" s="14"/>
      <c r="R2263" s="14"/>
      <c r="S2263" s="14"/>
      <c r="T2263" s="14"/>
      <c r="U2263" s="15"/>
      <c r="V2263" s="14"/>
      <c r="W2263" s="14"/>
      <c r="X2263" s="14"/>
      <c r="Y2263" s="14"/>
      <c r="Z2263" s="14"/>
    </row>
    <row r="2264" spans="1:26" ht="13.2">
      <c r="A2264" s="13"/>
      <c r="B2264" s="14"/>
      <c r="C2264" s="14"/>
      <c r="D2264" s="14"/>
      <c r="E2264" s="14"/>
      <c r="F2264" s="14"/>
      <c r="G2264" s="14"/>
      <c r="H2264" s="14"/>
      <c r="I2264" s="14"/>
      <c r="J2264" s="14"/>
      <c r="K2264" s="14"/>
      <c r="L2264" s="15"/>
      <c r="M2264" s="15"/>
      <c r="N2264" s="15"/>
      <c r="O2264" s="15"/>
      <c r="P2264" s="15"/>
      <c r="Q2264" s="14"/>
      <c r="R2264" s="14"/>
      <c r="S2264" s="14"/>
      <c r="T2264" s="14"/>
      <c r="U2264" s="15"/>
      <c r="V2264" s="14"/>
      <c r="W2264" s="14"/>
      <c r="X2264" s="14"/>
      <c r="Y2264" s="14"/>
      <c r="Z2264" s="14"/>
    </row>
    <row r="2265" spans="1:26" ht="13.2">
      <c r="A2265" s="13"/>
      <c r="B2265" s="14"/>
      <c r="C2265" s="14"/>
      <c r="D2265" s="14"/>
      <c r="E2265" s="14"/>
      <c r="F2265" s="14"/>
      <c r="G2265" s="14"/>
      <c r="H2265" s="14"/>
      <c r="I2265" s="14"/>
      <c r="J2265" s="14"/>
      <c r="K2265" s="14"/>
      <c r="L2265" s="15"/>
      <c r="M2265" s="15"/>
      <c r="N2265" s="15"/>
      <c r="O2265" s="15"/>
      <c r="P2265" s="15"/>
      <c r="Q2265" s="14"/>
      <c r="R2265" s="14"/>
      <c r="S2265" s="14"/>
      <c r="T2265" s="14"/>
      <c r="U2265" s="15"/>
      <c r="V2265" s="14"/>
      <c r="W2265" s="14"/>
      <c r="X2265" s="14"/>
      <c r="Y2265" s="14"/>
      <c r="Z2265" s="14"/>
    </row>
    <row r="2266" spans="1:26" ht="13.2">
      <c r="A2266" s="13"/>
      <c r="B2266" s="14"/>
      <c r="C2266" s="14"/>
      <c r="D2266" s="14"/>
      <c r="E2266" s="14"/>
      <c r="F2266" s="14"/>
      <c r="G2266" s="14"/>
      <c r="H2266" s="14"/>
      <c r="I2266" s="14"/>
      <c r="J2266" s="14"/>
      <c r="K2266" s="14"/>
      <c r="L2266" s="15"/>
      <c r="M2266" s="15"/>
      <c r="N2266" s="15"/>
      <c r="O2266" s="15"/>
      <c r="P2266" s="15"/>
      <c r="Q2266" s="14"/>
      <c r="R2266" s="14"/>
      <c r="S2266" s="14"/>
      <c r="T2266" s="14"/>
      <c r="U2266" s="15"/>
      <c r="V2266" s="14"/>
      <c r="W2266" s="14"/>
      <c r="X2266" s="14"/>
      <c r="Y2266" s="14"/>
      <c r="Z2266" s="14"/>
    </row>
    <row r="2267" spans="1:26" ht="13.2">
      <c r="A2267" s="13"/>
      <c r="B2267" s="14"/>
      <c r="C2267" s="14"/>
      <c r="D2267" s="14"/>
      <c r="E2267" s="14"/>
      <c r="F2267" s="14"/>
      <c r="G2267" s="14"/>
      <c r="H2267" s="14"/>
      <c r="I2267" s="14"/>
      <c r="J2267" s="14"/>
      <c r="K2267" s="14"/>
      <c r="L2267" s="15"/>
      <c r="M2267" s="15"/>
      <c r="N2267" s="15"/>
      <c r="O2267" s="15"/>
      <c r="P2267" s="15"/>
      <c r="Q2267" s="14"/>
      <c r="R2267" s="14"/>
      <c r="S2267" s="14"/>
      <c r="T2267" s="14"/>
      <c r="U2267" s="15"/>
      <c r="V2267" s="14"/>
      <c r="W2267" s="14"/>
      <c r="X2267" s="14"/>
      <c r="Y2267" s="14"/>
      <c r="Z2267" s="14"/>
    </row>
    <row r="2268" spans="1:26" ht="13.2">
      <c r="A2268" s="13"/>
      <c r="B2268" s="14"/>
      <c r="C2268" s="14"/>
      <c r="D2268" s="14"/>
      <c r="E2268" s="14"/>
      <c r="F2268" s="14"/>
      <c r="G2268" s="14"/>
      <c r="H2268" s="14"/>
      <c r="I2268" s="14"/>
      <c r="J2268" s="14"/>
      <c r="K2268" s="14"/>
      <c r="L2268" s="15"/>
      <c r="M2268" s="15"/>
      <c r="N2268" s="15"/>
      <c r="O2268" s="15"/>
      <c r="P2268" s="15"/>
      <c r="Q2268" s="14"/>
      <c r="R2268" s="14"/>
      <c r="S2268" s="14"/>
      <c r="T2268" s="14"/>
      <c r="U2268" s="15"/>
      <c r="V2268" s="14"/>
      <c r="W2268" s="14"/>
      <c r="X2268" s="14"/>
      <c r="Y2268" s="14"/>
      <c r="Z2268" s="14"/>
    </row>
    <row r="2269" spans="1:26" ht="13.2">
      <c r="A2269" s="13"/>
      <c r="B2269" s="14"/>
      <c r="C2269" s="14"/>
      <c r="D2269" s="14"/>
      <c r="E2269" s="14"/>
      <c r="F2269" s="14"/>
      <c r="G2269" s="14"/>
      <c r="H2269" s="14"/>
      <c r="I2269" s="14"/>
      <c r="J2269" s="14"/>
      <c r="K2269" s="14"/>
      <c r="L2269" s="15"/>
      <c r="M2269" s="15"/>
      <c r="N2269" s="15"/>
      <c r="O2269" s="15"/>
      <c r="P2269" s="15"/>
      <c r="Q2269" s="14"/>
      <c r="R2269" s="14"/>
      <c r="S2269" s="14"/>
      <c r="T2269" s="14"/>
      <c r="U2269" s="15"/>
      <c r="V2269" s="14"/>
      <c r="W2269" s="14"/>
      <c r="X2269" s="14"/>
      <c r="Y2269" s="14"/>
      <c r="Z2269" s="14"/>
    </row>
    <row r="2270" spans="1:26" ht="13.2">
      <c r="A2270" s="13"/>
      <c r="B2270" s="14"/>
      <c r="C2270" s="14"/>
      <c r="D2270" s="14"/>
      <c r="E2270" s="14"/>
      <c r="F2270" s="14"/>
      <c r="G2270" s="14"/>
      <c r="H2270" s="14"/>
      <c r="I2270" s="14"/>
      <c r="J2270" s="14"/>
      <c r="K2270" s="14"/>
      <c r="L2270" s="15"/>
      <c r="M2270" s="15"/>
      <c r="N2270" s="15"/>
      <c r="O2270" s="15"/>
      <c r="P2270" s="15"/>
      <c r="Q2270" s="14"/>
      <c r="R2270" s="14"/>
      <c r="S2270" s="14"/>
      <c r="T2270" s="14"/>
      <c r="U2270" s="15"/>
      <c r="V2270" s="14"/>
      <c r="W2270" s="14"/>
      <c r="X2270" s="14"/>
      <c r="Y2270" s="14"/>
      <c r="Z2270" s="14"/>
    </row>
    <row r="2271" spans="1:26" ht="13.2">
      <c r="A2271" s="13"/>
      <c r="B2271" s="14"/>
      <c r="C2271" s="14"/>
      <c r="D2271" s="14"/>
      <c r="E2271" s="14"/>
      <c r="F2271" s="14"/>
      <c r="G2271" s="14"/>
      <c r="H2271" s="14"/>
      <c r="I2271" s="14"/>
      <c r="J2271" s="14"/>
      <c r="K2271" s="14"/>
      <c r="L2271" s="15"/>
      <c r="M2271" s="15"/>
      <c r="N2271" s="15"/>
      <c r="O2271" s="15"/>
      <c r="P2271" s="15"/>
      <c r="Q2271" s="14"/>
      <c r="R2271" s="14"/>
      <c r="S2271" s="14"/>
      <c r="T2271" s="14"/>
      <c r="U2271" s="15"/>
      <c r="V2271" s="14"/>
      <c r="W2271" s="14"/>
      <c r="X2271" s="14"/>
      <c r="Y2271" s="14"/>
      <c r="Z2271" s="14"/>
    </row>
    <row r="2272" spans="1:26" ht="13.2">
      <c r="A2272" s="13"/>
      <c r="B2272" s="14"/>
      <c r="C2272" s="14"/>
      <c r="D2272" s="14"/>
      <c r="E2272" s="14"/>
      <c r="F2272" s="14"/>
      <c r="G2272" s="14"/>
      <c r="H2272" s="14"/>
      <c r="I2272" s="14"/>
      <c r="J2272" s="14"/>
      <c r="K2272" s="14"/>
      <c r="L2272" s="15"/>
      <c r="M2272" s="15"/>
      <c r="N2272" s="15"/>
      <c r="O2272" s="15"/>
      <c r="P2272" s="15"/>
      <c r="Q2272" s="14"/>
      <c r="R2272" s="14"/>
      <c r="S2272" s="14"/>
      <c r="T2272" s="14"/>
      <c r="U2272" s="15"/>
      <c r="V2272" s="14"/>
      <c r="W2272" s="14"/>
      <c r="X2272" s="14"/>
      <c r="Y2272" s="14"/>
      <c r="Z2272" s="14"/>
    </row>
    <row r="2273" spans="1:26" ht="13.2">
      <c r="A2273" s="13"/>
      <c r="B2273" s="14"/>
      <c r="C2273" s="14"/>
      <c r="D2273" s="14"/>
      <c r="E2273" s="14"/>
      <c r="F2273" s="14"/>
      <c r="G2273" s="14"/>
      <c r="H2273" s="14"/>
      <c r="I2273" s="14"/>
      <c r="J2273" s="14"/>
      <c r="K2273" s="14"/>
      <c r="L2273" s="15"/>
      <c r="M2273" s="15"/>
      <c r="N2273" s="15"/>
      <c r="O2273" s="15"/>
      <c r="P2273" s="15"/>
      <c r="Q2273" s="14"/>
      <c r="R2273" s="14"/>
      <c r="S2273" s="14"/>
      <c r="T2273" s="14"/>
      <c r="U2273" s="15"/>
      <c r="V2273" s="14"/>
      <c r="W2273" s="14"/>
      <c r="X2273" s="14"/>
      <c r="Y2273" s="14"/>
      <c r="Z2273" s="14"/>
    </row>
    <row r="2274" spans="1:26" ht="13.2">
      <c r="A2274" s="13"/>
      <c r="B2274" s="14"/>
      <c r="C2274" s="14"/>
      <c r="D2274" s="14"/>
      <c r="E2274" s="14"/>
      <c r="F2274" s="14"/>
      <c r="G2274" s="14"/>
      <c r="H2274" s="14"/>
      <c r="I2274" s="14"/>
      <c r="J2274" s="14"/>
      <c r="K2274" s="14"/>
      <c r="L2274" s="15"/>
      <c r="M2274" s="15"/>
      <c r="N2274" s="15"/>
      <c r="O2274" s="15"/>
      <c r="P2274" s="15"/>
      <c r="Q2274" s="14"/>
      <c r="R2274" s="14"/>
      <c r="S2274" s="14"/>
      <c r="T2274" s="14"/>
      <c r="U2274" s="15"/>
      <c r="V2274" s="14"/>
      <c r="W2274" s="14"/>
      <c r="X2274" s="14"/>
      <c r="Y2274" s="14"/>
      <c r="Z2274" s="14"/>
    </row>
    <row r="2275" spans="1:26" ht="13.2">
      <c r="A2275" s="13"/>
      <c r="B2275" s="14"/>
      <c r="C2275" s="14"/>
      <c r="D2275" s="14"/>
      <c r="E2275" s="14"/>
      <c r="F2275" s="14"/>
      <c r="G2275" s="14"/>
      <c r="H2275" s="14"/>
      <c r="I2275" s="14"/>
      <c r="J2275" s="14"/>
      <c r="K2275" s="14"/>
      <c r="L2275" s="15"/>
      <c r="M2275" s="15"/>
      <c r="N2275" s="15"/>
      <c r="O2275" s="15"/>
      <c r="P2275" s="15"/>
      <c r="Q2275" s="14"/>
      <c r="R2275" s="14"/>
      <c r="S2275" s="14"/>
      <c r="T2275" s="14"/>
      <c r="U2275" s="15"/>
      <c r="V2275" s="14"/>
      <c r="W2275" s="14"/>
      <c r="X2275" s="14"/>
      <c r="Y2275" s="14"/>
      <c r="Z2275" s="14"/>
    </row>
    <row r="2276" spans="1:26" ht="13.2">
      <c r="A2276" s="13"/>
      <c r="B2276" s="14"/>
      <c r="C2276" s="14"/>
      <c r="D2276" s="14"/>
      <c r="E2276" s="14"/>
      <c r="F2276" s="14"/>
      <c r="G2276" s="14"/>
      <c r="H2276" s="14"/>
      <c r="I2276" s="14"/>
      <c r="J2276" s="14"/>
      <c r="K2276" s="14"/>
      <c r="L2276" s="15"/>
      <c r="M2276" s="15"/>
      <c r="N2276" s="15"/>
      <c r="O2276" s="15"/>
      <c r="P2276" s="15"/>
      <c r="Q2276" s="14"/>
      <c r="R2276" s="14"/>
      <c r="S2276" s="14"/>
      <c r="T2276" s="14"/>
      <c r="U2276" s="15"/>
      <c r="V2276" s="14"/>
      <c r="W2276" s="14"/>
      <c r="X2276" s="14"/>
      <c r="Y2276" s="14"/>
      <c r="Z2276" s="14"/>
    </row>
    <row r="2277" spans="1:26" ht="13.2">
      <c r="A2277" s="13"/>
      <c r="B2277" s="14"/>
      <c r="C2277" s="14"/>
      <c r="D2277" s="14"/>
      <c r="E2277" s="14"/>
      <c r="F2277" s="14"/>
      <c r="G2277" s="14"/>
      <c r="H2277" s="14"/>
      <c r="I2277" s="14"/>
      <c r="J2277" s="14"/>
      <c r="K2277" s="14"/>
      <c r="L2277" s="15"/>
      <c r="M2277" s="15"/>
      <c r="N2277" s="15"/>
      <c r="O2277" s="15"/>
      <c r="P2277" s="15"/>
      <c r="Q2277" s="14"/>
      <c r="R2277" s="14"/>
      <c r="S2277" s="14"/>
      <c r="T2277" s="14"/>
      <c r="U2277" s="15"/>
      <c r="V2277" s="14"/>
      <c r="W2277" s="14"/>
      <c r="X2277" s="14"/>
      <c r="Y2277" s="14"/>
      <c r="Z2277" s="14"/>
    </row>
    <row r="2278" spans="1:26" ht="13.2">
      <c r="A2278" s="13"/>
      <c r="B2278" s="14"/>
      <c r="C2278" s="14"/>
      <c r="D2278" s="14"/>
      <c r="E2278" s="14"/>
      <c r="F2278" s="14"/>
      <c r="G2278" s="14"/>
      <c r="H2278" s="14"/>
      <c r="I2278" s="14"/>
      <c r="J2278" s="14"/>
      <c r="K2278" s="14"/>
      <c r="L2278" s="15"/>
      <c r="M2278" s="15"/>
      <c r="N2278" s="15"/>
      <c r="O2278" s="15"/>
      <c r="P2278" s="15"/>
      <c r="Q2278" s="14"/>
      <c r="R2278" s="14"/>
      <c r="S2278" s="14"/>
      <c r="T2278" s="14"/>
      <c r="U2278" s="15"/>
      <c r="V2278" s="14"/>
      <c r="W2278" s="14"/>
      <c r="X2278" s="14"/>
      <c r="Y2278" s="14"/>
      <c r="Z2278" s="14"/>
    </row>
    <row r="2279" spans="1:26" ht="13.2">
      <c r="A2279" s="13"/>
      <c r="B2279" s="14"/>
      <c r="C2279" s="14"/>
      <c r="D2279" s="14"/>
      <c r="E2279" s="14"/>
      <c r="F2279" s="14"/>
      <c r="G2279" s="14"/>
      <c r="H2279" s="14"/>
      <c r="I2279" s="14"/>
      <c r="J2279" s="14"/>
      <c r="K2279" s="14"/>
      <c r="L2279" s="15"/>
      <c r="M2279" s="15"/>
      <c r="N2279" s="15"/>
      <c r="O2279" s="15"/>
      <c r="P2279" s="15"/>
      <c r="Q2279" s="14"/>
      <c r="R2279" s="14"/>
      <c r="S2279" s="14"/>
      <c r="T2279" s="14"/>
      <c r="U2279" s="15"/>
      <c r="V2279" s="14"/>
      <c r="W2279" s="14"/>
      <c r="X2279" s="14"/>
      <c r="Y2279" s="14"/>
      <c r="Z2279" s="14"/>
    </row>
    <row r="2280" spans="1:26" ht="13.2">
      <c r="A2280" s="13"/>
      <c r="B2280" s="14"/>
      <c r="C2280" s="14"/>
      <c r="D2280" s="14"/>
      <c r="E2280" s="14"/>
      <c r="F2280" s="14"/>
      <c r="G2280" s="14"/>
      <c r="H2280" s="14"/>
      <c r="I2280" s="14"/>
      <c r="J2280" s="14"/>
      <c r="K2280" s="14"/>
      <c r="L2280" s="15"/>
      <c r="M2280" s="15"/>
      <c r="N2280" s="15"/>
      <c r="O2280" s="15"/>
      <c r="P2280" s="15"/>
      <c r="Q2280" s="14"/>
      <c r="R2280" s="14"/>
      <c r="S2280" s="14"/>
      <c r="T2280" s="14"/>
      <c r="U2280" s="15"/>
      <c r="V2280" s="14"/>
      <c r="W2280" s="14"/>
      <c r="X2280" s="14"/>
      <c r="Y2280" s="14"/>
      <c r="Z2280" s="14"/>
    </row>
    <row r="2281" spans="1:26" ht="13.2">
      <c r="A2281" s="13"/>
      <c r="B2281" s="14"/>
      <c r="C2281" s="14"/>
      <c r="D2281" s="14"/>
      <c r="E2281" s="14"/>
      <c r="F2281" s="14"/>
      <c r="G2281" s="14"/>
      <c r="H2281" s="14"/>
      <c r="I2281" s="14"/>
      <c r="J2281" s="14"/>
      <c r="K2281" s="14"/>
      <c r="L2281" s="15"/>
      <c r="M2281" s="15"/>
      <c r="N2281" s="15"/>
      <c r="O2281" s="15"/>
      <c r="P2281" s="15"/>
      <c r="Q2281" s="14"/>
      <c r="R2281" s="14"/>
      <c r="S2281" s="14"/>
      <c r="T2281" s="14"/>
      <c r="U2281" s="15"/>
      <c r="V2281" s="14"/>
      <c r="W2281" s="14"/>
      <c r="X2281" s="14"/>
      <c r="Y2281" s="14"/>
      <c r="Z2281" s="14"/>
    </row>
    <row r="2282" spans="1:26" ht="13.2">
      <c r="A2282" s="13"/>
      <c r="B2282" s="14"/>
      <c r="C2282" s="14"/>
      <c r="D2282" s="14"/>
      <c r="E2282" s="14"/>
      <c r="F2282" s="14"/>
      <c r="G2282" s="14"/>
      <c r="H2282" s="14"/>
      <c r="I2282" s="14"/>
      <c r="J2282" s="14"/>
      <c r="K2282" s="14"/>
      <c r="L2282" s="15"/>
      <c r="M2282" s="15"/>
      <c r="N2282" s="15"/>
      <c r="O2282" s="15"/>
      <c r="P2282" s="15"/>
      <c r="Q2282" s="14"/>
      <c r="R2282" s="14"/>
      <c r="S2282" s="14"/>
      <c r="T2282" s="14"/>
      <c r="U2282" s="15"/>
      <c r="V2282" s="14"/>
      <c r="W2282" s="14"/>
      <c r="X2282" s="14"/>
      <c r="Y2282" s="14"/>
      <c r="Z2282" s="14"/>
    </row>
    <row r="2283" spans="1:26" ht="13.2">
      <c r="A2283" s="13"/>
      <c r="B2283" s="14"/>
      <c r="C2283" s="14"/>
      <c r="D2283" s="14"/>
      <c r="E2283" s="14"/>
      <c r="F2283" s="14"/>
      <c r="G2283" s="14"/>
      <c r="H2283" s="14"/>
      <c r="I2283" s="14"/>
      <c r="J2283" s="14"/>
      <c r="K2283" s="14"/>
      <c r="L2283" s="15"/>
      <c r="M2283" s="15"/>
      <c r="N2283" s="15"/>
      <c r="O2283" s="15"/>
      <c r="P2283" s="15"/>
      <c r="Q2283" s="14"/>
      <c r="R2283" s="14"/>
      <c r="S2283" s="14"/>
      <c r="T2283" s="14"/>
      <c r="U2283" s="15"/>
      <c r="V2283" s="14"/>
      <c r="W2283" s="14"/>
      <c r="X2283" s="14"/>
      <c r="Y2283" s="14"/>
      <c r="Z2283" s="14"/>
    </row>
    <row r="2284" spans="1:26" ht="13.2">
      <c r="A2284" s="13"/>
      <c r="B2284" s="14"/>
      <c r="C2284" s="14"/>
      <c r="D2284" s="14"/>
      <c r="E2284" s="14"/>
      <c r="F2284" s="14"/>
      <c r="G2284" s="14"/>
      <c r="H2284" s="14"/>
      <c r="I2284" s="14"/>
      <c r="J2284" s="14"/>
      <c r="K2284" s="14"/>
      <c r="L2284" s="15"/>
      <c r="M2284" s="15"/>
      <c r="N2284" s="15"/>
      <c r="O2284" s="15"/>
      <c r="P2284" s="15"/>
      <c r="Q2284" s="14"/>
      <c r="R2284" s="14"/>
      <c r="S2284" s="14"/>
      <c r="T2284" s="14"/>
      <c r="U2284" s="15"/>
      <c r="V2284" s="14"/>
      <c r="W2284" s="14"/>
      <c r="X2284" s="14"/>
      <c r="Y2284" s="14"/>
      <c r="Z2284" s="14"/>
    </row>
    <row r="2285" spans="1:26" ht="13.2">
      <c r="A2285" s="13"/>
      <c r="B2285" s="14"/>
      <c r="C2285" s="14"/>
      <c r="D2285" s="14"/>
      <c r="E2285" s="14"/>
      <c r="F2285" s="14"/>
      <c r="G2285" s="14"/>
      <c r="H2285" s="14"/>
      <c r="I2285" s="14"/>
      <c r="J2285" s="14"/>
      <c r="K2285" s="14"/>
      <c r="L2285" s="15"/>
      <c r="M2285" s="15"/>
      <c r="N2285" s="15"/>
      <c r="O2285" s="15"/>
      <c r="P2285" s="15"/>
      <c r="Q2285" s="14"/>
      <c r="R2285" s="14"/>
      <c r="S2285" s="14"/>
      <c r="T2285" s="14"/>
      <c r="U2285" s="15"/>
      <c r="V2285" s="14"/>
      <c r="W2285" s="14"/>
      <c r="X2285" s="14"/>
      <c r="Y2285" s="14"/>
      <c r="Z2285" s="14"/>
    </row>
    <row r="2286" spans="1:26" ht="13.2">
      <c r="A2286" s="13"/>
      <c r="B2286" s="14"/>
      <c r="C2286" s="14"/>
      <c r="D2286" s="14"/>
      <c r="E2286" s="14"/>
      <c r="F2286" s="14"/>
      <c r="G2286" s="14"/>
      <c r="H2286" s="14"/>
      <c r="I2286" s="14"/>
      <c r="J2286" s="14"/>
      <c r="K2286" s="14"/>
      <c r="L2286" s="15"/>
      <c r="M2286" s="15"/>
      <c r="N2286" s="15"/>
      <c r="O2286" s="15"/>
      <c r="P2286" s="15"/>
      <c r="Q2286" s="14"/>
      <c r="R2286" s="14"/>
      <c r="S2286" s="14"/>
      <c r="T2286" s="14"/>
      <c r="U2286" s="15"/>
      <c r="V2286" s="14"/>
      <c r="W2286" s="14"/>
      <c r="X2286" s="14"/>
      <c r="Y2286" s="14"/>
      <c r="Z2286" s="14"/>
    </row>
    <row r="2287" spans="1:26" ht="13.2">
      <c r="A2287" s="13"/>
      <c r="B2287" s="14"/>
      <c r="C2287" s="14"/>
      <c r="D2287" s="14"/>
      <c r="E2287" s="14"/>
      <c r="F2287" s="14"/>
      <c r="G2287" s="14"/>
      <c r="H2287" s="14"/>
      <c r="I2287" s="14"/>
      <c r="J2287" s="14"/>
      <c r="K2287" s="14"/>
      <c r="L2287" s="15"/>
      <c r="M2287" s="15"/>
      <c r="N2287" s="15"/>
      <c r="O2287" s="15"/>
      <c r="P2287" s="15"/>
      <c r="Q2287" s="14"/>
      <c r="R2287" s="14"/>
      <c r="S2287" s="14"/>
      <c r="T2287" s="14"/>
      <c r="U2287" s="15"/>
      <c r="V2287" s="14"/>
      <c r="W2287" s="14"/>
      <c r="X2287" s="14"/>
      <c r="Y2287" s="14"/>
      <c r="Z2287" s="14"/>
    </row>
    <row r="2288" spans="1:26" ht="13.2">
      <c r="A2288" s="13"/>
      <c r="B2288" s="14"/>
      <c r="C2288" s="14"/>
      <c r="D2288" s="14"/>
      <c r="E2288" s="14"/>
      <c r="F2288" s="14"/>
      <c r="G2288" s="14"/>
      <c r="H2288" s="14"/>
      <c r="I2288" s="14"/>
      <c r="J2288" s="14"/>
      <c r="K2288" s="14"/>
      <c r="L2288" s="15"/>
      <c r="M2288" s="15"/>
      <c r="N2288" s="15"/>
      <c r="O2288" s="15"/>
      <c r="P2288" s="15"/>
      <c r="Q2288" s="14"/>
      <c r="R2288" s="14"/>
      <c r="S2288" s="14"/>
      <c r="T2288" s="14"/>
      <c r="U2288" s="15"/>
      <c r="V2288" s="14"/>
      <c r="W2288" s="14"/>
      <c r="X2288" s="14"/>
      <c r="Y2288" s="14"/>
      <c r="Z2288" s="14"/>
    </row>
    <row r="2289" spans="1:26" ht="13.2">
      <c r="A2289" s="13"/>
      <c r="B2289" s="14"/>
      <c r="C2289" s="14"/>
      <c r="D2289" s="14"/>
      <c r="E2289" s="14"/>
      <c r="F2289" s="14"/>
      <c r="G2289" s="14"/>
      <c r="H2289" s="14"/>
      <c r="I2289" s="14"/>
      <c r="J2289" s="14"/>
      <c r="K2289" s="14"/>
      <c r="L2289" s="15"/>
      <c r="M2289" s="15"/>
      <c r="N2289" s="15"/>
      <c r="O2289" s="15"/>
      <c r="P2289" s="15"/>
      <c r="Q2289" s="14"/>
      <c r="R2289" s="14"/>
      <c r="S2289" s="14"/>
      <c r="T2289" s="14"/>
      <c r="U2289" s="15"/>
      <c r="V2289" s="14"/>
      <c r="W2289" s="14"/>
      <c r="X2289" s="14"/>
      <c r="Y2289" s="14"/>
      <c r="Z2289" s="14"/>
    </row>
    <row r="2290" spans="1:26" ht="13.2">
      <c r="A2290" s="13"/>
      <c r="B2290" s="14"/>
      <c r="C2290" s="14"/>
      <c r="D2290" s="14"/>
      <c r="E2290" s="14"/>
      <c r="F2290" s="14"/>
      <c r="G2290" s="14"/>
      <c r="H2290" s="14"/>
      <c r="I2290" s="14"/>
      <c r="J2290" s="14"/>
      <c r="K2290" s="14"/>
      <c r="L2290" s="15"/>
      <c r="M2290" s="15"/>
      <c r="N2290" s="15"/>
      <c r="O2290" s="15"/>
      <c r="P2290" s="15"/>
      <c r="Q2290" s="14"/>
      <c r="R2290" s="14"/>
      <c r="S2290" s="14"/>
      <c r="T2290" s="14"/>
      <c r="U2290" s="15"/>
      <c r="V2290" s="14"/>
      <c r="W2290" s="14"/>
      <c r="X2290" s="14"/>
      <c r="Y2290" s="14"/>
      <c r="Z2290" s="14"/>
    </row>
    <row r="2291" spans="1:26" ht="13.2">
      <c r="A2291" s="13"/>
      <c r="B2291" s="14"/>
      <c r="C2291" s="14"/>
      <c r="D2291" s="14"/>
      <c r="E2291" s="14"/>
      <c r="F2291" s="14"/>
      <c r="G2291" s="14"/>
      <c r="H2291" s="14"/>
      <c r="I2291" s="14"/>
      <c r="J2291" s="14"/>
      <c r="K2291" s="14"/>
      <c r="L2291" s="15"/>
      <c r="M2291" s="15"/>
      <c r="N2291" s="15"/>
      <c r="O2291" s="15"/>
      <c r="P2291" s="15"/>
      <c r="Q2291" s="14"/>
      <c r="R2291" s="14"/>
      <c r="S2291" s="14"/>
      <c r="T2291" s="14"/>
      <c r="U2291" s="15"/>
      <c r="V2291" s="14"/>
      <c r="W2291" s="14"/>
      <c r="X2291" s="14"/>
      <c r="Y2291" s="14"/>
      <c r="Z2291" s="14"/>
    </row>
    <row r="2292" spans="1:26" ht="13.2">
      <c r="A2292" s="13"/>
      <c r="B2292" s="14"/>
      <c r="C2292" s="14"/>
      <c r="D2292" s="14"/>
      <c r="E2292" s="14"/>
      <c r="F2292" s="14"/>
      <c r="G2292" s="14"/>
      <c r="H2292" s="14"/>
      <c r="I2292" s="14"/>
      <c r="J2292" s="14"/>
      <c r="K2292" s="14"/>
      <c r="L2292" s="15"/>
      <c r="M2292" s="15"/>
      <c r="N2292" s="15"/>
      <c r="O2292" s="15"/>
      <c r="P2292" s="15"/>
      <c r="Q2292" s="14"/>
      <c r="R2292" s="14"/>
      <c r="S2292" s="14"/>
      <c r="T2292" s="14"/>
      <c r="U2292" s="15"/>
      <c r="V2292" s="14"/>
      <c r="W2292" s="14"/>
      <c r="X2292" s="14"/>
      <c r="Y2292" s="14"/>
      <c r="Z2292" s="14"/>
    </row>
    <row r="2293" spans="1:26" ht="13.2">
      <c r="A2293" s="13"/>
      <c r="B2293" s="14"/>
      <c r="C2293" s="14"/>
      <c r="D2293" s="14"/>
      <c r="E2293" s="14"/>
      <c r="F2293" s="14"/>
      <c r="G2293" s="14"/>
      <c r="H2293" s="14"/>
      <c r="I2293" s="14"/>
      <c r="J2293" s="14"/>
      <c r="K2293" s="14"/>
      <c r="L2293" s="15"/>
      <c r="M2293" s="15"/>
      <c r="N2293" s="15"/>
      <c r="O2293" s="15"/>
      <c r="P2293" s="15"/>
      <c r="Q2293" s="14"/>
      <c r="R2293" s="14"/>
      <c r="S2293" s="14"/>
      <c r="T2293" s="14"/>
      <c r="U2293" s="15"/>
      <c r="V2293" s="14"/>
      <c r="W2293" s="14"/>
      <c r="X2293" s="14"/>
      <c r="Y2293" s="14"/>
      <c r="Z2293" s="14"/>
    </row>
    <row r="2294" spans="1:26" ht="13.2">
      <c r="A2294" s="13"/>
      <c r="B2294" s="14"/>
      <c r="C2294" s="14"/>
      <c r="D2294" s="14"/>
      <c r="E2294" s="14"/>
      <c r="F2294" s="14"/>
      <c r="G2294" s="14"/>
      <c r="H2294" s="14"/>
      <c r="I2294" s="14"/>
      <c r="J2294" s="14"/>
      <c r="K2294" s="14"/>
      <c r="L2294" s="15"/>
      <c r="M2294" s="15"/>
      <c r="N2294" s="15"/>
      <c r="O2294" s="15"/>
      <c r="P2294" s="15"/>
      <c r="Q2294" s="14"/>
      <c r="R2294" s="14"/>
      <c r="S2294" s="14"/>
      <c r="T2294" s="14"/>
      <c r="U2294" s="15"/>
      <c r="V2294" s="14"/>
      <c r="W2294" s="14"/>
      <c r="X2294" s="14"/>
      <c r="Y2294" s="14"/>
      <c r="Z2294" s="14"/>
    </row>
    <row r="2295" spans="1:26" ht="13.2">
      <c r="A2295" s="13"/>
      <c r="B2295" s="14"/>
      <c r="C2295" s="14"/>
      <c r="D2295" s="14"/>
      <c r="E2295" s="14"/>
      <c r="F2295" s="14"/>
      <c r="G2295" s="14"/>
      <c r="H2295" s="14"/>
      <c r="I2295" s="14"/>
      <c r="J2295" s="14"/>
      <c r="K2295" s="14"/>
      <c r="L2295" s="15"/>
      <c r="M2295" s="15"/>
      <c r="N2295" s="15"/>
      <c r="O2295" s="15"/>
      <c r="P2295" s="15"/>
      <c r="Q2295" s="14"/>
      <c r="R2295" s="14"/>
      <c r="S2295" s="14"/>
      <c r="T2295" s="14"/>
      <c r="U2295" s="15"/>
      <c r="V2295" s="14"/>
      <c r="W2295" s="14"/>
      <c r="X2295" s="14"/>
      <c r="Y2295" s="14"/>
      <c r="Z2295" s="14"/>
    </row>
    <row r="2296" spans="1:26" ht="13.2">
      <c r="A2296" s="13"/>
      <c r="B2296" s="14"/>
      <c r="C2296" s="14"/>
      <c r="D2296" s="14"/>
      <c r="E2296" s="14"/>
      <c r="F2296" s="14"/>
      <c r="G2296" s="14"/>
      <c r="H2296" s="14"/>
      <c r="I2296" s="14"/>
      <c r="J2296" s="14"/>
      <c r="K2296" s="14"/>
      <c r="L2296" s="15"/>
      <c r="M2296" s="15"/>
      <c r="N2296" s="15"/>
      <c r="O2296" s="15"/>
      <c r="P2296" s="15"/>
      <c r="Q2296" s="14"/>
      <c r="R2296" s="14"/>
      <c r="S2296" s="14"/>
      <c r="T2296" s="14"/>
      <c r="U2296" s="15"/>
      <c r="V2296" s="14"/>
      <c r="W2296" s="14"/>
      <c r="X2296" s="14"/>
      <c r="Y2296" s="14"/>
      <c r="Z2296" s="14"/>
    </row>
    <row r="2297" spans="1:26" ht="13.2">
      <c r="A2297" s="13"/>
      <c r="B2297" s="14"/>
      <c r="C2297" s="14"/>
      <c r="D2297" s="14"/>
      <c r="E2297" s="14"/>
      <c r="F2297" s="14"/>
      <c r="G2297" s="14"/>
      <c r="H2297" s="14"/>
      <c r="I2297" s="14"/>
      <c r="J2297" s="14"/>
      <c r="K2297" s="14"/>
      <c r="L2297" s="15"/>
      <c r="M2297" s="15"/>
      <c r="N2297" s="15"/>
      <c r="O2297" s="15"/>
      <c r="P2297" s="15"/>
      <c r="Q2297" s="14"/>
      <c r="R2297" s="14"/>
      <c r="S2297" s="14"/>
      <c r="T2297" s="14"/>
      <c r="U2297" s="15"/>
      <c r="V2297" s="14"/>
      <c r="W2297" s="14"/>
      <c r="X2297" s="14"/>
      <c r="Y2297" s="14"/>
      <c r="Z2297" s="14"/>
    </row>
    <row r="2298" spans="1:26" ht="13.2">
      <c r="A2298" s="13"/>
      <c r="B2298" s="14"/>
      <c r="C2298" s="14"/>
      <c r="D2298" s="14"/>
      <c r="E2298" s="14"/>
      <c r="F2298" s="14"/>
      <c r="G2298" s="14"/>
      <c r="H2298" s="14"/>
      <c r="I2298" s="14"/>
      <c r="J2298" s="14"/>
      <c r="K2298" s="14"/>
      <c r="L2298" s="15"/>
      <c r="M2298" s="15"/>
      <c r="N2298" s="15"/>
      <c r="O2298" s="15"/>
      <c r="P2298" s="15"/>
      <c r="Q2298" s="14"/>
      <c r="R2298" s="14"/>
      <c r="S2298" s="14"/>
      <c r="T2298" s="14"/>
      <c r="U2298" s="15"/>
      <c r="V2298" s="14"/>
      <c r="W2298" s="14"/>
      <c r="X2298" s="14"/>
      <c r="Y2298" s="14"/>
      <c r="Z2298" s="14"/>
    </row>
    <row r="2299" spans="1:26" ht="13.2">
      <c r="A2299" s="13"/>
      <c r="B2299" s="14"/>
      <c r="C2299" s="14"/>
      <c r="D2299" s="14"/>
      <c r="E2299" s="14"/>
      <c r="F2299" s="14"/>
      <c r="G2299" s="14"/>
      <c r="H2299" s="14"/>
      <c r="I2299" s="14"/>
      <c r="J2299" s="14"/>
      <c r="K2299" s="14"/>
      <c r="L2299" s="15"/>
      <c r="M2299" s="15"/>
      <c r="N2299" s="15"/>
      <c r="O2299" s="15"/>
      <c r="P2299" s="15"/>
      <c r="Q2299" s="14"/>
      <c r="R2299" s="14"/>
      <c r="S2299" s="14"/>
      <c r="T2299" s="14"/>
      <c r="U2299" s="15"/>
      <c r="V2299" s="14"/>
      <c r="W2299" s="14"/>
      <c r="X2299" s="14"/>
      <c r="Y2299" s="14"/>
      <c r="Z2299" s="14"/>
    </row>
    <row r="2300" spans="1:26" ht="13.2">
      <c r="A2300" s="13"/>
      <c r="B2300" s="14"/>
      <c r="C2300" s="14"/>
      <c r="D2300" s="14"/>
      <c r="E2300" s="14"/>
      <c r="F2300" s="14"/>
      <c r="G2300" s="14"/>
      <c r="H2300" s="14"/>
      <c r="I2300" s="14"/>
      <c r="J2300" s="14"/>
      <c r="K2300" s="14"/>
      <c r="L2300" s="15"/>
      <c r="M2300" s="15"/>
      <c r="N2300" s="15"/>
      <c r="O2300" s="15"/>
      <c r="P2300" s="15"/>
      <c r="Q2300" s="14"/>
      <c r="R2300" s="14"/>
      <c r="S2300" s="14"/>
      <c r="T2300" s="14"/>
      <c r="U2300" s="15"/>
      <c r="V2300" s="14"/>
      <c r="W2300" s="14"/>
      <c r="X2300" s="14"/>
      <c r="Y2300" s="14"/>
      <c r="Z2300" s="14"/>
    </row>
    <row r="2301" spans="1:26" ht="13.2">
      <c r="A2301" s="13"/>
      <c r="B2301" s="14"/>
      <c r="C2301" s="14"/>
      <c r="D2301" s="14"/>
      <c r="E2301" s="14"/>
      <c r="F2301" s="14"/>
      <c r="G2301" s="14"/>
      <c r="H2301" s="14"/>
      <c r="I2301" s="14"/>
      <c r="J2301" s="14"/>
      <c r="K2301" s="14"/>
      <c r="L2301" s="15"/>
      <c r="M2301" s="15"/>
      <c r="N2301" s="15"/>
      <c r="O2301" s="15"/>
      <c r="P2301" s="15"/>
      <c r="Q2301" s="14"/>
      <c r="R2301" s="14"/>
      <c r="S2301" s="14"/>
      <c r="T2301" s="14"/>
      <c r="U2301" s="15"/>
      <c r="V2301" s="14"/>
      <c r="W2301" s="14"/>
      <c r="X2301" s="14"/>
      <c r="Y2301" s="14"/>
      <c r="Z2301" s="14"/>
    </row>
    <row r="2302" spans="1:26" ht="13.2">
      <c r="A2302" s="13"/>
      <c r="B2302" s="14"/>
      <c r="C2302" s="14"/>
      <c r="D2302" s="14"/>
      <c r="E2302" s="14"/>
      <c r="F2302" s="14"/>
      <c r="G2302" s="14"/>
      <c r="H2302" s="14"/>
      <c r="I2302" s="14"/>
      <c r="J2302" s="14"/>
      <c r="K2302" s="14"/>
      <c r="L2302" s="15"/>
      <c r="M2302" s="15"/>
      <c r="N2302" s="15"/>
      <c r="O2302" s="15"/>
      <c r="P2302" s="15"/>
      <c r="Q2302" s="14"/>
      <c r="R2302" s="14"/>
      <c r="S2302" s="14"/>
      <c r="T2302" s="14"/>
      <c r="U2302" s="15"/>
      <c r="V2302" s="14"/>
      <c r="W2302" s="14"/>
      <c r="X2302" s="14"/>
      <c r="Y2302" s="14"/>
      <c r="Z2302" s="14"/>
    </row>
    <row r="2303" spans="1:26" ht="13.2">
      <c r="A2303" s="13"/>
      <c r="B2303" s="14"/>
      <c r="C2303" s="14"/>
      <c r="D2303" s="14"/>
      <c r="E2303" s="14"/>
      <c r="F2303" s="14"/>
      <c r="G2303" s="14"/>
      <c r="H2303" s="14"/>
      <c r="I2303" s="14"/>
      <c r="J2303" s="14"/>
      <c r="K2303" s="14"/>
      <c r="L2303" s="15"/>
      <c r="M2303" s="15"/>
      <c r="N2303" s="15"/>
      <c r="O2303" s="15"/>
      <c r="P2303" s="15"/>
      <c r="Q2303" s="14"/>
      <c r="R2303" s="14"/>
      <c r="S2303" s="14"/>
      <c r="T2303" s="14"/>
      <c r="U2303" s="15"/>
      <c r="V2303" s="14"/>
      <c r="W2303" s="14"/>
      <c r="X2303" s="14"/>
      <c r="Y2303" s="14"/>
      <c r="Z2303" s="14"/>
    </row>
    <row r="2304" spans="1:26" ht="13.2">
      <c r="A2304" s="13"/>
      <c r="B2304" s="14"/>
      <c r="C2304" s="14"/>
      <c r="D2304" s="14"/>
      <c r="E2304" s="14"/>
      <c r="F2304" s="14"/>
      <c r="G2304" s="14"/>
      <c r="H2304" s="14"/>
      <c r="I2304" s="14"/>
      <c r="J2304" s="14"/>
      <c r="K2304" s="14"/>
      <c r="L2304" s="15"/>
      <c r="M2304" s="15"/>
      <c r="N2304" s="15"/>
      <c r="O2304" s="15"/>
      <c r="P2304" s="15"/>
      <c r="Q2304" s="14"/>
      <c r="R2304" s="14"/>
      <c r="S2304" s="14"/>
      <c r="T2304" s="14"/>
      <c r="U2304" s="15"/>
      <c r="V2304" s="14"/>
      <c r="W2304" s="14"/>
      <c r="X2304" s="14"/>
      <c r="Y2304" s="14"/>
      <c r="Z2304" s="14"/>
    </row>
    <row r="2305" spans="1:26" ht="13.2">
      <c r="A2305" s="13"/>
      <c r="B2305" s="14"/>
      <c r="C2305" s="14"/>
      <c r="D2305" s="14"/>
      <c r="E2305" s="14"/>
      <c r="F2305" s="14"/>
      <c r="G2305" s="14"/>
      <c r="H2305" s="14"/>
      <c r="I2305" s="14"/>
      <c r="J2305" s="14"/>
      <c r="K2305" s="14"/>
      <c r="L2305" s="15"/>
      <c r="M2305" s="15"/>
      <c r="N2305" s="15"/>
      <c r="O2305" s="15"/>
      <c r="P2305" s="15"/>
      <c r="Q2305" s="14"/>
      <c r="R2305" s="14"/>
      <c r="S2305" s="14"/>
      <c r="T2305" s="14"/>
      <c r="U2305" s="15"/>
      <c r="V2305" s="14"/>
      <c r="W2305" s="14"/>
      <c r="X2305" s="14"/>
      <c r="Y2305" s="14"/>
      <c r="Z2305" s="14"/>
    </row>
    <row r="2306" spans="1:26" ht="13.2">
      <c r="A2306" s="13"/>
      <c r="B2306" s="14"/>
      <c r="C2306" s="14"/>
      <c r="D2306" s="14"/>
      <c r="E2306" s="14"/>
      <c r="F2306" s="14"/>
      <c r="G2306" s="14"/>
      <c r="H2306" s="14"/>
      <c r="I2306" s="14"/>
      <c r="J2306" s="14"/>
      <c r="K2306" s="14"/>
      <c r="L2306" s="15"/>
      <c r="M2306" s="15"/>
      <c r="N2306" s="15"/>
      <c r="O2306" s="15"/>
      <c r="P2306" s="15"/>
      <c r="Q2306" s="14"/>
      <c r="R2306" s="14"/>
      <c r="S2306" s="14"/>
      <c r="T2306" s="14"/>
      <c r="U2306" s="15"/>
      <c r="V2306" s="14"/>
      <c r="W2306" s="14"/>
      <c r="X2306" s="14"/>
      <c r="Y2306" s="14"/>
      <c r="Z2306" s="14"/>
    </row>
    <row r="2307" spans="1:26" ht="13.2">
      <c r="A2307" s="13"/>
      <c r="B2307" s="14"/>
      <c r="C2307" s="14"/>
      <c r="D2307" s="14"/>
      <c r="E2307" s="14"/>
      <c r="F2307" s="14"/>
      <c r="G2307" s="14"/>
      <c r="H2307" s="14"/>
      <c r="I2307" s="14"/>
      <c r="J2307" s="14"/>
      <c r="K2307" s="14"/>
      <c r="L2307" s="15"/>
      <c r="M2307" s="15"/>
      <c r="N2307" s="15"/>
      <c r="O2307" s="15"/>
      <c r="P2307" s="15"/>
      <c r="Q2307" s="14"/>
      <c r="R2307" s="14"/>
      <c r="S2307" s="14"/>
      <c r="T2307" s="14"/>
      <c r="U2307" s="15"/>
      <c r="V2307" s="14"/>
      <c r="W2307" s="14"/>
      <c r="X2307" s="14"/>
      <c r="Y2307" s="14"/>
      <c r="Z2307" s="14"/>
    </row>
    <row r="2308" spans="1:26" ht="13.2">
      <c r="A2308" s="13"/>
      <c r="B2308" s="14"/>
      <c r="C2308" s="14"/>
      <c r="D2308" s="14"/>
      <c r="E2308" s="14"/>
      <c r="F2308" s="14"/>
      <c r="G2308" s="14"/>
      <c r="H2308" s="14"/>
      <c r="I2308" s="14"/>
      <c r="J2308" s="14"/>
      <c r="K2308" s="14"/>
      <c r="L2308" s="15"/>
      <c r="M2308" s="15"/>
      <c r="N2308" s="15"/>
      <c r="O2308" s="15"/>
      <c r="P2308" s="15"/>
      <c r="Q2308" s="14"/>
      <c r="R2308" s="14"/>
      <c r="S2308" s="14"/>
      <c r="T2308" s="14"/>
      <c r="U2308" s="15"/>
      <c r="V2308" s="14"/>
      <c r="W2308" s="14"/>
      <c r="X2308" s="14"/>
      <c r="Y2308" s="14"/>
      <c r="Z2308" s="14"/>
    </row>
    <row r="2309" spans="1:26" ht="13.2">
      <c r="A2309" s="13"/>
      <c r="B2309" s="14"/>
      <c r="C2309" s="14"/>
      <c r="D2309" s="14"/>
      <c r="E2309" s="14"/>
      <c r="F2309" s="14"/>
      <c r="G2309" s="14"/>
      <c r="H2309" s="14"/>
      <c r="I2309" s="14"/>
      <c r="J2309" s="14"/>
      <c r="K2309" s="14"/>
      <c r="L2309" s="15"/>
      <c r="M2309" s="15"/>
      <c r="N2309" s="15"/>
      <c r="O2309" s="15"/>
      <c r="P2309" s="15"/>
      <c r="Q2309" s="14"/>
      <c r="R2309" s="14"/>
      <c r="S2309" s="14"/>
      <c r="T2309" s="14"/>
      <c r="U2309" s="15"/>
      <c r="V2309" s="14"/>
      <c r="W2309" s="14"/>
      <c r="X2309" s="14"/>
      <c r="Y2309" s="14"/>
      <c r="Z2309" s="14"/>
    </row>
    <row r="2310" spans="1:26" ht="13.2">
      <c r="A2310" s="13"/>
      <c r="B2310" s="14"/>
      <c r="C2310" s="14"/>
      <c r="D2310" s="14"/>
      <c r="E2310" s="14"/>
      <c r="F2310" s="14"/>
      <c r="G2310" s="14"/>
      <c r="H2310" s="14"/>
      <c r="I2310" s="14"/>
      <c r="J2310" s="14"/>
      <c r="K2310" s="14"/>
      <c r="L2310" s="15"/>
      <c r="M2310" s="15"/>
      <c r="N2310" s="15"/>
      <c r="O2310" s="15"/>
      <c r="P2310" s="15"/>
      <c r="Q2310" s="14"/>
      <c r="R2310" s="14"/>
      <c r="S2310" s="14"/>
      <c r="T2310" s="14"/>
      <c r="U2310" s="15"/>
      <c r="V2310" s="14"/>
      <c r="W2310" s="14"/>
      <c r="X2310" s="14"/>
      <c r="Y2310" s="14"/>
      <c r="Z2310" s="14"/>
    </row>
    <row r="2311" spans="1:26" ht="13.2">
      <c r="A2311" s="13"/>
      <c r="B2311" s="14"/>
      <c r="C2311" s="14"/>
      <c r="D2311" s="14"/>
      <c r="E2311" s="14"/>
      <c r="F2311" s="14"/>
      <c r="G2311" s="14"/>
      <c r="H2311" s="14"/>
      <c r="I2311" s="14"/>
      <c r="J2311" s="14"/>
      <c r="K2311" s="14"/>
      <c r="L2311" s="15"/>
      <c r="M2311" s="15"/>
      <c r="N2311" s="15"/>
      <c r="O2311" s="15"/>
      <c r="P2311" s="15"/>
      <c r="Q2311" s="14"/>
      <c r="R2311" s="14"/>
      <c r="S2311" s="14"/>
      <c r="T2311" s="14"/>
      <c r="U2311" s="15"/>
      <c r="V2311" s="14"/>
      <c r="W2311" s="14"/>
      <c r="X2311" s="14"/>
      <c r="Y2311" s="14"/>
      <c r="Z2311" s="14"/>
    </row>
    <row r="2312" spans="1:26" ht="13.2">
      <c r="A2312" s="13"/>
      <c r="B2312" s="14"/>
      <c r="C2312" s="14"/>
      <c r="D2312" s="14"/>
      <c r="E2312" s="14"/>
      <c r="F2312" s="14"/>
      <c r="G2312" s="14"/>
      <c r="H2312" s="14"/>
      <c r="I2312" s="14"/>
      <c r="J2312" s="14"/>
      <c r="K2312" s="14"/>
      <c r="L2312" s="15"/>
      <c r="M2312" s="15"/>
      <c r="N2312" s="15"/>
      <c r="O2312" s="15"/>
      <c r="P2312" s="15"/>
      <c r="Q2312" s="14"/>
      <c r="R2312" s="14"/>
      <c r="S2312" s="14"/>
      <c r="T2312" s="14"/>
      <c r="U2312" s="15"/>
      <c r="V2312" s="14"/>
      <c r="W2312" s="14"/>
      <c r="X2312" s="14"/>
      <c r="Y2312" s="14"/>
      <c r="Z2312" s="14"/>
    </row>
    <row r="2313" spans="1:26" ht="13.2">
      <c r="A2313" s="13"/>
      <c r="B2313" s="14"/>
      <c r="C2313" s="14"/>
      <c r="D2313" s="14"/>
      <c r="E2313" s="14"/>
      <c r="F2313" s="14"/>
      <c r="G2313" s="14"/>
      <c r="H2313" s="14"/>
      <c r="I2313" s="14"/>
      <c r="J2313" s="14"/>
      <c r="K2313" s="14"/>
      <c r="L2313" s="15"/>
      <c r="M2313" s="15"/>
      <c r="N2313" s="15"/>
      <c r="O2313" s="15"/>
      <c r="P2313" s="15"/>
      <c r="Q2313" s="14"/>
      <c r="R2313" s="14"/>
      <c r="S2313" s="14"/>
      <c r="T2313" s="14"/>
      <c r="U2313" s="15"/>
      <c r="V2313" s="14"/>
      <c r="W2313" s="14"/>
      <c r="X2313" s="14"/>
      <c r="Y2313" s="14"/>
      <c r="Z2313" s="14"/>
    </row>
    <row r="2314" spans="1:26" ht="13.2">
      <c r="A2314" s="13"/>
      <c r="B2314" s="14"/>
      <c r="C2314" s="14"/>
      <c r="D2314" s="14"/>
      <c r="E2314" s="14"/>
      <c r="F2314" s="14"/>
      <c r="G2314" s="14"/>
      <c r="H2314" s="14"/>
      <c r="I2314" s="14"/>
      <c r="J2314" s="14"/>
      <c r="K2314" s="14"/>
      <c r="L2314" s="15"/>
      <c r="M2314" s="15"/>
      <c r="N2314" s="15"/>
      <c r="O2314" s="15"/>
      <c r="P2314" s="15"/>
      <c r="Q2314" s="14"/>
      <c r="R2314" s="14"/>
      <c r="S2314" s="14"/>
      <c r="T2314" s="14"/>
      <c r="U2314" s="15"/>
      <c r="V2314" s="14"/>
      <c r="W2314" s="14"/>
      <c r="X2314" s="14"/>
      <c r="Y2314" s="14"/>
      <c r="Z2314" s="14"/>
    </row>
    <row r="2315" spans="1:26" ht="13.2">
      <c r="A2315" s="13"/>
      <c r="B2315" s="14"/>
      <c r="C2315" s="14"/>
      <c r="D2315" s="14"/>
      <c r="E2315" s="14"/>
      <c r="F2315" s="14"/>
      <c r="G2315" s="14"/>
      <c r="H2315" s="14"/>
      <c r="I2315" s="14"/>
      <c r="J2315" s="14"/>
      <c r="K2315" s="14"/>
      <c r="L2315" s="15"/>
      <c r="M2315" s="15"/>
      <c r="N2315" s="15"/>
      <c r="O2315" s="15"/>
      <c r="P2315" s="15"/>
      <c r="Q2315" s="14"/>
      <c r="R2315" s="14"/>
      <c r="S2315" s="14"/>
      <c r="T2315" s="14"/>
      <c r="U2315" s="15"/>
      <c r="V2315" s="14"/>
      <c r="W2315" s="14"/>
      <c r="X2315" s="14"/>
      <c r="Y2315" s="14"/>
      <c r="Z2315" s="14"/>
    </row>
    <row r="2316" spans="1:26" ht="13.2">
      <c r="A2316" s="13"/>
      <c r="B2316" s="14"/>
      <c r="C2316" s="14"/>
      <c r="D2316" s="14"/>
      <c r="E2316" s="14"/>
      <c r="F2316" s="14"/>
      <c r="G2316" s="14"/>
      <c r="H2316" s="14"/>
      <c r="I2316" s="14"/>
      <c r="J2316" s="14"/>
      <c r="K2316" s="14"/>
      <c r="L2316" s="15"/>
      <c r="M2316" s="15"/>
      <c r="N2316" s="15"/>
      <c r="O2316" s="15"/>
      <c r="P2316" s="15"/>
      <c r="Q2316" s="14"/>
      <c r="R2316" s="14"/>
      <c r="S2316" s="14"/>
      <c r="T2316" s="14"/>
      <c r="U2316" s="15"/>
      <c r="V2316" s="14"/>
      <c r="W2316" s="14"/>
      <c r="X2316" s="14"/>
      <c r="Y2316" s="14"/>
      <c r="Z2316" s="14"/>
    </row>
    <row r="2317" spans="1:26" ht="13.2">
      <c r="A2317" s="13"/>
      <c r="B2317" s="14"/>
      <c r="C2317" s="14"/>
      <c r="D2317" s="14"/>
      <c r="E2317" s="14"/>
      <c r="F2317" s="14"/>
      <c r="G2317" s="14"/>
      <c r="H2317" s="14"/>
      <c r="I2317" s="14"/>
      <c r="J2317" s="14"/>
      <c r="K2317" s="14"/>
      <c r="L2317" s="15"/>
      <c r="M2317" s="15"/>
      <c r="N2317" s="15"/>
      <c r="O2317" s="15"/>
      <c r="P2317" s="15"/>
      <c r="Q2317" s="14"/>
      <c r="R2317" s="14"/>
      <c r="S2317" s="14"/>
      <c r="T2317" s="14"/>
      <c r="U2317" s="15"/>
      <c r="V2317" s="14"/>
      <c r="W2317" s="14"/>
      <c r="X2317" s="14"/>
      <c r="Y2317" s="14"/>
      <c r="Z2317" s="14"/>
    </row>
    <row r="2318" spans="1:26" ht="13.2">
      <c r="A2318" s="13"/>
      <c r="B2318" s="14"/>
      <c r="C2318" s="14"/>
      <c r="D2318" s="14"/>
      <c r="E2318" s="14"/>
      <c r="F2318" s="14"/>
      <c r="G2318" s="14"/>
      <c r="H2318" s="14"/>
      <c r="I2318" s="14"/>
      <c r="J2318" s="14"/>
      <c r="K2318" s="14"/>
      <c r="L2318" s="15"/>
      <c r="M2318" s="15"/>
      <c r="N2318" s="15"/>
      <c r="O2318" s="15"/>
      <c r="P2318" s="15"/>
      <c r="Q2318" s="14"/>
      <c r="R2318" s="14"/>
      <c r="S2318" s="14"/>
      <c r="T2318" s="14"/>
      <c r="U2318" s="15"/>
      <c r="V2318" s="14"/>
      <c r="W2318" s="14"/>
      <c r="X2318" s="14"/>
      <c r="Y2318" s="14"/>
      <c r="Z2318" s="14"/>
    </row>
    <row r="2319" spans="1:26" ht="13.2">
      <c r="A2319" s="13"/>
      <c r="B2319" s="14"/>
      <c r="C2319" s="14"/>
      <c r="D2319" s="14"/>
      <c r="E2319" s="14"/>
      <c r="F2319" s="14"/>
      <c r="G2319" s="14"/>
      <c r="H2319" s="14"/>
      <c r="I2319" s="14"/>
      <c r="J2319" s="14"/>
      <c r="K2319" s="14"/>
      <c r="L2319" s="15"/>
      <c r="M2319" s="15"/>
      <c r="N2319" s="15"/>
      <c r="O2319" s="15"/>
      <c r="P2319" s="15"/>
      <c r="Q2319" s="14"/>
      <c r="R2319" s="14"/>
      <c r="S2319" s="14"/>
      <c r="T2319" s="14"/>
      <c r="U2319" s="15"/>
      <c r="V2319" s="14"/>
      <c r="W2319" s="14"/>
      <c r="X2319" s="14"/>
      <c r="Y2319" s="14"/>
      <c r="Z2319" s="14"/>
    </row>
    <row r="2320" spans="1:26" ht="13.2">
      <c r="A2320" s="13"/>
      <c r="B2320" s="14"/>
      <c r="C2320" s="14"/>
      <c r="D2320" s="14"/>
      <c r="E2320" s="14"/>
      <c r="F2320" s="14"/>
      <c r="G2320" s="14"/>
      <c r="H2320" s="14"/>
      <c r="I2320" s="14"/>
      <c r="J2320" s="14"/>
      <c r="K2320" s="14"/>
      <c r="L2320" s="15"/>
      <c r="M2320" s="15"/>
      <c r="N2320" s="15"/>
      <c r="O2320" s="15"/>
      <c r="P2320" s="15"/>
      <c r="Q2320" s="14"/>
      <c r="R2320" s="14"/>
      <c r="S2320" s="14"/>
      <c r="T2320" s="14"/>
      <c r="U2320" s="15"/>
      <c r="V2320" s="14"/>
      <c r="W2320" s="14"/>
      <c r="X2320" s="14"/>
      <c r="Y2320" s="14"/>
      <c r="Z2320" s="14"/>
    </row>
    <row r="2321" spans="1:26" ht="13.2">
      <c r="A2321" s="13"/>
      <c r="B2321" s="14"/>
      <c r="C2321" s="14"/>
      <c r="D2321" s="14"/>
      <c r="E2321" s="14"/>
      <c r="F2321" s="14"/>
      <c r="G2321" s="14"/>
      <c r="H2321" s="14"/>
      <c r="I2321" s="14"/>
      <c r="J2321" s="14"/>
      <c r="K2321" s="14"/>
      <c r="L2321" s="15"/>
      <c r="M2321" s="15"/>
      <c r="N2321" s="15"/>
      <c r="O2321" s="15"/>
      <c r="P2321" s="15"/>
      <c r="Q2321" s="14"/>
      <c r="R2321" s="14"/>
      <c r="S2321" s="14"/>
      <c r="T2321" s="14"/>
      <c r="U2321" s="15"/>
      <c r="V2321" s="14"/>
      <c r="W2321" s="14"/>
      <c r="X2321" s="14"/>
      <c r="Y2321" s="14"/>
      <c r="Z2321" s="14"/>
    </row>
    <row r="2322" spans="1:26" ht="13.2">
      <c r="A2322" s="13"/>
      <c r="B2322" s="14"/>
      <c r="C2322" s="14"/>
      <c r="D2322" s="14"/>
      <c r="E2322" s="14"/>
      <c r="F2322" s="14"/>
      <c r="G2322" s="14"/>
      <c r="H2322" s="14"/>
      <c r="I2322" s="14"/>
      <c r="J2322" s="14"/>
      <c r="K2322" s="14"/>
      <c r="L2322" s="15"/>
      <c r="M2322" s="15"/>
      <c r="N2322" s="15"/>
      <c r="O2322" s="15"/>
      <c r="P2322" s="15"/>
      <c r="Q2322" s="14"/>
      <c r="R2322" s="14"/>
      <c r="S2322" s="14"/>
      <c r="T2322" s="14"/>
      <c r="U2322" s="15"/>
      <c r="V2322" s="14"/>
      <c r="W2322" s="14"/>
      <c r="X2322" s="14"/>
      <c r="Y2322" s="14"/>
      <c r="Z2322" s="14"/>
    </row>
    <row r="2323" spans="1:26" ht="13.2">
      <c r="A2323" s="13"/>
      <c r="B2323" s="14"/>
      <c r="C2323" s="14"/>
      <c r="D2323" s="14"/>
      <c r="E2323" s="14"/>
      <c r="F2323" s="14"/>
      <c r="G2323" s="14"/>
      <c r="H2323" s="14"/>
      <c r="I2323" s="14"/>
      <c r="J2323" s="14"/>
      <c r="K2323" s="14"/>
      <c r="L2323" s="15"/>
      <c r="M2323" s="15"/>
      <c r="N2323" s="15"/>
      <c r="O2323" s="15"/>
      <c r="P2323" s="15"/>
      <c r="Q2323" s="14"/>
      <c r="R2323" s="14"/>
      <c r="S2323" s="14"/>
      <c r="T2323" s="14"/>
      <c r="U2323" s="15"/>
      <c r="V2323" s="14"/>
      <c r="W2323" s="14"/>
      <c r="X2323" s="14"/>
      <c r="Y2323" s="14"/>
      <c r="Z2323" s="14"/>
    </row>
    <row r="2324" spans="1:26" ht="13.2">
      <c r="A2324" s="13"/>
      <c r="B2324" s="14"/>
      <c r="C2324" s="14"/>
      <c r="D2324" s="14"/>
      <c r="E2324" s="14"/>
      <c r="F2324" s="14"/>
      <c r="G2324" s="14"/>
      <c r="H2324" s="14"/>
      <c r="I2324" s="14"/>
      <c r="J2324" s="14"/>
      <c r="K2324" s="14"/>
      <c r="L2324" s="15"/>
      <c r="M2324" s="15"/>
      <c r="N2324" s="15"/>
      <c r="O2324" s="15"/>
      <c r="P2324" s="15"/>
      <c r="Q2324" s="14"/>
      <c r="R2324" s="14"/>
      <c r="S2324" s="14"/>
      <c r="T2324" s="14"/>
      <c r="U2324" s="15"/>
      <c r="V2324" s="14"/>
      <c r="W2324" s="14"/>
      <c r="X2324" s="14"/>
      <c r="Y2324" s="14"/>
      <c r="Z2324" s="14"/>
    </row>
    <row r="2325" spans="1:26" ht="13.2">
      <c r="A2325" s="13"/>
      <c r="B2325" s="14"/>
      <c r="C2325" s="14"/>
      <c r="D2325" s="14"/>
      <c r="E2325" s="14"/>
      <c r="F2325" s="14"/>
      <c r="G2325" s="14"/>
      <c r="H2325" s="14"/>
      <c r="I2325" s="14"/>
      <c r="J2325" s="14"/>
      <c r="K2325" s="14"/>
      <c r="L2325" s="15"/>
      <c r="M2325" s="15"/>
      <c r="N2325" s="15"/>
      <c r="O2325" s="15"/>
      <c r="P2325" s="15"/>
      <c r="Q2325" s="14"/>
      <c r="R2325" s="14"/>
      <c r="S2325" s="14"/>
      <c r="T2325" s="14"/>
      <c r="U2325" s="15"/>
      <c r="V2325" s="14"/>
      <c r="W2325" s="14"/>
      <c r="X2325" s="14"/>
      <c r="Y2325" s="14"/>
      <c r="Z2325" s="14"/>
    </row>
    <row r="2326" spans="1:26" ht="13.2">
      <c r="A2326" s="13"/>
      <c r="B2326" s="14"/>
      <c r="C2326" s="14"/>
      <c r="D2326" s="14"/>
      <c r="E2326" s="14"/>
      <c r="F2326" s="14"/>
      <c r="G2326" s="14"/>
      <c r="H2326" s="14"/>
      <c r="I2326" s="14"/>
      <c r="J2326" s="14"/>
      <c r="K2326" s="14"/>
      <c r="L2326" s="15"/>
      <c r="M2326" s="15"/>
      <c r="N2326" s="15"/>
      <c r="O2326" s="15"/>
      <c r="P2326" s="15"/>
      <c r="Q2326" s="14"/>
      <c r="R2326" s="14"/>
      <c r="S2326" s="14"/>
      <c r="T2326" s="14"/>
      <c r="U2326" s="15"/>
      <c r="V2326" s="14"/>
      <c r="W2326" s="14"/>
      <c r="X2326" s="14"/>
      <c r="Y2326" s="14"/>
      <c r="Z2326" s="14"/>
    </row>
    <row r="2327" spans="1:26" ht="13.2">
      <c r="A2327" s="13"/>
      <c r="B2327" s="14"/>
      <c r="C2327" s="14"/>
      <c r="D2327" s="14"/>
      <c r="E2327" s="14"/>
      <c r="F2327" s="14"/>
      <c r="G2327" s="14"/>
      <c r="H2327" s="14"/>
      <c r="I2327" s="14"/>
      <c r="J2327" s="14"/>
      <c r="K2327" s="14"/>
      <c r="L2327" s="15"/>
      <c r="M2327" s="15"/>
      <c r="N2327" s="15"/>
      <c r="O2327" s="15"/>
      <c r="P2327" s="15"/>
      <c r="Q2327" s="14"/>
      <c r="R2327" s="14"/>
      <c r="S2327" s="14"/>
      <c r="T2327" s="14"/>
      <c r="U2327" s="15"/>
      <c r="V2327" s="14"/>
      <c r="W2327" s="14"/>
      <c r="X2327" s="14"/>
      <c r="Y2327" s="14"/>
      <c r="Z2327" s="14"/>
    </row>
    <row r="2328" spans="1:26" ht="13.2">
      <c r="A2328" s="13"/>
      <c r="B2328" s="14"/>
      <c r="C2328" s="14"/>
      <c r="D2328" s="14"/>
      <c r="E2328" s="14"/>
      <c r="F2328" s="14"/>
      <c r="G2328" s="14"/>
      <c r="H2328" s="14"/>
      <c r="I2328" s="14"/>
      <c r="J2328" s="14"/>
      <c r="K2328" s="14"/>
      <c r="L2328" s="15"/>
      <c r="M2328" s="15"/>
      <c r="N2328" s="15"/>
      <c r="O2328" s="15"/>
      <c r="P2328" s="15"/>
      <c r="Q2328" s="14"/>
      <c r="R2328" s="14"/>
      <c r="S2328" s="14"/>
      <c r="T2328" s="14"/>
      <c r="U2328" s="15"/>
      <c r="V2328" s="14"/>
      <c r="W2328" s="14"/>
      <c r="X2328" s="14"/>
      <c r="Y2328" s="14"/>
      <c r="Z2328" s="14"/>
    </row>
    <row r="2329" spans="1:26" ht="13.2">
      <c r="A2329" s="13"/>
      <c r="B2329" s="14"/>
      <c r="C2329" s="14"/>
      <c r="D2329" s="14"/>
      <c r="E2329" s="14"/>
      <c r="F2329" s="14"/>
      <c r="G2329" s="14"/>
      <c r="H2329" s="14"/>
      <c r="I2329" s="14"/>
      <c r="J2329" s="14"/>
      <c r="K2329" s="14"/>
      <c r="L2329" s="15"/>
      <c r="M2329" s="15"/>
      <c r="N2329" s="15"/>
      <c r="O2329" s="15"/>
      <c r="P2329" s="15"/>
      <c r="Q2329" s="14"/>
      <c r="R2329" s="14"/>
      <c r="S2329" s="14"/>
      <c r="T2329" s="14"/>
      <c r="U2329" s="15"/>
      <c r="V2329" s="14"/>
      <c r="W2329" s="14"/>
      <c r="X2329" s="14"/>
      <c r="Y2329" s="14"/>
      <c r="Z2329" s="14"/>
    </row>
    <row r="2330" spans="1:26" ht="13.2">
      <c r="A2330" s="13"/>
      <c r="B2330" s="14"/>
      <c r="C2330" s="14"/>
      <c r="D2330" s="14"/>
      <c r="E2330" s="14"/>
      <c r="F2330" s="14"/>
      <c r="G2330" s="14"/>
      <c r="H2330" s="14"/>
      <c r="I2330" s="14"/>
      <c r="J2330" s="14"/>
      <c r="K2330" s="14"/>
      <c r="L2330" s="15"/>
      <c r="M2330" s="15"/>
      <c r="N2330" s="15"/>
      <c r="O2330" s="15"/>
      <c r="P2330" s="15"/>
      <c r="Q2330" s="14"/>
      <c r="R2330" s="14"/>
      <c r="S2330" s="14"/>
      <c r="T2330" s="14"/>
      <c r="U2330" s="15"/>
      <c r="V2330" s="14"/>
      <c r="W2330" s="14"/>
      <c r="X2330" s="14"/>
      <c r="Y2330" s="14"/>
      <c r="Z2330" s="14"/>
    </row>
    <row r="2331" spans="1:26" ht="13.2">
      <c r="A2331" s="13"/>
      <c r="B2331" s="14"/>
      <c r="C2331" s="14"/>
      <c r="D2331" s="14"/>
      <c r="E2331" s="14"/>
      <c r="F2331" s="14"/>
      <c r="G2331" s="14"/>
      <c r="H2331" s="14"/>
      <c r="I2331" s="14"/>
      <c r="J2331" s="14"/>
      <c r="K2331" s="14"/>
      <c r="L2331" s="15"/>
      <c r="M2331" s="15"/>
      <c r="N2331" s="15"/>
      <c r="O2331" s="15"/>
      <c r="P2331" s="15"/>
      <c r="Q2331" s="14"/>
      <c r="R2331" s="14"/>
      <c r="S2331" s="14"/>
      <c r="T2331" s="14"/>
      <c r="U2331" s="15"/>
      <c r="V2331" s="14"/>
      <c r="W2331" s="14"/>
      <c r="X2331" s="14"/>
      <c r="Y2331" s="14"/>
      <c r="Z2331" s="14"/>
    </row>
    <row r="2332" spans="1:26" ht="13.2">
      <c r="A2332" s="13"/>
      <c r="B2332" s="14"/>
      <c r="C2332" s="14"/>
      <c r="D2332" s="14"/>
      <c r="E2332" s="14"/>
      <c r="F2332" s="14"/>
      <c r="G2332" s="14"/>
      <c r="H2332" s="14"/>
      <c r="I2332" s="14"/>
      <c r="J2332" s="14"/>
      <c r="K2332" s="14"/>
      <c r="L2332" s="15"/>
      <c r="M2332" s="15"/>
      <c r="N2332" s="15"/>
      <c r="O2332" s="15"/>
      <c r="P2332" s="15"/>
      <c r="Q2332" s="14"/>
      <c r="R2332" s="14"/>
      <c r="S2332" s="14"/>
      <c r="T2332" s="14"/>
      <c r="U2332" s="15"/>
      <c r="V2332" s="14"/>
      <c r="W2332" s="14"/>
      <c r="X2332" s="14"/>
      <c r="Y2332" s="14"/>
      <c r="Z2332" s="14"/>
    </row>
    <row r="2333" spans="1:26" ht="13.2">
      <c r="A2333" s="13"/>
      <c r="B2333" s="14"/>
      <c r="C2333" s="14"/>
      <c r="D2333" s="14"/>
      <c r="E2333" s="14"/>
      <c r="F2333" s="14"/>
      <c r="G2333" s="14"/>
      <c r="H2333" s="14"/>
      <c r="I2333" s="14"/>
      <c r="J2333" s="14"/>
      <c r="K2333" s="14"/>
      <c r="L2333" s="15"/>
      <c r="M2333" s="15"/>
      <c r="N2333" s="15"/>
      <c r="O2333" s="15"/>
      <c r="P2333" s="15"/>
      <c r="Q2333" s="14"/>
      <c r="R2333" s="14"/>
      <c r="S2333" s="14"/>
      <c r="T2333" s="14"/>
      <c r="U2333" s="15"/>
      <c r="V2333" s="14"/>
      <c r="W2333" s="14"/>
      <c r="X2333" s="14"/>
      <c r="Y2333" s="14"/>
      <c r="Z2333" s="14"/>
    </row>
    <row r="2334" spans="1:26" ht="13.2">
      <c r="A2334" s="13"/>
      <c r="B2334" s="14"/>
      <c r="C2334" s="14"/>
      <c r="D2334" s="14"/>
      <c r="E2334" s="14"/>
      <c r="F2334" s="14"/>
      <c r="G2334" s="14"/>
      <c r="H2334" s="14"/>
      <c r="I2334" s="14"/>
      <c r="J2334" s="14"/>
      <c r="K2334" s="14"/>
      <c r="L2334" s="15"/>
      <c r="M2334" s="15"/>
      <c r="N2334" s="15"/>
      <c r="O2334" s="15"/>
      <c r="P2334" s="15"/>
      <c r="Q2334" s="14"/>
      <c r="R2334" s="14"/>
      <c r="S2334" s="14"/>
      <c r="T2334" s="14"/>
      <c r="U2334" s="15"/>
      <c r="V2334" s="14"/>
      <c r="W2334" s="14"/>
      <c r="X2334" s="14"/>
      <c r="Y2334" s="14"/>
      <c r="Z2334" s="14"/>
    </row>
    <row r="2335" spans="1:26" ht="13.2">
      <c r="A2335" s="13"/>
      <c r="B2335" s="14"/>
      <c r="C2335" s="14"/>
      <c r="D2335" s="14"/>
      <c r="E2335" s="14"/>
      <c r="F2335" s="14"/>
      <c r="G2335" s="14"/>
      <c r="H2335" s="14"/>
      <c r="I2335" s="14"/>
      <c r="J2335" s="14"/>
      <c r="K2335" s="14"/>
      <c r="L2335" s="15"/>
      <c r="M2335" s="15"/>
      <c r="N2335" s="15"/>
      <c r="O2335" s="15"/>
      <c r="P2335" s="15"/>
      <c r="Q2335" s="14"/>
      <c r="R2335" s="14"/>
      <c r="S2335" s="14"/>
      <c r="T2335" s="14"/>
      <c r="U2335" s="15"/>
      <c r="V2335" s="14"/>
      <c r="W2335" s="14"/>
      <c r="X2335" s="14"/>
      <c r="Y2335" s="14"/>
      <c r="Z2335" s="14"/>
    </row>
    <row r="2336" spans="1:26" ht="13.2">
      <c r="A2336" s="13"/>
      <c r="B2336" s="14"/>
      <c r="C2336" s="14"/>
      <c r="D2336" s="14"/>
      <c r="E2336" s="14"/>
      <c r="F2336" s="14"/>
      <c r="G2336" s="14"/>
      <c r="H2336" s="14"/>
      <c r="I2336" s="14"/>
      <c r="J2336" s="14"/>
      <c r="K2336" s="14"/>
      <c r="L2336" s="15"/>
      <c r="M2336" s="15"/>
      <c r="N2336" s="15"/>
      <c r="O2336" s="15"/>
      <c r="P2336" s="15"/>
      <c r="Q2336" s="14"/>
      <c r="R2336" s="14"/>
      <c r="S2336" s="14"/>
      <c r="T2336" s="14"/>
      <c r="U2336" s="15"/>
      <c r="V2336" s="14"/>
      <c r="W2336" s="14"/>
      <c r="X2336" s="14"/>
      <c r="Y2336" s="14"/>
      <c r="Z2336" s="14"/>
    </row>
    <row r="2337" spans="1:26" ht="13.2">
      <c r="A2337" s="13"/>
      <c r="B2337" s="14"/>
      <c r="C2337" s="14"/>
      <c r="D2337" s="14"/>
      <c r="E2337" s="14"/>
      <c r="F2337" s="14"/>
      <c r="G2337" s="14"/>
      <c r="H2337" s="14"/>
      <c r="I2337" s="14"/>
      <c r="J2337" s="14"/>
      <c r="K2337" s="14"/>
      <c r="L2337" s="15"/>
      <c r="M2337" s="15"/>
      <c r="N2337" s="15"/>
      <c r="O2337" s="15"/>
      <c r="P2337" s="15"/>
      <c r="Q2337" s="14"/>
      <c r="R2337" s="14"/>
      <c r="S2337" s="14"/>
      <c r="T2337" s="14"/>
      <c r="U2337" s="15"/>
      <c r="V2337" s="14"/>
      <c r="W2337" s="14"/>
      <c r="X2337" s="14"/>
      <c r="Y2337" s="14"/>
      <c r="Z2337" s="14"/>
    </row>
    <row r="2338" spans="1:26" ht="13.2">
      <c r="A2338" s="13"/>
      <c r="B2338" s="14"/>
      <c r="C2338" s="14"/>
      <c r="D2338" s="14"/>
      <c r="E2338" s="14"/>
      <c r="F2338" s="14"/>
      <c r="G2338" s="14"/>
      <c r="H2338" s="14"/>
      <c r="I2338" s="14"/>
      <c r="J2338" s="14"/>
      <c r="K2338" s="14"/>
      <c r="L2338" s="15"/>
      <c r="M2338" s="15"/>
      <c r="N2338" s="15"/>
      <c r="O2338" s="15"/>
      <c r="P2338" s="15"/>
      <c r="Q2338" s="14"/>
      <c r="R2338" s="14"/>
      <c r="S2338" s="14"/>
      <c r="T2338" s="14"/>
      <c r="U2338" s="15"/>
      <c r="V2338" s="14"/>
      <c r="W2338" s="14"/>
      <c r="X2338" s="14"/>
      <c r="Y2338" s="14"/>
      <c r="Z2338" s="14"/>
    </row>
    <row r="2339" spans="1:26" ht="13.2">
      <c r="A2339" s="13"/>
      <c r="B2339" s="14"/>
      <c r="C2339" s="14"/>
      <c r="D2339" s="14"/>
      <c r="E2339" s="14"/>
      <c r="F2339" s="14"/>
      <c r="G2339" s="14"/>
      <c r="H2339" s="14"/>
      <c r="I2339" s="14"/>
      <c r="J2339" s="14"/>
      <c r="K2339" s="14"/>
      <c r="L2339" s="15"/>
      <c r="M2339" s="15"/>
      <c r="N2339" s="15"/>
      <c r="O2339" s="15"/>
      <c r="P2339" s="15"/>
      <c r="Q2339" s="14"/>
      <c r="R2339" s="14"/>
      <c r="S2339" s="14"/>
      <c r="T2339" s="14"/>
      <c r="U2339" s="15"/>
      <c r="V2339" s="14"/>
      <c r="W2339" s="14"/>
      <c r="X2339" s="14"/>
      <c r="Y2339" s="14"/>
      <c r="Z2339" s="14"/>
    </row>
    <row r="2340" spans="1:26" ht="13.2">
      <c r="A2340" s="13"/>
      <c r="B2340" s="14"/>
      <c r="C2340" s="14"/>
      <c r="D2340" s="14"/>
      <c r="E2340" s="14"/>
      <c r="F2340" s="14"/>
      <c r="G2340" s="14"/>
      <c r="H2340" s="14"/>
      <c r="I2340" s="14"/>
      <c r="J2340" s="14"/>
      <c r="K2340" s="14"/>
      <c r="L2340" s="15"/>
      <c r="M2340" s="15"/>
      <c r="N2340" s="15"/>
      <c r="O2340" s="15"/>
      <c r="P2340" s="15"/>
      <c r="Q2340" s="14"/>
      <c r="R2340" s="14"/>
      <c r="S2340" s="14"/>
      <c r="T2340" s="14"/>
      <c r="U2340" s="15"/>
      <c r="V2340" s="14"/>
      <c r="W2340" s="14"/>
      <c r="X2340" s="14"/>
      <c r="Y2340" s="14"/>
      <c r="Z2340" s="14"/>
    </row>
    <row r="2341" spans="1:26" ht="13.2">
      <c r="A2341" s="13"/>
      <c r="B2341" s="14"/>
      <c r="C2341" s="14"/>
      <c r="D2341" s="14"/>
      <c r="E2341" s="14"/>
      <c r="F2341" s="14"/>
      <c r="G2341" s="14"/>
      <c r="H2341" s="14"/>
      <c r="I2341" s="14"/>
      <c r="J2341" s="14"/>
      <c r="K2341" s="14"/>
      <c r="L2341" s="15"/>
      <c r="M2341" s="15"/>
      <c r="N2341" s="15"/>
      <c r="O2341" s="15"/>
      <c r="P2341" s="15"/>
      <c r="Q2341" s="14"/>
      <c r="R2341" s="14"/>
      <c r="S2341" s="14"/>
      <c r="T2341" s="14"/>
      <c r="U2341" s="15"/>
      <c r="V2341" s="14"/>
      <c r="W2341" s="14"/>
      <c r="X2341" s="14"/>
      <c r="Y2341" s="14"/>
      <c r="Z2341" s="14"/>
    </row>
    <row r="2342" spans="1:26" ht="13.2">
      <c r="A2342" s="13"/>
      <c r="B2342" s="14"/>
      <c r="C2342" s="14"/>
      <c r="D2342" s="14"/>
      <c r="E2342" s="14"/>
      <c r="F2342" s="14"/>
      <c r="G2342" s="14"/>
      <c r="H2342" s="14"/>
      <c r="I2342" s="14"/>
      <c r="J2342" s="14"/>
      <c r="K2342" s="14"/>
      <c r="L2342" s="15"/>
      <c r="M2342" s="15"/>
      <c r="N2342" s="15"/>
      <c r="O2342" s="15"/>
      <c r="P2342" s="15"/>
      <c r="Q2342" s="14"/>
      <c r="R2342" s="14"/>
      <c r="S2342" s="14"/>
      <c r="T2342" s="14"/>
      <c r="U2342" s="15"/>
      <c r="V2342" s="14"/>
      <c r="W2342" s="14"/>
      <c r="X2342" s="14"/>
      <c r="Y2342" s="14"/>
      <c r="Z2342" s="14"/>
    </row>
    <row r="2343" spans="1:26" ht="13.2">
      <c r="A2343" s="13"/>
      <c r="B2343" s="14"/>
      <c r="C2343" s="14"/>
      <c r="D2343" s="14"/>
      <c r="E2343" s="14"/>
      <c r="F2343" s="14"/>
      <c r="G2343" s="14"/>
      <c r="H2343" s="14"/>
      <c r="I2343" s="14"/>
      <c r="J2343" s="14"/>
      <c r="K2343" s="14"/>
      <c r="L2343" s="15"/>
      <c r="M2343" s="15"/>
      <c r="N2343" s="15"/>
      <c r="O2343" s="15"/>
      <c r="P2343" s="15"/>
      <c r="Q2343" s="14"/>
      <c r="R2343" s="14"/>
      <c r="S2343" s="14"/>
      <c r="T2343" s="14"/>
      <c r="U2343" s="15"/>
      <c r="V2343" s="14"/>
      <c r="W2343" s="14"/>
      <c r="X2343" s="14"/>
      <c r="Y2343" s="14"/>
      <c r="Z2343" s="14"/>
    </row>
    <row r="2344" spans="1:26" ht="13.2">
      <c r="A2344" s="13"/>
      <c r="B2344" s="14"/>
      <c r="C2344" s="14"/>
      <c r="D2344" s="14"/>
      <c r="E2344" s="14"/>
      <c r="F2344" s="14"/>
      <c r="G2344" s="14"/>
      <c r="H2344" s="14"/>
      <c r="I2344" s="14"/>
      <c r="J2344" s="14"/>
      <c r="K2344" s="14"/>
      <c r="L2344" s="15"/>
      <c r="M2344" s="15"/>
      <c r="N2344" s="15"/>
      <c r="O2344" s="15"/>
      <c r="P2344" s="15"/>
      <c r="Q2344" s="14"/>
      <c r="R2344" s="14"/>
      <c r="S2344" s="14"/>
      <c r="T2344" s="14"/>
      <c r="U2344" s="15"/>
      <c r="V2344" s="14"/>
      <c r="W2344" s="14"/>
      <c r="X2344" s="14"/>
      <c r="Y2344" s="14"/>
      <c r="Z2344" s="14"/>
    </row>
    <row r="2345" spans="1:26" ht="13.2">
      <c r="A2345" s="13"/>
      <c r="B2345" s="14"/>
      <c r="C2345" s="14"/>
      <c r="D2345" s="14"/>
      <c r="E2345" s="14"/>
      <c r="F2345" s="14"/>
      <c r="G2345" s="14"/>
      <c r="H2345" s="14"/>
      <c r="I2345" s="14"/>
      <c r="J2345" s="14"/>
      <c r="K2345" s="14"/>
      <c r="L2345" s="15"/>
      <c r="M2345" s="15"/>
      <c r="N2345" s="15"/>
      <c r="O2345" s="15"/>
      <c r="P2345" s="15"/>
      <c r="Q2345" s="14"/>
      <c r="R2345" s="14"/>
      <c r="S2345" s="14"/>
      <c r="T2345" s="14"/>
      <c r="U2345" s="15"/>
      <c r="V2345" s="14"/>
      <c r="W2345" s="14"/>
      <c r="X2345" s="14"/>
      <c r="Y2345" s="14"/>
      <c r="Z2345" s="14"/>
    </row>
    <row r="2346" spans="1:26" ht="13.2">
      <c r="A2346" s="13"/>
      <c r="B2346" s="14"/>
      <c r="C2346" s="14"/>
      <c r="D2346" s="14"/>
      <c r="E2346" s="14"/>
      <c r="F2346" s="14"/>
      <c r="G2346" s="14"/>
      <c r="H2346" s="14"/>
      <c r="I2346" s="14"/>
      <c r="J2346" s="14"/>
      <c r="K2346" s="14"/>
      <c r="L2346" s="15"/>
      <c r="M2346" s="15"/>
      <c r="N2346" s="15"/>
      <c r="O2346" s="15"/>
      <c r="P2346" s="15"/>
      <c r="Q2346" s="14"/>
      <c r="R2346" s="14"/>
      <c r="S2346" s="14"/>
      <c r="T2346" s="14"/>
      <c r="U2346" s="15"/>
      <c r="V2346" s="14"/>
      <c r="W2346" s="14"/>
      <c r="X2346" s="14"/>
      <c r="Y2346" s="14"/>
      <c r="Z2346" s="14"/>
    </row>
    <row r="2347" spans="1:26" ht="13.2">
      <c r="A2347" s="13"/>
      <c r="B2347" s="14"/>
      <c r="C2347" s="14"/>
      <c r="D2347" s="14"/>
      <c r="E2347" s="14"/>
      <c r="F2347" s="14"/>
      <c r="G2347" s="14"/>
      <c r="H2347" s="14"/>
      <c r="I2347" s="14"/>
      <c r="J2347" s="14"/>
      <c r="K2347" s="14"/>
      <c r="L2347" s="15"/>
      <c r="M2347" s="15"/>
      <c r="N2347" s="15"/>
      <c r="O2347" s="15"/>
      <c r="P2347" s="15"/>
      <c r="Q2347" s="14"/>
      <c r="R2347" s="14"/>
      <c r="S2347" s="14"/>
      <c r="T2347" s="14"/>
      <c r="U2347" s="15"/>
      <c r="V2347" s="14"/>
      <c r="W2347" s="14"/>
      <c r="X2347" s="14"/>
      <c r="Y2347" s="14"/>
      <c r="Z2347" s="14"/>
    </row>
    <row r="2348" spans="1:26" ht="13.2">
      <c r="A2348" s="13"/>
      <c r="B2348" s="14"/>
      <c r="C2348" s="14"/>
      <c r="D2348" s="14"/>
      <c r="E2348" s="14"/>
      <c r="F2348" s="14"/>
      <c r="G2348" s="14"/>
      <c r="H2348" s="14"/>
      <c r="I2348" s="14"/>
      <c r="J2348" s="14"/>
      <c r="K2348" s="14"/>
      <c r="L2348" s="15"/>
      <c r="M2348" s="15"/>
      <c r="N2348" s="15"/>
      <c r="O2348" s="15"/>
      <c r="P2348" s="15"/>
      <c r="Q2348" s="14"/>
      <c r="R2348" s="14"/>
      <c r="S2348" s="14"/>
      <c r="T2348" s="14"/>
      <c r="U2348" s="15"/>
      <c r="V2348" s="14"/>
      <c r="W2348" s="14"/>
      <c r="X2348" s="14"/>
      <c r="Y2348" s="14"/>
      <c r="Z2348" s="14"/>
    </row>
    <row r="2349" spans="1:26" ht="13.2">
      <c r="A2349" s="13"/>
      <c r="B2349" s="14"/>
      <c r="C2349" s="14"/>
      <c r="D2349" s="14"/>
      <c r="E2349" s="14"/>
      <c r="F2349" s="14"/>
      <c r="G2349" s="14"/>
      <c r="H2349" s="14"/>
      <c r="I2349" s="14"/>
      <c r="J2349" s="14"/>
      <c r="K2349" s="14"/>
      <c r="L2349" s="15"/>
      <c r="M2349" s="15"/>
      <c r="N2349" s="15"/>
      <c r="O2349" s="15"/>
      <c r="P2349" s="15"/>
      <c r="Q2349" s="14"/>
      <c r="R2349" s="14"/>
      <c r="S2349" s="14"/>
      <c r="T2349" s="14"/>
      <c r="U2349" s="15"/>
      <c r="V2349" s="14"/>
      <c r="W2349" s="14"/>
      <c r="X2349" s="14"/>
      <c r="Y2349" s="14"/>
      <c r="Z2349" s="14"/>
    </row>
    <row r="2350" spans="1:26" ht="13.2">
      <c r="A2350" s="13"/>
      <c r="B2350" s="14"/>
      <c r="C2350" s="14"/>
      <c r="D2350" s="14"/>
      <c r="E2350" s="14"/>
      <c r="F2350" s="14"/>
      <c r="G2350" s="14"/>
      <c r="H2350" s="14"/>
      <c r="I2350" s="14"/>
      <c r="J2350" s="14"/>
      <c r="K2350" s="14"/>
      <c r="L2350" s="15"/>
      <c r="M2350" s="15"/>
      <c r="N2350" s="15"/>
      <c r="O2350" s="15"/>
      <c r="P2350" s="15"/>
      <c r="Q2350" s="14"/>
      <c r="R2350" s="14"/>
      <c r="S2350" s="14"/>
      <c r="T2350" s="14"/>
      <c r="U2350" s="15"/>
      <c r="V2350" s="14"/>
      <c r="W2350" s="14"/>
      <c r="X2350" s="14"/>
      <c r="Y2350" s="14"/>
      <c r="Z2350" s="14"/>
    </row>
    <row r="2351" spans="1:26" ht="13.2">
      <c r="A2351" s="13"/>
      <c r="B2351" s="14"/>
      <c r="C2351" s="14"/>
      <c r="D2351" s="14"/>
      <c r="E2351" s="14"/>
      <c r="F2351" s="14"/>
      <c r="G2351" s="14"/>
      <c r="H2351" s="14"/>
      <c r="I2351" s="14"/>
      <c r="J2351" s="14"/>
      <c r="K2351" s="14"/>
      <c r="L2351" s="15"/>
      <c r="M2351" s="15"/>
      <c r="N2351" s="15"/>
      <c r="O2351" s="15"/>
      <c r="P2351" s="15"/>
      <c r="Q2351" s="14"/>
      <c r="R2351" s="14"/>
      <c r="S2351" s="14"/>
      <c r="T2351" s="14"/>
      <c r="U2351" s="15"/>
      <c r="V2351" s="14"/>
      <c r="W2351" s="14"/>
      <c r="X2351" s="14"/>
      <c r="Y2351" s="14"/>
      <c r="Z2351" s="14"/>
    </row>
    <row r="2352" spans="1:26" ht="13.2">
      <c r="A2352" s="13"/>
      <c r="B2352" s="14"/>
      <c r="C2352" s="14"/>
      <c r="D2352" s="14"/>
      <c r="E2352" s="14"/>
      <c r="F2352" s="14"/>
      <c r="G2352" s="14"/>
      <c r="H2352" s="14"/>
      <c r="I2352" s="14"/>
      <c r="J2352" s="14"/>
      <c r="K2352" s="14"/>
      <c r="L2352" s="15"/>
      <c r="M2352" s="15"/>
      <c r="N2352" s="15"/>
      <c r="O2352" s="15"/>
      <c r="P2352" s="15"/>
      <c r="Q2352" s="14"/>
      <c r="R2352" s="14"/>
      <c r="S2352" s="14"/>
      <c r="T2352" s="14"/>
      <c r="U2352" s="15"/>
      <c r="V2352" s="14"/>
      <c r="W2352" s="14"/>
      <c r="X2352" s="14"/>
      <c r="Y2352" s="14"/>
      <c r="Z2352" s="14"/>
    </row>
    <row r="2353" spans="1:26" ht="13.2">
      <c r="A2353" s="13"/>
      <c r="B2353" s="14"/>
      <c r="C2353" s="14"/>
      <c r="D2353" s="14"/>
      <c r="E2353" s="14"/>
      <c r="F2353" s="14"/>
      <c r="G2353" s="14"/>
      <c r="H2353" s="14"/>
      <c r="I2353" s="14"/>
      <c r="J2353" s="14"/>
      <c r="K2353" s="14"/>
      <c r="L2353" s="15"/>
      <c r="M2353" s="15"/>
      <c r="N2353" s="15"/>
      <c r="O2353" s="15"/>
      <c r="P2353" s="15"/>
      <c r="Q2353" s="14"/>
      <c r="R2353" s="14"/>
      <c r="S2353" s="14"/>
      <c r="T2353" s="14"/>
      <c r="U2353" s="15"/>
      <c r="V2353" s="14"/>
      <c r="W2353" s="14"/>
      <c r="X2353" s="14"/>
      <c r="Y2353" s="14"/>
      <c r="Z2353" s="14"/>
    </row>
    <row r="2354" spans="1:26" ht="13.2">
      <c r="A2354" s="13"/>
      <c r="B2354" s="14"/>
      <c r="C2354" s="14"/>
      <c r="D2354" s="14"/>
      <c r="E2354" s="14"/>
      <c r="F2354" s="14"/>
      <c r="G2354" s="14"/>
      <c r="H2354" s="14"/>
      <c r="I2354" s="14"/>
      <c r="J2354" s="14"/>
      <c r="K2354" s="14"/>
      <c r="L2354" s="15"/>
      <c r="M2354" s="15"/>
      <c r="N2354" s="15"/>
      <c r="O2354" s="15"/>
      <c r="P2354" s="15"/>
      <c r="Q2354" s="14"/>
      <c r="R2354" s="14"/>
      <c r="S2354" s="14"/>
      <c r="T2354" s="14"/>
      <c r="U2354" s="15"/>
      <c r="V2354" s="14"/>
      <c r="W2354" s="14"/>
      <c r="X2354" s="14"/>
      <c r="Y2354" s="14"/>
      <c r="Z2354" s="14"/>
    </row>
    <row r="2355" spans="1:26" ht="13.2">
      <c r="A2355" s="13"/>
      <c r="B2355" s="14"/>
      <c r="C2355" s="14"/>
      <c r="D2355" s="14"/>
      <c r="E2355" s="14"/>
      <c r="F2355" s="14"/>
      <c r="G2355" s="14"/>
      <c r="H2355" s="14"/>
      <c r="I2355" s="14"/>
      <c r="J2355" s="14"/>
      <c r="K2355" s="14"/>
      <c r="L2355" s="15"/>
      <c r="M2355" s="15"/>
      <c r="N2355" s="15"/>
      <c r="O2355" s="15"/>
      <c r="P2355" s="15"/>
      <c r="Q2355" s="14"/>
      <c r="R2355" s="14"/>
      <c r="S2355" s="14"/>
      <c r="T2355" s="14"/>
      <c r="U2355" s="15"/>
      <c r="V2355" s="14"/>
      <c r="W2355" s="14"/>
      <c r="X2355" s="14"/>
      <c r="Y2355" s="14"/>
      <c r="Z2355" s="14"/>
    </row>
    <row r="2356" spans="1:26" ht="13.2">
      <c r="A2356" s="13"/>
      <c r="B2356" s="14"/>
      <c r="C2356" s="14"/>
      <c r="D2356" s="14"/>
      <c r="E2356" s="14"/>
      <c r="F2356" s="14"/>
      <c r="G2356" s="14"/>
      <c r="H2356" s="14"/>
      <c r="I2356" s="14"/>
      <c r="J2356" s="14"/>
      <c r="K2356" s="14"/>
      <c r="L2356" s="15"/>
      <c r="M2356" s="15"/>
      <c r="N2356" s="15"/>
      <c r="O2356" s="15"/>
      <c r="P2356" s="15"/>
      <c r="Q2356" s="14"/>
      <c r="R2356" s="14"/>
      <c r="S2356" s="14"/>
      <c r="T2356" s="14"/>
      <c r="U2356" s="15"/>
      <c r="V2356" s="14"/>
      <c r="W2356" s="14"/>
      <c r="X2356" s="14"/>
      <c r="Y2356" s="14"/>
      <c r="Z2356" s="14"/>
    </row>
    <row r="2357" spans="1:26" ht="13.2">
      <c r="A2357" s="13"/>
      <c r="B2357" s="14"/>
      <c r="C2357" s="14"/>
      <c r="D2357" s="14"/>
      <c r="E2357" s="14"/>
      <c r="F2357" s="14"/>
      <c r="G2357" s="14"/>
      <c r="H2357" s="14"/>
      <c r="I2357" s="14"/>
      <c r="J2357" s="14"/>
      <c r="K2357" s="14"/>
      <c r="L2357" s="15"/>
      <c r="M2357" s="15"/>
      <c r="N2357" s="15"/>
      <c r="O2357" s="15"/>
      <c r="P2357" s="15"/>
      <c r="Q2357" s="14"/>
      <c r="R2357" s="14"/>
      <c r="S2357" s="14"/>
      <c r="T2357" s="14"/>
      <c r="U2357" s="15"/>
      <c r="V2357" s="14"/>
      <c r="W2357" s="14"/>
      <c r="X2357" s="14"/>
      <c r="Y2357" s="14"/>
      <c r="Z2357" s="14"/>
    </row>
    <row r="2358" spans="1:26" ht="13.2">
      <c r="A2358" s="13"/>
      <c r="B2358" s="14"/>
      <c r="C2358" s="14"/>
      <c r="D2358" s="14"/>
      <c r="E2358" s="14"/>
      <c r="F2358" s="14"/>
      <c r="G2358" s="14"/>
      <c r="H2358" s="14"/>
      <c r="I2358" s="14"/>
      <c r="J2358" s="14"/>
      <c r="K2358" s="14"/>
      <c r="L2358" s="15"/>
      <c r="M2358" s="15"/>
      <c r="N2358" s="15"/>
      <c r="O2358" s="15"/>
      <c r="P2358" s="15"/>
      <c r="Q2358" s="14"/>
      <c r="R2358" s="14"/>
      <c r="S2358" s="14"/>
      <c r="T2358" s="14"/>
      <c r="U2358" s="15"/>
      <c r="V2358" s="14"/>
      <c r="W2358" s="14"/>
      <c r="X2358" s="14"/>
      <c r="Y2358" s="14"/>
      <c r="Z2358" s="14"/>
    </row>
    <row r="2359" spans="1:26" ht="13.2">
      <c r="A2359" s="13"/>
      <c r="B2359" s="14"/>
      <c r="C2359" s="14"/>
      <c r="D2359" s="14"/>
      <c r="E2359" s="14"/>
      <c r="F2359" s="14"/>
      <c r="G2359" s="14"/>
      <c r="H2359" s="14"/>
      <c r="I2359" s="14"/>
      <c r="J2359" s="14"/>
      <c r="K2359" s="14"/>
      <c r="L2359" s="15"/>
      <c r="M2359" s="15"/>
      <c r="N2359" s="15"/>
      <c r="O2359" s="15"/>
      <c r="P2359" s="15"/>
      <c r="Q2359" s="14"/>
      <c r="R2359" s="14"/>
      <c r="S2359" s="14"/>
      <c r="T2359" s="14"/>
      <c r="U2359" s="15"/>
      <c r="V2359" s="14"/>
      <c r="W2359" s="14"/>
      <c r="X2359" s="14"/>
      <c r="Y2359" s="14"/>
      <c r="Z2359" s="14"/>
    </row>
    <row r="2360" spans="1:26" ht="13.2">
      <c r="A2360" s="13"/>
      <c r="B2360" s="14"/>
      <c r="C2360" s="14"/>
      <c r="D2360" s="14"/>
      <c r="E2360" s="14"/>
      <c r="F2360" s="14"/>
      <c r="G2360" s="14"/>
      <c r="H2360" s="14"/>
      <c r="I2360" s="14"/>
      <c r="J2360" s="14"/>
      <c r="K2360" s="14"/>
      <c r="L2360" s="15"/>
      <c r="M2360" s="15"/>
      <c r="N2360" s="15"/>
      <c r="O2360" s="15"/>
      <c r="P2360" s="15"/>
      <c r="Q2360" s="14"/>
      <c r="R2360" s="14"/>
      <c r="S2360" s="14"/>
      <c r="T2360" s="14"/>
      <c r="U2360" s="15"/>
      <c r="V2360" s="14"/>
      <c r="W2360" s="14"/>
      <c r="X2360" s="14"/>
      <c r="Y2360" s="14"/>
      <c r="Z2360" s="14"/>
    </row>
    <row r="2361" spans="1:26" ht="13.2">
      <c r="A2361" s="13"/>
      <c r="B2361" s="14"/>
      <c r="C2361" s="14"/>
      <c r="D2361" s="14"/>
      <c r="E2361" s="14"/>
      <c r="F2361" s="14"/>
      <c r="G2361" s="14"/>
      <c r="H2361" s="14"/>
      <c r="I2361" s="14"/>
      <c r="J2361" s="14"/>
      <c r="K2361" s="14"/>
      <c r="L2361" s="15"/>
      <c r="M2361" s="15"/>
      <c r="N2361" s="15"/>
      <c r="O2361" s="15"/>
      <c r="P2361" s="15"/>
      <c r="Q2361" s="14"/>
      <c r="R2361" s="14"/>
      <c r="S2361" s="14"/>
      <c r="T2361" s="14"/>
      <c r="U2361" s="15"/>
      <c r="V2361" s="14"/>
      <c r="W2361" s="14"/>
      <c r="X2361" s="14"/>
      <c r="Y2361" s="14"/>
      <c r="Z2361" s="14"/>
    </row>
    <row r="2362" spans="1:26" ht="13.2">
      <c r="A2362" s="13"/>
      <c r="B2362" s="14"/>
      <c r="C2362" s="14"/>
      <c r="D2362" s="14"/>
      <c r="E2362" s="14"/>
      <c r="F2362" s="14"/>
      <c r="G2362" s="14"/>
      <c r="H2362" s="14"/>
      <c r="I2362" s="14"/>
      <c r="J2362" s="14"/>
      <c r="K2362" s="14"/>
      <c r="L2362" s="15"/>
      <c r="M2362" s="15"/>
      <c r="N2362" s="15"/>
      <c r="O2362" s="15"/>
      <c r="P2362" s="15"/>
      <c r="Q2362" s="14"/>
      <c r="R2362" s="14"/>
      <c r="S2362" s="14"/>
      <c r="T2362" s="14"/>
      <c r="U2362" s="15"/>
      <c r="V2362" s="14"/>
      <c r="W2362" s="14"/>
      <c r="X2362" s="14"/>
      <c r="Y2362" s="14"/>
      <c r="Z2362" s="14"/>
    </row>
    <row r="2363" spans="1:26" ht="13.2">
      <c r="A2363" s="13"/>
      <c r="B2363" s="14"/>
      <c r="C2363" s="14"/>
      <c r="D2363" s="14"/>
      <c r="E2363" s="14"/>
      <c r="F2363" s="14"/>
      <c r="G2363" s="14"/>
      <c r="H2363" s="14"/>
      <c r="I2363" s="14"/>
      <c r="J2363" s="14"/>
      <c r="K2363" s="14"/>
      <c r="L2363" s="15"/>
      <c r="M2363" s="15"/>
      <c r="N2363" s="15"/>
      <c r="O2363" s="15"/>
      <c r="P2363" s="15"/>
      <c r="Q2363" s="14"/>
      <c r="R2363" s="14"/>
      <c r="S2363" s="14"/>
      <c r="T2363" s="14"/>
      <c r="U2363" s="15"/>
      <c r="V2363" s="14"/>
      <c r="W2363" s="14"/>
      <c r="X2363" s="14"/>
      <c r="Y2363" s="14"/>
      <c r="Z2363" s="14"/>
    </row>
    <row r="2364" spans="1:26" ht="13.2">
      <c r="A2364" s="13"/>
      <c r="B2364" s="14"/>
      <c r="C2364" s="14"/>
      <c r="D2364" s="14"/>
      <c r="E2364" s="14"/>
      <c r="F2364" s="14"/>
      <c r="G2364" s="14"/>
      <c r="H2364" s="14"/>
      <c r="I2364" s="14"/>
      <c r="J2364" s="14"/>
      <c r="K2364" s="14"/>
      <c r="L2364" s="15"/>
      <c r="M2364" s="15"/>
      <c r="N2364" s="15"/>
      <c r="O2364" s="15"/>
      <c r="P2364" s="15"/>
      <c r="Q2364" s="14"/>
      <c r="R2364" s="14"/>
      <c r="S2364" s="14"/>
      <c r="T2364" s="14"/>
      <c r="U2364" s="15"/>
      <c r="V2364" s="14"/>
      <c r="W2364" s="14"/>
      <c r="X2364" s="14"/>
      <c r="Y2364" s="14"/>
      <c r="Z2364" s="14"/>
    </row>
    <row r="2365" spans="1:26" ht="13.2">
      <c r="A2365" s="13"/>
      <c r="B2365" s="14"/>
      <c r="C2365" s="14"/>
      <c r="D2365" s="14"/>
      <c r="E2365" s="14"/>
      <c r="F2365" s="14"/>
      <c r="G2365" s="14"/>
      <c r="H2365" s="14"/>
      <c r="I2365" s="14"/>
      <c r="J2365" s="14"/>
      <c r="K2365" s="14"/>
      <c r="L2365" s="15"/>
      <c r="M2365" s="15"/>
      <c r="N2365" s="15"/>
      <c r="O2365" s="15"/>
      <c r="P2365" s="15"/>
      <c r="Q2365" s="14"/>
      <c r="R2365" s="14"/>
      <c r="S2365" s="14"/>
      <c r="T2365" s="14"/>
      <c r="U2365" s="15"/>
      <c r="V2365" s="14"/>
      <c r="W2365" s="14"/>
      <c r="X2365" s="14"/>
      <c r="Y2365" s="14"/>
      <c r="Z2365" s="14"/>
    </row>
    <row r="2366" spans="1:26" ht="13.2">
      <c r="A2366" s="13"/>
      <c r="B2366" s="14"/>
      <c r="C2366" s="14"/>
      <c r="D2366" s="14"/>
      <c r="E2366" s="14"/>
      <c r="F2366" s="14"/>
      <c r="G2366" s="14"/>
      <c r="H2366" s="14"/>
      <c r="I2366" s="14"/>
      <c r="J2366" s="14"/>
      <c r="K2366" s="14"/>
      <c r="L2366" s="15"/>
      <c r="M2366" s="15"/>
      <c r="N2366" s="15"/>
      <c r="O2366" s="15"/>
      <c r="P2366" s="15"/>
      <c r="Q2366" s="14"/>
      <c r="R2366" s="14"/>
      <c r="S2366" s="14"/>
      <c r="T2366" s="14"/>
      <c r="U2366" s="15"/>
      <c r="V2366" s="14"/>
      <c r="W2366" s="14"/>
      <c r="X2366" s="14"/>
      <c r="Y2366" s="14"/>
      <c r="Z2366" s="14"/>
    </row>
    <row r="2367" spans="1:26" ht="13.2">
      <c r="A2367" s="13"/>
      <c r="B2367" s="14"/>
      <c r="C2367" s="14"/>
      <c r="D2367" s="14"/>
      <c r="E2367" s="14"/>
      <c r="F2367" s="14"/>
      <c r="G2367" s="14"/>
      <c r="H2367" s="14"/>
      <c r="I2367" s="14"/>
      <c r="J2367" s="14"/>
      <c r="K2367" s="14"/>
      <c r="L2367" s="15"/>
      <c r="M2367" s="15"/>
      <c r="N2367" s="15"/>
      <c r="O2367" s="15"/>
      <c r="P2367" s="15"/>
      <c r="Q2367" s="14"/>
      <c r="R2367" s="14"/>
      <c r="S2367" s="14"/>
      <c r="T2367" s="14"/>
      <c r="U2367" s="15"/>
      <c r="V2367" s="14"/>
      <c r="W2367" s="14"/>
      <c r="X2367" s="14"/>
      <c r="Y2367" s="14"/>
      <c r="Z2367" s="14"/>
    </row>
    <row r="2368" spans="1:26" ht="13.2">
      <c r="A2368" s="13"/>
      <c r="B2368" s="14"/>
      <c r="C2368" s="14"/>
      <c r="D2368" s="14"/>
      <c r="E2368" s="14"/>
      <c r="F2368" s="14"/>
      <c r="G2368" s="14"/>
      <c r="H2368" s="14"/>
      <c r="I2368" s="14"/>
      <c r="J2368" s="14"/>
      <c r="K2368" s="14"/>
      <c r="L2368" s="15"/>
      <c r="M2368" s="15"/>
      <c r="N2368" s="15"/>
      <c r="O2368" s="15"/>
      <c r="P2368" s="15"/>
      <c r="Q2368" s="14"/>
      <c r="R2368" s="14"/>
      <c r="S2368" s="14"/>
      <c r="T2368" s="14"/>
      <c r="U2368" s="15"/>
      <c r="V2368" s="14"/>
      <c r="W2368" s="14"/>
      <c r="X2368" s="14"/>
      <c r="Y2368" s="14"/>
      <c r="Z2368" s="14"/>
    </row>
    <row r="2369" spans="1:26" ht="13.2">
      <c r="A2369" s="13"/>
      <c r="B2369" s="14"/>
      <c r="C2369" s="14"/>
      <c r="D2369" s="14"/>
      <c r="E2369" s="14"/>
      <c r="F2369" s="14"/>
      <c r="G2369" s="14"/>
      <c r="H2369" s="14"/>
      <c r="I2369" s="14"/>
      <c r="J2369" s="14"/>
      <c r="K2369" s="14"/>
      <c r="L2369" s="15"/>
      <c r="M2369" s="15"/>
      <c r="N2369" s="15"/>
      <c r="O2369" s="15"/>
      <c r="P2369" s="15"/>
      <c r="Q2369" s="14"/>
      <c r="R2369" s="14"/>
      <c r="S2369" s="14"/>
      <c r="T2369" s="14"/>
      <c r="U2369" s="15"/>
      <c r="V2369" s="14"/>
      <c r="W2369" s="14"/>
      <c r="X2369" s="14"/>
      <c r="Y2369" s="14"/>
      <c r="Z2369" s="14"/>
    </row>
    <row r="2370" spans="1:26" ht="13.2">
      <c r="A2370" s="13"/>
      <c r="B2370" s="14"/>
      <c r="C2370" s="14"/>
      <c r="D2370" s="14"/>
      <c r="E2370" s="14"/>
      <c r="F2370" s="14"/>
      <c r="G2370" s="14"/>
      <c r="H2370" s="14"/>
      <c r="I2370" s="14"/>
      <c r="J2370" s="14"/>
      <c r="K2370" s="14"/>
      <c r="L2370" s="15"/>
      <c r="M2370" s="15"/>
      <c r="N2370" s="15"/>
      <c r="O2370" s="15"/>
      <c r="P2370" s="15"/>
      <c r="Q2370" s="14"/>
      <c r="R2370" s="14"/>
      <c r="S2370" s="14"/>
      <c r="T2370" s="14"/>
      <c r="U2370" s="15"/>
      <c r="V2370" s="14"/>
      <c r="W2370" s="14"/>
      <c r="X2370" s="14"/>
      <c r="Y2370" s="14"/>
      <c r="Z2370" s="14"/>
    </row>
    <row r="2371" spans="1:26" ht="13.2">
      <c r="A2371" s="13"/>
      <c r="B2371" s="14"/>
      <c r="C2371" s="14"/>
      <c r="D2371" s="14"/>
      <c r="E2371" s="14"/>
      <c r="F2371" s="14"/>
      <c r="G2371" s="14"/>
      <c r="H2371" s="14"/>
      <c r="I2371" s="14"/>
      <c r="J2371" s="14"/>
      <c r="K2371" s="14"/>
      <c r="L2371" s="15"/>
      <c r="M2371" s="15"/>
      <c r="N2371" s="15"/>
      <c r="O2371" s="15"/>
      <c r="P2371" s="15"/>
      <c r="Q2371" s="14"/>
      <c r="R2371" s="14"/>
      <c r="S2371" s="14"/>
      <c r="T2371" s="14"/>
      <c r="U2371" s="15"/>
      <c r="V2371" s="14"/>
      <c r="W2371" s="14"/>
      <c r="X2371" s="14"/>
      <c r="Y2371" s="14"/>
      <c r="Z2371" s="14"/>
    </row>
    <row r="2372" spans="1:26" ht="13.2">
      <c r="A2372" s="13"/>
      <c r="B2372" s="14"/>
      <c r="C2372" s="14"/>
      <c r="D2372" s="14"/>
      <c r="E2372" s="14"/>
      <c r="F2372" s="14"/>
      <c r="G2372" s="14"/>
      <c r="H2372" s="14"/>
      <c r="I2372" s="14"/>
      <c r="J2372" s="14"/>
      <c r="K2372" s="14"/>
      <c r="L2372" s="15"/>
      <c r="M2372" s="15"/>
      <c r="N2372" s="15"/>
      <c r="O2372" s="15"/>
      <c r="P2372" s="15"/>
      <c r="Q2372" s="14"/>
      <c r="R2372" s="14"/>
      <c r="S2372" s="14"/>
      <c r="T2372" s="14"/>
      <c r="U2372" s="15"/>
      <c r="V2372" s="14"/>
      <c r="W2372" s="14"/>
      <c r="X2372" s="14"/>
      <c r="Y2372" s="14"/>
      <c r="Z2372" s="14"/>
    </row>
    <row r="2373" spans="1:26" ht="13.2">
      <c r="A2373" s="13"/>
      <c r="B2373" s="14"/>
      <c r="C2373" s="14"/>
      <c r="D2373" s="14"/>
      <c r="E2373" s="14"/>
      <c r="F2373" s="14"/>
      <c r="G2373" s="14"/>
      <c r="H2373" s="14"/>
      <c r="I2373" s="14"/>
      <c r="J2373" s="14"/>
      <c r="K2373" s="14"/>
      <c r="L2373" s="15"/>
      <c r="M2373" s="15"/>
      <c r="N2373" s="15"/>
      <c r="O2373" s="15"/>
      <c r="P2373" s="15"/>
      <c r="Q2373" s="14"/>
      <c r="R2373" s="14"/>
      <c r="S2373" s="14"/>
      <c r="T2373" s="14"/>
      <c r="U2373" s="15"/>
      <c r="V2373" s="14"/>
      <c r="W2373" s="14"/>
      <c r="X2373" s="14"/>
      <c r="Y2373" s="14"/>
      <c r="Z2373" s="14"/>
    </row>
    <row r="2374" spans="1:26" ht="13.2">
      <c r="A2374" s="13"/>
      <c r="B2374" s="14"/>
      <c r="C2374" s="14"/>
      <c r="D2374" s="14"/>
      <c r="E2374" s="14"/>
      <c r="F2374" s="14"/>
      <c r="G2374" s="14"/>
      <c r="H2374" s="14"/>
      <c r="I2374" s="14"/>
      <c r="J2374" s="14"/>
      <c r="K2374" s="14"/>
      <c r="L2374" s="15"/>
      <c r="M2374" s="15"/>
      <c r="N2374" s="15"/>
      <c r="O2374" s="15"/>
      <c r="P2374" s="15"/>
      <c r="Q2374" s="14"/>
      <c r="R2374" s="14"/>
      <c r="S2374" s="14"/>
      <c r="T2374" s="14"/>
      <c r="U2374" s="15"/>
      <c r="V2374" s="14"/>
      <c r="W2374" s="14"/>
      <c r="X2374" s="14"/>
      <c r="Y2374" s="14"/>
      <c r="Z2374" s="14"/>
    </row>
    <row r="2375" spans="1:26" ht="13.2">
      <c r="A2375" s="13"/>
      <c r="B2375" s="14"/>
      <c r="C2375" s="14"/>
      <c r="D2375" s="14"/>
      <c r="E2375" s="14"/>
      <c r="F2375" s="14"/>
      <c r="G2375" s="14"/>
      <c r="H2375" s="14"/>
      <c r="I2375" s="14"/>
      <c r="J2375" s="14"/>
      <c r="K2375" s="14"/>
      <c r="L2375" s="15"/>
      <c r="M2375" s="15"/>
      <c r="N2375" s="15"/>
      <c r="O2375" s="15"/>
      <c r="P2375" s="15"/>
      <c r="Q2375" s="14"/>
      <c r="R2375" s="14"/>
      <c r="S2375" s="14"/>
      <c r="T2375" s="14"/>
      <c r="U2375" s="15"/>
      <c r="V2375" s="14"/>
      <c r="W2375" s="14"/>
      <c r="X2375" s="14"/>
      <c r="Y2375" s="14"/>
      <c r="Z2375" s="14"/>
    </row>
    <row r="2376" spans="1:26" ht="13.2">
      <c r="A2376" s="13"/>
      <c r="B2376" s="14"/>
      <c r="C2376" s="14"/>
      <c r="D2376" s="14"/>
      <c r="E2376" s="14"/>
      <c r="F2376" s="14"/>
      <c r="G2376" s="14"/>
      <c r="H2376" s="14"/>
      <c r="I2376" s="14"/>
      <c r="J2376" s="14"/>
      <c r="K2376" s="14"/>
      <c r="L2376" s="15"/>
      <c r="M2376" s="15"/>
      <c r="N2376" s="15"/>
      <c r="O2376" s="15"/>
      <c r="P2376" s="15"/>
      <c r="Q2376" s="14"/>
      <c r="R2376" s="14"/>
      <c r="S2376" s="14"/>
      <c r="T2376" s="14"/>
      <c r="U2376" s="15"/>
      <c r="V2376" s="14"/>
      <c r="W2376" s="14"/>
      <c r="X2376" s="14"/>
      <c r="Y2376" s="14"/>
      <c r="Z2376" s="14"/>
    </row>
    <row r="2377" spans="1:26" ht="13.2">
      <c r="A2377" s="13"/>
      <c r="B2377" s="14"/>
      <c r="C2377" s="14"/>
      <c r="D2377" s="14"/>
      <c r="E2377" s="14"/>
      <c r="F2377" s="14"/>
      <c r="G2377" s="14"/>
      <c r="H2377" s="14"/>
      <c r="I2377" s="14"/>
      <c r="J2377" s="14"/>
      <c r="K2377" s="14"/>
      <c r="L2377" s="15"/>
      <c r="M2377" s="15"/>
      <c r="N2377" s="15"/>
      <c r="O2377" s="15"/>
      <c r="P2377" s="15"/>
      <c r="Q2377" s="14"/>
      <c r="R2377" s="14"/>
      <c r="S2377" s="14"/>
      <c r="T2377" s="14"/>
      <c r="U2377" s="15"/>
      <c r="V2377" s="14"/>
      <c r="W2377" s="14"/>
      <c r="X2377" s="14"/>
      <c r="Y2377" s="14"/>
      <c r="Z2377" s="14"/>
    </row>
    <row r="2378" spans="1:26" ht="13.2">
      <c r="A2378" s="13"/>
      <c r="B2378" s="14"/>
      <c r="C2378" s="14"/>
      <c r="D2378" s="14"/>
      <c r="E2378" s="14"/>
      <c r="F2378" s="14"/>
      <c r="G2378" s="14"/>
      <c r="H2378" s="14"/>
      <c r="I2378" s="14"/>
      <c r="J2378" s="14"/>
      <c r="K2378" s="14"/>
      <c r="L2378" s="15"/>
      <c r="M2378" s="15"/>
      <c r="N2378" s="15"/>
      <c r="O2378" s="15"/>
      <c r="P2378" s="15"/>
      <c r="Q2378" s="14"/>
      <c r="R2378" s="14"/>
      <c r="S2378" s="14"/>
      <c r="T2378" s="14"/>
      <c r="U2378" s="15"/>
      <c r="V2378" s="14"/>
      <c r="W2378" s="14"/>
      <c r="X2378" s="14"/>
      <c r="Y2378" s="14"/>
      <c r="Z2378" s="14"/>
    </row>
    <row r="2379" spans="1:26" ht="13.2">
      <c r="A2379" s="13"/>
      <c r="B2379" s="14"/>
      <c r="C2379" s="14"/>
      <c r="D2379" s="14"/>
      <c r="E2379" s="14"/>
      <c r="F2379" s="14"/>
      <c r="G2379" s="14"/>
      <c r="H2379" s="14"/>
      <c r="I2379" s="14"/>
      <c r="J2379" s="14"/>
      <c r="K2379" s="14"/>
      <c r="L2379" s="15"/>
      <c r="M2379" s="15"/>
      <c r="N2379" s="15"/>
      <c r="O2379" s="15"/>
      <c r="P2379" s="15"/>
      <c r="Q2379" s="14"/>
      <c r="R2379" s="14"/>
      <c r="S2379" s="14"/>
      <c r="T2379" s="14"/>
      <c r="U2379" s="15"/>
      <c r="V2379" s="14"/>
      <c r="W2379" s="14"/>
      <c r="X2379" s="14"/>
      <c r="Y2379" s="14"/>
      <c r="Z2379" s="14"/>
    </row>
    <row r="2380" spans="1:26" ht="13.2">
      <c r="A2380" s="13"/>
      <c r="B2380" s="14"/>
      <c r="C2380" s="14"/>
      <c r="D2380" s="14"/>
      <c r="E2380" s="14"/>
      <c r="F2380" s="14"/>
      <c r="G2380" s="14"/>
      <c r="H2380" s="14"/>
      <c r="I2380" s="14"/>
      <c r="J2380" s="14"/>
      <c r="K2380" s="14"/>
      <c r="L2380" s="15"/>
      <c r="M2380" s="15"/>
      <c r="N2380" s="15"/>
      <c r="O2380" s="15"/>
      <c r="P2380" s="15"/>
      <c r="Q2380" s="14"/>
      <c r="R2380" s="14"/>
      <c r="S2380" s="14"/>
      <c r="T2380" s="14"/>
      <c r="U2380" s="15"/>
      <c r="V2380" s="14"/>
      <c r="W2380" s="14"/>
      <c r="X2380" s="14"/>
      <c r="Y2380" s="14"/>
      <c r="Z2380" s="14"/>
    </row>
    <row r="2381" spans="1:26" ht="13.2">
      <c r="A2381" s="13"/>
      <c r="B2381" s="14"/>
      <c r="C2381" s="14"/>
      <c r="D2381" s="14"/>
      <c r="E2381" s="14"/>
      <c r="F2381" s="14"/>
      <c r="G2381" s="14"/>
      <c r="H2381" s="14"/>
      <c r="I2381" s="14"/>
      <c r="J2381" s="14"/>
      <c r="K2381" s="14"/>
      <c r="L2381" s="15"/>
      <c r="M2381" s="15"/>
      <c r="N2381" s="15"/>
      <c r="O2381" s="15"/>
      <c r="P2381" s="15"/>
      <c r="Q2381" s="14"/>
      <c r="R2381" s="14"/>
      <c r="S2381" s="14"/>
      <c r="T2381" s="14"/>
      <c r="U2381" s="15"/>
      <c r="V2381" s="14"/>
      <c r="W2381" s="14"/>
      <c r="X2381" s="14"/>
      <c r="Y2381" s="14"/>
      <c r="Z2381" s="14"/>
    </row>
    <row r="2382" spans="1:26" ht="13.2">
      <c r="A2382" s="13"/>
      <c r="B2382" s="14"/>
      <c r="C2382" s="14"/>
      <c r="D2382" s="14"/>
      <c r="E2382" s="14"/>
      <c r="F2382" s="14"/>
      <c r="G2382" s="14"/>
      <c r="H2382" s="14"/>
      <c r="I2382" s="14"/>
      <c r="J2382" s="14"/>
      <c r="K2382" s="14"/>
      <c r="L2382" s="15"/>
      <c r="M2382" s="15"/>
      <c r="N2382" s="15"/>
      <c r="O2382" s="15"/>
      <c r="P2382" s="15"/>
      <c r="Q2382" s="14"/>
      <c r="R2382" s="14"/>
      <c r="S2382" s="14"/>
      <c r="T2382" s="14"/>
      <c r="U2382" s="15"/>
      <c r="V2382" s="14"/>
      <c r="W2382" s="14"/>
      <c r="X2382" s="14"/>
      <c r="Y2382" s="14"/>
      <c r="Z2382" s="14"/>
    </row>
    <row r="2383" spans="1:26" ht="13.2">
      <c r="A2383" s="13"/>
      <c r="B2383" s="14"/>
      <c r="C2383" s="14"/>
      <c r="D2383" s="14"/>
      <c r="E2383" s="14"/>
      <c r="F2383" s="14"/>
      <c r="G2383" s="14"/>
      <c r="H2383" s="14"/>
      <c r="I2383" s="14"/>
      <c r="J2383" s="14"/>
      <c r="K2383" s="14"/>
      <c r="L2383" s="15"/>
      <c r="M2383" s="15"/>
      <c r="N2383" s="15"/>
      <c r="O2383" s="15"/>
      <c r="P2383" s="15"/>
      <c r="Q2383" s="14"/>
      <c r="R2383" s="14"/>
      <c r="S2383" s="14"/>
      <c r="T2383" s="14"/>
      <c r="U2383" s="15"/>
      <c r="V2383" s="14"/>
      <c r="W2383" s="14"/>
      <c r="X2383" s="14"/>
      <c r="Y2383" s="14"/>
      <c r="Z2383" s="14"/>
    </row>
    <row r="2384" spans="1:26" ht="13.2">
      <c r="A2384" s="13"/>
      <c r="B2384" s="14"/>
      <c r="C2384" s="14"/>
      <c r="D2384" s="14"/>
      <c r="E2384" s="14"/>
      <c r="F2384" s="14"/>
      <c r="G2384" s="14"/>
      <c r="H2384" s="14"/>
      <c r="I2384" s="14"/>
      <c r="J2384" s="14"/>
      <c r="K2384" s="14"/>
      <c r="L2384" s="15"/>
      <c r="M2384" s="15"/>
      <c r="N2384" s="15"/>
      <c r="O2384" s="15"/>
      <c r="P2384" s="15"/>
      <c r="Q2384" s="14"/>
      <c r="R2384" s="14"/>
      <c r="S2384" s="14"/>
      <c r="T2384" s="14"/>
      <c r="U2384" s="15"/>
      <c r="V2384" s="14"/>
      <c r="W2384" s="14"/>
      <c r="X2384" s="14"/>
      <c r="Y2384" s="14"/>
      <c r="Z2384" s="14"/>
    </row>
    <row r="2385" spans="1:26" ht="13.2">
      <c r="A2385" s="13"/>
      <c r="B2385" s="14"/>
      <c r="C2385" s="14"/>
      <c r="D2385" s="14"/>
      <c r="E2385" s="14"/>
      <c r="F2385" s="14"/>
      <c r="G2385" s="14"/>
      <c r="H2385" s="14"/>
      <c r="I2385" s="14"/>
      <c r="J2385" s="14"/>
      <c r="K2385" s="14"/>
      <c r="L2385" s="15"/>
      <c r="M2385" s="15"/>
      <c r="N2385" s="15"/>
      <c r="O2385" s="15"/>
      <c r="P2385" s="15"/>
      <c r="Q2385" s="14"/>
      <c r="R2385" s="14"/>
      <c r="S2385" s="14"/>
      <c r="T2385" s="14"/>
      <c r="U2385" s="15"/>
      <c r="V2385" s="14"/>
      <c r="W2385" s="14"/>
      <c r="X2385" s="14"/>
      <c r="Y2385" s="14"/>
      <c r="Z2385" s="14"/>
    </row>
    <row r="2386" spans="1:26" ht="13.2">
      <c r="A2386" s="13"/>
      <c r="B2386" s="14"/>
      <c r="C2386" s="14"/>
      <c r="D2386" s="14"/>
      <c r="E2386" s="14"/>
      <c r="F2386" s="14"/>
      <c r="G2386" s="14"/>
      <c r="H2386" s="14"/>
      <c r="I2386" s="14"/>
      <c r="J2386" s="14"/>
      <c r="K2386" s="14"/>
      <c r="L2386" s="15"/>
      <c r="M2386" s="15"/>
      <c r="N2386" s="15"/>
      <c r="O2386" s="15"/>
      <c r="P2386" s="15"/>
      <c r="Q2386" s="14"/>
      <c r="R2386" s="14"/>
      <c r="S2386" s="14"/>
      <c r="T2386" s="14"/>
      <c r="U2386" s="15"/>
      <c r="V2386" s="14"/>
      <c r="W2386" s="14"/>
      <c r="X2386" s="14"/>
      <c r="Y2386" s="14"/>
      <c r="Z2386" s="14"/>
    </row>
    <row r="2387" spans="1:26" ht="13.2">
      <c r="A2387" s="13"/>
      <c r="B2387" s="14"/>
      <c r="C2387" s="14"/>
      <c r="D2387" s="14"/>
      <c r="E2387" s="14"/>
      <c r="F2387" s="14"/>
      <c r="G2387" s="14"/>
      <c r="H2387" s="14"/>
      <c r="I2387" s="14"/>
      <c r="J2387" s="14"/>
      <c r="K2387" s="14"/>
      <c r="L2387" s="15"/>
      <c r="M2387" s="15"/>
      <c r="N2387" s="15"/>
      <c r="O2387" s="15"/>
      <c r="P2387" s="15"/>
      <c r="Q2387" s="14"/>
      <c r="R2387" s="14"/>
      <c r="S2387" s="14"/>
      <c r="T2387" s="14"/>
      <c r="U2387" s="15"/>
      <c r="V2387" s="14"/>
      <c r="W2387" s="14"/>
      <c r="X2387" s="14"/>
      <c r="Y2387" s="14"/>
      <c r="Z2387" s="14"/>
    </row>
    <row r="2388" spans="1:26" ht="13.2">
      <c r="A2388" s="13"/>
      <c r="B2388" s="14"/>
      <c r="C2388" s="14"/>
      <c r="D2388" s="14"/>
      <c r="E2388" s="14"/>
      <c r="F2388" s="14"/>
      <c r="G2388" s="14"/>
      <c r="H2388" s="14"/>
      <c r="I2388" s="14"/>
      <c r="J2388" s="14"/>
      <c r="K2388" s="14"/>
      <c r="L2388" s="15"/>
      <c r="M2388" s="15"/>
      <c r="N2388" s="15"/>
      <c r="O2388" s="15"/>
      <c r="P2388" s="15"/>
      <c r="Q2388" s="14"/>
      <c r="R2388" s="14"/>
      <c r="S2388" s="14"/>
      <c r="T2388" s="14"/>
      <c r="U2388" s="15"/>
      <c r="V2388" s="14"/>
      <c r="W2388" s="14"/>
      <c r="X2388" s="14"/>
      <c r="Y2388" s="14"/>
      <c r="Z2388" s="14"/>
    </row>
    <row r="2389" spans="1:26" ht="13.2">
      <c r="A2389" s="13"/>
      <c r="B2389" s="14"/>
      <c r="C2389" s="14"/>
      <c r="D2389" s="14"/>
      <c r="E2389" s="14"/>
      <c r="F2389" s="14"/>
      <c r="G2389" s="14"/>
      <c r="H2389" s="14"/>
      <c r="I2389" s="14"/>
      <c r="J2389" s="14"/>
      <c r="K2389" s="14"/>
      <c r="L2389" s="15"/>
      <c r="M2389" s="15"/>
      <c r="N2389" s="15"/>
      <c r="O2389" s="15"/>
      <c r="P2389" s="15"/>
      <c r="Q2389" s="14"/>
      <c r="R2389" s="14"/>
      <c r="S2389" s="14"/>
      <c r="T2389" s="14"/>
      <c r="U2389" s="15"/>
      <c r="V2389" s="14"/>
      <c r="W2389" s="14"/>
      <c r="X2389" s="14"/>
      <c r="Y2389" s="14"/>
      <c r="Z2389" s="14"/>
    </row>
    <row r="2390" spans="1:26" ht="13.2">
      <c r="A2390" s="13"/>
      <c r="B2390" s="14"/>
      <c r="C2390" s="14"/>
      <c r="D2390" s="14"/>
      <c r="E2390" s="14"/>
      <c r="F2390" s="14"/>
      <c r="G2390" s="14"/>
      <c r="H2390" s="14"/>
      <c r="I2390" s="14"/>
      <c r="J2390" s="14"/>
      <c r="K2390" s="14"/>
      <c r="L2390" s="15"/>
      <c r="M2390" s="15"/>
      <c r="N2390" s="15"/>
      <c r="O2390" s="15"/>
      <c r="P2390" s="15"/>
      <c r="Q2390" s="14"/>
      <c r="R2390" s="14"/>
      <c r="S2390" s="14"/>
      <c r="T2390" s="14"/>
      <c r="U2390" s="15"/>
      <c r="V2390" s="14"/>
      <c r="W2390" s="14"/>
      <c r="X2390" s="14"/>
      <c r="Y2390" s="14"/>
      <c r="Z2390" s="14"/>
    </row>
    <row r="2391" spans="1:26" ht="13.2">
      <c r="A2391" s="13"/>
      <c r="B2391" s="14"/>
      <c r="C2391" s="14"/>
      <c r="D2391" s="14"/>
      <c r="E2391" s="14"/>
      <c r="F2391" s="14"/>
      <c r="G2391" s="14"/>
      <c r="H2391" s="14"/>
      <c r="I2391" s="14"/>
      <c r="J2391" s="14"/>
      <c r="K2391" s="14"/>
      <c r="L2391" s="15"/>
      <c r="M2391" s="15"/>
      <c r="N2391" s="15"/>
      <c r="O2391" s="15"/>
      <c r="P2391" s="15"/>
      <c r="Q2391" s="14"/>
      <c r="R2391" s="14"/>
      <c r="S2391" s="14"/>
      <c r="T2391" s="14"/>
      <c r="U2391" s="15"/>
      <c r="V2391" s="14"/>
      <c r="W2391" s="14"/>
      <c r="X2391" s="14"/>
      <c r="Y2391" s="14"/>
      <c r="Z2391" s="14"/>
    </row>
    <row r="2392" spans="1:26" ht="13.2">
      <c r="A2392" s="13"/>
      <c r="B2392" s="14"/>
      <c r="C2392" s="14"/>
      <c r="D2392" s="14"/>
      <c r="E2392" s="14"/>
      <c r="F2392" s="14"/>
      <c r="G2392" s="14"/>
      <c r="H2392" s="14"/>
      <c r="I2392" s="14"/>
      <c r="J2392" s="14"/>
      <c r="K2392" s="14"/>
      <c r="L2392" s="15"/>
      <c r="M2392" s="15"/>
      <c r="N2392" s="15"/>
      <c r="O2392" s="15"/>
      <c r="P2392" s="15"/>
      <c r="Q2392" s="14"/>
      <c r="R2392" s="14"/>
      <c r="S2392" s="14"/>
      <c r="T2392" s="14"/>
      <c r="U2392" s="15"/>
      <c r="V2392" s="14"/>
      <c r="W2392" s="14"/>
      <c r="X2392" s="14"/>
      <c r="Y2392" s="14"/>
      <c r="Z2392" s="14"/>
    </row>
    <row r="2393" spans="1:26" ht="13.2">
      <c r="A2393" s="13"/>
      <c r="B2393" s="14"/>
      <c r="C2393" s="14"/>
      <c r="D2393" s="14"/>
      <c r="E2393" s="14"/>
      <c r="F2393" s="14"/>
      <c r="G2393" s="14"/>
      <c r="H2393" s="14"/>
      <c r="I2393" s="14"/>
      <c r="J2393" s="14"/>
      <c r="K2393" s="14"/>
      <c r="L2393" s="15"/>
      <c r="M2393" s="15"/>
      <c r="N2393" s="15"/>
      <c r="O2393" s="15"/>
      <c r="P2393" s="15"/>
      <c r="Q2393" s="14"/>
      <c r="R2393" s="14"/>
      <c r="S2393" s="14"/>
      <c r="T2393" s="14"/>
      <c r="U2393" s="15"/>
      <c r="V2393" s="14"/>
      <c r="W2393" s="14"/>
      <c r="X2393" s="14"/>
      <c r="Y2393" s="14"/>
      <c r="Z2393" s="14"/>
    </row>
    <row r="2394" spans="1:26" ht="13.2">
      <c r="A2394" s="13"/>
      <c r="B2394" s="14"/>
      <c r="C2394" s="14"/>
      <c r="D2394" s="14"/>
      <c r="E2394" s="14"/>
      <c r="F2394" s="14"/>
      <c r="G2394" s="14"/>
      <c r="H2394" s="14"/>
      <c r="I2394" s="14"/>
      <c r="J2394" s="14"/>
      <c r="K2394" s="14"/>
      <c r="L2394" s="15"/>
      <c r="M2394" s="15"/>
      <c r="N2394" s="15"/>
      <c r="O2394" s="15"/>
      <c r="P2394" s="15"/>
      <c r="Q2394" s="14"/>
      <c r="R2394" s="14"/>
      <c r="S2394" s="14"/>
      <c r="T2394" s="14"/>
      <c r="U2394" s="15"/>
      <c r="V2394" s="14"/>
      <c r="W2394" s="14"/>
      <c r="X2394" s="14"/>
      <c r="Y2394" s="14"/>
      <c r="Z2394" s="14"/>
    </row>
    <row r="2395" spans="1:26" ht="13.2">
      <c r="A2395" s="13"/>
      <c r="B2395" s="14"/>
      <c r="C2395" s="14"/>
      <c r="D2395" s="14"/>
      <c r="E2395" s="14"/>
      <c r="F2395" s="14"/>
      <c r="G2395" s="14"/>
      <c r="H2395" s="14"/>
      <c r="I2395" s="14"/>
      <c r="J2395" s="14"/>
      <c r="K2395" s="14"/>
      <c r="L2395" s="15"/>
      <c r="M2395" s="15"/>
      <c r="N2395" s="15"/>
      <c r="O2395" s="15"/>
      <c r="P2395" s="15"/>
      <c r="Q2395" s="14"/>
      <c r="R2395" s="14"/>
      <c r="S2395" s="14"/>
      <c r="T2395" s="14"/>
      <c r="U2395" s="15"/>
      <c r="V2395" s="14"/>
      <c r="W2395" s="14"/>
      <c r="X2395" s="14"/>
      <c r="Y2395" s="14"/>
      <c r="Z2395" s="14"/>
    </row>
    <row r="2396" spans="1:26" ht="13.2">
      <c r="A2396" s="13"/>
      <c r="B2396" s="14"/>
      <c r="C2396" s="14"/>
      <c r="D2396" s="14"/>
      <c r="E2396" s="14"/>
      <c r="F2396" s="14"/>
      <c r="G2396" s="14"/>
      <c r="H2396" s="14"/>
      <c r="I2396" s="14"/>
      <c r="J2396" s="14"/>
      <c r="K2396" s="14"/>
      <c r="L2396" s="15"/>
      <c r="M2396" s="15"/>
      <c r="N2396" s="15"/>
      <c r="O2396" s="15"/>
      <c r="P2396" s="15"/>
      <c r="Q2396" s="14"/>
      <c r="R2396" s="14"/>
      <c r="S2396" s="14"/>
      <c r="T2396" s="14"/>
      <c r="U2396" s="15"/>
      <c r="V2396" s="14"/>
      <c r="W2396" s="14"/>
      <c r="X2396" s="14"/>
      <c r="Y2396" s="14"/>
      <c r="Z2396" s="14"/>
    </row>
    <row r="2397" spans="1:26" ht="13.2">
      <c r="A2397" s="13"/>
      <c r="B2397" s="14"/>
      <c r="C2397" s="14"/>
      <c r="D2397" s="14"/>
      <c r="E2397" s="14"/>
      <c r="F2397" s="14"/>
      <c r="G2397" s="14"/>
      <c r="H2397" s="14"/>
      <c r="I2397" s="14"/>
      <c r="J2397" s="14"/>
      <c r="K2397" s="14"/>
      <c r="L2397" s="15"/>
      <c r="M2397" s="15"/>
      <c r="N2397" s="15"/>
      <c r="O2397" s="15"/>
      <c r="P2397" s="15"/>
      <c r="Q2397" s="14"/>
      <c r="R2397" s="14"/>
      <c r="S2397" s="14"/>
      <c r="T2397" s="14"/>
      <c r="U2397" s="15"/>
      <c r="V2397" s="14"/>
      <c r="W2397" s="14"/>
      <c r="X2397" s="14"/>
      <c r="Y2397" s="14"/>
      <c r="Z2397" s="14"/>
    </row>
    <row r="2398" spans="1:26" ht="13.2">
      <c r="A2398" s="13"/>
      <c r="B2398" s="14"/>
      <c r="C2398" s="14"/>
      <c r="D2398" s="14"/>
      <c r="E2398" s="14"/>
      <c r="F2398" s="14"/>
      <c r="G2398" s="14"/>
      <c r="H2398" s="14"/>
      <c r="I2398" s="14"/>
      <c r="J2398" s="14"/>
      <c r="K2398" s="14"/>
      <c r="L2398" s="15"/>
      <c r="M2398" s="15"/>
      <c r="N2398" s="15"/>
      <c r="O2398" s="15"/>
      <c r="P2398" s="15"/>
      <c r="Q2398" s="14"/>
      <c r="R2398" s="14"/>
      <c r="S2398" s="14"/>
      <c r="T2398" s="14"/>
      <c r="U2398" s="15"/>
      <c r="V2398" s="14"/>
      <c r="W2398" s="14"/>
      <c r="X2398" s="14"/>
      <c r="Y2398" s="14"/>
      <c r="Z2398" s="14"/>
    </row>
    <row r="2399" spans="1:26" ht="13.2">
      <c r="A2399" s="13"/>
      <c r="B2399" s="14"/>
      <c r="C2399" s="14"/>
      <c r="D2399" s="14"/>
      <c r="E2399" s="14"/>
      <c r="F2399" s="14"/>
      <c r="G2399" s="14"/>
      <c r="H2399" s="14"/>
      <c r="I2399" s="14"/>
      <c r="J2399" s="14"/>
      <c r="K2399" s="14"/>
      <c r="L2399" s="15"/>
      <c r="M2399" s="15"/>
      <c r="N2399" s="15"/>
      <c r="O2399" s="15"/>
      <c r="P2399" s="15"/>
      <c r="Q2399" s="14"/>
      <c r="R2399" s="14"/>
      <c r="S2399" s="14"/>
      <c r="T2399" s="14"/>
      <c r="U2399" s="15"/>
      <c r="V2399" s="14"/>
      <c r="W2399" s="14"/>
      <c r="X2399" s="14"/>
      <c r="Y2399" s="14"/>
      <c r="Z2399" s="14"/>
    </row>
    <row r="2400" spans="1:26" ht="13.2">
      <c r="A2400" s="13"/>
      <c r="B2400" s="14"/>
      <c r="C2400" s="14"/>
      <c r="D2400" s="14"/>
      <c r="E2400" s="14"/>
      <c r="F2400" s="14"/>
      <c r="G2400" s="14"/>
      <c r="H2400" s="14"/>
      <c r="I2400" s="14"/>
      <c r="J2400" s="14"/>
      <c r="K2400" s="14"/>
      <c r="L2400" s="15"/>
      <c r="M2400" s="15"/>
      <c r="N2400" s="15"/>
      <c r="O2400" s="15"/>
      <c r="P2400" s="15"/>
      <c r="Q2400" s="14"/>
      <c r="R2400" s="14"/>
      <c r="S2400" s="14"/>
      <c r="T2400" s="14"/>
      <c r="U2400" s="15"/>
      <c r="V2400" s="14"/>
      <c r="W2400" s="14"/>
      <c r="X2400" s="14"/>
      <c r="Y2400" s="14"/>
      <c r="Z2400" s="14"/>
    </row>
    <row r="2401" spans="1:26" ht="13.2">
      <c r="A2401" s="13"/>
      <c r="B2401" s="14"/>
      <c r="C2401" s="14"/>
      <c r="D2401" s="14"/>
      <c r="E2401" s="14"/>
      <c r="F2401" s="14"/>
      <c r="G2401" s="14"/>
      <c r="H2401" s="14"/>
      <c r="I2401" s="14"/>
      <c r="J2401" s="14"/>
      <c r="K2401" s="14"/>
      <c r="L2401" s="15"/>
      <c r="M2401" s="15"/>
      <c r="N2401" s="15"/>
      <c r="O2401" s="15"/>
      <c r="P2401" s="15"/>
      <c r="Q2401" s="14"/>
      <c r="R2401" s="14"/>
      <c r="S2401" s="14"/>
      <c r="T2401" s="14"/>
      <c r="U2401" s="15"/>
      <c r="V2401" s="14"/>
      <c r="W2401" s="14"/>
      <c r="X2401" s="14"/>
      <c r="Y2401" s="14"/>
      <c r="Z2401" s="14"/>
    </row>
    <row r="2402" spans="1:26" ht="13.2">
      <c r="A2402" s="13"/>
      <c r="B2402" s="14"/>
      <c r="C2402" s="14"/>
      <c r="D2402" s="14"/>
      <c r="E2402" s="14"/>
      <c r="F2402" s="14"/>
      <c r="G2402" s="14"/>
      <c r="H2402" s="14"/>
      <c r="I2402" s="14"/>
      <c r="J2402" s="14"/>
      <c r="K2402" s="14"/>
      <c r="L2402" s="15"/>
      <c r="M2402" s="15"/>
      <c r="N2402" s="15"/>
      <c r="O2402" s="15"/>
      <c r="P2402" s="15"/>
      <c r="Q2402" s="14"/>
      <c r="R2402" s="14"/>
      <c r="S2402" s="14"/>
      <c r="T2402" s="14"/>
      <c r="U2402" s="15"/>
      <c r="V2402" s="14"/>
      <c r="W2402" s="14"/>
      <c r="X2402" s="14"/>
      <c r="Y2402" s="14"/>
      <c r="Z2402" s="14"/>
    </row>
    <row r="2403" spans="1:26" ht="13.2">
      <c r="A2403" s="13"/>
      <c r="B2403" s="14"/>
      <c r="C2403" s="14"/>
      <c r="D2403" s="14"/>
      <c r="E2403" s="14"/>
      <c r="F2403" s="14"/>
      <c r="G2403" s="14"/>
      <c r="H2403" s="14"/>
      <c r="I2403" s="14"/>
      <c r="J2403" s="14"/>
      <c r="K2403" s="14"/>
      <c r="L2403" s="15"/>
      <c r="M2403" s="15"/>
      <c r="N2403" s="15"/>
      <c r="O2403" s="15"/>
      <c r="P2403" s="15"/>
      <c r="Q2403" s="14"/>
      <c r="R2403" s="14"/>
      <c r="S2403" s="14"/>
      <c r="T2403" s="14"/>
      <c r="U2403" s="15"/>
      <c r="V2403" s="14"/>
      <c r="W2403" s="14"/>
      <c r="X2403" s="14"/>
      <c r="Y2403" s="14"/>
      <c r="Z2403" s="14"/>
    </row>
    <row r="2404" spans="1:26" ht="13.2">
      <c r="A2404" s="13"/>
      <c r="B2404" s="14"/>
      <c r="C2404" s="14"/>
      <c r="D2404" s="14"/>
      <c r="E2404" s="14"/>
      <c r="F2404" s="14"/>
      <c r="G2404" s="14"/>
      <c r="H2404" s="14"/>
      <c r="I2404" s="14"/>
      <c r="J2404" s="14"/>
      <c r="K2404" s="14"/>
      <c r="L2404" s="15"/>
      <c r="M2404" s="15"/>
      <c r="N2404" s="15"/>
      <c r="O2404" s="15"/>
      <c r="P2404" s="15"/>
      <c r="Q2404" s="14"/>
      <c r="R2404" s="14"/>
      <c r="S2404" s="14"/>
      <c r="T2404" s="14"/>
      <c r="U2404" s="15"/>
      <c r="V2404" s="14"/>
      <c r="W2404" s="14"/>
      <c r="X2404" s="14"/>
      <c r="Y2404" s="14"/>
      <c r="Z2404" s="14"/>
    </row>
    <row r="2405" spans="1:26" ht="13.2">
      <c r="A2405" s="13"/>
      <c r="B2405" s="14"/>
      <c r="C2405" s="14"/>
      <c r="D2405" s="14"/>
      <c r="E2405" s="14"/>
      <c r="F2405" s="14"/>
      <c r="G2405" s="14"/>
      <c r="H2405" s="14"/>
      <c r="I2405" s="14"/>
      <c r="J2405" s="14"/>
      <c r="K2405" s="14"/>
      <c r="L2405" s="15"/>
      <c r="M2405" s="15"/>
      <c r="N2405" s="15"/>
      <c r="O2405" s="15"/>
      <c r="P2405" s="15"/>
      <c r="Q2405" s="14"/>
      <c r="R2405" s="14"/>
      <c r="S2405" s="14"/>
      <c r="T2405" s="14"/>
      <c r="U2405" s="15"/>
      <c r="V2405" s="14"/>
      <c r="W2405" s="14"/>
      <c r="X2405" s="14"/>
      <c r="Y2405" s="14"/>
      <c r="Z2405" s="14"/>
    </row>
    <row r="2406" spans="1:26" ht="13.2">
      <c r="A2406" s="13"/>
      <c r="B2406" s="14"/>
      <c r="C2406" s="14"/>
      <c r="D2406" s="14"/>
      <c r="E2406" s="14"/>
      <c r="F2406" s="14"/>
      <c r="G2406" s="14"/>
      <c r="H2406" s="14"/>
      <c r="I2406" s="14"/>
      <c r="J2406" s="14"/>
      <c r="K2406" s="14"/>
      <c r="L2406" s="15"/>
      <c r="M2406" s="15"/>
      <c r="N2406" s="15"/>
      <c r="O2406" s="15"/>
      <c r="P2406" s="15"/>
      <c r="Q2406" s="14"/>
      <c r="R2406" s="14"/>
      <c r="S2406" s="14"/>
      <c r="T2406" s="14"/>
      <c r="U2406" s="15"/>
      <c r="V2406" s="14"/>
      <c r="W2406" s="14"/>
      <c r="X2406" s="14"/>
      <c r="Y2406" s="14"/>
      <c r="Z2406" s="14"/>
    </row>
    <row r="2407" spans="1:26" ht="13.2">
      <c r="A2407" s="13"/>
      <c r="B2407" s="14"/>
      <c r="C2407" s="14"/>
      <c r="D2407" s="14"/>
      <c r="E2407" s="14"/>
      <c r="F2407" s="14"/>
      <c r="G2407" s="14"/>
      <c r="H2407" s="14"/>
      <c r="I2407" s="14"/>
      <c r="J2407" s="14"/>
      <c r="K2407" s="14"/>
      <c r="L2407" s="15"/>
      <c r="M2407" s="15"/>
      <c r="N2407" s="15"/>
      <c r="O2407" s="15"/>
      <c r="P2407" s="15"/>
      <c r="Q2407" s="14"/>
      <c r="R2407" s="14"/>
      <c r="S2407" s="14"/>
      <c r="T2407" s="14"/>
      <c r="U2407" s="15"/>
      <c r="V2407" s="14"/>
      <c r="W2407" s="14"/>
      <c r="X2407" s="14"/>
      <c r="Y2407" s="14"/>
      <c r="Z2407" s="14"/>
    </row>
    <row r="2408" spans="1:26" ht="13.2">
      <c r="A2408" s="13"/>
      <c r="B2408" s="14"/>
      <c r="C2408" s="14"/>
      <c r="D2408" s="14"/>
      <c r="E2408" s="14"/>
      <c r="F2408" s="14"/>
      <c r="G2408" s="14"/>
      <c r="H2408" s="14"/>
      <c r="I2408" s="14"/>
      <c r="J2408" s="14"/>
      <c r="K2408" s="14"/>
      <c r="L2408" s="15"/>
      <c r="M2408" s="15"/>
      <c r="N2408" s="15"/>
      <c r="O2408" s="15"/>
      <c r="P2408" s="15"/>
      <c r="Q2408" s="14"/>
      <c r="R2408" s="14"/>
      <c r="S2408" s="14"/>
      <c r="T2408" s="14"/>
      <c r="U2408" s="15"/>
      <c r="V2408" s="14"/>
      <c r="W2408" s="14"/>
      <c r="X2408" s="14"/>
      <c r="Y2408" s="14"/>
      <c r="Z2408" s="14"/>
    </row>
    <row r="2409" spans="1:26" ht="13.2">
      <c r="A2409" s="13"/>
      <c r="B2409" s="14"/>
      <c r="C2409" s="14"/>
      <c r="D2409" s="14"/>
      <c r="E2409" s="14"/>
      <c r="F2409" s="14"/>
      <c r="G2409" s="14"/>
      <c r="H2409" s="14"/>
      <c r="I2409" s="14"/>
      <c r="J2409" s="14"/>
      <c r="K2409" s="14"/>
      <c r="L2409" s="15"/>
      <c r="M2409" s="15"/>
      <c r="N2409" s="15"/>
      <c r="O2409" s="15"/>
      <c r="P2409" s="15"/>
      <c r="Q2409" s="14"/>
      <c r="R2409" s="14"/>
      <c r="S2409" s="14"/>
      <c r="T2409" s="14"/>
      <c r="U2409" s="15"/>
      <c r="V2409" s="14"/>
      <c r="W2409" s="14"/>
      <c r="X2409" s="14"/>
      <c r="Y2409" s="14"/>
      <c r="Z2409" s="14"/>
    </row>
    <row r="2410" spans="1:26" ht="13.2">
      <c r="A2410" s="13"/>
      <c r="B2410" s="14"/>
      <c r="C2410" s="14"/>
      <c r="D2410" s="14"/>
      <c r="E2410" s="14"/>
      <c r="F2410" s="14"/>
      <c r="G2410" s="14"/>
      <c r="H2410" s="14"/>
      <c r="I2410" s="14"/>
      <c r="J2410" s="14"/>
      <c r="K2410" s="14"/>
      <c r="L2410" s="15"/>
      <c r="M2410" s="15"/>
      <c r="N2410" s="15"/>
      <c r="O2410" s="15"/>
      <c r="P2410" s="15"/>
      <c r="Q2410" s="14"/>
      <c r="R2410" s="14"/>
      <c r="S2410" s="14"/>
      <c r="T2410" s="14"/>
      <c r="U2410" s="15"/>
      <c r="V2410" s="14"/>
      <c r="W2410" s="14"/>
      <c r="X2410" s="14"/>
      <c r="Y2410" s="14"/>
      <c r="Z2410" s="14"/>
    </row>
    <row r="2411" spans="1:26" ht="13.2">
      <c r="A2411" s="13"/>
      <c r="B2411" s="14"/>
      <c r="C2411" s="14"/>
      <c r="D2411" s="14"/>
      <c r="E2411" s="14"/>
      <c r="F2411" s="14"/>
      <c r="G2411" s="14"/>
      <c r="H2411" s="14"/>
      <c r="I2411" s="14"/>
      <c r="J2411" s="14"/>
      <c r="K2411" s="14"/>
      <c r="L2411" s="15"/>
      <c r="M2411" s="15"/>
      <c r="N2411" s="15"/>
      <c r="O2411" s="15"/>
      <c r="P2411" s="15"/>
      <c r="Q2411" s="14"/>
      <c r="R2411" s="14"/>
      <c r="S2411" s="14"/>
      <c r="T2411" s="14"/>
      <c r="U2411" s="15"/>
      <c r="V2411" s="14"/>
      <c r="W2411" s="14"/>
      <c r="X2411" s="14"/>
      <c r="Y2411" s="14"/>
      <c r="Z2411" s="14"/>
    </row>
    <row r="2412" spans="1:26" ht="13.2">
      <c r="A2412" s="13"/>
      <c r="B2412" s="14"/>
      <c r="C2412" s="14"/>
      <c r="D2412" s="14"/>
      <c r="E2412" s="14"/>
      <c r="F2412" s="14"/>
      <c r="G2412" s="14"/>
      <c r="H2412" s="14"/>
      <c r="I2412" s="14"/>
      <c r="J2412" s="14"/>
      <c r="K2412" s="14"/>
      <c r="L2412" s="15"/>
      <c r="M2412" s="15"/>
      <c r="N2412" s="15"/>
      <c r="O2412" s="15"/>
      <c r="P2412" s="15"/>
      <c r="Q2412" s="14"/>
      <c r="R2412" s="14"/>
      <c r="S2412" s="14"/>
      <c r="T2412" s="14"/>
      <c r="U2412" s="15"/>
      <c r="V2412" s="14"/>
      <c r="W2412" s="14"/>
      <c r="X2412" s="14"/>
      <c r="Y2412" s="14"/>
      <c r="Z2412" s="14"/>
    </row>
    <row r="2413" spans="1:26" ht="13.2">
      <c r="A2413" s="13"/>
      <c r="B2413" s="14"/>
      <c r="C2413" s="14"/>
      <c r="D2413" s="14"/>
      <c r="E2413" s="14"/>
      <c r="F2413" s="14"/>
      <c r="G2413" s="14"/>
      <c r="H2413" s="14"/>
      <c r="I2413" s="14"/>
      <c r="J2413" s="14"/>
      <c r="K2413" s="14"/>
      <c r="L2413" s="15"/>
      <c r="M2413" s="15"/>
      <c r="N2413" s="15"/>
      <c r="O2413" s="15"/>
      <c r="P2413" s="15"/>
      <c r="Q2413" s="14"/>
      <c r="R2413" s="14"/>
      <c r="S2413" s="14"/>
      <c r="T2413" s="14"/>
      <c r="U2413" s="15"/>
      <c r="V2413" s="14"/>
      <c r="W2413" s="14"/>
      <c r="X2413" s="14"/>
      <c r="Y2413" s="14"/>
      <c r="Z2413" s="14"/>
    </row>
    <row r="2414" spans="1:26" ht="13.2">
      <c r="A2414" s="13"/>
      <c r="B2414" s="14"/>
      <c r="C2414" s="14"/>
      <c r="D2414" s="14"/>
      <c r="E2414" s="14"/>
      <c r="F2414" s="14"/>
      <c r="G2414" s="14"/>
      <c r="H2414" s="14"/>
      <c r="I2414" s="14"/>
      <c r="J2414" s="14"/>
      <c r="K2414" s="14"/>
      <c r="L2414" s="15"/>
      <c r="M2414" s="15"/>
      <c r="N2414" s="15"/>
      <c r="O2414" s="15"/>
      <c r="P2414" s="15"/>
      <c r="Q2414" s="14"/>
      <c r="R2414" s="14"/>
      <c r="S2414" s="14"/>
      <c r="T2414" s="14"/>
      <c r="U2414" s="15"/>
      <c r="V2414" s="14"/>
      <c r="W2414" s="14"/>
      <c r="X2414" s="14"/>
      <c r="Y2414" s="14"/>
      <c r="Z2414" s="14"/>
    </row>
    <row r="2415" spans="1:26" ht="13.2">
      <c r="A2415" s="13"/>
      <c r="B2415" s="14"/>
      <c r="C2415" s="14"/>
      <c r="D2415" s="14"/>
      <c r="E2415" s="14"/>
      <c r="F2415" s="14"/>
      <c r="G2415" s="14"/>
      <c r="H2415" s="14"/>
      <c r="I2415" s="14"/>
      <c r="J2415" s="14"/>
      <c r="K2415" s="14"/>
      <c r="L2415" s="15"/>
      <c r="M2415" s="15"/>
      <c r="N2415" s="15"/>
      <c r="O2415" s="15"/>
      <c r="P2415" s="15"/>
      <c r="Q2415" s="14"/>
      <c r="R2415" s="14"/>
      <c r="S2415" s="14"/>
      <c r="T2415" s="14"/>
      <c r="U2415" s="15"/>
      <c r="V2415" s="14"/>
      <c r="W2415" s="14"/>
      <c r="X2415" s="14"/>
      <c r="Y2415" s="14"/>
      <c r="Z2415" s="14"/>
    </row>
    <row r="2416" spans="1:26" ht="13.2">
      <c r="A2416" s="13"/>
      <c r="B2416" s="14"/>
      <c r="C2416" s="14"/>
      <c r="D2416" s="14"/>
      <c r="E2416" s="14"/>
      <c r="F2416" s="14"/>
      <c r="G2416" s="14"/>
      <c r="H2416" s="14"/>
      <c r="I2416" s="14"/>
      <c r="J2416" s="14"/>
      <c r="K2416" s="14"/>
      <c r="L2416" s="15"/>
      <c r="M2416" s="15"/>
      <c r="N2416" s="15"/>
      <c r="O2416" s="15"/>
      <c r="P2416" s="15"/>
      <c r="Q2416" s="14"/>
      <c r="R2416" s="14"/>
      <c r="S2416" s="14"/>
      <c r="T2416" s="14"/>
      <c r="U2416" s="15"/>
      <c r="V2416" s="14"/>
      <c r="W2416" s="14"/>
      <c r="X2416" s="14"/>
      <c r="Y2416" s="14"/>
      <c r="Z2416" s="14"/>
    </row>
    <row r="2417" spans="1:26" ht="13.2">
      <c r="A2417" s="13"/>
      <c r="B2417" s="14"/>
      <c r="C2417" s="14"/>
      <c r="D2417" s="14"/>
      <c r="E2417" s="14"/>
      <c r="F2417" s="14"/>
      <c r="G2417" s="14"/>
      <c r="H2417" s="14"/>
      <c r="I2417" s="14"/>
      <c r="J2417" s="14"/>
      <c r="K2417" s="14"/>
      <c r="L2417" s="15"/>
      <c r="M2417" s="15"/>
      <c r="N2417" s="15"/>
      <c r="O2417" s="15"/>
      <c r="P2417" s="15"/>
      <c r="Q2417" s="14"/>
      <c r="R2417" s="14"/>
      <c r="S2417" s="14"/>
      <c r="T2417" s="14"/>
      <c r="U2417" s="15"/>
      <c r="V2417" s="14"/>
      <c r="W2417" s="14"/>
      <c r="X2417" s="14"/>
      <c r="Y2417" s="14"/>
      <c r="Z2417" s="14"/>
    </row>
    <row r="2418" spans="1:26" ht="13.2">
      <c r="A2418" s="13"/>
      <c r="B2418" s="14"/>
      <c r="C2418" s="14"/>
      <c r="D2418" s="14"/>
      <c r="E2418" s="14"/>
      <c r="F2418" s="14"/>
      <c r="G2418" s="14"/>
      <c r="H2418" s="14"/>
      <c r="I2418" s="14"/>
      <c r="J2418" s="14"/>
      <c r="K2418" s="14"/>
      <c r="L2418" s="15"/>
      <c r="M2418" s="15"/>
      <c r="N2418" s="15"/>
      <c r="O2418" s="15"/>
      <c r="P2418" s="15"/>
      <c r="Q2418" s="14"/>
      <c r="R2418" s="14"/>
      <c r="S2418" s="14"/>
      <c r="T2418" s="14"/>
      <c r="U2418" s="15"/>
      <c r="V2418" s="14"/>
      <c r="W2418" s="14"/>
      <c r="X2418" s="14"/>
      <c r="Y2418" s="14"/>
      <c r="Z2418" s="14"/>
    </row>
    <row r="2419" spans="1:26" ht="13.2">
      <c r="A2419" s="13"/>
      <c r="B2419" s="14"/>
      <c r="C2419" s="14"/>
      <c r="D2419" s="14"/>
      <c r="E2419" s="14"/>
      <c r="F2419" s="14"/>
      <c r="G2419" s="14"/>
      <c r="H2419" s="14"/>
      <c r="I2419" s="14"/>
      <c r="J2419" s="14"/>
      <c r="K2419" s="14"/>
      <c r="L2419" s="15"/>
      <c r="M2419" s="15"/>
      <c r="N2419" s="15"/>
      <c r="O2419" s="15"/>
      <c r="P2419" s="15"/>
      <c r="Q2419" s="14"/>
      <c r="R2419" s="14"/>
      <c r="S2419" s="14"/>
      <c r="T2419" s="14"/>
      <c r="U2419" s="15"/>
      <c r="V2419" s="14"/>
      <c r="W2419" s="14"/>
      <c r="X2419" s="14"/>
      <c r="Y2419" s="14"/>
      <c r="Z2419" s="14"/>
    </row>
    <row r="2420" spans="1:26" ht="13.2">
      <c r="A2420" s="13"/>
      <c r="B2420" s="14"/>
      <c r="C2420" s="14"/>
      <c r="D2420" s="14"/>
      <c r="E2420" s="14"/>
      <c r="F2420" s="14"/>
      <c r="G2420" s="14"/>
      <c r="H2420" s="14"/>
      <c r="I2420" s="14"/>
      <c r="J2420" s="14"/>
      <c r="K2420" s="14"/>
      <c r="L2420" s="15"/>
      <c r="M2420" s="15"/>
      <c r="N2420" s="15"/>
      <c r="O2420" s="15"/>
      <c r="P2420" s="15"/>
      <c r="Q2420" s="14"/>
      <c r="R2420" s="14"/>
      <c r="S2420" s="14"/>
      <c r="T2420" s="14"/>
      <c r="U2420" s="15"/>
      <c r="V2420" s="14"/>
      <c r="W2420" s="14"/>
      <c r="X2420" s="14"/>
      <c r="Y2420" s="14"/>
      <c r="Z2420" s="14"/>
    </row>
    <row r="2421" spans="1:26" ht="13.2">
      <c r="A2421" s="13"/>
      <c r="B2421" s="14"/>
      <c r="C2421" s="14"/>
      <c r="D2421" s="14"/>
      <c r="E2421" s="14"/>
      <c r="F2421" s="14"/>
      <c r="G2421" s="14"/>
      <c r="H2421" s="14"/>
      <c r="I2421" s="14"/>
      <c r="J2421" s="14"/>
      <c r="K2421" s="14"/>
      <c r="L2421" s="15"/>
      <c r="M2421" s="15"/>
      <c r="N2421" s="15"/>
      <c r="O2421" s="15"/>
      <c r="P2421" s="15"/>
      <c r="Q2421" s="14"/>
      <c r="R2421" s="14"/>
      <c r="S2421" s="14"/>
      <c r="T2421" s="14"/>
      <c r="U2421" s="15"/>
      <c r="V2421" s="14"/>
      <c r="W2421" s="14"/>
      <c r="X2421" s="14"/>
      <c r="Y2421" s="14"/>
      <c r="Z2421" s="14"/>
    </row>
    <row r="2422" spans="1:26" ht="13.2">
      <c r="A2422" s="13"/>
      <c r="B2422" s="14"/>
      <c r="C2422" s="14"/>
      <c r="D2422" s="14"/>
      <c r="E2422" s="14"/>
      <c r="F2422" s="14"/>
      <c r="G2422" s="14"/>
      <c r="H2422" s="14"/>
      <c r="I2422" s="14"/>
      <c r="J2422" s="14"/>
      <c r="K2422" s="14"/>
      <c r="L2422" s="15"/>
      <c r="M2422" s="15"/>
      <c r="N2422" s="15"/>
      <c r="O2422" s="15"/>
      <c r="P2422" s="15"/>
      <c r="Q2422" s="14"/>
      <c r="R2422" s="14"/>
      <c r="S2422" s="14"/>
      <c r="T2422" s="14"/>
      <c r="U2422" s="15"/>
      <c r="V2422" s="14"/>
      <c r="W2422" s="14"/>
      <c r="X2422" s="14"/>
      <c r="Y2422" s="14"/>
      <c r="Z2422" s="14"/>
    </row>
    <row r="2423" spans="1:26" ht="13.2">
      <c r="A2423" s="13"/>
      <c r="B2423" s="14"/>
      <c r="C2423" s="14"/>
      <c r="D2423" s="14"/>
      <c r="E2423" s="14"/>
      <c r="F2423" s="14"/>
      <c r="G2423" s="14"/>
      <c r="H2423" s="14"/>
      <c r="I2423" s="14"/>
      <c r="J2423" s="14"/>
      <c r="K2423" s="14"/>
      <c r="L2423" s="15"/>
      <c r="M2423" s="15"/>
      <c r="N2423" s="15"/>
      <c r="O2423" s="15"/>
      <c r="P2423" s="15"/>
      <c r="Q2423" s="14"/>
      <c r="R2423" s="14"/>
      <c r="S2423" s="14"/>
      <c r="T2423" s="14"/>
      <c r="U2423" s="15"/>
      <c r="V2423" s="14"/>
      <c r="W2423" s="14"/>
      <c r="X2423" s="14"/>
      <c r="Y2423" s="14"/>
      <c r="Z2423" s="14"/>
    </row>
    <row r="2424" spans="1:26" ht="13.2">
      <c r="A2424" s="13"/>
      <c r="B2424" s="14"/>
      <c r="C2424" s="14"/>
      <c r="D2424" s="14"/>
      <c r="E2424" s="14"/>
      <c r="F2424" s="14"/>
      <c r="G2424" s="14"/>
      <c r="H2424" s="14"/>
      <c r="I2424" s="14"/>
      <c r="J2424" s="14"/>
      <c r="K2424" s="14"/>
      <c r="L2424" s="15"/>
      <c r="M2424" s="15"/>
      <c r="N2424" s="15"/>
      <c r="O2424" s="15"/>
      <c r="P2424" s="15"/>
      <c r="Q2424" s="14"/>
      <c r="R2424" s="14"/>
      <c r="S2424" s="14"/>
      <c r="T2424" s="14"/>
      <c r="U2424" s="15"/>
      <c r="V2424" s="14"/>
      <c r="W2424" s="14"/>
      <c r="X2424" s="14"/>
      <c r="Y2424" s="14"/>
      <c r="Z2424" s="14"/>
    </row>
    <row r="2425" spans="1:26" ht="13.2">
      <c r="A2425" s="13"/>
      <c r="B2425" s="14"/>
      <c r="C2425" s="14"/>
      <c r="D2425" s="14"/>
      <c r="E2425" s="14"/>
      <c r="F2425" s="14"/>
      <c r="G2425" s="14"/>
      <c r="H2425" s="14"/>
      <c r="I2425" s="14"/>
      <c r="J2425" s="14"/>
      <c r="K2425" s="14"/>
      <c r="L2425" s="15"/>
      <c r="M2425" s="15"/>
      <c r="N2425" s="15"/>
      <c r="O2425" s="15"/>
      <c r="P2425" s="15"/>
      <c r="Q2425" s="14"/>
      <c r="R2425" s="14"/>
      <c r="S2425" s="14"/>
      <c r="T2425" s="14"/>
      <c r="U2425" s="15"/>
      <c r="V2425" s="14"/>
      <c r="W2425" s="14"/>
      <c r="X2425" s="14"/>
      <c r="Y2425" s="14"/>
      <c r="Z2425" s="14"/>
    </row>
    <row r="2426" spans="1:26" ht="13.2">
      <c r="A2426" s="13"/>
      <c r="B2426" s="14"/>
      <c r="C2426" s="14"/>
      <c r="D2426" s="14"/>
      <c r="E2426" s="14"/>
      <c r="F2426" s="14"/>
      <c r="G2426" s="14"/>
      <c r="H2426" s="14"/>
      <c r="I2426" s="14"/>
      <c r="J2426" s="14"/>
      <c r="K2426" s="14"/>
      <c r="L2426" s="15"/>
      <c r="M2426" s="15"/>
      <c r="N2426" s="15"/>
      <c r="O2426" s="15"/>
      <c r="P2426" s="15"/>
      <c r="Q2426" s="14"/>
      <c r="R2426" s="14"/>
      <c r="S2426" s="14"/>
      <c r="T2426" s="14"/>
      <c r="U2426" s="15"/>
      <c r="V2426" s="14"/>
      <c r="W2426" s="14"/>
      <c r="X2426" s="14"/>
      <c r="Y2426" s="14"/>
      <c r="Z2426" s="14"/>
    </row>
    <row r="2427" spans="1:26" ht="13.2">
      <c r="A2427" s="13"/>
      <c r="B2427" s="14"/>
      <c r="C2427" s="14"/>
      <c r="D2427" s="14"/>
      <c r="E2427" s="14"/>
      <c r="F2427" s="14"/>
      <c r="G2427" s="14"/>
      <c r="H2427" s="14"/>
      <c r="I2427" s="14"/>
      <c r="J2427" s="14"/>
      <c r="K2427" s="14"/>
      <c r="L2427" s="15"/>
      <c r="M2427" s="15"/>
      <c r="N2427" s="15"/>
      <c r="O2427" s="15"/>
      <c r="P2427" s="15"/>
      <c r="Q2427" s="14"/>
      <c r="R2427" s="14"/>
      <c r="S2427" s="14"/>
      <c r="T2427" s="14"/>
      <c r="U2427" s="15"/>
      <c r="V2427" s="14"/>
      <c r="W2427" s="14"/>
      <c r="X2427" s="14"/>
      <c r="Y2427" s="14"/>
      <c r="Z2427" s="14"/>
    </row>
    <row r="2428" spans="1:26" ht="13.2">
      <c r="A2428" s="13"/>
      <c r="B2428" s="14"/>
      <c r="C2428" s="14"/>
      <c r="D2428" s="14"/>
      <c r="E2428" s="14"/>
      <c r="F2428" s="14"/>
      <c r="G2428" s="14"/>
      <c r="H2428" s="14"/>
      <c r="I2428" s="14"/>
      <c r="J2428" s="14"/>
      <c r="K2428" s="14"/>
      <c r="L2428" s="15"/>
      <c r="M2428" s="15"/>
      <c r="N2428" s="15"/>
      <c r="O2428" s="15"/>
      <c r="P2428" s="15"/>
      <c r="Q2428" s="14"/>
      <c r="R2428" s="14"/>
      <c r="S2428" s="14"/>
      <c r="T2428" s="14"/>
      <c r="U2428" s="15"/>
      <c r="V2428" s="14"/>
      <c r="W2428" s="14"/>
      <c r="X2428" s="14"/>
      <c r="Y2428" s="14"/>
      <c r="Z2428" s="14"/>
    </row>
    <row r="2429" spans="1:26" ht="13.2">
      <c r="A2429" s="13"/>
      <c r="B2429" s="14"/>
      <c r="C2429" s="14"/>
      <c r="D2429" s="14"/>
      <c r="E2429" s="14"/>
      <c r="F2429" s="14"/>
      <c r="G2429" s="14"/>
      <c r="H2429" s="14"/>
      <c r="I2429" s="14"/>
      <c r="J2429" s="14"/>
      <c r="K2429" s="14"/>
      <c r="L2429" s="15"/>
      <c r="M2429" s="15"/>
      <c r="N2429" s="15"/>
      <c r="O2429" s="15"/>
      <c r="P2429" s="15"/>
      <c r="Q2429" s="14"/>
      <c r="R2429" s="14"/>
      <c r="S2429" s="14"/>
      <c r="T2429" s="14"/>
      <c r="U2429" s="15"/>
      <c r="V2429" s="14"/>
      <c r="W2429" s="14"/>
      <c r="X2429" s="14"/>
      <c r="Y2429" s="14"/>
      <c r="Z2429" s="14"/>
    </row>
    <row r="2430" spans="1:26" ht="13.2">
      <c r="A2430" s="13"/>
      <c r="B2430" s="14"/>
      <c r="C2430" s="14"/>
      <c r="D2430" s="14"/>
      <c r="E2430" s="14"/>
      <c r="F2430" s="14"/>
      <c r="G2430" s="14"/>
      <c r="H2430" s="14"/>
      <c r="I2430" s="14"/>
      <c r="J2430" s="14"/>
      <c r="K2430" s="14"/>
      <c r="L2430" s="15"/>
      <c r="M2430" s="15"/>
      <c r="N2430" s="15"/>
      <c r="O2430" s="15"/>
      <c r="P2430" s="15"/>
      <c r="Q2430" s="14"/>
      <c r="R2430" s="14"/>
      <c r="S2430" s="14"/>
      <c r="T2430" s="14"/>
      <c r="U2430" s="15"/>
      <c r="V2430" s="14"/>
      <c r="W2430" s="14"/>
      <c r="X2430" s="14"/>
      <c r="Y2430" s="14"/>
      <c r="Z2430" s="14"/>
    </row>
    <row r="2431" spans="1:26" ht="13.2">
      <c r="A2431" s="13"/>
      <c r="B2431" s="14"/>
      <c r="C2431" s="14"/>
      <c r="D2431" s="14"/>
      <c r="E2431" s="14"/>
      <c r="F2431" s="14"/>
      <c r="G2431" s="14"/>
      <c r="H2431" s="14"/>
      <c r="I2431" s="14"/>
      <c r="J2431" s="14"/>
      <c r="K2431" s="14"/>
      <c r="L2431" s="15"/>
      <c r="M2431" s="15"/>
      <c r="N2431" s="15"/>
      <c r="O2431" s="15"/>
      <c r="P2431" s="15"/>
      <c r="Q2431" s="14"/>
      <c r="R2431" s="14"/>
      <c r="S2431" s="14"/>
      <c r="T2431" s="14"/>
      <c r="U2431" s="15"/>
      <c r="V2431" s="14"/>
      <c r="W2431" s="14"/>
      <c r="X2431" s="14"/>
      <c r="Y2431" s="14"/>
      <c r="Z2431" s="14"/>
    </row>
    <row r="2432" spans="1:26" ht="13.2">
      <c r="A2432" s="13"/>
      <c r="B2432" s="14"/>
      <c r="C2432" s="14"/>
      <c r="D2432" s="14"/>
      <c r="E2432" s="14"/>
      <c r="F2432" s="14"/>
      <c r="G2432" s="14"/>
      <c r="H2432" s="14"/>
      <c r="I2432" s="14"/>
      <c r="J2432" s="14"/>
      <c r="K2432" s="14"/>
      <c r="L2432" s="15"/>
      <c r="M2432" s="15"/>
      <c r="N2432" s="15"/>
      <c r="O2432" s="15"/>
      <c r="P2432" s="15"/>
      <c r="Q2432" s="14"/>
      <c r="R2432" s="14"/>
      <c r="S2432" s="14"/>
      <c r="T2432" s="14"/>
      <c r="U2432" s="15"/>
      <c r="V2432" s="14"/>
      <c r="W2432" s="14"/>
      <c r="X2432" s="14"/>
      <c r="Y2432" s="14"/>
      <c r="Z2432" s="14"/>
    </row>
    <row r="2433" spans="1:26" ht="13.2">
      <c r="A2433" s="13"/>
      <c r="B2433" s="14"/>
      <c r="C2433" s="14"/>
      <c r="D2433" s="14"/>
      <c r="E2433" s="14"/>
      <c r="F2433" s="14"/>
      <c r="G2433" s="14"/>
      <c r="H2433" s="14"/>
      <c r="I2433" s="14"/>
      <c r="J2433" s="14"/>
      <c r="K2433" s="14"/>
      <c r="L2433" s="15"/>
      <c r="M2433" s="15"/>
      <c r="N2433" s="15"/>
      <c r="O2433" s="15"/>
      <c r="P2433" s="15"/>
      <c r="Q2433" s="14"/>
      <c r="R2433" s="14"/>
      <c r="S2433" s="14"/>
      <c r="T2433" s="14"/>
      <c r="U2433" s="15"/>
      <c r="V2433" s="14"/>
      <c r="W2433" s="14"/>
      <c r="X2433" s="14"/>
      <c r="Y2433" s="14"/>
      <c r="Z2433" s="14"/>
    </row>
    <row r="2434" spans="1:26" ht="13.2">
      <c r="A2434" s="13"/>
      <c r="B2434" s="14"/>
      <c r="C2434" s="14"/>
      <c r="D2434" s="14"/>
      <c r="E2434" s="14"/>
      <c r="F2434" s="14"/>
      <c r="G2434" s="14"/>
      <c r="H2434" s="14"/>
      <c r="I2434" s="14"/>
      <c r="J2434" s="14"/>
      <c r="K2434" s="14"/>
      <c r="L2434" s="15"/>
      <c r="M2434" s="15"/>
      <c r="N2434" s="15"/>
      <c r="O2434" s="15"/>
      <c r="P2434" s="15"/>
      <c r="Q2434" s="14"/>
      <c r="R2434" s="14"/>
      <c r="S2434" s="14"/>
      <c r="T2434" s="14"/>
      <c r="U2434" s="15"/>
      <c r="V2434" s="14"/>
      <c r="W2434" s="14"/>
      <c r="X2434" s="14"/>
      <c r="Y2434" s="14"/>
      <c r="Z2434" s="14"/>
    </row>
    <row r="2435" spans="1:26" ht="13.2">
      <c r="A2435" s="13"/>
      <c r="B2435" s="14"/>
      <c r="C2435" s="14"/>
      <c r="D2435" s="14"/>
      <c r="E2435" s="14"/>
      <c r="F2435" s="14"/>
      <c r="G2435" s="14"/>
      <c r="H2435" s="14"/>
      <c r="I2435" s="14"/>
      <c r="J2435" s="14"/>
      <c r="K2435" s="14"/>
      <c r="L2435" s="15"/>
      <c r="M2435" s="15"/>
      <c r="N2435" s="15"/>
      <c r="O2435" s="15"/>
      <c r="P2435" s="15"/>
      <c r="Q2435" s="14"/>
      <c r="R2435" s="14"/>
      <c r="S2435" s="14"/>
      <c r="T2435" s="14"/>
      <c r="U2435" s="15"/>
      <c r="V2435" s="14"/>
      <c r="W2435" s="14"/>
      <c r="X2435" s="14"/>
      <c r="Y2435" s="14"/>
      <c r="Z2435" s="14"/>
    </row>
    <row r="2436" spans="1:26" ht="13.2">
      <c r="A2436" s="13"/>
      <c r="B2436" s="14"/>
      <c r="C2436" s="14"/>
      <c r="D2436" s="14"/>
      <c r="E2436" s="14"/>
      <c r="F2436" s="14"/>
      <c r="G2436" s="14"/>
      <c r="H2436" s="14"/>
      <c r="I2436" s="14"/>
      <c r="J2436" s="14"/>
      <c r="K2436" s="14"/>
      <c r="L2436" s="15"/>
      <c r="M2436" s="15"/>
      <c r="N2436" s="15"/>
      <c r="O2436" s="15"/>
      <c r="P2436" s="15"/>
      <c r="Q2436" s="14"/>
      <c r="R2436" s="14"/>
      <c r="S2436" s="14"/>
      <c r="T2436" s="14"/>
      <c r="U2436" s="15"/>
      <c r="V2436" s="14"/>
      <c r="W2436" s="14"/>
      <c r="X2436" s="14"/>
      <c r="Y2436" s="14"/>
      <c r="Z2436" s="14"/>
    </row>
    <row r="2437" spans="1:26" ht="13.2">
      <c r="A2437" s="13"/>
      <c r="B2437" s="14"/>
      <c r="C2437" s="14"/>
      <c r="D2437" s="14"/>
      <c r="E2437" s="14"/>
      <c r="F2437" s="14"/>
      <c r="G2437" s="14"/>
      <c r="H2437" s="14"/>
      <c r="I2437" s="14"/>
      <c r="J2437" s="14"/>
      <c r="K2437" s="14"/>
      <c r="L2437" s="15"/>
      <c r="M2437" s="15"/>
      <c r="N2437" s="15"/>
      <c r="O2437" s="15"/>
      <c r="P2437" s="15"/>
      <c r="Q2437" s="14"/>
      <c r="R2437" s="14"/>
      <c r="S2437" s="14"/>
      <c r="T2437" s="14"/>
      <c r="U2437" s="15"/>
      <c r="V2437" s="14"/>
      <c r="W2437" s="14"/>
      <c r="X2437" s="14"/>
      <c r="Y2437" s="14"/>
      <c r="Z2437" s="14"/>
    </row>
    <row r="2438" spans="1:26" ht="13.2">
      <c r="A2438" s="13"/>
      <c r="B2438" s="14"/>
      <c r="C2438" s="14"/>
      <c r="D2438" s="14"/>
      <c r="E2438" s="14"/>
      <c r="F2438" s="14"/>
      <c r="G2438" s="14"/>
      <c r="H2438" s="14"/>
      <c r="I2438" s="14"/>
      <c r="J2438" s="14"/>
      <c r="K2438" s="14"/>
      <c r="L2438" s="15"/>
      <c r="M2438" s="15"/>
      <c r="N2438" s="15"/>
      <c r="O2438" s="15"/>
      <c r="P2438" s="15"/>
      <c r="Q2438" s="14"/>
      <c r="R2438" s="14"/>
      <c r="S2438" s="14"/>
      <c r="T2438" s="14"/>
      <c r="U2438" s="15"/>
      <c r="V2438" s="14"/>
      <c r="W2438" s="14"/>
      <c r="X2438" s="14"/>
      <c r="Y2438" s="14"/>
      <c r="Z2438" s="14"/>
    </row>
    <row r="2439" spans="1:26" ht="13.2">
      <c r="A2439" s="13"/>
      <c r="B2439" s="14"/>
      <c r="C2439" s="14"/>
      <c r="D2439" s="14"/>
      <c r="E2439" s="14"/>
      <c r="F2439" s="14"/>
      <c r="G2439" s="14"/>
      <c r="H2439" s="14"/>
      <c r="I2439" s="14"/>
      <c r="J2439" s="14"/>
      <c r="K2439" s="14"/>
      <c r="L2439" s="15"/>
      <c r="M2439" s="15"/>
      <c r="N2439" s="15"/>
      <c r="O2439" s="15"/>
      <c r="P2439" s="15"/>
      <c r="Q2439" s="14"/>
      <c r="R2439" s="14"/>
      <c r="S2439" s="14"/>
      <c r="T2439" s="14"/>
      <c r="U2439" s="15"/>
      <c r="V2439" s="14"/>
      <c r="W2439" s="14"/>
      <c r="X2439" s="14"/>
      <c r="Y2439" s="14"/>
      <c r="Z2439" s="14"/>
    </row>
    <row r="2440" spans="1:26" ht="13.2">
      <c r="A2440" s="13"/>
      <c r="B2440" s="14"/>
      <c r="C2440" s="14"/>
      <c r="D2440" s="14"/>
      <c r="E2440" s="14"/>
      <c r="F2440" s="14"/>
      <c r="G2440" s="14"/>
      <c r="H2440" s="14"/>
      <c r="I2440" s="14"/>
      <c r="J2440" s="14"/>
      <c r="K2440" s="14"/>
      <c r="L2440" s="15"/>
      <c r="M2440" s="15"/>
      <c r="N2440" s="15"/>
      <c r="O2440" s="15"/>
      <c r="P2440" s="15"/>
      <c r="Q2440" s="14"/>
      <c r="R2440" s="14"/>
      <c r="S2440" s="14"/>
      <c r="T2440" s="14"/>
      <c r="U2440" s="15"/>
      <c r="V2440" s="14"/>
      <c r="W2440" s="14"/>
      <c r="X2440" s="14"/>
      <c r="Y2440" s="14"/>
      <c r="Z2440" s="14"/>
    </row>
    <row r="2441" spans="1:26" ht="13.2">
      <c r="A2441" s="13"/>
      <c r="B2441" s="14"/>
      <c r="C2441" s="14"/>
      <c r="D2441" s="14"/>
      <c r="E2441" s="14"/>
      <c r="F2441" s="14"/>
      <c r="G2441" s="14"/>
      <c r="H2441" s="14"/>
      <c r="I2441" s="14"/>
      <c r="J2441" s="14"/>
      <c r="K2441" s="14"/>
      <c r="L2441" s="15"/>
      <c r="M2441" s="15"/>
      <c r="N2441" s="15"/>
      <c r="O2441" s="15"/>
      <c r="P2441" s="15"/>
      <c r="Q2441" s="14"/>
      <c r="R2441" s="14"/>
      <c r="S2441" s="14"/>
      <c r="T2441" s="14"/>
      <c r="U2441" s="15"/>
      <c r="V2441" s="14"/>
      <c r="W2441" s="14"/>
      <c r="X2441" s="14"/>
      <c r="Y2441" s="14"/>
      <c r="Z2441" s="14"/>
    </row>
    <row r="2442" spans="1:26" ht="13.2">
      <c r="A2442" s="13"/>
      <c r="B2442" s="14"/>
      <c r="C2442" s="14"/>
      <c r="D2442" s="14"/>
      <c r="E2442" s="14"/>
      <c r="F2442" s="14"/>
      <c r="G2442" s="14"/>
      <c r="H2442" s="14"/>
      <c r="I2442" s="14"/>
      <c r="J2442" s="14"/>
      <c r="K2442" s="14"/>
      <c r="L2442" s="15"/>
      <c r="M2442" s="15"/>
      <c r="N2442" s="15"/>
      <c r="O2442" s="15"/>
      <c r="P2442" s="15"/>
      <c r="Q2442" s="14"/>
      <c r="R2442" s="14"/>
      <c r="S2442" s="14"/>
      <c r="T2442" s="14"/>
      <c r="U2442" s="15"/>
      <c r="V2442" s="14"/>
      <c r="W2442" s="14"/>
      <c r="X2442" s="14"/>
      <c r="Y2442" s="14"/>
      <c r="Z2442" s="14"/>
    </row>
    <row r="2443" spans="1:26" ht="13.2">
      <c r="A2443" s="13"/>
      <c r="B2443" s="14"/>
      <c r="C2443" s="14"/>
      <c r="D2443" s="14"/>
      <c r="E2443" s="14"/>
      <c r="F2443" s="14"/>
      <c r="G2443" s="14"/>
      <c r="H2443" s="14"/>
      <c r="I2443" s="14"/>
      <c r="J2443" s="14"/>
      <c r="K2443" s="14"/>
      <c r="L2443" s="15"/>
      <c r="M2443" s="15"/>
      <c r="N2443" s="15"/>
      <c r="O2443" s="15"/>
      <c r="P2443" s="15"/>
      <c r="Q2443" s="14"/>
      <c r="R2443" s="14"/>
      <c r="S2443" s="14"/>
      <c r="T2443" s="14"/>
      <c r="U2443" s="15"/>
      <c r="V2443" s="14"/>
      <c r="W2443" s="14"/>
      <c r="X2443" s="14"/>
      <c r="Y2443" s="14"/>
      <c r="Z2443" s="14"/>
    </row>
    <row r="2444" spans="1:26" ht="13.2">
      <c r="A2444" s="13"/>
      <c r="B2444" s="14"/>
      <c r="C2444" s="14"/>
      <c r="D2444" s="14"/>
      <c r="E2444" s="14"/>
      <c r="F2444" s="14"/>
      <c r="G2444" s="14"/>
      <c r="H2444" s="14"/>
      <c r="I2444" s="14"/>
      <c r="J2444" s="14"/>
      <c r="K2444" s="14"/>
      <c r="L2444" s="15"/>
      <c r="M2444" s="15"/>
      <c r="N2444" s="15"/>
      <c r="O2444" s="15"/>
      <c r="P2444" s="15"/>
      <c r="Q2444" s="14"/>
      <c r="R2444" s="14"/>
      <c r="S2444" s="14"/>
      <c r="T2444" s="14"/>
      <c r="U2444" s="15"/>
      <c r="V2444" s="14"/>
      <c r="W2444" s="14"/>
      <c r="X2444" s="14"/>
      <c r="Y2444" s="14"/>
      <c r="Z2444" s="14"/>
    </row>
    <row r="2445" spans="1:26" ht="13.2">
      <c r="A2445" s="13"/>
      <c r="B2445" s="14"/>
      <c r="C2445" s="14"/>
      <c r="D2445" s="14"/>
      <c r="E2445" s="14"/>
      <c r="F2445" s="14"/>
      <c r="G2445" s="14"/>
      <c r="H2445" s="14"/>
      <c r="I2445" s="14"/>
      <c r="J2445" s="14"/>
      <c r="K2445" s="14"/>
      <c r="L2445" s="15"/>
      <c r="M2445" s="15"/>
      <c r="N2445" s="15"/>
      <c r="O2445" s="15"/>
      <c r="P2445" s="15"/>
      <c r="Q2445" s="14"/>
      <c r="R2445" s="14"/>
      <c r="S2445" s="14"/>
      <c r="T2445" s="14"/>
      <c r="U2445" s="15"/>
      <c r="V2445" s="14"/>
      <c r="W2445" s="14"/>
      <c r="X2445" s="14"/>
      <c r="Y2445" s="14"/>
      <c r="Z2445" s="14"/>
    </row>
    <row r="2446" spans="1:26" ht="13.2">
      <c r="A2446" s="13"/>
      <c r="B2446" s="14"/>
      <c r="C2446" s="14"/>
      <c r="D2446" s="14"/>
      <c r="E2446" s="14"/>
      <c r="F2446" s="14"/>
      <c r="G2446" s="14"/>
      <c r="H2446" s="14"/>
      <c r="I2446" s="14"/>
      <c r="J2446" s="14"/>
      <c r="K2446" s="14"/>
      <c r="L2446" s="15"/>
      <c r="M2446" s="15"/>
      <c r="N2446" s="15"/>
      <c r="O2446" s="15"/>
      <c r="P2446" s="15"/>
      <c r="Q2446" s="14"/>
      <c r="R2446" s="14"/>
      <c r="S2446" s="14"/>
      <c r="T2446" s="14"/>
      <c r="U2446" s="15"/>
      <c r="V2446" s="14"/>
      <c r="W2446" s="14"/>
      <c r="X2446" s="14"/>
      <c r="Y2446" s="14"/>
      <c r="Z2446" s="14"/>
    </row>
    <row r="2447" spans="1:26" ht="13.2">
      <c r="A2447" s="13"/>
      <c r="B2447" s="14"/>
      <c r="C2447" s="14"/>
      <c r="D2447" s="14"/>
      <c r="E2447" s="14"/>
      <c r="F2447" s="14"/>
      <c r="G2447" s="14"/>
      <c r="H2447" s="14"/>
      <c r="I2447" s="14"/>
      <c r="J2447" s="14"/>
      <c r="K2447" s="14"/>
      <c r="L2447" s="15"/>
      <c r="M2447" s="15"/>
      <c r="N2447" s="15"/>
      <c r="O2447" s="15"/>
      <c r="P2447" s="15"/>
      <c r="Q2447" s="14"/>
      <c r="R2447" s="14"/>
      <c r="S2447" s="14"/>
      <c r="T2447" s="14"/>
      <c r="U2447" s="15"/>
      <c r="V2447" s="14"/>
      <c r="W2447" s="14"/>
      <c r="X2447" s="14"/>
      <c r="Y2447" s="14"/>
      <c r="Z2447" s="14"/>
    </row>
    <row r="2448" spans="1:26" ht="13.2">
      <c r="A2448" s="13"/>
      <c r="B2448" s="14"/>
      <c r="C2448" s="14"/>
      <c r="D2448" s="14"/>
      <c r="E2448" s="14"/>
      <c r="F2448" s="14"/>
      <c r="G2448" s="14"/>
      <c r="H2448" s="14"/>
      <c r="I2448" s="14"/>
      <c r="J2448" s="14"/>
      <c r="K2448" s="14"/>
      <c r="L2448" s="15"/>
      <c r="M2448" s="15"/>
      <c r="N2448" s="15"/>
      <c r="O2448" s="15"/>
      <c r="P2448" s="15"/>
      <c r="Q2448" s="14"/>
      <c r="R2448" s="14"/>
      <c r="S2448" s="14"/>
      <c r="T2448" s="14"/>
      <c r="U2448" s="15"/>
      <c r="V2448" s="14"/>
      <c r="W2448" s="14"/>
      <c r="X2448" s="14"/>
      <c r="Y2448" s="14"/>
      <c r="Z2448" s="14"/>
    </row>
    <row r="2449" spans="1:26" ht="13.2">
      <c r="A2449" s="13"/>
      <c r="B2449" s="14"/>
      <c r="C2449" s="14"/>
      <c r="D2449" s="14"/>
      <c r="E2449" s="14"/>
      <c r="F2449" s="14"/>
      <c r="G2449" s="14"/>
      <c r="H2449" s="14"/>
      <c r="I2449" s="14"/>
      <c r="J2449" s="14"/>
      <c r="K2449" s="14"/>
      <c r="L2449" s="15"/>
      <c r="M2449" s="15"/>
      <c r="N2449" s="15"/>
      <c r="O2449" s="15"/>
      <c r="P2449" s="15"/>
      <c r="Q2449" s="14"/>
      <c r="R2449" s="14"/>
      <c r="S2449" s="14"/>
      <c r="T2449" s="14"/>
      <c r="U2449" s="15"/>
      <c r="V2449" s="14"/>
      <c r="W2449" s="14"/>
      <c r="X2449" s="14"/>
      <c r="Y2449" s="14"/>
      <c r="Z2449" s="14"/>
    </row>
    <row r="2450" spans="1:26" ht="13.2">
      <c r="A2450" s="13"/>
      <c r="B2450" s="14"/>
      <c r="C2450" s="14"/>
      <c r="D2450" s="14"/>
      <c r="E2450" s="14"/>
      <c r="F2450" s="14"/>
      <c r="G2450" s="14"/>
      <c r="H2450" s="14"/>
      <c r="I2450" s="14"/>
      <c r="J2450" s="14"/>
      <c r="K2450" s="14"/>
      <c r="L2450" s="15"/>
      <c r="M2450" s="15"/>
      <c r="N2450" s="15"/>
      <c r="O2450" s="15"/>
      <c r="P2450" s="15"/>
      <c r="Q2450" s="14"/>
      <c r="R2450" s="14"/>
      <c r="S2450" s="14"/>
      <c r="T2450" s="14"/>
      <c r="U2450" s="15"/>
      <c r="V2450" s="14"/>
      <c r="W2450" s="14"/>
      <c r="X2450" s="14"/>
      <c r="Y2450" s="14"/>
      <c r="Z2450" s="14"/>
    </row>
    <row r="2451" spans="1:26" ht="13.2">
      <c r="A2451" s="13"/>
      <c r="B2451" s="14"/>
      <c r="C2451" s="14"/>
      <c r="D2451" s="14"/>
      <c r="E2451" s="14"/>
      <c r="F2451" s="14"/>
      <c r="G2451" s="14"/>
      <c r="H2451" s="14"/>
      <c r="I2451" s="14"/>
      <c r="J2451" s="14"/>
      <c r="K2451" s="14"/>
      <c r="L2451" s="15"/>
      <c r="M2451" s="15"/>
      <c r="N2451" s="15"/>
      <c r="O2451" s="15"/>
      <c r="P2451" s="15"/>
      <c r="Q2451" s="14"/>
      <c r="R2451" s="14"/>
      <c r="S2451" s="14"/>
      <c r="T2451" s="14"/>
      <c r="U2451" s="15"/>
      <c r="V2451" s="14"/>
      <c r="W2451" s="14"/>
      <c r="X2451" s="14"/>
      <c r="Y2451" s="14"/>
      <c r="Z2451" s="14"/>
    </row>
    <row r="2452" spans="1:26" ht="13.2">
      <c r="A2452" s="13"/>
      <c r="B2452" s="14"/>
      <c r="C2452" s="14"/>
      <c r="D2452" s="14"/>
      <c r="E2452" s="14"/>
      <c r="F2452" s="14"/>
      <c r="G2452" s="14"/>
      <c r="H2452" s="14"/>
      <c r="I2452" s="14"/>
      <c r="J2452" s="14"/>
      <c r="K2452" s="14"/>
      <c r="L2452" s="15"/>
      <c r="M2452" s="15"/>
      <c r="N2452" s="15"/>
      <c r="O2452" s="15"/>
      <c r="P2452" s="15"/>
      <c r="Q2452" s="14"/>
      <c r="R2452" s="14"/>
      <c r="S2452" s="14"/>
      <c r="T2452" s="14"/>
      <c r="U2452" s="15"/>
      <c r="V2452" s="14"/>
      <c r="W2452" s="14"/>
      <c r="X2452" s="14"/>
      <c r="Y2452" s="14"/>
      <c r="Z2452" s="14"/>
    </row>
    <row r="2453" spans="1:26" ht="13.2">
      <c r="A2453" s="13"/>
      <c r="B2453" s="14"/>
      <c r="C2453" s="14"/>
      <c r="D2453" s="14"/>
      <c r="E2453" s="14"/>
      <c r="F2453" s="14"/>
      <c r="G2453" s="14"/>
      <c r="H2453" s="14"/>
      <c r="I2453" s="14"/>
      <c r="J2453" s="14"/>
      <c r="K2453" s="14"/>
      <c r="L2453" s="15"/>
      <c r="M2453" s="15"/>
      <c r="N2453" s="15"/>
      <c r="O2453" s="15"/>
      <c r="P2453" s="15"/>
      <c r="Q2453" s="14"/>
      <c r="R2453" s="14"/>
      <c r="S2453" s="14"/>
      <c r="T2453" s="14"/>
      <c r="U2453" s="15"/>
      <c r="V2453" s="14"/>
      <c r="W2453" s="14"/>
      <c r="X2453" s="14"/>
      <c r="Y2453" s="14"/>
      <c r="Z2453" s="14"/>
    </row>
    <row r="2454" spans="1:26" ht="13.2">
      <c r="A2454" s="13"/>
      <c r="B2454" s="14"/>
      <c r="C2454" s="14"/>
      <c r="D2454" s="14"/>
      <c r="E2454" s="14"/>
      <c r="F2454" s="14"/>
      <c r="G2454" s="14"/>
      <c r="H2454" s="14"/>
      <c r="I2454" s="14"/>
      <c r="J2454" s="14"/>
      <c r="K2454" s="14"/>
      <c r="L2454" s="15"/>
      <c r="M2454" s="15"/>
      <c r="N2454" s="15"/>
      <c r="O2454" s="15"/>
      <c r="P2454" s="15"/>
      <c r="Q2454" s="14"/>
      <c r="R2454" s="14"/>
      <c r="S2454" s="14"/>
      <c r="T2454" s="14"/>
      <c r="U2454" s="15"/>
      <c r="V2454" s="14"/>
      <c r="W2454" s="14"/>
      <c r="X2454" s="14"/>
      <c r="Y2454" s="14"/>
      <c r="Z2454" s="14"/>
    </row>
    <row r="2455" spans="1:26" ht="13.2">
      <c r="A2455" s="13"/>
      <c r="B2455" s="14"/>
      <c r="C2455" s="14"/>
      <c r="D2455" s="14"/>
      <c r="E2455" s="14"/>
      <c r="F2455" s="14"/>
      <c r="G2455" s="14"/>
      <c r="H2455" s="14"/>
      <c r="I2455" s="14"/>
      <c r="J2455" s="14"/>
      <c r="K2455" s="14"/>
      <c r="L2455" s="15"/>
      <c r="M2455" s="15"/>
      <c r="N2455" s="15"/>
      <c r="O2455" s="15"/>
      <c r="P2455" s="15"/>
      <c r="Q2455" s="14"/>
      <c r="R2455" s="14"/>
      <c r="S2455" s="14"/>
      <c r="T2455" s="14"/>
      <c r="U2455" s="15"/>
      <c r="V2455" s="14"/>
      <c r="W2455" s="14"/>
      <c r="X2455" s="14"/>
      <c r="Y2455" s="14"/>
      <c r="Z2455" s="14"/>
    </row>
    <row r="2456" spans="1:26" ht="13.2">
      <c r="A2456" s="13"/>
      <c r="B2456" s="14"/>
      <c r="C2456" s="14"/>
      <c r="D2456" s="14"/>
      <c r="E2456" s="14"/>
      <c r="F2456" s="14"/>
      <c r="G2456" s="14"/>
      <c r="H2456" s="14"/>
      <c r="I2456" s="14"/>
      <c r="J2456" s="14"/>
      <c r="K2456" s="14"/>
      <c r="L2456" s="15"/>
      <c r="M2456" s="15"/>
      <c r="N2456" s="15"/>
      <c r="O2456" s="15"/>
      <c r="P2456" s="15"/>
      <c r="Q2456" s="14"/>
      <c r="R2456" s="14"/>
      <c r="S2456" s="14"/>
      <c r="T2456" s="14"/>
      <c r="U2456" s="15"/>
      <c r="V2456" s="14"/>
      <c r="W2456" s="14"/>
      <c r="X2456" s="14"/>
      <c r="Y2456" s="14"/>
      <c r="Z2456" s="14"/>
    </row>
    <row r="2457" spans="1:26" ht="13.2">
      <c r="A2457" s="13"/>
      <c r="B2457" s="14"/>
      <c r="C2457" s="14"/>
      <c r="D2457" s="14"/>
      <c r="E2457" s="14"/>
      <c r="F2457" s="14"/>
      <c r="G2457" s="14"/>
      <c r="H2457" s="14"/>
      <c r="I2457" s="14"/>
      <c r="J2457" s="14"/>
      <c r="K2457" s="14"/>
      <c r="L2457" s="15"/>
      <c r="M2457" s="15"/>
      <c r="N2457" s="15"/>
      <c r="O2457" s="15"/>
      <c r="P2457" s="15"/>
      <c r="Q2457" s="14"/>
      <c r="R2457" s="14"/>
      <c r="S2457" s="14"/>
      <c r="T2457" s="14"/>
      <c r="U2457" s="15"/>
      <c r="V2457" s="14"/>
      <c r="W2457" s="14"/>
      <c r="X2457" s="14"/>
      <c r="Y2457" s="14"/>
      <c r="Z2457" s="14"/>
    </row>
    <row r="2458" spans="1:26" ht="13.2">
      <c r="A2458" s="13"/>
      <c r="B2458" s="14"/>
      <c r="C2458" s="14"/>
      <c r="D2458" s="14"/>
      <c r="E2458" s="14"/>
      <c r="F2458" s="14"/>
      <c r="G2458" s="14"/>
      <c r="H2458" s="14"/>
      <c r="I2458" s="14"/>
      <c r="J2458" s="14"/>
      <c r="K2458" s="14"/>
      <c r="L2458" s="15"/>
      <c r="M2458" s="15"/>
      <c r="N2458" s="15"/>
      <c r="O2458" s="15"/>
      <c r="P2458" s="15"/>
      <c r="Q2458" s="14"/>
      <c r="R2458" s="14"/>
      <c r="S2458" s="14"/>
      <c r="T2458" s="14"/>
      <c r="U2458" s="15"/>
      <c r="V2458" s="14"/>
      <c r="W2458" s="14"/>
      <c r="X2458" s="14"/>
      <c r="Y2458" s="14"/>
      <c r="Z2458" s="14"/>
    </row>
    <row r="2459" spans="1:26" ht="13.2">
      <c r="A2459" s="13"/>
      <c r="B2459" s="14"/>
      <c r="C2459" s="14"/>
      <c r="D2459" s="14"/>
      <c r="E2459" s="14"/>
      <c r="F2459" s="14"/>
      <c r="G2459" s="14"/>
      <c r="H2459" s="14"/>
      <c r="I2459" s="14"/>
      <c r="J2459" s="14"/>
      <c r="K2459" s="14"/>
      <c r="L2459" s="15"/>
      <c r="M2459" s="15"/>
      <c r="N2459" s="15"/>
      <c r="O2459" s="15"/>
      <c r="P2459" s="15"/>
      <c r="Q2459" s="14"/>
      <c r="R2459" s="14"/>
      <c r="S2459" s="14"/>
      <c r="T2459" s="14"/>
      <c r="U2459" s="15"/>
      <c r="V2459" s="14"/>
      <c r="W2459" s="14"/>
      <c r="X2459" s="14"/>
      <c r="Y2459" s="14"/>
      <c r="Z2459" s="14"/>
    </row>
    <row r="2460" spans="1:26" ht="13.2">
      <c r="A2460" s="13"/>
      <c r="B2460" s="14"/>
      <c r="C2460" s="14"/>
      <c r="D2460" s="14"/>
      <c r="E2460" s="14"/>
      <c r="F2460" s="14"/>
      <c r="G2460" s="14"/>
      <c r="H2460" s="14"/>
      <c r="I2460" s="14"/>
      <c r="J2460" s="14"/>
      <c r="K2460" s="14"/>
      <c r="L2460" s="15"/>
      <c r="M2460" s="15"/>
      <c r="N2460" s="15"/>
      <c r="O2460" s="15"/>
      <c r="P2460" s="15"/>
      <c r="Q2460" s="14"/>
      <c r="R2460" s="14"/>
      <c r="S2460" s="14"/>
      <c r="T2460" s="14"/>
      <c r="U2460" s="15"/>
      <c r="V2460" s="14"/>
      <c r="W2460" s="14"/>
      <c r="X2460" s="14"/>
      <c r="Y2460" s="14"/>
      <c r="Z2460" s="14"/>
    </row>
    <row r="2461" spans="1:26" ht="13.2">
      <c r="A2461" s="13"/>
      <c r="B2461" s="14"/>
      <c r="C2461" s="14"/>
      <c r="D2461" s="14"/>
      <c r="E2461" s="14"/>
      <c r="F2461" s="14"/>
      <c r="G2461" s="14"/>
      <c r="H2461" s="14"/>
      <c r="I2461" s="14"/>
      <c r="J2461" s="14"/>
      <c r="K2461" s="14"/>
      <c r="L2461" s="15"/>
      <c r="M2461" s="15"/>
      <c r="N2461" s="15"/>
      <c r="O2461" s="15"/>
      <c r="P2461" s="15"/>
      <c r="Q2461" s="14"/>
      <c r="R2461" s="14"/>
      <c r="S2461" s="14"/>
      <c r="T2461" s="14"/>
      <c r="U2461" s="15"/>
      <c r="V2461" s="14"/>
      <c r="W2461" s="14"/>
      <c r="X2461" s="14"/>
      <c r="Y2461" s="14"/>
      <c r="Z2461" s="14"/>
    </row>
    <row r="2462" spans="1:26" ht="13.2">
      <c r="A2462" s="13"/>
      <c r="B2462" s="14"/>
      <c r="C2462" s="14"/>
      <c r="D2462" s="14"/>
      <c r="E2462" s="14"/>
      <c r="F2462" s="14"/>
      <c r="G2462" s="14"/>
      <c r="H2462" s="14"/>
      <c r="I2462" s="14"/>
      <c r="J2462" s="14"/>
      <c r="K2462" s="14"/>
      <c r="L2462" s="15"/>
      <c r="M2462" s="15"/>
      <c r="N2462" s="15"/>
      <c r="O2462" s="15"/>
      <c r="P2462" s="15"/>
      <c r="Q2462" s="14"/>
      <c r="R2462" s="14"/>
      <c r="S2462" s="14"/>
      <c r="T2462" s="14"/>
      <c r="U2462" s="15"/>
      <c r="V2462" s="14"/>
      <c r="W2462" s="14"/>
      <c r="X2462" s="14"/>
      <c r="Y2462" s="14"/>
      <c r="Z2462" s="14"/>
    </row>
    <row r="2463" spans="1:26" ht="13.2">
      <c r="A2463" s="13"/>
      <c r="B2463" s="14"/>
      <c r="C2463" s="14"/>
      <c r="D2463" s="14"/>
      <c r="E2463" s="14"/>
      <c r="F2463" s="14"/>
      <c r="G2463" s="14"/>
      <c r="H2463" s="14"/>
      <c r="I2463" s="14"/>
      <c r="J2463" s="14"/>
      <c r="K2463" s="14"/>
      <c r="L2463" s="15"/>
      <c r="M2463" s="15"/>
      <c r="N2463" s="15"/>
      <c r="O2463" s="15"/>
      <c r="P2463" s="15"/>
      <c r="Q2463" s="14"/>
      <c r="R2463" s="14"/>
      <c r="S2463" s="14"/>
      <c r="T2463" s="14"/>
      <c r="U2463" s="15"/>
      <c r="V2463" s="14"/>
      <c r="W2463" s="14"/>
      <c r="X2463" s="14"/>
      <c r="Y2463" s="14"/>
      <c r="Z2463" s="14"/>
    </row>
    <row r="2464" spans="1:26" ht="13.2">
      <c r="A2464" s="13"/>
      <c r="B2464" s="14"/>
      <c r="C2464" s="14"/>
      <c r="D2464" s="14"/>
      <c r="E2464" s="14"/>
      <c r="F2464" s="14"/>
      <c r="G2464" s="14"/>
      <c r="H2464" s="14"/>
      <c r="I2464" s="14"/>
      <c r="J2464" s="14"/>
      <c r="K2464" s="14"/>
      <c r="L2464" s="15"/>
      <c r="M2464" s="15"/>
      <c r="N2464" s="15"/>
      <c r="O2464" s="15"/>
      <c r="P2464" s="15"/>
      <c r="Q2464" s="14"/>
      <c r="R2464" s="14"/>
      <c r="S2464" s="14"/>
      <c r="T2464" s="14"/>
      <c r="U2464" s="15"/>
      <c r="V2464" s="14"/>
      <c r="W2464" s="14"/>
      <c r="X2464" s="14"/>
      <c r="Y2464" s="14"/>
      <c r="Z2464" s="14"/>
    </row>
    <row r="2465" spans="1:26" ht="13.2">
      <c r="A2465" s="13"/>
      <c r="B2465" s="14"/>
      <c r="C2465" s="14"/>
      <c r="D2465" s="14"/>
      <c r="E2465" s="14"/>
      <c r="F2465" s="14"/>
      <c r="G2465" s="14"/>
      <c r="H2465" s="14"/>
      <c r="I2465" s="14"/>
      <c r="J2465" s="14"/>
      <c r="K2465" s="14"/>
      <c r="L2465" s="15"/>
      <c r="M2465" s="15"/>
      <c r="N2465" s="15"/>
      <c r="O2465" s="15"/>
      <c r="P2465" s="15"/>
      <c r="Q2465" s="14"/>
      <c r="R2465" s="14"/>
      <c r="S2465" s="14"/>
      <c r="T2465" s="14"/>
      <c r="U2465" s="15"/>
      <c r="V2465" s="14"/>
      <c r="W2465" s="14"/>
      <c r="X2465" s="14"/>
      <c r="Y2465" s="14"/>
      <c r="Z2465" s="14"/>
    </row>
    <row r="2466" spans="1:26" ht="13.2">
      <c r="A2466" s="13"/>
      <c r="B2466" s="14"/>
      <c r="C2466" s="14"/>
      <c r="D2466" s="14"/>
      <c r="E2466" s="14"/>
      <c r="F2466" s="14"/>
      <c r="G2466" s="14"/>
      <c r="H2466" s="14"/>
      <c r="I2466" s="14"/>
      <c r="J2466" s="14"/>
      <c r="K2466" s="14"/>
      <c r="L2466" s="15"/>
      <c r="M2466" s="15"/>
      <c r="N2466" s="15"/>
      <c r="O2466" s="15"/>
      <c r="P2466" s="15"/>
      <c r="Q2466" s="14"/>
      <c r="R2466" s="14"/>
      <c r="S2466" s="14"/>
      <c r="T2466" s="14"/>
      <c r="U2466" s="15"/>
      <c r="V2466" s="14"/>
      <c r="W2466" s="14"/>
      <c r="X2466" s="14"/>
      <c r="Y2466" s="14"/>
      <c r="Z2466" s="14"/>
    </row>
    <row r="2467" spans="1:26" ht="13.2">
      <c r="A2467" s="13"/>
      <c r="B2467" s="14"/>
      <c r="C2467" s="14"/>
      <c r="D2467" s="14"/>
      <c r="E2467" s="14"/>
      <c r="F2467" s="14"/>
      <c r="G2467" s="14"/>
      <c r="H2467" s="14"/>
      <c r="I2467" s="14"/>
      <c r="J2467" s="14"/>
      <c r="K2467" s="14"/>
      <c r="L2467" s="15"/>
      <c r="M2467" s="15"/>
      <c r="N2467" s="15"/>
      <c r="O2467" s="15"/>
      <c r="P2467" s="15"/>
      <c r="Q2467" s="14"/>
      <c r="R2467" s="14"/>
      <c r="S2467" s="14"/>
      <c r="T2467" s="14"/>
      <c r="U2467" s="15"/>
      <c r="V2467" s="14"/>
      <c r="W2467" s="14"/>
      <c r="X2467" s="14"/>
      <c r="Y2467" s="14"/>
      <c r="Z2467" s="14"/>
    </row>
    <row r="2468" spans="1:26" ht="13.2">
      <c r="A2468" s="13"/>
      <c r="B2468" s="14"/>
      <c r="C2468" s="14"/>
      <c r="D2468" s="14"/>
      <c r="E2468" s="14"/>
      <c r="F2468" s="14"/>
      <c r="G2468" s="14"/>
      <c r="H2468" s="14"/>
      <c r="I2468" s="14"/>
      <c r="J2468" s="14"/>
      <c r="K2468" s="14"/>
      <c r="L2468" s="15"/>
      <c r="M2468" s="15"/>
      <c r="N2468" s="15"/>
      <c r="O2468" s="15"/>
      <c r="P2468" s="15"/>
      <c r="Q2468" s="14"/>
      <c r="R2468" s="14"/>
      <c r="S2468" s="14"/>
      <c r="T2468" s="14"/>
      <c r="U2468" s="15"/>
      <c r="V2468" s="14"/>
      <c r="W2468" s="14"/>
      <c r="X2468" s="14"/>
      <c r="Y2468" s="14"/>
      <c r="Z2468" s="14"/>
    </row>
    <row r="2469" spans="1:26" ht="13.2">
      <c r="A2469" s="13"/>
      <c r="B2469" s="14"/>
      <c r="C2469" s="14"/>
      <c r="D2469" s="14"/>
      <c r="E2469" s="14"/>
      <c r="F2469" s="14"/>
      <c r="G2469" s="14"/>
      <c r="H2469" s="14"/>
      <c r="I2469" s="14"/>
      <c r="J2469" s="14"/>
      <c r="K2469" s="14"/>
      <c r="L2469" s="15"/>
      <c r="M2469" s="15"/>
      <c r="N2469" s="15"/>
      <c r="O2469" s="15"/>
      <c r="P2469" s="15"/>
      <c r="Q2469" s="14"/>
      <c r="R2469" s="14"/>
      <c r="S2469" s="14"/>
      <c r="T2469" s="14"/>
      <c r="U2469" s="15"/>
      <c r="V2469" s="14"/>
      <c r="W2469" s="14"/>
      <c r="X2469" s="14"/>
      <c r="Y2469" s="14"/>
      <c r="Z2469" s="14"/>
    </row>
    <row r="2470" spans="1:26" ht="13.2">
      <c r="A2470" s="13"/>
      <c r="B2470" s="14"/>
      <c r="C2470" s="14"/>
      <c r="D2470" s="14"/>
      <c r="E2470" s="14"/>
      <c r="F2470" s="14"/>
      <c r="G2470" s="14"/>
      <c r="H2470" s="14"/>
      <c r="I2470" s="14"/>
      <c r="J2470" s="14"/>
      <c r="K2470" s="14"/>
      <c r="L2470" s="15"/>
      <c r="M2470" s="15"/>
      <c r="N2470" s="15"/>
      <c r="O2470" s="15"/>
      <c r="P2470" s="15"/>
      <c r="Q2470" s="14"/>
      <c r="R2470" s="14"/>
      <c r="S2470" s="14"/>
      <c r="T2470" s="14"/>
      <c r="U2470" s="15"/>
      <c r="V2470" s="14"/>
      <c r="W2470" s="14"/>
      <c r="X2470" s="14"/>
      <c r="Y2470" s="14"/>
      <c r="Z2470" s="14"/>
    </row>
    <row r="2471" spans="1:26" ht="13.2">
      <c r="A2471" s="13"/>
      <c r="B2471" s="14"/>
      <c r="C2471" s="14"/>
      <c r="D2471" s="14"/>
      <c r="E2471" s="14"/>
      <c r="F2471" s="14"/>
      <c r="G2471" s="14"/>
      <c r="H2471" s="14"/>
      <c r="I2471" s="14"/>
      <c r="J2471" s="14"/>
      <c r="K2471" s="14"/>
      <c r="L2471" s="15"/>
      <c r="M2471" s="15"/>
      <c r="N2471" s="15"/>
      <c r="O2471" s="15"/>
      <c r="P2471" s="15"/>
      <c r="Q2471" s="14"/>
      <c r="R2471" s="14"/>
      <c r="S2471" s="14"/>
      <c r="T2471" s="14"/>
      <c r="U2471" s="15"/>
      <c r="V2471" s="14"/>
      <c r="W2471" s="14"/>
      <c r="X2471" s="14"/>
      <c r="Y2471" s="14"/>
      <c r="Z2471" s="14"/>
    </row>
    <row r="2472" spans="1:26" ht="13.2">
      <c r="A2472" s="13"/>
      <c r="B2472" s="14"/>
      <c r="C2472" s="14"/>
      <c r="D2472" s="14"/>
      <c r="E2472" s="14"/>
      <c r="F2472" s="14"/>
      <c r="G2472" s="14"/>
      <c r="H2472" s="14"/>
      <c r="I2472" s="14"/>
      <c r="J2472" s="14"/>
      <c r="K2472" s="14"/>
      <c r="L2472" s="15"/>
      <c r="M2472" s="15"/>
      <c r="N2472" s="15"/>
      <c r="O2472" s="15"/>
      <c r="P2472" s="15"/>
      <c r="Q2472" s="14"/>
      <c r="R2472" s="14"/>
      <c r="S2472" s="14"/>
      <c r="T2472" s="14"/>
      <c r="U2472" s="15"/>
      <c r="V2472" s="14"/>
      <c r="W2472" s="14"/>
      <c r="X2472" s="14"/>
      <c r="Y2472" s="14"/>
      <c r="Z2472" s="14"/>
    </row>
    <row r="2473" spans="1:26" ht="13.2">
      <c r="A2473" s="13"/>
      <c r="B2473" s="14"/>
      <c r="C2473" s="14"/>
      <c r="D2473" s="14"/>
      <c r="E2473" s="14"/>
      <c r="F2473" s="14"/>
      <c r="G2473" s="14"/>
      <c r="H2473" s="14"/>
      <c r="I2473" s="14"/>
      <c r="J2473" s="14"/>
      <c r="K2473" s="14"/>
      <c r="L2473" s="15"/>
      <c r="M2473" s="15"/>
      <c r="N2473" s="15"/>
      <c r="O2473" s="15"/>
      <c r="P2473" s="15"/>
      <c r="Q2473" s="14"/>
      <c r="R2473" s="14"/>
      <c r="S2473" s="14"/>
      <c r="T2473" s="14"/>
      <c r="U2473" s="15"/>
      <c r="V2473" s="14"/>
      <c r="W2473" s="14"/>
      <c r="X2473" s="14"/>
      <c r="Y2473" s="14"/>
      <c r="Z2473" s="14"/>
    </row>
    <row r="2474" spans="1:26" ht="13.2">
      <c r="A2474" s="13"/>
      <c r="B2474" s="14"/>
      <c r="C2474" s="14"/>
      <c r="D2474" s="14"/>
      <c r="E2474" s="14"/>
      <c r="F2474" s="14"/>
      <c r="G2474" s="14"/>
      <c r="H2474" s="14"/>
      <c r="I2474" s="14"/>
      <c r="J2474" s="14"/>
      <c r="K2474" s="14"/>
      <c r="L2474" s="15"/>
      <c r="M2474" s="15"/>
      <c r="N2474" s="15"/>
      <c r="O2474" s="15"/>
      <c r="P2474" s="15"/>
      <c r="Q2474" s="14"/>
      <c r="R2474" s="14"/>
      <c r="S2474" s="14"/>
      <c r="T2474" s="14"/>
      <c r="U2474" s="15"/>
      <c r="V2474" s="14"/>
      <c r="W2474" s="14"/>
      <c r="X2474" s="14"/>
      <c r="Y2474" s="14"/>
      <c r="Z2474" s="14"/>
    </row>
    <row r="2475" spans="1:26" ht="13.2">
      <c r="A2475" s="13"/>
      <c r="B2475" s="14"/>
      <c r="C2475" s="14"/>
      <c r="D2475" s="14"/>
      <c r="E2475" s="14"/>
      <c r="F2475" s="14"/>
      <c r="G2475" s="14"/>
      <c r="H2475" s="14"/>
      <c r="I2475" s="14"/>
      <c r="J2475" s="14"/>
      <c r="K2475" s="14"/>
      <c r="L2475" s="15"/>
      <c r="M2475" s="15"/>
      <c r="N2475" s="15"/>
      <c r="O2475" s="15"/>
      <c r="P2475" s="15"/>
      <c r="Q2475" s="14"/>
      <c r="R2475" s="14"/>
      <c r="S2475" s="14"/>
      <c r="T2475" s="14"/>
      <c r="U2475" s="15"/>
      <c r="V2475" s="14"/>
      <c r="W2475" s="14"/>
      <c r="X2475" s="14"/>
      <c r="Y2475" s="14"/>
      <c r="Z2475" s="14"/>
    </row>
    <row r="2476" spans="1:26" ht="13.2">
      <c r="A2476" s="13"/>
      <c r="B2476" s="14"/>
      <c r="C2476" s="14"/>
      <c r="D2476" s="14"/>
      <c r="E2476" s="14"/>
      <c r="F2476" s="14"/>
      <c r="G2476" s="14"/>
      <c r="H2476" s="14"/>
      <c r="I2476" s="14"/>
      <c r="J2476" s="14"/>
      <c r="K2476" s="14"/>
      <c r="L2476" s="15"/>
      <c r="M2476" s="15"/>
      <c r="N2476" s="15"/>
      <c r="O2476" s="15"/>
      <c r="P2476" s="15"/>
      <c r="Q2476" s="14"/>
      <c r="R2476" s="14"/>
      <c r="S2476" s="14"/>
      <c r="T2476" s="14"/>
      <c r="U2476" s="15"/>
      <c r="V2476" s="14"/>
      <c r="W2476" s="14"/>
      <c r="X2476" s="14"/>
      <c r="Y2476" s="14"/>
      <c r="Z2476" s="14"/>
    </row>
    <row r="2477" spans="1:26" ht="13.2">
      <c r="A2477" s="13"/>
      <c r="B2477" s="14"/>
      <c r="C2477" s="14"/>
      <c r="D2477" s="14"/>
      <c r="E2477" s="14"/>
      <c r="F2477" s="14"/>
      <c r="G2477" s="14"/>
      <c r="H2477" s="14"/>
      <c r="I2477" s="14"/>
      <c r="J2477" s="14"/>
      <c r="K2477" s="14"/>
      <c r="L2477" s="15"/>
      <c r="M2477" s="15"/>
      <c r="N2477" s="15"/>
      <c r="O2477" s="15"/>
      <c r="P2477" s="15"/>
      <c r="Q2477" s="14"/>
      <c r="R2477" s="14"/>
      <c r="S2477" s="14"/>
      <c r="T2477" s="14"/>
      <c r="U2477" s="15"/>
      <c r="V2477" s="14"/>
      <c r="W2477" s="14"/>
      <c r="X2477" s="14"/>
      <c r="Y2477" s="14"/>
      <c r="Z2477" s="14"/>
    </row>
    <row r="2478" spans="1:26" ht="13.2">
      <c r="A2478" s="13"/>
      <c r="B2478" s="14"/>
      <c r="C2478" s="14"/>
      <c r="D2478" s="14"/>
      <c r="E2478" s="14"/>
      <c r="F2478" s="14"/>
      <c r="G2478" s="14"/>
      <c r="H2478" s="14"/>
      <c r="I2478" s="14"/>
      <c r="J2478" s="14"/>
      <c r="K2478" s="14"/>
      <c r="L2478" s="15"/>
      <c r="M2478" s="15"/>
      <c r="N2478" s="15"/>
      <c r="O2478" s="15"/>
      <c r="P2478" s="15"/>
      <c r="Q2478" s="14"/>
      <c r="R2478" s="14"/>
      <c r="S2478" s="14"/>
      <c r="T2478" s="14"/>
      <c r="U2478" s="15"/>
      <c r="V2478" s="14"/>
      <c r="W2478" s="14"/>
      <c r="X2478" s="14"/>
      <c r="Y2478" s="14"/>
      <c r="Z2478" s="14"/>
    </row>
    <row r="2479" spans="1:26" ht="13.2">
      <c r="A2479" s="13"/>
      <c r="B2479" s="14"/>
      <c r="C2479" s="14"/>
      <c r="D2479" s="14"/>
      <c r="E2479" s="14"/>
      <c r="F2479" s="14"/>
      <c r="G2479" s="14"/>
      <c r="H2479" s="14"/>
      <c r="I2479" s="14"/>
      <c r="J2479" s="14"/>
      <c r="K2479" s="14"/>
      <c r="L2479" s="15"/>
      <c r="M2479" s="15"/>
      <c r="N2479" s="15"/>
      <c r="O2479" s="15"/>
      <c r="P2479" s="15"/>
      <c r="Q2479" s="14"/>
      <c r="R2479" s="14"/>
      <c r="S2479" s="14"/>
      <c r="T2479" s="14"/>
      <c r="U2479" s="15"/>
      <c r="V2479" s="14"/>
      <c r="W2479" s="14"/>
      <c r="X2479" s="14"/>
      <c r="Y2479" s="14"/>
      <c r="Z2479" s="14"/>
    </row>
    <row r="2480" spans="1:26" ht="13.2">
      <c r="A2480" s="13"/>
      <c r="B2480" s="14"/>
      <c r="C2480" s="14"/>
      <c r="D2480" s="14"/>
      <c r="E2480" s="14"/>
      <c r="F2480" s="14"/>
      <c r="G2480" s="14"/>
      <c r="H2480" s="14"/>
      <c r="I2480" s="14"/>
      <c r="J2480" s="14"/>
      <c r="K2480" s="14"/>
      <c r="L2480" s="15"/>
      <c r="M2480" s="15"/>
      <c r="N2480" s="15"/>
      <c r="O2480" s="15"/>
      <c r="P2480" s="15"/>
      <c r="Q2480" s="14"/>
      <c r="R2480" s="14"/>
      <c r="S2480" s="14"/>
      <c r="T2480" s="14"/>
      <c r="U2480" s="15"/>
      <c r="V2480" s="14"/>
      <c r="W2480" s="14"/>
      <c r="X2480" s="14"/>
      <c r="Y2480" s="14"/>
      <c r="Z2480" s="14"/>
    </row>
    <row r="2481" spans="1:26" ht="13.2">
      <c r="A2481" s="13"/>
      <c r="B2481" s="14"/>
      <c r="C2481" s="14"/>
      <c r="D2481" s="14"/>
      <c r="E2481" s="14"/>
      <c r="F2481" s="14"/>
      <c r="G2481" s="14"/>
      <c r="H2481" s="14"/>
      <c r="I2481" s="14"/>
      <c r="J2481" s="14"/>
      <c r="K2481" s="14"/>
      <c r="L2481" s="15"/>
      <c r="M2481" s="15"/>
      <c r="N2481" s="15"/>
      <c r="O2481" s="15"/>
      <c r="P2481" s="15"/>
      <c r="Q2481" s="14"/>
      <c r="R2481" s="14"/>
      <c r="S2481" s="14"/>
      <c r="T2481" s="14"/>
      <c r="U2481" s="15"/>
      <c r="V2481" s="14"/>
      <c r="W2481" s="14"/>
      <c r="X2481" s="14"/>
      <c r="Y2481" s="14"/>
      <c r="Z2481" s="14"/>
    </row>
    <row r="2482" spans="1:26" ht="13.2">
      <c r="A2482" s="13"/>
      <c r="B2482" s="14"/>
      <c r="C2482" s="14"/>
      <c r="D2482" s="14"/>
      <c r="E2482" s="14"/>
      <c r="F2482" s="14"/>
      <c r="G2482" s="14"/>
      <c r="H2482" s="14"/>
      <c r="I2482" s="14"/>
      <c r="J2482" s="14"/>
      <c r="K2482" s="14"/>
      <c r="L2482" s="15"/>
      <c r="M2482" s="15"/>
      <c r="N2482" s="15"/>
      <c r="O2482" s="15"/>
      <c r="P2482" s="15"/>
      <c r="Q2482" s="14"/>
      <c r="R2482" s="14"/>
      <c r="S2482" s="14"/>
      <c r="T2482" s="14"/>
      <c r="U2482" s="15"/>
      <c r="V2482" s="14"/>
      <c r="W2482" s="14"/>
      <c r="X2482" s="14"/>
      <c r="Y2482" s="14"/>
      <c r="Z2482" s="14"/>
    </row>
    <row r="2483" spans="1:26" ht="13.2">
      <c r="A2483" s="13"/>
      <c r="B2483" s="14"/>
      <c r="C2483" s="14"/>
      <c r="D2483" s="14"/>
      <c r="E2483" s="14"/>
      <c r="F2483" s="14"/>
      <c r="G2483" s="14"/>
      <c r="H2483" s="14"/>
      <c r="I2483" s="14"/>
      <c r="J2483" s="14"/>
      <c r="K2483" s="14"/>
      <c r="L2483" s="15"/>
      <c r="M2483" s="15"/>
      <c r="N2483" s="15"/>
      <c r="O2483" s="15"/>
      <c r="P2483" s="15"/>
      <c r="Q2483" s="14"/>
      <c r="R2483" s="14"/>
      <c r="S2483" s="14"/>
      <c r="T2483" s="14"/>
      <c r="U2483" s="15"/>
      <c r="V2483" s="14"/>
      <c r="W2483" s="14"/>
      <c r="X2483" s="14"/>
      <c r="Y2483" s="14"/>
      <c r="Z2483" s="14"/>
    </row>
    <row r="2484" spans="1:26" ht="13.2">
      <c r="A2484" s="13"/>
      <c r="B2484" s="14"/>
      <c r="C2484" s="14"/>
      <c r="D2484" s="14"/>
      <c r="E2484" s="14"/>
      <c r="F2484" s="14"/>
      <c r="G2484" s="14"/>
      <c r="H2484" s="14"/>
      <c r="I2484" s="14"/>
      <c r="J2484" s="14"/>
      <c r="K2484" s="14"/>
      <c r="L2484" s="15"/>
      <c r="M2484" s="15"/>
      <c r="N2484" s="15"/>
      <c r="O2484" s="15"/>
      <c r="P2484" s="15"/>
      <c r="Q2484" s="14"/>
      <c r="R2484" s="14"/>
      <c r="S2484" s="14"/>
      <c r="T2484" s="14"/>
      <c r="U2484" s="15"/>
      <c r="V2484" s="14"/>
      <c r="W2484" s="14"/>
      <c r="X2484" s="14"/>
      <c r="Y2484" s="14"/>
      <c r="Z2484" s="14"/>
    </row>
    <row r="2485" spans="1:26" ht="13.2">
      <c r="A2485" s="13"/>
      <c r="B2485" s="14"/>
      <c r="C2485" s="14"/>
      <c r="D2485" s="14"/>
      <c r="E2485" s="14"/>
      <c r="F2485" s="14"/>
      <c r="G2485" s="14"/>
      <c r="H2485" s="14"/>
      <c r="I2485" s="14"/>
      <c r="J2485" s="14"/>
      <c r="K2485" s="14"/>
      <c r="L2485" s="15"/>
      <c r="M2485" s="15"/>
      <c r="N2485" s="15"/>
      <c r="O2485" s="15"/>
      <c r="P2485" s="15"/>
      <c r="Q2485" s="14"/>
      <c r="R2485" s="14"/>
      <c r="S2485" s="14"/>
      <c r="T2485" s="14"/>
      <c r="U2485" s="15"/>
      <c r="V2485" s="14"/>
      <c r="W2485" s="14"/>
      <c r="X2485" s="14"/>
      <c r="Y2485" s="14"/>
      <c r="Z2485" s="14"/>
    </row>
    <row r="2486" spans="1:26" ht="13.2">
      <c r="A2486" s="13"/>
      <c r="B2486" s="14"/>
      <c r="C2486" s="14"/>
      <c r="D2486" s="14"/>
      <c r="E2486" s="14"/>
      <c r="F2486" s="14"/>
      <c r="G2486" s="14"/>
      <c r="H2486" s="14"/>
      <c r="I2486" s="14"/>
      <c r="J2486" s="14"/>
      <c r="K2486" s="14"/>
      <c r="L2486" s="15"/>
      <c r="M2486" s="15"/>
      <c r="N2486" s="15"/>
      <c r="O2486" s="15"/>
      <c r="P2486" s="15"/>
      <c r="Q2486" s="14"/>
      <c r="R2486" s="14"/>
      <c r="S2486" s="14"/>
      <c r="T2486" s="14"/>
      <c r="U2486" s="15"/>
      <c r="V2486" s="14"/>
      <c r="W2486" s="14"/>
      <c r="X2486" s="14"/>
      <c r="Y2486" s="14"/>
      <c r="Z2486" s="14"/>
    </row>
    <row r="2487" spans="1:26" ht="13.2">
      <c r="A2487" s="13"/>
      <c r="B2487" s="14"/>
      <c r="C2487" s="14"/>
      <c r="D2487" s="14"/>
      <c r="E2487" s="14"/>
      <c r="F2487" s="14"/>
      <c r="G2487" s="14"/>
      <c r="H2487" s="14"/>
      <c r="I2487" s="14"/>
      <c r="J2487" s="14"/>
      <c r="K2487" s="14"/>
      <c r="L2487" s="15"/>
      <c r="M2487" s="15"/>
      <c r="N2487" s="15"/>
      <c r="O2487" s="15"/>
      <c r="P2487" s="15"/>
      <c r="Q2487" s="14"/>
      <c r="R2487" s="14"/>
      <c r="S2487" s="14"/>
      <c r="T2487" s="14"/>
      <c r="U2487" s="15"/>
      <c r="V2487" s="14"/>
      <c r="W2487" s="14"/>
      <c r="X2487" s="14"/>
      <c r="Y2487" s="14"/>
      <c r="Z2487" s="14"/>
    </row>
    <row r="2488" spans="1:26" ht="13.2">
      <c r="A2488" s="13"/>
      <c r="B2488" s="14"/>
      <c r="C2488" s="14"/>
      <c r="D2488" s="14"/>
      <c r="E2488" s="14"/>
      <c r="F2488" s="14"/>
      <c r="G2488" s="14"/>
      <c r="H2488" s="14"/>
      <c r="I2488" s="14"/>
      <c r="J2488" s="14"/>
      <c r="K2488" s="14"/>
      <c r="L2488" s="15"/>
      <c r="M2488" s="15"/>
      <c r="N2488" s="15"/>
      <c r="O2488" s="15"/>
      <c r="P2488" s="15"/>
      <c r="Q2488" s="14"/>
      <c r="R2488" s="14"/>
      <c r="S2488" s="14"/>
      <c r="T2488" s="14"/>
      <c r="U2488" s="15"/>
      <c r="V2488" s="14"/>
      <c r="W2488" s="14"/>
      <c r="X2488" s="14"/>
      <c r="Y2488" s="14"/>
      <c r="Z2488" s="14"/>
    </row>
    <row r="2489" spans="1:26" ht="13.2">
      <c r="A2489" s="13"/>
      <c r="B2489" s="14"/>
      <c r="C2489" s="14"/>
      <c r="D2489" s="14"/>
      <c r="E2489" s="14"/>
      <c r="F2489" s="14"/>
      <c r="G2489" s="14"/>
      <c r="H2489" s="14"/>
      <c r="I2489" s="14"/>
      <c r="J2489" s="14"/>
      <c r="K2489" s="14"/>
      <c r="L2489" s="15"/>
      <c r="M2489" s="15"/>
      <c r="N2489" s="15"/>
      <c r="O2489" s="15"/>
      <c r="P2489" s="15"/>
      <c r="Q2489" s="14"/>
      <c r="R2489" s="14"/>
      <c r="S2489" s="14"/>
      <c r="T2489" s="14"/>
      <c r="U2489" s="15"/>
      <c r="V2489" s="14"/>
      <c r="W2489" s="14"/>
      <c r="X2489" s="14"/>
      <c r="Y2489" s="14"/>
      <c r="Z2489" s="14"/>
    </row>
    <row r="2490" spans="1:26" ht="13.2">
      <c r="A2490" s="13"/>
      <c r="B2490" s="14"/>
      <c r="C2490" s="14"/>
      <c r="D2490" s="14"/>
      <c r="E2490" s="14"/>
      <c r="F2490" s="14"/>
      <c r="G2490" s="14"/>
      <c r="H2490" s="14"/>
      <c r="I2490" s="14"/>
      <c r="J2490" s="14"/>
      <c r="K2490" s="14"/>
      <c r="L2490" s="15"/>
      <c r="M2490" s="15"/>
      <c r="N2490" s="15"/>
      <c r="O2490" s="15"/>
      <c r="P2490" s="15"/>
      <c r="Q2490" s="14"/>
      <c r="R2490" s="14"/>
      <c r="S2490" s="14"/>
      <c r="T2490" s="14"/>
      <c r="U2490" s="15"/>
      <c r="V2490" s="14"/>
      <c r="W2490" s="14"/>
      <c r="X2490" s="14"/>
      <c r="Y2490" s="14"/>
      <c r="Z2490" s="14"/>
    </row>
    <row r="2491" spans="1:26" ht="13.2">
      <c r="A2491" s="13"/>
      <c r="B2491" s="14"/>
      <c r="C2491" s="14"/>
      <c r="D2491" s="14"/>
      <c r="E2491" s="14"/>
      <c r="F2491" s="14"/>
      <c r="G2491" s="14"/>
      <c r="H2491" s="14"/>
      <c r="I2491" s="14"/>
      <c r="J2491" s="14"/>
      <c r="K2491" s="14"/>
      <c r="L2491" s="15"/>
      <c r="M2491" s="15"/>
      <c r="N2491" s="15"/>
      <c r="O2491" s="15"/>
      <c r="P2491" s="15"/>
      <c r="Q2491" s="14"/>
      <c r="R2491" s="14"/>
      <c r="S2491" s="14"/>
      <c r="T2491" s="14"/>
      <c r="U2491" s="15"/>
      <c r="V2491" s="14"/>
      <c r="W2491" s="14"/>
      <c r="X2491" s="14"/>
      <c r="Y2491" s="14"/>
      <c r="Z2491" s="14"/>
    </row>
    <row r="2492" spans="1:26" ht="13.2">
      <c r="A2492" s="13"/>
      <c r="B2492" s="14"/>
      <c r="C2492" s="14"/>
      <c r="D2492" s="14"/>
      <c r="E2492" s="14"/>
      <c r="F2492" s="14"/>
      <c r="G2492" s="14"/>
      <c r="H2492" s="14"/>
      <c r="I2492" s="14"/>
      <c r="J2492" s="14"/>
      <c r="K2492" s="14"/>
      <c r="L2492" s="15"/>
      <c r="M2492" s="15"/>
      <c r="N2492" s="15"/>
      <c r="O2492" s="15"/>
      <c r="P2492" s="15"/>
      <c r="Q2492" s="14"/>
      <c r="R2492" s="14"/>
      <c r="S2492" s="14"/>
      <c r="T2492" s="14"/>
      <c r="U2492" s="15"/>
      <c r="V2492" s="14"/>
      <c r="W2492" s="14"/>
      <c r="X2492" s="14"/>
      <c r="Y2492" s="14"/>
      <c r="Z2492" s="14"/>
    </row>
    <row r="2493" spans="1:26" ht="13.2">
      <c r="A2493" s="13"/>
      <c r="B2493" s="14"/>
      <c r="C2493" s="14"/>
      <c r="D2493" s="14"/>
      <c r="E2493" s="14"/>
      <c r="F2493" s="14"/>
      <c r="G2493" s="14"/>
      <c r="H2493" s="14"/>
      <c r="I2493" s="14"/>
      <c r="J2493" s="14"/>
      <c r="K2493" s="14"/>
      <c r="L2493" s="15"/>
      <c r="M2493" s="15"/>
      <c r="N2493" s="15"/>
      <c r="O2493" s="15"/>
      <c r="P2493" s="15"/>
      <c r="Q2493" s="14"/>
      <c r="R2493" s="14"/>
      <c r="S2493" s="14"/>
      <c r="T2493" s="14"/>
      <c r="U2493" s="15"/>
      <c r="V2493" s="14"/>
      <c r="W2493" s="14"/>
      <c r="X2493" s="14"/>
      <c r="Y2493" s="14"/>
      <c r="Z2493" s="14"/>
    </row>
    <row r="2494" spans="1:26" ht="13.2">
      <c r="A2494" s="13"/>
      <c r="B2494" s="14"/>
      <c r="C2494" s="14"/>
      <c r="D2494" s="14"/>
      <c r="E2494" s="14"/>
      <c r="F2494" s="14"/>
      <c r="G2494" s="14"/>
      <c r="H2494" s="14"/>
      <c r="I2494" s="14"/>
      <c r="J2494" s="14"/>
      <c r="K2494" s="14"/>
      <c r="L2494" s="15"/>
      <c r="M2494" s="15"/>
      <c r="N2494" s="15"/>
      <c r="O2494" s="15"/>
      <c r="P2494" s="15"/>
      <c r="Q2494" s="14"/>
      <c r="R2494" s="14"/>
      <c r="S2494" s="14"/>
      <c r="T2494" s="14"/>
      <c r="U2494" s="15"/>
      <c r="V2494" s="14"/>
      <c r="W2494" s="14"/>
      <c r="X2494" s="14"/>
      <c r="Y2494" s="14"/>
      <c r="Z2494" s="14"/>
    </row>
    <row r="2495" spans="1:26" ht="13.2">
      <c r="A2495" s="13"/>
      <c r="B2495" s="14"/>
      <c r="C2495" s="14"/>
      <c r="D2495" s="14"/>
      <c r="E2495" s="14"/>
      <c r="F2495" s="14"/>
      <c r="G2495" s="14"/>
      <c r="H2495" s="14"/>
      <c r="I2495" s="14"/>
      <c r="J2495" s="14"/>
      <c r="K2495" s="14"/>
      <c r="L2495" s="15"/>
      <c r="M2495" s="15"/>
      <c r="N2495" s="15"/>
      <c r="O2495" s="15"/>
      <c r="P2495" s="15"/>
      <c r="Q2495" s="14"/>
      <c r="R2495" s="14"/>
      <c r="S2495" s="14"/>
      <c r="T2495" s="14"/>
      <c r="U2495" s="15"/>
      <c r="V2495" s="14"/>
      <c r="W2495" s="14"/>
      <c r="X2495" s="14"/>
      <c r="Y2495" s="14"/>
      <c r="Z2495" s="14"/>
    </row>
    <row r="2496" spans="1:26" ht="13.2">
      <c r="A2496" s="13"/>
      <c r="B2496" s="14"/>
      <c r="C2496" s="14"/>
      <c r="D2496" s="14"/>
      <c r="E2496" s="14"/>
      <c r="F2496" s="14"/>
      <c r="G2496" s="14"/>
      <c r="H2496" s="14"/>
      <c r="I2496" s="14"/>
      <c r="J2496" s="14"/>
      <c r="K2496" s="14"/>
      <c r="L2496" s="15"/>
      <c r="M2496" s="15"/>
      <c r="N2496" s="15"/>
      <c r="O2496" s="15"/>
      <c r="P2496" s="15"/>
      <c r="Q2496" s="14"/>
      <c r="R2496" s="14"/>
      <c r="S2496" s="14"/>
      <c r="T2496" s="14"/>
      <c r="U2496" s="15"/>
      <c r="V2496" s="14"/>
      <c r="W2496" s="14"/>
      <c r="X2496" s="14"/>
      <c r="Y2496" s="14"/>
      <c r="Z2496" s="14"/>
    </row>
    <row r="2497" spans="1:26" ht="13.2">
      <c r="A2497" s="13"/>
      <c r="B2497" s="14"/>
      <c r="C2497" s="14"/>
      <c r="D2497" s="14"/>
      <c r="E2497" s="14"/>
      <c r="F2497" s="14"/>
      <c r="G2497" s="14"/>
      <c r="H2497" s="14"/>
      <c r="I2497" s="14"/>
      <c r="J2497" s="14"/>
      <c r="K2497" s="14"/>
      <c r="L2497" s="15"/>
      <c r="M2497" s="15"/>
      <c r="N2497" s="15"/>
      <c r="O2497" s="15"/>
      <c r="P2497" s="15"/>
      <c r="Q2497" s="14"/>
      <c r="R2497" s="14"/>
      <c r="S2497" s="14"/>
      <c r="T2497" s="14"/>
      <c r="U2497" s="15"/>
      <c r="V2497" s="14"/>
      <c r="W2497" s="14"/>
      <c r="X2497" s="14"/>
      <c r="Y2497" s="14"/>
      <c r="Z2497" s="14"/>
    </row>
    <row r="2498" spans="1:26" ht="13.2">
      <c r="A2498" s="13"/>
      <c r="B2498" s="14"/>
      <c r="C2498" s="14"/>
      <c r="D2498" s="14"/>
      <c r="E2498" s="14"/>
      <c r="F2498" s="14"/>
      <c r="G2498" s="14"/>
      <c r="H2498" s="14"/>
      <c r="I2498" s="14"/>
      <c r="J2498" s="14"/>
      <c r="K2498" s="14"/>
      <c r="L2498" s="15"/>
      <c r="M2498" s="15"/>
      <c r="N2498" s="15"/>
      <c r="O2498" s="15"/>
      <c r="P2498" s="15"/>
      <c r="Q2498" s="14"/>
      <c r="R2498" s="14"/>
      <c r="S2498" s="14"/>
      <c r="T2498" s="14"/>
      <c r="U2498" s="15"/>
      <c r="V2498" s="14"/>
      <c r="W2498" s="14"/>
      <c r="X2498" s="14"/>
      <c r="Y2498" s="14"/>
      <c r="Z2498" s="14"/>
    </row>
    <row r="2499" spans="1:26" ht="13.2">
      <c r="A2499" s="13"/>
      <c r="B2499" s="14"/>
      <c r="C2499" s="14"/>
      <c r="D2499" s="14"/>
      <c r="E2499" s="14"/>
      <c r="F2499" s="14"/>
      <c r="G2499" s="14"/>
      <c r="H2499" s="14"/>
      <c r="I2499" s="14"/>
      <c r="J2499" s="14"/>
      <c r="K2499" s="14"/>
      <c r="L2499" s="15"/>
      <c r="M2499" s="15"/>
      <c r="N2499" s="15"/>
      <c r="O2499" s="15"/>
      <c r="P2499" s="15"/>
      <c r="Q2499" s="14"/>
      <c r="R2499" s="14"/>
      <c r="S2499" s="14"/>
      <c r="T2499" s="14"/>
      <c r="U2499" s="15"/>
      <c r="V2499" s="14"/>
      <c r="W2499" s="14"/>
      <c r="X2499" s="14"/>
      <c r="Y2499" s="14"/>
      <c r="Z2499" s="14"/>
    </row>
    <row r="2500" spans="1:26" ht="13.2">
      <c r="A2500" s="13"/>
      <c r="B2500" s="14"/>
      <c r="C2500" s="14"/>
      <c r="D2500" s="14"/>
      <c r="E2500" s="14"/>
      <c r="F2500" s="14"/>
      <c r="G2500" s="14"/>
      <c r="H2500" s="14"/>
      <c r="I2500" s="14"/>
      <c r="J2500" s="14"/>
      <c r="K2500" s="14"/>
      <c r="L2500" s="15"/>
      <c r="M2500" s="15"/>
      <c r="N2500" s="15"/>
      <c r="O2500" s="15"/>
      <c r="P2500" s="15"/>
      <c r="Q2500" s="14"/>
      <c r="R2500" s="14"/>
      <c r="S2500" s="14"/>
      <c r="T2500" s="14"/>
      <c r="U2500" s="15"/>
      <c r="V2500" s="14"/>
      <c r="W2500" s="14"/>
      <c r="X2500" s="14"/>
      <c r="Y2500" s="14"/>
      <c r="Z2500" s="14"/>
    </row>
    <row r="2501" spans="1:26" ht="13.2">
      <c r="A2501" s="13"/>
      <c r="B2501" s="14"/>
      <c r="C2501" s="14"/>
      <c r="D2501" s="14"/>
      <c r="E2501" s="14"/>
      <c r="F2501" s="14"/>
      <c r="G2501" s="14"/>
      <c r="H2501" s="14"/>
      <c r="I2501" s="14"/>
      <c r="J2501" s="14"/>
      <c r="K2501" s="14"/>
      <c r="L2501" s="15"/>
      <c r="M2501" s="15"/>
      <c r="N2501" s="15"/>
      <c r="O2501" s="15"/>
      <c r="P2501" s="15"/>
      <c r="Q2501" s="14"/>
      <c r="R2501" s="14"/>
      <c r="S2501" s="14"/>
      <c r="T2501" s="14"/>
      <c r="U2501" s="15"/>
      <c r="V2501" s="14"/>
      <c r="W2501" s="14"/>
      <c r="X2501" s="14"/>
      <c r="Y2501" s="14"/>
      <c r="Z2501" s="14"/>
    </row>
    <row r="2502" spans="1:26" ht="13.2">
      <c r="A2502" s="13"/>
      <c r="B2502" s="14"/>
      <c r="C2502" s="14"/>
      <c r="D2502" s="14"/>
      <c r="E2502" s="14"/>
      <c r="F2502" s="14"/>
      <c r="G2502" s="14"/>
      <c r="H2502" s="14"/>
      <c r="I2502" s="14"/>
      <c r="J2502" s="14"/>
      <c r="K2502" s="14"/>
      <c r="L2502" s="15"/>
      <c r="M2502" s="15"/>
      <c r="N2502" s="15"/>
      <c r="O2502" s="15"/>
      <c r="P2502" s="15"/>
      <c r="Q2502" s="14"/>
      <c r="R2502" s="14"/>
      <c r="S2502" s="14"/>
      <c r="T2502" s="14"/>
      <c r="U2502" s="15"/>
      <c r="V2502" s="14"/>
      <c r="W2502" s="14"/>
      <c r="X2502" s="14"/>
      <c r="Y2502" s="14"/>
      <c r="Z2502" s="14"/>
    </row>
    <row r="2503" spans="1:26" ht="13.2">
      <c r="A2503" s="13"/>
      <c r="B2503" s="14"/>
      <c r="C2503" s="14"/>
      <c r="D2503" s="14"/>
      <c r="E2503" s="14"/>
      <c r="F2503" s="14"/>
      <c r="G2503" s="14"/>
      <c r="H2503" s="14"/>
      <c r="I2503" s="14"/>
      <c r="J2503" s="14"/>
      <c r="K2503" s="14"/>
      <c r="L2503" s="15"/>
      <c r="M2503" s="15"/>
      <c r="N2503" s="15"/>
      <c r="O2503" s="15"/>
      <c r="P2503" s="15"/>
      <c r="Q2503" s="14"/>
      <c r="R2503" s="14"/>
      <c r="S2503" s="14"/>
      <c r="T2503" s="14"/>
      <c r="U2503" s="15"/>
      <c r="V2503" s="14"/>
      <c r="W2503" s="14"/>
      <c r="X2503" s="14"/>
      <c r="Y2503" s="14"/>
      <c r="Z2503" s="14"/>
    </row>
    <row r="2504" spans="1:26" ht="13.2">
      <c r="A2504" s="13"/>
      <c r="B2504" s="14"/>
      <c r="C2504" s="14"/>
      <c r="D2504" s="14"/>
      <c r="E2504" s="14"/>
      <c r="F2504" s="14"/>
      <c r="G2504" s="14"/>
      <c r="H2504" s="14"/>
      <c r="I2504" s="14"/>
      <c r="J2504" s="14"/>
      <c r="K2504" s="14"/>
      <c r="L2504" s="15"/>
      <c r="M2504" s="15"/>
      <c r="N2504" s="15"/>
      <c r="O2504" s="15"/>
      <c r="P2504" s="15"/>
      <c r="Q2504" s="14"/>
      <c r="R2504" s="14"/>
      <c r="S2504" s="14"/>
      <c r="T2504" s="14"/>
      <c r="U2504" s="15"/>
      <c r="V2504" s="14"/>
      <c r="W2504" s="14"/>
      <c r="X2504" s="14"/>
      <c r="Y2504" s="14"/>
      <c r="Z2504" s="14"/>
    </row>
    <row r="2505" spans="1:26" ht="13.2">
      <c r="A2505" s="13"/>
      <c r="B2505" s="14"/>
      <c r="C2505" s="14"/>
      <c r="D2505" s="14"/>
      <c r="E2505" s="14"/>
      <c r="F2505" s="14"/>
      <c r="G2505" s="14"/>
      <c r="H2505" s="14"/>
      <c r="I2505" s="14"/>
      <c r="J2505" s="14"/>
      <c r="K2505" s="14"/>
      <c r="L2505" s="15"/>
      <c r="M2505" s="15"/>
      <c r="N2505" s="15"/>
      <c r="O2505" s="15"/>
      <c r="P2505" s="15"/>
      <c r="Q2505" s="14"/>
      <c r="R2505" s="14"/>
      <c r="S2505" s="14"/>
      <c r="T2505" s="14"/>
      <c r="U2505" s="15"/>
      <c r="V2505" s="14"/>
      <c r="W2505" s="14"/>
      <c r="X2505" s="14"/>
      <c r="Y2505" s="14"/>
      <c r="Z2505" s="14"/>
    </row>
    <row r="2506" spans="1:26" ht="13.2">
      <c r="A2506" s="13"/>
      <c r="B2506" s="14"/>
      <c r="C2506" s="14"/>
      <c r="D2506" s="14"/>
      <c r="E2506" s="14"/>
      <c r="F2506" s="14"/>
      <c r="G2506" s="14"/>
      <c r="H2506" s="14"/>
      <c r="I2506" s="14"/>
      <c r="J2506" s="14"/>
      <c r="K2506" s="14"/>
      <c r="L2506" s="15"/>
      <c r="M2506" s="15"/>
      <c r="N2506" s="15"/>
      <c r="O2506" s="15"/>
      <c r="P2506" s="15"/>
      <c r="Q2506" s="14"/>
      <c r="R2506" s="14"/>
      <c r="S2506" s="14"/>
      <c r="T2506" s="14"/>
      <c r="U2506" s="15"/>
      <c r="V2506" s="14"/>
      <c r="W2506" s="14"/>
      <c r="X2506" s="14"/>
      <c r="Y2506" s="14"/>
      <c r="Z2506" s="14"/>
    </row>
    <row r="2507" spans="1:26" ht="13.2">
      <c r="A2507" s="13"/>
      <c r="B2507" s="14"/>
      <c r="C2507" s="14"/>
      <c r="D2507" s="14"/>
      <c r="E2507" s="14"/>
      <c r="F2507" s="14"/>
      <c r="G2507" s="14"/>
      <c r="H2507" s="14"/>
      <c r="I2507" s="14"/>
      <c r="J2507" s="14"/>
      <c r="K2507" s="14"/>
      <c r="L2507" s="15"/>
      <c r="M2507" s="15"/>
      <c r="N2507" s="15"/>
      <c r="O2507" s="15"/>
      <c r="P2507" s="15"/>
      <c r="Q2507" s="14"/>
      <c r="R2507" s="14"/>
      <c r="S2507" s="14"/>
      <c r="T2507" s="14"/>
      <c r="U2507" s="15"/>
      <c r="V2507" s="14"/>
      <c r="W2507" s="14"/>
      <c r="X2507" s="14"/>
      <c r="Y2507" s="14"/>
      <c r="Z2507" s="14"/>
    </row>
    <row r="2508" spans="1:26" ht="13.2">
      <c r="A2508" s="13"/>
      <c r="B2508" s="14"/>
      <c r="C2508" s="14"/>
      <c r="D2508" s="14"/>
      <c r="E2508" s="14"/>
      <c r="F2508" s="14"/>
      <c r="G2508" s="14"/>
      <c r="H2508" s="14"/>
      <c r="I2508" s="14"/>
      <c r="J2508" s="14"/>
      <c r="K2508" s="14"/>
      <c r="L2508" s="15"/>
      <c r="M2508" s="15"/>
      <c r="N2508" s="15"/>
      <c r="O2508" s="15"/>
      <c r="P2508" s="15"/>
      <c r="Q2508" s="14"/>
      <c r="R2508" s="14"/>
      <c r="S2508" s="14"/>
      <c r="T2508" s="14"/>
      <c r="U2508" s="15"/>
      <c r="V2508" s="14"/>
      <c r="W2508" s="14"/>
      <c r="X2508" s="14"/>
      <c r="Y2508" s="14"/>
      <c r="Z2508" s="14"/>
    </row>
    <row r="2509" spans="1:26" ht="13.2">
      <c r="A2509" s="13"/>
      <c r="B2509" s="14"/>
      <c r="C2509" s="14"/>
      <c r="D2509" s="14"/>
      <c r="E2509" s="14"/>
      <c r="F2509" s="14"/>
      <c r="G2509" s="14"/>
      <c r="H2509" s="14"/>
      <c r="I2509" s="14"/>
      <c r="J2509" s="14"/>
      <c r="K2509" s="14"/>
      <c r="L2509" s="15"/>
      <c r="M2509" s="15"/>
      <c r="N2509" s="15"/>
      <c r="O2509" s="15"/>
      <c r="P2509" s="15"/>
      <c r="Q2509" s="14"/>
      <c r="R2509" s="14"/>
      <c r="S2509" s="14"/>
      <c r="T2509" s="14"/>
      <c r="U2509" s="15"/>
      <c r="V2509" s="14"/>
      <c r="W2509" s="14"/>
      <c r="X2509" s="14"/>
      <c r="Y2509" s="14"/>
      <c r="Z2509" s="14"/>
    </row>
    <row r="2510" spans="1:26" ht="13.2">
      <c r="A2510" s="13"/>
      <c r="B2510" s="14"/>
      <c r="C2510" s="14"/>
      <c r="D2510" s="14"/>
      <c r="E2510" s="14"/>
      <c r="F2510" s="14"/>
      <c r="G2510" s="14"/>
      <c r="H2510" s="14"/>
      <c r="I2510" s="14"/>
      <c r="J2510" s="14"/>
      <c r="K2510" s="14"/>
      <c r="L2510" s="15"/>
      <c r="M2510" s="15"/>
      <c r="N2510" s="15"/>
      <c r="O2510" s="15"/>
      <c r="P2510" s="15"/>
      <c r="Q2510" s="14"/>
      <c r="R2510" s="14"/>
      <c r="S2510" s="14"/>
      <c r="T2510" s="14"/>
      <c r="U2510" s="15"/>
      <c r="V2510" s="14"/>
      <c r="W2510" s="14"/>
      <c r="X2510" s="14"/>
      <c r="Y2510" s="14"/>
      <c r="Z2510" s="14"/>
    </row>
    <row r="2511" spans="1:26" ht="13.2">
      <c r="A2511" s="13"/>
      <c r="B2511" s="14"/>
      <c r="C2511" s="14"/>
      <c r="D2511" s="14"/>
      <c r="E2511" s="14"/>
      <c r="F2511" s="14"/>
      <c r="G2511" s="14"/>
      <c r="H2511" s="14"/>
      <c r="I2511" s="14"/>
      <c r="J2511" s="14"/>
      <c r="K2511" s="14"/>
      <c r="L2511" s="15"/>
      <c r="M2511" s="15"/>
      <c r="N2511" s="15"/>
      <c r="O2511" s="15"/>
      <c r="P2511" s="15"/>
      <c r="Q2511" s="14"/>
      <c r="R2511" s="14"/>
      <c r="S2511" s="14"/>
      <c r="T2511" s="14"/>
      <c r="U2511" s="15"/>
      <c r="V2511" s="14"/>
      <c r="W2511" s="14"/>
      <c r="X2511" s="14"/>
      <c r="Y2511" s="14"/>
      <c r="Z2511" s="14"/>
    </row>
    <row r="2512" spans="1:26" ht="13.2">
      <c r="A2512" s="13"/>
      <c r="B2512" s="14"/>
      <c r="C2512" s="14"/>
      <c r="D2512" s="14"/>
      <c r="E2512" s="14"/>
      <c r="F2512" s="14"/>
      <c r="G2512" s="14"/>
      <c r="H2512" s="14"/>
      <c r="I2512" s="14"/>
      <c r="J2512" s="14"/>
      <c r="K2512" s="14"/>
      <c r="L2512" s="15"/>
      <c r="M2512" s="15"/>
      <c r="N2512" s="15"/>
      <c r="O2512" s="15"/>
      <c r="P2512" s="15"/>
      <c r="Q2512" s="14"/>
      <c r="R2512" s="14"/>
      <c r="S2512" s="14"/>
      <c r="T2512" s="14"/>
      <c r="U2512" s="15"/>
      <c r="V2512" s="14"/>
      <c r="W2512" s="14"/>
      <c r="X2512" s="14"/>
      <c r="Y2512" s="14"/>
      <c r="Z2512" s="14"/>
    </row>
    <row r="2513" spans="1:26" ht="13.2">
      <c r="A2513" s="13"/>
      <c r="B2513" s="14"/>
      <c r="C2513" s="14"/>
      <c r="D2513" s="14"/>
      <c r="E2513" s="14"/>
      <c r="F2513" s="14"/>
      <c r="G2513" s="14"/>
      <c r="H2513" s="14"/>
      <c r="I2513" s="14"/>
      <c r="J2513" s="14"/>
      <c r="K2513" s="14"/>
      <c r="L2513" s="15"/>
      <c r="M2513" s="15"/>
      <c r="N2513" s="15"/>
      <c r="O2513" s="15"/>
      <c r="P2513" s="15"/>
      <c r="Q2513" s="14"/>
      <c r="R2513" s="14"/>
      <c r="S2513" s="14"/>
      <c r="T2513" s="14"/>
      <c r="U2513" s="15"/>
      <c r="V2513" s="14"/>
      <c r="W2513" s="14"/>
      <c r="X2513" s="14"/>
      <c r="Y2513" s="14"/>
      <c r="Z2513" s="14"/>
    </row>
    <row r="2514" spans="1:26" ht="13.2">
      <c r="A2514" s="13"/>
      <c r="B2514" s="14"/>
      <c r="C2514" s="14"/>
      <c r="D2514" s="14"/>
      <c r="E2514" s="14"/>
      <c r="F2514" s="14"/>
      <c r="G2514" s="14"/>
      <c r="H2514" s="14"/>
      <c r="I2514" s="14"/>
      <c r="J2514" s="14"/>
      <c r="K2514" s="14"/>
      <c r="L2514" s="15"/>
      <c r="M2514" s="15"/>
      <c r="N2514" s="15"/>
      <c r="O2514" s="15"/>
      <c r="P2514" s="15"/>
      <c r="Q2514" s="14"/>
      <c r="R2514" s="14"/>
      <c r="S2514" s="14"/>
      <c r="T2514" s="14"/>
      <c r="U2514" s="15"/>
      <c r="V2514" s="14"/>
      <c r="W2514" s="14"/>
      <c r="X2514" s="14"/>
      <c r="Y2514" s="14"/>
      <c r="Z2514" s="14"/>
    </row>
    <row r="2515" spans="1:26" ht="13.2">
      <c r="A2515" s="13"/>
      <c r="B2515" s="14"/>
      <c r="C2515" s="14"/>
      <c r="D2515" s="14"/>
      <c r="E2515" s="14"/>
      <c r="F2515" s="14"/>
      <c r="G2515" s="14"/>
      <c r="H2515" s="14"/>
      <c r="I2515" s="14"/>
      <c r="J2515" s="14"/>
      <c r="K2515" s="14"/>
      <c r="L2515" s="15"/>
      <c r="M2515" s="15"/>
      <c r="N2515" s="15"/>
      <c r="O2515" s="15"/>
      <c r="P2515" s="15"/>
      <c r="Q2515" s="14"/>
      <c r="R2515" s="14"/>
      <c r="S2515" s="14"/>
      <c r="T2515" s="14"/>
      <c r="U2515" s="15"/>
      <c r="V2515" s="14"/>
      <c r="W2515" s="14"/>
      <c r="X2515" s="14"/>
      <c r="Y2515" s="14"/>
      <c r="Z2515" s="14"/>
    </row>
    <row r="2516" spans="1:26" ht="13.2">
      <c r="A2516" s="13"/>
      <c r="B2516" s="14"/>
      <c r="C2516" s="14"/>
      <c r="D2516" s="14"/>
      <c r="E2516" s="14"/>
      <c r="F2516" s="14"/>
      <c r="G2516" s="14"/>
      <c r="H2516" s="14"/>
      <c r="I2516" s="14"/>
      <c r="J2516" s="14"/>
      <c r="K2516" s="14"/>
      <c r="L2516" s="15"/>
      <c r="M2516" s="15"/>
      <c r="N2516" s="15"/>
      <c r="O2516" s="15"/>
      <c r="P2516" s="15"/>
      <c r="Q2516" s="14"/>
      <c r="R2516" s="14"/>
      <c r="S2516" s="14"/>
      <c r="T2516" s="14"/>
      <c r="U2516" s="15"/>
      <c r="V2516" s="14"/>
      <c r="W2516" s="14"/>
      <c r="X2516" s="14"/>
      <c r="Y2516" s="14"/>
      <c r="Z2516" s="14"/>
    </row>
    <row r="2517" spans="1:26" ht="13.2">
      <c r="A2517" s="13"/>
      <c r="B2517" s="14"/>
      <c r="C2517" s="14"/>
      <c r="D2517" s="14"/>
      <c r="E2517" s="14"/>
      <c r="F2517" s="14"/>
      <c r="G2517" s="14"/>
      <c r="H2517" s="14"/>
      <c r="I2517" s="14"/>
      <c r="J2517" s="14"/>
      <c r="K2517" s="14"/>
      <c r="L2517" s="15"/>
      <c r="M2517" s="15"/>
      <c r="N2517" s="15"/>
      <c r="O2517" s="15"/>
      <c r="P2517" s="15"/>
      <c r="Q2517" s="14"/>
      <c r="R2517" s="14"/>
      <c r="S2517" s="14"/>
      <c r="T2517" s="14"/>
      <c r="U2517" s="15"/>
      <c r="V2517" s="14"/>
      <c r="W2517" s="14"/>
      <c r="X2517" s="14"/>
      <c r="Y2517" s="14"/>
      <c r="Z2517" s="14"/>
    </row>
    <row r="2518" spans="1:26" ht="13.2">
      <c r="A2518" s="13"/>
      <c r="B2518" s="14"/>
      <c r="C2518" s="14"/>
      <c r="D2518" s="14"/>
      <c r="E2518" s="14"/>
      <c r="F2518" s="14"/>
      <c r="G2518" s="14"/>
      <c r="H2518" s="14"/>
      <c r="I2518" s="14"/>
      <c r="J2518" s="14"/>
      <c r="K2518" s="14"/>
      <c r="L2518" s="15"/>
      <c r="M2518" s="15"/>
      <c r="N2518" s="15"/>
      <c r="O2518" s="15"/>
      <c r="P2518" s="15"/>
      <c r="Q2518" s="14"/>
      <c r="R2518" s="14"/>
      <c r="S2518" s="14"/>
      <c r="T2518" s="14"/>
      <c r="U2518" s="15"/>
      <c r="V2518" s="14"/>
      <c r="W2518" s="14"/>
      <c r="X2518" s="14"/>
      <c r="Y2518" s="14"/>
      <c r="Z2518" s="14"/>
    </row>
    <row r="2519" spans="1:26" ht="13.2">
      <c r="A2519" s="13"/>
      <c r="B2519" s="14"/>
      <c r="C2519" s="14"/>
      <c r="D2519" s="14"/>
      <c r="E2519" s="14"/>
      <c r="F2519" s="14"/>
      <c r="G2519" s="14"/>
      <c r="H2519" s="14"/>
      <c r="I2519" s="14"/>
      <c r="J2519" s="14"/>
      <c r="K2519" s="14"/>
      <c r="L2519" s="15"/>
      <c r="M2519" s="15"/>
      <c r="N2519" s="15"/>
      <c r="O2519" s="15"/>
      <c r="P2519" s="15"/>
      <c r="Q2519" s="14"/>
      <c r="R2519" s="14"/>
      <c r="S2519" s="14"/>
      <c r="T2519" s="14"/>
      <c r="U2519" s="15"/>
      <c r="V2519" s="14"/>
      <c r="W2519" s="14"/>
      <c r="X2519" s="14"/>
      <c r="Y2519" s="14"/>
      <c r="Z2519" s="14"/>
    </row>
    <row r="2520" spans="1:26" ht="13.2">
      <c r="A2520" s="13"/>
      <c r="B2520" s="14"/>
      <c r="C2520" s="14"/>
      <c r="D2520" s="14"/>
      <c r="E2520" s="14"/>
      <c r="F2520" s="14"/>
      <c r="G2520" s="14"/>
      <c r="H2520" s="14"/>
      <c r="I2520" s="14"/>
      <c r="J2520" s="14"/>
      <c r="K2520" s="14"/>
      <c r="L2520" s="15"/>
      <c r="M2520" s="15"/>
      <c r="N2520" s="15"/>
      <c r="O2520" s="15"/>
      <c r="P2520" s="15"/>
      <c r="Q2520" s="14"/>
      <c r="R2520" s="14"/>
      <c r="S2520" s="14"/>
      <c r="T2520" s="14"/>
      <c r="U2520" s="15"/>
      <c r="V2520" s="14"/>
      <c r="W2520" s="14"/>
      <c r="X2520" s="14"/>
      <c r="Y2520" s="14"/>
      <c r="Z2520" s="14"/>
    </row>
    <row r="2521" spans="1:26" ht="13.2">
      <c r="A2521" s="13"/>
      <c r="B2521" s="14"/>
      <c r="C2521" s="14"/>
      <c r="D2521" s="14"/>
      <c r="E2521" s="14"/>
      <c r="F2521" s="14"/>
      <c r="G2521" s="14"/>
      <c r="H2521" s="14"/>
      <c r="I2521" s="14"/>
      <c r="J2521" s="14"/>
      <c r="K2521" s="14"/>
      <c r="L2521" s="15"/>
      <c r="M2521" s="15"/>
      <c r="N2521" s="15"/>
      <c r="O2521" s="15"/>
      <c r="P2521" s="15"/>
      <c r="Q2521" s="14"/>
      <c r="R2521" s="14"/>
      <c r="S2521" s="14"/>
      <c r="T2521" s="14"/>
      <c r="U2521" s="15"/>
      <c r="V2521" s="14"/>
      <c r="W2521" s="14"/>
      <c r="X2521" s="14"/>
      <c r="Y2521" s="14"/>
      <c r="Z2521" s="14"/>
    </row>
    <row r="2522" spans="1:26" ht="13.2">
      <c r="A2522" s="13"/>
      <c r="B2522" s="14"/>
      <c r="C2522" s="14"/>
      <c r="D2522" s="14"/>
      <c r="E2522" s="14"/>
      <c r="F2522" s="14"/>
      <c r="G2522" s="14"/>
      <c r="H2522" s="14"/>
      <c r="I2522" s="14"/>
      <c r="J2522" s="14"/>
      <c r="K2522" s="14"/>
      <c r="L2522" s="15"/>
      <c r="M2522" s="15"/>
      <c r="N2522" s="15"/>
      <c r="O2522" s="15"/>
      <c r="P2522" s="15"/>
      <c r="Q2522" s="14"/>
      <c r="R2522" s="14"/>
      <c r="S2522" s="14"/>
      <c r="T2522" s="14"/>
      <c r="U2522" s="15"/>
      <c r="V2522" s="14"/>
      <c r="W2522" s="14"/>
      <c r="X2522" s="14"/>
      <c r="Y2522" s="14"/>
      <c r="Z2522" s="14"/>
    </row>
    <row r="2523" spans="1:26" ht="13.2">
      <c r="A2523" s="13"/>
      <c r="B2523" s="14"/>
      <c r="C2523" s="14"/>
      <c r="D2523" s="14"/>
      <c r="E2523" s="14"/>
      <c r="F2523" s="14"/>
      <c r="G2523" s="14"/>
      <c r="H2523" s="14"/>
      <c r="I2523" s="14"/>
      <c r="J2523" s="14"/>
      <c r="K2523" s="14"/>
      <c r="L2523" s="15"/>
      <c r="M2523" s="15"/>
      <c r="N2523" s="15"/>
      <c r="O2523" s="15"/>
      <c r="P2523" s="15"/>
      <c r="Q2523" s="14"/>
      <c r="R2523" s="14"/>
      <c r="S2523" s="14"/>
      <c r="T2523" s="14"/>
      <c r="U2523" s="15"/>
      <c r="V2523" s="14"/>
      <c r="W2523" s="14"/>
      <c r="X2523" s="14"/>
      <c r="Y2523" s="14"/>
      <c r="Z2523" s="14"/>
    </row>
    <row r="2524" spans="1:26" ht="13.2">
      <c r="A2524" s="13"/>
      <c r="B2524" s="14"/>
      <c r="C2524" s="14"/>
      <c r="D2524" s="14"/>
      <c r="E2524" s="14"/>
      <c r="F2524" s="14"/>
      <c r="G2524" s="14"/>
      <c r="H2524" s="14"/>
      <c r="I2524" s="14"/>
      <c r="J2524" s="14"/>
      <c r="K2524" s="14"/>
      <c r="L2524" s="15"/>
      <c r="M2524" s="15"/>
      <c r="N2524" s="15"/>
      <c r="O2524" s="15"/>
      <c r="P2524" s="15"/>
      <c r="Q2524" s="14"/>
      <c r="R2524" s="14"/>
      <c r="S2524" s="14"/>
      <c r="T2524" s="14"/>
      <c r="U2524" s="15"/>
      <c r="V2524" s="14"/>
      <c r="W2524" s="14"/>
      <c r="X2524" s="14"/>
      <c r="Y2524" s="14"/>
      <c r="Z2524" s="14"/>
    </row>
    <row r="2525" spans="1:26" ht="13.2">
      <c r="A2525" s="13"/>
      <c r="B2525" s="14"/>
      <c r="C2525" s="14"/>
      <c r="D2525" s="14"/>
      <c r="E2525" s="14"/>
      <c r="F2525" s="14"/>
      <c r="G2525" s="14"/>
      <c r="H2525" s="14"/>
      <c r="I2525" s="14"/>
      <c r="J2525" s="14"/>
      <c r="K2525" s="14"/>
      <c r="L2525" s="15"/>
      <c r="M2525" s="15"/>
      <c r="N2525" s="15"/>
      <c r="O2525" s="15"/>
      <c r="P2525" s="15"/>
      <c r="Q2525" s="14"/>
      <c r="R2525" s="14"/>
      <c r="S2525" s="14"/>
      <c r="T2525" s="14"/>
      <c r="U2525" s="15"/>
      <c r="V2525" s="14"/>
      <c r="W2525" s="14"/>
      <c r="X2525" s="14"/>
      <c r="Y2525" s="14"/>
      <c r="Z2525" s="14"/>
    </row>
    <row r="2526" spans="1:26" ht="13.2">
      <c r="A2526" s="13"/>
      <c r="B2526" s="14"/>
      <c r="C2526" s="14"/>
      <c r="D2526" s="14"/>
      <c r="E2526" s="14"/>
      <c r="F2526" s="14"/>
      <c r="G2526" s="14"/>
      <c r="H2526" s="14"/>
      <c r="I2526" s="14"/>
      <c r="J2526" s="14"/>
      <c r="K2526" s="14"/>
      <c r="L2526" s="15"/>
      <c r="M2526" s="15"/>
      <c r="N2526" s="15"/>
      <c r="O2526" s="15"/>
      <c r="P2526" s="15"/>
      <c r="Q2526" s="14"/>
      <c r="R2526" s="14"/>
      <c r="S2526" s="14"/>
      <c r="T2526" s="14"/>
      <c r="U2526" s="15"/>
      <c r="V2526" s="14"/>
      <c r="W2526" s="14"/>
      <c r="X2526" s="14"/>
      <c r="Y2526" s="14"/>
      <c r="Z2526" s="14"/>
    </row>
    <row r="2527" spans="1:26" ht="13.2">
      <c r="A2527" s="13"/>
      <c r="B2527" s="14"/>
      <c r="C2527" s="14"/>
      <c r="D2527" s="14"/>
      <c r="E2527" s="14"/>
      <c r="F2527" s="14"/>
      <c r="G2527" s="14"/>
      <c r="H2527" s="14"/>
      <c r="I2527" s="14"/>
      <c r="J2527" s="14"/>
      <c r="K2527" s="14"/>
      <c r="L2527" s="15"/>
      <c r="M2527" s="15"/>
      <c r="N2527" s="15"/>
      <c r="O2527" s="15"/>
      <c r="P2527" s="15"/>
      <c r="Q2527" s="14"/>
      <c r="R2527" s="14"/>
      <c r="S2527" s="14"/>
      <c r="T2527" s="14"/>
      <c r="U2527" s="15"/>
      <c r="V2527" s="14"/>
      <c r="W2527" s="14"/>
      <c r="X2527" s="14"/>
      <c r="Y2527" s="14"/>
      <c r="Z2527" s="14"/>
    </row>
    <row r="2528" spans="1:26" ht="13.2">
      <c r="A2528" s="13"/>
      <c r="B2528" s="14"/>
      <c r="C2528" s="14"/>
      <c r="D2528" s="14"/>
      <c r="E2528" s="14"/>
      <c r="F2528" s="14"/>
      <c r="G2528" s="14"/>
      <c r="H2528" s="14"/>
      <c r="I2528" s="14"/>
      <c r="J2528" s="14"/>
      <c r="K2528" s="14"/>
      <c r="L2528" s="15"/>
      <c r="M2528" s="15"/>
      <c r="N2528" s="15"/>
      <c r="O2528" s="15"/>
      <c r="P2528" s="15"/>
      <c r="Q2528" s="14"/>
      <c r="R2528" s="14"/>
      <c r="S2528" s="14"/>
      <c r="T2528" s="14"/>
      <c r="U2528" s="15"/>
      <c r="V2528" s="14"/>
      <c r="W2528" s="14"/>
      <c r="X2528" s="14"/>
      <c r="Y2528" s="14"/>
      <c r="Z2528" s="14"/>
    </row>
    <row r="2529" spans="1:26" ht="13.2">
      <c r="A2529" s="13"/>
      <c r="B2529" s="14"/>
      <c r="C2529" s="14"/>
      <c r="D2529" s="14"/>
      <c r="E2529" s="14"/>
      <c r="F2529" s="14"/>
      <c r="G2529" s="14"/>
      <c r="H2529" s="14"/>
      <c r="I2529" s="14"/>
      <c r="J2529" s="14"/>
      <c r="K2529" s="14"/>
      <c r="L2529" s="15"/>
      <c r="M2529" s="15"/>
      <c r="N2529" s="15"/>
      <c r="O2529" s="15"/>
      <c r="P2529" s="15"/>
      <c r="Q2529" s="14"/>
      <c r="R2529" s="14"/>
      <c r="S2529" s="14"/>
      <c r="T2529" s="14"/>
      <c r="U2529" s="15"/>
      <c r="V2529" s="14"/>
      <c r="W2529" s="14"/>
      <c r="X2529" s="14"/>
      <c r="Y2529" s="14"/>
      <c r="Z2529" s="14"/>
    </row>
    <row r="2530" spans="1:26" ht="13.2">
      <c r="A2530" s="13"/>
      <c r="B2530" s="14"/>
      <c r="C2530" s="14"/>
      <c r="D2530" s="14"/>
      <c r="E2530" s="14"/>
      <c r="F2530" s="14"/>
      <c r="G2530" s="14"/>
      <c r="H2530" s="14"/>
      <c r="I2530" s="14"/>
      <c r="J2530" s="14"/>
      <c r="K2530" s="14"/>
      <c r="L2530" s="15"/>
      <c r="M2530" s="15"/>
      <c r="N2530" s="15"/>
      <c r="O2530" s="15"/>
      <c r="P2530" s="15"/>
      <c r="Q2530" s="14"/>
      <c r="R2530" s="14"/>
      <c r="S2530" s="14"/>
      <c r="T2530" s="14"/>
      <c r="U2530" s="15"/>
      <c r="V2530" s="14"/>
      <c r="W2530" s="14"/>
      <c r="X2530" s="14"/>
      <c r="Y2530" s="14"/>
      <c r="Z2530" s="14"/>
    </row>
    <row r="2531" spans="1:26" ht="13.2">
      <c r="A2531" s="13"/>
      <c r="B2531" s="14"/>
      <c r="C2531" s="14"/>
      <c r="D2531" s="14"/>
      <c r="E2531" s="14"/>
      <c r="F2531" s="14"/>
      <c r="G2531" s="14"/>
      <c r="H2531" s="14"/>
      <c r="I2531" s="14"/>
      <c r="J2531" s="14"/>
      <c r="K2531" s="14"/>
      <c r="L2531" s="15"/>
      <c r="M2531" s="15"/>
      <c r="N2531" s="15"/>
      <c r="O2531" s="15"/>
      <c r="P2531" s="15"/>
      <c r="Q2531" s="14"/>
      <c r="R2531" s="14"/>
      <c r="S2531" s="14"/>
      <c r="T2531" s="14"/>
      <c r="U2531" s="15"/>
      <c r="V2531" s="14"/>
      <c r="W2531" s="14"/>
      <c r="X2531" s="14"/>
      <c r="Y2531" s="14"/>
      <c r="Z2531" s="14"/>
    </row>
    <row r="2532" spans="1:26" ht="13.2">
      <c r="A2532" s="13"/>
      <c r="B2532" s="14"/>
      <c r="C2532" s="14"/>
      <c r="D2532" s="14"/>
      <c r="E2532" s="14"/>
      <c r="F2532" s="14"/>
      <c r="G2532" s="14"/>
      <c r="H2532" s="14"/>
      <c r="I2532" s="14"/>
      <c r="J2532" s="14"/>
      <c r="K2532" s="14"/>
      <c r="L2532" s="15"/>
      <c r="M2532" s="15"/>
      <c r="N2532" s="15"/>
      <c r="O2532" s="15"/>
      <c r="P2532" s="15"/>
      <c r="Q2532" s="14"/>
      <c r="R2532" s="14"/>
      <c r="S2532" s="14"/>
      <c r="T2532" s="14"/>
      <c r="U2532" s="15"/>
      <c r="V2532" s="14"/>
      <c r="W2532" s="14"/>
      <c r="X2532" s="14"/>
      <c r="Y2532" s="14"/>
      <c r="Z2532" s="14"/>
    </row>
    <row r="2533" spans="1:26" ht="13.2">
      <c r="A2533" s="13"/>
      <c r="B2533" s="14"/>
      <c r="C2533" s="14"/>
      <c r="D2533" s="14"/>
      <c r="E2533" s="14"/>
      <c r="F2533" s="14"/>
      <c r="G2533" s="14"/>
      <c r="H2533" s="14"/>
      <c r="I2533" s="14"/>
      <c r="J2533" s="14"/>
      <c r="K2533" s="14"/>
      <c r="L2533" s="15"/>
      <c r="M2533" s="15"/>
      <c r="N2533" s="15"/>
      <c r="O2533" s="15"/>
      <c r="P2533" s="15"/>
      <c r="Q2533" s="14"/>
      <c r="R2533" s="14"/>
      <c r="S2533" s="14"/>
      <c r="T2533" s="14"/>
      <c r="U2533" s="15"/>
      <c r="V2533" s="14"/>
      <c r="W2533" s="14"/>
      <c r="X2533" s="14"/>
      <c r="Y2533" s="14"/>
      <c r="Z2533" s="14"/>
    </row>
    <row r="2534" spans="1:26" ht="13.2">
      <c r="A2534" s="13"/>
      <c r="B2534" s="14"/>
      <c r="C2534" s="14"/>
      <c r="D2534" s="14"/>
      <c r="E2534" s="14"/>
      <c r="F2534" s="14"/>
      <c r="G2534" s="14"/>
      <c r="H2534" s="14"/>
      <c r="I2534" s="14"/>
      <c r="J2534" s="14"/>
      <c r="K2534" s="14"/>
      <c r="L2534" s="15"/>
      <c r="M2534" s="15"/>
      <c r="N2534" s="15"/>
      <c r="O2534" s="15"/>
      <c r="P2534" s="15"/>
      <c r="Q2534" s="14"/>
      <c r="R2534" s="14"/>
      <c r="S2534" s="14"/>
      <c r="T2534" s="14"/>
      <c r="U2534" s="15"/>
      <c r="V2534" s="14"/>
      <c r="W2534" s="14"/>
      <c r="X2534" s="14"/>
      <c r="Y2534" s="14"/>
      <c r="Z2534" s="14"/>
    </row>
    <row r="2535" spans="1:26" ht="13.2">
      <c r="A2535" s="13"/>
      <c r="B2535" s="14"/>
      <c r="C2535" s="14"/>
      <c r="D2535" s="14"/>
      <c r="E2535" s="14"/>
      <c r="F2535" s="14"/>
      <c r="G2535" s="14"/>
      <c r="H2535" s="14"/>
      <c r="I2535" s="14"/>
      <c r="J2535" s="14"/>
      <c r="K2535" s="14"/>
      <c r="L2535" s="15"/>
      <c r="M2535" s="15"/>
      <c r="N2535" s="15"/>
      <c r="O2535" s="15"/>
      <c r="P2535" s="15"/>
      <c r="Q2535" s="14"/>
      <c r="R2535" s="14"/>
      <c r="S2535" s="14"/>
      <c r="T2535" s="14"/>
      <c r="U2535" s="15"/>
      <c r="V2535" s="14"/>
      <c r="W2535" s="14"/>
      <c r="X2535" s="14"/>
      <c r="Y2535" s="14"/>
      <c r="Z2535" s="14"/>
    </row>
    <row r="2536" spans="1:26" ht="13.2">
      <c r="A2536" s="13"/>
      <c r="B2536" s="14"/>
      <c r="C2536" s="14"/>
      <c r="D2536" s="14"/>
      <c r="E2536" s="14"/>
      <c r="F2536" s="14"/>
      <c r="G2536" s="14"/>
      <c r="H2536" s="14"/>
      <c r="I2536" s="14"/>
      <c r="J2536" s="14"/>
      <c r="K2536" s="14"/>
      <c r="L2536" s="15"/>
      <c r="M2536" s="15"/>
      <c r="N2536" s="15"/>
      <c r="O2536" s="15"/>
      <c r="P2536" s="15"/>
      <c r="Q2536" s="14"/>
      <c r="R2536" s="14"/>
      <c r="S2536" s="14"/>
      <c r="T2536" s="14"/>
      <c r="U2536" s="15"/>
      <c r="V2536" s="14"/>
      <c r="W2536" s="14"/>
      <c r="X2536" s="14"/>
      <c r="Y2536" s="14"/>
      <c r="Z2536" s="14"/>
    </row>
    <row r="2537" spans="1:26" ht="13.2">
      <c r="A2537" s="13"/>
      <c r="B2537" s="14"/>
      <c r="C2537" s="14"/>
      <c r="D2537" s="14"/>
      <c r="E2537" s="14"/>
      <c r="F2537" s="14"/>
      <c r="G2537" s="14"/>
      <c r="H2537" s="14"/>
      <c r="I2537" s="14"/>
      <c r="J2537" s="14"/>
      <c r="K2537" s="14"/>
      <c r="L2537" s="15"/>
      <c r="M2537" s="15"/>
      <c r="N2537" s="15"/>
      <c r="O2537" s="15"/>
      <c r="P2537" s="15"/>
      <c r="Q2537" s="14"/>
      <c r="R2537" s="14"/>
      <c r="S2537" s="14"/>
      <c r="T2537" s="14"/>
      <c r="U2537" s="15"/>
      <c r="V2537" s="14"/>
      <c r="W2537" s="14"/>
      <c r="X2537" s="14"/>
      <c r="Y2537" s="14"/>
      <c r="Z2537" s="14"/>
    </row>
    <row r="2538" spans="1:26" ht="13.2">
      <c r="A2538" s="13"/>
      <c r="B2538" s="14"/>
      <c r="C2538" s="14"/>
      <c r="D2538" s="14"/>
      <c r="E2538" s="14"/>
      <c r="F2538" s="14"/>
      <c r="G2538" s="14"/>
      <c r="H2538" s="14"/>
      <c r="I2538" s="14"/>
      <c r="J2538" s="14"/>
      <c r="K2538" s="14"/>
      <c r="L2538" s="15"/>
      <c r="M2538" s="15"/>
      <c r="N2538" s="15"/>
      <c r="O2538" s="15"/>
      <c r="P2538" s="15"/>
      <c r="Q2538" s="14"/>
      <c r="R2538" s="14"/>
      <c r="S2538" s="14"/>
      <c r="T2538" s="14"/>
      <c r="U2538" s="15"/>
      <c r="V2538" s="14"/>
      <c r="W2538" s="14"/>
      <c r="X2538" s="14"/>
      <c r="Y2538" s="14"/>
      <c r="Z2538" s="14"/>
    </row>
    <row r="2539" spans="1:26" ht="13.2">
      <c r="A2539" s="13"/>
      <c r="B2539" s="14"/>
      <c r="C2539" s="14"/>
      <c r="D2539" s="14"/>
      <c r="E2539" s="14"/>
      <c r="F2539" s="14"/>
      <c r="G2539" s="14"/>
      <c r="H2539" s="14"/>
      <c r="I2539" s="14"/>
      <c r="J2539" s="14"/>
      <c r="K2539" s="14"/>
      <c r="L2539" s="15"/>
      <c r="M2539" s="15"/>
      <c r="N2539" s="15"/>
      <c r="O2539" s="15"/>
      <c r="P2539" s="15"/>
      <c r="Q2539" s="14"/>
      <c r="R2539" s="14"/>
      <c r="S2539" s="14"/>
      <c r="T2539" s="14"/>
      <c r="U2539" s="15"/>
      <c r="V2539" s="14"/>
      <c r="W2539" s="14"/>
      <c r="X2539" s="14"/>
      <c r="Y2539" s="14"/>
      <c r="Z2539" s="14"/>
    </row>
    <row r="2540" spans="1:26" ht="13.2">
      <c r="A2540" s="13"/>
      <c r="B2540" s="14"/>
      <c r="C2540" s="14"/>
      <c r="D2540" s="14"/>
      <c r="E2540" s="14"/>
      <c r="F2540" s="14"/>
      <c r="G2540" s="14"/>
      <c r="H2540" s="14"/>
      <c r="I2540" s="14"/>
      <c r="J2540" s="14"/>
      <c r="K2540" s="14"/>
      <c r="L2540" s="15"/>
      <c r="M2540" s="15"/>
      <c r="N2540" s="15"/>
      <c r="O2540" s="15"/>
      <c r="P2540" s="15"/>
      <c r="Q2540" s="14"/>
      <c r="R2540" s="14"/>
      <c r="S2540" s="14"/>
      <c r="T2540" s="14"/>
      <c r="U2540" s="15"/>
      <c r="V2540" s="14"/>
      <c r="W2540" s="14"/>
      <c r="X2540" s="14"/>
      <c r="Y2540" s="14"/>
      <c r="Z2540" s="14"/>
    </row>
    <row r="2541" spans="1:26" ht="13.2">
      <c r="A2541" s="13"/>
      <c r="B2541" s="14"/>
      <c r="C2541" s="14"/>
      <c r="D2541" s="14"/>
      <c r="E2541" s="14"/>
      <c r="F2541" s="14"/>
      <c r="G2541" s="14"/>
      <c r="H2541" s="14"/>
      <c r="I2541" s="14"/>
      <c r="J2541" s="14"/>
      <c r="K2541" s="14"/>
      <c r="L2541" s="15"/>
      <c r="M2541" s="15"/>
      <c r="N2541" s="15"/>
      <c r="O2541" s="15"/>
      <c r="P2541" s="15"/>
      <c r="Q2541" s="14"/>
      <c r="R2541" s="14"/>
      <c r="S2541" s="14"/>
      <c r="T2541" s="14"/>
      <c r="U2541" s="15"/>
      <c r="V2541" s="14"/>
      <c r="W2541" s="14"/>
      <c r="X2541" s="14"/>
      <c r="Y2541" s="14"/>
      <c r="Z2541" s="14"/>
    </row>
    <row r="2542" spans="1:26" ht="13.2">
      <c r="A2542" s="13"/>
      <c r="B2542" s="14"/>
      <c r="C2542" s="14"/>
      <c r="D2542" s="14"/>
      <c r="E2542" s="14"/>
      <c r="F2542" s="14"/>
      <c r="G2542" s="14"/>
      <c r="H2542" s="14"/>
      <c r="I2542" s="14"/>
      <c r="J2542" s="14"/>
      <c r="K2542" s="14"/>
      <c r="L2542" s="15"/>
      <c r="M2542" s="15"/>
      <c r="N2542" s="15"/>
      <c r="O2542" s="15"/>
      <c r="P2542" s="15"/>
      <c r="Q2542" s="14"/>
      <c r="R2542" s="14"/>
      <c r="S2542" s="14"/>
      <c r="T2542" s="14"/>
      <c r="U2542" s="15"/>
      <c r="V2542" s="14"/>
      <c r="W2542" s="14"/>
      <c r="X2542" s="14"/>
      <c r="Y2542" s="14"/>
      <c r="Z2542" s="14"/>
    </row>
    <row r="2543" spans="1:26" ht="13.2">
      <c r="A2543" s="13"/>
      <c r="B2543" s="14"/>
      <c r="C2543" s="14"/>
      <c r="D2543" s="14"/>
      <c r="E2543" s="14"/>
      <c r="F2543" s="14"/>
      <c r="G2543" s="14"/>
      <c r="H2543" s="14"/>
      <c r="I2543" s="14"/>
      <c r="J2543" s="14"/>
      <c r="K2543" s="14"/>
      <c r="L2543" s="15"/>
      <c r="M2543" s="15"/>
      <c r="N2543" s="15"/>
      <c r="O2543" s="15"/>
      <c r="P2543" s="15"/>
      <c r="Q2543" s="14"/>
      <c r="R2543" s="14"/>
      <c r="S2543" s="14"/>
      <c r="T2543" s="14"/>
      <c r="U2543" s="15"/>
      <c r="V2543" s="14"/>
      <c r="W2543" s="14"/>
      <c r="X2543" s="14"/>
      <c r="Y2543" s="14"/>
      <c r="Z2543" s="14"/>
    </row>
    <row r="2544" spans="1:26" ht="13.2">
      <c r="A2544" s="13"/>
      <c r="B2544" s="14"/>
      <c r="C2544" s="14"/>
      <c r="D2544" s="14"/>
      <c r="E2544" s="14"/>
      <c r="F2544" s="14"/>
      <c r="G2544" s="14"/>
      <c r="H2544" s="14"/>
      <c r="I2544" s="14"/>
      <c r="J2544" s="14"/>
      <c r="K2544" s="14"/>
      <c r="L2544" s="15"/>
      <c r="M2544" s="15"/>
      <c r="N2544" s="15"/>
      <c r="O2544" s="15"/>
      <c r="P2544" s="15"/>
      <c r="Q2544" s="14"/>
      <c r="R2544" s="14"/>
      <c r="S2544" s="14"/>
      <c r="T2544" s="14"/>
      <c r="U2544" s="15"/>
      <c r="V2544" s="14"/>
      <c r="W2544" s="14"/>
      <c r="X2544" s="14"/>
      <c r="Y2544" s="14"/>
      <c r="Z2544" s="14"/>
    </row>
    <row r="2545" spans="1:26" ht="13.2">
      <c r="A2545" s="13"/>
      <c r="B2545" s="14"/>
      <c r="C2545" s="14"/>
      <c r="D2545" s="14"/>
      <c r="E2545" s="14"/>
      <c r="F2545" s="14"/>
      <c r="G2545" s="14"/>
      <c r="H2545" s="14"/>
      <c r="I2545" s="14"/>
      <c r="J2545" s="14"/>
      <c r="K2545" s="14"/>
      <c r="L2545" s="15"/>
      <c r="M2545" s="15"/>
      <c r="N2545" s="15"/>
      <c r="O2545" s="15"/>
      <c r="P2545" s="15"/>
      <c r="Q2545" s="14"/>
      <c r="R2545" s="14"/>
      <c r="S2545" s="14"/>
      <c r="T2545" s="14"/>
      <c r="U2545" s="15"/>
      <c r="V2545" s="14"/>
      <c r="W2545" s="14"/>
      <c r="X2545" s="14"/>
      <c r="Y2545" s="14"/>
      <c r="Z2545" s="14"/>
    </row>
    <row r="2546" spans="1:26" ht="13.2">
      <c r="A2546" s="13"/>
      <c r="B2546" s="14"/>
      <c r="C2546" s="14"/>
      <c r="D2546" s="14"/>
      <c r="E2546" s="14"/>
      <c r="F2546" s="14"/>
      <c r="G2546" s="14"/>
      <c r="H2546" s="14"/>
      <c r="I2546" s="14"/>
      <c r="J2546" s="14"/>
      <c r="K2546" s="14"/>
      <c r="L2546" s="15"/>
      <c r="M2546" s="15"/>
      <c r="N2546" s="15"/>
      <c r="O2546" s="15"/>
      <c r="P2546" s="15"/>
      <c r="Q2546" s="14"/>
      <c r="R2546" s="14"/>
      <c r="S2546" s="14"/>
      <c r="T2546" s="14"/>
      <c r="U2546" s="15"/>
      <c r="V2546" s="14"/>
      <c r="W2546" s="14"/>
      <c r="X2546" s="14"/>
      <c r="Y2546" s="14"/>
      <c r="Z2546" s="14"/>
    </row>
    <row r="2547" spans="1:26" ht="13.2">
      <c r="A2547" s="13"/>
      <c r="B2547" s="14"/>
      <c r="C2547" s="14"/>
      <c r="D2547" s="14"/>
      <c r="E2547" s="14"/>
      <c r="F2547" s="14"/>
      <c r="G2547" s="14"/>
      <c r="H2547" s="14"/>
      <c r="I2547" s="14"/>
      <c r="J2547" s="14"/>
      <c r="K2547" s="14"/>
      <c r="L2547" s="15"/>
      <c r="M2547" s="15"/>
      <c r="N2547" s="15"/>
      <c r="O2547" s="15"/>
      <c r="P2547" s="15"/>
      <c r="Q2547" s="14"/>
      <c r="R2547" s="14"/>
      <c r="S2547" s="14"/>
      <c r="T2547" s="14"/>
      <c r="U2547" s="15"/>
      <c r="V2547" s="14"/>
      <c r="W2547" s="14"/>
      <c r="X2547" s="14"/>
      <c r="Y2547" s="14"/>
      <c r="Z2547" s="14"/>
    </row>
    <row r="2548" spans="1:26" ht="13.2">
      <c r="A2548" s="13"/>
      <c r="B2548" s="14"/>
      <c r="C2548" s="14"/>
      <c r="D2548" s="14"/>
      <c r="E2548" s="14"/>
      <c r="F2548" s="14"/>
      <c r="G2548" s="14"/>
      <c r="H2548" s="14"/>
      <c r="I2548" s="14"/>
      <c r="J2548" s="14"/>
      <c r="K2548" s="14"/>
      <c r="L2548" s="15"/>
      <c r="M2548" s="15"/>
      <c r="N2548" s="15"/>
      <c r="O2548" s="15"/>
      <c r="P2548" s="15"/>
      <c r="Q2548" s="14"/>
      <c r="R2548" s="14"/>
      <c r="S2548" s="14"/>
      <c r="T2548" s="14"/>
      <c r="U2548" s="15"/>
      <c r="V2548" s="14"/>
      <c r="W2548" s="14"/>
      <c r="X2548" s="14"/>
      <c r="Y2548" s="14"/>
      <c r="Z2548" s="14"/>
    </row>
    <row r="2549" spans="1:26" ht="13.2">
      <c r="A2549" s="13"/>
      <c r="B2549" s="14"/>
      <c r="C2549" s="14"/>
      <c r="D2549" s="14"/>
      <c r="E2549" s="14"/>
      <c r="F2549" s="14"/>
      <c r="G2549" s="14"/>
      <c r="H2549" s="14"/>
      <c r="I2549" s="14"/>
      <c r="J2549" s="14"/>
      <c r="K2549" s="14"/>
      <c r="L2549" s="15"/>
      <c r="M2549" s="15"/>
      <c r="N2549" s="15"/>
      <c r="O2549" s="15"/>
      <c r="P2549" s="15"/>
      <c r="Q2549" s="14"/>
      <c r="R2549" s="14"/>
      <c r="S2549" s="14"/>
      <c r="T2549" s="14"/>
      <c r="U2549" s="15"/>
      <c r="V2549" s="14"/>
      <c r="W2549" s="14"/>
      <c r="X2549" s="14"/>
      <c r="Y2549" s="14"/>
      <c r="Z2549" s="14"/>
    </row>
    <row r="2550" spans="1:26" ht="13.2">
      <c r="A2550" s="13"/>
      <c r="B2550" s="14"/>
      <c r="C2550" s="14"/>
      <c r="D2550" s="14"/>
      <c r="E2550" s="14"/>
      <c r="F2550" s="14"/>
      <c r="G2550" s="14"/>
      <c r="H2550" s="14"/>
      <c r="I2550" s="14"/>
      <c r="J2550" s="14"/>
      <c r="K2550" s="14"/>
      <c r="L2550" s="15"/>
      <c r="M2550" s="15"/>
      <c r="N2550" s="15"/>
      <c r="O2550" s="15"/>
      <c r="P2550" s="15"/>
      <c r="Q2550" s="14"/>
      <c r="R2550" s="14"/>
      <c r="S2550" s="14"/>
      <c r="T2550" s="14"/>
      <c r="U2550" s="15"/>
      <c r="V2550" s="14"/>
      <c r="W2550" s="14"/>
      <c r="X2550" s="14"/>
      <c r="Y2550" s="14"/>
      <c r="Z2550" s="14"/>
    </row>
    <row r="2551" spans="1:26" ht="13.2">
      <c r="A2551" s="13"/>
      <c r="B2551" s="14"/>
      <c r="C2551" s="14"/>
      <c r="D2551" s="14"/>
      <c r="E2551" s="14"/>
      <c r="F2551" s="14"/>
      <c r="G2551" s="14"/>
      <c r="H2551" s="14"/>
      <c r="I2551" s="14"/>
      <c r="J2551" s="14"/>
      <c r="K2551" s="14"/>
      <c r="L2551" s="15"/>
      <c r="M2551" s="15"/>
      <c r="N2551" s="15"/>
      <c r="O2551" s="15"/>
      <c r="P2551" s="15"/>
      <c r="Q2551" s="14"/>
      <c r="R2551" s="14"/>
      <c r="S2551" s="14"/>
      <c r="T2551" s="14"/>
      <c r="U2551" s="15"/>
      <c r="V2551" s="14"/>
      <c r="W2551" s="14"/>
      <c r="X2551" s="14"/>
      <c r="Y2551" s="14"/>
      <c r="Z2551" s="14"/>
    </row>
    <row r="2552" spans="1:26" ht="13.2">
      <c r="A2552" s="13"/>
      <c r="B2552" s="14"/>
      <c r="C2552" s="14"/>
      <c r="D2552" s="14"/>
      <c r="E2552" s="14"/>
      <c r="F2552" s="14"/>
      <c r="G2552" s="14"/>
      <c r="H2552" s="14"/>
      <c r="I2552" s="14"/>
      <c r="J2552" s="14"/>
      <c r="K2552" s="14"/>
      <c r="L2552" s="15"/>
      <c r="M2552" s="15"/>
      <c r="N2552" s="15"/>
      <c r="O2552" s="15"/>
      <c r="P2552" s="15"/>
      <c r="Q2552" s="14"/>
      <c r="R2552" s="14"/>
      <c r="S2552" s="14"/>
      <c r="T2552" s="14"/>
      <c r="U2552" s="15"/>
      <c r="V2552" s="14"/>
      <c r="W2552" s="14"/>
      <c r="X2552" s="14"/>
      <c r="Y2552" s="14"/>
      <c r="Z2552" s="14"/>
    </row>
    <row r="2553" spans="1:26" ht="13.2">
      <c r="A2553" s="13"/>
      <c r="B2553" s="14"/>
      <c r="C2553" s="14"/>
      <c r="D2553" s="14"/>
      <c r="E2553" s="14"/>
      <c r="F2553" s="14"/>
      <c r="G2553" s="14"/>
      <c r="H2553" s="14"/>
      <c r="I2553" s="14"/>
      <c r="J2553" s="14"/>
      <c r="K2553" s="14"/>
      <c r="L2553" s="15"/>
      <c r="M2553" s="15"/>
      <c r="N2553" s="15"/>
      <c r="O2553" s="15"/>
      <c r="P2553" s="15"/>
      <c r="Q2553" s="14"/>
      <c r="R2553" s="14"/>
      <c r="S2553" s="14"/>
      <c r="T2553" s="14"/>
      <c r="U2553" s="15"/>
      <c r="V2553" s="14"/>
      <c r="W2553" s="14"/>
      <c r="X2553" s="14"/>
      <c r="Y2553" s="14"/>
      <c r="Z2553" s="14"/>
    </row>
    <row r="2554" spans="1:26" ht="13.2">
      <c r="A2554" s="13"/>
      <c r="B2554" s="14"/>
      <c r="C2554" s="14"/>
      <c r="D2554" s="14"/>
      <c r="E2554" s="14"/>
      <c r="F2554" s="14"/>
      <c r="G2554" s="14"/>
      <c r="H2554" s="14"/>
      <c r="I2554" s="14"/>
      <c r="J2554" s="14"/>
      <c r="K2554" s="14"/>
      <c r="L2554" s="15"/>
      <c r="M2554" s="15"/>
      <c r="N2554" s="15"/>
      <c r="O2554" s="15"/>
      <c r="P2554" s="15"/>
      <c r="Q2554" s="14"/>
      <c r="R2554" s="14"/>
      <c r="S2554" s="14"/>
      <c r="T2554" s="14"/>
      <c r="U2554" s="15"/>
      <c r="V2554" s="14"/>
      <c r="W2554" s="14"/>
      <c r="X2554" s="14"/>
      <c r="Y2554" s="14"/>
      <c r="Z2554" s="14"/>
    </row>
    <row r="2555" spans="1:26" ht="13.2">
      <c r="A2555" s="13"/>
      <c r="B2555" s="14"/>
      <c r="C2555" s="14"/>
      <c r="D2555" s="14"/>
      <c r="E2555" s="14"/>
      <c r="F2555" s="14"/>
      <c r="G2555" s="14"/>
      <c r="H2555" s="14"/>
      <c r="I2555" s="14"/>
      <c r="J2555" s="14"/>
      <c r="K2555" s="14"/>
      <c r="L2555" s="15"/>
      <c r="M2555" s="15"/>
      <c r="N2555" s="15"/>
      <c r="O2555" s="15"/>
      <c r="P2555" s="15"/>
      <c r="Q2555" s="14"/>
      <c r="R2555" s="14"/>
      <c r="S2555" s="14"/>
      <c r="T2555" s="14"/>
      <c r="U2555" s="15"/>
      <c r="V2555" s="14"/>
      <c r="W2555" s="14"/>
      <c r="X2555" s="14"/>
      <c r="Y2555" s="14"/>
      <c r="Z2555" s="14"/>
    </row>
    <row r="2556" spans="1:26" ht="13.2">
      <c r="A2556" s="13"/>
      <c r="B2556" s="14"/>
      <c r="C2556" s="14"/>
      <c r="D2556" s="14"/>
      <c r="E2556" s="14"/>
      <c r="F2556" s="14"/>
      <c r="G2556" s="14"/>
      <c r="H2556" s="14"/>
      <c r="I2556" s="14"/>
      <c r="J2556" s="14"/>
      <c r="K2556" s="14"/>
      <c r="L2556" s="15"/>
      <c r="M2556" s="15"/>
      <c r="N2556" s="15"/>
      <c r="O2556" s="15"/>
      <c r="P2556" s="15"/>
      <c r="Q2556" s="14"/>
      <c r="R2556" s="14"/>
      <c r="S2556" s="14"/>
      <c r="T2556" s="14"/>
      <c r="U2556" s="15"/>
      <c r="V2556" s="14"/>
      <c r="W2556" s="14"/>
      <c r="X2556" s="14"/>
      <c r="Y2556" s="14"/>
      <c r="Z2556" s="14"/>
    </row>
    <row r="2557" spans="1:26" ht="13.2">
      <c r="A2557" s="13"/>
      <c r="B2557" s="14"/>
      <c r="C2557" s="14"/>
      <c r="D2557" s="14"/>
      <c r="E2557" s="14"/>
      <c r="F2557" s="14"/>
      <c r="G2557" s="14"/>
      <c r="H2557" s="14"/>
      <c r="I2557" s="14"/>
      <c r="J2557" s="14"/>
      <c r="K2557" s="14"/>
      <c r="L2557" s="15"/>
      <c r="M2557" s="15"/>
      <c r="N2557" s="15"/>
      <c r="O2557" s="15"/>
      <c r="P2557" s="15"/>
      <c r="Q2557" s="14"/>
      <c r="R2557" s="14"/>
      <c r="S2557" s="14"/>
      <c r="T2557" s="14"/>
      <c r="U2557" s="15"/>
      <c r="V2557" s="14"/>
      <c r="W2557" s="14"/>
      <c r="X2557" s="14"/>
      <c r="Y2557" s="14"/>
      <c r="Z2557" s="14"/>
    </row>
    <row r="2558" spans="1:26" ht="13.2">
      <c r="A2558" s="13"/>
      <c r="B2558" s="14"/>
      <c r="C2558" s="14"/>
      <c r="D2558" s="14"/>
      <c r="E2558" s="14"/>
      <c r="F2558" s="14"/>
      <c r="G2558" s="14"/>
      <c r="H2558" s="14"/>
      <c r="I2558" s="14"/>
      <c r="J2558" s="14"/>
      <c r="K2558" s="14"/>
      <c r="L2558" s="15"/>
      <c r="M2558" s="15"/>
      <c r="N2558" s="15"/>
      <c r="O2558" s="15"/>
      <c r="P2558" s="15"/>
      <c r="Q2558" s="14"/>
      <c r="R2558" s="14"/>
      <c r="S2558" s="14"/>
      <c r="T2558" s="14"/>
      <c r="U2558" s="15"/>
      <c r="V2558" s="14"/>
      <c r="W2558" s="14"/>
      <c r="X2558" s="14"/>
      <c r="Y2558" s="14"/>
      <c r="Z2558" s="14"/>
    </row>
    <row r="2559" spans="1:26" ht="13.2">
      <c r="A2559" s="13"/>
      <c r="B2559" s="14"/>
      <c r="C2559" s="14"/>
      <c r="D2559" s="14"/>
      <c r="E2559" s="14"/>
      <c r="F2559" s="14"/>
      <c r="G2559" s="14"/>
      <c r="H2559" s="14"/>
      <c r="I2559" s="14"/>
      <c r="J2559" s="14"/>
      <c r="K2559" s="14"/>
      <c r="L2559" s="15"/>
      <c r="M2559" s="15"/>
      <c r="N2559" s="15"/>
      <c r="O2559" s="15"/>
      <c r="P2559" s="15"/>
      <c r="Q2559" s="14"/>
      <c r="R2559" s="14"/>
      <c r="S2559" s="14"/>
      <c r="T2559" s="14"/>
      <c r="U2559" s="15"/>
      <c r="V2559" s="14"/>
      <c r="W2559" s="14"/>
      <c r="X2559" s="14"/>
      <c r="Y2559" s="14"/>
      <c r="Z2559" s="14"/>
    </row>
    <row r="2560" spans="1:26" ht="13.2">
      <c r="A2560" s="13"/>
      <c r="B2560" s="14"/>
      <c r="C2560" s="14"/>
      <c r="D2560" s="14"/>
      <c r="E2560" s="14"/>
      <c r="F2560" s="14"/>
      <c r="G2560" s="14"/>
      <c r="H2560" s="14"/>
      <c r="I2560" s="14"/>
      <c r="J2560" s="14"/>
      <c r="K2560" s="14"/>
      <c r="L2560" s="15"/>
      <c r="M2560" s="15"/>
      <c r="N2560" s="15"/>
      <c r="O2560" s="15"/>
      <c r="P2560" s="15"/>
      <c r="Q2560" s="14"/>
      <c r="R2560" s="14"/>
      <c r="S2560" s="14"/>
      <c r="T2560" s="14"/>
      <c r="U2560" s="15"/>
      <c r="V2560" s="14"/>
      <c r="W2560" s="14"/>
      <c r="X2560" s="14"/>
      <c r="Y2560" s="14"/>
      <c r="Z2560" s="14"/>
    </row>
    <row r="2561" spans="1:26" ht="13.2">
      <c r="A2561" s="13"/>
      <c r="B2561" s="14"/>
      <c r="C2561" s="14"/>
      <c r="D2561" s="14"/>
      <c r="E2561" s="14"/>
      <c r="F2561" s="14"/>
      <c r="G2561" s="14"/>
      <c r="H2561" s="14"/>
      <c r="I2561" s="14"/>
      <c r="J2561" s="14"/>
      <c r="K2561" s="14"/>
      <c r="L2561" s="15"/>
      <c r="M2561" s="15"/>
      <c r="N2561" s="15"/>
      <c r="O2561" s="15"/>
      <c r="P2561" s="15"/>
      <c r="Q2561" s="14"/>
      <c r="R2561" s="14"/>
      <c r="S2561" s="14"/>
      <c r="T2561" s="14"/>
      <c r="U2561" s="15"/>
      <c r="V2561" s="14"/>
      <c r="W2561" s="14"/>
      <c r="X2561" s="14"/>
      <c r="Y2561" s="14"/>
      <c r="Z2561" s="14"/>
    </row>
    <row r="2562" spans="1:26" ht="13.2">
      <c r="A2562" s="13"/>
      <c r="B2562" s="14"/>
      <c r="C2562" s="14"/>
      <c r="D2562" s="14"/>
      <c r="E2562" s="14"/>
      <c r="F2562" s="14"/>
      <c r="G2562" s="14"/>
      <c r="H2562" s="14"/>
      <c r="I2562" s="14"/>
      <c r="J2562" s="14"/>
      <c r="K2562" s="14"/>
      <c r="L2562" s="15"/>
      <c r="M2562" s="15"/>
      <c r="N2562" s="15"/>
      <c r="O2562" s="15"/>
      <c r="P2562" s="15"/>
      <c r="Q2562" s="14"/>
      <c r="R2562" s="14"/>
      <c r="S2562" s="14"/>
      <c r="T2562" s="14"/>
      <c r="U2562" s="15"/>
      <c r="V2562" s="14"/>
      <c r="W2562" s="14"/>
      <c r="X2562" s="14"/>
      <c r="Y2562" s="14"/>
      <c r="Z2562" s="14"/>
    </row>
    <row r="2563" spans="1:26" ht="13.2">
      <c r="A2563" s="13"/>
      <c r="B2563" s="14"/>
      <c r="C2563" s="14"/>
      <c r="D2563" s="14"/>
      <c r="E2563" s="14"/>
      <c r="F2563" s="14"/>
      <c r="G2563" s="14"/>
      <c r="H2563" s="14"/>
      <c r="I2563" s="14"/>
      <c r="J2563" s="14"/>
      <c r="K2563" s="14"/>
      <c r="L2563" s="15"/>
      <c r="M2563" s="15"/>
      <c r="N2563" s="15"/>
      <c r="O2563" s="15"/>
      <c r="P2563" s="15"/>
      <c r="Q2563" s="14"/>
      <c r="R2563" s="14"/>
      <c r="S2563" s="14"/>
      <c r="T2563" s="14"/>
      <c r="U2563" s="15"/>
      <c r="V2563" s="14"/>
      <c r="W2563" s="14"/>
      <c r="X2563" s="14"/>
      <c r="Y2563" s="14"/>
      <c r="Z2563" s="14"/>
    </row>
    <row r="2564" spans="1:26" ht="13.2">
      <c r="A2564" s="13"/>
      <c r="B2564" s="14"/>
      <c r="C2564" s="14"/>
      <c r="D2564" s="14"/>
      <c r="E2564" s="14"/>
      <c r="F2564" s="14"/>
      <c r="G2564" s="14"/>
      <c r="H2564" s="14"/>
      <c r="I2564" s="14"/>
      <c r="J2564" s="14"/>
      <c r="K2564" s="14"/>
      <c r="L2564" s="15"/>
      <c r="M2564" s="15"/>
      <c r="N2564" s="15"/>
      <c r="O2564" s="15"/>
      <c r="P2564" s="15"/>
      <c r="Q2564" s="14"/>
      <c r="R2564" s="14"/>
      <c r="S2564" s="14"/>
      <c r="T2564" s="14"/>
      <c r="U2564" s="15"/>
      <c r="V2564" s="14"/>
      <c r="W2564" s="14"/>
      <c r="X2564" s="14"/>
      <c r="Y2564" s="14"/>
      <c r="Z2564" s="14"/>
    </row>
    <row r="2565" spans="1:26" ht="13.2">
      <c r="A2565" s="13"/>
      <c r="B2565" s="14"/>
      <c r="C2565" s="14"/>
      <c r="D2565" s="14"/>
      <c r="E2565" s="14"/>
      <c r="F2565" s="14"/>
      <c r="G2565" s="14"/>
      <c r="H2565" s="14"/>
      <c r="I2565" s="14"/>
      <c r="J2565" s="14"/>
      <c r="K2565" s="14"/>
      <c r="L2565" s="15"/>
      <c r="M2565" s="15"/>
      <c r="N2565" s="15"/>
      <c r="O2565" s="15"/>
      <c r="P2565" s="15"/>
      <c r="Q2565" s="14"/>
      <c r="R2565" s="14"/>
      <c r="S2565" s="14"/>
      <c r="T2565" s="14"/>
      <c r="U2565" s="15"/>
      <c r="V2565" s="14"/>
      <c r="W2565" s="14"/>
      <c r="X2565" s="14"/>
      <c r="Y2565" s="14"/>
      <c r="Z2565" s="14"/>
    </row>
    <row r="2566" spans="1:26" ht="13.2">
      <c r="A2566" s="13"/>
      <c r="B2566" s="14"/>
      <c r="C2566" s="14"/>
      <c r="D2566" s="14"/>
      <c r="E2566" s="14"/>
      <c r="F2566" s="14"/>
      <c r="G2566" s="14"/>
      <c r="H2566" s="14"/>
      <c r="I2566" s="14"/>
      <c r="J2566" s="14"/>
      <c r="K2566" s="14"/>
      <c r="L2566" s="15"/>
      <c r="M2566" s="15"/>
      <c r="N2566" s="15"/>
      <c r="O2566" s="15"/>
      <c r="P2566" s="15"/>
      <c r="Q2566" s="14"/>
      <c r="R2566" s="14"/>
      <c r="S2566" s="14"/>
      <c r="T2566" s="14"/>
      <c r="U2566" s="15"/>
      <c r="V2566" s="14"/>
      <c r="W2566" s="14"/>
      <c r="X2566" s="14"/>
      <c r="Y2566" s="14"/>
      <c r="Z2566" s="14"/>
    </row>
    <row r="2567" spans="1:26" ht="13.2">
      <c r="A2567" s="13"/>
      <c r="B2567" s="14"/>
      <c r="C2567" s="14"/>
      <c r="D2567" s="14"/>
      <c r="E2567" s="14"/>
      <c r="F2567" s="14"/>
      <c r="G2567" s="14"/>
      <c r="H2567" s="14"/>
      <c r="I2567" s="14"/>
      <c r="J2567" s="14"/>
      <c r="K2567" s="14"/>
      <c r="L2567" s="15"/>
      <c r="M2567" s="15"/>
      <c r="N2567" s="15"/>
      <c r="O2567" s="15"/>
      <c r="P2567" s="15"/>
      <c r="Q2567" s="14"/>
      <c r="R2567" s="14"/>
      <c r="S2567" s="14"/>
      <c r="T2567" s="14"/>
      <c r="U2567" s="15"/>
      <c r="V2567" s="14"/>
      <c r="W2567" s="14"/>
      <c r="X2567" s="14"/>
      <c r="Y2567" s="14"/>
      <c r="Z2567" s="14"/>
    </row>
    <row r="2568" spans="1:26" ht="13.2">
      <c r="A2568" s="13"/>
      <c r="B2568" s="14"/>
      <c r="C2568" s="14"/>
      <c r="D2568" s="14"/>
      <c r="E2568" s="14"/>
      <c r="F2568" s="14"/>
      <c r="G2568" s="14"/>
      <c r="H2568" s="14"/>
      <c r="I2568" s="14"/>
      <c r="J2568" s="14"/>
      <c r="K2568" s="14"/>
      <c r="L2568" s="15"/>
      <c r="M2568" s="15"/>
      <c r="N2568" s="15"/>
      <c r="O2568" s="15"/>
      <c r="P2568" s="15"/>
      <c r="Q2568" s="14"/>
      <c r="R2568" s="14"/>
      <c r="S2568" s="14"/>
      <c r="T2568" s="14"/>
      <c r="U2568" s="15"/>
      <c r="V2568" s="14"/>
      <c r="W2568" s="14"/>
      <c r="X2568" s="14"/>
      <c r="Y2568" s="14"/>
      <c r="Z2568" s="14"/>
    </row>
    <row r="2569" spans="1:26" ht="13.2">
      <c r="A2569" s="13"/>
      <c r="B2569" s="14"/>
      <c r="C2569" s="14"/>
      <c r="D2569" s="14"/>
      <c r="E2569" s="14"/>
      <c r="F2569" s="14"/>
      <c r="G2569" s="14"/>
      <c r="H2569" s="14"/>
      <c r="I2569" s="14"/>
      <c r="J2569" s="14"/>
      <c r="K2569" s="14"/>
      <c r="L2569" s="15"/>
      <c r="M2569" s="15"/>
      <c r="N2569" s="15"/>
      <c r="O2569" s="15"/>
      <c r="P2569" s="15"/>
      <c r="Q2569" s="14"/>
      <c r="R2569" s="14"/>
      <c r="S2569" s="14"/>
      <c r="T2569" s="14"/>
      <c r="U2569" s="15"/>
      <c r="V2569" s="14"/>
      <c r="W2569" s="14"/>
      <c r="X2569" s="14"/>
      <c r="Y2569" s="14"/>
      <c r="Z2569" s="14"/>
    </row>
    <row r="2570" spans="1:26" ht="13.2">
      <c r="A2570" s="13"/>
      <c r="B2570" s="14"/>
      <c r="C2570" s="14"/>
      <c r="D2570" s="14"/>
      <c r="E2570" s="14"/>
      <c r="F2570" s="14"/>
      <c r="G2570" s="14"/>
      <c r="H2570" s="14"/>
      <c r="I2570" s="14"/>
      <c r="J2570" s="14"/>
      <c r="K2570" s="14"/>
      <c r="L2570" s="15"/>
      <c r="M2570" s="15"/>
      <c r="N2570" s="15"/>
      <c r="O2570" s="15"/>
      <c r="P2570" s="15"/>
      <c r="Q2570" s="14"/>
      <c r="R2570" s="14"/>
      <c r="S2570" s="14"/>
      <c r="T2570" s="14"/>
      <c r="U2570" s="15"/>
      <c r="V2570" s="14"/>
      <c r="W2570" s="14"/>
      <c r="X2570" s="14"/>
      <c r="Y2570" s="14"/>
      <c r="Z2570" s="14"/>
    </row>
    <row r="2571" spans="1:26" ht="13.2">
      <c r="A2571" s="13"/>
      <c r="B2571" s="14"/>
      <c r="C2571" s="14"/>
      <c r="D2571" s="14"/>
      <c r="E2571" s="14"/>
      <c r="F2571" s="14"/>
      <c r="G2571" s="14"/>
      <c r="H2571" s="14"/>
      <c r="I2571" s="14"/>
      <c r="J2571" s="14"/>
      <c r="K2571" s="14"/>
      <c r="L2571" s="15"/>
      <c r="M2571" s="15"/>
      <c r="N2571" s="15"/>
      <c r="O2571" s="15"/>
      <c r="P2571" s="15"/>
      <c r="Q2571" s="14"/>
      <c r="R2571" s="14"/>
      <c r="S2571" s="14"/>
      <c r="T2571" s="14"/>
      <c r="U2571" s="15"/>
      <c r="V2571" s="14"/>
      <c r="W2571" s="14"/>
      <c r="X2571" s="14"/>
      <c r="Y2571" s="14"/>
      <c r="Z2571" s="14"/>
    </row>
    <row r="2572" spans="1:26" ht="13.2">
      <c r="A2572" s="13"/>
      <c r="B2572" s="14"/>
      <c r="C2572" s="14"/>
      <c r="D2572" s="14"/>
      <c r="E2572" s="14"/>
      <c r="F2572" s="14"/>
      <c r="G2572" s="14"/>
      <c r="H2572" s="14"/>
      <c r="I2572" s="14"/>
      <c r="J2572" s="14"/>
      <c r="K2572" s="14"/>
      <c r="L2572" s="15"/>
      <c r="M2572" s="15"/>
      <c r="N2572" s="15"/>
      <c r="O2572" s="15"/>
      <c r="P2572" s="15"/>
      <c r="Q2572" s="14"/>
      <c r="R2572" s="14"/>
      <c r="S2572" s="14"/>
      <c r="T2572" s="14"/>
      <c r="U2572" s="15"/>
      <c r="V2572" s="14"/>
      <c r="W2572" s="14"/>
      <c r="X2572" s="14"/>
      <c r="Y2572" s="14"/>
      <c r="Z2572" s="14"/>
    </row>
    <row r="2573" spans="1:26" ht="13.2">
      <c r="A2573" s="13"/>
      <c r="B2573" s="14"/>
      <c r="C2573" s="14"/>
      <c r="D2573" s="14"/>
      <c r="E2573" s="14"/>
      <c r="F2573" s="14"/>
      <c r="G2573" s="14"/>
      <c r="H2573" s="14"/>
      <c r="I2573" s="14"/>
      <c r="J2573" s="14"/>
      <c r="K2573" s="14"/>
      <c r="L2573" s="15"/>
      <c r="M2573" s="15"/>
      <c r="N2573" s="15"/>
      <c r="O2573" s="15"/>
      <c r="P2573" s="15"/>
      <c r="Q2573" s="14"/>
      <c r="R2573" s="14"/>
      <c r="S2573" s="14"/>
      <c r="T2573" s="14"/>
      <c r="U2573" s="15"/>
      <c r="V2573" s="14"/>
      <c r="W2573" s="14"/>
      <c r="X2573" s="14"/>
      <c r="Y2573" s="14"/>
      <c r="Z2573" s="14"/>
    </row>
    <row r="2574" spans="1:26" ht="13.2">
      <c r="A2574" s="13"/>
      <c r="B2574" s="14"/>
      <c r="C2574" s="14"/>
      <c r="D2574" s="14"/>
      <c r="E2574" s="14"/>
      <c r="F2574" s="14"/>
      <c r="G2574" s="14"/>
      <c r="H2574" s="14"/>
      <c r="I2574" s="14"/>
      <c r="J2574" s="14"/>
      <c r="K2574" s="14"/>
      <c r="L2574" s="15"/>
      <c r="M2574" s="15"/>
      <c r="N2574" s="15"/>
      <c r="O2574" s="15"/>
      <c r="P2574" s="15"/>
      <c r="Q2574" s="14"/>
      <c r="R2574" s="14"/>
      <c r="S2574" s="14"/>
      <c r="T2574" s="14"/>
      <c r="U2574" s="15"/>
      <c r="V2574" s="14"/>
      <c r="W2574" s="14"/>
      <c r="X2574" s="14"/>
      <c r="Y2574" s="14"/>
      <c r="Z2574" s="14"/>
    </row>
    <row r="2575" spans="1:26" ht="13.2">
      <c r="A2575" s="13"/>
      <c r="B2575" s="14"/>
      <c r="C2575" s="14"/>
      <c r="D2575" s="14"/>
      <c r="E2575" s="14"/>
      <c r="F2575" s="14"/>
      <c r="G2575" s="14"/>
      <c r="H2575" s="14"/>
      <c r="I2575" s="14"/>
      <c r="J2575" s="14"/>
      <c r="K2575" s="14"/>
      <c r="L2575" s="15"/>
      <c r="M2575" s="15"/>
      <c r="N2575" s="15"/>
      <c r="O2575" s="15"/>
      <c r="P2575" s="15"/>
      <c r="Q2575" s="14"/>
      <c r="R2575" s="14"/>
      <c r="S2575" s="14"/>
      <c r="T2575" s="14"/>
      <c r="U2575" s="15"/>
      <c r="V2575" s="14"/>
      <c r="W2575" s="14"/>
      <c r="X2575" s="14"/>
      <c r="Y2575" s="14"/>
      <c r="Z2575" s="14"/>
    </row>
    <row r="2576" spans="1:26" ht="13.2">
      <c r="A2576" s="13"/>
      <c r="B2576" s="14"/>
      <c r="C2576" s="14"/>
      <c r="D2576" s="14"/>
      <c r="E2576" s="14"/>
      <c r="F2576" s="14"/>
      <c r="G2576" s="14"/>
      <c r="H2576" s="14"/>
      <c r="I2576" s="14"/>
      <c r="J2576" s="14"/>
      <c r="K2576" s="14"/>
      <c r="L2576" s="15"/>
      <c r="M2576" s="15"/>
      <c r="N2576" s="15"/>
      <c r="O2576" s="15"/>
      <c r="P2576" s="15"/>
      <c r="Q2576" s="14"/>
      <c r="R2576" s="14"/>
      <c r="S2576" s="14"/>
      <c r="T2576" s="14"/>
      <c r="U2576" s="15"/>
      <c r="V2576" s="14"/>
      <c r="W2576" s="14"/>
      <c r="X2576" s="14"/>
      <c r="Y2576" s="14"/>
      <c r="Z2576" s="14"/>
    </row>
    <row r="2577" spans="1:26" ht="13.2">
      <c r="A2577" s="13"/>
      <c r="B2577" s="14"/>
      <c r="C2577" s="14"/>
      <c r="D2577" s="14"/>
      <c r="E2577" s="14"/>
      <c r="F2577" s="14"/>
      <c r="G2577" s="14"/>
      <c r="H2577" s="14"/>
      <c r="I2577" s="14"/>
      <c r="J2577" s="14"/>
      <c r="K2577" s="14"/>
      <c r="L2577" s="15"/>
      <c r="M2577" s="15"/>
      <c r="N2577" s="15"/>
      <c r="O2577" s="15"/>
      <c r="P2577" s="15"/>
      <c r="Q2577" s="14"/>
      <c r="R2577" s="14"/>
      <c r="S2577" s="14"/>
      <c r="T2577" s="14"/>
      <c r="U2577" s="15"/>
      <c r="V2577" s="14"/>
      <c r="W2577" s="14"/>
      <c r="X2577" s="14"/>
      <c r="Y2577" s="14"/>
      <c r="Z2577" s="14"/>
    </row>
    <row r="2578" spans="1:26" ht="13.2">
      <c r="A2578" s="13"/>
      <c r="B2578" s="14"/>
      <c r="C2578" s="14"/>
      <c r="D2578" s="14"/>
      <c r="E2578" s="14"/>
      <c r="F2578" s="14"/>
      <c r="G2578" s="14"/>
      <c r="H2578" s="14"/>
      <c r="I2578" s="14"/>
      <c r="J2578" s="14"/>
      <c r="K2578" s="14"/>
      <c r="L2578" s="15"/>
      <c r="M2578" s="15"/>
      <c r="N2578" s="15"/>
      <c r="O2578" s="15"/>
      <c r="P2578" s="15"/>
      <c r="Q2578" s="14"/>
      <c r="R2578" s="14"/>
      <c r="S2578" s="14"/>
      <c r="T2578" s="14"/>
      <c r="U2578" s="15"/>
      <c r="V2578" s="14"/>
      <c r="W2578" s="14"/>
      <c r="X2578" s="14"/>
      <c r="Y2578" s="14"/>
      <c r="Z2578" s="14"/>
    </row>
    <row r="2579" spans="1:26" ht="13.2">
      <c r="A2579" s="13"/>
      <c r="B2579" s="14"/>
      <c r="C2579" s="14"/>
      <c r="D2579" s="14"/>
      <c r="E2579" s="14"/>
      <c r="F2579" s="14"/>
      <c r="G2579" s="14"/>
      <c r="H2579" s="14"/>
      <c r="I2579" s="14"/>
      <c r="J2579" s="14"/>
      <c r="K2579" s="14"/>
      <c r="L2579" s="15"/>
      <c r="M2579" s="15"/>
      <c r="N2579" s="15"/>
      <c r="O2579" s="15"/>
      <c r="P2579" s="15"/>
      <c r="Q2579" s="14"/>
      <c r="R2579" s="14"/>
      <c r="S2579" s="14"/>
      <c r="T2579" s="14"/>
      <c r="U2579" s="15"/>
      <c r="V2579" s="14"/>
      <c r="W2579" s="14"/>
      <c r="X2579" s="14"/>
      <c r="Y2579" s="14"/>
      <c r="Z2579" s="14"/>
    </row>
    <row r="2580" spans="1:26" ht="13.2">
      <c r="A2580" s="13"/>
      <c r="B2580" s="14"/>
      <c r="C2580" s="14"/>
      <c r="D2580" s="14"/>
      <c r="E2580" s="14"/>
      <c r="F2580" s="14"/>
      <c r="G2580" s="14"/>
      <c r="H2580" s="14"/>
      <c r="I2580" s="14"/>
      <c r="J2580" s="14"/>
      <c r="K2580" s="14"/>
      <c r="L2580" s="15"/>
      <c r="M2580" s="15"/>
      <c r="N2580" s="15"/>
      <c r="O2580" s="15"/>
      <c r="P2580" s="15"/>
      <c r="Q2580" s="14"/>
      <c r="R2580" s="14"/>
      <c r="S2580" s="14"/>
      <c r="T2580" s="14"/>
      <c r="U2580" s="15"/>
      <c r="V2580" s="14"/>
      <c r="W2580" s="14"/>
      <c r="X2580" s="14"/>
      <c r="Y2580" s="14"/>
      <c r="Z2580" s="14"/>
    </row>
    <row r="2581" spans="1:26" ht="13.2">
      <c r="A2581" s="13"/>
      <c r="B2581" s="14"/>
      <c r="C2581" s="14"/>
      <c r="D2581" s="14"/>
      <c r="E2581" s="14"/>
      <c r="F2581" s="14"/>
      <c r="G2581" s="14"/>
      <c r="H2581" s="14"/>
      <c r="I2581" s="14"/>
      <c r="J2581" s="14"/>
      <c r="K2581" s="14"/>
      <c r="L2581" s="15"/>
      <c r="M2581" s="15"/>
      <c r="N2581" s="15"/>
      <c r="O2581" s="15"/>
      <c r="P2581" s="15"/>
      <c r="Q2581" s="14"/>
      <c r="R2581" s="14"/>
      <c r="S2581" s="14"/>
      <c r="T2581" s="14"/>
      <c r="U2581" s="15"/>
      <c r="V2581" s="14"/>
      <c r="W2581" s="14"/>
      <c r="X2581" s="14"/>
      <c r="Y2581" s="14"/>
      <c r="Z2581" s="14"/>
    </row>
    <row r="2582" spans="1:26" ht="13.2">
      <c r="A2582" s="13"/>
      <c r="B2582" s="14"/>
      <c r="C2582" s="14"/>
      <c r="D2582" s="14"/>
      <c r="E2582" s="14"/>
      <c r="F2582" s="14"/>
      <c r="G2582" s="14"/>
      <c r="H2582" s="14"/>
      <c r="I2582" s="14"/>
      <c r="J2582" s="14"/>
      <c r="K2582" s="14"/>
      <c r="L2582" s="15"/>
      <c r="M2582" s="15"/>
      <c r="N2582" s="15"/>
      <c r="O2582" s="15"/>
      <c r="P2582" s="15"/>
      <c r="Q2582" s="14"/>
      <c r="R2582" s="14"/>
      <c r="S2582" s="14"/>
      <c r="T2582" s="14"/>
      <c r="U2582" s="15"/>
      <c r="V2582" s="14"/>
      <c r="W2582" s="14"/>
      <c r="X2582" s="14"/>
      <c r="Y2582" s="14"/>
      <c r="Z2582" s="14"/>
    </row>
    <row r="2583" spans="1:26" ht="13.2">
      <c r="A2583" s="13"/>
      <c r="B2583" s="14"/>
      <c r="C2583" s="14"/>
      <c r="D2583" s="14"/>
      <c r="E2583" s="14"/>
      <c r="F2583" s="14"/>
      <c r="G2583" s="14"/>
      <c r="H2583" s="14"/>
      <c r="I2583" s="14"/>
      <c r="J2583" s="14"/>
      <c r="K2583" s="14"/>
      <c r="L2583" s="15"/>
      <c r="M2583" s="15"/>
      <c r="N2583" s="15"/>
      <c r="O2583" s="15"/>
      <c r="P2583" s="15"/>
      <c r="Q2583" s="14"/>
      <c r="R2583" s="14"/>
      <c r="S2583" s="14"/>
      <c r="T2583" s="14"/>
      <c r="U2583" s="15"/>
      <c r="V2583" s="14"/>
      <c r="W2583" s="14"/>
      <c r="X2583" s="14"/>
      <c r="Y2583" s="14"/>
      <c r="Z2583" s="14"/>
    </row>
    <row r="2584" spans="1:26" ht="13.2">
      <c r="A2584" s="13"/>
      <c r="B2584" s="14"/>
      <c r="C2584" s="14"/>
      <c r="D2584" s="14"/>
      <c r="E2584" s="14"/>
      <c r="F2584" s="14"/>
      <c r="G2584" s="14"/>
      <c r="H2584" s="14"/>
      <c r="I2584" s="14"/>
      <c r="J2584" s="14"/>
      <c r="K2584" s="14"/>
      <c r="L2584" s="15"/>
      <c r="M2584" s="15"/>
      <c r="N2584" s="15"/>
      <c r="O2584" s="15"/>
      <c r="P2584" s="15"/>
      <c r="Q2584" s="14"/>
      <c r="R2584" s="14"/>
      <c r="S2584" s="14"/>
      <c r="T2584" s="14"/>
      <c r="U2584" s="15"/>
      <c r="V2584" s="14"/>
      <c r="W2584" s="14"/>
      <c r="X2584" s="14"/>
      <c r="Y2584" s="14"/>
      <c r="Z2584" s="14"/>
    </row>
    <row r="2585" spans="1:26" ht="13.2">
      <c r="A2585" s="13"/>
      <c r="B2585" s="14"/>
      <c r="C2585" s="14"/>
      <c r="D2585" s="14"/>
      <c r="E2585" s="14"/>
      <c r="F2585" s="14"/>
      <c r="G2585" s="14"/>
      <c r="H2585" s="14"/>
      <c r="I2585" s="14"/>
      <c r="J2585" s="14"/>
      <c r="K2585" s="14"/>
      <c r="L2585" s="15"/>
      <c r="M2585" s="15"/>
      <c r="N2585" s="15"/>
      <c r="O2585" s="15"/>
      <c r="P2585" s="15"/>
      <c r="Q2585" s="14"/>
      <c r="R2585" s="14"/>
      <c r="S2585" s="14"/>
      <c r="T2585" s="14"/>
      <c r="U2585" s="15"/>
      <c r="V2585" s="14"/>
      <c r="W2585" s="14"/>
      <c r="X2585" s="14"/>
      <c r="Y2585" s="14"/>
      <c r="Z2585" s="14"/>
    </row>
    <row r="2586" spans="1:26" ht="13.2">
      <c r="A2586" s="13"/>
      <c r="B2586" s="14"/>
      <c r="C2586" s="14"/>
      <c r="D2586" s="14"/>
      <c r="E2586" s="14"/>
      <c r="F2586" s="14"/>
      <c r="G2586" s="14"/>
      <c r="H2586" s="14"/>
      <c r="I2586" s="14"/>
      <c r="J2586" s="14"/>
      <c r="K2586" s="14"/>
      <c r="L2586" s="15"/>
      <c r="M2586" s="15"/>
      <c r="N2586" s="15"/>
      <c r="O2586" s="15"/>
      <c r="P2586" s="15"/>
      <c r="Q2586" s="14"/>
      <c r="R2586" s="14"/>
      <c r="S2586" s="14"/>
      <c r="T2586" s="14"/>
      <c r="U2586" s="15"/>
      <c r="V2586" s="14"/>
      <c r="W2586" s="14"/>
      <c r="X2586" s="14"/>
      <c r="Y2586" s="14"/>
      <c r="Z2586" s="14"/>
    </row>
    <row r="2587" spans="1:26" ht="13.2">
      <c r="A2587" s="13"/>
      <c r="B2587" s="14"/>
      <c r="C2587" s="14"/>
      <c r="D2587" s="14"/>
      <c r="E2587" s="14"/>
      <c r="F2587" s="14"/>
      <c r="G2587" s="14"/>
      <c r="H2587" s="14"/>
      <c r="I2587" s="14"/>
      <c r="J2587" s="14"/>
      <c r="K2587" s="14"/>
      <c r="L2587" s="15"/>
      <c r="M2587" s="15"/>
      <c r="N2587" s="15"/>
      <c r="O2587" s="15"/>
      <c r="P2587" s="15"/>
      <c r="Q2587" s="14"/>
      <c r="R2587" s="14"/>
      <c r="S2587" s="14"/>
      <c r="T2587" s="14"/>
      <c r="U2587" s="15"/>
      <c r="V2587" s="14"/>
      <c r="W2587" s="14"/>
      <c r="X2587" s="14"/>
      <c r="Y2587" s="14"/>
      <c r="Z2587" s="14"/>
    </row>
    <row r="2588" spans="1:26" ht="13.2">
      <c r="A2588" s="13"/>
      <c r="B2588" s="14"/>
      <c r="C2588" s="14"/>
      <c r="D2588" s="14"/>
      <c r="E2588" s="14"/>
      <c r="F2588" s="14"/>
      <c r="G2588" s="14"/>
      <c r="H2588" s="14"/>
      <c r="I2588" s="14"/>
      <c r="J2588" s="14"/>
      <c r="K2588" s="14"/>
      <c r="L2588" s="15"/>
      <c r="M2588" s="15"/>
      <c r="N2588" s="15"/>
      <c r="O2588" s="15"/>
      <c r="P2588" s="15"/>
      <c r="Q2588" s="14"/>
      <c r="R2588" s="14"/>
      <c r="S2588" s="14"/>
      <c r="T2588" s="14"/>
      <c r="U2588" s="15"/>
      <c r="V2588" s="14"/>
      <c r="W2588" s="14"/>
      <c r="X2588" s="14"/>
      <c r="Y2588" s="14"/>
      <c r="Z2588" s="14"/>
    </row>
    <row r="2589" spans="1:26" ht="13.2">
      <c r="A2589" s="13"/>
      <c r="B2589" s="14"/>
      <c r="C2589" s="14"/>
      <c r="D2589" s="14"/>
      <c r="E2589" s="14"/>
      <c r="F2589" s="14"/>
      <c r="G2589" s="14"/>
      <c r="H2589" s="14"/>
      <c r="I2589" s="14"/>
      <c r="J2589" s="14"/>
      <c r="K2589" s="14"/>
      <c r="L2589" s="15"/>
      <c r="M2589" s="15"/>
      <c r="N2589" s="15"/>
      <c r="O2589" s="15"/>
      <c r="P2589" s="15"/>
      <c r="Q2589" s="14"/>
      <c r="R2589" s="14"/>
      <c r="S2589" s="14"/>
      <c r="T2589" s="14"/>
      <c r="U2589" s="15"/>
      <c r="V2589" s="14"/>
      <c r="W2589" s="14"/>
      <c r="X2589" s="14"/>
      <c r="Y2589" s="14"/>
      <c r="Z2589" s="14"/>
    </row>
    <row r="2590" spans="1:26" ht="13.2">
      <c r="A2590" s="13"/>
      <c r="B2590" s="14"/>
      <c r="C2590" s="14"/>
      <c r="D2590" s="14"/>
      <c r="E2590" s="14"/>
      <c r="F2590" s="14"/>
      <c r="G2590" s="14"/>
      <c r="H2590" s="14"/>
      <c r="I2590" s="14"/>
      <c r="J2590" s="14"/>
      <c r="K2590" s="14"/>
      <c r="L2590" s="15"/>
      <c r="M2590" s="15"/>
      <c r="N2590" s="15"/>
      <c r="O2590" s="15"/>
      <c r="P2590" s="15"/>
      <c r="Q2590" s="14"/>
      <c r="R2590" s="14"/>
      <c r="S2590" s="14"/>
      <c r="T2590" s="14"/>
      <c r="U2590" s="15"/>
      <c r="V2590" s="14"/>
      <c r="W2590" s="14"/>
      <c r="X2590" s="14"/>
      <c r="Y2590" s="14"/>
      <c r="Z2590" s="14"/>
    </row>
    <row r="2591" spans="1:26" ht="13.2">
      <c r="A2591" s="13"/>
      <c r="B2591" s="14"/>
      <c r="C2591" s="14"/>
      <c r="D2591" s="14"/>
      <c r="E2591" s="14"/>
      <c r="F2591" s="14"/>
      <c r="G2591" s="14"/>
      <c r="H2591" s="14"/>
      <c r="I2591" s="14"/>
      <c r="J2591" s="14"/>
      <c r="K2591" s="14"/>
      <c r="L2591" s="15"/>
      <c r="M2591" s="15"/>
      <c r="N2591" s="15"/>
      <c r="O2591" s="15"/>
      <c r="P2591" s="15"/>
      <c r="Q2591" s="14"/>
      <c r="R2591" s="14"/>
      <c r="S2591" s="14"/>
      <c r="T2591" s="14"/>
      <c r="U2591" s="15"/>
      <c r="V2591" s="14"/>
      <c r="W2591" s="14"/>
      <c r="X2591" s="14"/>
      <c r="Y2591" s="14"/>
      <c r="Z2591" s="14"/>
    </row>
    <row r="2592" spans="1:26" ht="13.2">
      <c r="A2592" s="13"/>
      <c r="B2592" s="14"/>
      <c r="C2592" s="14"/>
      <c r="D2592" s="14"/>
      <c r="E2592" s="14"/>
      <c r="F2592" s="14"/>
      <c r="G2592" s="14"/>
      <c r="H2592" s="14"/>
      <c r="I2592" s="14"/>
      <c r="J2592" s="14"/>
      <c r="K2592" s="14"/>
      <c r="L2592" s="15"/>
      <c r="M2592" s="15"/>
      <c r="N2592" s="15"/>
      <c r="O2592" s="15"/>
      <c r="P2592" s="15"/>
      <c r="Q2592" s="14"/>
      <c r="R2592" s="14"/>
      <c r="S2592" s="14"/>
      <c r="T2592" s="14"/>
      <c r="U2592" s="15"/>
      <c r="V2592" s="14"/>
      <c r="W2592" s="14"/>
      <c r="X2592" s="14"/>
      <c r="Y2592" s="14"/>
      <c r="Z2592" s="14"/>
    </row>
    <row r="2593" spans="1:26" ht="13.2">
      <c r="A2593" s="13"/>
      <c r="B2593" s="14"/>
      <c r="C2593" s="14"/>
      <c r="D2593" s="14"/>
      <c r="E2593" s="14"/>
      <c r="F2593" s="14"/>
      <c r="G2593" s="14"/>
      <c r="H2593" s="14"/>
      <c r="I2593" s="14"/>
      <c r="J2593" s="14"/>
      <c r="K2593" s="14"/>
      <c r="L2593" s="15"/>
      <c r="M2593" s="15"/>
      <c r="N2593" s="15"/>
      <c r="O2593" s="15"/>
      <c r="P2593" s="15"/>
      <c r="Q2593" s="14"/>
      <c r="R2593" s="14"/>
      <c r="S2593" s="14"/>
      <c r="T2593" s="14"/>
      <c r="U2593" s="15"/>
      <c r="V2593" s="14"/>
      <c r="W2593" s="14"/>
      <c r="X2593" s="14"/>
      <c r="Y2593" s="14"/>
      <c r="Z2593" s="14"/>
    </row>
    <row r="2594" spans="1:26" ht="13.2">
      <c r="A2594" s="13"/>
      <c r="B2594" s="14"/>
      <c r="C2594" s="14"/>
      <c r="D2594" s="14"/>
      <c r="E2594" s="14"/>
      <c r="F2594" s="14"/>
      <c r="G2594" s="14"/>
      <c r="H2594" s="14"/>
      <c r="I2594" s="14"/>
      <c r="J2594" s="14"/>
      <c r="K2594" s="14"/>
      <c r="L2594" s="15"/>
      <c r="M2594" s="15"/>
      <c r="N2594" s="15"/>
      <c r="O2594" s="15"/>
      <c r="P2594" s="15"/>
      <c r="Q2594" s="14"/>
      <c r="R2594" s="14"/>
      <c r="S2594" s="14"/>
      <c r="T2594" s="14"/>
      <c r="U2594" s="15"/>
      <c r="V2594" s="14"/>
      <c r="W2594" s="14"/>
      <c r="X2594" s="14"/>
      <c r="Y2594" s="14"/>
      <c r="Z2594" s="14"/>
    </row>
    <row r="2595" spans="1:26" ht="13.2">
      <c r="A2595" s="13"/>
      <c r="B2595" s="14"/>
      <c r="C2595" s="14"/>
      <c r="D2595" s="14"/>
      <c r="E2595" s="14"/>
      <c r="F2595" s="14"/>
      <c r="G2595" s="14"/>
      <c r="H2595" s="14"/>
      <c r="I2595" s="14"/>
      <c r="J2595" s="14"/>
      <c r="K2595" s="14"/>
      <c r="L2595" s="15"/>
      <c r="M2595" s="15"/>
      <c r="N2595" s="15"/>
      <c r="O2595" s="15"/>
      <c r="P2595" s="15"/>
      <c r="Q2595" s="14"/>
      <c r="R2595" s="14"/>
      <c r="S2595" s="14"/>
      <c r="T2595" s="14"/>
      <c r="U2595" s="15"/>
      <c r="V2595" s="14"/>
      <c r="W2595" s="14"/>
      <c r="X2595" s="14"/>
      <c r="Y2595" s="14"/>
      <c r="Z2595" s="14"/>
    </row>
    <row r="2596" spans="1:26" ht="13.2">
      <c r="A2596" s="13"/>
      <c r="B2596" s="14"/>
      <c r="C2596" s="14"/>
      <c r="D2596" s="14"/>
      <c r="E2596" s="14"/>
      <c r="F2596" s="14"/>
      <c r="G2596" s="14"/>
      <c r="H2596" s="14"/>
      <c r="I2596" s="14"/>
      <c r="J2596" s="14"/>
      <c r="K2596" s="14"/>
      <c r="L2596" s="15"/>
      <c r="M2596" s="15"/>
      <c r="N2596" s="15"/>
      <c r="O2596" s="15"/>
      <c r="P2596" s="15"/>
      <c r="Q2596" s="14"/>
      <c r="R2596" s="14"/>
      <c r="S2596" s="14"/>
      <c r="T2596" s="14"/>
      <c r="U2596" s="15"/>
      <c r="V2596" s="14"/>
      <c r="W2596" s="14"/>
      <c r="X2596" s="14"/>
      <c r="Y2596" s="14"/>
      <c r="Z2596" s="14"/>
    </row>
    <row r="2597" spans="1:26" ht="13.2">
      <c r="A2597" s="13"/>
      <c r="B2597" s="14"/>
      <c r="C2597" s="14"/>
      <c r="D2597" s="14"/>
      <c r="E2597" s="14"/>
      <c r="F2597" s="14"/>
      <c r="G2597" s="14"/>
      <c r="H2597" s="14"/>
      <c r="I2597" s="14"/>
      <c r="J2597" s="14"/>
      <c r="K2597" s="14"/>
      <c r="L2597" s="15"/>
      <c r="M2597" s="15"/>
      <c r="N2597" s="15"/>
      <c r="O2597" s="15"/>
      <c r="P2597" s="15"/>
      <c r="Q2597" s="14"/>
      <c r="R2597" s="14"/>
      <c r="S2597" s="14"/>
      <c r="T2597" s="14"/>
      <c r="U2597" s="15"/>
      <c r="V2597" s="14"/>
      <c r="W2597" s="14"/>
      <c r="X2597" s="14"/>
      <c r="Y2597" s="14"/>
      <c r="Z2597" s="14"/>
    </row>
    <row r="2598" spans="1:26" ht="13.2">
      <c r="A2598" s="13"/>
      <c r="B2598" s="14"/>
      <c r="C2598" s="14"/>
      <c r="D2598" s="14"/>
      <c r="E2598" s="14"/>
      <c r="F2598" s="14"/>
      <c r="G2598" s="14"/>
      <c r="H2598" s="14"/>
      <c r="I2598" s="14"/>
      <c r="J2598" s="14"/>
      <c r="K2598" s="14"/>
      <c r="L2598" s="15"/>
      <c r="M2598" s="15"/>
      <c r="N2598" s="15"/>
      <c r="O2598" s="15"/>
      <c r="P2598" s="15"/>
      <c r="Q2598" s="14"/>
      <c r="R2598" s="14"/>
      <c r="S2598" s="14"/>
      <c r="T2598" s="14"/>
      <c r="U2598" s="15"/>
      <c r="V2598" s="14"/>
      <c r="W2598" s="14"/>
      <c r="X2598" s="14"/>
      <c r="Y2598" s="14"/>
      <c r="Z2598" s="14"/>
    </row>
    <row r="2599" spans="1:26" ht="13.2">
      <c r="A2599" s="13"/>
      <c r="B2599" s="14"/>
      <c r="C2599" s="14"/>
      <c r="D2599" s="14"/>
      <c r="E2599" s="14"/>
      <c r="F2599" s="14"/>
      <c r="G2599" s="14"/>
      <c r="H2599" s="14"/>
      <c r="I2599" s="14"/>
      <c r="J2599" s="14"/>
      <c r="K2599" s="14"/>
      <c r="L2599" s="15"/>
      <c r="M2599" s="15"/>
      <c r="N2599" s="15"/>
      <c r="O2599" s="15"/>
      <c r="P2599" s="15"/>
      <c r="Q2599" s="14"/>
      <c r="R2599" s="14"/>
      <c r="S2599" s="14"/>
      <c r="T2599" s="14"/>
      <c r="U2599" s="15"/>
      <c r="V2599" s="14"/>
      <c r="W2599" s="14"/>
      <c r="X2599" s="14"/>
      <c r="Y2599" s="14"/>
      <c r="Z2599" s="14"/>
    </row>
    <row r="2600" spans="1:26" ht="13.2">
      <c r="A2600" s="13"/>
      <c r="B2600" s="14"/>
      <c r="C2600" s="14"/>
      <c r="D2600" s="14"/>
      <c r="E2600" s="14"/>
      <c r="F2600" s="14"/>
      <c r="G2600" s="14"/>
      <c r="H2600" s="14"/>
      <c r="I2600" s="14"/>
      <c r="J2600" s="14"/>
      <c r="K2600" s="14"/>
      <c r="L2600" s="15"/>
      <c r="M2600" s="15"/>
      <c r="N2600" s="15"/>
      <c r="O2600" s="15"/>
      <c r="P2600" s="15"/>
      <c r="Q2600" s="14"/>
      <c r="R2600" s="14"/>
      <c r="S2600" s="14"/>
      <c r="T2600" s="14"/>
      <c r="U2600" s="15"/>
      <c r="V2600" s="14"/>
      <c r="W2600" s="14"/>
      <c r="X2600" s="14"/>
      <c r="Y2600" s="14"/>
      <c r="Z2600" s="14"/>
    </row>
    <row r="2601" spans="1:26" ht="13.2">
      <c r="A2601" s="13"/>
      <c r="B2601" s="14"/>
      <c r="C2601" s="14"/>
      <c r="D2601" s="14"/>
      <c r="E2601" s="14"/>
      <c r="F2601" s="14"/>
      <c r="G2601" s="14"/>
      <c r="H2601" s="14"/>
      <c r="I2601" s="14"/>
      <c r="J2601" s="14"/>
      <c r="K2601" s="14"/>
      <c r="L2601" s="15"/>
      <c r="M2601" s="15"/>
      <c r="N2601" s="15"/>
      <c r="O2601" s="15"/>
      <c r="P2601" s="15"/>
      <c r="Q2601" s="14"/>
      <c r="R2601" s="14"/>
      <c r="S2601" s="14"/>
      <c r="T2601" s="14"/>
      <c r="U2601" s="15"/>
      <c r="V2601" s="14"/>
      <c r="W2601" s="14"/>
      <c r="X2601" s="14"/>
      <c r="Y2601" s="14"/>
      <c r="Z2601" s="14"/>
    </row>
    <row r="2602" spans="1:26" ht="13.2">
      <c r="A2602" s="13"/>
      <c r="B2602" s="14"/>
      <c r="C2602" s="14"/>
      <c r="D2602" s="14"/>
      <c r="E2602" s="14"/>
      <c r="F2602" s="14"/>
      <c r="G2602" s="14"/>
      <c r="H2602" s="14"/>
      <c r="I2602" s="14"/>
      <c r="J2602" s="14"/>
      <c r="K2602" s="14"/>
      <c r="L2602" s="15"/>
      <c r="M2602" s="15"/>
      <c r="N2602" s="15"/>
      <c r="O2602" s="15"/>
      <c r="P2602" s="15"/>
      <c r="Q2602" s="14"/>
      <c r="R2602" s="14"/>
      <c r="S2602" s="14"/>
      <c r="T2602" s="14"/>
      <c r="U2602" s="15"/>
      <c r="V2602" s="14"/>
      <c r="W2602" s="14"/>
      <c r="X2602" s="14"/>
      <c r="Y2602" s="14"/>
      <c r="Z2602" s="14"/>
    </row>
    <row r="2603" spans="1:26" ht="13.2">
      <c r="A2603" s="13"/>
      <c r="B2603" s="14"/>
      <c r="C2603" s="14"/>
      <c r="D2603" s="14"/>
      <c r="E2603" s="14"/>
      <c r="F2603" s="14"/>
      <c r="G2603" s="14"/>
      <c r="H2603" s="14"/>
      <c r="I2603" s="14"/>
      <c r="J2603" s="14"/>
      <c r="K2603" s="14"/>
      <c r="L2603" s="15"/>
      <c r="M2603" s="15"/>
      <c r="N2603" s="15"/>
      <c r="O2603" s="15"/>
      <c r="P2603" s="15"/>
      <c r="Q2603" s="14"/>
      <c r="R2603" s="14"/>
      <c r="S2603" s="14"/>
      <c r="T2603" s="14"/>
      <c r="U2603" s="15"/>
      <c r="V2603" s="14"/>
      <c r="W2603" s="14"/>
      <c r="X2603" s="14"/>
      <c r="Y2603" s="14"/>
      <c r="Z2603" s="14"/>
    </row>
    <row r="2604" spans="1:26" ht="13.2">
      <c r="A2604" s="13"/>
      <c r="B2604" s="14"/>
      <c r="C2604" s="14"/>
      <c r="D2604" s="14"/>
      <c r="E2604" s="14"/>
      <c r="F2604" s="14"/>
      <c r="G2604" s="14"/>
      <c r="H2604" s="14"/>
      <c r="I2604" s="14"/>
      <c r="J2604" s="14"/>
      <c r="K2604" s="14"/>
      <c r="L2604" s="15"/>
      <c r="M2604" s="15"/>
      <c r="N2604" s="15"/>
      <c r="O2604" s="15"/>
      <c r="P2604" s="15"/>
      <c r="Q2604" s="14"/>
      <c r="R2604" s="14"/>
      <c r="S2604" s="14"/>
      <c r="T2604" s="14"/>
      <c r="U2604" s="15"/>
      <c r="V2604" s="14"/>
      <c r="W2604" s="14"/>
      <c r="X2604" s="14"/>
      <c r="Y2604" s="14"/>
      <c r="Z2604" s="14"/>
    </row>
    <row r="2605" spans="1:26" ht="13.2">
      <c r="A2605" s="13"/>
      <c r="B2605" s="14"/>
      <c r="C2605" s="14"/>
      <c r="D2605" s="14"/>
      <c r="E2605" s="14"/>
      <c r="F2605" s="14"/>
      <c r="G2605" s="14"/>
      <c r="H2605" s="14"/>
      <c r="I2605" s="14"/>
      <c r="J2605" s="14"/>
      <c r="K2605" s="14"/>
      <c r="L2605" s="15"/>
      <c r="M2605" s="15"/>
      <c r="N2605" s="15"/>
      <c r="O2605" s="15"/>
      <c r="P2605" s="15"/>
      <c r="Q2605" s="14"/>
      <c r="R2605" s="14"/>
      <c r="S2605" s="14"/>
      <c r="T2605" s="14"/>
      <c r="U2605" s="15"/>
      <c r="V2605" s="14"/>
      <c r="W2605" s="14"/>
      <c r="X2605" s="14"/>
      <c r="Y2605" s="14"/>
      <c r="Z2605" s="14"/>
    </row>
    <row r="2606" spans="1:26" ht="13.2">
      <c r="A2606" s="13"/>
      <c r="B2606" s="14"/>
      <c r="C2606" s="14"/>
      <c r="D2606" s="14"/>
      <c r="E2606" s="14"/>
      <c r="F2606" s="14"/>
      <c r="G2606" s="14"/>
      <c r="H2606" s="14"/>
      <c r="I2606" s="14"/>
      <c r="J2606" s="14"/>
      <c r="K2606" s="14"/>
      <c r="L2606" s="15"/>
      <c r="M2606" s="15"/>
      <c r="N2606" s="15"/>
      <c r="O2606" s="15"/>
      <c r="P2606" s="15"/>
      <c r="Q2606" s="14"/>
      <c r="R2606" s="14"/>
      <c r="S2606" s="14"/>
      <c r="T2606" s="14"/>
      <c r="U2606" s="15"/>
      <c r="V2606" s="14"/>
      <c r="W2606" s="14"/>
      <c r="X2606" s="14"/>
      <c r="Y2606" s="14"/>
      <c r="Z2606" s="14"/>
    </row>
    <row r="2607" spans="1:26" ht="13.2">
      <c r="A2607" s="13"/>
      <c r="B2607" s="14"/>
      <c r="C2607" s="14"/>
      <c r="D2607" s="14"/>
      <c r="E2607" s="14"/>
      <c r="F2607" s="14"/>
      <c r="G2607" s="14"/>
      <c r="H2607" s="14"/>
      <c r="I2607" s="14"/>
      <c r="J2607" s="14"/>
      <c r="K2607" s="14"/>
      <c r="L2607" s="15"/>
      <c r="M2607" s="15"/>
      <c r="N2607" s="15"/>
      <c r="O2607" s="15"/>
      <c r="P2607" s="15"/>
      <c r="Q2607" s="14"/>
      <c r="R2607" s="14"/>
      <c r="S2607" s="14"/>
      <c r="T2607" s="14"/>
      <c r="U2607" s="15"/>
      <c r="V2607" s="14"/>
      <c r="W2607" s="14"/>
      <c r="X2607" s="14"/>
      <c r="Y2607" s="14"/>
      <c r="Z2607" s="14"/>
    </row>
    <row r="2608" spans="1:26" ht="13.2">
      <c r="A2608" s="13"/>
      <c r="B2608" s="14"/>
      <c r="C2608" s="14"/>
      <c r="D2608" s="14"/>
      <c r="E2608" s="14"/>
      <c r="F2608" s="14"/>
      <c r="G2608" s="14"/>
      <c r="H2608" s="14"/>
      <c r="I2608" s="14"/>
      <c r="J2608" s="14"/>
      <c r="K2608" s="14"/>
      <c r="L2608" s="15"/>
      <c r="M2608" s="15"/>
      <c r="N2608" s="15"/>
      <c r="O2608" s="15"/>
      <c r="P2608" s="15"/>
      <c r="Q2608" s="14"/>
      <c r="R2608" s="14"/>
      <c r="S2608" s="14"/>
      <c r="T2608" s="14"/>
      <c r="U2608" s="15"/>
      <c r="V2608" s="14"/>
      <c r="W2608" s="14"/>
      <c r="X2608" s="14"/>
      <c r="Y2608" s="14"/>
      <c r="Z2608" s="14"/>
    </row>
    <row r="2609" spans="1:26" ht="13.2">
      <c r="A2609" s="13"/>
      <c r="B2609" s="14"/>
      <c r="C2609" s="14"/>
      <c r="D2609" s="14"/>
      <c r="E2609" s="14"/>
      <c r="F2609" s="14"/>
      <c r="G2609" s="14"/>
      <c r="H2609" s="14"/>
      <c r="I2609" s="14"/>
      <c r="J2609" s="14"/>
      <c r="K2609" s="14"/>
      <c r="L2609" s="15"/>
      <c r="M2609" s="15"/>
      <c r="N2609" s="15"/>
      <c r="O2609" s="15"/>
      <c r="P2609" s="15"/>
      <c r="Q2609" s="14"/>
      <c r="R2609" s="14"/>
      <c r="S2609" s="14"/>
      <c r="T2609" s="14"/>
      <c r="U2609" s="15"/>
      <c r="V2609" s="14"/>
      <c r="W2609" s="14"/>
      <c r="X2609" s="14"/>
      <c r="Y2609" s="14"/>
      <c r="Z2609" s="14"/>
    </row>
    <row r="2610" spans="1:26" ht="13.2">
      <c r="A2610" s="13"/>
      <c r="B2610" s="14"/>
      <c r="C2610" s="14"/>
      <c r="D2610" s="14"/>
      <c r="E2610" s="14"/>
      <c r="F2610" s="14"/>
      <c r="G2610" s="14"/>
      <c r="H2610" s="14"/>
      <c r="I2610" s="14"/>
      <c r="J2610" s="14"/>
      <c r="K2610" s="14"/>
      <c r="L2610" s="15"/>
      <c r="M2610" s="15"/>
      <c r="N2610" s="15"/>
      <c r="O2610" s="15"/>
      <c r="P2610" s="15"/>
      <c r="Q2610" s="14"/>
      <c r="R2610" s="14"/>
      <c r="S2610" s="14"/>
      <c r="T2610" s="14"/>
      <c r="U2610" s="15"/>
      <c r="V2610" s="14"/>
      <c r="W2610" s="14"/>
      <c r="X2610" s="14"/>
      <c r="Y2610" s="14"/>
      <c r="Z2610" s="14"/>
    </row>
    <row r="2611" spans="1:26" ht="13.2">
      <c r="A2611" s="13"/>
      <c r="B2611" s="14"/>
      <c r="C2611" s="14"/>
      <c r="D2611" s="14"/>
      <c r="E2611" s="14"/>
      <c r="F2611" s="14"/>
      <c r="G2611" s="14"/>
      <c r="H2611" s="14"/>
      <c r="I2611" s="14"/>
      <c r="J2611" s="14"/>
      <c r="K2611" s="14"/>
      <c r="L2611" s="15"/>
      <c r="M2611" s="15"/>
      <c r="N2611" s="15"/>
      <c r="O2611" s="15"/>
      <c r="P2611" s="15"/>
      <c r="Q2611" s="14"/>
      <c r="R2611" s="14"/>
      <c r="S2611" s="14"/>
      <c r="T2611" s="14"/>
      <c r="U2611" s="15"/>
      <c r="V2611" s="14"/>
      <c r="W2611" s="14"/>
      <c r="X2611" s="14"/>
      <c r="Y2611" s="14"/>
      <c r="Z2611" s="14"/>
    </row>
    <row r="2612" spans="1:26" ht="13.2">
      <c r="A2612" s="13"/>
      <c r="B2612" s="14"/>
      <c r="C2612" s="14"/>
      <c r="D2612" s="14"/>
      <c r="E2612" s="14"/>
      <c r="F2612" s="14"/>
      <c r="G2612" s="14"/>
      <c r="H2612" s="14"/>
      <c r="I2612" s="14"/>
      <c r="J2612" s="14"/>
      <c r="K2612" s="14"/>
      <c r="L2612" s="15"/>
      <c r="M2612" s="15"/>
      <c r="N2612" s="15"/>
      <c r="O2612" s="15"/>
      <c r="P2612" s="15"/>
      <c r="Q2612" s="14"/>
      <c r="R2612" s="14"/>
      <c r="S2612" s="14"/>
      <c r="T2612" s="14"/>
      <c r="U2612" s="15"/>
      <c r="V2612" s="14"/>
      <c r="W2612" s="14"/>
      <c r="X2612" s="14"/>
      <c r="Y2612" s="14"/>
      <c r="Z2612" s="14"/>
    </row>
    <row r="2613" spans="1:26" ht="13.2">
      <c r="A2613" s="13"/>
      <c r="B2613" s="14"/>
      <c r="C2613" s="14"/>
      <c r="D2613" s="14"/>
      <c r="E2613" s="14"/>
      <c r="F2613" s="14"/>
      <c r="G2613" s="14"/>
      <c r="H2613" s="14"/>
      <c r="I2613" s="14"/>
      <c r="J2613" s="14"/>
      <c r="K2613" s="14"/>
      <c r="L2613" s="15"/>
      <c r="M2613" s="15"/>
      <c r="N2613" s="15"/>
      <c r="O2613" s="15"/>
      <c r="P2613" s="15"/>
      <c r="Q2613" s="14"/>
      <c r="R2613" s="14"/>
      <c r="S2613" s="14"/>
      <c r="T2613" s="14"/>
      <c r="U2613" s="15"/>
      <c r="V2613" s="14"/>
      <c r="W2613" s="14"/>
      <c r="X2613" s="14"/>
      <c r="Y2613" s="14"/>
      <c r="Z2613" s="14"/>
    </row>
    <row r="2614" spans="1:26" ht="13.2">
      <c r="A2614" s="13"/>
      <c r="B2614" s="14"/>
      <c r="C2614" s="14"/>
      <c r="D2614" s="14"/>
      <c r="E2614" s="14"/>
      <c r="F2614" s="14"/>
      <c r="G2614" s="14"/>
      <c r="H2614" s="14"/>
      <c r="I2614" s="14"/>
      <c r="J2614" s="14"/>
      <c r="K2614" s="14"/>
      <c r="L2614" s="15"/>
      <c r="M2614" s="15"/>
      <c r="N2614" s="15"/>
      <c r="O2614" s="15"/>
      <c r="P2614" s="15"/>
      <c r="Q2614" s="14"/>
      <c r="R2614" s="14"/>
      <c r="S2614" s="14"/>
      <c r="T2614" s="14"/>
      <c r="U2614" s="15"/>
      <c r="V2614" s="14"/>
      <c r="W2614" s="14"/>
      <c r="X2614" s="14"/>
      <c r="Y2614" s="14"/>
      <c r="Z2614" s="14"/>
    </row>
    <row r="2615" spans="1:26" ht="13.2">
      <c r="A2615" s="13"/>
      <c r="B2615" s="14"/>
      <c r="C2615" s="14"/>
      <c r="D2615" s="14"/>
      <c r="E2615" s="14"/>
      <c r="F2615" s="14"/>
      <c r="G2615" s="14"/>
      <c r="H2615" s="14"/>
      <c r="I2615" s="14"/>
      <c r="J2615" s="14"/>
      <c r="K2615" s="14"/>
      <c r="L2615" s="15"/>
      <c r="M2615" s="15"/>
      <c r="N2615" s="15"/>
      <c r="O2615" s="15"/>
      <c r="P2615" s="15"/>
      <c r="Q2615" s="14"/>
      <c r="R2615" s="14"/>
      <c r="S2615" s="14"/>
      <c r="T2615" s="14"/>
      <c r="U2615" s="15"/>
      <c r="V2615" s="14"/>
      <c r="W2615" s="14"/>
      <c r="X2615" s="14"/>
      <c r="Y2615" s="14"/>
      <c r="Z2615" s="14"/>
    </row>
    <row r="2616" spans="1:26" ht="13.2">
      <c r="A2616" s="13"/>
      <c r="B2616" s="14"/>
      <c r="C2616" s="14"/>
      <c r="D2616" s="14"/>
      <c r="E2616" s="14"/>
      <c r="F2616" s="14"/>
      <c r="G2616" s="14"/>
      <c r="H2616" s="14"/>
      <c r="I2616" s="14"/>
      <c r="J2616" s="14"/>
      <c r="K2616" s="14"/>
      <c r="L2616" s="15"/>
      <c r="M2616" s="15"/>
      <c r="N2616" s="15"/>
      <c r="O2616" s="15"/>
      <c r="P2616" s="15"/>
      <c r="Q2616" s="14"/>
      <c r="R2616" s="14"/>
      <c r="S2616" s="14"/>
      <c r="T2616" s="14"/>
      <c r="U2616" s="15"/>
      <c r="V2616" s="14"/>
      <c r="W2616" s="14"/>
      <c r="X2616" s="14"/>
      <c r="Y2616" s="14"/>
      <c r="Z2616" s="14"/>
    </row>
    <row r="2617" spans="1:26" ht="13.2">
      <c r="A2617" s="13"/>
      <c r="B2617" s="14"/>
      <c r="C2617" s="14"/>
      <c r="D2617" s="14"/>
      <c r="E2617" s="14"/>
      <c r="F2617" s="14"/>
      <c r="G2617" s="14"/>
      <c r="H2617" s="14"/>
      <c r="I2617" s="14"/>
      <c r="J2617" s="14"/>
      <c r="K2617" s="14"/>
      <c r="L2617" s="15"/>
      <c r="M2617" s="15"/>
      <c r="N2617" s="15"/>
      <c r="O2617" s="15"/>
      <c r="P2617" s="15"/>
      <c r="Q2617" s="14"/>
      <c r="R2617" s="14"/>
      <c r="S2617" s="14"/>
      <c r="T2617" s="14"/>
      <c r="U2617" s="15"/>
      <c r="V2617" s="14"/>
      <c r="W2617" s="14"/>
      <c r="X2617" s="14"/>
      <c r="Y2617" s="14"/>
      <c r="Z2617" s="14"/>
    </row>
    <row r="2618" spans="1:26" ht="13.2">
      <c r="A2618" s="13"/>
      <c r="B2618" s="14"/>
      <c r="C2618" s="14"/>
      <c r="D2618" s="14"/>
      <c r="E2618" s="14"/>
      <c r="F2618" s="14"/>
      <c r="G2618" s="14"/>
      <c r="H2618" s="14"/>
      <c r="I2618" s="14"/>
      <c r="J2618" s="14"/>
      <c r="K2618" s="14"/>
      <c r="L2618" s="15"/>
      <c r="M2618" s="15"/>
      <c r="N2618" s="15"/>
      <c r="O2618" s="15"/>
      <c r="P2618" s="15"/>
      <c r="Q2618" s="14"/>
      <c r="R2618" s="14"/>
      <c r="S2618" s="14"/>
      <c r="T2618" s="14"/>
      <c r="U2618" s="15"/>
      <c r="V2618" s="14"/>
      <c r="W2618" s="14"/>
      <c r="X2618" s="14"/>
      <c r="Y2618" s="14"/>
      <c r="Z2618" s="14"/>
    </row>
    <row r="2619" spans="1:26" ht="13.2">
      <c r="A2619" s="13"/>
      <c r="B2619" s="14"/>
      <c r="C2619" s="14"/>
      <c r="D2619" s="14"/>
      <c r="E2619" s="14"/>
      <c r="F2619" s="14"/>
      <c r="G2619" s="14"/>
      <c r="H2619" s="14"/>
      <c r="I2619" s="14"/>
      <c r="J2619" s="14"/>
      <c r="K2619" s="14"/>
      <c r="L2619" s="15"/>
      <c r="M2619" s="15"/>
      <c r="N2619" s="15"/>
      <c r="O2619" s="15"/>
      <c r="P2619" s="15"/>
      <c r="Q2619" s="14"/>
      <c r="R2619" s="14"/>
      <c r="S2619" s="14"/>
      <c r="T2619" s="14"/>
      <c r="U2619" s="15"/>
      <c r="V2619" s="14"/>
      <c r="W2619" s="14"/>
      <c r="X2619" s="14"/>
      <c r="Y2619" s="14"/>
      <c r="Z2619" s="14"/>
    </row>
    <row r="2620" spans="1:26" ht="13.2">
      <c r="A2620" s="13"/>
      <c r="B2620" s="14"/>
      <c r="C2620" s="14"/>
      <c r="D2620" s="14"/>
      <c r="E2620" s="14"/>
      <c r="F2620" s="14"/>
      <c r="G2620" s="14"/>
      <c r="H2620" s="14"/>
      <c r="I2620" s="14"/>
      <c r="J2620" s="14"/>
      <c r="K2620" s="14"/>
      <c r="L2620" s="15"/>
      <c r="M2620" s="15"/>
      <c r="N2620" s="15"/>
      <c r="O2620" s="15"/>
      <c r="P2620" s="15"/>
      <c r="Q2620" s="14"/>
      <c r="R2620" s="14"/>
      <c r="S2620" s="14"/>
      <c r="T2620" s="14"/>
      <c r="U2620" s="15"/>
      <c r="V2620" s="14"/>
      <c r="W2620" s="14"/>
      <c r="X2620" s="14"/>
      <c r="Y2620" s="14"/>
      <c r="Z2620" s="14"/>
    </row>
    <row r="2621" spans="1:26" ht="13.2">
      <c r="A2621" s="13"/>
      <c r="B2621" s="14"/>
      <c r="C2621" s="14"/>
      <c r="D2621" s="14"/>
      <c r="E2621" s="14"/>
      <c r="F2621" s="14"/>
      <c r="G2621" s="14"/>
      <c r="H2621" s="14"/>
      <c r="I2621" s="14"/>
      <c r="J2621" s="14"/>
      <c r="K2621" s="14"/>
      <c r="L2621" s="15"/>
      <c r="M2621" s="15"/>
      <c r="N2621" s="15"/>
      <c r="O2621" s="15"/>
      <c r="P2621" s="15"/>
      <c r="Q2621" s="14"/>
      <c r="R2621" s="14"/>
      <c r="S2621" s="14"/>
      <c r="T2621" s="14"/>
      <c r="U2621" s="15"/>
      <c r="V2621" s="14"/>
      <c r="W2621" s="14"/>
      <c r="X2621" s="14"/>
      <c r="Y2621" s="14"/>
      <c r="Z2621" s="14"/>
    </row>
    <row r="2622" spans="1:26" ht="13.2">
      <c r="A2622" s="13"/>
      <c r="B2622" s="14"/>
      <c r="C2622" s="14"/>
      <c r="D2622" s="14"/>
      <c r="E2622" s="14"/>
      <c r="F2622" s="14"/>
      <c r="G2622" s="14"/>
      <c r="H2622" s="14"/>
      <c r="I2622" s="14"/>
      <c r="J2622" s="14"/>
      <c r="K2622" s="14"/>
      <c r="L2622" s="15"/>
      <c r="M2622" s="15"/>
      <c r="N2622" s="15"/>
      <c r="O2622" s="15"/>
      <c r="P2622" s="15"/>
      <c r="Q2622" s="14"/>
      <c r="R2622" s="14"/>
      <c r="S2622" s="14"/>
      <c r="T2622" s="14"/>
      <c r="U2622" s="15"/>
      <c r="V2622" s="14"/>
      <c r="W2622" s="14"/>
      <c r="X2622" s="14"/>
      <c r="Y2622" s="14"/>
      <c r="Z2622" s="14"/>
    </row>
    <row r="2623" spans="1:26" ht="13.2">
      <c r="A2623" s="13"/>
      <c r="B2623" s="14"/>
      <c r="C2623" s="14"/>
      <c r="D2623" s="14"/>
      <c r="E2623" s="14"/>
      <c r="F2623" s="14"/>
      <c r="G2623" s="14"/>
      <c r="H2623" s="14"/>
      <c r="I2623" s="14"/>
      <c r="J2623" s="14"/>
      <c r="K2623" s="14"/>
      <c r="L2623" s="15"/>
      <c r="M2623" s="15"/>
      <c r="N2623" s="15"/>
      <c r="O2623" s="15"/>
      <c r="P2623" s="15"/>
      <c r="Q2623" s="14"/>
      <c r="R2623" s="14"/>
      <c r="S2623" s="14"/>
      <c r="T2623" s="14"/>
      <c r="U2623" s="15"/>
      <c r="V2623" s="14"/>
      <c r="W2623" s="14"/>
      <c r="X2623" s="14"/>
      <c r="Y2623" s="14"/>
      <c r="Z2623" s="14"/>
    </row>
    <row r="2624" spans="1:26" ht="13.2">
      <c r="A2624" s="13"/>
      <c r="B2624" s="14"/>
      <c r="C2624" s="14"/>
      <c r="D2624" s="14"/>
      <c r="E2624" s="14"/>
      <c r="F2624" s="14"/>
      <c r="G2624" s="14"/>
      <c r="H2624" s="14"/>
      <c r="I2624" s="14"/>
      <c r="J2624" s="14"/>
      <c r="K2624" s="14"/>
      <c r="L2624" s="15"/>
      <c r="M2624" s="15"/>
      <c r="N2624" s="15"/>
      <c r="O2624" s="15"/>
      <c r="P2624" s="15"/>
      <c r="Q2624" s="14"/>
      <c r="R2624" s="14"/>
      <c r="S2624" s="14"/>
      <c r="T2624" s="14"/>
      <c r="U2624" s="15"/>
      <c r="V2624" s="14"/>
      <c r="W2624" s="14"/>
      <c r="X2624" s="14"/>
      <c r="Y2624" s="14"/>
      <c r="Z2624" s="14"/>
    </row>
    <row r="2625" spans="1:26" ht="13.2">
      <c r="A2625" s="13"/>
      <c r="B2625" s="14"/>
      <c r="C2625" s="14"/>
      <c r="D2625" s="14"/>
      <c r="E2625" s="14"/>
      <c r="F2625" s="14"/>
      <c r="G2625" s="14"/>
      <c r="H2625" s="14"/>
      <c r="I2625" s="14"/>
      <c r="J2625" s="14"/>
      <c r="K2625" s="14"/>
      <c r="L2625" s="15"/>
      <c r="M2625" s="15"/>
      <c r="N2625" s="15"/>
      <c r="O2625" s="15"/>
      <c r="P2625" s="15"/>
      <c r="Q2625" s="14"/>
      <c r="R2625" s="14"/>
      <c r="S2625" s="14"/>
      <c r="T2625" s="14"/>
      <c r="U2625" s="15"/>
      <c r="V2625" s="14"/>
      <c r="W2625" s="14"/>
      <c r="X2625" s="14"/>
      <c r="Y2625" s="14"/>
      <c r="Z2625" s="14"/>
    </row>
    <row r="2626" spans="1:26" ht="13.2">
      <c r="A2626" s="13"/>
      <c r="B2626" s="14"/>
      <c r="C2626" s="14"/>
      <c r="D2626" s="14"/>
      <c r="E2626" s="14"/>
      <c r="F2626" s="14"/>
      <c r="G2626" s="14"/>
      <c r="H2626" s="14"/>
      <c r="I2626" s="14"/>
      <c r="J2626" s="14"/>
      <c r="K2626" s="14"/>
      <c r="L2626" s="15"/>
      <c r="M2626" s="15"/>
      <c r="N2626" s="15"/>
      <c r="O2626" s="15"/>
      <c r="P2626" s="15"/>
      <c r="Q2626" s="14"/>
      <c r="R2626" s="14"/>
      <c r="S2626" s="14"/>
      <c r="T2626" s="14"/>
      <c r="U2626" s="15"/>
      <c r="V2626" s="14"/>
      <c r="W2626" s="14"/>
      <c r="X2626" s="14"/>
      <c r="Y2626" s="14"/>
      <c r="Z2626" s="14"/>
    </row>
    <row r="2627" spans="1:26" ht="13.2">
      <c r="A2627" s="13"/>
      <c r="B2627" s="14"/>
      <c r="C2627" s="14"/>
      <c r="D2627" s="14"/>
      <c r="E2627" s="14"/>
      <c r="F2627" s="14"/>
      <c r="G2627" s="14"/>
      <c r="H2627" s="14"/>
      <c r="I2627" s="14"/>
      <c r="J2627" s="14"/>
      <c r="K2627" s="14"/>
      <c r="L2627" s="15"/>
      <c r="M2627" s="15"/>
      <c r="N2627" s="15"/>
      <c r="O2627" s="15"/>
      <c r="P2627" s="15"/>
      <c r="Q2627" s="14"/>
      <c r="R2627" s="14"/>
      <c r="S2627" s="14"/>
      <c r="T2627" s="14"/>
      <c r="U2627" s="15"/>
      <c r="V2627" s="14"/>
      <c r="W2627" s="14"/>
      <c r="X2627" s="14"/>
      <c r="Y2627" s="14"/>
      <c r="Z2627" s="14"/>
    </row>
    <row r="2628" spans="1:26" ht="13.2">
      <c r="A2628" s="13"/>
      <c r="B2628" s="14"/>
      <c r="C2628" s="14"/>
      <c r="D2628" s="14"/>
      <c r="E2628" s="14"/>
      <c r="F2628" s="14"/>
      <c r="G2628" s="14"/>
      <c r="H2628" s="14"/>
      <c r="I2628" s="14"/>
      <c r="J2628" s="14"/>
      <c r="K2628" s="14"/>
      <c r="L2628" s="15"/>
      <c r="M2628" s="15"/>
      <c r="N2628" s="15"/>
      <c r="O2628" s="15"/>
      <c r="P2628" s="15"/>
      <c r="Q2628" s="14"/>
      <c r="R2628" s="14"/>
      <c r="S2628" s="14"/>
      <c r="T2628" s="14"/>
      <c r="U2628" s="15"/>
      <c r="V2628" s="14"/>
      <c r="W2628" s="14"/>
      <c r="X2628" s="14"/>
      <c r="Y2628" s="14"/>
      <c r="Z2628" s="14"/>
    </row>
    <row r="2629" spans="1:26" ht="13.2">
      <c r="A2629" s="13"/>
      <c r="B2629" s="14"/>
      <c r="C2629" s="14"/>
      <c r="D2629" s="14"/>
      <c r="E2629" s="14"/>
      <c r="F2629" s="14"/>
      <c r="G2629" s="14"/>
      <c r="H2629" s="14"/>
      <c r="I2629" s="14"/>
      <c r="J2629" s="14"/>
      <c r="K2629" s="14"/>
      <c r="L2629" s="15"/>
      <c r="M2629" s="15"/>
      <c r="N2629" s="15"/>
      <c r="O2629" s="15"/>
      <c r="P2629" s="15"/>
      <c r="Q2629" s="14"/>
      <c r="R2629" s="14"/>
      <c r="S2629" s="14"/>
      <c r="T2629" s="14"/>
      <c r="U2629" s="15"/>
      <c r="V2629" s="14"/>
      <c r="W2629" s="14"/>
      <c r="X2629" s="14"/>
      <c r="Y2629" s="14"/>
      <c r="Z2629" s="14"/>
    </row>
    <row r="2630" spans="1:26" ht="13.2">
      <c r="A2630" s="13"/>
      <c r="B2630" s="14"/>
      <c r="C2630" s="14"/>
      <c r="D2630" s="14"/>
      <c r="E2630" s="14"/>
      <c r="F2630" s="14"/>
      <c r="G2630" s="14"/>
      <c r="H2630" s="14"/>
      <c r="I2630" s="14"/>
      <c r="J2630" s="14"/>
      <c r="K2630" s="14"/>
      <c r="L2630" s="15"/>
      <c r="M2630" s="15"/>
      <c r="N2630" s="15"/>
      <c r="O2630" s="15"/>
      <c r="P2630" s="15"/>
      <c r="Q2630" s="14"/>
      <c r="R2630" s="14"/>
      <c r="S2630" s="14"/>
      <c r="T2630" s="14"/>
      <c r="U2630" s="15"/>
      <c r="V2630" s="14"/>
      <c r="W2630" s="14"/>
      <c r="X2630" s="14"/>
      <c r="Y2630" s="14"/>
      <c r="Z2630" s="14"/>
    </row>
    <row r="2631" spans="1:26" ht="13.2">
      <c r="A2631" s="13"/>
      <c r="B2631" s="14"/>
      <c r="C2631" s="14"/>
      <c r="D2631" s="14"/>
      <c r="E2631" s="14"/>
      <c r="F2631" s="14"/>
      <c r="G2631" s="14"/>
      <c r="H2631" s="14"/>
      <c r="I2631" s="14"/>
      <c r="J2631" s="14"/>
      <c r="K2631" s="14"/>
      <c r="L2631" s="15"/>
      <c r="M2631" s="15"/>
      <c r="N2631" s="15"/>
      <c r="O2631" s="15"/>
      <c r="P2631" s="15"/>
      <c r="Q2631" s="14"/>
      <c r="R2631" s="14"/>
      <c r="S2631" s="14"/>
      <c r="T2631" s="14"/>
      <c r="U2631" s="15"/>
      <c r="V2631" s="14"/>
      <c r="W2631" s="14"/>
      <c r="X2631" s="14"/>
      <c r="Y2631" s="14"/>
      <c r="Z2631" s="14"/>
    </row>
    <row r="2632" spans="1:26" ht="13.2">
      <c r="A2632" s="13"/>
      <c r="B2632" s="14"/>
      <c r="C2632" s="14"/>
      <c r="D2632" s="14"/>
      <c r="E2632" s="14"/>
      <c r="F2632" s="14"/>
      <c r="G2632" s="14"/>
      <c r="H2632" s="14"/>
      <c r="I2632" s="14"/>
      <c r="J2632" s="14"/>
      <c r="K2632" s="14"/>
      <c r="L2632" s="15"/>
      <c r="M2632" s="15"/>
      <c r="N2632" s="15"/>
      <c r="O2632" s="15"/>
      <c r="P2632" s="15"/>
      <c r="Q2632" s="14"/>
      <c r="R2632" s="14"/>
      <c r="S2632" s="14"/>
      <c r="T2632" s="14"/>
      <c r="U2632" s="15"/>
      <c r="V2632" s="14"/>
      <c r="W2632" s="14"/>
      <c r="X2632" s="14"/>
      <c r="Y2632" s="14"/>
      <c r="Z2632" s="14"/>
    </row>
    <row r="2633" spans="1:26" ht="13.2">
      <c r="A2633" s="13"/>
      <c r="B2633" s="14"/>
      <c r="C2633" s="14"/>
      <c r="D2633" s="14"/>
      <c r="E2633" s="14"/>
      <c r="F2633" s="14"/>
      <c r="G2633" s="14"/>
      <c r="H2633" s="14"/>
      <c r="I2633" s="14"/>
      <c r="J2633" s="14"/>
      <c r="K2633" s="14"/>
      <c r="L2633" s="15"/>
      <c r="M2633" s="15"/>
      <c r="N2633" s="15"/>
      <c r="O2633" s="15"/>
      <c r="P2633" s="15"/>
      <c r="Q2633" s="14"/>
      <c r="R2633" s="14"/>
      <c r="S2633" s="14"/>
      <c r="T2633" s="14"/>
      <c r="U2633" s="15"/>
      <c r="V2633" s="14"/>
      <c r="W2633" s="14"/>
      <c r="X2633" s="14"/>
      <c r="Y2633" s="14"/>
      <c r="Z2633" s="14"/>
    </row>
    <row r="2634" spans="1:26" ht="13.2">
      <c r="A2634" s="13"/>
      <c r="B2634" s="14"/>
      <c r="C2634" s="14"/>
      <c r="D2634" s="14"/>
      <c r="E2634" s="14"/>
      <c r="F2634" s="14"/>
      <c r="G2634" s="14"/>
      <c r="H2634" s="14"/>
      <c r="I2634" s="14"/>
      <c r="J2634" s="14"/>
      <c r="K2634" s="14"/>
      <c r="L2634" s="15"/>
      <c r="M2634" s="15"/>
      <c r="N2634" s="15"/>
      <c r="O2634" s="15"/>
      <c r="P2634" s="15"/>
      <c r="Q2634" s="14"/>
      <c r="R2634" s="14"/>
      <c r="S2634" s="14"/>
      <c r="T2634" s="14"/>
      <c r="U2634" s="15"/>
      <c r="V2634" s="14"/>
      <c r="W2634" s="14"/>
      <c r="X2634" s="14"/>
      <c r="Y2634" s="14"/>
      <c r="Z2634" s="14"/>
    </row>
    <row r="2635" spans="1:26" ht="13.2">
      <c r="A2635" s="13"/>
      <c r="B2635" s="14"/>
      <c r="C2635" s="14"/>
      <c r="D2635" s="14"/>
      <c r="E2635" s="14"/>
      <c r="F2635" s="14"/>
      <c r="G2635" s="14"/>
      <c r="H2635" s="14"/>
      <c r="I2635" s="14"/>
      <c r="J2635" s="14"/>
      <c r="K2635" s="14"/>
      <c r="L2635" s="15"/>
      <c r="M2635" s="15"/>
      <c r="N2635" s="15"/>
      <c r="O2635" s="15"/>
      <c r="P2635" s="15"/>
      <c r="Q2635" s="14"/>
      <c r="R2635" s="14"/>
      <c r="S2635" s="14"/>
      <c r="T2635" s="14"/>
      <c r="U2635" s="15"/>
      <c r="V2635" s="14"/>
      <c r="W2635" s="14"/>
      <c r="X2635" s="14"/>
      <c r="Y2635" s="14"/>
      <c r="Z2635" s="14"/>
    </row>
    <row r="2636" spans="1:26" ht="13.2">
      <c r="A2636" s="13"/>
      <c r="B2636" s="14"/>
      <c r="C2636" s="14"/>
      <c r="D2636" s="14"/>
      <c r="E2636" s="14"/>
      <c r="F2636" s="14"/>
      <c r="G2636" s="14"/>
      <c r="H2636" s="14"/>
      <c r="I2636" s="14"/>
      <c r="J2636" s="14"/>
      <c r="K2636" s="14"/>
      <c r="L2636" s="15"/>
      <c r="M2636" s="15"/>
      <c r="N2636" s="15"/>
      <c r="O2636" s="15"/>
      <c r="P2636" s="15"/>
      <c r="Q2636" s="14"/>
      <c r="R2636" s="14"/>
      <c r="S2636" s="14"/>
      <c r="T2636" s="14"/>
      <c r="U2636" s="15"/>
      <c r="V2636" s="14"/>
      <c r="W2636" s="14"/>
      <c r="X2636" s="14"/>
      <c r="Y2636" s="14"/>
      <c r="Z2636" s="14"/>
    </row>
    <row r="2637" spans="1:26" ht="13.2">
      <c r="A2637" s="13"/>
      <c r="B2637" s="14"/>
      <c r="C2637" s="14"/>
      <c r="D2637" s="14"/>
      <c r="E2637" s="14"/>
      <c r="F2637" s="14"/>
      <c r="G2637" s="14"/>
      <c r="H2637" s="14"/>
      <c r="I2637" s="14"/>
      <c r="J2637" s="14"/>
      <c r="K2637" s="14"/>
      <c r="L2637" s="15"/>
      <c r="M2637" s="15"/>
      <c r="N2637" s="15"/>
      <c r="O2637" s="15"/>
      <c r="P2637" s="15"/>
      <c r="Q2637" s="14"/>
      <c r="R2637" s="14"/>
      <c r="S2637" s="14"/>
      <c r="T2637" s="14"/>
      <c r="U2637" s="15"/>
      <c r="V2637" s="14"/>
      <c r="W2637" s="14"/>
      <c r="X2637" s="14"/>
      <c r="Y2637" s="14"/>
      <c r="Z2637" s="14"/>
    </row>
    <row r="2638" spans="1:26" ht="13.2">
      <c r="A2638" s="13"/>
      <c r="B2638" s="14"/>
      <c r="C2638" s="14"/>
      <c r="D2638" s="14"/>
      <c r="E2638" s="14"/>
      <c r="F2638" s="14"/>
      <c r="G2638" s="14"/>
      <c r="H2638" s="14"/>
      <c r="I2638" s="14"/>
      <c r="J2638" s="14"/>
      <c r="K2638" s="14"/>
      <c r="L2638" s="15"/>
      <c r="M2638" s="15"/>
      <c r="N2638" s="15"/>
      <c r="O2638" s="15"/>
      <c r="P2638" s="15"/>
      <c r="Q2638" s="14"/>
      <c r="R2638" s="14"/>
      <c r="S2638" s="14"/>
      <c r="T2638" s="14"/>
      <c r="U2638" s="15"/>
      <c r="V2638" s="14"/>
      <c r="W2638" s="14"/>
      <c r="X2638" s="14"/>
      <c r="Y2638" s="14"/>
      <c r="Z2638" s="14"/>
    </row>
    <row r="2639" spans="1:26" ht="13.2">
      <c r="A2639" s="13"/>
      <c r="B2639" s="14"/>
      <c r="C2639" s="14"/>
      <c r="D2639" s="14"/>
      <c r="E2639" s="14"/>
      <c r="F2639" s="14"/>
      <c r="G2639" s="14"/>
      <c r="H2639" s="14"/>
      <c r="I2639" s="14"/>
      <c r="J2639" s="14"/>
      <c r="K2639" s="14"/>
      <c r="L2639" s="15"/>
      <c r="M2639" s="15"/>
      <c r="N2639" s="15"/>
      <c r="O2639" s="15"/>
      <c r="P2639" s="15"/>
      <c r="Q2639" s="14"/>
      <c r="R2639" s="14"/>
      <c r="S2639" s="14"/>
      <c r="T2639" s="14"/>
      <c r="U2639" s="15"/>
      <c r="V2639" s="14"/>
      <c r="W2639" s="14"/>
      <c r="X2639" s="14"/>
      <c r="Y2639" s="14"/>
      <c r="Z2639" s="14"/>
    </row>
    <row r="2640" spans="1:26" ht="13.2">
      <c r="A2640" s="13"/>
      <c r="B2640" s="14"/>
      <c r="C2640" s="14"/>
      <c r="D2640" s="14"/>
      <c r="E2640" s="14"/>
      <c r="F2640" s="14"/>
      <c r="G2640" s="14"/>
      <c r="H2640" s="14"/>
      <c r="I2640" s="14"/>
      <c r="J2640" s="14"/>
      <c r="K2640" s="14"/>
      <c r="L2640" s="15"/>
      <c r="M2640" s="15"/>
      <c r="N2640" s="15"/>
      <c r="O2640" s="15"/>
      <c r="P2640" s="15"/>
      <c r="Q2640" s="14"/>
      <c r="R2640" s="14"/>
      <c r="S2640" s="14"/>
      <c r="T2640" s="14"/>
      <c r="U2640" s="15"/>
      <c r="V2640" s="14"/>
      <c r="W2640" s="14"/>
      <c r="X2640" s="14"/>
      <c r="Y2640" s="14"/>
      <c r="Z2640" s="14"/>
    </row>
    <row r="2641" spans="1:26" ht="13.2">
      <c r="A2641" s="13"/>
      <c r="B2641" s="14"/>
      <c r="C2641" s="14"/>
      <c r="D2641" s="14"/>
      <c r="E2641" s="14"/>
      <c r="F2641" s="14"/>
      <c r="G2641" s="14"/>
      <c r="H2641" s="14"/>
      <c r="I2641" s="14"/>
      <c r="J2641" s="14"/>
      <c r="K2641" s="14"/>
      <c r="L2641" s="15"/>
      <c r="M2641" s="15"/>
      <c r="N2641" s="15"/>
      <c r="O2641" s="15"/>
      <c r="P2641" s="15"/>
      <c r="Q2641" s="14"/>
      <c r="R2641" s="14"/>
      <c r="S2641" s="14"/>
      <c r="T2641" s="14"/>
      <c r="U2641" s="15"/>
      <c r="V2641" s="14"/>
      <c r="W2641" s="14"/>
      <c r="X2641" s="14"/>
      <c r="Y2641" s="14"/>
      <c r="Z2641" s="14"/>
    </row>
    <row r="2642" spans="1:26" ht="13.2">
      <c r="A2642" s="13"/>
      <c r="B2642" s="14"/>
      <c r="C2642" s="14"/>
      <c r="D2642" s="14"/>
      <c r="E2642" s="14"/>
      <c r="F2642" s="14"/>
      <c r="G2642" s="14"/>
      <c r="H2642" s="14"/>
      <c r="I2642" s="14"/>
      <c r="J2642" s="14"/>
      <c r="K2642" s="14"/>
      <c r="L2642" s="15"/>
      <c r="M2642" s="15"/>
      <c r="N2642" s="15"/>
      <c r="O2642" s="15"/>
      <c r="P2642" s="15"/>
      <c r="Q2642" s="14"/>
      <c r="R2642" s="14"/>
      <c r="S2642" s="14"/>
      <c r="T2642" s="14"/>
      <c r="U2642" s="15"/>
      <c r="V2642" s="14"/>
      <c r="W2642" s="14"/>
      <c r="X2642" s="14"/>
      <c r="Y2642" s="14"/>
      <c r="Z2642" s="14"/>
    </row>
    <row r="2643" spans="1:26" ht="13.2">
      <c r="A2643" s="13"/>
      <c r="B2643" s="14"/>
      <c r="C2643" s="14"/>
      <c r="D2643" s="14"/>
      <c r="E2643" s="14"/>
      <c r="F2643" s="14"/>
      <c r="G2643" s="14"/>
      <c r="H2643" s="14"/>
      <c r="I2643" s="14"/>
      <c r="J2643" s="14"/>
      <c r="K2643" s="14"/>
      <c r="L2643" s="15"/>
      <c r="M2643" s="15"/>
      <c r="N2643" s="15"/>
      <c r="O2643" s="15"/>
      <c r="P2643" s="15"/>
      <c r="Q2643" s="14"/>
      <c r="R2643" s="14"/>
      <c r="S2643" s="14"/>
      <c r="T2643" s="14"/>
      <c r="U2643" s="15"/>
      <c r="V2643" s="14"/>
      <c r="W2643" s="14"/>
      <c r="X2643" s="14"/>
      <c r="Y2643" s="14"/>
      <c r="Z2643" s="14"/>
    </row>
    <row r="2644" spans="1:26" ht="13.2">
      <c r="A2644" s="13"/>
      <c r="B2644" s="14"/>
      <c r="C2644" s="14"/>
      <c r="D2644" s="14"/>
      <c r="E2644" s="14"/>
      <c r="F2644" s="14"/>
      <c r="G2644" s="14"/>
      <c r="H2644" s="14"/>
      <c r="I2644" s="14"/>
      <c r="J2644" s="14"/>
      <c r="K2644" s="14"/>
      <c r="L2644" s="15"/>
      <c r="M2644" s="15"/>
      <c r="N2644" s="15"/>
      <c r="O2644" s="15"/>
      <c r="P2644" s="15"/>
      <c r="Q2644" s="14"/>
      <c r="R2644" s="14"/>
      <c r="S2644" s="14"/>
      <c r="T2644" s="14"/>
      <c r="U2644" s="15"/>
      <c r="V2644" s="14"/>
      <c r="W2644" s="14"/>
      <c r="X2644" s="14"/>
      <c r="Y2644" s="14"/>
      <c r="Z2644" s="14"/>
    </row>
    <row r="2645" spans="1:26" ht="13.2">
      <c r="A2645" s="13"/>
      <c r="B2645" s="14"/>
      <c r="C2645" s="14"/>
      <c r="D2645" s="14"/>
      <c r="E2645" s="14"/>
      <c r="F2645" s="14"/>
      <c r="G2645" s="14"/>
      <c r="H2645" s="14"/>
      <c r="I2645" s="14"/>
      <c r="J2645" s="14"/>
      <c r="K2645" s="14"/>
      <c r="L2645" s="15"/>
      <c r="M2645" s="15"/>
      <c r="N2645" s="15"/>
      <c r="O2645" s="15"/>
      <c r="P2645" s="15"/>
      <c r="Q2645" s="14"/>
      <c r="R2645" s="14"/>
      <c r="S2645" s="14"/>
      <c r="T2645" s="14"/>
      <c r="U2645" s="15"/>
      <c r="V2645" s="14"/>
      <c r="W2645" s="14"/>
      <c r="X2645" s="14"/>
      <c r="Y2645" s="14"/>
      <c r="Z2645" s="14"/>
    </row>
    <row r="2646" spans="1:26" ht="13.2">
      <c r="A2646" s="13"/>
      <c r="B2646" s="14"/>
      <c r="C2646" s="14"/>
      <c r="D2646" s="14"/>
      <c r="E2646" s="14"/>
      <c r="F2646" s="14"/>
      <c r="G2646" s="14"/>
      <c r="H2646" s="14"/>
      <c r="I2646" s="14"/>
      <c r="J2646" s="14"/>
      <c r="K2646" s="14"/>
      <c r="L2646" s="15"/>
      <c r="M2646" s="15"/>
      <c r="N2646" s="15"/>
      <c r="O2646" s="15"/>
      <c r="P2646" s="15"/>
      <c r="Q2646" s="14"/>
      <c r="R2646" s="14"/>
      <c r="S2646" s="14"/>
      <c r="T2646" s="14"/>
      <c r="U2646" s="15"/>
      <c r="V2646" s="14"/>
      <c r="W2646" s="14"/>
      <c r="X2646" s="14"/>
      <c r="Y2646" s="14"/>
      <c r="Z2646" s="14"/>
    </row>
    <row r="2647" spans="1:26" ht="13.2">
      <c r="A2647" s="13"/>
      <c r="B2647" s="14"/>
      <c r="C2647" s="14"/>
      <c r="D2647" s="14"/>
      <c r="E2647" s="14"/>
      <c r="F2647" s="14"/>
      <c r="G2647" s="14"/>
      <c r="H2647" s="14"/>
      <c r="I2647" s="14"/>
      <c r="J2647" s="14"/>
      <c r="K2647" s="14"/>
      <c r="L2647" s="15"/>
      <c r="M2647" s="15"/>
      <c r="N2647" s="15"/>
      <c r="O2647" s="15"/>
      <c r="P2647" s="15"/>
      <c r="Q2647" s="14"/>
      <c r="R2647" s="14"/>
      <c r="S2647" s="14"/>
      <c r="T2647" s="14"/>
      <c r="U2647" s="15"/>
      <c r="V2647" s="14"/>
      <c r="W2647" s="14"/>
      <c r="X2647" s="14"/>
      <c r="Y2647" s="14"/>
      <c r="Z2647" s="14"/>
    </row>
    <row r="2648" spans="1:26" ht="13.2">
      <c r="A2648" s="13"/>
      <c r="B2648" s="14"/>
      <c r="C2648" s="14"/>
      <c r="D2648" s="14"/>
      <c r="E2648" s="14"/>
      <c r="F2648" s="14"/>
      <c r="G2648" s="14"/>
      <c r="H2648" s="14"/>
      <c r="I2648" s="14"/>
      <c r="J2648" s="14"/>
      <c r="K2648" s="14"/>
      <c r="L2648" s="15"/>
      <c r="M2648" s="15"/>
      <c r="N2648" s="15"/>
      <c r="O2648" s="15"/>
      <c r="P2648" s="15"/>
      <c r="Q2648" s="14"/>
      <c r="R2648" s="14"/>
      <c r="S2648" s="14"/>
      <c r="T2648" s="14"/>
      <c r="U2648" s="15"/>
      <c r="V2648" s="14"/>
      <c r="W2648" s="14"/>
      <c r="X2648" s="14"/>
      <c r="Y2648" s="14"/>
      <c r="Z2648" s="14"/>
    </row>
    <row r="2649" spans="1:26" ht="13.2">
      <c r="A2649" s="13"/>
      <c r="B2649" s="14"/>
      <c r="C2649" s="14"/>
      <c r="D2649" s="14"/>
      <c r="E2649" s="14"/>
      <c r="F2649" s="14"/>
      <c r="G2649" s="14"/>
      <c r="H2649" s="14"/>
      <c r="I2649" s="14"/>
      <c r="J2649" s="14"/>
      <c r="K2649" s="14"/>
      <c r="L2649" s="15"/>
      <c r="M2649" s="15"/>
      <c r="N2649" s="15"/>
      <c r="O2649" s="15"/>
      <c r="P2649" s="15"/>
      <c r="Q2649" s="14"/>
      <c r="R2649" s="14"/>
      <c r="S2649" s="14"/>
      <c r="T2649" s="14"/>
      <c r="U2649" s="15"/>
      <c r="V2649" s="14"/>
      <c r="W2649" s="14"/>
      <c r="X2649" s="14"/>
      <c r="Y2649" s="14"/>
      <c r="Z2649" s="14"/>
    </row>
    <row r="2650" spans="1:26" ht="13.2">
      <c r="A2650" s="13"/>
      <c r="B2650" s="14"/>
      <c r="C2650" s="14"/>
      <c r="D2650" s="14"/>
      <c r="E2650" s="14"/>
      <c r="F2650" s="14"/>
      <c r="G2650" s="14"/>
      <c r="H2650" s="14"/>
      <c r="I2650" s="14"/>
      <c r="J2650" s="14"/>
      <c r="K2650" s="14"/>
      <c r="L2650" s="15"/>
      <c r="M2650" s="15"/>
      <c r="N2650" s="15"/>
      <c r="O2650" s="15"/>
      <c r="P2650" s="15"/>
      <c r="Q2650" s="14"/>
      <c r="R2650" s="14"/>
      <c r="S2650" s="14"/>
      <c r="T2650" s="14"/>
      <c r="U2650" s="15"/>
      <c r="V2650" s="14"/>
      <c r="W2650" s="14"/>
      <c r="X2650" s="14"/>
      <c r="Y2650" s="14"/>
      <c r="Z2650" s="14"/>
    </row>
    <row r="2651" spans="1:26" ht="13.2">
      <c r="A2651" s="13"/>
      <c r="B2651" s="14"/>
      <c r="C2651" s="14"/>
      <c r="D2651" s="14"/>
      <c r="E2651" s="14"/>
      <c r="F2651" s="14"/>
      <c r="G2651" s="14"/>
      <c r="H2651" s="14"/>
      <c r="I2651" s="14"/>
      <c r="J2651" s="14"/>
      <c r="K2651" s="14"/>
      <c r="L2651" s="15"/>
      <c r="M2651" s="15"/>
      <c r="N2651" s="15"/>
      <c r="O2651" s="15"/>
      <c r="P2651" s="15"/>
      <c r="Q2651" s="14"/>
      <c r="R2651" s="14"/>
      <c r="S2651" s="14"/>
      <c r="T2651" s="14"/>
      <c r="U2651" s="15"/>
      <c r="V2651" s="14"/>
      <c r="W2651" s="14"/>
      <c r="X2651" s="14"/>
      <c r="Y2651" s="14"/>
      <c r="Z2651" s="14"/>
    </row>
    <row r="2652" spans="1:26" ht="13.2">
      <c r="A2652" s="13"/>
      <c r="B2652" s="14"/>
      <c r="C2652" s="14"/>
      <c r="D2652" s="14"/>
      <c r="E2652" s="14"/>
      <c r="F2652" s="14"/>
      <c r="G2652" s="14"/>
      <c r="H2652" s="14"/>
      <c r="I2652" s="14"/>
      <c r="J2652" s="14"/>
      <c r="K2652" s="14"/>
      <c r="L2652" s="15"/>
      <c r="M2652" s="15"/>
      <c r="N2652" s="15"/>
      <c r="O2652" s="15"/>
      <c r="P2652" s="15"/>
      <c r="Q2652" s="14"/>
      <c r="R2652" s="14"/>
      <c r="S2652" s="14"/>
      <c r="T2652" s="14"/>
      <c r="U2652" s="15"/>
      <c r="V2652" s="14"/>
      <c r="W2652" s="14"/>
      <c r="X2652" s="14"/>
      <c r="Y2652" s="14"/>
      <c r="Z2652" s="14"/>
    </row>
    <row r="2653" spans="1:26" ht="13.2">
      <c r="A2653" s="13"/>
      <c r="B2653" s="14"/>
      <c r="C2653" s="14"/>
      <c r="D2653" s="14"/>
      <c r="E2653" s="14"/>
      <c r="F2653" s="14"/>
      <c r="G2653" s="14"/>
      <c r="H2653" s="14"/>
      <c r="I2653" s="14"/>
      <c r="J2653" s="14"/>
      <c r="K2653" s="14"/>
      <c r="L2653" s="15"/>
      <c r="M2653" s="15"/>
      <c r="N2653" s="15"/>
      <c r="O2653" s="15"/>
      <c r="P2653" s="15"/>
      <c r="Q2653" s="14"/>
      <c r="R2653" s="14"/>
      <c r="S2653" s="14"/>
      <c r="T2653" s="14"/>
      <c r="U2653" s="15"/>
      <c r="V2653" s="14"/>
      <c r="W2653" s="14"/>
      <c r="X2653" s="14"/>
      <c r="Y2653" s="14"/>
      <c r="Z2653" s="14"/>
    </row>
    <row r="2654" spans="1:26" ht="13.2">
      <c r="A2654" s="13"/>
      <c r="B2654" s="14"/>
      <c r="C2654" s="14"/>
      <c r="D2654" s="14"/>
      <c r="E2654" s="14"/>
      <c r="F2654" s="14"/>
      <c r="G2654" s="14"/>
      <c r="H2654" s="14"/>
      <c r="I2654" s="14"/>
      <c r="J2654" s="14"/>
      <c r="K2654" s="14"/>
      <c r="L2654" s="15"/>
      <c r="M2654" s="15"/>
      <c r="N2654" s="15"/>
      <c r="O2654" s="15"/>
      <c r="P2654" s="15"/>
      <c r="Q2654" s="14"/>
      <c r="R2654" s="14"/>
      <c r="S2654" s="14"/>
      <c r="T2654" s="14"/>
      <c r="U2654" s="15"/>
      <c r="V2654" s="14"/>
      <c r="W2654" s="14"/>
      <c r="X2654" s="14"/>
      <c r="Y2654" s="14"/>
      <c r="Z2654" s="14"/>
    </row>
    <row r="2655" spans="1:26" ht="13.2">
      <c r="A2655" s="13"/>
      <c r="B2655" s="14"/>
      <c r="C2655" s="14"/>
      <c r="D2655" s="14"/>
      <c r="E2655" s="14"/>
      <c r="F2655" s="14"/>
      <c r="G2655" s="14"/>
      <c r="H2655" s="14"/>
      <c r="I2655" s="14"/>
      <c r="J2655" s="14"/>
      <c r="K2655" s="14"/>
      <c r="L2655" s="15"/>
      <c r="M2655" s="15"/>
      <c r="N2655" s="15"/>
      <c r="O2655" s="15"/>
      <c r="P2655" s="15"/>
      <c r="Q2655" s="14"/>
      <c r="R2655" s="14"/>
      <c r="S2655" s="14"/>
      <c r="T2655" s="14"/>
      <c r="U2655" s="15"/>
      <c r="V2655" s="14"/>
      <c r="W2655" s="14"/>
      <c r="X2655" s="14"/>
      <c r="Y2655" s="14"/>
      <c r="Z2655" s="14"/>
    </row>
    <row r="2656" spans="1:26" ht="13.2">
      <c r="A2656" s="13"/>
      <c r="B2656" s="14"/>
      <c r="C2656" s="14"/>
      <c r="D2656" s="14"/>
      <c r="E2656" s="14"/>
      <c r="F2656" s="14"/>
      <c r="G2656" s="14"/>
      <c r="H2656" s="14"/>
      <c r="I2656" s="14"/>
      <c r="J2656" s="14"/>
      <c r="K2656" s="14"/>
      <c r="L2656" s="15"/>
      <c r="M2656" s="15"/>
      <c r="N2656" s="15"/>
      <c r="O2656" s="15"/>
      <c r="P2656" s="15"/>
      <c r="Q2656" s="14"/>
      <c r="R2656" s="14"/>
      <c r="S2656" s="14"/>
      <c r="T2656" s="14"/>
      <c r="U2656" s="15"/>
      <c r="V2656" s="14"/>
      <c r="W2656" s="14"/>
      <c r="X2656" s="14"/>
      <c r="Y2656" s="14"/>
      <c r="Z2656" s="14"/>
    </row>
    <row r="2657" spans="1:26" ht="13.2">
      <c r="A2657" s="13"/>
      <c r="B2657" s="14"/>
      <c r="C2657" s="14"/>
      <c r="D2657" s="14"/>
      <c r="E2657" s="14"/>
      <c r="F2657" s="14"/>
      <c r="G2657" s="14"/>
      <c r="H2657" s="14"/>
      <c r="I2657" s="14"/>
      <c r="J2657" s="14"/>
      <c r="K2657" s="14"/>
      <c r="L2657" s="15"/>
      <c r="M2657" s="15"/>
      <c r="N2657" s="15"/>
      <c r="O2657" s="15"/>
      <c r="P2657" s="15"/>
      <c r="Q2657" s="14"/>
      <c r="R2657" s="14"/>
      <c r="S2657" s="14"/>
      <c r="T2657" s="14"/>
      <c r="U2657" s="15"/>
      <c r="V2657" s="14"/>
      <c r="W2657" s="14"/>
      <c r="X2657" s="14"/>
      <c r="Y2657" s="14"/>
      <c r="Z2657" s="14"/>
    </row>
    <row r="2658" spans="1:26" ht="13.2">
      <c r="A2658" s="13"/>
      <c r="B2658" s="14"/>
      <c r="C2658" s="14"/>
      <c r="D2658" s="14"/>
      <c r="E2658" s="14"/>
      <c r="F2658" s="14"/>
      <c r="G2658" s="14"/>
      <c r="H2658" s="14"/>
      <c r="I2658" s="14"/>
      <c r="J2658" s="14"/>
      <c r="K2658" s="14"/>
      <c r="L2658" s="15"/>
      <c r="M2658" s="15"/>
      <c r="N2658" s="15"/>
      <c r="O2658" s="15"/>
      <c r="P2658" s="15"/>
      <c r="Q2658" s="14"/>
      <c r="R2658" s="14"/>
      <c r="S2658" s="14"/>
      <c r="T2658" s="14"/>
      <c r="U2658" s="15"/>
      <c r="V2658" s="14"/>
      <c r="W2658" s="14"/>
      <c r="X2658" s="14"/>
      <c r="Y2658" s="14"/>
      <c r="Z2658" s="14"/>
    </row>
    <row r="2659" spans="1:26" ht="13.2">
      <c r="A2659" s="13"/>
      <c r="B2659" s="14"/>
      <c r="C2659" s="14"/>
      <c r="D2659" s="14"/>
      <c r="E2659" s="14"/>
      <c r="F2659" s="14"/>
      <c r="G2659" s="14"/>
      <c r="H2659" s="14"/>
      <c r="I2659" s="14"/>
      <c r="J2659" s="14"/>
      <c r="K2659" s="14"/>
      <c r="L2659" s="15"/>
      <c r="M2659" s="15"/>
      <c r="N2659" s="15"/>
      <c r="O2659" s="15"/>
      <c r="P2659" s="15"/>
      <c r="Q2659" s="14"/>
      <c r="R2659" s="14"/>
      <c r="S2659" s="14"/>
      <c r="T2659" s="14"/>
      <c r="U2659" s="15"/>
      <c r="V2659" s="14"/>
      <c r="W2659" s="14"/>
      <c r="X2659" s="14"/>
      <c r="Y2659" s="14"/>
      <c r="Z2659" s="14"/>
    </row>
    <row r="2660" spans="1:26" ht="13.2">
      <c r="A2660" s="13"/>
      <c r="B2660" s="14"/>
      <c r="C2660" s="14"/>
      <c r="D2660" s="14"/>
      <c r="E2660" s="14"/>
      <c r="F2660" s="14"/>
      <c r="G2660" s="14"/>
      <c r="H2660" s="14"/>
      <c r="I2660" s="14"/>
      <c r="J2660" s="14"/>
      <c r="K2660" s="14"/>
      <c r="L2660" s="15"/>
      <c r="M2660" s="15"/>
      <c r="N2660" s="15"/>
      <c r="O2660" s="15"/>
      <c r="P2660" s="15"/>
      <c r="Q2660" s="14"/>
      <c r="R2660" s="14"/>
      <c r="S2660" s="14"/>
      <c r="T2660" s="14"/>
      <c r="U2660" s="15"/>
      <c r="V2660" s="14"/>
      <c r="W2660" s="14"/>
      <c r="X2660" s="14"/>
      <c r="Y2660" s="14"/>
      <c r="Z2660" s="14"/>
    </row>
    <row r="2661" spans="1:26" ht="13.2">
      <c r="A2661" s="13"/>
      <c r="B2661" s="14"/>
      <c r="C2661" s="14"/>
      <c r="D2661" s="14"/>
      <c r="E2661" s="14"/>
      <c r="F2661" s="14"/>
      <c r="G2661" s="14"/>
      <c r="H2661" s="14"/>
      <c r="I2661" s="14"/>
      <c r="J2661" s="14"/>
      <c r="K2661" s="14"/>
      <c r="L2661" s="15"/>
      <c r="M2661" s="15"/>
      <c r="N2661" s="15"/>
      <c r="O2661" s="15"/>
      <c r="P2661" s="15"/>
      <c r="Q2661" s="14"/>
      <c r="R2661" s="14"/>
      <c r="S2661" s="14"/>
      <c r="T2661" s="14"/>
      <c r="U2661" s="15"/>
      <c r="V2661" s="14"/>
      <c r="W2661" s="14"/>
      <c r="X2661" s="14"/>
      <c r="Y2661" s="14"/>
      <c r="Z2661" s="14"/>
    </row>
    <row r="2662" spans="1:26" ht="13.2">
      <c r="A2662" s="13"/>
      <c r="B2662" s="14"/>
      <c r="C2662" s="14"/>
      <c r="D2662" s="14"/>
      <c r="E2662" s="14"/>
      <c r="F2662" s="14"/>
      <c r="G2662" s="14"/>
      <c r="H2662" s="14"/>
      <c r="I2662" s="14"/>
      <c r="J2662" s="14"/>
      <c r="K2662" s="14"/>
      <c r="L2662" s="15"/>
      <c r="M2662" s="15"/>
      <c r="N2662" s="15"/>
      <c r="O2662" s="15"/>
      <c r="P2662" s="15"/>
      <c r="Q2662" s="14"/>
      <c r="R2662" s="14"/>
      <c r="S2662" s="14"/>
      <c r="T2662" s="14"/>
      <c r="U2662" s="15"/>
      <c r="V2662" s="14"/>
      <c r="W2662" s="14"/>
      <c r="X2662" s="14"/>
      <c r="Y2662" s="14"/>
      <c r="Z2662" s="14"/>
    </row>
    <row r="2663" spans="1:26" ht="13.2">
      <c r="A2663" s="13"/>
      <c r="B2663" s="14"/>
      <c r="C2663" s="14"/>
      <c r="D2663" s="14"/>
      <c r="E2663" s="14"/>
      <c r="F2663" s="14"/>
      <c r="G2663" s="14"/>
      <c r="H2663" s="14"/>
      <c r="I2663" s="14"/>
      <c r="J2663" s="14"/>
      <c r="K2663" s="14"/>
      <c r="L2663" s="15"/>
      <c r="M2663" s="15"/>
      <c r="N2663" s="15"/>
      <c r="O2663" s="15"/>
      <c r="P2663" s="15"/>
      <c r="Q2663" s="14"/>
      <c r="R2663" s="14"/>
      <c r="S2663" s="14"/>
      <c r="T2663" s="14"/>
      <c r="U2663" s="15"/>
      <c r="V2663" s="14"/>
      <c r="W2663" s="14"/>
      <c r="X2663" s="14"/>
      <c r="Y2663" s="14"/>
      <c r="Z2663" s="14"/>
    </row>
    <row r="2664" spans="1:26" ht="13.2">
      <c r="A2664" s="13"/>
      <c r="B2664" s="14"/>
      <c r="C2664" s="14"/>
      <c r="D2664" s="14"/>
      <c r="E2664" s="14"/>
      <c r="F2664" s="14"/>
      <c r="G2664" s="14"/>
      <c r="H2664" s="14"/>
      <c r="I2664" s="14"/>
      <c r="J2664" s="14"/>
      <c r="K2664" s="14"/>
      <c r="L2664" s="15"/>
      <c r="M2664" s="15"/>
      <c r="N2664" s="15"/>
      <c r="O2664" s="15"/>
      <c r="P2664" s="15"/>
      <c r="Q2664" s="14"/>
      <c r="R2664" s="14"/>
      <c r="S2664" s="14"/>
      <c r="T2664" s="14"/>
      <c r="U2664" s="15"/>
      <c r="V2664" s="14"/>
      <c r="W2664" s="14"/>
      <c r="X2664" s="14"/>
      <c r="Y2664" s="14"/>
      <c r="Z2664" s="14"/>
    </row>
    <row r="2665" spans="1:26" ht="13.2">
      <c r="A2665" s="13"/>
      <c r="B2665" s="14"/>
      <c r="C2665" s="14"/>
      <c r="D2665" s="14"/>
      <c r="E2665" s="14"/>
      <c r="F2665" s="14"/>
      <c r="G2665" s="14"/>
      <c r="H2665" s="14"/>
      <c r="I2665" s="14"/>
      <c r="J2665" s="14"/>
      <c r="K2665" s="14"/>
      <c r="L2665" s="15"/>
      <c r="M2665" s="15"/>
      <c r="N2665" s="15"/>
      <c r="O2665" s="15"/>
      <c r="P2665" s="15"/>
      <c r="Q2665" s="14"/>
      <c r="R2665" s="14"/>
      <c r="S2665" s="14"/>
      <c r="T2665" s="14"/>
      <c r="U2665" s="15"/>
      <c r="V2665" s="14"/>
      <c r="W2665" s="14"/>
      <c r="X2665" s="14"/>
      <c r="Y2665" s="14"/>
      <c r="Z2665" s="14"/>
    </row>
    <row r="2666" spans="1:26" ht="13.2">
      <c r="A2666" s="13"/>
      <c r="B2666" s="14"/>
      <c r="C2666" s="14"/>
      <c r="D2666" s="14"/>
      <c r="E2666" s="14"/>
      <c r="F2666" s="14"/>
      <c r="G2666" s="14"/>
      <c r="H2666" s="14"/>
      <c r="I2666" s="14"/>
      <c r="J2666" s="14"/>
      <c r="K2666" s="14"/>
      <c r="L2666" s="15"/>
      <c r="M2666" s="15"/>
      <c r="N2666" s="15"/>
      <c r="O2666" s="15"/>
      <c r="P2666" s="15"/>
      <c r="Q2666" s="14"/>
      <c r="R2666" s="14"/>
      <c r="S2666" s="14"/>
      <c r="T2666" s="14"/>
      <c r="U2666" s="15"/>
      <c r="V2666" s="14"/>
      <c r="W2666" s="14"/>
      <c r="X2666" s="14"/>
      <c r="Y2666" s="14"/>
      <c r="Z2666" s="14"/>
    </row>
    <row r="2667" spans="1:26" ht="13.2">
      <c r="A2667" s="13"/>
      <c r="B2667" s="14"/>
      <c r="C2667" s="14"/>
      <c r="D2667" s="14"/>
      <c r="E2667" s="14"/>
      <c r="F2667" s="14"/>
      <c r="G2667" s="14"/>
      <c r="H2667" s="14"/>
      <c r="I2667" s="14"/>
      <c r="J2667" s="14"/>
      <c r="K2667" s="14"/>
      <c r="L2667" s="15"/>
      <c r="M2667" s="15"/>
      <c r="N2667" s="15"/>
      <c r="O2667" s="15"/>
      <c r="P2667" s="15"/>
      <c r="Q2667" s="14"/>
      <c r="R2667" s="14"/>
      <c r="S2667" s="14"/>
      <c r="T2667" s="14"/>
      <c r="U2667" s="15"/>
      <c r="V2667" s="14"/>
      <c r="W2667" s="14"/>
      <c r="X2667" s="14"/>
      <c r="Y2667" s="14"/>
      <c r="Z2667" s="14"/>
    </row>
    <row r="2668" spans="1:26" ht="13.2">
      <c r="A2668" s="13"/>
      <c r="B2668" s="14"/>
      <c r="C2668" s="14"/>
      <c r="D2668" s="14"/>
      <c r="E2668" s="14"/>
      <c r="F2668" s="14"/>
      <c r="G2668" s="14"/>
      <c r="H2668" s="14"/>
      <c r="I2668" s="14"/>
      <c r="J2668" s="14"/>
      <c r="K2668" s="14"/>
      <c r="L2668" s="15"/>
      <c r="M2668" s="15"/>
      <c r="N2668" s="15"/>
      <c r="O2668" s="15"/>
      <c r="P2668" s="15"/>
      <c r="Q2668" s="14"/>
      <c r="R2668" s="14"/>
      <c r="S2668" s="14"/>
      <c r="T2668" s="14"/>
      <c r="U2668" s="15"/>
      <c r="V2668" s="14"/>
      <c r="W2668" s="14"/>
      <c r="X2668" s="14"/>
      <c r="Y2668" s="14"/>
      <c r="Z2668" s="14"/>
    </row>
    <row r="2669" spans="1:26" ht="13.2">
      <c r="A2669" s="13"/>
      <c r="B2669" s="14"/>
      <c r="C2669" s="14"/>
      <c r="D2669" s="14"/>
      <c r="E2669" s="14"/>
      <c r="F2669" s="14"/>
      <c r="G2669" s="14"/>
      <c r="H2669" s="14"/>
      <c r="I2669" s="14"/>
      <c r="J2669" s="14"/>
      <c r="K2669" s="14"/>
      <c r="L2669" s="15"/>
      <c r="M2669" s="15"/>
      <c r="N2669" s="15"/>
      <c r="O2669" s="15"/>
      <c r="P2669" s="15"/>
      <c r="Q2669" s="14"/>
      <c r="R2669" s="14"/>
      <c r="S2669" s="14"/>
      <c r="T2669" s="14"/>
      <c r="U2669" s="15"/>
      <c r="V2669" s="14"/>
      <c r="W2669" s="14"/>
      <c r="X2669" s="14"/>
      <c r="Y2669" s="14"/>
      <c r="Z2669" s="14"/>
    </row>
    <row r="2670" spans="1:26" ht="13.2">
      <c r="A2670" s="13"/>
      <c r="B2670" s="14"/>
      <c r="C2670" s="14"/>
      <c r="D2670" s="14"/>
      <c r="E2670" s="14"/>
      <c r="F2670" s="14"/>
      <c r="G2670" s="14"/>
      <c r="H2670" s="14"/>
      <c r="I2670" s="14"/>
      <c r="J2670" s="14"/>
      <c r="K2670" s="14"/>
      <c r="L2670" s="15"/>
      <c r="M2670" s="15"/>
      <c r="N2670" s="15"/>
      <c r="O2670" s="15"/>
      <c r="P2670" s="15"/>
      <c r="Q2670" s="14"/>
      <c r="R2670" s="14"/>
      <c r="S2670" s="14"/>
      <c r="T2670" s="14"/>
      <c r="U2670" s="15"/>
      <c r="V2670" s="14"/>
      <c r="W2670" s="14"/>
      <c r="X2670" s="14"/>
      <c r="Y2670" s="14"/>
      <c r="Z2670" s="14"/>
    </row>
    <row r="2671" spans="1:26" ht="13.2">
      <c r="A2671" s="13"/>
      <c r="B2671" s="14"/>
      <c r="C2671" s="14"/>
      <c r="D2671" s="14"/>
      <c r="E2671" s="14"/>
      <c r="F2671" s="14"/>
      <c r="G2671" s="14"/>
      <c r="H2671" s="14"/>
      <c r="I2671" s="14"/>
      <c r="J2671" s="14"/>
      <c r="K2671" s="14"/>
      <c r="L2671" s="15"/>
      <c r="M2671" s="15"/>
      <c r="N2671" s="15"/>
      <c r="O2671" s="15"/>
      <c r="P2671" s="15"/>
      <c r="Q2671" s="14"/>
      <c r="R2671" s="14"/>
      <c r="S2671" s="14"/>
      <c r="T2671" s="14"/>
      <c r="U2671" s="15"/>
      <c r="V2671" s="14"/>
      <c r="W2671" s="14"/>
      <c r="X2671" s="14"/>
      <c r="Y2671" s="14"/>
      <c r="Z2671" s="14"/>
    </row>
    <row r="2672" spans="1:26" ht="13.2">
      <c r="A2672" s="13"/>
      <c r="B2672" s="14"/>
      <c r="C2672" s="14"/>
      <c r="D2672" s="14"/>
      <c r="E2672" s="14"/>
      <c r="F2672" s="14"/>
      <c r="G2672" s="14"/>
      <c r="H2672" s="14"/>
      <c r="I2672" s="14"/>
      <c r="J2672" s="14"/>
      <c r="K2672" s="14"/>
      <c r="L2672" s="15"/>
      <c r="M2672" s="15"/>
      <c r="N2672" s="15"/>
      <c r="O2672" s="15"/>
      <c r="P2672" s="15"/>
      <c r="Q2672" s="14"/>
      <c r="R2672" s="14"/>
      <c r="S2672" s="14"/>
      <c r="T2672" s="14"/>
      <c r="U2672" s="15"/>
      <c r="V2672" s="14"/>
      <c r="W2672" s="14"/>
      <c r="X2672" s="14"/>
      <c r="Y2672" s="14"/>
      <c r="Z2672" s="14"/>
    </row>
    <row r="2673" spans="1:26" ht="13.2">
      <c r="A2673" s="13"/>
      <c r="B2673" s="14"/>
      <c r="C2673" s="14"/>
      <c r="D2673" s="14"/>
      <c r="E2673" s="14"/>
      <c r="F2673" s="14"/>
      <c r="G2673" s="14"/>
      <c r="H2673" s="14"/>
      <c r="I2673" s="14"/>
      <c r="J2673" s="14"/>
      <c r="K2673" s="14"/>
      <c r="L2673" s="15"/>
      <c r="M2673" s="15"/>
      <c r="N2673" s="15"/>
      <c r="O2673" s="15"/>
      <c r="P2673" s="15"/>
      <c r="Q2673" s="14"/>
      <c r="R2673" s="14"/>
      <c r="S2673" s="14"/>
      <c r="T2673" s="14"/>
      <c r="U2673" s="15"/>
      <c r="V2673" s="14"/>
      <c r="W2673" s="14"/>
      <c r="X2673" s="14"/>
      <c r="Y2673" s="14"/>
      <c r="Z2673" s="14"/>
    </row>
    <row r="2674" spans="1:26" ht="13.2">
      <c r="A2674" s="13"/>
      <c r="B2674" s="14"/>
      <c r="C2674" s="14"/>
      <c r="D2674" s="14"/>
      <c r="E2674" s="14"/>
      <c r="F2674" s="14"/>
      <c r="G2674" s="14"/>
      <c r="H2674" s="14"/>
      <c r="I2674" s="14"/>
      <c r="J2674" s="14"/>
      <c r="K2674" s="14"/>
      <c r="L2674" s="15"/>
      <c r="M2674" s="15"/>
      <c r="N2674" s="15"/>
      <c r="O2674" s="15"/>
      <c r="P2674" s="15"/>
      <c r="Q2674" s="14"/>
      <c r="R2674" s="14"/>
      <c r="S2674" s="14"/>
      <c r="T2674" s="14"/>
      <c r="U2674" s="15"/>
      <c r="V2674" s="14"/>
      <c r="W2674" s="14"/>
      <c r="X2674" s="14"/>
      <c r="Y2674" s="14"/>
      <c r="Z2674" s="14"/>
    </row>
    <row r="2675" spans="1:26" ht="13.2">
      <c r="A2675" s="13"/>
      <c r="B2675" s="14"/>
      <c r="C2675" s="14"/>
      <c r="D2675" s="14"/>
      <c r="E2675" s="14"/>
      <c r="F2675" s="14"/>
      <c r="G2675" s="14"/>
      <c r="H2675" s="14"/>
      <c r="I2675" s="14"/>
      <c r="J2675" s="14"/>
      <c r="K2675" s="14"/>
      <c r="L2675" s="15"/>
      <c r="M2675" s="15"/>
      <c r="N2675" s="15"/>
      <c r="O2675" s="15"/>
      <c r="P2675" s="15"/>
      <c r="Q2675" s="14"/>
      <c r="R2675" s="14"/>
      <c r="S2675" s="14"/>
      <c r="T2675" s="14"/>
      <c r="U2675" s="15"/>
      <c r="V2675" s="14"/>
      <c r="W2675" s="14"/>
      <c r="X2675" s="14"/>
      <c r="Y2675" s="14"/>
      <c r="Z2675" s="14"/>
    </row>
    <row r="2676" spans="1:26" ht="13.2">
      <c r="A2676" s="13"/>
      <c r="B2676" s="14"/>
      <c r="C2676" s="14"/>
      <c r="D2676" s="14"/>
      <c r="E2676" s="14"/>
      <c r="F2676" s="14"/>
      <c r="G2676" s="14"/>
      <c r="H2676" s="14"/>
      <c r="I2676" s="14"/>
      <c r="J2676" s="14"/>
      <c r="K2676" s="14"/>
      <c r="L2676" s="15"/>
      <c r="M2676" s="15"/>
      <c r="N2676" s="15"/>
      <c r="O2676" s="15"/>
      <c r="P2676" s="15"/>
      <c r="Q2676" s="14"/>
      <c r="R2676" s="14"/>
      <c r="S2676" s="14"/>
      <c r="T2676" s="14"/>
      <c r="U2676" s="15"/>
      <c r="V2676" s="14"/>
      <c r="W2676" s="14"/>
      <c r="X2676" s="14"/>
      <c r="Y2676" s="14"/>
      <c r="Z2676" s="14"/>
    </row>
    <row r="2677" spans="1:26" ht="13.2">
      <c r="A2677" s="13"/>
      <c r="B2677" s="14"/>
      <c r="C2677" s="14"/>
      <c r="D2677" s="14"/>
      <c r="E2677" s="14"/>
      <c r="F2677" s="14"/>
      <c r="G2677" s="14"/>
      <c r="H2677" s="14"/>
      <c r="I2677" s="14"/>
      <c r="J2677" s="14"/>
      <c r="K2677" s="14"/>
      <c r="L2677" s="15"/>
      <c r="M2677" s="15"/>
      <c r="N2677" s="15"/>
      <c r="O2677" s="15"/>
      <c r="P2677" s="15"/>
      <c r="Q2677" s="14"/>
      <c r="R2677" s="14"/>
      <c r="S2677" s="14"/>
      <c r="T2677" s="14"/>
      <c r="U2677" s="15"/>
      <c r="V2677" s="14"/>
      <c r="W2677" s="14"/>
      <c r="X2677" s="14"/>
      <c r="Y2677" s="14"/>
      <c r="Z2677" s="14"/>
    </row>
    <row r="2678" spans="1:26" ht="13.2">
      <c r="A2678" s="13"/>
      <c r="B2678" s="14"/>
      <c r="C2678" s="14"/>
      <c r="D2678" s="14"/>
      <c r="E2678" s="14"/>
      <c r="F2678" s="14"/>
      <c r="G2678" s="14"/>
      <c r="H2678" s="14"/>
      <c r="I2678" s="14"/>
      <c r="J2678" s="14"/>
      <c r="K2678" s="14"/>
      <c r="L2678" s="15"/>
      <c r="M2678" s="15"/>
      <c r="N2678" s="15"/>
      <c r="O2678" s="15"/>
      <c r="P2678" s="15"/>
      <c r="Q2678" s="14"/>
      <c r="R2678" s="14"/>
      <c r="S2678" s="14"/>
      <c r="T2678" s="14"/>
      <c r="U2678" s="15"/>
      <c r="V2678" s="14"/>
      <c r="W2678" s="14"/>
      <c r="X2678" s="14"/>
      <c r="Y2678" s="14"/>
      <c r="Z2678" s="14"/>
    </row>
    <row r="2679" spans="1:26" ht="13.2">
      <c r="A2679" s="13"/>
      <c r="B2679" s="14"/>
      <c r="C2679" s="14"/>
      <c r="D2679" s="14"/>
      <c r="E2679" s="14"/>
      <c r="F2679" s="14"/>
      <c r="G2679" s="14"/>
      <c r="H2679" s="14"/>
      <c r="I2679" s="14"/>
      <c r="J2679" s="14"/>
      <c r="K2679" s="14"/>
      <c r="L2679" s="15"/>
      <c r="M2679" s="15"/>
      <c r="N2679" s="15"/>
      <c r="O2679" s="15"/>
      <c r="P2679" s="15"/>
      <c r="Q2679" s="14"/>
      <c r="R2679" s="14"/>
      <c r="S2679" s="14"/>
      <c r="T2679" s="14"/>
      <c r="U2679" s="15"/>
      <c r="V2679" s="14"/>
      <c r="W2679" s="14"/>
      <c r="X2679" s="14"/>
      <c r="Y2679" s="14"/>
      <c r="Z2679" s="14"/>
    </row>
    <row r="2680" spans="1:26" ht="13.2">
      <c r="A2680" s="13"/>
      <c r="B2680" s="14"/>
      <c r="C2680" s="14"/>
      <c r="D2680" s="14"/>
      <c r="E2680" s="14"/>
      <c r="F2680" s="14"/>
      <c r="G2680" s="14"/>
      <c r="H2680" s="14"/>
      <c r="I2680" s="14"/>
      <c r="J2680" s="14"/>
      <c r="K2680" s="14"/>
      <c r="L2680" s="15"/>
      <c r="M2680" s="15"/>
      <c r="N2680" s="15"/>
      <c r="O2680" s="15"/>
      <c r="P2680" s="15"/>
      <c r="Q2680" s="14"/>
      <c r="R2680" s="14"/>
      <c r="S2680" s="14"/>
      <c r="T2680" s="14"/>
      <c r="U2680" s="15"/>
      <c r="V2680" s="14"/>
      <c r="W2680" s="14"/>
      <c r="X2680" s="14"/>
      <c r="Y2680" s="14"/>
      <c r="Z2680" s="14"/>
    </row>
    <row r="2681" spans="1:26" ht="13.2">
      <c r="A2681" s="13"/>
      <c r="B2681" s="14"/>
      <c r="C2681" s="14"/>
      <c r="D2681" s="14"/>
      <c r="E2681" s="14"/>
      <c r="F2681" s="14"/>
      <c r="G2681" s="14"/>
      <c r="H2681" s="14"/>
      <c r="I2681" s="14"/>
      <c r="J2681" s="14"/>
      <c r="K2681" s="14"/>
      <c r="L2681" s="15"/>
      <c r="M2681" s="15"/>
      <c r="N2681" s="15"/>
      <c r="O2681" s="15"/>
      <c r="P2681" s="15"/>
      <c r="Q2681" s="14"/>
      <c r="R2681" s="14"/>
      <c r="S2681" s="14"/>
      <c r="T2681" s="14"/>
      <c r="U2681" s="15"/>
      <c r="V2681" s="14"/>
      <c r="W2681" s="14"/>
      <c r="X2681" s="14"/>
      <c r="Y2681" s="14"/>
      <c r="Z2681" s="14"/>
    </row>
    <row r="2682" spans="1:26" ht="13.2">
      <c r="A2682" s="13"/>
      <c r="B2682" s="14"/>
      <c r="C2682" s="14"/>
      <c r="D2682" s="14"/>
      <c r="E2682" s="14"/>
      <c r="F2682" s="14"/>
      <c r="G2682" s="14"/>
      <c r="H2682" s="14"/>
      <c r="I2682" s="14"/>
      <c r="J2682" s="14"/>
      <c r="K2682" s="14"/>
      <c r="L2682" s="15"/>
      <c r="M2682" s="15"/>
      <c r="N2682" s="15"/>
      <c r="O2682" s="15"/>
      <c r="P2682" s="15"/>
      <c r="Q2682" s="14"/>
      <c r="R2682" s="14"/>
      <c r="S2682" s="14"/>
      <c r="T2682" s="14"/>
      <c r="U2682" s="15"/>
      <c r="V2682" s="14"/>
      <c r="W2682" s="14"/>
      <c r="X2682" s="14"/>
      <c r="Y2682" s="14"/>
      <c r="Z2682" s="14"/>
    </row>
    <row r="2683" spans="1:26" ht="13.2">
      <c r="A2683" s="13"/>
      <c r="B2683" s="14"/>
      <c r="C2683" s="14"/>
      <c r="D2683" s="14"/>
      <c r="E2683" s="14"/>
      <c r="F2683" s="14"/>
      <c r="G2683" s="14"/>
      <c r="H2683" s="14"/>
      <c r="I2683" s="14"/>
      <c r="J2683" s="14"/>
      <c r="K2683" s="14"/>
      <c r="L2683" s="15"/>
      <c r="M2683" s="15"/>
      <c r="N2683" s="15"/>
      <c r="O2683" s="15"/>
      <c r="P2683" s="15"/>
      <c r="Q2683" s="14"/>
      <c r="R2683" s="14"/>
      <c r="S2683" s="14"/>
      <c r="T2683" s="14"/>
      <c r="U2683" s="15"/>
      <c r="V2683" s="14"/>
      <c r="W2683" s="14"/>
      <c r="X2683" s="14"/>
      <c r="Y2683" s="14"/>
      <c r="Z2683" s="14"/>
    </row>
    <row r="2684" spans="1:26" ht="13.2">
      <c r="A2684" s="13"/>
      <c r="B2684" s="14"/>
      <c r="C2684" s="14"/>
      <c r="D2684" s="14"/>
      <c r="E2684" s="14"/>
      <c r="F2684" s="14"/>
      <c r="G2684" s="14"/>
      <c r="H2684" s="14"/>
      <c r="I2684" s="14"/>
      <c r="J2684" s="14"/>
      <c r="K2684" s="14"/>
      <c r="L2684" s="15"/>
      <c r="M2684" s="15"/>
      <c r="N2684" s="15"/>
      <c r="O2684" s="15"/>
      <c r="P2684" s="15"/>
      <c r="Q2684" s="14"/>
      <c r="R2684" s="14"/>
      <c r="S2684" s="14"/>
      <c r="T2684" s="14"/>
      <c r="U2684" s="15"/>
      <c r="V2684" s="14"/>
      <c r="W2684" s="14"/>
      <c r="X2684" s="14"/>
      <c r="Y2684" s="14"/>
      <c r="Z2684" s="14"/>
    </row>
    <row r="2685" spans="1:26" ht="13.2">
      <c r="A2685" s="13"/>
      <c r="B2685" s="14"/>
      <c r="C2685" s="14"/>
      <c r="D2685" s="14"/>
      <c r="E2685" s="14"/>
      <c r="F2685" s="14"/>
      <c r="G2685" s="14"/>
      <c r="H2685" s="14"/>
      <c r="I2685" s="14"/>
      <c r="J2685" s="14"/>
      <c r="K2685" s="14"/>
      <c r="L2685" s="15"/>
      <c r="M2685" s="15"/>
      <c r="N2685" s="15"/>
      <c r="O2685" s="15"/>
      <c r="P2685" s="15"/>
      <c r="Q2685" s="14"/>
      <c r="R2685" s="14"/>
      <c r="S2685" s="14"/>
      <c r="T2685" s="14"/>
      <c r="U2685" s="15"/>
      <c r="V2685" s="14"/>
      <c r="W2685" s="14"/>
      <c r="X2685" s="14"/>
      <c r="Y2685" s="14"/>
      <c r="Z2685" s="14"/>
    </row>
    <row r="2686" spans="1:26" ht="13.2">
      <c r="A2686" s="13"/>
      <c r="B2686" s="14"/>
      <c r="C2686" s="14"/>
      <c r="D2686" s="14"/>
      <c r="E2686" s="14"/>
      <c r="F2686" s="14"/>
      <c r="G2686" s="14"/>
      <c r="H2686" s="14"/>
      <c r="I2686" s="14"/>
      <c r="J2686" s="14"/>
      <c r="K2686" s="14"/>
      <c r="L2686" s="15"/>
      <c r="M2686" s="15"/>
      <c r="N2686" s="15"/>
      <c r="O2686" s="15"/>
      <c r="P2686" s="15"/>
      <c r="Q2686" s="14"/>
      <c r="R2686" s="14"/>
      <c r="S2686" s="14"/>
      <c r="T2686" s="14"/>
      <c r="U2686" s="15"/>
      <c r="V2686" s="14"/>
      <c r="W2686" s="14"/>
      <c r="X2686" s="14"/>
      <c r="Y2686" s="14"/>
      <c r="Z2686" s="14"/>
    </row>
    <row r="2687" spans="1:26" ht="13.2">
      <c r="A2687" s="13"/>
      <c r="B2687" s="14"/>
      <c r="C2687" s="14"/>
      <c r="D2687" s="14"/>
      <c r="E2687" s="14"/>
      <c r="F2687" s="14"/>
      <c r="G2687" s="14"/>
      <c r="H2687" s="14"/>
      <c r="I2687" s="14"/>
      <c r="J2687" s="14"/>
      <c r="K2687" s="14"/>
      <c r="L2687" s="15"/>
      <c r="M2687" s="15"/>
      <c r="N2687" s="15"/>
      <c r="O2687" s="15"/>
      <c r="P2687" s="15"/>
      <c r="Q2687" s="14"/>
      <c r="R2687" s="14"/>
      <c r="S2687" s="14"/>
      <c r="T2687" s="14"/>
      <c r="U2687" s="15"/>
      <c r="V2687" s="14"/>
      <c r="W2687" s="14"/>
      <c r="X2687" s="14"/>
      <c r="Y2687" s="14"/>
      <c r="Z2687" s="14"/>
    </row>
    <row r="2688" spans="1:26" ht="13.2">
      <c r="A2688" s="13"/>
      <c r="B2688" s="14"/>
      <c r="C2688" s="14"/>
      <c r="D2688" s="14"/>
      <c r="E2688" s="14"/>
      <c r="F2688" s="14"/>
      <c r="G2688" s="14"/>
      <c r="H2688" s="14"/>
      <c r="I2688" s="14"/>
      <c r="J2688" s="14"/>
      <c r="K2688" s="14"/>
      <c r="L2688" s="15"/>
      <c r="M2688" s="15"/>
      <c r="N2688" s="15"/>
      <c r="O2688" s="15"/>
      <c r="P2688" s="15"/>
      <c r="Q2688" s="14"/>
      <c r="R2688" s="14"/>
      <c r="S2688" s="14"/>
      <c r="T2688" s="14"/>
      <c r="U2688" s="15"/>
      <c r="V2688" s="14"/>
      <c r="W2688" s="14"/>
      <c r="X2688" s="14"/>
      <c r="Y2688" s="14"/>
      <c r="Z2688" s="14"/>
    </row>
    <row r="2689" spans="1:26" ht="13.2">
      <c r="A2689" s="13"/>
      <c r="B2689" s="14"/>
      <c r="C2689" s="14"/>
      <c r="D2689" s="14"/>
      <c r="E2689" s="14"/>
      <c r="F2689" s="14"/>
      <c r="G2689" s="14"/>
      <c r="H2689" s="14"/>
      <c r="I2689" s="14"/>
      <c r="J2689" s="14"/>
      <c r="K2689" s="14"/>
      <c r="L2689" s="15"/>
      <c r="M2689" s="15"/>
      <c r="N2689" s="15"/>
      <c r="O2689" s="15"/>
      <c r="P2689" s="15"/>
      <c r="Q2689" s="14"/>
      <c r="R2689" s="14"/>
      <c r="S2689" s="14"/>
      <c r="T2689" s="14"/>
      <c r="U2689" s="15"/>
      <c r="V2689" s="14"/>
      <c r="W2689" s="14"/>
      <c r="X2689" s="14"/>
      <c r="Y2689" s="14"/>
      <c r="Z2689" s="14"/>
    </row>
    <row r="2690" spans="1:26" ht="13.2">
      <c r="A2690" s="13"/>
      <c r="B2690" s="14"/>
      <c r="C2690" s="14"/>
      <c r="D2690" s="14"/>
      <c r="E2690" s="14"/>
      <c r="F2690" s="14"/>
      <c r="G2690" s="14"/>
      <c r="H2690" s="14"/>
      <c r="I2690" s="14"/>
      <c r="J2690" s="14"/>
      <c r="K2690" s="14"/>
      <c r="L2690" s="15"/>
      <c r="M2690" s="15"/>
      <c r="N2690" s="15"/>
      <c r="O2690" s="15"/>
      <c r="P2690" s="15"/>
      <c r="Q2690" s="14"/>
      <c r="R2690" s="14"/>
      <c r="S2690" s="14"/>
      <c r="T2690" s="14"/>
      <c r="U2690" s="15"/>
      <c r="V2690" s="14"/>
      <c r="W2690" s="14"/>
      <c r="X2690" s="14"/>
      <c r="Y2690" s="14"/>
      <c r="Z2690" s="14"/>
    </row>
    <row r="2691" spans="1:26" ht="13.2">
      <c r="A2691" s="13"/>
      <c r="B2691" s="14"/>
      <c r="C2691" s="14"/>
      <c r="D2691" s="14"/>
      <c r="E2691" s="14"/>
      <c r="F2691" s="14"/>
      <c r="G2691" s="14"/>
      <c r="H2691" s="14"/>
      <c r="I2691" s="14"/>
      <c r="J2691" s="14"/>
      <c r="K2691" s="14"/>
      <c r="L2691" s="15"/>
      <c r="M2691" s="15"/>
      <c r="N2691" s="15"/>
      <c r="O2691" s="15"/>
      <c r="P2691" s="15"/>
      <c r="Q2691" s="14"/>
      <c r="R2691" s="14"/>
      <c r="S2691" s="14"/>
      <c r="T2691" s="14"/>
      <c r="U2691" s="15"/>
      <c r="V2691" s="14"/>
      <c r="W2691" s="14"/>
      <c r="X2691" s="14"/>
      <c r="Y2691" s="14"/>
      <c r="Z2691" s="14"/>
    </row>
    <row r="2692" spans="1:26" ht="13.2">
      <c r="A2692" s="13"/>
      <c r="B2692" s="14"/>
      <c r="C2692" s="14"/>
      <c r="D2692" s="14"/>
      <c r="E2692" s="14"/>
      <c r="F2692" s="14"/>
      <c r="G2692" s="14"/>
      <c r="H2692" s="14"/>
      <c r="I2692" s="14"/>
      <c r="J2692" s="14"/>
      <c r="K2692" s="14"/>
      <c r="L2692" s="15"/>
      <c r="M2692" s="15"/>
      <c r="N2692" s="15"/>
      <c r="O2692" s="15"/>
      <c r="P2692" s="15"/>
      <c r="Q2692" s="14"/>
      <c r="R2692" s="14"/>
      <c r="S2692" s="14"/>
      <c r="T2692" s="14"/>
      <c r="U2692" s="15"/>
      <c r="V2692" s="14"/>
      <c r="W2692" s="14"/>
      <c r="X2692" s="14"/>
      <c r="Y2692" s="14"/>
      <c r="Z2692" s="14"/>
    </row>
    <row r="2693" spans="1:26" ht="13.2">
      <c r="A2693" s="13"/>
      <c r="B2693" s="14"/>
      <c r="C2693" s="14"/>
      <c r="D2693" s="14"/>
      <c r="E2693" s="14"/>
      <c r="F2693" s="14"/>
      <c r="G2693" s="14"/>
      <c r="H2693" s="14"/>
      <c r="I2693" s="14"/>
      <c r="J2693" s="14"/>
      <c r="K2693" s="14"/>
      <c r="L2693" s="15"/>
      <c r="M2693" s="15"/>
      <c r="N2693" s="15"/>
      <c r="O2693" s="15"/>
      <c r="P2693" s="15"/>
      <c r="Q2693" s="14"/>
      <c r="R2693" s="14"/>
      <c r="S2693" s="14"/>
      <c r="T2693" s="14"/>
      <c r="U2693" s="15"/>
      <c r="V2693" s="14"/>
      <c r="W2693" s="14"/>
      <c r="X2693" s="14"/>
      <c r="Y2693" s="14"/>
      <c r="Z2693" s="14"/>
    </row>
    <row r="2694" spans="1:26" ht="13.2">
      <c r="A2694" s="13"/>
      <c r="B2694" s="14"/>
      <c r="C2694" s="14"/>
      <c r="D2694" s="14"/>
      <c r="E2694" s="14"/>
      <c r="F2694" s="14"/>
      <c r="G2694" s="14"/>
      <c r="H2694" s="14"/>
      <c r="I2694" s="14"/>
      <c r="J2694" s="14"/>
      <c r="K2694" s="14"/>
      <c r="L2694" s="15"/>
      <c r="M2694" s="15"/>
      <c r="N2694" s="15"/>
      <c r="O2694" s="15"/>
      <c r="P2694" s="15"/>
      <c r="Q2694" s="14"/>
      <c r="R2694" s="14"/>
      <c r="S2694" s="14"/>
      <c r="T2694" s="14"/>
      <c r="U2694" s="15"/>
      <c r="V2694" s="14"/>
      <c r="W2694" s="14"/>
      <c r="X2694" s="14"/>
      <c r="Y2694" s="14"/>
      <c r="Z2694" s="14"/>
    </row>
    <row r="2695" spans="1:26" ht="13.2">
      <c r="A2695" s="13"/>
      <c r="B2695" s="14"/>
      <c r="C2695" s="14"/>
      <c r="D2695" s="14"/>
      <c r="E2695" s="14"/>
      <c r="F2695" s="14"/>
      <c r="G2695" s="14"/>
      <c r="H2695" s="14"/>
      <c r="I2695" s="14"/>
      <c r="J2695" s="14"/>
      <c r="K2695" s="14"/>
      <c r="L2695" s="15"/>
      <c r="M2695" s="15"/>
      <c r="N2695" s="15"/>
      <c r="O2695" s="15"/>
      <c r="P2695" s="15"/>
      <c r="Q2695" s="14"/>
      <c r="R2695" s="14"/>
      <c r="S2695" s="14"/>
      <c r="T2695" s="14"/>
      <c r="U2695" s="15"/>
      <c r="V2695" s="14"/>
      <c r="W2695" s="14"/>
      <c r="X2695" s="14"/>
      <c r="Y2695" s="14"/>
      <c r="Z2695" s="14"/>
    </row>
    <row r="2696" spans="1:26" ht="13.2">
      <c r="A2696" s="13"/>
      <c r="B2696" s="14"/>
      <c r="C2696" s="14"/>
      <c r="D2696" s="14"/>
      <c r="E2696" s="14"/>
      <c r="F2696" s="14"/>
      <c r="G2696" s="14"/>
      <c r="H2696" s="14"/>
      <c r="I2696" s="14"/>
      <c r="J2696" s="14"/>
      <c r="K2696" s="14"/>
      <c r="L2696" s="15"/>
      <c r="M2696" s="15"/>
      <c r="N2696" s="15"/>
      <c r="O2696" s="15"/>
      <c r="P2696" s="15"/>
      <c r="Q2696" s="14"/>
      <c r="R2696" s="14"/>
      <c r="S2696" s="14"/>
      <c r="T2696" s="14"/>
      <c r="U2696" s="15"/>
      <c r="V2696" s="14"/>
      <c r="W2696" s="14"/>
      <c r="X2696" s="14"/>
      <c r="Y2696" s="14"/>
      <c r="Z2696" s="14"/>
    </row>
    <row r="2697" spans="1:26" ht="13.2">
      <c r="A2697" s="13"/>
      <c r="B2697" s="14"/>
      <c r="C2697" s="14"/>
      <c r="D2697" s="14"/>
      <c r="E2697" s="14"/>
      <c r="F2697" s="14"/>
      <c r="G2697" s="14"/>
      <c r="H2697" s="14"/>
      <c r="I2697" s="14"/>
      <c r="J2697" s="14"/>
      <c r="K2697" s="14"/>
      <c r="L2697" s="15"/>
      <c r="M2697" s="15"/>
      <c r="N2697" s="15"/>
      <c r="O2697" s="15"/>
      <c r="P2697" s="15"/>
      <c r="Q2697" s="14"/>
      <c r="R2697" s="14"/>
      <c r="S2697" s="14"/>
      <c r="T2697" s="14"/>
      <c r="U2697" s="15"/>
      <c r="V2697" s="14"/>
      <c r="W2697" s="14"/>
      <c r="X2697" s="14"/>
      <c r="Y2697" s="14"/>
      <c r="Z2697" s="14"/>
    </row>
    <row r="2698" spans="1:26" ht="13.2">
      <c r="A2698" s="13"/>
      <c r="B2698" s="14"/>
      <c r="C2698" s="14"/>
      <c r="D2698" s="14"/>
      <c r="E2698" s="14"/>
      <c r="F2698" s="14"/>
      <c r="G2698" s="14"/>
      <c r="H2698" s="14"/>
      <c r="I2698" s="14"/>
      <c r="J2698" s="14"/>
      <c r="K2698" s="14"/>
      <c r="L2698" s="15"/>
      <c r="M2698" s="15"/>
      <c r="N2698" s="15"/>
      <c r="O2698" s="15"/>
      <c r="P2698" s="15"/>
      <c r="Q2698" s="14"/>
      <c r="R2698" s="14"/>
      <c r="S2698" s="14"/>
      <c r="T2698" s="14"/>
      <c r="U2698" s="15"/>
      <c r="V2698" s="14"/>
      <c r="W2698" s="14"/>
      <c r="X2698" s="14"/>
      <c r="Y2698" s="14"/>
      <c r="Z2698" s="14"/>
    </row>
    <row r="2699" spans="1:26" ht="13.2">
      <c r="A2699" s="13"/>
      <c r="B2699" s="14"/>
      <c r="C2699" s="14"/>
      <c r="D2699" s="14"/>
      <c r="E2699" s="14"/>
      <c r="F2699" s="14"/>
      <c r="G2699" s="14"/>
      <c r="H2699" s="14"/>
      <c r="I2699" s="14"/>
      <c r="J2699" s="14"/>
      <c r="K2699" s="14"/>
      <c r="L2699" s="15"/>
      <c r="M2699" s="15"/>
      <c r="N2699" s="15"/>
      <c r="O2699" s="15"/>
      <c r="P2699" s="15"/>
      <c r="Q2699" s="14"/>
      <c r="R2699" s="14"/>
      <c r="S2699" s="14"/>
      <c r="T2699" s="14"/>
      <c r="U2699" s="15"/>
      <c r="V2699" s="14"/>
      <c r="W2699" s="14"/>
      <c r="X2699" s="14"/>
      <c r="Y2699" s="14"/>
      <c r="Z2699" s="14"/>
    </row>
    <row r="2700" spans="1:26" ht="13.2">
      <c r="A2700" s="13"/>
      <c r="B2700" s="14"/>
      <c r="C2700" s="14"/>
      <c r="D2700" s="14"/>
      <c r="E2700" s="14"/>
      <c r="F2700" s="14"/>
      <c r="G2700" s="14"/>
      <c r="H2700" s="14"/>
      <c r="I2700" s="14"/>
      <c r="J2700" s="14"/>
      <c r="K2700" s="14"/>
      <c r="L2700" s="15"/>
      <c r="M2700" s="15"/>
      <c r="N2700" s="15"/>
      <c r="O2700" s="15"/>
      <c r="P2700" s="15"/>
      <c r="Q2700" s="14"/>
      <c r="R2700" s="14"/>
      <c r="S2700" s="14"/>
      <c r="T2700" s="14"/>
      <c r="U2700" s="15"/>
      <c r="V2700" s="14"/>
      <c r="W2700" s="14"/>
      <c r="X2700" s="14"/>
      <c r="Y2700" s="14"/>
      <c r="Z2700" s="14"/>
    </row>
    <row r="2701" spans="1:26" ht="13.2">
      <c r="A2701" s="13"/>
      <c r="B2701" s="14"/>
      <c r="C2701" s="14"/>
      <c r="D2701" s="14"/>
      <c r="E2701" s="14"/>
      <c r="F2701" s="14"/>
      <c r="G2701" s="14"/>
      <c r="H2701" s="14"/>
      <c r="I2701" s="14"/>
      <c r="J2701" s="14"/>
      <c r="K2701" s="14"/>
      <c r="L2701" s="15"/>
      <c r="M2701" s="15"/>
      <c r="N2701" s="15"/>
      <c r="O2701" s="15"/>
      <c r="P2701" s="15"/>
      <c r="Q2701" s="14"/>
      <c r="R2701" s="14"/>
      <c r="S2701" s="14"/>
      <c r="T2701" s="14"/>
      <c r="U2701" s="15"/>
      <c r="V2701" s="14"/>
      <c r="W2701" s="14"/>
      <c r="X2701" s="14"/>
      <c r="Y2701" s="14"/>
      <c r="Z2701" s="14"/>
    </row>
    <row r="2702" spans="1:26" ht="13.2">
      <c r="A2702" s="13"/>
      <c r="B2702" s="14"/>
      <c r="C2702" s="14"/>
      <c r="D2702" s="14"/>
      <c r="E2702" s="14"/>
      <c r="F2702" s="14"/>
      <c r="G2702" s="14"/>
      <c r="H2702" s="14"/>
      <c r="I2702" s="14"/>
      <c r="J2702" s="14"/>
      <c r="K2702" s="14"/>
      <c r="L2702" s="15"/>
      <c r="M2702" s="15"/>
      <c r="N2702" s="15"/>
      <c r="O2702" s="15"/>
      <c r="P2702" s="15"/>
      <c r="Q2702" s="14"/>
      <c r="R2702" s="14"/>
      <c r="S2702" s="14"/>
      <c r="T2702" s="14"/>
      <c r="U2702" s="15"/>
      <c r="V2702" s="14"/>
      <c r="W2702" s="14"/>
      <c r="X2702" s="14"/>
      <c r="Y2702" s="14"/>
      <c r="Z2702" s="14"/>
    </row>
    <row r="2703" spans="1:26" ht="13.2">
      <c r="A2703" s="13"/>
      <c r="B2703" s="14"/>
      <c r="C2703" s="14"/>
      <c r="D2703" s="14"/>
      <c r="E2703" s="14"/>
      <c r="F2703" s="14"/>
      <c r="G2703" s="14"/>
      <c r="H2703" s="14"/>
      <c r="I2703" s="14"/>
      <c r="J2703" s="14"/>
      <c r="K2703" s="14"/>
      <c r="L2703" s="15"/>
      <c r="M2703" s="15"/>
      <c r="N2703" s="15"/>
      <c r="O2703" s="15"/>
      <c r="P2703" s="15"/>
      <c r="Q2703" s="14"/>
      <c r="R2703" s="14"/>
      <c r="S2703" s="14"/>
      <c r="T2703" s="14"/>
      <c r="U2703" s="15"/>
      <c r="V2703" s="14"/>
      <c r="W2703" s="14"/>
      <c r="X2703" s="14"/>
      <c r="Y2703" s="14"/>
      <c r="Z2703" s="14"/>
    </row>
    <row r="2704" spans="1:26" ht="13.2">
      <c r="A2704" s="13"/>
      <c r="B2704" s="14"/>
      <c r="C2704" s="14"/>
      <c r="D2704" s="14"/>
      <c r="E2704" s="14"/>
      <c r="F2704" s="14"/>
      <c r="G2704" s="14"/>
      <c r="H2704" s="14"/>
      <c r="I2704" s="14"/>
      <c r="J2704" s="14"/>
      <c r="K2704" s="14"/>
      <c r="L2704" s="15"/>
      <c r="M2704" s="15"/>
      <c r="N2704" s="15"/>
      <c r="O2704" s="15"/>
      <c r="P2704" s="15"/>
      <c r="Q2704" s="14"/>
      <c r="R2704" s="14"/>
      <c r="S2704" s="14"/>
      <c r="T2704" s="14"/>
      <c r="U2704" s="15"/>
      <c r="V2704" s="14"/>
      <c r="W2704" s="14"/>
      <c r="X2704" s="14"/>
      <c r="Y2704" s="14"/>
      <c r="Z2704" s="14"/>
    </row>
    <row r="2705" spans="1:26" ht="13.2">
      <c r="A2705" s="13"/>
      <c r="B2705" s="14"/>
      <c r="C2705" s="14"/>
      <c r="D2705" s="14"/>
      <c r="E2705" s="14"/>
      <c r="F2705" s="14"/>
      <c r="G2705" s="14"/>
      <c r="H2705" s="14"/>
      <c r="I2705" s="14"/>
      <c r="J2705" s="14"/>
      <c r="K2705" s="14"/>
      <c r="L2705" s="15"/>
      <c r="M2705" s="15"/>
      <c r="N2705" s="15"/>
      <c r="O2705" s="15"/>
      <c r="P2705" s="15"/>
      <c r="Q2705" s="14"/>
      <c r="R2705" s="14"/>
      <c r="S2705" s="14"/>
      <c r="T2705" s="14"/>
      <c r="U2705" s="15"/>
      <c r="V2705" s="14"/>
      <c r="W2705" s="14"/>
      <c r="X2705" s="14"/>
      <c r="Y2705" s="14"/>
      <c r="Z2705" s="14"/>
    </row>
    <row r="2706" spans="1:26" ht="13.2">
      <c r="A2706" s="13"/>
      <c r="B2706" s="14"/>
      <c r="C2706" s="14"/>
      <c r="D2706" s="14"/>
      <c r="E2706" s="14"/>
      <c r="F2706" s="14"/>
      <c r="G2706" s="14"/>
      <c r="H2706" s="14"/>
      <c r="I2706" s="14"/>
      <c r="J2706" s="14"/>
      <c r="K2706" s="14"/>
      <c r="L2706" s="15"/>
      <c r="M2706" s="15"/>
      <c r="N2706" s="15"/>
      <c r="O2706" s="15"/>
      <c r="P2706" s="15"/>
      <c r="Q2706" s="14"/>
      <c r="R2706" s="14"/>
      <c r="S2706" s="14"/>
      <c r="T2706" s="14"/>
      <c r="U2706" s="15"/>
      <c r="V2706" s="14"/>
      <c r="W2706" s="14"/>
      <c r="X2706" s="14"/>
      <c r="Y2706" s="14"/>
      <c r="Z2706" s="14"/>
    </row>
    <row r="2707" spans="1:26" ht="13.2">
      <c r="A2707" s="13"/>
      <c r="B2707" s="14"/>
      <c r="C2707" s="14"/>
      <c r="D2707" s="14"/>
      <c r="E2707" s="14"/>
      <c r="F2707" s="14"/>
      <c r="G2707" s="14"/>
      <c r="H2707" s="14"/>
      <c r="I2707" s="14"/>
      <c r="J2707" s="14"/>
      <c r="K2707" s="14"/>
      <c r="L2707" s="15"/>
      <c r="M2707" s="15"/>
      <c r="N2707" s="15"/>
      <c r="O2707" s="15"/>
      <c r="P2707" s="15"/>
      <c r="Q2707" s="14"/>
      <c r="R2707" s="14"/>
      <c r="S2707" s="14"/>
      <c r="T2707" s="14"/>
      <c r="U2707" s="15"/>
      <c r="V2707" s="14"/>
      <c r="W2707" s="14"/>
      <c r="X2707" s="14"/>
      <c r="Y2707" s="14"/>
      <c r="Z2707" s="14"/>
    </row>
    <row r="2708" spans="1:26" ht="13.2">
      <c r="A2708" s="13"/>
      <c r="B2708" s="14"/>
      <c r="C2708" s="14"/>
      <c r="D2708" s="14"/>
      <c r="E2708" s="14"/>
      <c r="F2708" s="14"/>
      <c r="G2708" s="14"/>
      <c r="H2708" s="14"/>
      <c r="I2708" s="14"/>
      <c r="J2708" s="14"/>
      <c r="K2708" s="14"/>
      <c r="L2708" s="15"/>
      <c r="M2708" s="15"/>
      <c r="N2708" s="15"/>
      <c r="O2708" s="15"/>
      <c r="P2708" s="15"/>
      <c r="Q2708" s="14"/>
      <c r="R2708" s="14"/>
      <c r="S2708" s="14"/>
      <c r="T2708" s="14"/>
      <c r="U2708" s="15"/>
      <c r="V2708" s="14"/>
      <c r="W2708" s="14"/>
      <c r="X2708" s="14"/>
      <c r="Y2708" s="14"/>
      <c r="Z2708" s="14"/>
    </row>
    <row r="2709" spans="1:26" ht="13.2">
      <c r="A2709" s="13"/>
      <c r="B2709" s="14"/>
      <c r="C2709" s="14"/>
      <c r="D2709" s="14"/>
      <c r="E2709" s="14"/>
      <c r="F2709" s="14"/>
      <c r="G2709" s="14"/>
      <c r="H2709" s="14"/>
      <c r="I2709" s="14"/>
      <c r="J2709" s="14"/>
      <c r="K2709" s="14"/>
      <c r="L2709" s="15"/>
      <c r="M2709" s="15"/>
      <c r="N2709" s="15"/>
      <c r="O2709" s="15"/>
      <c r="P2709" s="15"/>
      <c r="Q2709" s="14"/>
      <c r="R2709" s="14"/>
      <c r="S2709" s="14"/>
      <c r="T2709" s="14"/>
      <c r="U2709" s="15"/>
      <c r="V2709" s="14"/>
      <c r="W2709" s="14"/>
      <c r="X2709" s="14"/>
      <c r="Y2709" s="14"/>
      <c r="Z2709" s="14"/>
    </row>
    <row r="2710" spans="1:26" ht="13.2">
      <c r="A2710" s="13"/>
      <c r="B2710" s="14"/>
      <c r="C2710" s="14"/>
      <c r="D2710" s="14"/>
      <c r="E2710" s="14"/>
      <c r="F2710" s="14"/>
      <c r="G2710" s="14"/>
      <c r="H2710" s="14"/>
      <c r="I2710" s="14"/>
      <c r="J2710" s="14"/>
      <c r="K2710" s="14"/>
      <c r="L2710" s="15"/>
      <c r="M2710" s="15"/>
      <c r="N2710" s="15"/>
      <c r="O2710" s="15"/>
      <c r="P2710" s="15"/>
      <c r="Q2710" s="14"/>
      <c r="R2710" s="14"/>
      <c r="S2710" s="14"/>
      <c r="T2710" s="14"/>
      <c r="U2710" s="15"/>
      <c r="V2710" s="14"/>
      <c r="W2710" s="14"/>
      <c r="X2710" s="14"/>
      <c r="Y2710" s="14"/>
      <c r="Z2710" s="14"/>
    </row>
    <row r="2711" spans="1:26" ht="13.2">
      <c r="A2711" s="13"/>
      <c r="B2711" s="14"/>
      <c r="C2711" s="14"/>
      <c r="D2711" s="14"/>
      <c r="E2711" s="14"/>
      <c r="F2711" s="14"/>
      <c r="G2711" s="14"/>
      <c r="H2711" s="14"/>
      <c r="I2711" s="14"/>
      <c r="J2711" s="14"/>
      <c r="K2711" s="14"/>
      <c r="L2711" s="15"/>
      <c r="M2711" s="15"/>
      <c r="N2711" s="15"/>
      <c r="O2711" s="15"/>
      <c r="P2711" s="15"/>
      <c r="Q2711" s="14"/>
      <c r="R2711" s="14"/>
      <c r="S2711" s="14"/>
      <c r="T2711" s="14"/>
      <c r="U2711" s="15"/>
      <c r="V2711" s="14"/>
      <c r="W2711" s="14"/>
      <c r="X2711" s="14"/>
      <c r="Y2711" s="14"/>
      <c r="Z2711" s="14"/>
    </row>
    <row r="2712" spans="1:26" ht="13.2">
      <c r="A2712" s="13"/>
      <c r="B2712" s="14"/>
      <c r="C2712" s="14"/>
      <c r="D2712" s="14"/>
      <c r="E2712" s="14"/>
      <c r="F2712" s="14"/>
      <c r="G2712" s="14"/>
      <c r="H2712" s="14"/>
      <c r="I2712" s="14"/>
      <c r="J2712" s="14"/>
      <c r="K2712" s="14"/>
      <c r="L2712" s="15"/>
      <c r="M2712" s="15"/>
      <c r="N2712" s="15"/>
      <c r="O2712" s="15"/>
      <c r="P2712" s="15"/>
      <c r="Q2712" s="14"/>
      <c r="R2712" s="14"/>
      <c r="S2712" s="14"/>
      <c r="T2712" s="14"/>
      <c r="U2712" s="15"/>
      <c r="V2712" s="14"/>
      <c r="W2712" s="14"/>
      <c r="X2712" s="14"/>
      <c r="Y2712" s="14"/>
      <c r="Z2712" s="14"/>
    </row>
    <row r="2713" spans="1:26" ht="13.2">
      <c r="A2713" s="13"/>
      <c r="B2713" s="14"/>
      <c r="C2713" s="14"/>
      <c r="D2713" s="14"/>
      <c r="E2713" s="14"/>
      <c r="F2713" s="14"/>
      <c r="G2713" s="14"/>
      <c r="H2713" s="14"/>
      <c r="I2713" s="14"/>
      <c r="J2713" s="14"/>
      <c r="K2713" s="14"/>
      <c r="L2713" s="15"/>
      <c r="M2713" s="15"/>
      <c r="N2713" s="15"/>
      <c r="O2713" s="15"/>
      <c r="P2713" s="15"/>
      <c r="Q2713" s="14"/>
      <c r="R2713" s="14"/>
      <c r="S2713" s="14"/>
      <c r="T2713" s="14"/>
      <c r="U2713" s="15"/>
      <c r="V2713" s="14"/>
      <c r="W2713" s="14"/>
      <c r="X2713" s="14"/>
      <c r="Y2713" s="14"/>
      <c r="Z2713" s="14"/>
    </row>
    <row r="2714" spans="1:26" ht="13.2">
      <c r="A2714" s="13"/>
      <c r="B2714" s="14"/>
      <c r="C2714" s="14"/>
      <c r="D2714" s="14"/>
      <c r="E2714" s="14"/>
      <c r="F2714" s="14"/>
      <c r="G2714" s="14"/>
      <c r="H2714" s="14"/>
      <c r="I2714" s="14"/>
      <c r="J2714" s="14"/>
      <c r="K2714" s="14"/>
      <c r="L2714" s="15"/>
      <c r="M2714" s="15"/>
      <c r="N2714" s="15"/>
      <c r="O2714" s="15"/>
      <c r="P2714" s="15"/>
      <c r="Q2714" s="14"/>
      <c r="R2714" s="14"/>
      <c r="S2714" s="14"/>
      <c r="T2714" s="14"/>
      <c r="U2714" s="15"/>
      <c r="V2714" s="14"/>
      <c r="W2714" s="14"/>
      <c r="X2714" s="14"/>
      <c r="Y2714" s="14"/>
      <c r="Z2714" s="14"/>
    </row>
    <row r="2715" spans="1:26" ht="13.2">
      <c r="A2715" s="13"/>
      <c r="B2715" s="14"/>
      <c r="C2715" s="14"/>
      <c r="D2715" s="14"/>
      <c r="E2715" s="14"/>
      <c r="F2715" s="14"/>
      <c r="G2715" s="14"/>
      <c r="H2715" s="14"/>
      <c r="I2715" s="14"/>
      <c r="J2715" s="14"/>
      <c r="K2715" s="14"/>
      <c r="L2715" s="15"/>
      <c r="M2715" s="15"/>
      <c r="N2715" s="15"/>
      <c r="O2715" s="15"/>
      <c r="P2715" s="15"/>
      <c r="Q2715" s="14"/>
      <c r="R2715" s="14"/>
      <c r="S2715" s="14"/>
      <c r="T2715" s="14"/>
      <c r="U2715" s="15"/>
      <c r="V2715" s="14"/>
      <c r="W2715" s="14"/>
      <c r="X2715" s="14"/>
      <c r="Y2715" s="14"/>
      <c r="Z2715" s="14"/>
    </row>
    <row r="2716" spans="1:26" ht="13.2">
      <c r="A2716" s="13"/>
      <c r="B2716" s="14"/>
      <c r="C2716" s="14"/>
      <c r="D2716" s="14"/>
      <c r="E2716" s="14"/>
      <c r="F2716" s="14"/>
      <c r="G2716" s="14"/>
      <c r="H2716" s="14"/>
      <c r="I2716" s="14"/>
      <c r="J2716" s="14"/>
      <c r="K2716" s="14"/>
      <c r="L2716" s="15"/>
      <c r="M2716" s="15"/>
      <c r="N2716" s="15"/>
      <c r="O2716" s="15"/>
      <c r="P2716" s="15"/>
      <c r="Q2716" s="14"/>
      <c r="R2716" s="14"/>
      <c r="S2716" s="14"/>
      <c r="T2716" s="14"/>
      <c r="U2716" s="15"/>
      <c r="V2716" s="14"/>
      <c r="W2716" s="14"/>
      <c r="X2716" s="14"/>
      <c r="Y2716" s="14"/>
      <c r="Z2716" s="14"/>
    </row>
    <row r="2717" spans="1:26" ht="13.2">
      <c r="A2717" s="13"/>
      <c r="B2717" s="14"/>
      <c r="C2717" s="14"/>
      <c r="D2717" s="14"/>
      <c r="E2717" s="14"/>
      <c r="F2717" s="14"/>
      <c r="G2717" s="14"/>
      <c r="H2717" s="14"/>
      <c r="I2717" s="14"/>
      <c r="J2717" s="14"/>
      <c r="K2717" s="14"/>
      <c r="L2717" s="15"/>
      <c r="M2717" s="15"/>
      <c r="N2717" s="15"/>
      <c r="O2717" s="15"/>
      <c r="P2717" s="15"/>
      <c r="Q2717" s="14"/>
      <c r="R2717" s="14"/>
      <c r="S2717" s="14"/>
      <c r="T2717" s="14"/>
      <c r="U2717" s="15"/>
      <c r="V2717" s="14"/>
      <c r="W2717" s="14"/>
      <c r="X2717" s="14"/>
      <c r="Y2717" s="14"/>
      <c r="Z2717" s="14"/>
    </row>
    <row r="2718" spans="1:26" ht="13.2">
      <c r="A2718" s="13"/>
      <c r="B2718" s="14"/>
      <c r="C2718" s="14"/>
      <c r="D2718" s="14"/>
      <c r="E2718" s="14"/>
      <c r="F2718" s="14"/>
      <c r="G2718" s="14"/>
      <c r="H2718" s="14"/>
      <c r="I2718" s="14"/>
      <c r="J2718" s="14"/>
      <c r="K2718" s="14"/>
      <c r="L2718" s="15"/>
      <c r="M2718" s="15"/>
      <c r="N2718" s="15"/>
      <c r="O2718" s="15"/>
      <c r="P2718" s="15"/>
      <c r="Q2718" s="14"/>
      <c r="R2718" s="14"/>
      <c r="S2718" s="14"/>
      <c r="T2718" s="14"/>
      <c r="U2718" s="15"/>
      <c r="V2718" s="14"/>
      <c r="W2718" s="14"/>
      <c r="X2718" s="14"/>
      <c r="Y2718" s="14"/>
      <c r="Z2718" s="14"/>
    </row>
    <row r="2719" spans="1:26" ht="13.2">
      <c r="A2719" s="13"/>
      <c r="B2719" s="14"/>
      <c r="C2719" s="14"/>
      <c r="D2719" s="14"/>
      <c r="E2719" s="14"/>
      <c r="F2719" s="14"/>
      <c r="G2719" s="14"/>
      <c r="H2719" s="14"/>
      <c r="I2719" s="14"/>
      <c r="J2719" s="14"/>
      <c r="K2719" s="14"/>
      <c r="L2719" s="15"/>
      <c r="M2719" s="15"/>
      <c r="N2719" s="15"/>
      <c r="O2719" s="15"/>
      <c r="P2719" s="15"/>
      <c r="Q2719" s="14"/>
      <c r="R2719" s="14"/>
      <c r="S2719" s="14"/>
      <c r="T2719" s="14"/>
      <c r="U2719" s="15"/>
      <c r="V2719" s="14"/>
      <c r="W2719" s="14"/>
      <c r="X2719" s="14"/>
      <c r="Y2719" s="14"/>
      <c r="Z2719" s="14"/>
    </row>
    <row r="2720" spans="1:26" ht="13.2">
      <c r="A2720" s="13"/>
      <c r="B2720" s="14"/>
      <c r="C2720" s="14"/>
      <c r="D2720" s="14"/>
      <c r="E2720" s="14"/>
      <c r="F2720" s="14"/>
      <c r="G2720" s="14"/>
      <c r="H2720" s="14"/>
      <c r="I2720" s="14"/>
      <c r="J2720" s="14"/>
      <c r="K2720" s="14"/>
      <c r="L2720" s="15"/>
      <c r="M2720" s="15"/>
      <c r="N2720" s="15"/>
      <c r="O2720" s="15"/>
      <c r="P2720" s="15"/>
      <c r="Q2720" s="14"/>
      <c r="R2720" s="14"/>
      <c r="S2720" s="14"/>
      <c r="T2720" s="14"/>
      <c r="U2720" s="15"/>
      <c r="V2720" s="14"/>
      <c r="W2720" s="14"/>
      <c r="X2720" s="14"/>
      <c r="Y2720" s="14"/>
      <c r="Z2720" s="14"/>
    </row>
    <row r="2721" spans="1:26" ht="13.2">
      <c r="A2721" s="13"/>
      <c r="B2721" s="14"/>
      <c r="C2721" s="14"/>
      <c r="D2721" s="14"/>
      <c r="E2721" s="14"/>
      <c r="F2721" s="14"/>
      <c r="G2721" s="14"/>
      <c r="H2721" s="14"/>
      <c r="I2721" s="14"/>
      <c r="J2721" s="14"/>
      <c r="K2721" s="14"/>
      <c r="L2721" s="15"/>
      <c r="M2721" s="15"/>
      <c r="N2721" s="15"/>
      <c r="O2721" s="15"/>
      <c r="P2721" s="15"/>
      <c r="Q2721" s="14"/>
      <c r="R2721" s="14"/>
      <c r="S2721" s="14"/>
      <c r="T2721" s="14"/>
      <c r="U2721" s="15"/>
      <c r="V2721" s="14"/>
      <c r="W2721" s="14"/>
      <c r="X2721" s="14"/>
      <c r="Y2721" s="14"/>
      <c r="Z2721" s="14"/>
    </row>
    <row r="2722" spans="1:26" ht="13.2">
      <c r="A2722" s="13"/>
      <c r="B2722" s="14"/>
      <c r="C2722" s="14"/>
      <c r="D2722" s="14"/>
      <c r="E2722" s="14"/>
      <c r="F2722" s="14"/>
      <c r="G2722" s="14"/>
      <c r="H2722" s="14"/>
      <c r="I2722" s="14"/>
      <c r="J2722" s="14"/>
      <c r="K2722" s="14"/>
      <c r="L2722" s="15"/>
      <c r="M2722" s="15"/>
      <c r="N2722" s="15"/>
      <c r="O2722" s="15"/>
      <c r="P2722" s="15"/>
      <c r="Q2722" s="14"/>
      <c r="R2722" s="14"/>
      <c r="S2722" s="14"/>
      <c r="T2722" s="14"/>
      <c r="U2722" s="15"/>
      <c r="V2722" s="14"/>
      <c r="W2722" s="14"/>
      <c r="X2722" s="14"/>
      <c r="Y2722" s="14"/>
      <c r="Z2722" s="14"/>
    </row>
    <row r="2723" spans="1:26" ht="13.2">
      <c r="A2723" s="13"/>
      <c r="B2723" s="14"/>
      <c r="C2723" s="14"/>
      <c r="D2723" s="14"/>
      <c r="E2723" s="14"/>
      <c r="F2723" s="14"/>
      <c r="G2723" s="14"/>
      <c r="H2723" s="14"/>
      <c r="I2723" s="14"/>
      <c r="J2723" s="14"/>
      <c r="K2723" s="14"/>
      <c r="L2723" s="15"/>
      <c r="M2723" s="15"/>
      <c r="N2723" s="15"/>
      <c r="O2723" s="15"/>
      <c r="P2723" s="15"/>
      <c r="Q2723" s="14"/>
      <c r="R2723" s="14"/>
      <c r="S2723" s="14"/>
      <c r="T2723" s="14"/>
      <c r="U2723" s="15"/>
      <c r="V2723" s="14"/>
      <c r="W2723" s="14"/>
      <c r="X2723" s="14"/>
      <c r="Y2723" s="14"/>
      <c r="Z2723" s="14"/>
    </row>
    <row r="2724" spans="1:26" ht="13.2">
      <c r="A2724" s="13"/>
      <c r="B2724" s="14"/>
      <c r="C2724" s="14"/>
      <c r="D2724" s="14"/>
      <c r="E2724" s="14"/>
      <c r="F2724" s="14"/>
      <c r="G2724" s="14"/>
      <c r="H2724" s="14"/>
      <c r="I2724" s="14"/>
      <c r="J2724" s="14"/>
      <c r="K2724" s="14"/>
      <c r="L2724" s="15"/>
      <c r="M2724" s="15"/>
      <c r="N2724" s="15"/>
      <c r="O2724" s="15"/>
      <c r="P2724" s="15"/>
      <c r="Q2724" s="14"/>
      <c r="R2724" s="14"/>
      <c r="S2724" s="14"/>
      <c r="T2724" s="14"/>
      <c r="U2724" s="15"/>
      <c r="V2724" s="14"/>
      <c r="W2724" s="14"/>
      <c r="X2724" s="14"/>
      <c r="Y2724" s="14"/>
      <c r="Z2724" s="14"/>
    </row>
    <row r="2725" spans="1:26" ht="13.2">
      <c r="A2725" s="13"/>
      <c r="B2725" s="14"/>
      <c r="C2725" s="14"/>
      <c r="D2725" s="14"/>
      <c r="E2725" s="14"/>
      <c r="F2725" s="14"/>
      <c r="G2725" s="14"/>
      <c r="H2725" s="14"/>
      <c r="I2725" s="14"/>
      <c r="J2725" s="14"/>
      <c r="K2725" s="14"/>
      <c r="L2725" s="15"/>
      <c r="M2725" s="15"/>
      <c r="N2725" s="15"/>
      <c r="O2725" s="15"/>
      <c r="P2725" s="15"/>
      <c r="Q2725" s="14"/>
      <c r="R2725" s="14"/>
      <c r="S2725" s="14"/>
      <c r="T2725" s="14"/>
      <c r="U2725" s="15"/>
      <c r="V2725" s="14"/>
      <c r="W2725" s="14"/>
      <c r="X2725" s="14"/>
      <c r="Y2725" s="14"/>
      <c r="Z2725" s="14"/>
    </row>
    <row r="2726" spans="1:26" ht="13.2">
      <c r="A2726" s="13"/>
      <c r="B2726" s="14"/>
      <c r="C2726" s="14"/>
      <c r="D2726" s="14"/>
      <c r="E2726" s="14"/>
      <c r="F2726" s="14"/>
      <c r="G2726" s="14"/>
      <c r="H2726" s="14"/>
      <c r="I2726" s="14"/>
      <c r="J2726" s="14"/>
      <c r="K2726" s="14"/>
      <c r="L2726" s="15"/>
      <c r="M2726" s="15"/>
      <c r="N2726" s="15"/>
      <c r="O2726" s="15"/>
      <c r="P2726" s="15"/>
      <c r="Q2726" s="14"/>
      <c r="R2726" s="14"/>
      <c r="S2726" s="14"/>
      <c r="T2726" s="14"/>
      <c r="U2726" s="15"/>
      <c r="V2726" s="14"/>
      <c r="W2726" s="14"/>
      <c r="X2726" s="14"/>
      <c r="Y2726" s="14"/>
      <c r="Z2726" s="14"/>
    </row>
    <row r="2727" spans="1:26" ht="13.2">
      <c r="A2727" s="13"/>
      <c r="B2727" s="14"/>
      <c r="C2727" s="14"/>
      <c r="D2727" s="14"/>
      <c r="E2727" s="14"/>
      <c r="F2727" s="14"/>
      <c r="G2727" s="14"/>
      <c r="H2727" s="14"/>
      <c r="I2727" s="14"/>
      <c r="J2727" s="14"/>
      <c r="K2727" s="14"/>
      <c r="L2727" s="15"/>
      <c r="M2727" s="15"/>
      <c r="N2727" s="15"/>
      <c r="O2727" s="15"/>
      <c r="P2727" s="15"/>
      <c r="Q2727" s="14"/>
      <c r="R2727" s="14"/>
      <c r="S2727" s="14"/>
      <c r="T2727" s="14"/>
      <c r="U2727" s="15"/>
      <c r="V2727" s="14"/>
      <c r="W2727" s="14"/>
      <c r="X2727" s="14"/>
      <c r="Y2727" s="14"/>
      <c r="Z2727" s="14"/>
    </row>
    <row r="2728" spans="1:26" ht="13.2">
      <c r="A2728" s="13"/>
      <c r="B2728" s="14"/>
      <c r="C2728" s="14"/>
      <c r="D2728" s="14"/>
      <c r="E2728" s="14"/>
      <c r="F2728" s="14"/>
      <c r="G2728" s="14"/>
      <c r="H2728" s="14"/>
      <c r="I2728" s="14"/>
      <c r="J2728" s="14"/>
      <c r="K2728" s="14"/>
      <c r="L2728" s="15"/>
      <c r="M2728" s="15"/>
      <c r="N2728" s="15"/>
      <c r="O2728" s="15"/>
      <c r="P2728" s="15"/>
      <c r="Q2728" s="14"/>
      <c r="R2728" s="14"/>
      <c r="S2728" s="14"/>
      <c r="T2728" s="14"/>
      <c r="U2728" s="15"/>
      <c r="V2728" s="14"/>
      <c r="W2728" s="14"/>
      <c r="X2728" s="14"/>
      <c r="Y2728" s="14"/>
      <c r="Z2728" s="14"/>
    </row>
    <row r="2729" spans="1:26" ht="13.2">
      <c r="A2729" s="13"/>
      <c r="B2729" s="14"/>
      <c r="C2729" s="14"/>
      <c r="D2729" s="14"/>
      <c r="E2729" s="14"/>
      <c r="F2729" s="14"/>
      <c r="G2729" s="14"/>
      <c r="H2729" s="14"/>
      <c r="I2729" s="14"/>
      <c r="J2729" s="14"/>
      <c r="K2729" s="14"/>
      <c r="L2729" s="15"/>
      <c r="M2729" s="15"/>
      <c r="N2729" s="15"/>
      <c r="O2729" s="15"/>
      <c r="P2729" s="15"/>
      <c r="Q2729" s="14"/>
      <c r="R2729" s="14"/>
      <c r="S2729" s="14"/>
      <c r="T2729" s="14"/>
      <c r="U2729" s="15"/>
      <c r="V2729" s="14"/>
      <c r="W2729" s="14"/>
      <c r="X2729" s="14"/>
      <c r="Y2729" s="14"/>
      <c r="Z2729" s="14"/>
    </row>
    <row r="2730" spans="1:26" ht="13.2">
      <c r="A2730" s="13"/>
      <c r="B2730" s="14"/>
      <c r="C2730" s="14"/>
      <c r="D2730" s="14"/>
      <c r="E2730" s="14"/>
      <c r="F2730" s="14"/>
      <c r="G2730" s="14"/>
      <c r="H2730" s="14"/>
      <c r="I2730" s="14"/>
      <c r="J2730" s="14"/>
      <c r="K2730" s="14"/>
      <c r="L2730" s="15"/>
      <c r="M2730" s="15"/>
      <c r="N2730" s="15"/>
      <c r="O2730" s="15"/>
      <c r="P2730" s="15"/>
      <c r="Q2730" s="14"/>
      <c r="R2730" s="14"/>
      <c r="S2730" s="14"/>
      <c r="T2730" s="14"/>
      <c r="U2730" s="15"/>
      <c r="V2730" s="14"/>
      <c r="W2730" s="14"/>
      <c r="X2730" s="14"/>
      <c r="Y2730" s="14"/>
      <c r="Z2730" s="14"/>
    </row>
    <row r="2731" spans="1:26" ht="13.2">
      <c r="A2731" s="13"/>
      <c r="B2731" s="14"/>
      <c r="C2731" s="14"/>
      <c r="D2731" s="14"/>
      <c r="E2731" s="14"/>
      <c r="F2731" s="14"/>
      <c r="G2731" s="14"/>
      <c r="H2731" s="14"/>
      <c r="I2731" s="14"/>
      <c r="J2731" s="14"/>
      <c r="K2731" s="14"/>
      <c r="L2731" s="15"/>
      <c r="M2731" s="15"/>
      <c r="N2731" s="15"/>
      <c r="O2731" s="15"/>
      <c r="P2731" s="15"/>
      <c r="Q2731" s="14"/>
      <c r="R2731" s="14"/>
      <c r="S2731" s="14"/>
      <c r="T2731" s="14"/>
      <c r="U2731" s="15"/>
      <c r="V2731" s="14"/>
      <c r="W2731" s="14"/>
      <c r="X2731" s="14"/>
      <c r="Y2731" s="14"/>
      <c r="Z2731" s="14"/>
    </row>
    <row r="2732" spans="1:26" ht="13.2">
      <c r="A2732" s="13"/>
      <c r="B2732" s="14"/>
      <c r="C2732" s="14"/>
      <c r="D2732" s="14"/>
      <c r="E2732" s="14"/>
      <c r="F2732" s="14"/>
      <c r="G2732" s="14"/>
      <c r="H2732" s="14"/>
      <c r="I2732" s="14"/>
      <c r="J2732" s="14"/>
      <c r="K2732" s="14"/>
      <c r="L2732" s="15"/>
      <c r="M2732" s="15"/>
      <c r="N2732" s="15"/>
      <c r="O2732" s="15"/>
      <c r="P2732" s="15"/>
      <c r="Q2732" s="14"/>
      <c r="R2732" s="14"/>
      <c r="S2732" s="14"/>
      <c r="T2732" s="14"/>
      <c r="U2732" s="15"/>
      <c r="V2732" s="14"/>
      <c r="W2732" s="14"/>
      <c r="X2732" s="14"/>
      <c r="Y2732" s="14"/>
      <c r="Z2732" s="14"/>
    </row>
    <row r="2733" spans="1:26" ht="13.2">
      <c r="A2733" s="13"/>
      <c r="B2733" s="14"/>
      <c r="C2733" s="14"/>
      <c r="D2733" s="14"/>
      <c r="E2733" s="14"/>
      <c r="F2733" s="14"/>
      <c r="G2733" s="14"/>
      <c r="H2733" s="14"/>
      <c r="I2733" s="14"/>
      <c r="J2733" s="14"/>
      <c r="K2733" s="14"/>
      <c r="L2733" s="15"/>
      <c r="M2733" s="15"/>
      <c r="N2733" s="15"/>
      <c r="O2733" s="15"/>
      <c r="P2733" s="15"/>
      <c r="Q2733" s="14"/>
      <c r="R2733" s="14"/>
      <c r="S2733" s="14"/>
      <c r="T2733" s="14"/>
      <c r="U2733" s="15"/>
      <c r="V2733" s="14"/>
      <c r="W2733" s="14"/>
      <c r="X2733" s="14"/>
      <c r="Y2733" s="14"/>
      <c r="Z2733" s="14"/>
    </row>
    <row r="2734" spans="1:26" ht="13.2">
      <c r="A2734" s="13"/>
      <c r="B2734" s="14"/>
      <c r="C2734" s="14"/>
      <c r="D2734" s="14"/>
      <c r="E2734" s="14"/>
      <c r="F2734" s="14"/>
      <c r="G2734" s="14"/>
      <c r="H2734" s="14"/>
      <c r="I2734" s="14"/>
      <c r="J2734" s="14"/>
      <c r="K2734" s="14"/>
      <c r="L2734" s="15"/>
      <c r="M2734" s="15"/>
      <c r="N2734" s="15"/>
      <c r="O2734" s="15"/>
      <c r="P2734" s="15"/>
      <c r="Q2734" s="14"/>
      <c r="R2734" s="14"/>
      <c r="S2734" s="14"/>
      <c r="T2734" s="14"/>
      <c r="U2734" s="15"/>
      <c r="V2734" s="14"/>
      <c r="W2734" s="14"/>
      <c r="X2734" s="14"/>
      <c r="Y2734" s="14"/>
      <c r="Z2734" s="14"/>
    </row>
    <row r="2735" spans="1:26" ht="13.2">
      <c r="A2735" s="13"/>
      <c r="B2735" s="14"/>
      <c r="C2735" s="14"/>
      <c r="D2735" s="14"/>
      <c r="E2735" s="14"/>
      <c r="F2735" s="14"/>
      <c r="G2735" s="14"/>
      <c r="H2735" s="14"/>
      <c r="I2735" s="14"/>
      <c r="J2735" s="14"/>
      <c r="K2735" s="14"/>
      <c r="L2735" s="15"/>
      <c r="M2735" s="15"/>
      <c r="N2735" s="15"/>
      <c r="O2735" s="15"/>
      <c r="P2735" s="15"/>
      <c r="Q2735" s="14"/>
      <c r="R2735" s="14"/>
      <c r="S2735" s="14"/>
      <c r="T2735" s="14"/>
      <c r="U2735" s="15"/>
      <c r="V2735" s="14"/>
      <c r="W2735" s="14"/>
      <c r="X2735" s="14"/>
      <c r="Y2735" s="14"/>
      <c r="Z2735" s="14"/>
    </row>
    <row r="2736" spans="1:26" ht="13.2">
      <c r="A2736" s="13"/>
      <c r="B2736" s="14"/>
      <c r="C2736" s="14"/>
      <c r="D2736" s="14"/>
      <c r="E2736" s="14"/>
      <c r="F2736" s="14"/>
      <c r="G2736" s="14"/>
      <c r="H2736" s="14"/>
      <c r="I2736" s="14"/>
      <c r="J2736" s="14"/>
      <c r="K2736" s="14"/>
      <c r="L2736" s="15"/>
      <c r="M2736" s="15"/>
      <c r="N2736" s="15"/>
      <c r="O2736" s="15"/>
      <c r="P2736" s="15"/>
      <c r="Q2736" s="14"/>
      <c r="R2736" s="14"/>
      <c r="S2736" s="14"/>
      <c r="T2736" s="14"/>
      <c r="U2736" s="15"/>
      <c r="V2736" s="14"/>
      <c r="W2736" s="14"/>
      <c r="X2736" s="14"/>
      <c r="Y2736" s="14"/>
      <c r="Z2736" s="14"/>
    </row>
    <row r="2737" spans="1:26" ht="13.2">
      <c r="A2737" s="13"/>
      <c r="B2737" s="14"/>
      <c r="C2737" s="14"/>
      <c r="D2737" s="14"/>
      <c r="E2737" s="14"/>
      <c r="F2737" s="14"/>
      <c r="G2737" s="14"/>
      <c r="H2737" s="14"/>
      <c r="I2737" s="14"/>
      <c r="J2737" s="14"/>
      <c r="K2737" s="14"/>
      <c r="L2737" s="15"/>
      <c r="M2737" s="15"/>
      <c r="N2737" s="15"/>
      <c r="O2737" s="15"/>
      <c r="P2737" s="15"/>
      <c r="Q2737" s="14"/>
      <c r="R2737" s="14"/>
      <c r="S2737" s="14"/>
      <c r="T2737" s="14"/>
      <c r="U2737" s="15"/>
      <c r="V2737" s="14"/>
      <c r="W2737" s="14"/>
      <c r="X2737" s="14"/>
      <c r="Y2737" s="14"/>
      <c r="Z2737" s="14"/>
    </row>
    <row r="2738" spans="1:26" ht="13.2">
      <c r="A2738" s="13"/>
      <c r="B2738" s="14"/>
      <c r="C2738" s="14"/>
      <c r="D2738" s="14"/>
      <c r="E2738" s="14"/>
      <c r="F2738" s="14"/>
      <c r="G2738" s="14"/>
      <c r="H2738" s="14"/>
      <c r="I2738" s="14"/>
      <c r="J2738" s="14"/>
      <c r="K2738" s="14"/>
      <c r="L2738" s="15"/>
      <c r="M2738" s="15"/>
      <c r="N2738" s="15"/>
      <c r="O2738" s="15"/>
      <c r="P2738" s="15"/>
      <c r="Q2738" s="14"/>
      <c r="R2738" s="14"/>
      <c r="S2738" s="14"/>
      <c r="T2738" s="14"/>
      <c r="U2738" s="15"/>
      <c r="V2738" s="14"/>
      <c r="W2738" s="14"/>
      <c r="X2738" s="14"/>
      <c r="Y2738" s="14"/>
      <c r="Z2738" s="14"/>
    </row>
    <row r="2739" spans="1:26" ht="13.2">
      <c r="A2739" s="13"/>
      <c r="B2739" s="14"/>
      <c r="C2739" s="14"/>
      <c r="D2739" s="14"/>
      <c r="E2739" s="14"/>
      <c r="F2739" s="14"/>
      <c r="G2739" s="14"/>
      <c r="H2739" s="14"/>
      <c r="I2739" s="14"/>
      <c r="J2739" s="14"/>
      <c r="K2739" s="14"/>
      <c r="L2739" s="15"/>
      <c r="M2739" s="15"/>
      <c r="N2739" s="15"/>
      <c r="O2739" s="15"/>
      <c r="P2739" s="15"/>
      <c r="Q2739" s="14"/>
      <c r="R2739" s="14"/>
      <c r="S2739" s="14"/>
      <c r="T2739" s="14"/>
      <c r="U2739" s="15"/>
      <c r="V2739" s="14"/>
      <c r="W2739" s="14"/>
      <c r="X2739" s="14"/>
      <c r="Y2739" s="14"/>
      <c r="Z2739" s="14"/>
    </row>
    <row r="2740" spans="1:26" ht="13.2">
      <c r="A2740" s="13"/>
      <c r="B2740" s="14"/>
      <c r="C2740" s="14"/>
      <c r="D2740" s="14"/>
      <c r="E2740" s="14"/>
      <c r="F2740" s="14"/>
      <c r="G2740" s="14"/>
      <c r="H2740" s="14"/>
      <c r="I2740" s="14"/>
      <c r="J2740" s="14"/>
      <c r="K2740" s="14"/>
      <c r="L2740" s="15"/>
      <c r="M2740" s="15"/>
      <c r="N2740" s="15"/>
      <c r="O2740" s="15"/>
      <c r="P2740" s="15"/>
      <c r="Q2740" s="14"/>
      <c r="R2740" s="14"/>
      <c r="S2740" s="14"/>
      <c r="T2740" s="14"/>
      <c r="U2740" s="15"/>
      <c r="V2740" s="14"/>
      <c r="W2740" s="14"/>
      <c r="X2740" s="14"/>
      <c r="Y2740" s="14"/>
      <c r="Z2740" s="14"/>
    </row>
    <row r="2741" spans="1:26" ht="13.2">
      <c r="A2741" s="13"/>
      <c r="B2741" s="14"/>
      <c r="C2741" s="14"/>
      <c r="D2741" s="14"/>
      <c r="E2741" s="14"/>
      <c r="F2741" s="14"/>
      <c r="G2741" s="14"/>
      <c r="H2741" s="14"/>
      <c r="I2741" s="14"/>
      <c r="J2741" s="14"/>
      <c r="K2741" s="14"/>
      <c r="L2741" s="15"/>
      <c r="M2741" s="15"/>
      <c r="N2741" s="15"/>
      <c r="O2741" s="15"/>
      <c r="P2741" s="15"/>
      <c r="Q2741" s="14"/>
      <c r="R2741" s="14"/>
      <c r="S2741" s="14"/>
      <c r="T2741" s="14"/>
      <c r="U2741" s="15"/>
      <c r="V2741" s="14"/>
      <c r="W2741" s="14"/>
      <c r="X2741" s="14"/>
      <c r="Y2741" s="14"/>
      <c r="Z2741" s="14"/>
    </row>
    <row r="2742" spans="1:26" ht="13.2">
      <c r="A2742" s="13"/>
      <c r="B2742" s="14"/>
      <c r="C2742" s="14"/>
      <c r="D2742" s="14"/>
      <c r="E2742" s="14"/>
      <c r="F2742" s="14"/>
      <c r="G2742" s="14"/>
      <c r="H2742" s="14"/>
      <c r="I2742" s="14"/>
      <c r="J2742" s="14"/>
      <c r="K2742" s="14"/>
      <c r="L2742" s="15"/>
      <c r="M2742" s="15"/>
      <c r="N2742" s="15"/>
      <c r="O2742" s="15"/>
      <c r="P2742" s="15"/>
      <c r="Q2742" s="14"/>
      <c r="R2742" s="14"/>
      <c r="S2742" s="14"/>
      <c r="T2742" s="14"/>
      <c r="U2742" s="15"/>
      <c r="V2742" s="14"/>
      <c r="W2742" s="14"/>
      <c r="X2742" s="14"/>
      <c r="Y2742" s="14"/>
      <c r="Z2742" s="14"/>
    </row>
    <row r="2743" spans="1:26" ht="13.2">
      <c r="A2743" s="13"/>
      <c r="B2743" s="14"/>
      <c r="C2743" s="14"/>
      <c r="D2743" s="14"/>
      <c r="E2743" s="14"/>
      <c r="F2743" s="14"/>
      <c r="G2743" s="14"/>
      <c r="H2743" s="14"/>
      <c r="I2743" s="14"/>
      <c r="J2743" s="14"/>
      <c r="K2743" s="14"/>
      <c r="L2743" s="15"/>
      <c r="M2743" s="15"/>
      <c r="N2743" s="15"/>
      <c r="O2743" s="15"/>
      <c r="P2743" s="15"/>
      <c r="Q2743" s="14"/>
      <c r="R2743" s="14"/>
      <c r="S2743" s="14"/>
      <c r="T2743" s="14"/>
      <c r="U2743" s="15"/>
      <c r="V2743" s="14"/>
      <c r="W2743" s="14"/>
      <c r="X2743" s="14"/>
      <c r="Y2743" s="14"/>
      <c r="Z2743" s="14"/>
    </row>
    <row r="2744" spans="1:26" ht="13.2">
      <c r="A2744" s="13"/>
      <c r="B2744" s="14"/>
      <c r="C2744" s="14"/>
      <c r="D2744" s="14"/>
      <c r="E2744" s="14"/>
      <c r="F2744" s="14"/>
      <c r="G2744" s="14"/>
      <c r="H2744" s="14"/>
      <c r="I2744" s="14"/>
      <c r="J2744" s="14"/>
      <c r="K2744" s="14"/>
      <c r="L2744" s="15"/>
      <c r="M2744" s="15"/>
      <c r="N2744" s="15"/>
      <c r="O2744" s="15"/>
      <c r="P2744" s="15"/>
      <c r="Q2744" s="14"/>
      <c r="R2744" s="14"/>
      <c r="S2744" s="14"/>
      <c r="T2744" s="14"/>
      <c r="U2744" s="15"/>
      <c r="V2744" s="14"/>
      <c r="W2744" s="14"/>
      <c r="X2744" s="14"/>
      <c r="Y2744" s="14"/>
      <c r="Z2744" s="14"/>
    </row>
    <row r="2745" spans="1:26" ht="13.2">
      <c r="A2745" s="13"/>
      <c r="B2745" s="14"/>
      <c r="C2745" s="14"/>
      <c r="D2745" s="14"/>
      <c r="E2745" s="14"/>
      <c r="F2745" s="14"/>
      <c r="G2745" s="14"/>
      <c r="H2745" s="14"/>
      <c r="I2745" s="14"/>
      <c r="J2745" s="14"/>
      <c r="K2745" s="14"/>
      <c r="L2745" s="15"/>
      <c r="M2745" s="15"/>
      <c r="N2745" s="15"/>
      <c r="O2745" s="15"/>
      <c r="P2745" s="15"/>
      <c r="Q2745" s="14"/>
      <c r="R2745" s="14"/>
      <c r="S2745" s="14"/>
      <c r="T2745" s="14"/>
      <c r="U2745" s="15"/>
      <c r="V2745" s="14"/>
      <c r="W2745" s="14"/>
      <c r="X2745" s="14"/>
      <c r="Y2745" s="14"/>
      <c r="Z2745" s="14"/>
    </row>
    <row r="2746" spans="1:26" ht="13.2">
      <c r="A2746" s="13"/>
      <c r="B2746" s="14"/>
      <c r="C2746" s="14"/>
      <c r="D2746" s="14"/>
      <c r="E2746" s="14"/>
      <c r="F2746" s="14"/>
      <c r="G2746" s="14"/>
      <c r="H2746" s="14"/>
      <c r="I2746" s="14"/>
      <c r="J2746" s="14"/>
      <c r="K2746" s="14"/>
      <c r="L2746" s="15"/>
      <c r="M2746" s="15"/>
      <c r="N2746" s="15"/>
      <c r="O2746" s="15"/>
      <c r="P2746" s="15"/>
      <c r="Q2746" s="14"/>
      <c r="R2746" s="14"/>
      <c r="S2746" s="14"/>
      <c r="T2746" s="14"/>
      <c r="U2746" s="15"/>
      <c r="V2746" s="14"/>
      <c r="W2746" s="14"/>
      <c r="X2746" s="14"/>
      <c r="Y2746" s="14"/>
      <c r="Z2746" s="14"/>
    </row>
    <row r="2747" spans="1:26" ht="13.2">
      <c r="A2747" s="13"/>
      <c r="B2747" s="14"/>
      <c r="C2747" s="14"/>
      <c r="D2747" s="14"/>
      <c r="E2747" s="14"/>
      <c r="F2747" s="14"/>
      <c r="G2747" s="14"/>
      <c r="H2747" s="14"/>
      <c r="I2747" s="14"/>
      <c r="J2747" s="14"/>
      <c r="K2747" s="14"/>
      <c r="L2747" s="15"/>
      <c r="M2747" s="15"/>
      <c r="N2747" s="15"/>
      <c r="O2747" s="15"/>
      <c r="P2747" s="15"/>
      <c r="Q2747" s="14"/>
      <c r="R2747" s="14"/>
      <c r="S2747" s="14"/>
      <c r="T2747" s="14"/>
      <c r="U2747" s="15"/>
      <c r="V2747" s="14"/>
      <c r="W2747" s="14"/>
      <c r="X2747" s="14"/>
      <c r="Y2747" s="14"/>
      <c r="Z2747" s="14"/>
    </row>
    <row r="2748" spans="1:26" ht="13.2">
      <c r="A2748" s="13"/>
      <c r="B2748" s="14"/>
      <c r="C2748" s="14"/>
      <c r="D2748" s="14"/>
      <c r="E2748" s="14"/>
      <c r="F2748" s="14"/>
      <c r="G2748" s="14"/>
      <c r="H2748" s="14"/>
      <c r="I2748" s="14"/>
      <c r="J2748" s="14"/>
      <c r="K2748" s="14"/>
      <c r="L2748" s="15"/>
      <c r="M2748" s="15"/>
      <c r="N2748" s="15"/>
      <c r="O2748" s="15"/>
      <c r="P2748" s="15"/>
      <c r="Q2748" s="14"/>
      <c r="R2748" s="14"/>
      <c r="S2748" s="14"/>
      <c r="T2748" s="14"/>
      <c r="U2748" s="15"/>
      <c r="V2748" s="14"/>
      <c r="W2748" s="14"/>
      <c r="X2748" s="14"/>
      <c r="Y2748" s="14"/>
      <c r="Z2748" s="14"/>
    </row>
    <row r="2749" spans="1:26" ht="13.2">
      <c r="A2749" s="13"/>
      <c r="B2749" s="14"/>
      <c r="C2749" s="14"/>
      <c r="D2749" s="14"/>
      <c r="E2749" s="14"/>
      <c r="F2749" s="14"/>
      <c r="G2749" s="14"/>
      <c r="H2749" s="14"/>
      <c r="I2749" s="14"/>
      <c r="J2749" s="14"/>
      <c r="K2749" s="14"/>
      <c r="L2749" s="15"/>
      <c r="M2749" s="15"/>
      <c r="N2749" s="15"/>
      <c r="O2749" s="15"/>
      <c r="P2749" s="15"/>
      <c r="Q2749" s="14"/>
      <c r="R2749" s="14"/>
      <c r="S2749" s="14"/>
      <c r="T2749" s="14"/>
      <c r="U2749" s="15"/>
      <c r="V2749" s="14"/>
      <c r="W2749" s="14"/>
      <c r="X2749" s="14"/>
      <c r="Y2749" s="14"/>
      <c r="Z2749" s="14"/>
    </row>
    <row r="2750" spans="1:26" ht="13.2">
      <c r="A2750" s="13"/>
      <c r="B2750" s="14"/>
      <c r="C2750" s="14"/>
      <c r="D2750" s="14"/>
      <c r="E2750" s="14"/>
      <c r="F2750" s="14"/>
      <c r="G2750" s="14"/>
      <c r="H2750" s="14"/>
      <c r="I2750" s="14"/>
      <c r="J2750" s="14"/>
      <c r="K2750" s="14"/>
      <c r="L2750" s="15"/>
      <c r="M2750" s="15"/>
      <c r="N2750" s="15"/>
      <c r="O2750" s="15"/>
      <c r="P2750" s="15"/>
      <c r="Q2750" s="14"/>
      <c r="R2750" s="14"/>
      <c r="S2750" s="14"/>
      <c r="T2750" s="14"/>
      <c r="U2750" s="15"/>
      <c r="V2750" s="14"/>
      <c r="W2750" s="14"/>
      <c r="X2750" s="14"/>
      <c r="Y2750" s="14"/>
      <c r="Z2750" s="14"/>
    </row>
    <row r="2751" spans="1:26" ht="13.2">
      <c r="A2751" s="13"/>
      <c r="B2751" s="14"/>
      <c r="C2751" s="14"/>
      <c r="D2751" s="14"/>
      <c r="E2751" s="14"/>
      <c r="F2751" s="14"/>
      <c r="G2751" s="14"/>
      <c r="H2751" s="14"/>
      <c r="I2751" s="14"/>
      <c r="J2751" s="14"/>
      <c r="K2751" s="14"/>
      <c r="L2751" s="15"/>
      <c r="M2751" s="15"/>
      <c r="N2751" s="15"/>
      <c r="O2751" s="15"/>
      <c r="P2751" s="15"/>
      <c r="Q2751" s="14"/>
      <c r="R2751" s="14"/>
      <c r="S2751" s="14"/>
      <c r="T2751" s="14"/>
      <c r="U2751" s="15"/>
      <c r="V2751" s="14"/>
      <c r="W2751" s="14"/>
      <c r="X2751" s="14"/>
      <c r="Y2751" s="14"/>
      <c r="Z2751" s="14"/>
    </row>
    <row r="2752" spans="1:26" ht="13.2">
      <c r="A2752" s="13"/>
      <c r="B2752" s="14"/>
      <c r="C2752" s="14"/>
      <c r="D2752" s="14"/>
      <c r="E2752" s="14"/>
      <c r="F2752" s="14"/>
      <c r="G2752" s="14"/>
      <c r="H2752" s="14"/>
      <c r="I2752" s="14"/>
      <c r="J2752" s="14"/>
      <c r="K2752" s="14"/>
      <c r="L2752" s="15"/>
      <c r="M2752" s="15"/>
      <c r="N2752" s="15"/>
      <c r="O2752" s="15"/>
      <c r="P2752" s="15"/>
      <c r="Q2752" s="14"/>
      <c r="R2752" s="14"/>
      <c r="S2752" s="14"/>
      <c r="T2752" s="14"/>
      <c r="U2752" s="15"/>
      <c r="V2752" s="14"/>
      <c r="W2752" s="14"/>
      <c r="X2752" s="14"/>
      <c r="Y2752" s="14"/>
      <c r="Z2752" s="14"/>
    </row>
    <row r="2753" spans="1:26" ht="13.2">
      <c r="A2753" s="13"/>
      <c r="B2753" s="14"/>
      <c r="C2753" s="14"/>
      <c r="D2753" s="14"/>
      <c r="E2753" s="14"/>
      <c r="F2753" s="14"/>
      <c r="G2753" s="14"/>
      <c r="H2753" s="14"/>
      <c r="I2753" s="14"/>
      <c r="J2753" s="14"/>
      <c r="K2753" s="14"/>
      <c r="L2753" s="15"/>
      <c r="M2753" s="15"/>
      <c r="N2753" s="15"/>
      <c r="O2753" s="15"/>
      <c r="P2753" s="15"/>
      <c r="Q2753" s="14"/>
      <c r="R2753" s="14"/>
      <c r="S2753" s="14"/>
      <c r="T2753" s="14"/>
      <c r="U2753" s="15"/>
      <c r="V2753" s="14"/>
      <c r="W2753" s="14"/>
      <c r="X2753" s="14"/>
      <c r="Y2753" s="14"/>
      <c r="Z2753" s="14"/>
    </row>
    <row r="2754" spans="1:26" ht="13.2">
      <c r="A2754" s="13"/>
      <c r="B2754" s="14"/>
      <c r="C2754" s="14"/>
      <c r="D2754" s="14"/>
      <c r="E2754" s="14"/>
      <c r="F2754" s="14"/>
      <c r="G2754" s="14"/>
      <c r="H2754" s="14"/>
      <c r="I2754" s="14"/>
      <c r="J2754" s="14"/>
      <c r="K2754" s="14"/>
      <c r="L2754" s="15"/>
      <c r="M2754" s="15"/>
      <c r="N2754" s="15"/>
      <c r="O2754" s="15"/>
      <c r="P2754" s="15"/>
      <c r="Q2754" s="14"/>
      <c r="R2754" s="14"/>
      <c r="S2754" s="14"/>
      <c r="T2754" s="14"/>
      <c r="U2754" s="15"/>
      <c r="V2754" s="14"/>
      <c r="W2754" s="14"/>
      <c r="X2754" s="14"/>
      <c r="Y2754" s="14"/>
      <c r="Z2754" s="14"/>
    </row>
    <row r="2755" spans="1:26" ht="13.2">
      <c r="A2755" s="13"/>
      <c r="B2755" s="14"/>
      <c r="C2755" s="14"/>
      <c r="D2755" s="14"/>
      <c r="E2755" s="14"/>
      <c r="F2755" s="14"/>
      <c r="G2755" s="14"/>
      <c r="H2755" s="14"/>
      <c r="I2755" s="14"/>
      <c r="J2755" s="14"/>
      <c r="K2755" s="14"/>
      <c r="L2755" s="15"/>
      <c r="M2755" s="15"/>
      <c r="N2755" s="15"/>
      <c r="O2755" s="15"/>
      <c r="P2755" s="15"/>
      <c r="Q2755" s="14"/>
      <c r="R2755" s="14"/>
      <c r="S2755" s="14"/>
      <c r="T2755" s="14"/>
      <c r="U2755" s="15"/>
      <c r="V2755" s="14"/>
      <c r="W2755" s="14"/>
      <c r="X2755" s="14"/>
      <c r="Y2755" s="14"/>
      <c r="Z2755" s="14"/>
    </row>
    <row r="2756" spans="1:26" ht="13.2">
      <c r="A2756" s="13"/>
      <c r="B2756" s="14"/>
      <c r="C2756" s="14"/>
      <c r="D2756" s="14"/>
      <c r="E2756" s="14"/>
      <c r="F2756" s="14"/>
      <c r="G2756" s="14"/>
      <c r="H2756" s="14"/>
      <c r="I2756" s="14"/>
      <c r="J2756" s="14"/>
      <c r="K2756" s="14"/>
      <c r="L2756" s="15"/>
      <c r="M2756" s="15"/>
      <c r="N2756" s="15"/>
      <c r="O2756" s="15"/>
      <c r="P2756" s="15"/>
      <c r="Q2756" s="14"/>
      <c r="R2756" s="14"/>
      <c r="S2756" s="14"/>
      <c r="T2756" s="14"/>
      <c r="U2756" s="15"/>
      <c r="V2756" s="14"/>
      <c r="W2756" s="14"/>
      <c r="X2756" s="14"/>
      <c r="Y2756" s="14"/>
      <c r="Z2756" s="14"/>
    </row>
    <row r="2757" spans="1:26" ht="13.2">
      <c r="A2757" s="13"/>
      <c r="B2757" s="14"/>
      <c r="C2757" s="14"/>
      <c r="D2757" s="14"/>
      <c r="E2757" s="14"/>
      <c r="F2757" s="14"/>
      <c r="G2757" s="14"/>
      <c r="H2757" s="14"/>
      <c r="I2757" s="14"/>
      <c r="J2757" s="14"/>
      <c r="K2757" s="14"/>
      <c r="L2757" s="15"/>
      <c r="M2757" s="15"/>
      <c r="N2757" s="15"/>
      <c r="O2757" s="15"/>
      <c r="P2757" s="15"/>
      <c r="Q2757" s="14"/>
      <c r="R2757" s="14"/>
      <c r="S2757" s="14"/>
      <c r="T2757" s="14"/>
      <c r="U2757" s="15"/>
      <c r="V2757" s="14"/>
      <c r="W2757" s="14"/>
      <c r="X2757" s="14"/>
      <c r="Y2757" s="14"/>
      <c r="Z2757" s="14"/>
    </row>
    <row r="2758" spans="1:26" ht="13.2">
      <c r="A2758" s="13"/>
      <c r="B2758" s="14"/>
      <c r="C2758" s="14"/>
      <c r="D2758" s="14"/>
      <c r="E2758" s="14"/>
      <c r="F2758" s="14"/>
      <c r="G2758" s="14"/>
      <c r="H2758" s="14"/>
      <c r="I2758" s="14"/>
      <c r="J2758" s="14"/>
      <c r="K2758" s="14"/>
      <c r="L2758" s="15"/>
      <c r="M2758" s="15"/>
      <c r="N2758" s="15"/>
      <c r="O2758" s="15"/>
      <c r="P2758" s="15"/>
      <c r="Q2758" s="14"/>
      <c r="R2758" s="14"/>
      <c r="S2758" s="14"/>
      <c r="T2758" s="14"/>
      <c r="U2758" s="15"/>
      <c r="V2758" s="14"/>
      <c r="W2758" s="14"/>
      <c r="X2758" s="14"/>
      <c r="Y2758" s="14"/>
      <c r="Z2758" s="14"/>
    </row>
    <row r="2759" spans="1:26" ht="13.2">
      <c r="A2759" s="13"/>
      <c r="B2759" s="14"/>
      <c r="C2759" s="14"/>
      <c r="D2759" s="14"/>
      <c r="E2759" s="14"/>
      <c r="F2759" s="14"/>
      <c r="G2759" s="14"/>
      <c r="H2759" s="14"/>
      <c r="I2759" s="14"/>
      <c r="J2759" s="14"/>
      <c r="K2759" s="14"/>
      <c r="L2759" s="15"/>
      <c r="M2759" s="15"/>
      <c r="N2759" s="15"/>
      <c r="O2759" s="15"/>
      <c r="P2759" s="15"/>
      <c r="Q2759" s="14"/>
      <c r="R2759" s="14"/>
      <c r="S2759" s="14"/>
      <c r="T2759" s="14"/>
      <c r="U2759" s="15"/>
      <c r="V2759" s="14"/>
      <c r="W2759" s="14"/>
      <c r="X2759" s="14"/>
      <c r="Y2759" s="14"/>
      <c r="Z2759" s="14"/>
    </row>
    <row r="2760" spans="1:26" ht="13.2">
      <c r="A2760" s="13"/>
      <c r="B2760" s="14"/>
      <c r="C2760" s="14"/>
      <c r="D2760" s="14"/>
      <c r="E2760" s="14"/>
      <c r="F2760" s="14"/>
      <c r="G2760" s="14"/>
      <c r="H2760" s="14"/>
      <c r="I2760" s="14"/>
      <c r="J2760" s="14"/>
      <c r="K2760" s="14"/>
      <c r="L2760" s="15"/>
      <c r="M2760" s="15"/>
      <c r="N2760" s="15"/>
      <c r="O2760" s="15"/>
      <c r="P2760" s="15"/>
      <c r="Q2760" s="14"/>
      <c r="R2760" s="14"/>
      <c r="S2760" s="14"/>
      <c r="T2760" s="14"/>
      <c r="U2760" s="15"/>
      <c r="V2760" s="14"/>
      <c r="W2760" s="14"/>
      <c r="X2760" s="14"/>
      <c r="Y2760" s="14"/>
      <c r="Z2760" s="14"/>
    </row>
    <row r="2761" spans="1:26" ht="13.2">
      <c r="A2761" s="13"/>
      <c r="B2761" s="14"/>
      <c r="C2761" s="14"/>
      <c r="D2761" s="14"/>
      <c r="E2761" s="14"/>
      <c r="F2761" s="14"/>
      <c r="G2761" s="14"/>
      <c r="H2761" s="14"/>
      <c r="I2761" s="14"/>
      <c r="J2761" s="14"/>
      <c r="K2761" s="14"/>
      <c r="L2761" s="15"/>
      <c r="M2761" s="15"/>
      <c r="N2761" s="15"/>
      <c r="O2761" s="15"/>
      <c r="P2761" s="15"/>
      <c r="Q2761" s="14"/>
      <c r="R2761" s="14"/>
      <c r="S2761" s="14"/>
      <c r="T2761" s="14"/>
      <c r="U2761" s="15"/>
      <c r="V2761" s="14"/>
      <c r="W2761" s="14"/>
      <c r="X2761" s="14"/>
      <c r="Y2761" s="14"/>
      <c r="Z2761" s="14"/>
    </row>
    <row r="2762" spans="1:26" ht="13.2">
      <c r="A2762" s="13"/>
      <c r="B2762" s="14"/>
      <c r="C2762" s="14"/>
      <c r="D2762" s="14"/>
      <c r="E2762" s="14"/>
      <c r="F2762" s="14"/>
      <c r="G2762" s="14"/>
      <c r="H2762" s="14"/>
      <c r="I2762" s="14"/>
      <c r="J2762" s="14"/>
      <c r="K2762" s="14"/>
      <c r="L2762" s="15"/>
      <c r="M2762" s="15"/>
      <c r="N2762" s="15"/>
      <c r="O2762" s="15"/>
      <c r="P2762" s="15"/>
      <c r="Q2762" s="14"/>
      <c r="R2762" s="14"/>
      <c r="S2762" s="14"/>
      <c r="T2762" s="14"/>
      <c r="U2762" s="15"/>
      <c r="V2762" s="14"/>
      <c r="W2762" s="14"/>
      <c r="X2762" s="14"/>
      <c r="Y2762" s="14"/>
      <c r="Z2762" s="14"/>
    </row>
    <row r="2763" spans="1:26" ht="13.2">
      <c r="A2763" s="13"/>
      <c r="B2763" s="14"/>
      <c r="C2763" s="14"/>
      <c r="D2763" s="14"/>
      <c r="E2763" s="14"/>
      <c r="F2763" s="14"/>
      <c r="G2763" s="14"/>
      <c r="H2763" s="14"/>
      <c r="I2763" s="14"/>
      <c r="J2763" s="14"/>
      <c r="K2763" s="14"/>
      <c r="L2763" s="15"/>
      <c r="M2763" s="15"/>
      <c r="N2763" s="15"/>
      <c r="O2763" s="15"/>
      <c r="P2763" s="15"/>
      <c r="Q2763" s="14"/>
      <c r="R2763" s="14"/>
      <c r="S2763" s="14"/>
      <c r="T2763" s="14"/>
      <c r="U2763" s="15"/>
      <c r="V2763" s="14"/>
      <c r="W2763" s="14"/>
      <c r="X2763" s="14"/>
      <c r="Y2763" s="14"/>
      <c r="Z2763" s="14"/>
    </row>
    <row r="2764" spans="1:26" ht="13.2">
      <c r="A2764" s="13"/>
      <c r="B2764" s="14"/>
      <c r="C2764" s="14"/>
      <c r="D2764" s="14"/>
      <c r="E2764" s="14"/>
      <c r="F2764" s="14"/>
      <c r="G2764" s="14"/>
      <c r="H2764" s="14"/>
      <c r="I2764" s="14"/>
      <c r="J2764" s="14"/>
      <c r="K2764" s="14"/>
      <c r="L2764" s="15"/>
      <c r="M2764" s="15"/>
      <c r="N2764" s="15"/>
      <c r="O2764" s="15"/>
      <c r="P2764" s="15"/>
      <c r="Q2764" s="14"/>
      <c r="R2764" s="14"/>
      <c r="S2764" s="14"/>
      <c r="T2764" s="14"/>
      <c r="U2764" s="15"/>
      <c r="V2764" s="14"/>
      <c r="W2764" s="14"/>
      <c r="X2764" s="14"/>
      <c r="Y2764" s="14"/>
      <c r="Z2764" s="14"/>
    </row>
    <row r="2765" spans="1:26" ht="13.2">
      <c r="A2765" s="13"/>
      <c r="B2765" s="14"/>
      <c r="C2765" s="14"/>
      <c r="D2765" s="14"/>
      <c r="E2765" s="14"/>
      <c r="F2765" s="14"/>
      <c r="G2765" s="14"/>
      <c r="H2765" s="14"/>
      <c r="I2765" s="14"/>
      <c r="J2765" s="14"/>
      <c r="K2765" s="14"/>
      <c r="L2765" s="15"/>
      <c r="M2765" s="15"/>
      <c r="N2765" s="15"/>
      <c r="O2765" s="15"/>
      <c r="P2765" s="15"/>
      <c r="Q2765" s="14"/>
      <c r="R2765" s="14"/>
      <c r="S2765" s="14"/>
      <c r="T2765" s="14"/>
      <c r="U2765" s="15"/>
      <c r="V2765" s="14"/>
      <c r="W2765" s="14"/>
      <c r="X2765" s="14"/>
      <c r="Y2765" s="14"/>
      <c r="Z2765" s="14"/>
    </row>
    <row r="2766" spans="1:26" ht="13.2">
      <c r="A2766" s="13"/>
      <c r="B2766" s="14"/>
      <c r="C2766" s="14"/>
      <c r="D2766" s="14"/>
      <c r="E2766" s="14"/>
      <c r="F2766" s="14"/>
      <c r="G2766" s="14"/>
      <c r="H2766" s="14"/>
      <c r="I2766" s="14"/>
      <c r="J2766" s="14"/>
      <c r="K2766" s="14"/>
      <c r="L2766" s="15"/>
      <c r="M2766" s="15"/>
      <c r="N2766" s="15"/>
      <c r="O2766" s="15"/>
      <c r="P2766" s="15"/>
      <c r="Q2766" s="14"/>
      <c r="R2766" s="14"/>
      <c r="S2766" s="14"/>
      <c r="T2766" s="14"/>
      <c r="U2766" s="15"/>
      <c r="V2766" s="14"/>
      <c r="W2766" s="14"/>
      <c r="X2766" s="14"/>
      <c r="Y2766" s="14"/>
      <c r="Z2766" s="14"/>
    </row>
    <row r="2767" spans="1:26" ht="13.2">
      <c r="A2767" s="13"/>
      <c r="B2767" s="14"/>
      <c r="C2767" s="14"/>
      <c r="D2767" s="14"/>
      <c r="E2767" s="14"/>
      <c r="F2767" s="14"/>
      <c r="G2767" s="14"/>
      <c r="H2767" s="14"/>
      <c r="I2767" s="14"/>
      <c r="J2767" s="14"/>
      <c r="K2767" s="14"/>
      <c r="L2767" s="15"/>
      <c r="M2767" s="15"/>
      <c r="N2767" s="15"/>
      <c r="O2767" s="15"/>
      <c r="P2767" s="15"/>
      <c r="Q2767" s="14"/>
      <c r="R2767" s="14"/>
      <c r="S2767" s="14"/>
      <c r="T2767" s="14"/>
      <c r="U2767" s="15"/>
      <c r="V2767" s="14"/>
      <c r="W2767" s="14"/>
      <c r="X2767" s="14"/>
      <c r="Y2767" s="14"/>
      <c r="Z2767" s="14"/>
    </row>
    <row r="2768" spans="1:26" ht="13.2">
      <c r="A2768" s="13"/>
      <c r="B2768" s="14"/>
      <c r="C2768" s="14"/>
      <c r="D2768" s="14"/>
      <c r="E2768" s="14"/>
      <c r="F2768" s="14"/>
      <c r="G2768" s="14"/>
      <c r="H2768" s="14"/>
      <c r="I2768" s="14"/>
      <c r="J2768" s="14"/>
      <c r="K2768" s="14"/>
      <c r="L2768" s="15"/>
      <c r="M2768" s="15"/>
      <c r="N2768" s="15"/>
      <c r="O2768" s="15"/>
      <c r="P2768" s="15"/>
      <c r="Q2768" s="14"/>
      <c r="R2768" s="14"/>
      <c r="S2768" s="14"/>
      <c r="T2768" s="14"/>
      <c r="U2768" s="15"/>
      <c r="V2768" s="14"/>
      <c r="W2768" s="14"/>
      <c r="X2768" s="14"/>
      <c r="Y2768" s="14"/>
      <c r="Z2768" s="14"/>
    </row>
    <row r="2769" spans="1:26" ht="13.2">
      <c r="A2769" s="13"/>
      <c r="B2769" s="14"/>
      <c r="C2769" s="14"/>
      <c r="D2769" s="14"/>
      <c r="E2769" s="14"/>
      <c r="F2769" s="14"/>
      <c r="G2769" s="14"/>
      <c r="H2769" s="14"/>
      <c r="I2769" s="14"/>
      <c r="J2769" s="14"/>
      <c r="K2769" s="14"/>
      <c r="L2769" s="15"/>
      <c r="M2769" s="15"/>
      <c r="N2769" s="15"/>
      <c r="O2769" s="15"/>
      <c r="P2769" s="15"/>
      <c r="Q2769" s="14"/>
      <c r="R2769" s="14"/>
      <c r="S2769" s="14"/>
      <c r="T2769" s="14"/>
      <c r="U2769" s="15"/>
      <c r="V2769" s="14"/>
      <c r="W2769" s="14"/>
      <c r="X2769" s="14"/>
      <c r="Y2769" s="14"/>
      <c r="Z2769" s="14"/>
    </row>
    <row r="2770" spans="1:26" ht="13.2">
      <c r="A2770" s="13"/>
      <c r="B2770" s="14"/>
      <c r="C2770" s="14"/>
      <c r="D2770" s="14"/>
      <c r="E2770" s="14"/>
      <c r="F2770" s="14"/>
      <c r="G2770" s="14"/>
      <c r="H2770" s="14"/>
      <c r="I2770" s="14"/>
      <c r="J2770" s="14"/>
      <c r="K2770" s="14"/>
      <c r="L2770" s="15"/>
      <c r="M2770" s="15"/>
      <c r="N2770" s="15"/>
      <c r="O2770" s="15"/>
      <c r="P2770" s="15"/>
      <c r="Q2770" s="14"/>
      <c r="R2770" s="14"/>
      <c r="S2770" s="14"/>
      <c r="T2770" s="14"/>
      <c r="U2770" s="15"/>
      <c r="V2770" s="14"/>
      <c r="W2770" s="14"/>
      <c r="X2770" s="14"/>
      <c r="Y2770" s="14"/>
      <c r="Z2770" s="14"/>
    </row>
    <row r="2771" spans="1:26" ht="13.2">
      <c r="A2771" s="13"/>
      <c r="B2771" s="14"/>
      <c r="C2771" s="14"/>
      <c r="D2771" s="14"/>
      <c r="E2771" s="14"/>
      <c r="F2771" s="14"/>
      <c r="G2771" s="14"/>
      <c r="H2771" s="14"/>
      <c r="I2771" s="14"/>
      <c r="J2771" s="14"/>
      <c r="K2771" s="14"/>
      <c r="L2771" s="15"/>
      <c r="M2771" s="15"/>
      <c r="N2771" s="15"/>
      <c r="O2771" s="15"/>
      <c r="P2771" s="15"/>
      <c r="Q2771" s="14"/>
      <c r="R2771" s="14"/>
      <c r="S2771" s="14"/>
      <c r="T2771" s="14"/>
      <c r="U2771" s="15"/>
      <c r="V2771" s="14"/>
      <c r="W2771" s="14"/>
      <c r="X2771" s="14"/>
      <c r="Y2771" s="14"/>
      <c r="Z2771" s="14"/>
    </row>
    <row r="2772" spans="1:26" ht="13.2">
      <c r="A2772" s="13"/>
      <c r="B2772" s="14"/>
      <c r="C2772" s="14"/>
      <c r="D2772" s="14"/>
      <c r="E2772" s="14"/>
      <c r="F2772" s="14"/>
      <c r="G2772" s="14"/>
      <c r="H2772" s="14"/>
      <c r="I2772" s="14"/>
      <c r="J2772" s="14"/>
      <c r="K2772" s="14"/>
      <c r="L2772" s="15"/>
      <c r="M2772" s="15"/>
      <c r="N2772" s="15"/>
      <c r="O2772" s="15"/>
      <c r="P2772" s="15"/>
      <c r="Q2772" s="14"/>
      <c r="R2772" s="14"/>
      <c r="S2772" s="14"/>
      <c r="T2772" s="14"/>
      <c r="U2772" s="15"/>
      <c r="V2772" s="14"/>
      <c r="W2772" s="14"/>
      <c r="X2772" s="14"/>
      <c r="Y2772" s="14"/>
      <c r="Z2772" s="14"/>
    </row>
    <row r="2773" spans="1:26" ht="13.2">
      <c r="A2773" s="13"/>
      <c r="B2773" s="14"/>
      <c r="C2773" s="14"/>
      <c r="D2773" s="14"/>
      <c r="E2773" s="14"/>
      <c r="F2773" s="14"/>
      <c r="G2773" s="14"/>
      <c r="H2773" s="14"/>
      <c r="I2773" s="14"/>
      <c r="J2773" s="14"/>
      <c r="K2773" s="14"/>
      <c r="L2773" s="15"/>
      <c r="M2773" s="15"/>
      <c r="N2773" s="15"/>
      <c r="O2773" s="15"/>
      <c r="P2773" s="15"/>
      <c r="Q2773" s="14"/>
      <c r="R2773" s="14"/>
      <c r="S2773" s="14"/>
      <c r="T2773" s="14"/>
      <c r="U2773" s="15"/>
      <c r="V2773" s="14"/>
      <c r="W2773" s="14"/>
      <c r="X2773" s="14"/>
      <c r="Y2773" s="14"/>
      <c r="Z2773" s="14"/>
    </row>
    <row r="2774" spans="1:26" ht="13.2">
      <c r="A2774" s="13"/>
      <c r="B2774" s="14"/>
      <c r="C2774" s="14"/>
      <c r="D2774" s="14"/>
      <c r="E2774" s="14"/>
      <c r="F2774" s="14"/>
      <c r="G2774" s="14"/>
      <c r="H2774" s="14"/>
      <c r="I2774" s="14"/>
      <c r="J2774" s="14"/>
      <c r="K2774" s="14"/>
      <c r="L2774" s="15"/>
      <c r="M2774" s="15"/>
      <c r="N2774" s="15"/>
      <c r="O2774" s="15"/>
      <c r="P2774" s="15"/>
      <c r="Q2774" s="14"/>
      <c r="R2774" s="14"/>
      <c r="S2774" s="14"/>
      <c r="T2774" s="14"/>
      <c r="U2774" s="15"/>
      <c r="V2774" s="14"/>
      <c r="W2774" s="14"/>
      <c r="X2774" s="14"/>
      <c r="Y2774" s="14"/>
      <c r="Z2774" s="14"/>
    </row>
    <row r="2775" spans="1:26" ht="13.2">
      <c r="A2775" s="13"/>
      <c r="B2775" s="14"/>
      <c r="C2775" s="14"/>
      <c r="D2775" s="14"/>
      <c r="E2775" s="14"/>
      <c r="F2775" s="14"/>
      <c r="G2775" s="14"/>
      <c r="H2775" s="14"/>
      <c r="I2775" s="14"/>
      <c r="J2775" s="14"/>
      <c r="K2775" s="14"/>
      <c r="L2775" s="15"/>
      <c r="M2775" s="15"/>
      <c r="N2775" s="15"/>
      <c r="O2775" s="15"/>
      <c r="P2775" s="15"/>
      <c r="Q2775" s="14"/>
      <c r="R2775" s="14"/>
      <c r="S2775" s="14"/>
      <c r="T2775" s="14"/>
      <c r="U2775" s="15"/>
      <c r="V2775" s="14"/>
      <c r="W2775" s="14"/>
      <c r="X2775" s="14"/>
      <c r="Y2775" s="14"/>
      <c r="Z2775" s="14"/>
    </row>
    <row r="2776" spans="1:26" ht="13.2">
      <c r="A2776" s="13"/>
      <c r="B2776" s="14"/>
      <c r="C2776" s="14"/>
      <c r="D2776" s="14"/>
      <c r="E2776" s="14"/>
      <c r="F2776" s="14"/>
      <c r="G2776" s="14"/>
      <c r="H2776" s="14"/>
      <c r="I2776" s="14"/>
      <c r="J2776" s="14"/>
      <c r="K2776" s="14"/>
      <c r="L2776" s="15"/>
      <c r="M2776" s="15"/>
      <c r="N2776" s="15"/>
      <c r="O2776" s="15"/>
      <c r="P2776" s="15"/>
      <c r="Q2776" s="14"/>
      <c r="R2776" s="14"/>
      <c r="S2776" s="14"/>
      <c r="T2776" s="14"/>
      <c r="U2776" s="15"/>
      <c r="V2776" s="14"/>
      <c r="W2776" s="14"/>
      <c r="X2776" s="14"/>
      <c r="Y2776" s="14"/>
      <c r="Z2776" s="14"/>
    </row>
    <row r="2777" spans="1:26" ht="13.2">
      <c r="A2777" s="13"/>
      <c r="B2777" s="14"/>
      <c r="C2777" s="14"/>
      <c r="D2777" s="14"/>
      <c r="E2777" s="14"/>
      <c r="F2777" s="14"/>
      <c r="G2777" s="14"/>
      <c r="H2777" s="14"/>
      <c r="I2777" s="14"/>
      <c r="J2777" s="14"/>
      <c r="K2777" s="14"/>
      <c r="L2777" s="15"/>
      <c r="M2777" s="15"/>
      <c r="N2777" s="15"/>
      <c r="O2777" s="15"/>
      <c r="P2777" s="15"/>
      <c r="Q2777" s="14"/>
      <c r="R2777" s="14"/>
      <c r="S2777" s="14"/>
      <c r="T2777" s="14"/>
      <c r="U2777" s="15"/>
      <c r="V2777" s="14"/>
      <c r="W2777" s="14"/>
      <c r="X2777" s="14"/>
      <c r="Y2777" s="14"/>
      <c r="Z2777" s="14"/>
    </row>
    <row r="2778" spans="1:26" ht="13.2">
      <c r="A2778" s="13"/>
      <c r="B2778" s="14"/>
      <c r="C2778" s="14"/>
      <c r="D2778" s="14"/>
      <c r="E2778" s="14"/>
      <c r="F2778" s="14"/>
      <c r="G2778" s="14"/>
      <c r="H2778" s="14"/>
      <c r="I2778" s="14"/>
      <c r="J2778" s="14"/>
      <c r="K2778" s="14"/>
      <c r="L2778" s="15"/>
      <c r="M2778" s="15"/>
      <c r="N2778" s="15"/>
      <c r="O2778" s="15"/>
      <c r="P2778" s="15"/>
      <c r="Q2778" s="14"/>
      <c r="R2778" s="14"/>
      <c r="S2778" s="14"/>
      <c r="T2778" s="14"/>
      <c r="U2778" s="15"/>
      <c r="V2778" s="14"/>
      <c r="W2778" s="14"/>
      <c r="X2778" s="14"/>
      <c r="Y2778" s="14"/>
      <c r="Z2778" s="14"/>
    </row>
    <row r="2779" spans="1:26" ht="13.2">
      <c r="A2779" s="13"/>
      <c r="B2779" s="14"/>
      <c r="C2779" s="14"/>
      <c r="D2779" s="14"/>
      <c r="E2779" s="14"/>
      <c r="F2779" s="14"/>
      <c r="G2779" s="14"/>
      <c r="H2779" s="14"/>
      <c r="I2779" s="14"/>
      <c r="J2779" s="14"/>
      <c r="K2779" s="14"/>
      <c r="L2779" s="15"/>
      <c r="M2779" s="15"/>
      <c r="N2779" s="15"/>
      <c r="O2779" s="15"/>
      <c r="P2779" s="15"/>
      <c r="Q2779" s="14"/>
      <c r="R2779" s="14"/>
      <c r="S2779" s="14"/>
      <c r="T2779" s="14"/>
      <c r="U2779" s="15"/>
      <c r="V2779" s="14"/>
      <c r="W2779" s="14"/>
      <c r="X2779" s="14"/>
      <c r="Y2779" s="14"/>
      <c r="Z2779" s="14"/>
    </row>
    <row r="2780" spans="1:26" ht="13.2">
      <c r="A2780" s="13"/>
      <c r="B2780" s="14"/>
      <c r="C2780" s="14"/>
      <c r="D2780" s="14"/>
      <c r="E2780" s="14"/>
      <c r="F2780" s="14"/>
      <c r="G2780" s="14"/>
      <c r="H2780" s="14"/>
      <c r="I2780" s="14"/>
      <c r="J2780" s="14"/>
      <c r="K2780" s="14"/>
      <c r="L2780" s="15"/>
      <c r="M2780" s="15"/>
      <c r="N2780" s="15"/>
      <c r="O2780" s="15"/>
      <c r="P2780" s="15"/>
      <c r="Q2780" s="14"/>
      <c r="R2780" s="14"/>
      <c r="S2780" s="14"/>
      <c r="T2780" s="14"/>
      <c r="U2780" s="15"/>
      <c r="V2780" s="14"/>
      <c r="W2780" s="14"/>
      <c r="X2780" s="14"/>
      <c r="Y2780" s="14"/>
      <c r="Z2780" s="14"/>
    </row>
    <row r="2781" spans="1:26" ht="13.2">
      <c r="A2781" s="13"/>
      <c r="B2781" s="14"/>
      <c r="C2781" s="14"/>
      <c r="D2781" s="14"/>
      <c r="E2781" s="14"/>
      <c r="F2781" s="14"/>
      <c r="G2781" s="14"/>
      <c r="H2781" s="14"/>
      <c r="I2781" s="14"/>
      <c r="J2781" s="14"/>
      <c r="K2781" s="14"/>
      <c r="L2781" s="15"/>
      <c r="M2781" s="15"/>
      <c r="N2781" s="15"/>
      <c r="O2781" s="15"/>
      <c r="P2781" s="15"/>
      <c r="Q2781" s="14"/>
      <c r="R2781" s="14"/>
      <c r="S2781" s="14"/>
      <c r="T2781" s="14"/>
      <c r="U2781" s="15"/>
      <c r="V2781" s="14"/>
      <c r="W2781" s="14"/>
      <c r="X2781" s="14"/>
      <c r="Y2781" s="14"/>
      <c r="Z2781" s="14"/>
    </row>
    <row r="2782" spans="1:26" ht="13.2">
      <c r="A2782" s="13"/>
      <c r="B2782" s="14"/>
      <c r="C2782" s="14"/>
      <c r="D2782" s="14"/>
      <c r="E2782" s="14"/>
      <c r="F2782" s="14"/>
      <c r="G2782" s="14"/>
      <c r="H2782" s="14"/>
      <c r="I2782" s="14"/>
      <c r="J2782" s="14"/>
      <c r="K2782" s="14"/>
      <c r="L2782" s="15"/>
      <c r="M2782" s="15"/>
      <c r="N2782" s="15"/>
      <c r="O2782" s="15"/>
      <c r="P2782" s="15"/>
      <c r="Q2782" s="14"/>
      <c r="R2782" s="14"/>
      <c r="S2782" s="14"/>
      <c r="T2782" s="14"/>
      <c r="U2782" s="15"/>
      <c r="V2782" s="14"/>
      <c r="W2782" s="14"/>
      <c r="X2782" s="14"/>
      <c r="Y2782" s="14"/>
      <c r="Z2782" s="14"/>
    </row>
    <row r="2783" spans="1:26" ht="13.2">
      <c r="A2783" s="13"/>
      <c r="B2783" s="14"/>
      <c r="C2783" s="14"/>
      <c r="D2783" s="14"/>
      <c r="E2783" s="14"/>
      <c r="F2783" s="14"/>
      <c r="G2783" s="14"/>
      <c r="H2783" s="14"/>
      <c r="I2783" s="14"/>
      <c r="J2783" s="14"/>
      <c r="K2783" s="14"/>
      <c r="L2783" s="15"/>
      <c r="M2783" s="15"/>
      <c r="N2783" s="15"/>
      <c r="O2783" s="15"/>
      <c r="P2783" s="15"/>
      <c r="Q2783" s="14"/>
      <c r="R2783" s="14"/>
      <c r="S2783" s="14"/>
      <c r="T2783" s="14"/>
      <c r="U2783" s="15"/>
      <c r="V2783" s="14"/>
      <c r="W2783" s="14"/>
      <c r="X2783" s="14"/>
      <c r="Y2783" s="14"/>
      <c r="Z2783" s="14"/>
    </row>
    <row r="2784" spans="1:26" ht="13.2">
      <c r="A2784" s="13"/>
      <c r="B2784" s="14"/>
      <c r="C2784" s="14"/>
      <c r="D2784" s="14"/>
      <c r="E2784" s="14"/>
      <c r="F2784" s="14"/>
      <c r="G2784" s="14"/>
      <c r="H2784" s="14"/>
      <c r="I2784" s="14"/>
      <c r="J2784" s="14"/>
      <c r="K2784" s="14"/>
      <c r="L2784" s="15"/>
      <c r="M2784" s="15"/>
      <c r="N2784" s="15"/>
      <c r="O2784" s="15"/>
      <c r="P2784" s="15"/>
      <c r="Q2784" s="14"/>
      <c r="R2784" s="14"/>
      <c r="S2784" s="14"/>
      <c r="T2784" s="14"/>
      <c r="U2784" s="15"/>
      <c r="V2784" s="14"/>
      <c r="W2784" s="14"/>
      <c r="X2784" s="14"/>
      <c r="Y2784" s="14"/>
      <c r="Z2784" s="14"/>
    </row>
    <row r="2785" spans="1:26" ht="13.2">
      <c r="A2785" s="13"/>
      <c r="B2785" s="14"/>
      <c r="C2785" s="14"/>
      <c r="D2785" s="14"/>
      <c r="E2785" s="14"/>
      <c r="F2785" s="14"/>
      <c r="G2785" s="14"/>
      <c r="H2785" s="14"/>
      <c r="I2785" s="14"/>
      <c r="J2785" s="14"/>
      <c r="K2785" s="14"/>
      <c r="L2785" s="15"/>
      <c r="M2785" s="15"/>
      <c r="N2785" s="15"/>
      <c r="O2785" s="15"/>
      <c r="P2785" s="15"/>
      <c r="Q2785" s="14"/>
      <c r="R2785" s="14"/>
      <c r="S2785" s="14"/>
      <c r="T2785" s="14"/>
      <c r="U2785" s="15"/>
      <c r="V2785" s="14"/>
      <c r="W2785" s="14"/>
      <c r="X2785" s="14"/>
      <c r="Y2785" s="14"/>
      <c r="Z2785" s="14"/>
    </row>
    <row r="2786" spans="1:26" ht="13.2">
      <c r="A2786" s="13"/>
      <c r="B2786" s="14"/>
      <c r="C2786" s="14"/>
      <c r="D2786" s="14"/>
      <c r="E2786" s="14"/>
      <c r="F2786" s="14"/>
      <c r="G2786" s="14"/>
      <c r="H2786" s="14"/>
      <c r="I2786" s="14"/>
      <c r="J2786" s="14"/>
      <c r="K2786" s="14"/>
      <c r="L2786" s="15"/>
      <c r="M2786" s="15"/>
      <c r="N2786" s="15"/>
      <c r="O2786" s="15"/>
      <c r="P2786" s="15"/>
      <c r="Q2786" s="14"/>
      <c r="R2786" s="14"/>
      <c r="S2786" s="14"/>
      <c r="T2786" s="14"/>
      <c r="U2786" s="15"/>
      <c r="V2786" s="14"/>
      <c r="W2786" s="14"/>
      <c r="X2786" s="14"/>
      <c r="Y2786" s="14"/>
      <c r="Z2786" s="14"/>
    </row>
    <row r="2787" spans="1:26" ht="13.2">
      <c r="A2787" s="13"/>
      <c r="B2787" s="14"/>
      <c r="C2787" s="14"/>
      <c r="D2787" s="14"/>
      <c r="E2787" s="14"/>
      <c r="F2787" s="14"/>
      <c r="G2787" s="14"/>
      <c r="H2787" s="14"/>
      <c r="I2787" s="14"/>
      <c r="J2787" s="14"/>
      <c r="K2787" s="14"/>
      <c r="L2787" s="15"/>
      <c r="M2787" s="15"/>
      <c r="N2787" s="15"/>
      <c r="O2787" s="15"/>
      <c r="P2787" s="15"/>
      <c r="Q2787" s="14"/>
      <c r="R2787" s="14"/>
      <c r="S2787" s="14"/>
      <c r="T2787" s="14"/>
      <c r="U2787" s="15"/>
      <c r="V2787" s="14"/>
      <c r="W2787" s="14"/>
      <c r="X2787" s="14"/>
      <c r="Y2787" s="14"/>
      <c r="Z2787" s="14"/>
    </row>
    <row r="2788" spans="1:26" ht="13.2">
      <c r="A2788" s="13"/>
      <c r="B2788" s="14"/>
      <c r="C2788" s="14"/>
      <c r="D2788" s="14"/>
      <c r="E2788" s="14"/>
      <c r="F2788" s="14"/>
      <c r="G2788" s="14"/>
      <c r="H2788" s="14"/>
      <c r="I2788" s="14"/>
      <c r="J2788" s="14"/>
      <c r="K2788" s="14"/>
      <c r="L2788" s="15"/>
      <c r="M2788" s="15"/>
      <c r="N2788" s="15"/>
      <c r="O2788" s="15"/>
      <c r="P2788" s="15"/>
      <c r="Q2788" s="14"/>
      <c r="R2788" s="14"/>
      <c r="S2788" s="14"/>
      <c r="T2788" s="14"/>
      <c r="U2788" s="15"/>
      <c r="V2788" s="14"/>
      <c r="W2788" s="14"/>
      <c r="X2788" s="14"/>
      <c r="Y2788" s="14"/>
      <c r="Z2788" s="14"/>
    </row>
    <row r="2789" spans="1:26" ht="13.2">
      <c r="A2789" s="13"/>
      <c r="B2789" s="14"/>
      <c r="C2789" s="14"/>
      <c r="D2789" s="14"/>
      <c r="E2789" s="14"/>
      <c r="F2789" s="14"/>
      <c r="G2789" s="14"/>
      <c r="H2789" s="14"/>
      <c r="I2789" s="14"/>
      <c r="J2789" s="14"/>
      <c r="K2789" s="14"/>
      <c r="L2789" s="15"/>
      <c r="M2789" s="15"/>
      <c r="N2789" s="15"/>
      <c r="O2789" s="15"/>
      <c r="P2789" s="15"/>
      <c r="Q2789" s="14"/>
      <c r="R2789" s="14"/>
      <c r="S2789" s="14"/>
      <c r="T2789" s="14"/>
      <c r="U2789" s="15"/>
      <c r="V2789" s="14"/>
      <c r="W2789" s="14"/>
      <c r="X2789" s="14"/>
      <c r="Y2789" s="14"/>
      <c r="Z2789" s="14"/>
    </row>
    <row r="2790" spans="1:26" ht="13.2">
      <c r="A2790" s="13"/>
      <c r="B2790" s="14"/>
      <c r="C2790" s="14"/>
      <c r="D2790" s="14"/>
      <c r="E2790" s="14"/>
      <c r="F2790" s="14"/>
      <c r="G2790" s="14"/>
      <c r="H2790" s="14"/>
      <c r="I2790" s="14"/>
      <c r="J2790" s="14"/>
      <c r="K2790" s="14"/>
      <c r="L2790" s="15"/>
      <c r="M2790" s="15"/>
      <c r="N2790" s="15"/>
      <c r="O2790" s="15"/>
      <c r="P2790" s="15"/>
      <c r="Q2790" s="14"/>
      <c r="R2790" s="14"/>
      <c r="S2790" s="14"/>
      <c r="T2790" s="14"/>
      <c r="U2790" s="15"/>
      <c r="V2790" s="14"/>
      <c r="W2790" s="14"/>
      <c r="X2790" s="14"/>
      <c r="Y2790" s="14"/>
      <c r="Z2790" s="14"/>
    </row>
    <row r="2791" spans="1:26" ht="13.2">
      <c r="A2791" s="13"/>
      <c r="B2791" s="14"/>
      <c r="C2791" s="14"/>
      <c r="D2791" s="14"/>
      <c r="E2791" s="14"/>
      <c r="F2791" s="14"/>
      <c r="G2791" s="14"/>
      <c r="H2791" s="14"/>
      <c r="I2791" s="14"/>
      <c r="J2791" s="14"/>
      <c r="K2791" s="14"/>
      <c r="L2791" s="15"/>
      <c r="M2791" s="15"/>
      <c r="N2791" s="15"/>
      <c r="O2791" s="15"/>
      <c r="P2791" s="15"/>
      <c r="Q2791" s="14"/>
      <c r="R2791" s="14"/>
      <c r="S2791" s="14"/>
      <c r="T2791" s="14"/>
      <c r="U2791" s="15"/>
      <c r="V2791" s="14"/>
      <c r="W2791" s="14"/>
      <c r="X2791" s="14"/>
      <c r="Y2791" s="14"/>
      <c r="Z2791" s="14"/>
    </row>
    <row r="2792" spans="1:26" ht="13.2">
      <c r="A2792" s="13"/>
      <c r="B2792" s="14"/>
      <c r="C2792" s="14"/>
      <c r="D2792" s="14"/>
      <c r="E2792" s="14"/>
      <c r="F2792" s="14"/>
      <c r="G2792" s="14"/>
      <c r="H2792" s="14"/>
      <c r="I2792" s="14"/>
      <c r="J2792" s="14"/>
      <c r="K2792" s="14"/>
      <c r="L2792" s="15"/>
      <c r="M2792" s="15"/>
      <c r="N2792" s="15"/>
      <c r="O2792" s="15"/>
      <c r="P2792" s="15"/>
      <c r="Q2792" s="14"/>
      <c r="R2792" s="14"/>
      <c r="S2792" s="14"/>
      <c r="T2792" s="14"/>
      <c r="U2792" s="15"/>
      <c r="V2792" s="14"/>
      <c r="W2792" s="14"/>
      <c r="X2792" s="14"/>
      <c r="Y2792" s="14"/>
      <c r="Z2792" s="14"/>
    </row>
    <row r="2793" spans="1:26" ht="13.2">
      <c r="A2793" s="13"/>
      <c r="B2793" s="14"/>
      <c r="C2793" s="14"/>
      <c r="D2793" s="14"/>
      <c r="E2793" s="14"/>
      <c r="F2793" s="14"/>
      <c r="G2793" s="14"/>
      <c r="H2793" s="14"/>
      <c r="I2793" s="14"/>
      <c r="J2793" s="14"/>
      <c r="K2793" s="14"/>
      <c r="L2793" s="15"/>
      <c r="M2793" s="15"/>
      <c r="N2793" s="15"/>
      <c r="O2793" s="15"/>
      <c r="P2793" s="15"/>
      <c r="Q2793" s="14"/>
      <c r="R2793" s="14"/>
      <c r="S2793" s="14"/>
      <c r="T2793" s="14"/>
      <c r="U2793" s="15"/>
      <c r="V2793" s="14"/>
      <c r="W2793" s="14"/>
      <c r="X2793" s="14"/>
      <c r="Y2793" s="14"/>
      <c r="Z2793" s="14"/>
    </row>
    <row r="2794" spans="1:26" ht="13.2">
      <c r="A2794" s="13"/>
      <c r="B2794" s="14"/>
      <c r="C2794" s="14"/>
      <c r="D2794" s="14"/>
      <c r="E2794" s="14"/>
      <c r="F2794" s="14"/>
      <c r="G2794" s="14"/>
      <c r="H2794" s="14"/>
      <c r="I2794" s="14"/>
      <c r="J2794" s="14"/>
      <c r="K2794" s="14"/>
      <c r="L2794" s="15"/>
      <c r="M2794" s="15"/>
      <c r="N2794" s="15"/>
      <c r="O2794" s="15"/>
      <c r="P2794" s="15"/>
      <c r="Q2794" s="14"/>
      <c r="R2794" s="14"/>
      <c r="S2794" s="14"/>
      <c r="T2794" s="14"/>
      <c r="U2794" s="15"/>
      <c r="V2794" s="14"/>
      <c r="W2794" s="14"/>
      <c r="X2794" s="14"/>
      <c r="Y2794" s="14"/>
      <c r="Z2794" s="14"/>
    </row>
    <row r="2795" spans="1:26" ht="13.2">
      <c r="A2795" s="13"/>
      <c r="B2795" s="14"/>
      <c r="C2795" s="14"/>
      <c r="D2795" s="14"/>
      <c r="E2795" s="14"/>
      <c r="F2795" s="14"/>
      <c r="G2795" s="14"/>
      <c r="H2795" s="14"/>
      <c r="I2795" s="14"/>
      <c r="J2795" s="14"/>
      <c r="K2795" s="14"/>
      <c r="L2795" s="15"/>
      <c r="M2795" s="15"/>
      <c r="N2795" s="15"/>
      <c r="O2795" s="15"/>
      <c r="P2795" s="15"/>
      <c r="Q2795" s="14"/>
      <c r="R2795" s="14"/>
      <c r="S2795" s="14"/>
      <c r="T2795" s="14"/>
      <c r="U2795" s="15"/>
      <c r="V2795" s="14"/>
      <c r="W2795" s="14"/>
      <c r="X2795" s="14"/>
      <c r="Y2795" s="14"/>
      <c r="Z2795" s="14"/>
    </row>
    <row r="2796" spans="1:26" ht="13.2">
      <c r="A2796" s="13"/>
      <c r="B2796" s="14"/>
      <c r="C2796" s="14"/>
      <c r="D2796" s="14"/>
      <c r="E2796" s="14"/>
      <c r="F2796" s="14"/>
      <c r="G2796" s="14"/>
      <c r="H2796" s="14"/>
      <c r="I2796" s="14"/>
      <c r="J2796" s="14"/>
      <c r="K2796" s="14"/>
      <c r="L2796" s="15"/>
      <c r="M2796" s="15"/>
      <c r="N2796" s="15"/>
      <c r="O2796" s="15"/>
      <c r="P2796" s="15"/>
      <c r="Q2796" s="14"/>
      <c r="R2796" s="14"/>
      <c r="S2796" s="14"/>
      <c r="T2796" s="14"/>
      <c r="U2796" s="15"/>
      <c r="V2796" s="14"/>
      <c r="W2796" s="14"/>
      <c r="X2796" s="14"/>
      <c r="Y2796" s="14"/>
      <c r="Z2796" s="14"/>
    </row>
    <row r="2797" spans="1:26" ht="13.2">
      <c r="A2797" s="13"/>
      <c r="B2797" s="14"/>
      <c r="C2797" s="14"/>
      <c r="D2797" s="14"/>
      <c r="E2797" s="14"/>
      <c r="F2797" s="14"/>
      <c r="G2797" s="14"/>
      <c r="H2797" s="14"/>
      <c r="I2797" s="14"/>
      <c r="J2797" s="14"/>
      <c r="K2797" s="14"/>
      <c r="L2797" s="15"/>
      <c r="M2797" s="15"/>
      <c r="N2797" s="15"/>
      <c r="O2797" s="15"/>
      <c r="P2797" s="15"/>
      <c r="Q2797" s="14"/>
      <c r="R2797" s="14"/>
      <c r="S2797" s="14"/>
      <c r="T2797" s="14"/>
      <c r="U2797" s="15"/>
      <c r="V2797" s="14"/>
      <c r="W2797" s="14"/>
      <c r="X2797" s="14"/>
      <c r="Y2797" s="14"/>
      <c r="Z2797" s="14"/>
    </row>
    <row r="2798" spans="1:26" ht="13.2">
      <c r="A2798" s="13"/>
      <c r="B2798" s="14"/>
      <c r="C2798" s="14"/>
      <c r="D2798" s="14"/>
      <c r="E2798" s="14"/>
      <c r="F2798" s="14"/>
      <c r="G2798" s="14"/>
      <c r="H2798" s="14"/>
      <c r="I2798" s="14"/>
      <c r="J2798" s="14"/>
      <c r="K2798" s="14"/>
      <c r="L2798" s="15"/>
      <c r="M2798" s="15"/>
      <c r="N2798" s="15"/>
      <c r="O2798" s="15"/>
      <c r="P2798" s="15"/>
      <c r="Q2798" s="14"/>
      <c r="R2798" s="14"/>
      <c r="S2798" s="14"/>
      <c r="T2798" s="14"/>
      <c r="U2798" s="15"/>
      <c r="V2798" s="14"/>
      <c r="W2798" s="14"/>
      <c r="X2798" s="14"/>
      <c r="Y2798" s="14"/>
      <c r="Z2798" s="14"/>
    </row>
    <row r="2799" spans="1:26" ht="13.2">
      <c r="A2799" s="13"/>
      <c r="B2799" s="14"/>
      <c r="C2799" s="14"/>
      <c r="D2799" s="14"/>
      <c r="E2799" s="14"/>
      <c r="F2799" s="14"/>
      <c r="G2799" s="14"/>
      <c r="H2799" s="14"/>
      <c r="I2799" s="14"/>
      <c r="J2799" s="14"/>
      <c r="K2799" s="14"/>
      <c r="L2799" s="15"/>
      <c r="M2799" s="15"/>
      <c r="N2799" s="15"/>
      <c r="O2799" s="15"/>
      <c r="P2799" s="15"/>
      <c r="Q2799" s="14"/>
      <c r="R2799" s="14"/>
      <c r="S2799" s="14"/>
      <c r="T2799" s="14"/>
      <c r="U2799" s="15"/>
      <c r="V2799" s="14"/>
      <c r="W2799" s="14"/>
      <c r="X2799" s="14"/>
      <c r="Y2799" s="14"/>
      <c r="Z2799" s="14"/>
    </row>
    <row r="2800" spans="1:26" ht="13.2">
      <c r="A2800" s="13"/>
      <c r="B2800" s="14"/>
      <c r="C2800" s="14"/>
      <c r="D2800" s="14"/>
      <c r="E2800" s="14"/>
      <c r="F2800" s="14"/>
      <c r="G2800" s="14"/>
      <c r="H2800" s="14"/>
      <c r="I2800" s="14"/>
      <c r="J2800" s="14"/>
      <c r="K2800" s="14"/>
      <c r="L2800" s="15"/>
      <c r="M2800" s="15"/>
      <c r="N2800" s="15"/>
      <c r="O2800" s="15"/>
      <c r="P2800" s="15"/>
      <c r="Q2800" s="14"/>
      <c r="R2800" s="14"/>
      <c r="S2800" s="14"/>
      <c r="T2800" s="14"/>
      <c r="U2800" s="15"/>
      <c r="V2800" s="14"/>
      <c r="W2800" s="14"/>
      <c r="X2800" s="14"/>
      <c r="Y2800" s="14"/>
      <c r="Z2800" s="14"/>
    </row>
    <row r="2801" spans="1:26" ht="13.2">
      <c r="A2801" s="13"/>
      <c r="B2801" s="14"/>
      <c r="C2801" s="14"/>
      <c r="D2801" s="14"/>
      <c r="E2801" s="14"/>
      <c r="F2801" s="14"/>
      <c r="G2801" s="14"/>
      <c r="H2801" s="14"/>
      <c r="I2801" s="14"/>
      <c r="J2801" s="14"/>
      <c r="K2801" s="14"/>
      <c r="L2801" s="15"/>
      <c r="M2801" s="15"/>
      <c r="N2801" s="15"/>
      <c r="O2801" s="15"/>
      <c r="P2801" s="15"/>
      <c r="Q2801" s="14"/>
      <c r="R2801" s="14"/>
      <c r="S2801" s="14"/>
      <c r="T2801" s="14"/>
      <c r="U2801" s="15"/>
      <c r="V2801" s="14"/>
      <c r="W2801" s="14"/>
      <c r="X2801" s="14"/>
      <c r="Y2801" s="14"/>
      <c r="Z2801" s="14"/>
    </row>
    <row r="2802" spans="1:26" ht="13.2">
      <c r="A2802" s="13"/>
      <c r="B2802" s="14"/>
      <c r="C2802" s="14"/>
      <c r="D2802" s="14"/>
      <c r="E2802" s="14"/>
      <c r="F2802" s="14"/>
      <c r="G2802" s="14"/>
      <c r="H2802" s="14"/>
      <c r="I2802" s="14"/>
      <c r="J2802" s="14"/>
      <c r="K2802" s="14"/>
      <c r="L2802" s="15"/>
      <c r="M2802" s="15"/>
      <c r="N2802" s="15"/>
      <c r="O2802" s="15"/>
      <c r="P2802" s="15"/>
      <c r="Q2802" s="14"/>
      <c r="R2802" s="14"/>
      <c r="S2802" s="14"/>
      <c r="T2802" s="14"/>
      <c r="U2802" s="15"/>
      <c r="V2802" s="14"/>
      <c r="W2802" s="14"/>
      <c r="X2802" s="14"/>
      <c r="Y2802" s="14"/>
      <c r="Z2802" s="14"/>
    </row>
    <row r="2803" spans="1:26" ht="13.2">
      <c r="A2803" s="13"/>
      <c r="B2803" s="14"/>
      <c r="C2803" s="14"/>
      <c r="D2803" s="14"/>
      <c r="E2803" s="14"/>
      <c r="F2803" s="14"/>
      <c r="G2803" s="14"/>
      <c r="H2803" s="14"/>
      <c r="I2803" s="14"/>
      <c r="J2803" s="14"/>
      <c r="K2803" s="14"/>
      <c r="L2803" s="15"/>
      <c r="M2803" s="15"/>
      <c r="N2803" s="15"/>
      <c r="O2803" s="15"/>
      <c r="P2803" s="15"/>
      <c r="Q2803" s="14"/>
      <c r="R2803" s="14"/>
      <c r="S2803" s="14"/>
      <c r="T2803" s="14"/>
      <c r="U2803" s="15"/>
      <c r="V2803" s="14"/>
      <c r="W2803" s="14"/>
      <c r="X2803" s="14"/>
      <c r="Y2803" s="14"/>
      <c r="Z2803" s="14"/>
    </row>
    <row r="2804" spans="1:26" ht="13.2">
      <c r="A2804" s="13"/>
      <c r="B2804" s="14"/>
      <c r="C2804" s="14"/>
      <c r="D2804" s="14"/>
      <c r="E2804" s="14"/>
      <c r="F2804" s="14"/>
      <c r="G2804" s="14"/>
      <c r="H2804" s="14"/>
      <c r="I2804" s="14"/>
      <c r="J2804" s="14"/>
      <c r="K2804" s="14"/>
      <c r="L2804" s="15"/>
      <c r="M2804" s="15"/>
      <c r="N2804" s="15"/>
      <c r="O2804" s="15"/>
      <c r="P2804" s="15"/>
      <c r="Q2804" s="14"/>
      <c r="R2804" s="14"/>
      <c r="S2804" s="14"/>
      <c r="T2804" s="14"/>
      <c r="U2804" s="15"/>
      <c r="V2804" s="14"/>
      <c r="W2804" s="14"/>
      <c r="X2804" s="14"/>
      <c r="Y2804" s="14"/>
      <c r="Z2804" s="14"/>
    </row>
    <row r="2805" spans="1:26" ht="13.2">
      <c r="A2805" s="13"/>
      <c r="B2805" s="14"/>
      <c r="C2805" s="14"/>
      <c r="D2805" s="14"/>
      <c r="E2805" s="14"/>
      <c r="F2805" s="14"/>
      <c r="G2805" s="14"/>
      <c r="H2805" s="14"/>
      <c r="I2805" s="14"/>
      <c r="J2805" s="14"/>
      <c r="K2805" s="14"/>
      <c r="L2805" s="15"/>
      <c r="M2805" s="15"/>
      <c r="N2805" s="15"/>
      <c r="O2805" s="15"/>
      <c r="P2805" s="15"/>
      <c r="Q2805" s="14"/>
      <c r="R2805" s="14"/>
      <c r="S2805" s="14"/>
      <c r="T2805" s="14"/>
      <c r="U2805" s="15"/>
      <c r="V2805" s="14"/>
      <c r="W2805" s="14"/>
      <c r="X2805" s="14"/>
      <c r="Y2805" s="14"/>
      <c r="Z2805" s="14"/>
    </row>
    <row r="2806" spans="1:26" ht="13.2">
      <c r="A2806" s="13"/>
      <c r="B2806" s="14"/>
      <c r="C2806" s="14"/>
      <c r="D2806" s="14"/>
      <c r="E2806" s="14"/>
      <c r="F2806" s="14"/>
      <c r="G2806" s="14"/>
      <c r="H2806" s="14"/>
      <c r="I2806" s="14"/>
      <c r="J2806" s="14"/>
      <c r="K2806" s="14"/>
      <c r="L2806" s="15"/>
      <c r="M2806" s="15"/>
      <c r="N2806" s="15"/>
      <c r="O2806" s="15"/>
      <c r="P2806" s="15"/>
      <c r="Q2806" s="14"/>
      <c r="R2806" s="14"/>
      <c r="S2806" s="14"/>
      <c r="T2806" s="14"/>
      <c r="U2806" s="15"/>
      <c r="V2806" s="14"/>
      <c r="W2806" s="14"/>
      <c r="X2806" s="14"/>
      <c r="Y2806" s="14"/>
      <c r="Z2806" s="14"/>
    </row>
    <row r="2807" spans="1:26" ht="13.2">
      <c r="A2807" s="13"/>
      <c r="B2807" s="14"/>
      <c r="C2807" s="14"/>
      <c r="D2807" s="14"/>
      <c r="E2807" s="14"/>
      <c r="F2807" s="14"/>
      <c r="G2807" s="14"/>
      <c r="H2807" s="14"/>
      <c r="I2807" s="14"/>
      <c r="J2807" s="14"/>
      <c r="K2807" s="14"/>
      <c r="L2807" s="15"/>
      <c r="M2807" s="15"/>
      <c r="N2807" s="15"/>
      <c r="O2807" s="15"/>
      <c r="P2807" s="15"/>
      <c r="Q2807" s="14"/>
      <c r="R2807" s="14"/>
      <c r="S2807" s="14"/>
      <c r="T2807" s="14"/>
      <c r="U2807" s="15"/>
      <c r="V2807" s="14"/>
      <c r="W2807" s="14"/>
      <c r="X2807" s="14"/>
      <c r="Y2807" s="14"/>
      <c r="Z2807" s="14"/>
    </row>
    <row r="2808" spans="1:26" ht="13.2">
      <c r="A2808" s="13"/>
      <c r="B2808" s="14"/>
      <c r="C2808" s="14"/>
      <c r="D2808" s="14"/>
      <c r="E2808" s="14"/>
      <c r="F2808" s="14"/>
      <c r="G2808" s="14"/>
      <c r="H2808" s="14"/>
      <c r="I2808" s="14"/>
      <c r="J2808" s="14"/>
      <c r="K2808" s="14"/>
      <c r="L2808" s="15"/>
      <c r="M2808" s="15"/>
      <c r="N2808" s="15"/>
      <c r="O2808" s="15"/>
      <c r="P2808" s="15"/>
      <c r="Q2808" s="14"/>
      <c r="R2808" s="14"/>
      <c r="S2808" s="14"/>
      <c r="T2808" s="14"/>
      <c r="U2808" s="15"/>
      <c r="V2808" s="14"/>
      <c r="W2808" s="14"/>
      <c r="X2808" s="14"/>
      <c r="Y2808" s="14"/>
      <c r="Z2808" s="14"/>
    </row>
    <row r="2809" spans="1:26" ht="13.2">
      <c r="A2809" s="13"/>
      <c r="B2809" s="14"/>
      <c r="C2809" s="14"/>
      <c r="D2809" s="14"/>
      <c r="E2809" s="14"/>
      <c r="F2809" s="14"/>
      <c r="G2809" s="14"/>
      <c r="H2809" s="14"/>
      <c r="I2809" s="14"/>
      <c r="J2809" s="14"/>
      <c r="K2809" s="14"/>
      <c r="L2809" s="15"/>
      <c r="M2809" s="15"/>
      <c r="N2809" s="15"/>
      <c r="O2809" s="15"/>
      <c r="P2809" s="15"/>
      <c r="Q2809" s="14"/>
      <c r="R2809" s="14"/>
      <c r="S2809" s="14"/>
      <c r="T2809" s="14"/>
      <c r="U2809" s="15"/>
      <c r="V2809" s="14"/>
      <c r="W2809" s="14"/>
      <c r="X2809" s="14"/>
      <c r="Y2809" s="14"/>
      <c r="Z2809" s="14"/>
    </row>
    <row r="2810" spans="1:26" ht="13.2">
      <c r="A2810" s="13"/>
      <c r="B2810" s="14"/>
      <c r="C2810" s="14"/>
      <c r="D2810" s="14"/>
      <c r="E2810" s="14"/>
      <c r="F2810" s="14"/>
      <c r="G2810" s="14"/>
      <c r="H2810" s="14"/>
      <c r="I2810" s="14"/>
      <c r="J2810" s="14"/>
      <c r="K2810" s="14"/>
      <c r="L2810" s="15"/>
      <c r="M2810" s="15"/>
      <c r="N2810" s="15"/>
      <c r="O2810" s="15"/>
      <c r="P2810" s="15"/>
      <c r="Q2810" s="14"/>
      <c r="R2810" s="14"/>
      <c r="S2810" s="14"/>
      <c r="T2810" s="14"/>
      <c r="U2810" s="15"/>
      <c r="V2810" s="14"/>
      <c r="W2810" s="14"/>
      <c r="X2810" s="14"/>
      <c r="Y2810" s="14"/>
      <c r="Z2810" s="14"/>
    </row>
    <row r="2811" spans="1:26" ht="13.2">
      <c r="A2811" s="13"/>
      <c r="B2811" s="14"/>
      <c r="C2811" s="14"/>
      <c r="D2811" s="14"/>
      <c r="E2811" s="14"/>
      <c r="F2811" s="14"/>
      <c r="G2811" s="14"/>
      <c r="H2811" s="14"/>
      <c r="I2811" s="14"/>
      <c r="J2811" s="14"/>
      <c r="K2811" s="14"/>
      <c r="L2811" s="15"/>
      <c r="M2811" s="15"/>
      <c r="N2811" s="15"/>
      <c r="O2811" s="15"/>
      <c r="P2811" s="15"/>
      <c r="Q2811" s="14"/>
      <c r="R2811" s="14"/>
      <c r="S2811" s="14"/>
      <c r="T2811" s="14"/>
      <c r="U2811" s="15"/>
      <c r="V2811" s="14"/>
      <c r="W2811" s="14"/>
      <c r="X2811" s="14"/>
      <c r="Y2811" s="14"/>
      <c r="Z2811" s="14"/>
    </row>
    <row r="2812" spans="1:26" ht="13.2">
      <c r="A2812" s="13"/>
      <c r="B2812" s="14"/>
      <c r="C2812" s="14"/>
      <c r="D2812" s="14"/>
      <c r="E2812" s="14"/>
      <c r="F2812" s="14"/>
      <c r="G2812" s="14"/>
      <c r="H2812" s="14"/>
      <c r="I2812" s="14"/>
      <c r="J2812" s="14"/>
      <c r="K2812" s="14"/>
      <c r="L2812" s="15"/>
      <c r="M2812" s="15"/>
      <c r="N2812" s="15"/>
      <c r="O2812" s="15"/>
      <c r="P2812" s="15"/>
      <c r="Q2812" s="14"/>
      <c r="R2812" s="14"/>
      <c r="S2812" s="14"/>
      <c r="T2812" s="14"/>
      <c r="U2812" s="15"/>
      <c r="V2812" s="14"/>
      <c r="W2812" s="14"/>
      <c r="X2812" s="14"/>
      <c r="Y2812" s="14"/>
      <c r="Z2812" s="14"/>
    </row>
    <row r="2813" spans="1:26" ht="13.2">
      <c r="A2813" s="13"/>
      <c r="B2813" s="14"/>
      <c r="C2813" s="14"/>
      <c r="D2813" s="14"/>
      <c r="E2813" s="14"/>
      <c r="F2813" s="14"/>
      <c r="G2813" s="14"/>
      <c r="H2813" s="14"/>
      <c r="I2813" s="14"/>
      <c r="J2813" s="14"/>
      <c r="K2813" s="14"/>
      <c r="L2813" s="15"/>
      <c r="M2813" s="15"/>
      <c r="N2813" s="15"/>
      <c r="O2813" s="15"/>
      <c r="P2813" s="15"/>
      <c r="Q2813" s="14"/>
      <c r="R2813" s="14"/>
      <c r="S2813" s="14"/>
      <c r="T2813" s="14"/>
      <c r="U2813" s="15"/>
      <c r="V2813" s="14"/>
      <c r="W2813" s="14"/>
      <c r="X2813" s="14"/>
      <c r="Y2813" s="14"/>
      <c r="Z2813" s="14"/>
    </row>
    <row r="2814" spans="1:26" ht="13.2">
      <c r="A2814" s="13"/>
      <c r="B2814" s="14"/>
      <c r="C2814" s="14"/>
      <c r="D2814" s="14"/>
      <c r="E2814" s="14"/>
      <c r="F2814" s="14"/>
      <c r="G2814" s="14"/>
      <c r="H2814" s="14"/>
      <c r="I2814" s="14"/>
      <c r="J2814" s="14"/>
      <c r="K2814" s="14"/>
      <c r="L2814" s="15"/>
      <c r="M2814" s="15"/>
      <c r="N2814" s="15"/>
      <c r="O2814" s="15"/>
      <c r="P2814" s="15"/>
      <c r="Q2814" s="14"/>
      <c r="R2814" s="14"/>
      <c r="S2814" s="14"/>
      <c r="T2814" s="14"/>
      <c r="U2814" s="15"/>
      <c r="V2814" s="14"/>
      <c r="W2814" s="14"/>
      <c r="X2814" s="14"/>
      <c r="Y2814" s="14"/>
      <c r="Z2814" s="14"/>
    </row>
    <row r="2815" spans="1:26" ht="13.2">
      <c r="A2815" s="13"/>
      <c r="B2815" s="14"/>
      <c r="C2815" s="14"/>
      <c r="D2815" s="14"/>
      <c r="E2815" s="14"/>
      <c r="F2815" s="14"/>
      <c r="G2815" s="14"/>
      <c r="H2815" s="14"/>
      <c r="I2815" s="14"/>
      <c r="J2815" s="14"/>
      <c r="K2815" s="14"/>
      <c r="L2815" s="15"/>
      <c r="M2815" s="15"/>
      <c r="N2815" s="15"/>
      <c r="O2815" s="15"/>
      <c r="P2815" s="15"/>
      <c r="Q2815" s="14"/>
      <c r="R2815" s="14"/>
      <c r="S2815" s="14"/>
      <c r="T2815" s="14"/>
      <c r="U2815" s="15"/>
      <c r="V2815" s="14"/>
      <c r="W2815" s="14"/>
      <c r="X2815" s="14"/>
      <c r="Y2815" s="14"/>
      <c r="Z2815" s="14"/>
    </row>
    <row r="2816" spans="1:26" ht="13.2">
      <c r="A2816" s="13"/>
      <c r="B2816" s="14"/>
      <c r="C2816" s="14"/>
      <c r="D2816" s="14"/>
      <c r="E2816" s="14"/>
      <c r="F2816" s="14"/>
      <c r="G2816" s="14"/>
      <c r="H2816" s="14"/>
      <c r="I2816" s="14"/>
      <c r="J2816" s="14"/>
      <c r="K2816" s="14"/>
      <c r="L2816" s="15"/>
      <c r="M2816" s="15"/>
      <c r="N2816" s="15"/>
      <c r="O2816" s="15"/>
      <c r="P2816" s="15"/>
      <c r="Q2816" s="14"/>
      <c r="R2816" s="14"/>
      <c r="S2816" s="14"/>
      <c r="T2816" s="14"/>
      <c r="U2816" s="15"/>
      <c r="V2816" s="14"/>
      <c r="W2816" s="14"/>
      <c r="X2816" s="14"/>
      <c r="Y2816" s="14"/>
      <c r="Z2816" s="14"/>
    </row>
    <row r="2817" spans="1:26" ht="13.2">
      <c r="A2817" s="13"/>
      <c r="B2817" s="14"/>
      <c r="C2817" s="14"/>
      <c r="D2817" s="14"/>
      <c r="E2817" s="14"/>
      <c r="F2817" s="14"/>
      <c r="G2817" s="14"/>
      <c r="H2817" s="14"/>
      <c r="I2817" s="14"/>
      <c r="J2817" s="14"/>
      <c r="K2817" s="14"/>
      <c r="L2817" s="15"/>
      <c r="M2817" s="15"/>
      <c r="N2817" s="15"/>
      <c r="O2817" s="15"/>
      <c r="P2817" s="15"/>
      <c r="Q2817" s="14"/>
      <c r="R2817" s="14"/>
      <c r="S2817" s="14"/>
      <c r="T2817" s="14"/>
      <c r="U2817" s="15"/>
      <c r="V2817" s="14"/>
      <c r="W2817" s="14"/>
      <c r="X2817" s="14"/>
      <c r="Y2817" s="14"/>
      <c r="Z2817" s="14"/>
    </row>
    <row r="2818" spans="1:26" ht="13.2">
      <c r="A2818" s="13"/>
      <c r="B2818" s="14"/>
      <c r="C2818" s="14"/>
      <c r="D2818" s="14"/>
      <c r="E2818" s="14"/>
      <c r="F2818" s="14"/>
      <c r="G2818" s="14"/>
      <c r="H2818" s="14"/>
      <c r="I2818" s="14"/>
      <c r="J2818" s="14"/>
      <c r="K2818" s="14"/>
      <c r="L2818" s="15"/>
      <c r="M2818" s="15"/>
      <c r="N2818" s="15"/>
      <c r="O2818" s="15"/>
      <c r="P2818" s="15"/>
      <c r="Q2818" s="14"/>
      <c r="R2818" s="14"/>
      <c r="S2818" s="14"/>
      <c r="T2818" s="14"/>
      <c r="U2818" s="15"/>
      <c r="V2818" s="14"/>
      <c r="W2818" s="14"/>
      <c r="X2818" s="14"/>
      <c r="Y2818" s="14"/>
      <c r="Z2818" s="14"/>
    </row>
    <row r="2819" spans="1:26" ht="13.2">
      <c r="A2819" s="13"/>
      <c r="B2819" s="14"/>
      <c r="C2819" s="14"/>
      <c r="D2819" s="14"/>
      <c r="E2819" s="14"/>
      <c r="F2819" s="14"/>
      <c r="G2819" s="14"/>
      <c r="H2819" s="14"/>
      <c r="I2819" s="14"/>
      <c r="J2819" s="14"/>
      <c r="K2819" s="14"/>
      <c r="L2819" s="15"/>
      <c r="M2819" s="15"/>
      <c r="N2819" s="15"/>
      <c r="O2819" s="15"/>
      <c r="P2819" s="15"/>
      <c r="Q2819" s="14"/>
      <c r="R2819" s="14"/>
      <c r="S2819" s="14"/>
      <c r="T2819" s="14"/>
      <c r="U2819" s="15"/>
      <c r="V2819" s="14"/>
      <c r="W2819" s="14"/>
      <c r="X2819" s="14"/>
      <c r="Y2819" s="14"/>
      <c r="Z2819" s="14"/>
    </row>
    <row r="2820" spans="1:26" ht="13.2">
      <c r="A2820" s="13"/>
      <c r="B2820" s="14"/>
      <c r="C2820" s="14"/>
      <c r="D2820" s="14"/>
      <c r="E2820" s="14"/>
      <c r="F2820" s="14"/>
      <c r="G2820" s="14"/>
      <c r="H2820" s="14"/>
      <c r="I2820" s="14"/>
      <c r="J2820" s="14"/>
      <c r="K2820" s="14"/>
      <c r="L2820" s="15"/>
      <c r="M2820" s="15"/>
      <c r="N2820" s="15"/>
      <c r="O2820" s="15"/>
      <c r="P2820" s="15"/>
      <c r="Q2820" s="14"/>
      <c r="R2820" s="14"/>
      <c r="S2820" s="14"/>
      <c r="T2820" s="14"/>
      <c r="U2820" s="15"/>
      <c r="V2820" s="14"/>
      <c r="W2820" s="14"/>
      <c r="X2820" s="14"/>
      <c r="Y2820" s="14"/>
      <c r="Z2820" s="14"/>
    </row>
    <row r="2821" spans="1:26" ht="13.2">
      <c r="A2821" s="13"/>
      <c r="B2821" s="14"/>
      <c r="C2821" s="14"/>
      <c r="D2821" s="14"/>
      <c r="E2821" s="14"/>
      <c r="F2821" s="14"/>
      <c r="G2821" s="14"/>
      <c r="H2821" s="14"/>
      <c r="I2821" s="14"/>
      <c r="J2821" s="14"/>
      <c r="K2821" s="14"/>
      <c r="L2821" s="15"/>
      <c r="M2821" s="15"/>
      <c r="N2821" s="15"/>
      <c r="O2821" s="15"/>
      <c r="P2821" s="15"/>
      <c r="Q2821" s="14"/>
      <c r="R2821" s="14"/>
      <c r="S2821" s="14"/>
      <c r="T2821" s="14"/>
      <c r="U2821" s="15"/>
      <c r="V2821" s="14"/>
      <c r="W2821" s="14"/>
      <c r="X2821" s="14"/>
      <c r="Y2821" s="14"/>
      <c r="Z2821" s="14"/>
    </row>
    <row r="2822" spans="1:26" ht="13.2">
      <c r="A2822" s="13"/>
      <c r="B2822" s="14"/>
      <c r="C2822" s="14"/>
      <c r="D2822" s="14"/>
      <c r="E2822" s="14"/>
      <c r="F2822" s="14"/>
      <c r="G2822" s="14"/>
      <c r="H2822" s="14"/>
      <c r="I2822" s="14"/>
      <c r="J2822" s="14"/>
      <c r="K2822" s="14"/>
      <c r="L2822" s="15"/>
      <c r="M2822" s="15"/>
      <c r="N2822" s="15"/>
      <c r="O2822" s="15"/>
      <c r="P2822" s="15"/>
      <c r="Q2822" s="14"/>
      <c r="R2822" s="14"/>
      <c r="S2822" s="14"/>
      <c r="T2822" s="14"/>
      <c r="U2822" s="15"/>
      <c r="V2822" s="14"/>
      <c r="W2822" s="14"/>
      <c r="X2822" s="14"/>
      <c r="Y2822" s="14"/>
      <c r="Z2822" s="14"/>
    </row>
    <row r="2823" spans="1:26" ht="13.2">
      <c r="A2823" s="13"/>
      <c r="B2823" s="14"/>
      <c r="C2823" s="14"/>
      <c r="D2823" s="14"/>
      <c r="E2823" s="14"/>
      <c r="F2823" s="14"/>
      <c r="G2823" s="14"/>
      <c r="H2823" s="14"/>
      <c r="I2823" s="14"/>
      <c r="J2823" s="14"/>
      <c r="K2823" s="14"/>
      <c r="L2823" s="15"/>
      <c r="M2823" s="15"/>
      <c r="N2823" s="15"/>
      <c r="O2823" s="15"/>
      <c r="P2823" s="15"/>
      <c r="Q2823" s="14"/>
      <c r="R2823" s="14"/>
      <c r="S2823" s="14"/>
      <c r="T2823" s="14"/>
      <c r="U2823" s="15"/>
      <c r="V2823" s="14"/>
      <c r="W2823" s="14"/>
      <c r="X2823" s="14"/>
      <c r="Y2823" s="14"/>
      <c r="Z2823" s="14"/>
    </row>
    <row r="2824" spans="1:26" ht="13.2">
      <c r="A2824" s="13"/>
      <c r="B2824" s="14"/>
      <c r="C2824" s="14"/>
      <c r="D2824" s="14"/>
      <c r="E2824" s="14"/>
      <c r="F2824" s="14"/>
      <c r="G2824" s="14"/>
      <c r="H2824" s="14"/>
      <c r="I2824" s="14"/>
      <c r="J2824" s="14"/>
      <c r="K2824" s="14"/>
      <c r="L2824" s="15"/>
      <c r="M2824" s="15"/>
      <c r="N2824" s="15"/>
      <c r="O2824" s="15"/>
      <c r="P2824" s="15"/>
      <c r="Q2824" s="14"/>
      <c r="R2824" s="14"/>
      <c r="S2824" s="14"/>
      <c r="T2824" s="14"/>
      <c r="U2824" s="15"/>
      <c r="V2824" s="14"/>
      <c r="W2824" s="14"/>
      <c r="X2824" s="14"/>
      <c r="Y2824" s="14"/>
      <c r="Z2824" s="14"/>
    </row>
    <row r="2825" spans="1:26" ht="13.2">
      <c r="A2825" s="13"/>
      <c r="B2825" s="14"/>
      <c r="C2825" s="14"/>
      <c r="D2825" s="14"/>
      <c r="E2825" s="14"/>
      <c r="F2825" s="14"/>
      <c r="G2825" s="14"/>
      <c r="H2825" s="14"/>
      <c r="I2825" s="14"/>
      <c r="J2825" s="14"/>
      <c r="K2825" s="14"/>
      <c r="L2825" s="15"/>
      <c r="M2825" s="15"/>
      <c r="N2825" s="15"/>
      <c r="O2825" s="15"/>
      <c r="P2825" s="15"/>
      <c r="Q2825" s="14"/>
      <c r="R2825" s="14"/>
      <c r="S2825" s="14"/>
      <c r="T2825" s="14"/>
      <c r="U2825" s="15"/>
      <c r="V2825" s="14"/>
      <c r="W2825" s="14"/>
      <c r="X2825" s="14"/>
      <c r="Y2825" s="14"/>
      <c r="Z2825" s="14"/>
    </row>
    <row r="2826" spans="1:26" ht="13.2">
      <c r="A2826" s="13"/>
      <c r="B2826" s="14"/>
      <c r="C2826" s="14"/>
      <c r="D2826" s="14"/>
      <c r="E2826" s="14"/>
      <c r="F2826" s="14"/>
      <c r="G2826" s="14"/>
      <c r="H2826" s="14"/>
      <c r="I2826" s="14"/>
      <c r="J2826" s="14"/>
      <c r="K2826" s="14"/>
      <c r="L2826" s="15"/>
      <c r="M2826" s="15"/>
      <c r="N2826" s="15"/>
      <c r="O2826" s="15"/>
      <c r="P2826" s="15"/>
      <c r="Q2826" s="14"/>
      <c r="R2826" s="14"/>
      <c r="S2826" s="14"/>
      <c r="T2826" s="14"/>
      <c r="U2826" s="15"/>
      <c r="V2826" s="14"/>
      <c r="W2826" s="14"/>
      <c r="X2826" s="14"/>
      <c r="Y2826" s="14"/>
      <c r="Z2826" s="14"/>
    </row>
    <row r="2827" spans="1:26" ht="13.2">
      <c r="A2827" s="13"/>
      <c r="B2827" s="14"/>
      <c r="C2827" s="14"/>
      <c r="D2827" s="14"/>
      <c r="E2827" s="14"/>
      <c r="F2827" s="14"/>
      <c r="G2827" s="14"/>
      <c r="H2827" s="14"/>
      <c r="I2827" s="14"/>
      <c r="J2827" s="14"/>
      <c r="K2827" s="14"/>
      <c r="L2827" s="15"/>
      <c r="M2827" s="15"/>
      <c r="N2827" s="15"/>
      <c r="O2827" s="15"/>
      <c r="P2827" s="15"/>
      <c r="Q2827" s="14"/>
      <c r="R2827" s="14"/>
      <c r="S2827" s="14"/>
      <c r="T2827" s="14"/>
      <c r="U2827" s="15"/>
      <c r="V2827" s="14"/>
      <c r="W2827" s="14"/>
      <c r="X2827" s="14"/>
      <c r="Y2827" s="14"/>
      <c r="Z2827" s="14"/>
    </row>
    <row r="2828" spans="1:26" ht="13.2">
      <c r="A2828" s="13"/>
      <c r="B2828" s="14"/>
      <c r="C2828" s="14"/>
      <c r="D2828" s="14"/>
      <c r="E2828" s="14"/>
      <c r="F2828" s="14"/>
      <c r="G2828" s="14"/>
      <c r="H2828" s="14"/>
      <c r="I2828" s="14"/>
      <c r="J2828" s="14"/>
      <c r="K2828" s="14"/>
      <c r="L2828" s="15"/>
      <c r="M2828" s="15"/>
      <c r="N2828" s="15"/>
      <c r="O2828" s="15"/>
      <c r="P2828" s="15"/>
      <c r="Q2828" s="14"/>
      <c r="R2828" s="14"/>
      <c r="S2828" s="14"/>
      <c r="T2828" s="14"/>
      <c r="U2828" s="15"/>
      <c r="V2828" s="14"/>
      <c r="W2828" s="14"/>
      <c r="X2828" s="14"/>
      <c r="Y2828" s="14"/>
      <c r="Z2828" s="14"/>
    </row>
    <row r="2829" spans="1:26" ht="13.2">
      <c r="A2829" s="13"/>
      <c r="B2829" s="14"/>
      <c r="C2829" s="14"/>
      <c r="D2829" s="14"/>
      <c r="E2829" s="14"/>
      <c r="F2829" s="14"/>
      <c r="G2829" s="14"/>
      <c r="H2829" s="14"/>
      <c r="I2829" s="14"/>
      <c r="J2829" s="14"/>
      <c r="K2829" s="14"/>
      <c r="L2829" s="15"/>
      <c r="M2829" s="15"/>
      <c r="N2829" s="15"/>
      <c r="O2829" s="15"/>
      <c r="P2829" s="15"/>
      <c r="Q2829" s="14"/>
      <c r="R2829" s="14"/>
      <c r="S2829" s="14"/>
      <c r="T2829" s="14"/>
      <c r="U2829" s="15"/>
      <c r="V2829" s="14"/>
      <c r="W2829" s="14"/>
      <c r="X2829" s="14"/>
      <c r="Y2829" s="14"/>
      <c r="Z2829" s="14"/>
    </row>
    <row r="2830" spans="1:26" ht="13.2">
      <c r="A2830" s="13"/>
      <c r="B2830" s="14"/>
      <c r="C2830" s="14"/>
      <c r="D2830" s="14"/>
      <c r="E2830" s="14"/>
      <c r="F2830" s="14"/>
      <c r="G2830" s="14"/>
      <c r="H2830" s="14"/>
      <c r="I2830" s="14"/>
      <c r="J2830" s="14"/>
      <c r="K2830" s="14"/>
      <c r="L2830" s="15"/>
      <c r="M2830" s="15"/>
      <c r="N2830" s="15"/>
      <c r="O2830" s="15"/>
      <c r="P2830" s="15"/>
      <c r="Q2830" s="14"/>
      <c r="R2830" s="14"/>
      <c r="S2830" s="14"/>
      <c r="T2830" s="14"/>
      <c r="U2830" s="15"/>
      <c r="V2830" s="14"/>
      <c r="W2830" s="14"/>
      <c r="X2830" s="14"/>
      <c r="Y2830" s="14"/>
      <c r="Z2830" s="14"/>
    </row>
    <row r="2831" spans="1:26" ht="13.2">
      <c r="A2831" s="13"/>
      <c r="B2831" s="14"/>
      <c r="C2831" s="14"/>
      <c r="D2831" s="14"/>
      <c r="E2831" s="14"/>
      <c r="F2831" s="14"/>
      <c r="G2831" s="14"/>
      <c r="H2831" s="14"/>
      <c r="I2831" s="14"/>
      <c r="J2831" s="14"/>
      <c r="K2831" s="14"/>
      <c r="L2831" s="15"/>
      <c r="M2831" s="15"/>
      <c r="N2831" s="15"/>
      <c r="O2831" s="15"/>
      <c r="P2831" s="15"/>
      <c r="Q2831" s="14"/>
      <c r="R2831" s="14"/>
      <c r="S2831" s="14"/>
      <c r="T2831" s="14"/>
      <c r="U2831" s="15"/>
      <c r="V2831" s="14"/>
      <c r="W2831" s="14"/>
      <c r="X2831" s="14"/>
      <c r="Y2831" s="14"/>
      <c r="Z2831" s="14"/>
    </row>
    <row r="2832" spans="1:26" ht="13.2">
      <c r="A2832" s="13"/>
      <c r="B2832" s="14"/>
      <c r="C2832" s="14"/>
      <c r="D2832" s="14"/>
      <c r="E2832" s="14"/>
      <c r="F2832" s="14"/>
      <c r="G2832" s="14"/>
      <c r="H2832" s="14"/>
      <c r="I2832" s="14"/>
      <c r="J2832" s="14"/>
      <c r="K2832" s="14"/>
      <c r="L2832" s="15"/>
      <c r="M2832" s="15"/>
      <c r="N2832" s="15"/>
      <c r="O2832" s="15"/>
      <c r="P2832" s="15"/>
      <c r="Q2832" s="14"/>
      <c r="R2832" s="14"/>
      <c r="S2832" s="14"/>
      <c r="T2832" s="14"/>
      <c r="U2832" s="15"/>
      <c r="V2832" s="14"/>
      <c r="W2832" s="14"/>
      <c r="X2832" s="14"/>
      <c r="Y2832" s="14"/>
      <c r="Z2832" s="14"/>
    </row>
    <row r="2833" spans="1:26" ht="13.2">
      <c r="A2833" s="13"/>
      <c r="B2833" s="14"/>
      <c r="C2833" s="14"/>
      <c r="D2833" s="14"/>
      <c r="E2833" s="14"/>
      <c r="F2833" s="14"/>
      <c r="G2833" s="14"/>
      <c r="H2833" s="14"/>
      <c r="I2833" s="14"/>
      <c r="J2833" s="14"/>
      <c r="K2833" s="14"/>
      <c r="L2833" s="15"/>
      <c r="M2833" s="15"/>
      <c r="N2833" s="15"/>
      <c r="O2833" s="15"/>
      <c r="P2833" s="15"/>
      <c r="Q2833" s="14"/>
      <c r="R2833" s="14"/>
      <c r="S2833" s="14"/>
      <c r="T2833" s="14"/>
      <c r="U2833" s="15"/>
      <c r="V2833" s="14"/>
      <c r="W2833" s="14"/>
      <c r="X2833" s="14"/>
      <c r="Y2833" s="14"/>
      <c r="Z2833" s="14"/>
    </row>
    <row r="2834" spans="1:26" ht="13.2">
      <c r="A2834" s="13"/>
      <c r="B2834" s="14"/>
      <c r="C2834" s="14"/>
      <c r="D2834" s="14"/>
      <c r="E2834" s="14"/>
      <c r="F2834" s="14"/>
      <c r="G2834" s="14"/>
      <c r="H2834" s="14"/>
      <c r="I2834" s="14"/>
      <c r="J2834" s="14"/>
      <c r="K2834" s="14"/>
      <c r="L2834" s="15"/>
      <c r="M2834" s="15"/>
      <c r="N2834" s="15"/>
      <c r="O2834" s="15"/>
      <c r="P2834" s="15"/>
      <c r="Q2834" s="14"/>
      <c r="R2834" s="14"/>
      <c r="S2834" s="14"/>
      <c r="T2834" s="14"/>
      <c r="U2834" s="15"/>
      <c r="V2834" s="14"/>
      <c r="W2834" s="14"/>
      <c r="X2834" s="14"/>
      <c r="Y2834" s="14"/>
      <c r="Z2834" s="14"/>
    </row>
    <row r="2835" spans="1:26" ht="13.2">
      <c r="A2835" s="13"/>
      <c r="B2835" s="14"/>
      <c r="C2835" s="14"/>
      <c r="D2835" s="14"/>
      <c r="E2835" s="14"/>
      <c r="F2835" s="14"/>
      <c r="G2835" s="14"/>
      <c r="H2835" s="14"/>
      <c r="I2835" s="14"/>
      <c r="J2835" s="14"/>
      <c r="K2835" s="14"/>
      <c r="L2835" s="15"/>
      <c r="M2835" s="15"/>
      <c r="N2835" s="15"/>
      <c r="O2835" s="15"/>
      <c r="P2835" s="15"/>
      <c r="Q2835" s="14"/>
      <c r="R2835" s="14"/>
      <c r="S2835" s="14"/>
      <c r="T2835" s="14"/>
      <c r="U2835" s="15"/>
      <c r="V2835" s="14"/>
      <c r="W2835" s="14"/>
      <c r="X2835" s="14"/>
      <c r="Y2835" s="14"/>
      <c r="Z2835" s="14"/>
    </row>
    <row r="2836" spans="1:26" ht="13.2">
      <c r="A2836" s="13"/>
      <c r="B2836" s="14"/>
      <c r="C2836" s="14"/>
      <c r="D2836" s="14"/>
      <c r="E2836" s="14"/>
      <c r="F2836" s="14"/>
      <c r="G2836" s="14"/>
      <c r="H2836" s="14"/>
      <c r="I2836" s="14"/>
      <c r="J2836" s="14"/>
      <c r="K2836" s="14"/>
      <c r="L2836" s="15"/>
      <c r="M2836" s="15"/>
      <c r="N2836" s="15"/>
      <c r="O2836" s="15"/>
      <c r="P2836" s="15"/>
      <c r="Q2836" s="14"/>
      <c r="R2836" s="14"/>
      <c r="S2836" s="14"/>
      <c r="T2836" s="14"/>
      <c r="U2836" s="15"/>
      <c r="V2836" s="14"/>
      <c r="W2836" s="14"/>
      <c r="X2836" s="14"/>
      <c r="Y2836" s="14"/>
      <c r="Z2836" s="14"/>
    </row>
    <row r="2837" spans="1:26" ht="13.2">
      <c r="A2837" s="13"/>
      <c r="B2837" s="14"/>
      <c r="C2837" s="14"/>
      <c r="D2837" s="14"/>
      <c r="E2837" s="14"/>
      <c r="F2837" s="14"/>
      <c r="G2837" s="14"/>
      <c r="H2837" s="14"/>
      <c r="I2837" s="14"/>
      <c r="J2837" s="14"/>
      <c r="K2837" s="14"/>
      <c r="L2837" s="15"/>
      <c r="M2837" s="15"/>
      <c r="N2837" s="15"/>
      <c r="O2837" s="15"/>
      <c r="P2837" s="15"/>
      <c r="Q2837" s="14"/>
      <c r="R2837" s="14"/>
      <c r="S2837" s="14"/>
      <c r="T2837" s="14"/>
      <c r="U2837" s="15"/>
      <c r="V2837" s="14"/>
      <c r="W2837" s="14"/>
      <c r="X2837" s="14"/>
      <c r="Y2837" s="14"/>
      <c r="Z2837" s="14"/>
    </row>
    <row r="2838" spans="1:26" ht="13.2">
      <c r="A2838" s="13"/>
      <c r="B2838" s="14"/>
      <c r="C2838" s="14"/>
      <c r="D2838" s="14"/>
      <c r="E2838" s="14"/>
      <c r="F2838" s="14"/>
      <c r="G2838" s="14"/>
      <c r="H2838" s="14"/>
      <c r="I2838" s="14"/>
      <c r="J2838" s="14"/>
      <c r="K2838" s="14"/>
      <c r="L2838" s="15"/>
      <c r="M2838" s="15"/>
      <c r="N2838" s="15"/>
      <c r="O2838" s="15"/>
      <c r="P2838" s="15"/>
      <c r="Q2838" s="14"/>
      <c r="R2838" s="14"/>
      <c r="S2838" s="14"/>
      <c r="T2838" s="14"/>
      <c r="U2838" s="15"/>
      <c r="V2838" s="14"/>
      <c r="W2838" s="14"/>
      <c r="X2838" s="14"/>
      <c r="Y2838" s="14"/>
      <c r="Z2838" s="14"/>
    </row>
    <row r="2839" spans="1:26" ht="13.2">
      <c r="A2839" s="13"/>
      <c r="B2839" s="14"/>
      <c r="C2839" s="14"/>
      <c r="D2839" s="14"/>
      <c r="E2839" s="14"/>
      <c r="F2839" s="14"/>
      <c r="G2839" s="14"/>
      <c r="H2839" s="14"/>
      <c r="I2839" s="14"/>
      <c r="J2839" s="14"/>
      <c r="K2839" s="14"/>
      <c r="L2839" s="15"/>
      <c r="M2839" s="15"/>
      <c r="N2839" s="15"/>
      <c r="O2839" s="15"/>
      <c r="P2839" s="15"/>
      <c r="Q2839" s="14"/>
      <c r="R2839" s="14"/>
      <c r="S2839" s="14"/>
      <c r="T2839" s="14"/>
      <c r="U2839" s="15"/>
      <c r="V2839" s="14"/>
      <c r="W2839" s="14"/>
      <c r="X2839" s="14"/>
      <c r="Y2839" s="14"/>
      <c r="Z2839" s="14"/>
    </row>
    <row r="2840" spans="1:26" ht="13.2">
      <c r="A2840" s="13"/>
      <c r="B2840" s="14"/>
      <c r="C2840" s="14"/>
      <c r="D2840" s="14"/>
      <c r="E2840" s="14"/>
      <c r="F2840" s="14"/>
      <c r="G2840" s="14"/>
      <c r="H2840" s="14"/>
      <c r="I2840" s="14"/>
      <c r="J2840" s="14"/>
      <c r="K2840" s="14"/>
      <c r="L2840" s="15"/>
      <c r="M2840" s="15"/>
      <c r="N2840" s="15"/>
      <c r="O2840" s="15"/>
      <c r="P2840" s="15"/>
      <c r="Q2840" s="14"/>
      <c r="R2840" s="14"/>
      <c r="S2840" s="14"/>
      <c r="T2840" s="14"/>
      <c r="U2840" s="15"/>
      <c r="V2840" s="14"/>
      <c r="W2840" s="14"/>
      <c r="X2840" s="14"/>
      <c r="Y2840" s="14"/>
      <c r="Z2840" s="14"/>
    </row>
    <row r="2841" spans="1:26" ht="13.2">
      <c r="A2841" s="13"/>
      <c r="B2841" s="14"/>
      <c r="C2841" s="14"/>
      <c r="D2841" s="14"/>
      <c r="E2841" s="14"/>
      <c r="F2841" s="14"/>
      <c r="G2841" s="14"/>
      <c r="H2841" s="14"/>
      <c r="I2841" s="14"/>
      <c r="J2841" s="14"/>
      <c r="K2841" s="14"/>
      <c r="L2841" s="15"/>
      <c r="M2841" s="15"/>
      <c r="N2841" s="15"/>
      <c r="O2841" s="15"/>
      <c r="P2841" s="15"/>
      <c r="Q2841" s="14"/>
      <c r="R2841" s="14"/>
      <c r="S2841" s="14"/>
      <c r="T2841" s="14"/>
      <c r="U2841" s="15"/>
      <c r="V2841" s="14"/>
      <c r="W2841" s="14"/>
      <c r="X2841" s="14"/>
      <c r="Y2841" s="14"/>
      <c r="Z2841" s="14"/>
    </row>
    <row r="2842" spans="1:26" ht="13.2">
      <c r="A2842" s="13"/>
      <c r="B2842" s="14"/>
      <c r="C2842" s="14"/>
      <c r="D2842" s="14"/>
      <c r="E2842" s="14"/>
      <c r="F2842" s="14"/>
      <c r="G2842" s="14"/>
      <c r="H2842" s="14"/>
      <c r="I2842" s="14"/>
      <c r="J2842" s="14"/>
      <c r="K2842" s="14"/>
      <c r="L2842" s="15"/>
      <c r="M2842" s="15"/>
      <c r="N2842" s="15"/>
      <c r="O2842" s="15"/>
      <c r="P2842" s="15"/>
      <c r="Q2842" s="14"/>
      <c r="R2842" s="14"/>
      <c r="S2842" s="14"/>
      <c r="T2842" s="14"/>
      <c r="U2842" s="15"/>
      <c r="V2842" s="14"/>
      <c r="W2842" s="14"/>
      <c r="X2842" s="14"/>
      <c r="Y2842" s="14"/>
      <c r="Z2842" s="14"/>
    </row>
    <row r="2843" spans="1:26" ht="13.2">
      <c r="A2843" s="13"/>
      <c r="B2843" s="14"/>
      <c r="C2843" s="14"/>
      <c r="D2843" s="14"/>
      <c r="E2843" s="14"/>
      <c r="F2843" s="14"/>
      <c r="G2843" s="14"/>
      <c r="H2843" s="14"/>
      <c r="I2843" s="14"/>
      <c r="J2843" s="14"/>
      <c r="K2843" s="14"/>
      <c r="L2843" s="15"/>
      <c r="M2843" s="15"/>
      <c r="N2843" s="15"/>
      <c r="O2843" s="15"/>
      <c r="P2843" s="15"/>
      <c r="Q2843" s="14"/>
      <c r="R2843" s="14"/>
      <c r="S2843" s="14"/>
      <c r="T2843" s="14"/>
      <c r="U2843" s="15"/>
      <c r="V2843" s="14"/>
      <c r="W2843" s="14"/>
      <c r="X2843" s="14"/>
      <c r="Y2843" s="14"/>
      <c r="Z2843" s="14"/>
    </row>
    <row r="2844" spans="1:26" ht="13.2">
      <c r="A2844" s="13"/>
      <c r="B2844" s="14"/>
      <c r="C2844" s="14"/>
      <c r="D2844" s="14"/>
      <c r="E2844" s="14"/>
      <c r="F2844" s="14"/>
      <c r="G2844" s="14"/>
      <c r="H2844" s="14"/>
      <c r="I2844" s="14"/>
      <c r="J2844" s="14"/>
      <c r="K2844" s="14"/>
      <c r="L2844" s="15"/>
      <c r="M2844" s="15"/>
      <c r="N2844" s="15"/>
      <c r="O2844" s="15"/>
      <c r="P2844" s="15"/>
      <c r="Q2844" s="14"/>
      <c r="R2844" s="14"/>
      <c r="S2844" s="14"/>
      <c r="T2844" s="14"/>
      <c r="U2844" s="15"/>
      <c r="V2844" s="14"/>
      <c r="W2844" s="14"/>
      <c r="X2844" s="14"/>
      <c r="Y2844" s="14"/>
      <c r="Z2844" s="14"/>
    </row>
    <row r="2845" spans="1:26" ht="13.2">
      <c r="A2845" s="13"/>
      <c r="B2845" s="14"/>
      <c r="C2845" s="14"/>
      <c r="D2845" s="14"/>
      <c r="E2845" s="14"/>
      <c r="F2845" s="14"/>
      <c r="G2845" s="14"/>
      <c r="H2845" s="14"/>
      <c r="I2845" s="14"/>
      <c r="J2845" s="14"/>
      <c r="K2845" s="14"/>
      <c r="L2845" s="15"/>
      <c r="M2845" s="15"/>
      <c r="N2845" s="15"/>
      <c r="O2845" s="15"/>
      <c r="P2845" s="15"/>
      <c r="Q2845" s="14"/>
      <c r="R2845" s="14"/>
      <c r="S2845" s="14"/>
      <c r="T2845" s="14"/>
      <c r="U2845" s="15"/>
      <c r="V2845" s="14"/>
      <c r="W2845" s="14"/>
      <c r="X2845" s="14"/>
      <c r="Y2845" s="14"/>
      <c r="Z2845" s="14"/>
    </row>
    <row r="2846" spans="1:26" ht="13.2">
      <c r="A2846" s="13"/>
      <c r="B2846" s="14"/>
      <c r="C2846" s="14"/>
      <c r="D2846" s="14"/>
      <c r="E2846" s="14"/>
      <c r="F2846" s="14"/>
      <c r="G2846" s="14"/>
      <c r="H2846" s="14"/>
      <c r="I2846" s="14"/>
      <c r="J2846" s="14"/>
      <c r="K2846" s="14"/>
      <c r="L2846" s="15"/>
      <c r="M2846" s="15"/>
      <c r="N2846" s="15"/>
      <c r="O2846" s="15"/>
      <c r="P2846" s="15"/>
      <c r="Q2846" s="14"/>
      <c r="R2846" s="14"/>
      <c r="S2846" s="14"/>
      <c r="T2846" s="14"/>
      <c r="U2846" s="15"/>
      <c r="V2846" s="14"/>
      <c r="W2846" s="14"/>
      <c r="X2846" s="14"/>
      <c r="Y2846" s="14"/>
      <c r="Z2846" s="14"/>
    </row>
    <row r="2847" spans="1:26" ht="13.2">
      <c r="A2847" s="13"/>
      <c r="B2847" s="14"/>
      <c r="C2847" s="14"/>
      <c r="D2847" s="14"/>
      <c r="E2847" s="14"/>
      <c r="F2847" s="14"/>
      <c r="G2847" s="14"/>
      <c r="H2847" s="14"/>
      <c r="I2847" s="14"/>
      <c r="J2847" s="14"/>
      <c r="K2847" s="14"/>
      <c r="L2847" s="15"/>
      <c r="M2847" s="15"/>
      <c r="N2847" s="15"/>
      <c r="O2847" s="15"/>
      <c r="P2847" s="15"/>
      <c r="Q2847" s="14"/>
      <c r="R2847" s="14"/>
      <c r="S2847" s="14"/>
      <c r="T2847" s="14"/>
      <c r="U2847" s="15"/>
      <c r="V2847" s="14"/>
      <c r="W2847" s="14"/>
      <c r="X2847" s="14"/>
      <c r="Y2847" s="14"/>
      <c r="Z2847" s="14"/>
    </row>
    <row r="2848" spans="1:26" ht="13.2">
      <c r="A2848" s="13"/>
      <c r="B2848" s="14"/>
      <c r="C2848" s="14"/>
      <c r="D2848" s="14"/>
      <c r="E2848" s="14"/>
      <c r="F2848" s="14"/>
      <c r="G2848" s="14"/>
      <c r="H2848" s="14"/>
      <c r="I2848" s="14"/>
      <c r="J2848" s="14"/>
      <c r="K2848" s="14"/>
      <c r="L2848" s="15"/>
      <c r="M2848" s="15"/>
      <c r="N2848" s="15"/>
      <c r="O2848" s="15"/>
      <c r="P2848" s="15"/>
      <c r="Q2848" s="14"/>
      <c r="R2848" s="14"/>
      <c r="S2848" s="14"/>
      <c r="T2848" s="14"/>
      <c r="U2848" s="15"/>
      <c r="V2848" s="14"/>
      <c r="W2848" s="14"/>
      <c r="X2848" s="14"/>
      <c r="Y2848" s="14"/>
      <c r="Z2848" s="14"/>
    </row>
    <row r="2849" spans="1:26" ht="13.2">
      <c r="A2849" s="13"/>
      <c r="B2849" s="14"/>
      <c r="C2849" s="14"/>
      <c r="D2849" s="14"/>
      <c r="E2849" s="14"/>
      <c r="F2849" s="14"/>
      <c r="G2849" s="14"/>
      <c r="H2849" s="14"/>
      <c r="I2849" s="14"/>
      <c r="J2849" s="14"/>
      <c r="K2849" s="14"/>
      <c r="L2849" s="15"/>
      <c r="M2849" s="15"/>
      <c r="N2849" s="15"/>
      <c r="O2849" s="15"/>
      <c r="P2849" s="15"/>
      <c r="Q2849" s="14"/>
      <c r="R2849" s="14"/>
      <c r="S2849" s="14"/>
      <c r="T2849" s="14"/>
      <c r="U2849" s="15"/>
      <c r="V2849" s="14"/>
      <c r="W2849" s="14"/>
      <c r="X2849" s="14"/>
      <c r="Y2849" s="14"/>
      <c r="Z2849" s="14"/>
    </row>
    <row r="2850" spans="1:26" ht="13.2">
      <c r="A2850" s="13"/>
      <c r="B2850" s="14"/>
      <c r="C2850" s="14"/>
      <c r="D2850" s="14"/>
      <c r="E2850" s="14"/>
      <c r="F2850" s="14"/>
      <c r="G2850" s="14"/>
      <c r="H2850" s="14"/>
      <c r="I2850" s="14"/>
      <c r="J2850" s="14"/>
      <c r="K2850" s="14"/>
      <c r="L2850" s="15"/>
      <c r="M2850" s="15"/>
      <c r="N2850" s="15"/>
      <c r="O2850" s="15"/>
      <c r="P2850" s="15"/>
      <c r="Q2850" s="14"/>
      <c r="R2850" s="14"/>
      <c r="S2850" s="14"/>
      <c r="T2850" s="14"/>
      <c r="U2850" s="15"/>
      <c r="V2850" s="14"/>
      <c r="W2850" s="14"/>
      <c r="X2850" s="14"/>
      <c r="Y2850" s="14"/>
      <c r="Z2850" s="14"/>
    </row>
    <row r="2851" spans="1:26" ht="13.2">
      <c r="A2851" s="13"/>
      <c r="B2851" s="14"/>
      <c r="C2851" s="14"/>
      <c r="D2851" s="14"/>
      <c r="E2851" s="14"/>
      <c r="F2851" s="14"/>
      <c r="G2851" s="14"/>
      <c r="H2851" s="14"/>
      <c r="I2851" s="14"/>
      <c r="J2851" s="14"/>
      <c r="K2851" s="14"/>
      <c r="L2851" s="15"/>
      <c r="M2851" s="15"/>
      <c r="N2851" s="15"/>
      <c r="O2851" s="15"/>
      <c r="P2851" s="15"/>
      <c r="Q2851" s="14"/>
      <c r="R2851" s="14"/>
      <c r="S2851" s="14"/>
      <c r="T2851" s="14"/>
      <c r="U2851" s="15"/>
      <c r="V2851" s="14"/>
      <c r="W2851" s="14"/>
      <c r="X2851" s="14"/>
      <c r="Y2851" s="14"/>
      <c r="Z2851" s="14"/>
    </row>
    <row r="2852" spans="1:26" ht="13.2">
      <c r="A2852" s="13"/>
      <c r="B2852" s="14"/>
      <c r="C2852" s="14"/>
      <c r="D2852" s="14"/>
      <c r="E2852" s="14"/>
      <c r="F2852" s="14"/>
      <c r="G2852" s="14"/>
      <c r="H2852" s="14"/>
      <c r="I2852" s="14"/>
      <c r="J2852" s="14"/>
      <c r="K2852" s="14"/>
      <c r="L2852" s="15"/>
      <c r="M2852" s="15"/>
      <c r="N2852" s="15"/>
      <c r="O2852" s="15"/>
      <c r="P2852" s="15"/>
      <c r="Q2852" s="14"/>
      <c r="R2852" s="14"/>
      <c r="S2852" s="14"/>
      <c r="T2852" s="14"/>
      <c r="U2852" s="15"/>
      <c r="V2852" s="14"/>
      <c r="W2852" s="14"/>
      <c r="X2852" s="14"/>
      <c r="Y2852" s="14"/>
      <c r="Z2852" s="14"/>
    </row>
    <row r="2853" spans="1:26" ht="13.2">
      <c r="A2853" s="13"/>
      <c r="B2853" s="14"/>
      <c r="C2853" s="14"/>
      <c r="D2853" s="14"/>
      <c r="E2853" s="14"/>
      <c r="F2853" s="14"/>
      <c r="G2853" s="14"/>
      <c r="H2853" s="14"/>
      <c r="I2853" s="14"/>
      <c r="J2853" s="14"/>
      <c r="K2853" s="14"/>
      <c r="L2853" s="15"/>
      <c r="M2853" s="15"/>
      <c r="N2853" s="15"/>
      <c r="O2853" s="15"/>
      <c r="P2853" s="15"/>
      <c r="Q2853" s="14"/>
      <c r="R2853" s="14"/>
      <c r="S2853" s="14"/>
      <c r="T2853" s="14"/>
      <c r="U2853" s="15"/>
      <c r="V2853" s="14"/>
      <c r="W2853" s="14"/>
      <c r="X2853" s="14"/>
      <c r="Y2853" s="14"/>
      <c r="Z2853" s="14"/>
    </row>
    <row r="2854" spans="1:26" ht="13.2">
      <c r="A2854" s="13"/>
      <c r="B2854" s="14"/>
      <c r="C2854" s="14"/>
      <c r="D2854" s="14"/>
      <c r="E2854" s="14"/>
      <c r="F2854" s="14"/>
      <c r="G2854" s="14"/>
      <c r="H2854" s="14"/>
      <c r="I2854" s="14"/>
      <c r="J2854" s="14"/>
      <c r="K2854" s="14"/>
      <c r="L2854" s="15"/>
      <c r="M2854" s="15"/>
      <c r="N2854" s="15"/>
      <c r="O2854" s="15"/>
      <c r="P2854" s="15"/>
      <c r="Q2854" s="14"/>
      <c r="R2854" s="14"/>
      <c r="S2854" s="14"/>
      <c r="T2854" s="14"/>
      <c r="U2854" s="15"/>
      <c r="V2854" s="14"/>
      <c r="W2854" s="14"/>
      <c r="X2854" s="14"/>
      <c r="Y2854" s="14"/>
      <c r="Z2854" s="14"/>
    </row>
    <row r="2855" spans="1:26" ht="13.2">
      <c r="A2855" s="13"/>
      <c r="B2855" s="14"/>
      <c r="C2855" s="14"/>
      <c r="D2855" s="14"/>
      <c r="E2855" s="14"/>
      <c r="F2855" s="14"/>
      <c r="G2855" s="14"/>
      <c r="H2855" s="14"/>
      <c r="I2855" s="14"/>
      <c r="J2855" s="14"/>
      <c r="K2855" s="14"/>
      <c r="L2855" s="15"/>
      <c r="M2855" s="15"/>
      <c r="N2855" s="15"/>
      <c r="O2855" s="15"/>
      <c r="P2855" s="15"/>
      <c r="Q2855" s="14"/>
      <c r="R2855" s="14"/>
      <c r="S2855" s="14"/>
      <c r="T2855" s="14"/>
      <c r="U2855" s="15"/>
      <c r="V2855" s="14"/>
      <c r="W2855" s="14"/>
      <c r="X2855" s="14"/>
      <c r="Y2855" s="14"/>
      <c r="Z2855" s="14"/>
    </row>
    <row r="2856" spans="1:26" ht="13.2">
      <c r="A2856" s="13"/>
      <c r="B2856" s="14"/>
      <c r="C2856" s="14"/>
      <c r="D2856" s="14"/>
      <c r="E2856" s="14"/>
      <c r="F2856" s="14"/>
      <c r="G2856" s="14"/>
      <c r="H2856" s="14"/>
      <c r="I2856" s="14"/>
      <c r="J2856" s="14"/>
      <c r="K2856" s="14"/>
      <c r="L2856" s="15"/>
      <c r="M2856" s="15"/>
      <c r="N2856" s="15"/>
      <c r="O2856" s="15"/>
      <c r="P2856" s="15"/>
      <c r="Q2856" s="14"/>
      <c r="R2856" s="14"/>
      <c r="S2856" s="14"/>
      <c r="T2856" s="14"/>
      <c r="U2856" s="15"/>
      <c r="V2856" s="14"/>
      <c r="W2856" s="14"/>
      <c r="X2856" s="14"/>
      <c r="Y2856" s="14"/>
      <c r="Z2856" s="14"/>
    </row>
    <row r="2857" spans="1:26" ht="13.2">
      <c r="A2857" s="13"/>
      <c r="B2857" s="14"/>
      <c r="C2857" s="14"/>
      <c r="D2857" s="14"/>
      <c r="E2857" s="14"/>
      <c r="F2857" s="14"/>
      <c r="G2857" s="14"/>
      <c r="H2857" s="14"/>
      <c r="I2857" s="14"/>
      <c r="J2857" s="14"/>
      <c r="K2857" s="14"/>
      <c r="L2857" s="15"/>
      <c r="M2857" s="15"/>
      <c r="N2857" s="15"/>
      <c r="O2857" s="15"/>
      <c r="P2857" s="15"/>
      <c r="Q2857" s="14"/>
      <c r="R2857" s="14"/>
      <c r="S2857" s="14"/>
      <c r="T2857" s="14"/>
      <c r="U2857" s="15"/>
      <c r="V2857" s="14"/>
      <c r="W2857" s="14"/>
      <c r="X2857" s="14"/>
      <c r="Y2857" s="14"/>
      <c r="Z2857" s="14"/>
    </row>
    <row r="2858" spans="1:26" ht="13.2">
      <c r="A2858" s="13"/>
      <c r="B2858" s="14"/>
      <c r="C2858" s="14"/>
      <c r="D2858" s="14"/>
      <c r="E2858" s="14"/>
      <c r="F2858" s="14"/>
      <c r="G2858" s="14"/>
      <c r="H2858" s="14"/>
      <c r="I2858" s="14"/>
      <c r="J2858" s="14"/>
      <c r="K2858" s="14"/>
      <c r="L2858" s="15"/>
      <c r="M2858" s="15"/>
      <c r="N2858" s="15"/>
      <c r="O2858" s="15"/>
      <c r="P2858" s="15"/>
      <c r="Q2858" s="14"/>
      <c r="R2858" s="14"/>
      <c r="S2858" s="14"/>
      <c r="T2858" s="14"/>
      <c r="U2858" s="15"/>
      <c r="V2858" s="14"/>
      <c r="W2858" s="14"/>
      <c r="X2858" s="14"/>
      <c r="Y2858" s="14"/>
      <c r="Z2858" s="14"/>
    </row>
    <row r="2859" spans="1:26" ht="13.2">
      <c r="A2859" s="13"/>
      <c r="B2859" s="14"/>
      <c r="C2859" s="14"/>
      <c r="D2859" s="14"/>
      <c r="E2859" s="14"/>
      <c r="F2859" s="14"/>
      <c r="G2859" s="14"/>
      <c r="H2859" s="14"/>
      <c r="I2859" s="14"/>
      <c r="J2859" s="14"/>
      <c r="K2859" s="14"/>
      <c r="L2859" s="15"/>
      <c r="M2859" s="15"/>
      <c r="N2859" s="15"/>
      <c r="O2859" s="15"/>
      <c r="P2859" s="15"/>
      <c r="Q2859" s="14"/>
      <c r="R2859" s="14"/>
      <c r="S2859" s="14"/>
      <c r="T2859" s="14"/>
      <c r="U2859" s="15"/>
      <c r="V2859" s="14"/>
      <c r="W2859" s="14"/>
      <c r="X2859" s="14"/>
      <c r="Y2859" s="14"/>
      <c r="Z2859" s="14"/>
    </row>
    <row r="2860" spans="1:26" ht="13.2">
      <c r="A2860" s="13"/>
      <c r="B2860" s="14"/>
      <c r="C2860" s="14"/>
      <c r="D2860" s="14"/>
      <c r="E2860" s="14"/>
      <c r="F2860" s="14"/>
      <c r="G2860" s="14"/>
      <c r="H2860" s="14"/>
      <c r="I2860" s="14"/>
      <c r="J2860" s="14"/>
      <c r="K2860" s="14"/>
      <c r="L2860" s="15"/>
      <c r="M2860" s="15"/>
      <c r="N2860" s="15"/>
      <c r="O2860" s="15"/>
      <c r="P2860" s="15"/>
      <c r="Q2860" s="14"/>
      <c r="R2860" s="14"/>
      <c r="S2860" s="14"/>
      <c r="T2860" s="14"/>
      <c r="U2860" s="15"/>
      <c r="V2860" s="14"/>
      <c r="W2860" s="14"/>
      <c r="X2860" s="14"/>
      <c r="Y2860" s="14"/>
      <c r="Z2860" s="14"/>
    </row>
    <row r="2861" spans="1:26" ht="13.2">
      <c r="A2861" s="13"/>
      <c r="B2861" s="14"/>
      <c r="C2861" s="14"/>
      <c r="D2861" s="14"/>
      <c r="E2861" s="14"/>
      <c r="F2861" s="14"/>
      <c r="G2861" s="14"/>
      <c r="H2861" s="14"/>
      <c r="I2861" s="14"/>
      <c r="J2861" s="14"/>
      <c r="K2861" s="14"/>
      <c r="L2861" s="15"/>
      <c r="M2861" s="15"/>
      <c r="N2861" s="15"/>
      <c r="O2861" s="15"/>
      <c r="P2861" s="15"/>
      <c r="Q2861" s="14"/>
      <c r="R2861" s="14"/>
      <c r="S2861" s="14"/>
      <c r="T2861" s="14"/>
      <c r="U2861" s="15"/>
      <c r="V2861" s="14"/>
      <c r="W2861" s="14"/>
      <c r="X2861" s="14"/>
      <c r="Y2861" s="14"/>
      <c r="Z2861" s="14"/>
    </row>
    <row r="2862" spans="1:26" ht="13.2">
      <c r="A2862" s="13"/>
      <c r="B2862" s="14"/>
      <c r="C2862" s="14"/>
      <c r="D2862" s="14"/>
      <c r="E2862" s="14"/>
      <c r="F2862" s="14"/>
      <c r="G2862" s="14"/>
      <c r="H2862" s="14"/>
      <c r="I2862" s="14"/>
      <c r="J2862" s="14"/>
      <c r="K2862" s="14"/>
      <c r="L2862" s="15"/>
      <c r="M2862" s="15"/>
      <c r="N2862" s="15"/>
      <c r="O2862" s="15"/>
      <c r="P2862" s="15"/>
      <c r="Q2862" s="14"/>
      <c r="R2862" s="14"/>
      <c r="S2862" s="14"/>
      <c r="T2862" s="14"/>
      <c r="U2862" s="15"/>
      <c r="V2862" s="14"/>
      <c r="W2862" s="14"/>
      <c r="X2862" s="14"/>
      <c r="Y2862" s="14"/>
      <c r="Z2862" s="14"/>
    </row>
    <row r="2863" spans="1:26" ht="13.2">
      <c r="A2863" s="13"/>
      <c r="B2863" s="14"/>
      <c r="C2863" s="14"/>
      <c r="D2863" s="14"/>
      <c r="E2863" s="14"/>
      <c r="F2863" s="14"/>
      <c r="G2863" s="14"/>
      <c r="H2863" s="14"/>
      <c r="I2863" s="14"/>
      <c r="J2863" s="14"/>
      <c r="K2863" s="14"/>
      <c r="L2863" s="15"/>
      <c r="M2863" s="15"/>
      <c r="N2863" s="15"/>
      <c r="O2863" s="15"/>
      <c r="P2863" s="15"/>
      <c r="Q2863" s="14"/>
      <c r="R2863" s="14"/>
      <c r="S2863" s="14"/>
      <c r="T2863" s="14"/>
      <c r="U2863" s="15"/>
      <c r="V2863" s="14"/>
      <c r="W2863" s="14"/>
      <c r="X2863" s="14"/>
      <c r="Y2863" s="14"/>
      <c r="Z2863" s="14"/>
    </row>
    <row r="2864" spans="1:26" ht="13.2">
      <c r="A2864" s="13"/>
      <c r="B2864" s="14"/>
      <c r="C2864" s="14"/>
      <c r="D2864" s="14"/>
      <c r="E2864" s="14"/>
      <c r="F2864" s="14"/>
      <c r="G2864" s="14"/>
      <c r="H2864" s="14"/>
      <c r="I2864" s="14"/>
      <c r="J2864" s="14"/>
      <c r="K2864" s="14"/>
      <c r="L2864" s="15"/>
      <c r="M2864" s="15"/>
      <c r="N2864" s="15"/>
      <c r="O2864" s="15"/>
      <c r="P2864" s="15"/>
      <c r="Q2864" s="14"/>
      <c r="R2864" s="14"/>
      <c r="S2864" s="14"/>
      <c r="T2864" s="14"/>
      <c r="U2864" s="15"/>
      <c r="V2864" s="14"/>
      <c r="W2864" s="14"/>
      <c r="X2864" s="14"/>
      <c r="Y2864" s="14"/>
      <c r="Z2864" s="14"/>
    </row>
    <row r="2865" spans="1:26" ht="13.2">
      <c r="A2865" s="13"/>
      <c r="B2865" s="14"/>
      <c r="C2865" s="14"/>
      <c r="D2865" s="14"/>
      <c r="E2865" s="14"/>
      <c r="F2865" s="14"/>
      <c r="G2865" s="14"/>
      <c r="H2865" s="14"/>
      <c r="I2865" s="14"/>
      <c r="J2865" s="14"/>
      <c r="K2865" s="14"/>
      <c r="L2865" s="15"/>
      <c r="M2865" s="15"/>
      <c r="N2865" s="15"/>
      <c r="O2865" s="15"/>
      <c r="P2865" s="15"/>
      <c r="Q2865" s="14"/>
      <c r="R2865" s="14"/>
      <c r="S2865" s="14"/>
      <c r="T2865" s="14"/>
      <c r="U2865" s="15"/>
      <c r="V2865" s="14"/>
      <c r="W2865" s="14"/>
      <c r="X2865" s="14"/>
      <c r="Y2865" s="14"/>
      <c r="Z2865" s="14"/>
    </row>
    <row r="2866" spans="1:26" ht="13.2">
      <c r="A2866" s="13"/>
      <c r="B2866" s="14"/>
      <c r="C2866" s="14"/>
      <c r="D2866" s="14"/>
      <c r="E2866" s="14"/>
      <c r="F2866" s="14"/>
      <c r="G2866" s="14"/>
      <c r="H2866" s="14"/>
      <c r="I2866" s="14"/>
      <c r="J2866" s="14"/>
      <c r="K2866" s="14"/>
      <c r="L2866" s="15"/>
      <c r="M2866" s="15"/>
      <c r="N2866" s="15"/>
      <c r="O2866" s="15"/>
      <c r="P2866" s="15"/>
      <c r="Q2866" s="14"/>
      <c r="R2866" s="14"/>
      <c r="S2866" s="14"/>
      <c r="T2866" s="14"/>
      <c r="U2866" s="15"/>
      <c r="V2866" s="14"/>
      <c r="W2866" s="14"/>
      <c r="X2866" s="14"/>
      <c r="Y2866" s="14"/>
      <c r="Z2866" s="14"/>
    </row>
    <row r="2867" spans="1:26" ht="13.2">
      <c r="A2867" s="13"/>
      <c r="B2867" s="14"/>
      <c r="C2867" s="14"/>
      <c r="D2867" s="14"/>
      <c r="E2867" s="14"/>
      <c r="F2867" s="14"/>
      <c r="G2867" s="14"/>
      <c r="H2867" s="14"/>
      <c r="I2867" s="14"/>
      <c r="J2867" s="14"/>
      <c r="K2867" s="14"/>
      <c r="L2867" s="15"/>
      <c r="M2867" s="15"/>
      <c r="N2867" s="15"/>
      <c r="O2867" s="15"/>
      <c r="P2867" s="15"/>
      <c r="Q2867" s="14"/>
      <c r="R2867" s="14"/>
      <c r="S2867" s="14"/>
      <c r="T2867" s="14"/>
      <c r="U2867" s="15"/>
      <c r="V2867" s="14"/>
      <c r="W2867" s="14"/>
      <c r="X2867" s="14"/>
      <c r="Y2867" s="14"/>
      <c r="Z2867" s="14"/>
    </row>
    <row r="2868" spans="1:26" ht="13.2">
      <c r="A2868" s="13"/>
      <c r="B2868" s="14"/>
      <c r="C2868" s="14"/>
      <c r="D2868" s="14"/>
      <c r="E2868" s="14"/>
      <c r="F2868" s="14"/>
      <c r="G2868" s="14"/>
      <c r="H2868" s="14"/>
      <c r="I2868" s="14"/>
      <c r="J2868" s="14"/>
      <c r="K2868" s="14"/>
      <c r="L2868" s="15"/>
      <c r="M2868" s="15"/>
      <c r="N2868" s="15"/>
      <c r="O2868" s="15"/>
      <c r="P2868" s="15"/>
      <c r="Q2868" s="14"/>
      <c r="R2868" s="14"/>
      <c r="S2868" s="14"/>
      <c r="T2868" s="14"/>
      <c r="U2868" s="15"/>
      <c r="V2868" s="14"/>
      <c r="W2868" s="14"/>
      <c r="X2868" s="14"/>
      <c r="Y2868" s="14"/>
      <c r="Z2868" s="14"/>
    </row>
    <row r="2869" spans="1:26" ht="13.2">
      <c r="A2869" s="13"/>
      <c r="B2869" s="14"/>
      <c r="C2869" s="14"/>
      <c r="D2869" s="14"/>
      <c r="E2869" s="14"/>
      <c r="F2869" s="14"/>
      <c r="G2869" s="14"/>
      <c r="H2869" s="14"/>
      <c r="I2869" s="14"/>
      <c r="J2869" s="14"/>
      <c r="K2869" s="14"/>
      <c r="L2869" s="15"/>
      <c r="M2869" s="15"/>
      <c r="N2869" s="15"/>
      <c r="O2869" s="15"/>
      <c r="P2869" s="15"/>
      <c r="Q2869" s="14"/>
      <c r="R2869" s="14"/>
      <c r="S2869" s="14"/>
      <c r="T2869" s="14"/>
      <c r="U2869" s="15"/>
      <c r="V2869" s="14"/>
      <c r="W2869" s="14"/>
      <c r="X2869" s="14"/>
      <c r="Y2869" s="14"/>
      <c r="Z2869" s="14"/>
    </row>
    <row r="2870" spans="1:26" ht="13.2">
      <c r="A2870" s="13"/>
      <c r="B2870" s="14"/>
      <c r="C2870" s="14"/>
      <c r="D2870" s="14"/>
      <c r="E2870" s="14"/>
      <c r="F2870" s="14"/>
      <c r="G2870" s="14"/>
      <c r="H2870" s="14"/>
      <c r="I2870" s="14"/>
      <c r="J2870" s="14"/>
      <c r="K2870" s="14"/>
      <c r="L2870" s="15"/>
      <c r="M2870" s="15"/>
      <c r="N2870" s="15"/>
      <c r="O2870" s="15"/>
      <c r="P2870" s="15"/>
      <c r="Q2870" s="14"/>
      <c r="R2870" s="14"/>
      <c r="S2870" s="14"/>
      <c r="T2870" s="14"/>
      <c r="U2870" s="15"/>
      <c r="V2870" s="14"/>
      <c r="W2870" s="14"/>
      <c r="X2870" s="14"/>
      <c r="Y2870" s="14"/>
      <c r="Z2870" s="14"/>
    </row>
    <row r="2871" spans="1:26" ht="13.2">
      <c r="A2871" s="13"/>
      <c r="B2871" s="14"/>
      <c r="C2871" s="14"/>
      <c r="D2871" s="14"/>
      <c r="E2871" s="14"/>
      <c r="F2871" s="14"/>
      <c r="G2871" s="14"/>
      <c r="H2871" s="14"/>
      <c r="I2871" s="14"/>
      <c r="J2871" s="14"/>
      <c r="K2871" s="14"/>
      <c r="L2871" s="15"/>
      <c r="M2871" s="15"/>
      <c r="N2871" s="15"/>
      <c r="O2871" s="15"/>
      <c r="P2871" s="15"/>
      <c r="Q2871" s="14"/>
      <c r="R2871" s="14"/>
      <c r="S2871" s="14"/>
      <c r="T2871" s="14"/>
      <c r="U2871" s="15"/>
      <c r="V2871" s="14"/>
      <c r="W2871" s="14"/>
      <c r="X2871" s="14"/>
      <c r="Y2871" s="14"/>
      <c r="Z2871" s="14"/>
    </row>
    <row r="2872" spans="1:26" ht="13.2">
      <c r="A2872" s="13"/>
      <c r="B2872" s="14"/>
      <c r="C2872" s="14"/>
      <c r="D2872" s="14"/>
      <c r="E2872" s="14"/>
      <c r="F2872" s="14"/>
      <c r="G2872" s="14"/>
      <c r="H2872" s="14"/>
      <c r="I2872" s="14"/>
      <c r="J2872" s="14"/>
      <c r="K2872" s="14"/>
      <c r="L2872" s="15"/>
      <c r="M2872" s="15"/>
      <c r="N2872" s="15"/>
      <c r="O2872" s="15"/>
      <c r="P2872" s="15"/>
      <c r="Q2872" s="14"/>
      <c r="R2872" s="14"/>
      <c r="S2872" s="14"/>
      <c r="T2872" s="14"/>
      <c r="U2872" s="15"/>
      <c r="V2872" s="14"/>
      <c r="W2872" s="14"/>
      <c r="X2872" s="14"/>
      <c r="Y2872" s="14"/>
      <c r="Z2872" s="14"/>
    </row>
    <row r="2873" spans="1:26" ht="13.2">
      <c r="A2873" s="13"/>
      <c r="B2873" s="14"/>
      <c r="C2873" s="14"/>
      <c r="D2873" s="14"/>
      <c r="E2873" s="14"/>
      <c r="F2873" s="14"/>
      <c r="G2873" s="14"/>
      <c r="H2873" s="14"/>
      <c r="I2873" s="14"/>
      <c r="J2873" s="14"/>
      <c r="K2873" s="14"/>
      <c r="L2873" s="15"/>
      <c r="M2873" s="15"/>
      <c r="N2873" s="15"/>
      <c r="O2873" s="15"/>
      <c r="P2873" s="15"/>
      <c r="Q2873" s="14"/>
      <c r="R2873" s="14"/>
      <c r="S2873" s="14"/>
      <c r="T2873" s="14"/>
      <c r="U2873" s="15"/>
      <c r="V2873" s="14"/>
      <c r="W2873" s="14"/>
      <c r="X2873" s="14"/>
      <c r="Y2873" s="14"/>
      <c r="Z2873" s="14"/>
    </row>
    <row r="2874" spans="1:26" ht="13.2">
      <c r="A2874" s="13"/>
      <c r="B2874" s="14"/>
      <c r="C2874" s="14"/>
      <c r="D2874" s="14"/>
      <c r="E2874" s="14"/>
      <c r="F2874" s="14"/>
      <c r="G2874" s="14"/>
      <c r="H2874" s="14"/>
      <c r="I2874" s="14"/>
      <c r="J2874" s="14"/>
      <c r="K2874" s="14"/>
      <c r="L2874" s="15"/>
      <c r="M2874" s="15"/>
      <c r="N2874" s="15"/>
      <c r="O2874" s="15"/>
      <c r="P2874" s="15"/>
      <c r="Q2874" s="14"/>
      <c r="R2874" s="14"/>
      <c r="S2874" s="14"/>
      <c r="T2874" s="14"/>
      <c r="U2874" s="15"/>
      <c r="V2874" s="14"/>
      <c r="W2874" s="14"/>
      <c r="X2874" s="14"/>
      <c r="Y2874" s="14"/>
      <c r="Z2874" s="14"/>
    </row>
    <row r="2875" spans="1:26" ht="13.2">
      <c r="A2875" s="13"/>
      <c r="B2875" s="14"/>
      <c r="C2875" s="14"/>
      <c r="D2875" s="14"/>
      <c r="E2875" s="14"/>
      <c r="F2875" s="14"/>
      <c r="G2875" s="14"/>
      <c r="H2875" s="14"/>
      <c r="I2875" s="14"/>
      <c r="J2875" s="14"/>
      <c r="K2875" s="14"/>
      <c r="L2875" s="15"/>
      <c r="M2875" s="15"/>
      <c r="N2875" s="15"/>
      <c r="O2875" s="15"/>
      <c r="P2875" s="15"/>
      <c r="Q2875" s="14"/>
      <c r="R2875" s="14"/>
      <c r="S2875" s="14"/>
      <c r="T2875" s="14"/>
      <c r="U2875" s="15"/>
      <c r="V2875" s="14"/>
      <c r="W2875" s="14"/>
      <c r="X2875" s="14"/>
      <c r="Y2875" s="14"/>
      <c r="Z2875" s="14"/>
    </row>
    <row r="2876" spans="1:26" ht="13.2">
      <c r="A2876" s="13"/>
      <c r="B2876" s="14"/>
      <c r="C2876" s="14"/>
      <c r="D2876" s="14"/>
      <c r="E2876" s="14"/>
      <c r="F2876" s="14"/>
      <c r="G2876" s="14"/>
      <c r="H2876" s="14"/>
      <c r="I2876" s="14"/>
      <c r="J2876" s="14"/>
      <c r="K2876" s="14"/>
      <c r="L2876" s="15"/>
      <c r="M2876" s="15"/>
      <c r="N2876" s="15"/>
      <c r="O2876" s="15"/>
      <c r="P2876" s="15"/>
      <c r="Q2876" s="14"/>
      <c r="R2876" s="14"/>
      <c r="S2876" s="14"/>
      <c r="T2876" s="14"/>
      <c r="U2876" s="15"/>
      <c r="V2876" s="14"/>
      <c r="W2876" s="14"/>
      <c r="X2876" s="14"/>
      <c r="Y2876" s="14"/>
      <c r="Z2876" s="14"/>
    </row>
    <row r="2877" spans="1:26" ht="13.2">
      <c r="A2877" s="13"/>
      <c r="B2877" s="14"/>
      <c r="C2877" s="14"/>
      <c r="D2877" s="14"/>
      <c r="E2877" s="14"/>
      <c r="F2877" s="14"/>
      <c r="G2877" s="14"/>
      <c r="H2877" s="14"/>
      <c r="I2877" s="14"/>
      <c r="J2877" s="14"/>
      <c r="K2877" s="14"/>
      <c r="L2877" s="15"/>
      <c r="M2877" s="15"/>
      <c r="N2877" s="15"/>
      <c r="O2877" s="15"/>
      <c r="P2877" s="15"/>
      <c r="Q2877" s="14"/>
      <c r="R2877" s="14"/>
      <c r="S2877" s="14"/>
      <c r="T2877" s="14"/>
      <c r="U2877" s="15"/>
      <c r="V2877" s="14"/>
      <c r="W2877" s="14"/>
      <c r="X2877" s="14"/>
      <c r="Y2877" s="14"/>
      <c r="Z2877" s="14"/>
    </row>
    <row r="2878" spans="1:26" ht="13.2">
      <c r="A2878" s="13"/>
      <c r="B2878" s="14"/>
      <c r="C2878" s="14"/>
      <c r="D2878" s="14"/>
      <c r="E2878" s="14"/>
      <c r="F2878" s="14"/>
      <c r="G2878" s="14"/>
      <c r="H2878" s="14"/>
      <c r="I2878" s="14"/>
      <c r="J2878" s="14"/>
      <c r="K2878" s="14"/>
      <c r="L2878" s="15"/>
      <c r="M2878" s="15"/>
      <c r="N2878" s="15"/>
      <c r="O2878" s="15"/>
      <c r="P2878" s="15"/>
      <c r="Q2878" s="14"/>
      <c r="R2878" s="14"/>
      <c r="S2878" s="14"/>
      <c r="T2878" s="14"/>
      <c r="U2878" s="15"/>
      <c r="V2878" s="14"/>
      <c r="W2878" s="14"/>
      <c r="X2878" s="14"/>
      <c r="Y2878" s="14"/>
      <c r="Z2878" s="14"/>
    </row>
    <row r="2879" spans="1:26" ht="13.2">
      <c r="A2879" s="13"/>
      <c r="B2879" s="14"/>
      <c r="C2879" s="14"/>
      <c r="D2879" s="14"/>
      <c r="E2879" s="14"/>
      <c r="F2879" s="14"/>
      <c r="G2879" s="14"/>
      <c r="H2879" s="14"/>
      <c r="I2879" s="14"/>
      <c r="J2879" s="14"/>
      <c r="K2879" s="14"/>
      <c r="L2879" s="15"/>
      <c r="M2879" s="15"/>
      <c r="N2879" s="15"/>
      <c r="O2879" s="15"/>
      <c r="P2879" s="15"/>
      <c r="Q2879" s="14"/>
      <c r="R2879" s="14"/>
      <c r="S2879" s="14"/>
      <c r="T2879" s="14"/>
      <c r="U2879" s="15"/>
      <c r="V2879" s="14"/>
      <c r="W2879" s="14"/>
      <c r="X2879" s="14"/>
      <c r="Y2879" s="14"/>
      <c r="Z2879" s="14"/>
    </row>
    <row r="2880" spans="1:26" ht="13.2">
      <c r="A2880" s="13"/>
      <c r="B2880" s="14"/>
      <c r="C2880" s="14"/>
      <c r="D2880" s="14"/>
      <c r="E2880" s="14"/>
      <c r="F2880" s="14"/>
      <c r="G2880" s="14"/>
      <c r="H2880" s="14"/>
      <c r="I2880" s="14"/>
      <c r="J2880" s="14"/>
      <c r="K2880" s="14"/>
      <c r="L2880" s="15"/>
      <c r="M2880" s="15"/>
      <c r="N2880" s="15"/>
      <c r="O2880" s="15"/>
      <c r="P2880" s="15"/>
      <c r="Q2880" s="14"/>
      <c r="R2880" s="14"/>
      <c r="S2880" s="14"/>
      <c r="T2880" s="14"/>
      <c r="U2880" s="15"/>
      <c r="V2880" s="14"/>
      <c r="W2880" s="14"/>
      <c r="X2880" s="14"/>
      <c r="Y2880" s="14"/>
      <c r="Z2880" s="14"/>
    </row>
    <row r="2881" spans="1:26" ht="13.2">
      <c r="A2881" s="13"/>
      <c r="B2881" s="14"/>
      <c r="C2881" s="14"/>
      <c r="D2881" s="14"/>
      <c r="E2881" s="14"/>
      <c r="F2881" s="14"/>
      <c r="G2881" s="14"/>
      <c r="H2881" s="14"/>
      <c r="I2881" s="14"/>
      <c r="J2881" s="14"/>
      <c r="K2881" s="14"/>
      <c r="L2881" s="15"/>
      <c r="M2881" s="15"/>
      <c r="N2881" s="15"/>
      <c r="O2881" s="15"/>
      <c r="P2881" s="15"/>
      <c r="Q2881" s="14"/>
      <c r="R2881" s="14"/>
      <c r="S2881" s="14"/>
      <c r="T2881" s="14"/>
      <c r="U2881" s="15"/>
      <c r="V2881" s="14"/>
      <c r="W2881" s="14"/>
      <c r="X2881" s="14"/>
      <c r="Y2881" s="14"/>
      <c r="Z2881" s="14"/>
    </row>
    <row r="2882" spans="1:26" ht="13.2">
      <c r="A2882" s="13"/>
      <c r="B2882" s="14"/>
      <c r="C2882" s="14"/>
      <c r="D2882" s="14"/>
      <c r="E2882" s="14"/>
      <c r="F2882" s="14"/>
      <c r="G2882" s="14"/>
      <c r="H2882" s="14"/>
      <c r="I2882" s="14"/>
      <c r="J2882" s="14"/>
      <c r="K2882" s="14"/>
      <c r="L2882" s="15"/>
      <c r="M2882" s="15"/>
      <c r="N2882" s="15"/>
      <c r="O2882" s="15"/>
      <c r="P2882" s="15"/>
      <c r="Q2882" s="14"/>
      <c r="R2882" s="14"/>
      <c r="S2882" s="14"/>
      <c r="T2882" s="14"/>
      <c r="U2882" s="15"/>
      <c r="V2882" s="14"/>
      <c r="W2882" s="14"/>
      <c r="X2882" s="14"/>
      <c r="Y2882" s="14"/>
      <c r="Z2882" s="14"/>
    </row>
    <row r="2883" spans="1:26" ht="13.2">
      <c r="A2883" s="13"/>
      <c r="B2883" s="14"/>
      <c r="C2883" s="14"/>
      <c r="D2883" s="14"/>
      <c r="E2883" s="14"/>
      <c r="F2883" s="14"/>
      <c r="G2883" s="14"/>
      <c r="H2883" s="14"/>
      <c r="I2883" s="14"/>
      <c r="J2883" s="14"/>
      <c r="K2883" s="14"/>
      <c r="L2883" s="15"/>
      <c r="M2883" s="15"/>
      <c r="N2883" s="15"/>
      <c r="O2883" s="15"/>
      <c r="P2883" s="15"/>
      <c r="Q2883" s="14"/>
      <c r="R2883" s="14"/>
      <c r="S2883" s="14"/>
      <c r="T2883" s="14"/>
      <c r="U2883" s="15"/>
      <c r="V2883" s="14"/>
      <c r="W2883" s="14"/>
      <c r="X2883" s="14"/>
      <c r="Y2883" s="14"/>
      <c r="Z2883" s="14"/>
    </row>
    <row r="2884" spans="1:26" ht="13.2">
      <c r="A2884" s="13"/>
      <c r="B2884" s="14"/>
      <c r="C2884" s="14"/>
      <c r="D2884" s="14"/>
      <c r="E2884" s="14"/>
      <c r="F2884" s="14"/>
      <c r="G2884" s="14"/>
      <c r="H2884" s="14"/>
      <c r="I2884" s="14"/>
      <c r="J2884" s="14"/>
      <c r="K2884" s="14"/>
      <c r="L2884" s="15"/>
      <c r="M2884" s="15"/>
      <c r="N2884" s="15"/>
      <c r="O2884" s="15"/>
      <c r="P2884" s="15"/>
      <c r="Q2884" s="14"/>
      <c r="R2884" s="14"/>
      <c r="S2884" s="14"/>
      <c r="T2884" s="14"/>
      <c r="U2884" s="15"/>
      <c r="V2884" s="14"/>
      <c r="W2884" s="14"/>
      <c r="X2884" s="14"/>
      <c r="Y2884" s="14"/>
      <c r="Z2884" s="14"/>
    </row>
    <row r="2885" spans="1:26" ht="13.2">
      <c r="A2885" s="13"/>
      <c r="B2885" s="14"/>
      <c r="C2885" s="14"/>
      <c r="D2885" s="14"/>
      <c r="E2885" s="14"/>
      <c r="F2885" s="14"/>
      <c r="G2885" s="14"/>
      <c r="H2885" s="14"/>
      <c r="I2885" s="14"/>
      <c r="J2885" s="14"/>
      <c r="K2885" s="14"/>
      <c r="L2885" s="15"/>
      <c r="M2885" s="15"/>
      <c r="N2885" s="15"/>
      <c r="O2885" s="15"/>
      <c r="P2885" s="15"/>
      <c r="Q2885" s="14"/>
      <c r="R2885" s="14"/>
      <c r="S2885" s="14"/>
      <c r="T2885" s="14"/>
      <c r="U2885" s="15"/>
      <c r="V2885" s="14"/>
      <c r="W2885" s="14"/>
      <c r="X2885" s="14"/>
      <c r="Y2885" s="14"/>
      <c r="Z2885" s="14"/>
    </row>
    <row r="2886" spans="1:26" ht="13.2">
      <c r="A2886" s="13"/>
      <c r="B2886" s="14"/>
      <c r="C2886" s="14"/>
      <c r="D2886" s="14"/>
      <c r="E2886" s="14"/>
      <c r="F2886" s="14"/>
      <c r="G2886" s="14"/>
      <c r="H2886" s="14"/>
      <c r="I2886" s="14"/>
      <c r="J2886" s="14"/>
      <c r="K2886" s="14"/>
      <c r="L2886" s="15"/>
      <c r="M2886" s="15"/>
      <c r="N2886" s="15"/>
      <c r="O2886" s="15"/>
      <c r="P2886" s="15"/>
      <c r="Q2886" s="14"/>
      <c r="R2886" s="14"/>
      <c r="S2886" s="14"/>
      <c r="T2886" s="14"/>
      <c r="U2886" s="15"/>
      <c r="V2886" s="14"/>
      <c r="W2886" s="14"/>
      <c r="X2886" s="14"/>
      <c r="Y2886" s="14"/>
      <c r="Z2886" s="14"/>
    </row>
    <row r="2887" spans="1:26" ht="13.2">
      <c r="A2887" s="13"/>
      <c r="B2887" s="14"/>
      <c r="C2887" s="14"/>
      <c r="D2887" s="14"/>
      <c r="E2887" s="14"/>
      <c r="F2887" s="14"/>
      <c r="G2887" s="14"/>
      <c r="H2887" s="14"/>
      <c r="I2887" s="14"/>
      <c r="J2887" s="14"/>
      <c r="K2887" s="14"/>
      <c r="L2887" s="15"/>
      <c r="M2887" s="15"/>
      <c r="N2887" s="15"/>
      <c r="O2887" s="15"/>
      <c r="P2887" s="15"/>
      <c r="Q2887" s="14"/>
      <c r="R2887" s="14"/>
      <c r="S2887" s="14"/>
      <c r="T2887" s="14"/>
      <c r="U2887" s="15"/>
      <c r="V2887" s="14"/>
      <c r="W2887" s="14"/>
      <c r="X2887" s="14"/>
      <c r="Y2887" s="14"/>
      <c r="Z2887" s="14"/>
    </row>
    <row r="2888" spans="1:26" ht="13.2">
      <c r="A2888" s="13"/>
      <c r="B2888" s="14"/>
      <c r="C2888" s="14"/>
      <c r="D2888" s="14"/>
      <c r="E2888" s="14"/>
      <c r="F2888" s="14"/>
      <c r="G2888" s="14"/>
      <c r="H2888" s="14"/>
      <c r="I2888" s="14"/>
      <c r="J2888" s="14"/>
      <c r="K2888" s="14"/>
      <c r="L2888" s="15"/>
      <c r="M2888" s="15"/>
      <c r="N2888" s="15"/>
      <c r="O2888" s="15"/>
      <c r="P2888" s="15"/>
      <c r="Q2888" s="14"/>
      <c r="R2888" s="14"/>
      <c r="S2888" s="14"/>
      <c r="T2888" s="14"/>
      <c r="U2888" s="15"/>
      <c r="V2888" s="14"/>
      <c r="W2888" s="14"/>
      <c r="X2888" s="14"/>
      <c r="Y2888" s="14"/>
      <c r="Z2888" s="14"/>
    </row>
    <row r="2889" spans="1:26" ht="13.2">
      <c r="A2889" s="13"/>
      <c r="B2889" s="14"/>
      <c r="C2889" s="14"/>
      <c r="D2889" s="14"/>
      <c r="E2889" s="14"/>
      <c r="F2889" s="14"/>
      <c r="G2889" s="14"/>
      <c r="H2889" s="14"/>
      <c r="I2889" s="14"/>
      <c r="J2889" s="14"/>
      <c r="K2889" s="14"/>
      <c r="L2889" s="15"/>
      <c r="M2889" s="15"/>
      <c r="N2889" s="15"/>
      <c r="O2889" s="15"/>
      <c r="P2889" s="15"/>
      <c r="Q2889" s="14"/>
      <c r="R2889" s="14"/>
      <c r="S2889" s="14"/>
      <c r="T2889" s="14"/>
      <c r="U2889" s="15"/>
      <c r="V2889" s="14"/>
      <c r="W2889" s="14"/>
      <c r="X2889" s="14"/>
      <c r="Y2889" s="14"/>
      <c r="Z2889" s="14"/>
    </row>
    <row r="2890" spans="1:26" ht="13.2">
      <c r="A2890" s="13"/>
      <c r="B2890" s="14"/>
      <c r="C2890" s="14"/>
      <c r="D2890" s="14"/>
      <c r="E2890" s="14"/>
      <c r="F2890" s="14"/>
      <c r="G2890" s="14"/>
      <c r="H2890" s="14"/>
      <c r="I2890" s="14"/>
      <c r="J2890" s="14"/>
      <c r="K2890" s="14"/>
      <c r="L2890" s="15"/>
      <c r="M2890" s="15"/>
      <c r="N2890" s="15"/>
      <c r="O2890" s="15"/>
      <c r="P2890" s="15"/>
      <c r="Q2890" s="14"/>
      <c r="R2890" s="14"/>
      <c r="S2890" s="14"/>
      <c r="T2890" s="14"/>
      <c r="U2890" s="15"/>
      <c r="V2890" s="14"/>
      <c r="W2890" s="14"/>
      <c r="X2890" s="14"/>
      <c r="Y2890" s="14"/>
      <c r="Z2890" s="14"/>
    </row>
    <row r="2891" spans="1:26" ht="13.2">
      <c r="A2891" s="13"/>
      <c r="B2891" s="14"/>
      <c r="C2891" s="14"/>
      <c r="D2891" s="14"/>
      <c r="E2891" s="14"/>
      <c r="F2891" s="14"/>
      <c r="G2891" s="14"/>
      <c r="H2891" s="14"/>
      <c r="I2891" s="14"/>
      <c r="J2891" s="14"/>
      <c r="K2891" s="14"/>
      <c r="L2891" s="15"/>
      <c r="M2891" s="15"/>
      <c r="N2891" s="15"/>
      <c r="O2891" s="15"/>
      <c r="P2891" s="15"/>
      <c r="Q2891" s="14"/>
      <c r="R2891" s="14"/>
      <c r="S2891" s="14"/>
      <c r="T2891" s="14"/>
      <c r="U2891" s="15"/>
      <c r="V2891" s="14"/>
      <c r="W2891" s="14"/>
      <c r="X2891" s="14"/>
      <c r="Y2891" s="14"/>
      <c r="Z2891" s="14"/>
    </row>
    <row r="2892" spans="1:26" ht="13.2">
      <c r="A2892" s="13"/>
      <c r="B2892" s="14"/>
      <c r="C2892" s="14"/>
      <c r="D2892" s="14"/>
      <c r="E2892" s="14"/>
      <c r="F2892" s="14"/>
      <c r="G2892" s="14"/>
      <c r="H2892" s="14"/>
      <c r="I2892" s="14"/>
      <c r="J2892" s="14"/>
      <c r="K2892" s="14"/>
      <c r="L2892" s="15"/>
      <c r="M2892" s="15"/>
      <c r="N2892" s="15"/>
      <c r="O2892" s="15"/>
      <c r="P2892" s="15"/>
      <c r="Q2892" s="14"/>
      <c r="R2892" s="14"/>
      <c r="S2892" s="14"/>
      <c r="T2892" s="14"/>
      <c r="U2892" s="15"/>
      <c r="V2892" s="14"/>
      <c r="W2892" s="14"/>
      <c r="X2892" s="14"/>
      <c r="Y2892" s="14"/>
      <c r="Z2892" s="14"/>
    </row>
    <row r="2893" spans="1:26" ht="13.2">
      <c r="A2893" s="13"/>
      <c r="B2893" s="14"/>
      <c r="C2893" s="14"/>
      <c r="D2893" s="14"/>
      <c r="E2893" s="14"/>
      <c r="F2893" s="14"/>
      <c r="G2893" s="14"/>
      <c r="H2893" s="14"/>
      <c r="I2893" s="14"/>
      <c r="J2893" s="14"/>
      <c r="K2893" s="14"/>
      <c r="L2893" s="15"/>
      <c r="M2893" s="15"/>
      <c r="N2893" s="15"/>
      <c r="O2893" s="15"/>
      <c r="P2893" s="15"/>
      <c r="Q2893" s="14"/>
      <c r="R2893" s="14"/>
      <c r="S2893" s="14"/>
      <c r="T2893" s="14"/>
      <c r="U2893" s="15"/>
      <c r="V2893" s="14"/>
      <c r="W2893" s="14"/>
      <c r="X2893" s="14"/>
      <c r="Y2893" s="14"/>
      <c r="Z2893" s="14"/>
    </row>
    <row r="2894" spans="1:26" ht="13.2">
      <c r="A2894" s="13"/>
      <c r="B2894" s="14"/>
      <c r="C2894" s="14"/>
      <c r="D2894" s="14"/>
      <c r="E2894" s="14"/>
      <c r="F2894" s="14"/>
      <c r="G2894" s="14"/>
      <c r="H2894" s="14"/>
      <c r="I2894" s="14"/>
      <c r="J2894" s="14"/>
      <c r="K2894" s="14"/>
      <c r="L2894" s="15"/>
      <c r="M2894" s="15"/>
      <c r="N2894" s="15"/>
      <c r="O2894" s="15"/>
      <c r="P2894" s="15"/>
      <c r="Q2894" s="14"/>
      <c r="R2894" s="14"/>
      <c r="S2894" s="14"/>
      <c r="T2894" s="14"/>
      <c r="U2894" s="15"/>
      <c r="V2894" s="14"/>
      <c r="W2894" s="14"/>
      <c r="X2894" s="14"/>
      <c r="Y2894" s="14"/>
      <c r="Z2894" s="14"/>
    </row>
    <row r="2895" spans="1:26" ht="13.2">
      <c r="A2895" s="13"/>
      <c r="B2895" s="14"/>
      <c r="C2895" s="14"/>
      <c r="D2895" s="14"/>
      <c r="E2895" s="14"/>
      <c r="F2895" s="14"/>
      <c r="G2895" s="14"/>
      <c r="H2895" s="14"/>
      <c r="I2895" s="14"/>
      <c r="J2895" s="14"/>
      <c r="K2895" s="14"/>
      <c r="L2895" s="15"/>
      <c r="M2895" s="15"/>
      <c r="N2895" s="15"/>
      <c r="O2895" s="15"/>
      <c r="P2895" s="15"/>
      <c r="Q2895" s="14"/>
      <c r="R2895" s="14"/>
      <c r="S2895" s="14"/>
      <c r="T2895" s="14"/>
      <c r="U2895" s="15"/>
      <c r="V2895" s="14"/>
      <c r="W2895" s="14"/>
      <c r="X2895" s="14"/>
      <c r="Y2895" s="14"/>
      <c r="Z2895" s="14"/>
    </row>
    <row r="2896" spans="1:26" ht="13.2">
      <c r="A2896" s="13"/>
      <c r="B2896" s="14"/>
      <c r="C2896" s="14"/>
      <c r="D2896" s="14"/>
      <c r="E2896" s="14"/>
      <c r="F2896" s="14"/>
      <c r="G2896" s="14"/>
      <c r="H2896" s="14"/>
      <c r="I2896" s="14"/>
      <c r="J2896" s="14"/>
      <c r="K2896" s="14"/>
      <c r="L2896" s="15"/>
      <c r="M2896" s="15"/>
      <c r="N2896" s="15"/>
      <c r="O2896" s="15"/>
      <c r="P2896" s="15"/>
      <c r="Q2896" s="14"/>
      <c r="R2896" s="14"/>
      <c r="S2896" s="14"/>
      <c r="T2896" s="14"/>
      <c r="U2896" s="15"/>
      <c r="V2896" s="14"/>
      <c r="W2896" s="14"/>
      <c r="X2896" s="14"/>
      <c r="Y2896" s="14"/>
      <c r="Z2896" s="14"/>
    </row>
    <row r="2897" spans="1:26" ht="13.2">
      <c r="A2897" s="13"/>
      <c r="B2897" s="14"/>
      <c r="C2897" s="14"/>
      <c r="D2897" s="14"/>
      <c r="E2897" s="14"/>
      <c r="F2897" s="14"/>
      <c r="G2897" s="14"/>
      <c r="H2897" s="14"/>
      <c r="I2897" s="14"/>
      <c r="J2897" s="14"/>
      <c r="K2897" s="14"/>
      <c r="L2897" s="15"/>
      <c r="M2897" s="15"/>
      <c r="N2897" s="15"/>
      <c r="O2897" s="15"/>
      <c r="P2897" s="15"/>
      <c r="Q2897" s="14"/>
      <c r="R2897" s="14"/>
      <c r="S2897" s="14"/>
      <c r="T2897" s="14"/>
      <c r="U2897" s="15"/>
      <c r="V2897" s="14"/>
      <c r="W2897" s="14"/>
      <c r="X2897" s="14"/>
      <c r="Y2897" s="14"/>
      <c r="Z2897" s="14"/>
    </row>
    <row r="2898" spans="1:26" ht="13.2">
      <c r="A2898" s="13"/>
      <c r="B2898" s="14"/>
      <c r="C2898" s="14"/>
      <c r="D2898" s="14"/>
      <c r="E2898" s="14"/>
      <c r="F2898" s="14"/>
      <c r="G2898" s="14"/>
      <c r="H2898" s="14"/>
      <c r="I2898" s="14"/>
      <c r="J2898" s="14"/>
      <c r="K2898" s="14"/>
      <c r="L2898" s="15"/>
      <c r="M2898" s="15"/>
      <c r="N2898" s="15"/>
      <c r="O2898" s="15"/>
      <c r="P2898" s="15"/>
      <c r="Q2898" s="14"/>
      <c r="R2898" s="14"/>
      <c r="S2898" s="14"/>
      <c r="T2898" s="14"/>
      <c r="U2898" s="15"/>
      <c r="V2898" s="14"/>
      <c r="W2898" s="14"/>
      <c r="X2898" s="14"/>
      <c r="Y2898" s="14"/>
      <c r="Z2898" s="14"/>
    </row>
    <row r="2899" spans="1:26" ht="13.2">
      <c r="A2899" s="13"/>
      <c r="B2899" s="14"/>
      <c r="C2899" s="14"/>
      <c r="D2899" s="14"/>
      <c r="E2899" s="14"/>
      <c r="F2899" s="14"/>
      <c r="G2899" s="14"/>
      <c r="H2899" s="14"/>
      <c r="I2899" s="14"/>
      <c r="J2899" s="14"/>
      <c r="K2899" s="14"/>
      <c r="L2899" s="15"/>
      <c r="M2899" s="15"/>
      <c r="N2899" s="15"/>
      <c r="O2899" s="15"/>
      <c r="P2899" s="15"/>
      <c r="Q2899" s="14"/>
      <c r="R2899" s="14"/>
      <c r="S2899" s="14"/>
      <c r="T2899" s="14"/>
      <c r="U2899" s="15"/>
      <c r="V2899" s="14"/>
      <c r="W2899" s="14"/>
      <c r="X2899" s="14"/>
      <c r="Y2899" s="14"/>
      <c r="Z2899" s="14"/>
    </row>
    <row r="2900" spans="1:26" ht="13.2">
      <c r="A2900" s="13"/>
      <c r="B2900" s="14"/>
      <c r="C2900" s="14"/>
      <c r="D2900" s="14"/>
      <c r="E2900" s="14"/>
      <c r="F2900" s="14"/>
      <c r="G2900" s="14"/>
      <c r="H2900" s="14"/>
      <c r="I2900" s="14"/>
      <c r="J2900" s="14"/>
      <c r="K2900" s="14"/>
      <c r="L2900" s="15"/>
      <c r="M2900" s="15"/>
      <c r="N2900" s="15"/>
      <c r="O2900" s="15"/>
      <c r="P2900" s="15"/>
      <c r="Q2900" s="14"/>
      <c r="R2900" s="14"/>
      <c r="S2900" s="14"/>
      <c r="T2900" s="14"/>
      <c r="U2900" s="15"/>
      <c r="V2900" s="14"/>
      <c r="W2900" s="14"/>
      <c r="X2900" s="14"/>
      <c r="Y2900" s="14"/>
      <c r="Z2900" s="14"/>
    </row>
    <row r="2901" spans="1:26" ht="13.2">
      <c r="A2901" s="13"/>
      <c r="B2901" s="14"/>
      <c r="C2901" s="14"/>
      <c r="D2901" s="14"/>
      <c r="E2901" s="14"/>
      <c r="F2901" s="14"/>
      <c r="G2901" s="14"/>
      <c r="H2901" s="14"/>
      <c r="I2901" s="14"/>
      <c r="J2901" s="14"/>
      <c r="K2901" s="14"/>
      <c r="L2901" s="15"/>
      <c r="M2901" s="15"/>
      <c r="N2901" s="15"/>
      <c r="O2901" s="15"/>
      <c r="P2901" s="15"/>
      <c r="Q2901" s="14"/>
      <c r="R2901" s="14"/>
      <c r="S2901" s="14"/>
      <c r="T2901" s="14"/>
      <c r="U2901" s="15"/>
      <c r="V2901" s="14"/>
      <c r="W2901" s="14"/>
      <c r="X2901" s="14"/>
      <c r="Y2901" s="14"/>
      <c r="Z2901" s="14"/>
    </row>
    <row r="2902" spans="1:26" ht="13.2">
      <c r="A2902" s="13"/>
      <c r="B2902" s="14"/>
      <c r="C2902" s="14"/>
      <c r="D2902" s="14"/>
      <c r="E2902" s="14"/>
      <c r="F2902" s="14"/>
      <c r="G2902" s="14"/>
      <c r="H2902" s="14"/>
      <c r="I2902" s="14"/>
      <c r="J2902" s="14"/>
      <c r="K2902" s="14"/>
      <c r="L2902" s="15"/>
      <c r="M2902" s="15"/>
      <c r="N2902" s="15"/>
      <c r="O2902" s="15"/>
      <c r="P2902" s="15"/>
      <c r="Q2902" s="14"/>
      <c r="R2902" s="14"/>
      <c r="S2902" s="14"/>
      <c r="T2902" s="14"/>
      <c r="U2902" s="15"/>
      <c r="V2902" s="14"/>
      <c r="W2902" s="14"/>
      <c r="X2902" s="14"/>
      <c r="Y2902" s="14"/>
      <c r="Z2902" s="14"/>
    </row>
    <row r="2903" spans="1:26" ht="13.2">
      <c r="A2903" s="13"/>
      <c r="B2903" s="14"/>
      <c r="C2903" s="14"/>
      <c r="D2903" s="14"/>
      <c r="E2903" s="14"/>
      <c r="F2903" s="14"/>
      <c r="G2903" s="14"/>
      <c r="H2903" s="14"/>
      <c r="I2903" s="14"/>
      <c r="J2903" s="14"/>
      <c r="K2903" s="14"/>
      <c r="L2903" s="15"/>
      <c r="M2903" s="15"/>
      <c r="N2903" s="15"/>
      <c r="O2903" s="15"/>
      <c r="P2903" s="15"/>
      <c r="Q2903" s="14"/>
      <c r="R2903" s="14"/>
      <c r="S2903" s="14"/>
      <c r="T2903" s="14"/>
      <c r="U2903" s="15"/>
      <c r="V2903" s="14"/>
      <c r="W2903" s="14"/>
      <c r="X2903" s="14"/>
      <c r="Y2903" s="14"/>
      <c r="Z2903" s="14"/>
    </row>
    <row r="2904" spans="1:26" ht="13.2">
      <c r="A2904" s="13"/>
      <c r="B2904" s="14"/>
      <c r="C2904" s="14"/>
      <c r="D2904" s="14"/>
      <c r="E2904" s="14"/>
      <c r="F2904" s="14"/>
      <c r="G2904" s="14"/>
      <c r="H2904" s="14"/>
      <c r="I2904" s="14"/>
      <c r="J2904" s="14"/>
      <c r="K2904" s="14"/>
      <c r="L2904" s="15"/>
      <c r="M2904" s="15"/>
      <c r="N2904" s="15"/>
      <c r="O2904" s="15"/>
      <c r="P2904" s="15"/>
      <c r="Q2904" s="14"/>
      <c r="R2904" s="14"/>
      <c r="S2904" s="14"/>
      <c r="T2904" s="14"/>
      <c r="U2904" s="15"/>
      <c r="V2904" s="14"/>
      <c r="W2904" s="14"/>
      <c r="X2904" s="14"/>
      <c r="Y2904" s="14"/>
      <c r="Z2904" s="14"/>
    </row>
    <row r="2905" spans="1:26" ht="13.2">
      <c r="A2905" s="13"/>
      <c r="B2905" s="14"/>
      <c r="C2905" s="14"/>
      <c r="D2905" s="14"/>
      <c r="E2905" s="14"/>
      <c r="F2905" s="14"/>
      <c r="G2905" s="14"/>
      <c r="H2905" s="14"/>
      <c r="I2905" s="14"/>
      <c r="J2905" s="14"/>
      <c r="K2905" s="14"/>
      <c r="L2905" s="15"/>
      <c r="M2905" s="15"/>
      <c r="N2905" s="15"/>
      <c r="O2905" s="15"/>
      <c r="P2905" s="15"/>
      <c r="Q2905" s="14"/>
      <c r="R2905" s="14"/>
      <c r="S2905" s="14"/>
      <c r="T2905" s="14"/>
      <c r="U2905" s="15"/>
      <c r="V2905" s="14"/>
      <c r="W2905" s="14"/>
      <c r="X2905" s="14"/>
      <c r="Y2905" s="14"/>
      <c r="Z2905" s="14"/>
    </row>
    <row r="2906" spans="1:26" ht="13.2">
      <c r="A2906" s="13"/>
      <c r="B2906" s="14"/>
      <c r="C2906" s="14"/>
      <c r="D2906" s="14"/>
      <c r="E2906" s="14"/>
      <c r="F2906" s="14"/>
      <c r="G2906" s="14"/>
      <c r="H2906" s="14"/>
      <c r="I2906" s="14"/>
      <c r="J2906" s="14"/>
      <c r="K2906" s="14"/>
      <c r="L2906" s="15"/>
      <c r="M2906" s="15"/>
      <c r="N2906" s="15"/>
      <c r="O2906" s="15"/>
      <c r="P2906" s="15"/>
      <c r="Q2906" s="14"/>
      <c r="R2906" s="14"/>
      <c r="S2906" s="14"/>
      <c r="T2906" s="14"/>
      <c r="U2906" s="15"/>
      <c r="V2906" s="14"/>
      <c r="W2906" s="14"/>
      <c r="X2906" s="14"/>
      <c r="Y2906" s="14"/>
      <c r="Z2906" s="14"/>
    </row>
    <row r="2907" spans="1:26" ht="13.2">
      <c r="A2907" s="13"/>
      <c r="B2907" s="14"/>
      <c r="C2907" s="14"/>
      <c r="D2907" s="14"/>
      <c r="E2907" s="14"/>
      <c r="F2907" s="14"/>
      <c r="G2907" s="14"/>
      <c r="H2907" s="14"/>
      <c r="I2907" s="14"/>
      <c r="J2907" s="14"/>
      <c r="K2907" s="14"/>
      <c r="L2907" s="15"/>
      <c r="M2907" s="15"/>
      <c r="N2907" s="15"/>
      <c r="O2907" s="15"/>
      <c r="P2907" s="15"/>
      <c r="Q2907" s="14"/>
      <c r="R2907" s="14"/>
      <c r="S2907" s="14"/>
      <c r="T2907" s="14"/>
      <c r="U2907" s="15"/>
      <c r="V2907" s="14"/>
      <c r="W2907" s="14"/>
      <c r="X2907" s="14"/>
      <c r="Y2907" s="14"/>
      <c r="Z2907" s="14"/>
    </row>
    <row r="2908" spans="1:26" ht="13.2">
      <c r="A2908" s="13"/>
      <c r="B2908" s="14"/>
      <c r="C2908" s="14"/>
      <c r="D2908" s="14"/>
      <c r="E2908" s="14"/>
      <c r="F2908" s="14"/>
      <c r="G2908" s="14"/>
      <c r="H2908" s="14"/>
      <c r="I2908" s="14"/>
      <c r="J2908" s="14"/>
      <c r="K2908" s="14"/>
      <c r="L2908" s="15"/>
      <c r="M2908" s="15"/>
      <c r="N2908" s="15"/>
      <c r="O2908" s="15"/>
      <c r="P2908" s="15"/>
      <c r="Q2908" s="14"/>
      <c r="R2908" s="14"/>
      <c r="S2908" s="14"/>
      <c r="T2908" s="14"/>
      <c r="U2908" s="15"/>
      <c r="V2908" s="14"/>
      <c r="W2908" s="14"/>
      <c r="X2908" s="14"/>
      <c r="Y2908" s="14"/>
      <c r="Z2908" s="14"/>
    </row>
    <row r="2909" spans="1:26" ht="13.2">
      <c r="A2909" s="13"/>
      <c r="B2909" s="14"/>
      <c r="C2909" s="14"/>
      <c r="D2909" s="14"/>
      <c r="E2909" s="14"/>
      <c r="F2909" s="14"/>
      <c r="G2909" s="14"/>
      <c r="H2909" s="14"/>
      <c r="I2909" s="14"/>
      <c r="J2909" s="14"/>
      <c r="K2909" s="14"/>
      <c r="L2909" s="15"/>
      <c r="M2909" s="15"/>
      <c r="N2909" s="15"/>
      <c r="O2909" s="15"/>
      <c r="P2909" s="15"/>
      <c r="Q2909" s="14"/>
      <c r="R2909" s="14"/>
      <c r="S2909" s="14"/>
      <c r="T2909" s="14"/>
      <c r="U2909" s="15"/>
      <c r="V2909" s="14"/>
      <c r="W2909" s="14"/>
      <c r="X2909" s="14"/>
      <c r="Y2909" s="14"/>
      <c r="Z2909" s="14"/>
    </row>
    <row r="2910" spans="1:26" ht="13.2">
      <c r="A2910" s="13"/>
      <c r="B2910" s="14"/>
      <c r="C2910" s="14"/>
      <c r="D2910" s="14"/>
      <c r="E2910" s="14"/>
      <c r="F2910" s="14"/>
      <c r="G2910" s="14"/>
      <c r="H2910" s="14"/>
      <c r="I2910" s="14"/>
      <c r="J2910" s="14"/>
      <c r="K2910" s="14"/>
      <c r="L2910" s="15"/>
      <c r="M2910" s="15"/>
      <c r="N2910" s="15"/>
      <c r="O2910" s="15"/>
      <c r="P2910" s="15"/>
      <c r="Q2910" s="14"/>
      <c r="R2910" s="14"/>
      <c r="S2910" s="14"/>
      <c r="T2910" s="14"/>
      <c r="U2910" s="15"/>
      <c r="V2910" s="14"/>
      <c r="W2910" s="14"/>
      <c r="X2910" s="14"/>
      <c r="Y2910" s="14"/>
      <c r="Z2910" s="14"/>
    </row>
    <row r="2911" spans="1:26" ht="13.2">
      <c r="A2911" s="13"/>
      <c r="B2911" s="14"/>
      <c r="C2911" s="14"/>
      <c r="D2911" s="14"/>
      <c r="E2911" s="14"/>
      <c r="F2911" s="14"/>
      <c r="G2911" s="14"/>
      <c r="H2911" s="14"/>
      <c r="I2911" s="14"/>
      <c r="J2911" s="14"/>
      <c r="K2911" s="14"/>
      <c r="L2911" s="15"/>
      <c r="M2911" s="15"/>
      <c r="N2911" s="15"/>
      <c r="O2911" s="15"/>
      <c r="P2911" s="15"/>
      <c r="Q2911" s="14"/>
      <c r="R2911" s="14"/>
      <c r="S2911" s="14"/>
      <c r="T2911" s="14"/>
      <c r="U2911" s="15"/>
      <c r="V2911" s="14"/>
      <c r="W2911" s="14"/>
      <c r="X2911" s="14"/>
      <c r="Y2911" s="14"/>
      <c r="Z2911" s="14"/>
    </row>
    <row r="2912" spans="1:26" ht="13.2">
      <c r="A2912" s="13"/>
      <c r="B2912" s="14"/>
      <c r="C2912" s="14"/>
      <c r="D2912" s="14"/>
      <c r="E2912" s="14"/>
      <c r="F2912" s="14"/>
      <c r="G2912" s="14"/>
      <c r="H2912" s="14"/>
      <c r="I2912" s="14"/>
      <c r="J2912" s="14"/>
      <c r="K2912" s="14"/>
      <c r="L2912" s="15"/>
      <c r="M2912" s="15"/>
      <c r="N2912" s="15"/>
      <c r="O2912" s="15"/>
      <c r="P2912" s="15"/>
      <c r="Q2912" s="14"/>
      <c r="R2912" s="14"/>
      <c r="S2912" s="14"/>
      <c r="T2912" s="14"/>
      <c r="U2912" s="15"/>
      <c r="V2912" s="14"/>
      <c r="W2912" s="14"/>
      <c r="X2912" s="14"/>
      <c r="Y2912" s="14"/>
      <c r="Z2912" s="14"/>
    </row>
    <row r="2913" spans="1:26" ht="13.2">
      <c r="A2913" s="13"/>
      <c r="B2913" s="14"/>
      <c r="C2913" s="14"/>
      <c r="D2913" s="14"/>
      <c r="E2913" s="14"/>
      <c r="F2913" s="14"/>
      <c r="G2913" s="14"/>
      <c r="H2913" s="14"/>
      <c r="I2913" s="14"/>
      <c r="J2913" s="14"/>
      <c r="K2913" s="14"/>
      <c r="L2913" s="15"/>
      <c r="M2913" s="15"/>
      <c r="N2913" s="15"/>
      <c r="O2913" s="15"/>
      <c r="P2913" s="15"/>
      <c r="Q2913" s="14"/>
      <c r="R2913" s="14"/>
      <c r="S2913" s="14"/>
      <c r="T2913" s="14"/>
      <c r="U2913" s="15"/>
      <c r="V2913" s="14"/>
      <c r="W2913" s="14"/>
      <c r="X2913" s="14"/>
      <c r="Y2913" s="14"/>
      <c r="Z2913" s="14"/>
    </row>
    <row r="2914" spans="1:26" ht="13.2">
      <c r="A2914" s="13"/>
      <c r="B2914" s="14"/>
      <c r="C2914" s="14"/>
      <c r="D2914" s="14"/>
      <c r="E2914" s="14"/>
      <c r="F2914" s="14"/>
      <c r="G2914" s="14"/>
      <c r="H2914" s="14"/>
      <c r="I2914" s="14"/>
      <c r="J2914" s="14"/>
      <c r="K2914" s="14"/>
      <c r="L2914" s="15"/>
      <c r="M2914" s="15"/>
      <c r="N2914" s="15"/>
      <c r="O2914" s="15"/>
      <c r="P2914" s="15"/>
      <c r="Q2914" s="14"/>
      <c r="R2914" s="14"/>
      <c r="S2914" s="14"/>
      <c r="T2914" s="14"/>
      <c r="U2914" s="15"/>
      <c r="V2914" s="14"/>
      <c r="W2914" s="14"/>
      <c r="X2914" s="14"/>
      <c r="Y2914" s="14"/>
      <c r="Z2914" s="14"/>
    </row>
    <row r="2915" spans="1:26" ht="13.2">
      <c r="A2915" s="13"/>
      <c r="B2915" s="14"/>
      <c r="C2915" s="14"/>
      <c r="D2915" s="14"/>
      <c r="E2915" s="14"/>
      <c r="F2915" s="14"/>
      <c r="G2915" s="14"/>
      <c r="H2915" s="14"/>
      <c r="I2915" s="14"/>
      <c r="J2915" s="14"/>
      <c r="K2915" s="14"/>
      <c r="L2915" s="15"/>
      <c r="M2915" s="15"/>
      <c r="N2915" s="15"/>
      <c r="O2915" s="15"/>
      <c r="P2915" s="15"/>
      <c r="Q2915" s="14"/>
      <c r="R2915" s="14"/>
      <c r="S2915" s="14"/>
      <c r="T2915" s="14"/>
      <c r="U2915" s="15"/>
      <c r="V2915" s="14"/>
      <c r="W2915" s="14"/>
      <c r="X2915" s="14"/>
      <c r="Y2915" s="14"/>
      <c r="Z2915" s="14"/>
    </row>
    <row r="2916" spans="1:26" ht="13.2">
      <c r="A2916" s="13"/>
      <c r="B2916" s="14"/>
      <c r="C2916" s="14"/>
      <c r="D2916" s="14"/>
      <c r="E2916" s="14"/>
      <c r="F2916" s="14"/>
      <c r="G2916" s="14"/>
      <c r="H2916" s="14"/>
      <c r="I2916" s="14"/>
      <c r="J2916" s="14"/>
      <c r="K2916" s="14"/>
      <c r="L2916" s="15"/>
      <c r="M2916" s="15"/>
      <c r="N2916" s="15"/>
      <c r="O2916" s="15"/>
      <c r="P2916" s="15"/>
      <c r="Q2916" s="14"/>
      <c r="R2916" s="14"/>
      <c r="S2916" s="14"/>
      <c r="T2916" s="14"/>
      <c r="U2916" s="15"/>
      <c r="V2916" s="14"/>
      <c r="W2916" s="14"/>
      <c r="X2916" s="14"/>
      <c r="Y2916" s="14"/>
      <c r="Z2916" s="14"/>
    </row>
    <row r="2917" spans="1:26" ht="13.2">
      <c r="A2917" s="13"/>
      <c r="B2917" s="14"/>
      <c r="C2917" s="14"/>
      <c r="D2917" s="14"/>
      <c r="E2917" s="14"/>
      <c r="F2917" s="14"/>
      <c r="G2917" s="14"/>
      <c r="H2917" s="14"/>
      <c r="I2917" s="14"/>
      <c r="J2917" s="14"/>
      <c r="K2917" s="14"/>
      <c r="L2917" s="15"/>
      <c r="M2917" s="15"/>
      <c r="N2917" s="15"/>
      <c r="O2917" s="15"/>
      <c r="P2917" s="15"/>
      <c r="Q2917" s="14"/>
      <c r="R2917" s="14"/>
      <c r="S2917" s="14"/>
      <c r="T2917" s="14"/>
      <c r="U2917" s="15"/>
      <c r="V2917" s="14"/>
      <c r="W2917" s="14"/>
      <c r="X2917" s="14"/>
      <c r="Y2917" s="14"/>
      <c r="Z2917" s="14"/>
    </row>
    <row r="2918" spans="1:26" ht="13.2">
      <c r="A2918" s="13"/>
      <c r="B2918" s="14"/>
      <c r="C2918" s="14"/>
      <c r="D2918" s="14"/>
      <c r="E2918" s="14"/>
      <c r="F2918" s="14"/>
      <c r="G2918" s="14"/>
      <c r="H2918" s="14"/>
      <c r="I2918" s="14"/>
      <c r="J2918" s="14"/>
      <c r="K2918" s="14"/>
      <c r="L2918" s="15"/>
      <c r="M2918" s="15"/>
      <c r="N2918" s="15"/>
      <c r="O2918" s="15"/>
      <c r="P2918" s="15"/>
      <c r="Q2918" s="14"/>
      <c r="R2918" s="14"/>
      <c r="S2918" s="14"/>
      <c r="T2918" s="14"/>
      <c r="U2918" s="15"/>
      <c r="V2918" s="14"/>
      <c r="W2918" s="14"/>
      <c r="X2918" s="14"/>
      <c r="Y2918" s="14"/>
      <c r="Z2918" s="14"/>
    </row>
    <row r="2919" spans="1:26" ht="13.2">
      <c r="A2919" s="13"/>
      <c r="B2919" s="14"/>
      <c r="C2919" s="14"/>
      <c r="D2919" s="14"/>
      <c r="E2919" s="14"/>
      <c r="F2919" s="14"/>
      <c r="G2919" s="14"/>
      <c r="H2919" s="14"/>
      <c r="I2919" s="14"/>
      <c r="J2919" s="14"/>
      <c r="K2919" s="14"/>
      <c r="L2919" s="15"/>
      <c r="M2919" s="15"/>
      <c r="N2919" s="15"/>
      <c r="O2919" s="15"/>
      <c r="P2919" s="15"/>
      <c r="Q2919" s="14"/>
      <c r="R2919" s="14"/>
      <c r="S2919" s="14"/>
      <c r="T2919" s="14"/>
      <c r="U2919" s="15"/>
      <c r="V2919" s="14"/>
      <c r="W2919" s="14"/>
      <c r="X2919" s="14"/>
      <c r="Y2919" s="14"/>
      <c r="Z2919" s="14"/>
    </row>
    <row r="2920" spans="1:26" ht="13.2">
      <c r="A2920" s="13"/>
      <c r="B2920" s="14"/>
      <c r="C2920" s="14"/>
      <c r="D2920" s="14"/>
      <c r="E2920" s="14"/>
      <c r="F2920" s="14"/>
      <c r="G2920" s="14"/>
      <c r="H2920" s="14"/>
      <c r="I2920" s="14"/>
      <c r="J2920" s="14"/>
      <c r="K2920" s="14"/>
      <c r="L2920" s="15"/>
      <c r="M2920" s="15"/>
      <c r="N2920" s="15"/>
      <c r="O2920" s="15"/>
      <c r="P2920" s="15"/>
      <c r="Q2920" s="14"/>
      <c r="R2920" s="14"/>
      <c r="S2920" s="14"/>
      <c r="T2920" s="14"/>
      <c r="U2920" s="15"/>
      <c r="V2920" s="14"/>
      <c r="W2920" s="14"/>
      <c r="X2920" s="14"/>
      <c r="Y2920" s="14"/>
      <c r="Z2920" s="14"/>
    </row>
    <row r="2921" spans="1:26" ht="13.2">
      <c r="A2921" s="13"/>
      <c r="B2921" s="14"/>
      <c r="C2921" s="14"/>
      <c r="D2921" s="14"/>
      <c r="E2921" s="14"/>
      <c r="F2921" s="14"/>
      <c r="G2921" s="14"/>
      <c r="H2921" s="14"/>
      <c r="I2921" s="14"/>
      <c r="J2921" s="14"/>
      <c r="K2921" s="14"/>
      <c r="L2921" s="15"/>
      <c r="M2921" s="15"/>
      <c r="N2921" s="15"/>
      <c r="O2921" s="15"/>
      <c r="P2921" s="15"/>
      <c r="Q2921" s="14"/>
      <c r="R2921" s="14"/>
      <c r="S2921" s="14"/>
      <c r="T2921" s="14"/>
      <c r="U2921" s="15"/>
      <c r="V2921" s="14"/>
      <c r="W2921" s="14"/>
      <c r="X2921" s="14"/>
      <c r="Y2921" s="14"/>
      <c r="Z2921" s="14"/>
    </row>
    <row r="2922" spans="1:26" ht="13.2">
      <c r="A2922" s="13"/>
      <c r="B2922" s="14"/>
      <c r="C2922" s="14"/>
      <c r="D2922" s="14"/>
      <c r="E2922" s="14"/>
      <c r="F2922" s="14"/>
      <c r="G2922" s="14"/>
      <c r="H2922" s="14"/>
      <c r="I2922" s="14"/>
      <c r="J2922" s="14"/>
      <c r="K2922" s="14"/>
      <c r="L2922" s="15"/>
      <c r="M2922" s="15"/>
      <c r="N2922" s="15"/>
      <c r="O2922" s="15"/>
      <c r="P2922" s="15"/>
      <c r="Q2922" s="14"/>
      <c r="R2922" s="14"/>
      <c r="S2922" s="14"/>
      <c r="T2922" s="14"/>
      <c r="U2922" s="15"/>
      <c r="V2922" s="14"/>
      <c r="W2922" s="14"/>
      <c r="X2922" s="14"/>
      <c r="Y2922" s="14"/>
      <c r="Z2922" s="14"/>
    </row>
    <row r="2923" spans="1:26" ht="13.2">
      <c r="A2923" s="13"/>
      <c r="B2923" s="14"/>
      <c r="C2923" s="14"/>
      <c r="D2923" s="14"/>
      <c r="E2923" s="14"/>
      <c r="F2923" s="14"/>
      <c r="G2923" s="14"/>
      <c r="H2923" s="14"/>
      <c r="I2923" s="14"/>
      <c r="J2923" s="14"/>
      <c r="K2923" s="14"/>
      <c r="L2923" s="15"/>
      <c r="M2923" s="15"/>
      <c r="N2923" s="15"/>
      <c r="O2923" s="15"/>
      <c r="P2923" s="15"/>
      <c r="Q2923" s="14"/>
      <c r="R2923" s="14"/>
      <c r="S2923" s="14"/>
      <c r="T2923" s="14"/>
      <c r="U2923" s="15"/>
      <c r="V2923" s="14"/>
      <c r="W2923" s="14"/>
      <c r="X2923" s="14"/>
      <c r="Y2923" s="14"/>
      <c r="Z2923" s="14"/>
    </row>
    <row r="2924" spans="1:26" ht="13.2">
      <c r="A2924" s="13"/>
      <c r="B2924" s="14"/>
      <c r="C2924" s="14"/>
      <c r="D2924" s="14"/>
      <c r="E2924" s="14"/>
      <c r="F2924" s="14"/>
      <c r="G2924" s="14"/>
      <c r="H2924" s="14"/>
      <c r="I2924" s="14"/>
      <c r="J2924" s="14"/>
      <c r="K2924" s="14"/>
      <c r="L2924" s="15"/>
      <c r="M2924" s="15"/>
      <c r="N2924" s="15"/>
      <c r="O2924" s="15"/>
      <c r="P2924" s="15"/>
      <c r="Q2924" s="14"/>
      <c r="R2924" s="14"/>
      <c r="S2924" s="14"/>
      <c r="T2924" s="14"/>
      <c r="U2924" s="15"/>
      <c r="V2924" s="14"/>
      <c r="W2924" s="14"/>
      <c r="X2924" s="14"/>
      <c r="Y2924" s="14"/>
      <c r="Z2924" s="14"/>
    </row>
    <row r="2925" spans="1:26" ht="13.2">
      <c r="A2925" s="13"/>
      <c r="B2925" s="14"/>
      <c r="C2925" s="14"/>
      <c r="D2925" s="14"/>
      <c r="E2925" s="14"/>
      <c r="F2925" s="14"/>
      <c r="G2925" s="14"/>
      <c r="H2925" s="14"/>
      <c r="I2925" s="14"/>
      <c r="J2925" s="14"/>
      <c r="K2925" s="14"/>
      <c r="L2925" s="15"/>
      <c r="M2925" s="15"/>
      <c r="N2925" s="15"/>
      <c r="O2925" s="15"/>
      <c r="P2925" s="15"/>
      <c r="Q2925" s="14"/>
      <c r="R2925" s="14"/>
      <c r="S2925" s="14"/>
      <c r="T2925" s="14"/>
      <c r="U2925" s="15"/>
      <c r="V2925" s="14"/>
      <c r="W2925" s="14"/>
      <c r="X2925" s="14"/>
      <c r="Y2925" s="14"/>
      <c r="Z2925" s="14"/>
    </row>
    <row r="2926" spans="1:26" ht="13.2">
      <c r="A2926" s="13"/>
      <c r="B2926" s="14"/>
      <c r="C2926" s="14"/>
      <c r="D2926" s="14"/>
      <c r="E2926" s="14"/>
      <c r="F2926" s="14"/>
      <c r="G2926" s="14"/>
      <c r="H2926" s="14"/>
      <c r="I2926" s="14"/>
      <c r="J2926" s="14"/>
      <c r="K2926" s="14"/>
      <c r="L2926" s="15"/>
      <c r="M2926" s="15"/>
      <c r="N2926" s="15"/>
      <c r="O2926" s="15"/>
      <c r="P2926" s="15"/>
      <c r="Q2926" s="14"/>
      <c r="R2926" s="14"/>
      <c r="S2926" s="14"/>
      <c r="T2926" s="14"/>
      <c r="U2926" s="15"/>
      <c r="V2926" s="14"/>
      <c r="W2926" s="14"/>
      <c r="X2926" s="14"/>
      <c r="Y2926" s="14"/>
      <c r="Z2926" s="14"/>
    </row>
    <row r="2927" spans="1:26" ht="13.2">
      <c r="A2927" s="13"/>
      <c r="B2927" s="14"/>
      <c r="C2927" s="14"/>
      <c r="D2927" s="14"/>
      <c r="E2927" s="14"/>
      <c r="F2927" s="14"/>
      <c r="G2927" s="14"/>
      <c r="H2927" s="14"/>
      <c r="I2927" s="14"/>
      <c r="J2927" s="14"/>
      <c r="K2927" s="14"/>
      <c r="L2927" s="15"/>
      <c r="M2927" s="15"/>
      <c r="N2927" s="15"/>
      <c r="O2927" s="15"/>
      <c r="P2927" s="15"/>
      <c r="Q2927" s="14"/>
      <c r="R2927" s="14"/>
      <c r="S2927" s="14"/>
      <c r="T2927" s="14"/>
      <c r="U2927" s="15"/>
      <c r="V2927" s="14"/>
      <c r="W2927" s="14"/>
      <c r="X2927" s="14"/>
      <c r="Y2927" s="14"/>
      <c r="Z2927" s="14"/>
    </row>
    <row r="2928" spans="1:26" ht="13.2">
      <c r="A2928" s="13"/>
      <c r="B2928" s="14"/>
      <c r="C2928" s="14"/>
      <c r="D2928" s="14"/>
      <c r="E2928" s="14"/>
      <c r="F2928" s="14"/>
      <c r="G2928" s="14"/>
      <c r="H2928" s="14"/>
      <c r="I2928" s="14"/>
      <c r="J2928" s="14"/>
      <c r="K2928" s="14"/>
      <c r="L2928" s="15"/>
      <c r="M2928" s="15"/>
      <c r="N2928" s="15"/>
      <c r="O2928" s="15"/>
      <c r="P2928" s="15"/>
      <c r="Q2928" s="14"/>
      <c r="R2928" s="14"/>
      <c r="S2928" s="14"/>
      <c r="T2928" s="14"/>
      <c r="U2928" s="15"/>
      <c r="V2928" s="14"/>
      <c r="W2928" s="14"/>
      <c r="X2928" s="14"/>
      <c r="Y2928" s="14"/>
      <c r="Z2928" s="14"/>
    </row>
    <row r="2929" spans="1:26" ht="13.2">
      <c r="A2929" s="13"/>
      <c r="B2929" s="14"/>
      <c r="C2929" s="14"/>
      <c r="D2929" s="14"/>
      <c r="E2929" s="14"/>
      <c r="F2929" s="14"/>
      <c r="G2929" s="14"/>
      <c r="H2929" s="14"/>
      <c r="I2929" s="14"/>
      <c r="J2929" s="14"/>
      <c r="K2929" s="14"/>
      <c r="L2929" s="15"/>
      <c r="M2929" s="15"/>
      <c r="N2929" s="15"/>
      <c r="O2929" s="15"/>
      <c r="P2929" s="15"/>
      <c r="Q2929" s="14"/>
      <c r="R2929" s="14"/>
      <c r="S2929" s="14"/>
      <c r="T2929" s="14"/>
      <c r="U2929" s="15"/>
      <c r="V2929" s="14"/>
      <c r="W2929" s="14"/>
      <c r="X2929" s="14"/>
      <c r="Y2929" s="14"/>
      <c r="Z2929" s="14"/>
    </row>
    <row r="2930" spans="1:26" ht="13.2">
      <c r="A2930" s="13"/>
      <c r="B2930" s="14"/>
      <c r="C2930" s="14"/>
      <c r="D2930" s="14"/>
      <c r="E2930" s="14"/>
      <c r="F2930" s="14"/>
      <c r="G2930" s="14"/>
      <c r="H2930" s="14"/>
      <c r="I2930" s="14"/>
      <c r="J2930" s="14"/>
      <c r="K2930" s="14"/>
      <c r="L2930" s="15"/>
      <c r="M2930" s="15"/>
      <c r="N2930" s="15"/>
      <c r="O2930" s="15"/>
      <c r="P2930" s="15"/>
      <c r="Q2930" s="14"/>
      <c r="R2930" s="14"/>
      <c r="S2930" s="14"/>
      <c r="T2930" s="14"/>
      <c r="U2930" s="15"/>
      <c r="V2930" s="14"/>
      <c r="W2930" s="14"/>
      <c r="X2930" s="14"/>
      <c r="Y2930" s="14"/>
      <c r="Z2930" s="14"/>
    </row>
    <row r="2931" spans="1:26" ht="13.2">
      <c r="A2931" s="13"/>
      <c r="B2931" s="14"/>
      <c r="C2931" s="14"/>
      <c r="D2931" s="14"/>
      <c r="E2931" s="14"/>
      <c r="F2931" s="14"/>
      <c r="G2931" s="14"/>
      <c r="H2931" s="14"/>
      <c r="I2931" s="14"/>
      <c r="J2931" s="14"/>
      <c r="K2931" s="14"/>
      <c r="L2931" s="15"/>
      <c r="M2931" s="15"/>
      <c r="N2931" s="15"/>
      <c r="O2931" s="15"/>
      <c r="P2931" s="15"/>
      <c r="Q2931" s="14"/>
      <c r="R2931" s="14"/>
      <c r="S2931" s="14"/>
      <c r="T2931" s="14"/>
      <c r="U2931" s="15"/>
      <c r="V2931" s="14"/>
      <c r="W2931" s="14"/>
      <c r="X2931" s="14"/>
      <c r="Y2931" s="14"/>
      <c r="Z2931" s="14"/>
    </row>
    <row r="2932" spans="1:26" ht="13.2">
      <c r="A2932" s="13"/>
      <c r="B2932" s="14"/>
      <c r="C2932" s="14"/>
      <c r="D2932" s="14"/>
      <c r="E2932" s="14"/>
      <c r="F2932" s="14"/>
      <c r="G2932" s="14"/>
      <c r="H2932" s="14"/>
      <c r="I2932" s="14"/>
      <c r="J2932" s="14"/>
      <c r="K2932" s="14"/>
      <c r="L2932" s="15"/>
      <c r="M2932" s="15"/>
      <c r="N2932" s="15"/>
      <c r="O2932" s="15"/>
      <c r="P2932" s="15"/>
      <c r="Q2932" s="14"/>
      <c r="R2932" s="14"/>
      <c r="S2932" s="14"/>
      <c r="T2932" s="14"/>
      <c r="U2932" s="15"/>
      <c r="V2932" s="14"/>
      <c r="W2932" s="14"/>
      <c r="X2932" s="14"/>
      <c r="Y2932" s="14"/>
      <c r="Z2932" s="14"/>
    </row>
    <row r="2933" spans="1:26" ht="13.2">
      <c r="A2933" s="13"/>
      <c r="B2933" s="14"/>
      <c r="C2933" s="14"/>
      <c r="D2933" s="14"/>
      <c r="E2933" s="14"/>
      <c r="F2933" s="14"/>
      <c r="G2933" s="14"/>
      <c r="H2933" s="14"/>
      <c r="I2933" s="14"/>
      <c r="J2933" s="14"/>
      <c r="K2933" s="14"/>
      <c r="L2933" s="15"/>
      <c r="M2933" s="15"/>
      <c r="N2933" s="15"/>
      <c r="O2933" s="15"/>
      <c r="P2933" s="15"/>
      <c r="Q2933" s="14"/>
      <c r="R2933" s="14"/>
      <c r="S2933" s="14"/>
      <c r="T2933" s="14"/>
      <c r="U2933" s="15"/>
      <c r="V2933" s="14"/>
      <c r="W2933" s="14"/>
      <c r="X2933" s="14"/>
      <c r="Y2933" s="14"/>
      <c r="Z2933" s="14"/>
    </row>
    <row r="2934" spans="1:26" ht="13.2">
      <c r="A2934" s="13"/>
      <c r="B2934" s="14"/>
      <c r="C2934" s="14"/>
      <c r="D2934" s="14"/>
      <c r="E2934" s="14"/>
      <c r="F2934" s="14"/>
      <c r="G2934" s="14"/>
      <c r="H2934" s="14"/>
      <c r="I2934" s="14"/>
      <c r="J2934" s="14"/>
      <c r="K2934" s="14"/>
      <c r="L2934" s="15"/>
      <c r="M2934" s="15"/>
      <c r="N2934" s="15"/>
      <c r="O2934" s="15"/>
      <c r="P2934" s="15"/>
      <c r="Q2934" s="14"/>
      <c r="R2934" s="14"/>
      <c r="S2934" s="14"/>
      <c r="T2934" s="14"/>
      <c r="U2934" s="15"/>
      <c r="V2934" s="14"/>
      <c r="W2934" s="14"/>
      <c r="X2934" s="14"/>
      <c r="Y2934" s="14"/>
      <c r="Z2934" s="14"/>
    </row>
    <row r="2935" spans="1:26" ht="13.2">
      <c r="A2935" s="13"/>
      <c r="B2935" s="14"/>
      <c r="C2935" s="14"/>
      <c r="D2935" s="14"/>
      <c r="E2935" s="14"/>
      <c r="F2935" s="14"/>
      <c r="G2935" s="14"/>
      <c r="H2935" s="14"/>
      <c r="I2935" s="14"/>
      <c r="J2935" s="14"/>
      <c r="K2935" s="14"/>
      <c r="L2935" s="15"/>
      <c r="M2935" s="15"/>
      <c r="N2935" s="15"/>
      <c r="O2935" s="15"/>
      <c r="P2935" s="15"/>
      <c r="Q2935" s="14"/>
      <c r="R2935" s="14"/>
      <c r="S2935" s="14"/>
      <c r="T2935" s="14"/>
      <c r="U2935" s="15"/>
      <c r="V2935" s="14"/>
      <c r="W2935" s="14"/>
      <c r="X2935" s="14"/>
      <c r="Y2935" s="14"/>
      <c r="Z2935" s="14"/>
    </row>
    <row r="2936" spans="1:26" ht="13.2">
      <c r="A2936" s="13"/>
      <c r="B2936" s="14"/>
      <c r="C2936" s="14"/>
      <c r="D2936" s="14"/>
      <c r="E2936" s="14"/>
      <c r="F2936" s="14"/>
      <c r="G2936" s="14"/>
      <c r="H2936" s="14"/>
      <c r="I2936" s="14"/>
      <c r="J2936" s="14"/>
      <c r="K2936" s="14"/>
      <c r="L2936" s="15"/>
      <c r="M2936" s="15"/>
      <c r="N2936" s="15"/>
      <c r="O2936" s="15"/>
      <c r="P2936" s="15"/>
      <c r="Q2936" s="14"/>
      <c r="R2936" s="14"/>
      <c r="S2936" s="14"/>
      <c r="T2936" s="14"/>
      <c r="U2936" s="15"/>
      <c r="V2936" s="14"/>
      <c r="W2936" s="14"/>
      <c r="X2936" s="14"/>
      <c r="Y2936" s="14"/>
      <c r="Z2936" s="14"/>
    </row>
    <row r="2937" spans="1:26" ht="13.2">
      <c r="A2937" s="13"/>
      <c r="B2937" s="14"/>
      <c r="C2937" s="14"/>
      <c r="D2937" s="14"/>
      <c r="E2937" s="14"/>
      <c r="F2937" s="14"/>
      <c r="G2937" s="14"/>
      <c r="H2937" s="14"/>
      <c r="I2937" s="14"/>
      <c r="J2937" s="14"/>
      <c r="K2937" s="14"/>
      <c r="L2937" s="15"/>
      <c r="M2937" s="15"/>
      <c r="N2937" s="15"/>
      <c r="O2937" s="15"/>
      <c r="P2937" s="15"/>
      <c r="Q2937" s="14"/>
      <c r="R2937" s="14"/>
      <c r="S2937" s="14"/>
      <c r="T2937" s="14"/>
      <c r="U2937" s="15"/>
      <c r="V2937" s="14"/>
      <c r="W2937" s="14"/>
      <c r="X2937" s="14"/>
      <c r="Y2937" s="14"/>
      <c r="Z2937" s="14"/>
    </row>
    <row r="2938" spans="1:26" ht="13.2">
      <c r="A2938" s="13"/>
      <c r="B2938" s="14"/>
      <c r="C2938" s="14"/>
      <c r="D2938" s="14"/>
      <c r="E2938" s="14"/>
      <c r="F2938" s="14"/>
      <c r="G2938" s="14"/>
      <c r="H2938" s="14"/>
      <c r="I2938" s="14"/>
      <c r="J2938" s="14"/>
      <c r="K2938" s="14"/>
      <c r="L2938" s="15"/>
      <c r="M2938" s="15"/>
      <c r="N2938" s="15"/>
      <c r="O2938" s="15"/>
      <c r="P2938" s="15"/>
      <c r="Q2938" s="14"/>
      <c r="R2938" s="14"/>
      <c r="S2938" s="14"/>
      <c r="T2938" s="14"/>
      <c r="U2938" s="15"/>
      <c r="V2938" s="14"/>
      <c r="W2938" s="14"/>
      <c r="X2938" s="14"/>
      <c r="Y2938" s="14"/>
      <c r="Z2938" s="14"/>
    </row>
    <row r="2939" spans="1:26" ht="13.2">
      <c r="A2939" s="13"/>
      <c r="B2939" s="14"/>
      <c r="C2939" s="14"/>
      <c r="D2939" s="14"/>
      <c r="E2939" s="14"/>
      <c r="F2939" s="14"/>
      <c r="G2939" s="14"/>
      <c r="H2939" s="14"/>
      <c r="I2939" s="14"/>
      <c r="J2939" s="14"/>
      <c r="K2939" s="14"/>
      <c r="L2939" s="15"/>
      <c r="M2939" s="15"/>
      <c r="N2939" s="15"/>
      <c r="O2939" s="15"/>
      <c r="P2939" s="15"/>
      <c r="Q2939" s="14"/>
      <c r="R2939" s="14"/>
      <c r="S2939" s="14"/>
      <c r="T2939" s="14"/>
      <c r="U2939" s="15"/>
      <c r="V2939" s="14"/>
      <c r="W2939" s="14"/>
      <c r="X2939" s="14"/>
      <c r="Y2939" s="14"/>
      <c r="Z2939" s="14"/>
    </row>
    <row r="2940" spans="1:26" ht="13.2">
      <c r="A2940" s="13"/>
      <c r="B2940" s="14"/>
      <c r="C2940" s="14"/>
      <c r="D2940" s="14"/>
      <c r="E2940" s="14"/>
      <c r="F2940" s="14"/>
      <c r="G2940" s="14"/>
      <c r="H2940" s="14"/>
      <c r="I2940" s="14"/>
      <c r="J2940" s="14"/>
      <c r="K2940" s="14"/>
      <c r="L2940" s="15"/>
      <c r="M2940" s="15"/>
      <c r="N2940" s="15"/>
      <c r="O2940" s="15"/>
      <c r="P2940" s="15"/>
      <c r="Q2940" s="14"/>
      <c r="R2940" s="14"/>
      <c r="S2940" s="14"/>
      <c r="T2940" s="14"/>
      <c r="U2940" s="15"/>
      <c r="V2940" s="14"/>
      <c r="W2940" s="14"/>
      <c r="X2940" s="14"/>
      <c r="Y2940" s="14"/>
      <c r="Z2940" s="14"/>
    </row>
    <row r="2941" spans="1:26" ht="13.2">
      <c r="A2941" s="13"/>
      <c r="B2941" s="14"/>
      <c r="C2941" s="14"/>
      <c r="D2941" s="14"/>
      <c r="E2941" s="14"/>
      <c r="F2941" s="14"/>
      <c r="G2941" s="14"/>
      <c r="H2941" s="14"/>
      <c r="I2941" s="14"/>
      <c r="J2941" s="14"/>
      <c r="K2941" s="14"/>
      <c r="L2941" s="15"/>
      <c r="M2941" s="15"/>
      <c r="N2941" s="15"/>
      <c r="O2941" s="15"/>
      <c r="P2941" s="15"/>
      <c r="Q2941" s="14"/>
      <c r="R2941" s="14"/>
      <c r="S2941" s="14"/>
      <c r="T2941" s="14"/>
      <c r="U2941" s="15"/>
      <c r="V2941" s="14"/>
      <c r="W2941" s="14"/>
      <c r="X2941" s="14"/>
      <c r="Y2941" s="14"/>
      <c r="Z2941" s="14"/>
    </row>
    <row r="2942" spans="1:26" ht="13.2">
      <c r="A2942" s="13"/>
      <c r="B2942" s="14"/>
      <c r="C2942" s="14"/>
      <c r="D2942" s="14"/>
      <c r="E2942" s="14"/>
      <c r="F2942" s="14"/>
      <c r="G2942" s="14"/>
      <c r="H2942" s="14"/>
      <c r="I2942" s="14"/>
      <c r="J2942" s="14"/>
      <c r="K2942" s="14"/>
      <c r="L2942" s="15"/>
      <c r="M2942" s="15"/>
      <c r="N2942" s="15"/>
      <c r="O2942" s="15"/>
      <c r="P2942" s="15"/>
      <c r="Q2942" s="14"/>
      <c r="R2942" s="14"/>
      <c r="S2942" s="14"/>
      <c r="T2942" s="14"/>
      <c r="U2942" s="15"/>
      <c r="V2942" s="14"/>
      <c r="W2942" s="14"/>
      <c r="X2942" s="14"/>
      <c r="Y2942" s="14"/>
      <c r="Z2942" s="14"/>
    </row>
    <row r="2943" spans="1:26" ht="13.2">
      <c r="A2943" s="13"/>
      <c r="B2943" s="14"/>
      <c r="C2943" s="14"/>
      <c r="D2943" s="14"/>
      <c r="E2943" s="14"/>
      <c r="F2943" s="14"/>
      <c r="G2943" s="14"/>
      <c r="H2943" s="14"/>
      <c r="I2943" s="14"/>
      <c r="J2943" s="14"/>
      <c r="K2943" s="14"/>
      <c r="L2943" s="15"/>
      <c r="M2943" s="15"/>
      <c r="N2943" s="15"/>
      <c r="O2943" s="15"/>
      <c r="P2943" s="15"/>
      <c r="Q2943" s="14"/>
      <c r="R2943" s="14"/>
      <c r="S2943" s="14"/>
      <c r="T2943" s="14"/>
      <c r="U2943" s="15"/>
      <c r="V2943" s="14"/>
      <c r="W2943" s="14"/>
      <c r="X2943" s="14"/>
      <c r="Y2943" s="14"/>
      <c r="Z2943" s="14"/>
    </row>
    <row r="2944" spans="1:26" ht="13.2">
      <c r="A2944" s="13"/>
      <c r="B2944" s="14"/>
      <c r="C2944" s="14"/>
      <c r="D2944" s="14"/>
      <c r="E2944" s="14"/>
      <c r="F2944" s="14"/>
      <c r="G2944" s="14"/>
      <c r="H2944" s="14"/>
      <c r="I2944" s="14"/>
      <c r="J2944" s="14"/>
      <c r="K2944" s="14"/>
      <c r="L2944" s="15"/>
      <c r="M2944" s="15"/>
      <c r="N2944" s="15"/>
      <c r="O2944" s="15"/>
      <c r="P2944" s="15"/>
      <c r="Q2944" s="14"/>
      <c r="R2944" s="14"/>
      <c r="S2944" s="14"/>
      <c r="T2944" s="14"/>
      <c r="U2944" s="15"/>
      <c r="V2944" s="14"/>
      <c r="W2944" s="14"/>
      <c r="X2944" s="14"/>
      <c r="Y2944" s="14"/>
      <c r="Z2944" s="14"/>
    </row>
    <row r="2945" spans="1:26" ht="13.2">
      <c r="A2945" s="13"/>
      <c r="B2945" s="14"/>
      <c r="C2945" s="14"/>
      <c r="D2945" s="14"/>
      <c r="E2945" s="14"/>
      <c r="F2945" s="14"/>
      <c r="G2945" s="14"/>
      <c r="H2945" s="14"/>
      <c r="I2945" s="14"/>
      <c r="J2945" s="14"/>
      <c r="K2945" s="14"/>
      <c r="L2945" s="15"/>
      <c r="M2945" s="15"/>
      <c r="N2945" s="15"/>
      <c r="O2945" s="15"/>
      <c r="P2945" s="15"/>
      <c r="Q2945" s="14"/>
      <c r="R2945" s="14"/>
      <c r="S2945" s="14"/>
      <c r="T2945" s="14"/>
      <c r="U2945" s="15"/>
      <c r="V2945" s="14"/>
      <c r="W2945" s="14"/>
      <c r="X2945" s="14"/>
      <c r="Y2945" s="14"/>
      <c r="Z2945" s="14"/>
    </row>
    <row r="2946" spans="1:26" ht="13.2">
      <c r="A2946" s="13"/>
      <c r="B2946" s="14"/>
      <c r="C2946" s="14"/>
      <c r="D2946" s="14"/>
      <c r="E2946" s="14"/>
      <c r="F2946" s="14"/>
      <c r="G2946" s="14"/>
      <c r="H2946" s="14"/>
      <c r="I2946" s="14"/>
      <c r="J2946" s="14"/>
      <c r="K2946" s="14"/>
      <c r="L2946" s="15"/>
      <c r="M2946" s="15"/>
      <c r="N2946" s="15"/>
      <c r="O2946" s="15"/>
      <c r="P2946" s="15"/>
      <c r="Q2946" s="14"/>
      <c r="R2946" s="14"/>
      <c r="S2946" s="14"/>
      <c r="T2946" s="14"/>
      <c r="U2946" s="15"/>
      <c r="V2946" s="14"/>
      <c r="W2946" s="14"/>
      <c r="X2946" s="14"/>
      <c r="Y2946" s="14"/>
      <c r="Z2946" s="14"/>
    </row>
    <row r="2947" spans="1:26" ht="13.2">
      <c r="A2947" s="13"/>
      <c r="B2947" s="14"/>
      <c r="C2947" s="14"/>
      <c r="D2947" s="14"/>
      <c r="E2947" s="14"/>
      <c r="F2947" s="14"/>
      <c r="G2947" s="14"/>
      <c r="H2947" s="14"/>
      <c r="I2947" s="14"/>
      <c r="J2947" s="14"/>
      <c r="K2947" s="14"/>
      <c r="L2947" s="15"/>
      <c r="M2947" s="15"/>
      <c r="N2947" s="15"/>
      <c r="O2947" s="15"/>
      <c r="P2947" s="15"/>
      <c r="Q2947" s="14"/>
      <c r="R2947" s="14"/>
      <c r="S2947" s="14"/>
      <c r="T2947" s="14"/>
      <c r="U2947" s="15"/>
      <c r="V2947" s="14"/>
      <c r="W2947" s="14"/>
      <c r="X2947" s="14"/>
      <c r="Y2947" s="14"/>
      <c r="Z2947" s="14"/>
    </row>
    <row r="2948" spans="1:26" ht="13.2">
      <c r="A2948" s="13"/>
      <c r="B2948" s="14"/>
      <c r="C2948" s="14"/>
      <c r="D2948" s="14"/>
      <c r="E2948" s="14"/>
      <c r="F2948" s="14"/>
      <c r="G2948" s="14"/>
      <c r="H2948" s="14"/>
      <c r="I2948" s="14"/>
      <c r="J2948" s="14"/>
      <c r="K2948" s="14"/>
      <c r="L2948" s="15"/>
      <c r="M2948" s="15"/>
      <c r="N2948" s="15"/>
      <c r="O2948" s="15"/>
      <c r="P2948" s="15"/>
      <c r="Q2948" s="14"/>
      <c r="R2948" s="14"/>
      <c r="S2948" s="14"/>
      <c r="T2948" s="14"/>
      <c r="U2948" s="15"/>
      <c r="V2948" s="14"/>
      <c r="W2948" s="14"/>
      <c r="X2948" s="14"/>
      <c r="Y2948" s="14"/>
      <c r="Z2948" s="14"/>
    </row>
    <row r="2949" spans="1:26" ht="13.2">
      <c r="A2949" s="13"/>
      <c r="B2949" s="14"/>
      <c r="C2949" s="14"/>
      <c r="D2949" s="14"/>
      <c r="E2949" s="14"/>
      <c r="F2949" s="14"/>
      <c r="G2949" s="14"/>
      <c r="H2949" s="14"/>
      <c r="I2949" s="14"/>
      <c r="J2949" s="14"/>
      <c r="K2949" s="14"/>
      <c r="L2949" s="15"/>
      <c r="M2949" s="15"/>
      <c r="N2949" s="15"/>
      <c r="O2949" s="15"/>
      <c r="P2949" s="15"/>
      <c r="Q2949" s="14"/>
      <c r="R2949" s="14"/>
      <c r="S2949" s="14"/>
      <c r="T2949" s="14"/>
      <c r="U2949" s="15"/>
      <c r="V2949" s="14"/>
      <c r="W2949" s="14"/>
      <c r="X2949" s="14"/>
      <c r="Y2949" s="14"/>
      <c r="Z2949" s="14"/>
    </row>
    <row r="2950" spans="1:26" ht="13.2">
      <c r="A2950" s="13"/>
      <c r="B2950" s="14"/>
      <c r="C2950" s="14"/>
      <c r="D2950" s="14"/>
      <c r="E2950" s="14"/>
      <c r="F2950" s="14"/>
      <c r="G2950" s="14"/>
      <c r="H2950" s="14"/>
      <c r="I2950" s="14"/>
      <c r="J2950" s="14"/>
      <c r="K2950" s="14"/>
      <c r="L2950" s="15"/>
      <c r="M2950" s="15"/>
      <c r="N2950" s="15"/>
      <c r="O2950" s="15"/>
      <c r="P2950" s="15"/>
      <c r="Q2950" s="14"/>
      <c r="R2950" s="14"/>
      <c r="S2950" s="14"/>
      <c r="T2950" s="14"/>
      <c r="U2950" s="15"/>
      <c r="V2950" s="14"/>
      <c r="W2950" s="14"/>
      <c r="X2950" s="14"/>
      <c r="Y2950" s="14"/>
      <c r="Z2950" s="14"/>
    </row>
    <row r="2951" spans="1:26" ht="13.2">
      <c r="A2951" s="13"/>
      <c r="B2951" s="14"/>
      <c r="C2951" s="14"/>
      <c r="D2951" s="14"/>
      <c r="E2951" s="14"/>
      <c r="F2951" s="14"/>
      <c r="G2951" s="14"/>
      <c r="H2951" s="14"/>
      <c r="I2951" s="14"/>
      <c r="J2951" s="14"/>
      <c r="K2951" s="14"/>
      <c r="L2951" s="15"/>
      <c r="M2951" s="15"/>
      <c r="N2951" s="15"/>
      <c r="O2951" s="15"/>
      <c r="P2951" s="15"/>
      <c r="Q2951" s="14"/>
      <c r="R2951" s="14"/>
      <c r="S2951" s="14"/>
      <c r="T2951" s="14"/>
      <c r="U2951" s="15"/>
      <c r="V2951" s="14"/>
      <c r="W2951" s="14"/>
      <c r="X2951" s="14"/>
      <c r="Y2951" s="14"/>
      <c r="Z2951" s="14"/>
    </row>
    <row r="2952" spans="1:26" ht="13.2">
      <c r="A2952" s="13"/>
      <c r="B2952" s="14"/>
      <c r="C2952" s="14"/>
      <c r="D2952" s="14"/>
      <c r="E2952" s="14"/>
      <c r="F2952" s="14"/>
      <c r="G2952" s="14"/>
      <c r="H2952" s="14"/>
      <c r="I2952" s="14"/>
      <c r="J2952" s="14"/>
      <c r="K2952" s="14"/>
      <c r="L2952" s="15"/>
      <c r="M2952" s="15"/>
      <c r="N2952" s="15"/>
      <c r="O2952" s="15"/>
      <c r="P2952" s="15"/>
      <c r="Q2952" s="14"/>
      <c r="R2952" s="14"/>
      <c r="S2952" s="14"/>
      <c r="T2952" s="14"/>
      <c r="U2952" s="15"/>
      <c r="V2952" s="14"/>
      <c r="W2952" s="14"/>
      <c r="X2952" s="14"/>
      <c r="Y2952" s="14"/>
      <c r="Z2952" s="14"/>
    </row>
    <row r="2953" spans="1:26" ht="13.2">
      <c r="A2953" s="13"/>
      <c r="B2953" s="14"/>
      <c r="C2953" s="14"/>
      <c r="D2953" s="14"/>
      <c r="E2953" s="14"/>
      <c r="F2953" s="14"/>
      <c r="G2953" s="14"/>
      <c r="H2953" s="14"/>
      <c r="I2953" s="14"/>
      <c r="J2953" s="14"/>
      <c r="K2953" s="14"/>
      <c r="L2953" s="15"/>
      <c r="M2953" s="15"/>
      <c r="N2953" s="15"/>
      <c r="O2953" s="15"/>
      <c r="P2953" s="15"/>
      <c r="Q2953" s="14"/>
      <c r="R2953" s="14"/>
      <c r="S2953" s="14"/>
      <c r="T2953" s="14"/>
      <c r="U2953" s="15"/>
      <c r="V2953" s="14"/>
      <c r="W2953" s="14"/>
      <c r="X2953" s="14"/>
      <c r="Y2953" s="14"/>
      <c r="Z2953" s="14"/>
    </row>
    <row r="2954" spans="1:26" ht="13.2">
      <c r="A2954" s="13"/>
      <c r="B2954" s="14"/>
      <c r="C2954" s="14"/>
      <c r="D2954" s="14"/>
      <c r="E2954" s="14"/>
      <c r="F2954" s="14"/>
      <c r="G2954" s="14"/>
      <c r="H2954" s="14"/>
      <c r="I2954" s="14"/>
      <c r="J2954" s="14"/>
      <c r="K2954" s="14"/>
      <c r="L2954" s="15"/>
      <c r="M2954" s="15"/>
      <c r="N2954" s="15"/>
      <c r="O2954" s="15"/>
      <c r="P2954" s="15"/>
      <c r="Q2954" s="14"/>
      <c r="R2954" s="14"/>
      <c r="S2954" s="14"/>
      <c r="T2954" s="14"/>
      <c r="U2954" s="15"/>
      <c r="V2954" s="14"/>
      <c r="W2954" s="14"/>
      <c r="X2954" s="14"/>
      <c r="Y2954" s="14"/>
      <c r="Z2954" s="14"/>
    </row>
    <row r="2955" spans="1:26" ht="13.2">
      <c r="A2955" s="13"/>
      <c r="B2955" s="14"/>
      <c r="C2955" s="14"/>
      <c r="D2955" s="14"/>
      <c r="E2955" s="14"/>
      <c r="F2955" s="14"/>
      <c r="G2955" s="14"/>
      <c r="H2955" s="14"/>
      <c r="I2955" s="14"/>
      <c r="J2955" s="14"/>
      <c r="K2955" s="14"/>
      <c r="L2955" s="15"/>
      <c r="M2955" s="15"/>
      <c r="N2955" s="15"/>
      <c r="O2955" s="15"/>
      <c r="P2955" s="15"/>
      <c r="Q2955" s="14"/>
      <c r="R2955" s="14"/>
      <c r="S2955" s="14"/>
      <c r="T2955" s="14"/>
      <c r="U2955" s="15"/>
      <c r="V2955" s="14"/>
      <c r="W2955" s="14"/>
      <c r="X2955" s="14"/>
      <c r="Y2955" s="14"/>
      <c r="Z2955" s="14"/>
    </row>
    <row r="2956" spans="1:26" ht="13.2">
      <c r="A2956" s="13"/>
      <c r="B2956" s="14"/>
      <c r="C2956" s="14"/>
      <c r="D2956" s="14"/>
      <c r="E2956" s="14"/>
      <c r="F2956" s="14"/>
      <c r="G2956" s="14"/>
      <c r="H2956" s="14"/>
      <c r="I2956" s="14"/>
      <c r="J2956" s="14"/>
      <c r="K2956" s="14"/>
      <c r="L2956" s="15"/>
      <c r="M2956" s="15"/>
      <c r="N2956" s="15"/>
      <c r="O2956" s="15"/>
      <c r="P2956" s="15"/>
      <c r="Q2956" s="14"/>
      <c r="R2956" s="14"/>
      <c r="S2956" s="14"/>
      <c r="T2956" s="14"/>
      <c r="U2956" s="15"/>
      <c r="V2956" s="14"/>
      <c r="W2956" s="14"/>
      <c r="X2956" s="14"/>
      <c r="Y2956" s="14"/>
      <c r="Z2956" s="14"/>
    </row>
    <row r="2957" spans="1:26" ht="13.2">
      <c r="A2957" s="13"/>
      <c r="B2957" s="14"/>
      <c r="C2957" s="14"/>
      <c r="D2957" s="14"/>
      <c r="E2957" s="14"/>
      <c r="F2957" s="14"/>
      <c r="G2957" s="14"/>
      <c r="H2957" s="14"/>
      <c r="I2957" s="14"/>
      <c r="J2957" s="14"/>
      <c r="K2957" s="14"/>
      <c r="L2957" s="15"/>
      <c r="M2957" s="15"/>
      <c r="N2957" s="15"/>
      <c r="O2957" s="15"/>
      <c r="P2957" s="15"/>
      <c r="Q2957" s="14"/>
      <c r="R2957" s="14"/>
      <c r="S2957" s="14"/>
      <c r="T2957" s="14"/>
      <c r="U2957" s="15"/>
      <c r="V2957" s="14"/>
      <c r="W2957" s="14"/>
      <c r="X2957" s="14"/>
      <c r="Y2957" s="14"/>
      <c r="Z2957" s="14"/>
    </row>
    <row r="2958" spans="1:26" ht="13.2">
      <c r="A2958" s="13"/>
      <c r="B2958" s="14"/>
      <c r="C2958" s="14"/>
      <c r="D2958" s="14"/>
      <c r="E2958" s="14"/>
      <c r="F2958" s="14"/>
      <c r="G2958" s="14"/>
      <c r="H2958" s="14"/>
      <c r="I2958" s="14"/>
      <c r="J2958" s="14"/>
      <c r="K2958" s="14"/>
      <c r="L2958" s="15"/>
      <c r="M2958" s="15"/>
      <c r="N2958" s="15"/>
      <c r="O2958" s="15"/>
      <c r="P2958" s="15"/>
      <c r="Q2958" s="14"/>
      <c r="R2958" s="14"/>
      <c r="S2958" s="14"/>
      <c r="T2958" s="14"/>
      <c r="U2958" s="15"/>
      <c r="V2958" s="14"/>
      <c r="W2958" s="14"/>
      <c r="X2958" s="14"/>
      <c r="Y2958" s="14"/>
      <c r="Z2958" s="14"/>
    </row>
    <row r="2959" spans="1:26" ht="13.2">
      <c r="A2959" s="13"/>
      <c r="B2959" s="14"/>
      <c r="C2959" s="14"/>
      <c r="D2959" s="14"/>
      <c r="E2959" s="14"/>
      <c r="F2959" s="14"/>
      <c r="G2959" s="14"/>
      <c r="H2959" s="14"/>
      <c r="I2959" s="14"/>
      <c r="J2959" s="14"/>
      <c r="K2959" s="14"/>
      <c r="L2959" s="15"/>
      <c r="M2959" s="15"/>
      <c r="N2959" s="15"/>
      <c r="O2959" s="15"/>
      <c r="P2959" s="15"/>
      <c r="Q2959" s="14"/>
      <c r="R2959" s="14"/>
      <c r="S2959" s="14"/>
      <c r="T2959" s="14"/>
      <c r="U2959" s="15"/>
      <c r="V2959" s="14"/>
      <c r="W2959" s="14"/>
      <c r="X2959" s="14"/>
      <c r="Y2959" s="14"/>
      <c r="Z2959" s="14"/>
    </row>
    <row r="2960" spans="1:26" ht="13.2">
      <c r="A2960" s="13"/>
      <c r="B2960" s="14"/>
      <c r="C2960" s="14"/>
      <c r="D2960" s="14"/>
      <c r="E2960" s="14"/>
      <c r="F2960" s="14"/>
      <c r="G2960" s="14"/>
      <c r="H2960" s="14"/>
      <c r="I2960" s="14"/>
      <c r="J2960" s="14"/>
      <c r="K2960" s="14"/>
      <c r="L2960" s="15"/>
      <c r="M2960" s="15"/>
      <c r="N2960" s="15"/>
      <c r="O2960" s="15"/>
      <c r="P2960" s="15"/>
      <c r="Q2960" s="14"/>
      <c r="R2960" s="14"/>
      <c r="S2960" s="14"/>
      <c r="T2960" s="14"/>
      <c r="U2960" s="15"/>
      <c r="V2960" s="14"/>
      <c r="W2960" s="14"/>
      <c r="X2960" s="14"/>
      <c r="Y2960" s="14"/>
      <c r="Z2960" s="14"/>
    </row>
    <row r="2961" spans="1:26" ht="13.2">
      <c r="A2961" s="13"/>
      <c r="B2961" s="14"/>
      <c r="C2961" s="14"/>
      <c r="D2961" s="14"/>
      <c r="E2961" s="14"/>
      <c r="F2961" s="14"/>
      <c r="G2961" s="14"/>
      <c r="H2961" s="14"/>
      <c r="I2961" s="14"/>
      <c r="J2961" s="14"/>
      <c r="K2961" s="14"/>
      <c r="L2961" s="15"/>
      <c r="M2961" s="15"/>
      <c r="N2961" s="15"/>
      <c r="O2961" s="15"/>
      <c r="P2961" s="15"/>
      <c r="Q2961" s="14"/>
      <c r="R2961" s="14"/>
      <c r="S2961" s="14"/>
      <c r="T2961" s="14"/>
      <c r="U2961" s="15"/>
      <c r="V2961" s="14"/>
      <c r="W2961" s="14"/>
      <c r="X2961" s="14"/>
      <c r="Y2961" s="14"/>
      <c r="Z2961" s="14"/>
    </row>
    <row r="2962" spans="1:26" ht="13.2">
      <c r="A2962" s="13"/>
      <c r="B2962" s="14"/>
      <c r="C2962" s="14"/>
      <c r="D2962" s="14"/>
      <c r="E2962" s="14"/>
      <c r="F2962" s="14"/>
      <c r="G2962" s="14"/>
      <c r="H2962" s="14"/>
      <c r="I2962" s="14"/>
      <c r="J2962" s="14"/>
      <c r="K2962" s="14"/>
      <c r="L2962" s="15"/>
      <c r="M2962" s="15"/>
      <c r="N2962" s="15"/>
      <c r="O2962" s="15"/>
      <c r="P2962" s="15"/>
      <c r="Q2962" s="14"/>
      <c r="R2962" s="14"/>
      <c r="S2962" s="14"/>
      <c r="T2962" s="14"/>
      <c r="U2962" s="15"/>
      <c r="V2962" s="14"/>
      <c r="W2962" s="14"/>
      <c r="X2962" s="14"/>
      <c r="Y2962" s="14"/>
      <c r="Z2962" s="14"/>
    </row>
    <row r="2963" spans="1:26" ht="13.2">
      <c r="A2963" s="13"/>
      <c r="B2963" s="14"/>
      <c r="C2963" s="14"/>
      <c r="D2963" s="14"/>
      <c r="E2963" s="14"/>
      <c r="F2963" s="14"/>
      <c r="G2963" s="14"/>
      <c r="H2963" s="14"/>
      <c r="I2963" s="14"/>
      <c r="J2963" s="14"/>
      <c r="K2963" s="14"/>
      <c r="L2963" s="15"/>
      <c r="M2963" s="15"/>
      <c r="N2963" s="15"/>
      <c r="O2963" s="15"/>
      <c r="P2963" s="15"/>
      <c r="Q2963" s="14"/>
      <c r="R2963" s="14"/>
      <c r="S2963" s="14"/>
      <c r="T2963" s="14"/>
      <c r="U2963" s="15"/>
      <c r="V2963" s="14"/>
      <c r="W2963" s="14"/>
      <c r="X2963" s="14"/>
      <c r="Y2963" s="14"/>
      <c r="Z2963" s="14"/>
    </row>
    <row r="2964" spans="1:26" ht="13.2">
      <c r="A2964" s="13"/>
      <c r="B2964" s="14"/>
      <c r="C2964" s="14"/>
      <c r="D2964" s="14"/>
      <c r="E2964" s="14"/>
      <c r="F2964" s="14"/>
      <c r="G2964" s="14"/>
      <c r="H2964" s="14"/>
      <c r="I2964" s="14"/>
      <c r="J2964" s="14"/>
      <c r="K2964" s="14"/>
      <c r="L2964" s="15"/>
      <c r="M2964" s="15"/>
      <c r="N2964" s="15"/>
      <c r="O2964" s="15"/>
      <c r="P2964" s="15"/>
      <c r="Q2964" s="14"/>
      <c r="R2964" s="14"/>
      <c r="S2964" s="14"/>
      <c r="T2964" s="14"/>
      <c r="U2964" s="15"/>
      <c r="V2964" s="14"/>
      <c r="W2964" s="14"/>
      <c r="X2964" s="14"/>
      <c r="Y2964" s="14"/>
      <c r="Z2964" s="14"/>
    </row>
    <row r="2965" spans="1:26" ht="13.2">
      <c r="A2965" s="13"/>
      <c r="B2965" s="14"/>
      <c r="C2965" s="14"/>
      <c r="D2965" s="14"/>
      <c r="E2965" s="14"/>
      <c r="F2965" s="14"/>
      <c r="G2965" s="14"/>
      <c r="H2965" s="14"/>
      <c r="I2965" s="14"/>
      <c r="J2965" s="14"/>
      <c r="K2965" s="14"/>
      <c r="L2965" s="15"/>
      <c r="M2965" s="15"/>
      <c r="N2965" s="15"/>
      <c r="O2965" s="15"/>
      <c r="P2965" s="15"/>
      <c r="Q2965" s="14"/>
      <c r="R2965" s="14"/>
      <c r="S2965" s="14"/>
      <c r="T2965" s="14"/>
      <c r="U2965" s="15"/>
      <c r="V2965" s="14"/>
      <c r="W2965" s="14"/>
      <c r="X2965" s="14"/>
      <c r="Y2965" s="14"/>
      <c r="Z2965" s="14"/>
    </row>
    <row r="2966" spans="1:26" ht="13.2">
      <c r="A2966" s="13"/>
      <c r="B2966" s="14"/>
      <c r="C2966" s="14"/>
      <c r="D2966" s="14"/>
      <c r="E2966" s="14"/>
      <c r="F2966" s="14"/>
      <c r="G2966" s="14"/>
      <c r="H2966" s="14"/>
      <c r="I2966" s="14"/>
      <c r="J2966" s="14"/>
      <c r="K2966" s="14"/>
      <c r="L2966" s="15"/>
      <c r="M2966" s="15"/>
      <c r="N2966" s="15"/>
      <c r="O2966" s="15"/>
      <c r="P2966" s="15"/>
      <c r="Q2966" s="14"/>
      <c r="R2966" s="14"/>
      <c r="S2966" s="14"/>
      <c r="T2966" s="14"/>
      <c r="U2966" s="15"/>
      <c r="V2966" s="14"/>
      <c r="W2966" s="14"/>
      <c r="X2966" s="14"/>
      <c r="Y2966" s="14"/>
      <c r="Z2966" s="14"/>
    </row>
    <row r="2967" spans="1:26" ht="13.2">
      <c r="A2967" s="13"/>
      <c r="B2967" s="14"/>
      <c r="C2967" s="14"/>
      <c r="D2967" s="14"/>
      <c r="E2967" s="14"/>
      <c r="F2967" s="14"/>
      <c r="G2967" s="14"/>
      <c r="H2967" s="14"/>
      <c r="I2967" s="14"/>
      <c r="J2967" s="14"/>
      <c r="K2967" s="14"/>
      <c r="L2967" s="15"/>
      <c r="M2967" s="15"/>
      <c r="N2967" s="15"/>
      <c r="O2967" s="15"/>
      <c r="P2967" s="15"/>
      <c r="Q2967" s="14"/>
      <c r="R2967" s="14"/>
      <c r="S2967" s="14"/>
      <c r="T2967" s="14"/>
      <c r="U2967" s="15"/>
      <c r="V2967" s="14"/>
      <c r="W2967" s="14"/>
      <c r="X2967" s="14"/>
      <c r="Y2967" s="14"/>
      <c r="Z2967" s="14"/>
    </row>
    <row r="2968" spans="1:26" ht="13.2">
      <c r="A2968" s="13"/>
      <c r="B2968" s="14"/>
      <c r="C2968" s="14"/>
      <c r="D2968" s="14"/>
      <c r="E2968" s="14"/>
      <c r="F2968" s="14"/>
      <c r="G2968" s="14"/>
      <c r="H2968" s="14"/>
      <c r="I2968" s="14"/>
      <c r="J2968" s="14"/>
      <c r="K2968" s="14"/>
      <c r="L2968" s="15"/>
      <c r="M2968" s="15"/>
      <c r="N2968" s="15"/>
      <c r="O2968" s="15"/>
      <c r="P2968" s="15"/>
      <c r="Q2968" s="14"/>
      <c r="R2968" s="14"/>
      <c r="S2968" s="14"/>
      <c r="T2968" s="14"/>
      <c r="U2968" s="15"/>
      <c r="V2968" s="14"/>
      <c r="W2968" s="14"/>
      <c r="X2968" s="14"/>
      <c r="Y2968" s="14"/>
      <c r="Z2968" s="14"/>
    </row>
    <row r="2969" spans="1:26" ht="13.2">
      <c r="A2969" s="13"/>
      <c r="B2969" s="14"/>
      <c r="C2969" s="14"/>
      <c r="D2969" s="14"/>
      <c r="E2969" s="14"/>
      <c r="F2969" s="14"/>
      <c r="G2969" s="14"/>
      <c r="H2969" s="14"/>
      <c r="I2969" s="14"/>
      <c r="J2969" s="14"/>
      <c r="K2969" s="14"/>
      <c r="L2969" s="15"/>
      <c r="M2969" s="15"/>
      <c r="N2969" s="15"/>
      <c r="O2969" s="15"/>
      <c r="P2969" s="15"/>
      <c r="Q2969" s="14"/>
      <c r="R2969" s="14"/>
      <c r="S2969" s="14"/>
      <c r="T2969" s="14"/>
      <c r="U2969" s="15"/>
      <c r="V2969" s="14"/>
      <c r="W2969" s="14"/>
      <c r="X2969" s="14"/>
      <c r="Y2969" s="14"/>
      <c r="Z2969" s="14"/>
    </row>
    <row r="2970" spans="1:26" ht="13.2">
      <c r="A2970" s="13"/>
      <c r="B2970" s="14"/>
      <c r="C2970" s="14"/>
      <c r="D2970" s="14"/>
      <c r="E2970" s="14"/>
      <c r="F2970" s="14"/>
      <c r="G2970" s="14"/>
      <c r="H2970" s="14"/>
      <c r="I2970" s="14"/>
      <c r="J2970" s="14"/>
      <c r="K2970" s="14"/>
      <c r="L2970" s="15"/>
      <c r="M2970" s="15"/>
      <c r="N2970" s="15"/>
      <c r="O2970" s="15"/>
      <c r="P2970" s="15"/>
      <c r="Q2970" s="14"/>
      <c r="R2970" s="14"/>
      <c r="S2970" s="14"/>
      <c r="T2970" s="14"/>
      <c r="U2970" s="15"/>
      <c r="V2970" s="14"/>
      <c r="W2970" s="14"/>
      <c r="X2970" s="14"/>
      <c r="Y2970" s="14"/>
      <c r="Z2970" s="14"/>
    </row>
    <row r="2971" spans="1:26" ht="13.2">
      <c r="A2971" s="13"/>
      <c r="B2971" s="14"/>
      <c r="C2971" s="14"/>
      <c r="D2971" s="14"/>
      <c r="E2971" s="14"/>
      <c r="F2971" s="14"/>
      <c r="G2971" s="14"/>
      <c r="H2971" s="14"/>
      <c r="I2971" s="14"/>
      <c r="J2971" s="14"/>
      <c r="K2971" s="14"/>
      <c r="L2971" s="15"/>
      <c r="M2971" s="15"/>
      <c r="N2971" s="15"/>
      <c r="O2971" s="15"/>
      <c r="P2971" s="15"/>
      <c r="Q2971" s="14"/>
      <c r="R2971" s="14"/>
      <c r="S2971" s="14"/>
      <c r="T2971" s="14"/>
      <c r="U2971" s="15"/>
      <c r="V2971" s="14"/>
      <c r="W2971" s="14"/>
      <c r="X2971" s="14"/>
      <c r="Y2971" s="14"/>
      <c r="Z2971" s="14"/>
    </row>
    <row r="2972" spans="1:26" ht="13.2">
      <c r="A2972" s="13"/>
      <c r="B2972" s="14"/>
      <c r="C2972" s="14"/>
      <c r="D2972" s="14"/>
      <c r="E2972" s="14"/>
      <c r="F2972" s="14"/>
      <c r="G2972" s="14"/>
      <c r="H2972" s="14"/>
      <c r="I2972" s="14"/>
      <c r="J2972" s="14"/>
      <c r="K2972" s="14"/>
      <c r="L2972" s="15"/>
      <c r="M2972" s="15"/>
      <c r="N2972" s="15"/>
      <c r="O2972" s="15"/>
      <c r="P2972" s="15"/>
      <c r="Q2972" s="14"/>
      <c r="R2972" s="14"/>
      <c r="S2972" s="14"/>
      <c r="T2972" s="14"/>
      <c r="U2972" s="15"/>
      <c r="V2972" s="14"/>
      <c r="W2972" s="14"/>
      <c r="X2972" s="14"/>
      <c r="Y2972" s="14"/>
      <c r="Z2972" s="14"/>
    </row>
    <row r="2973" spans="1:26" ht="13.2">
      <c r="A2973" s="13"/>
      <c r="B2973" s="14"/>
      <c r="C2973" s="14"/>
      <c r="D2973" s="14"/>
      <c r="E2973" s="14"/>
      <c r="F2973" s="14"/>
      <c r="G2973" s="14"/>
      <c r="H2973" s="14"/>
      <c r="I2973" s="14"/>
      <c r="J2973" s="14"/>
      <c r="K2973" s="14"/>
      <c r="L2973" s="15"/>
      <c r="M2973" s="15"/>
      <c r="N2973" s="15"/>
      <c r="O2973" s="15"/>
      <c r="P2973" s="15"/>
      <c r="Q2973" s="14"/>
      <c r="R2973" s="14"/>
      <c r="S2973" s="14"/>
      <c r="T2973" s="14"/>
      <c r="U2973" s="15"/>
      <c r="V2973" s="14"/>
      <c r="W2973" s="14"/>
      <c r="X2973" s="14"/>
      <c r="Y2973" s="14"/>
      <c r="Z2973" s="14"/>
    </row>
    <row r="2974" spans="1:26" ht="13.2">
      <c r="A2974" s="13"/>
      <c r="B2974" s="14"/>
      <c r="C2974" s="14"/>
      <c r="D2974" s="14"/>
      <c r="E2974" s="14"/>
      <c r="F2974" s="14"/>
      <c r="G2974" s="14"/>
      <c r="H2974" s="14"/>
      <c r="I2974" s="14"/>
      <c r="J2974" s="14"/>
      <c r="K2974" s="14"/>
      <c r="L2974" s="15"/>
      <c r="M2974" s="15"/>
      <c r="N2974" s="15"/>
      <c r="O2974" s="15"/>
      <c r="P2974" s="15"/>
      <c r="Q2974" s="14"/>
      <c r="R2974" s="14"/>
      <c r="S2974" s="14"/>
      <c r="T2974" s="14"/>
      <c r="U2974" s="15"/>
      <c r="V2974" s="14"/>
      <c r="W2974" s="14"/>
      <c r="X2974" s="14"/>
      <c r="Y2974" s="14"/>
      <c r="Z2974" s="14"/>
    </row>
    <row r="2975" spans="1:26" ht="13.2">
      <c r="A2975" s="13"/>
      <c r="B2975" s="14"/>
      <c r="C2975" s="14"/>
      <c r="D2975" s="14"/>
      <c r="E2975" s="14"/>
      <c r="F2975" s="14"/>
      <c r="G2975" s="14"/>
      <c r="H2975" s="14"/>
      <c r="I2975" s="14"/>
      <c r="J2975" s="14"/>
      <c r="K2975" s="14"/>
      <c r="L2975" s="15"/>
      <c r="M2975" s="15"/>
      <c r="N2975" s="15"/>
      <c r="O2975" s="15"/>
      <c r="P2975" s="15"/>
      <c r="Q2975" s="14"/>
      <c r="R2975" s="14"/>
      <c r="S2975" s="14"/>
      <c r="T2975" s="14"/>
      <c r="U2975" s="15"/>
      <c r="V2975" s="14"/>
      <c r="W2975" s="14"/>
      <c r="X2975" s="14"/>
      <c r="Y2975" s="14"/>
      <c r="Z2975" s="14"/>
    </row>
    <row r="2976" spans="1:26" ht="13.2">
      <c r="A2976" s="13"/>
      <c r="B2976" s="14"/>
      <c r="C2976" s="14"/>
      <c r="D2976" s="14"/>
      <c r="E2976" s="14"/>
      <c r="F2976" s="14"/>
      <c r="G2976" s="14"/>
      <c r="H2976" s="14"/>
      <c r="I2976" s="14"/>
      <c r="J2976" s="14"/>
      <c r="K2976" s="14"/>
      <c r="L2976" s="15"/>
      <c r="M2976" s="15"/>
      <c r="N2976" s="15"/>
      <c r="O2976" s="15"/>
      <c r="P2976" s="15"/>
      <c r="Q2976" s="14"/>
      <c r="R2976" s="14"/>
      <c r="S2976" s="14"/>
      <c r="T2976" s="14"/>
      <c r="U2976" s="15"/>
      <c r="V2976" s="14"/>
      <c r="W2976" s="14"/>
      <c r="X2976" s="14"/>
      <c r="Y2976" s="14"/>
      <c r="Z2976" s="14"/>
    </row>
    <row r="2977" spans="1:26" ht="13.2">
      <c r="A2977" s="13"/>
      <c r="B2977" s="14"/>
      <c r="C2977" s="14"/>
      <c r="D2977" s="14"/>
      <c r="E2977" s="14"/>
      <c r="F2977" s="14"/>
      <c r="G2977" s="14"/>
      <c r="H2977" s="14"/>
      <c r="I2977" s="14"/>
      <c r="J2977" s="14"/>
      <c r="K2977" s="14"/>
      <c r="L2977" s="15"/>
      <c r="M2977" s="15"/>
      <c r="N2977" s="15"/>
      <c r="O2977" s="15"/>
      <c r="P2977" s="15"/>
      <c r="Q2977" s="14"/>
      <c r="R2977" s="14"/>
      <c r="S2977" s="14"/>
      <c r="T2977" s="14"/>
      <c r="U2977" s="15"/>
      <c r="V2977" s="14"/>
      <c r="W2977" s="14"/>
      <c r="X2977" s="14"/>
      <c r="Y2977" s="14"/>
      <c r="Z2977" s="14"/>
    </row>
    <row r="2978" spans="1:26" ht="13.2">
      <c r="A2978" s="13"/>
      <c r="B2978" s="14"/>
      <c r="C2978" s="14"/>
      <c r="D2978" s="14"/>
      <c r="E2978" s="14"/>
      <c r="F2978" s="14"/>
      <c r="G2978" s="14"/>
      <c r="H2978" s="14"/>
      <c r="I2978" s="14"/>
      <c r="J2978" s="14"/>
      <c r="K2978" s="14"/>
      <c r="L2978" s="15"/>
      <c r="M2978" s="15"/>
      <c r="N2978" s="15"/>
      <c r="O2978" s="15"/>
      <c r="P2978" s="15"/>
      <c r="Q2978" s="14"/>
      <c r="R2978" s="14"/>
      <c r="S2978" s="14"/>
      <c r="T2978" s="14"/>
      <c r="U2978" s="15"/>
      <c r="V2978" s="14"/>
      <c r="W2978" s="14"/>
      <c r="X2978" s="14"/>
      <c r="Y2978" s="14"/>
      <c r="Z2978" s="14"/>
    </row>
    <row r="2979" spans="1:26" ht="13.2">
      <c r="A2979" s="13"/>
      <c r="B2979" s="14"/>
      <c r="C2979" s="14"/>
      <c r="D2979" s="14"/>
      <c r="E2979" s="14"/>
      <c r="F2979" s="14"/>
      <c r="G2979" s="14"/>
      <c r="H2979" s="14"/>
      <c r="I2979" s="14"/>
      <c r="J2979" s="14"/>
      <c r="K2979" s="14"/>
      <c r="L2979" s="15"/>
      <c r="M2979" s="15"/>
      <c r="N2979" s="15"/>
      <c r="O2979" s="15"/>
      <c r="P2979" s="15"/>
      <c r="Q2979" s="14"/>
      <c r="R2979" s="14"/>
      <c r="S2979" s="14"/>
      <c r="T2979" s="14"/>
      <c r="U2979" s="15"/>
      <c r="V2979" s="14"/>
      <c r="W2979" s="14"/>
      <c r="X2979" s="14"/>
      <c r="Y2979" s="14"/>
      <c r="Z2979" s="14"/>
    </row>
    <row r="2980" spans="1:26" ht="13.2">
      <c r="A2980" s="13"/>
      <c r="B2980" s="14"/>
      <c r="C2980" s="14"/>
      <c r="D2980" s="14"/>
      <c r="E2980" s="14"/>
      <c r="F2980" s="14"/>
      <c r="G2980" s="14"/>
      <c r="H2980" s="14"/>
      <c r="I2980" s="14"/>
      <c r="J2980" s="14"/>
      <c r="K2980" s="14"/>
      <c r="L2980" s="15"/>
      <c r="M2980" s="15"/>
      <c r="N2980" s="15"/>
      <c r="O2980" s="15"/>
      <c r="P2980" s="15"/>
      <c r="Q2980" s="14"/>
      <c r="R2980" s="14"/>
      <c r="S2980" s="14"/>
      <c r="T2980" s="14"/>
      <c r="U2980" s="15"/>
      <c r="V2980" s="14"/>
      <c r="W2980" s="14"/>
      <c r="X2980" s="14"/>
      <c r="Y2980" s="14"/>
      <c r="Z2980" s="14"/>
    </row>
    <row r="2981" spans="1:26" ht="13.2">
      <c r="A2981" s="13"/>
      <c r="B2981" s="14"/>
      <c r="C2981" s="14"/>
      <c r="D2981" s="14"/>
      <c r="E2981" s="14"/>
      <c r="F2981" s="14"/>
      <c r="G2981" s="14"/>
      <c r="H2981" s="14"/>
      <c r="I2981" s="14"/>
      <c r="J2981" s="14"/>
      <c r="K2981" s="14"/>
      <c r="L2981" s="15"/>
      <c r="M2981" s="15"/>
      <c r="N2981" s="15"/>
      <c r="O2981" s="15"/>
      <c r="P2981" s="15"/>
      <c r="Q2981" s="14"/>
      <c r="R2981" s="14"/>
      <c r="S2981" s="14"/>
      <c r="T2981" s="14"/>
      <c r="U2981" s="15"/>
      <c r="V2981" s="14"/>
      <c r="W2981" s="14"/>
      <c r="X2981" s="14"/>
      <c r="Y2981" s="14"/>
      <c r="Z2981" s="14"/>
    </row>
    <row r="2982" spans="1:26" ht="13.2">
      <c r="A2982" s="13"/>
      <c r="B2982" s="14"/>
      <c r="C2982" s="14"/>
      <c r="D2982" s="14"/>
      <c r="E2982" s="14"/>
      <c r="F2982" s="14"/>
      <c r="G2982" s="14"/>
      <c r="H2982" s="14"/>
      <c r="I2982" s="14"/>
      <c r="J2982" s="14"/>
      <c r="K2982" s="14"/>
      <c r="L2982" s="15"/>
      <c r="M2982" s="15"/>
      <c r="N2982" s="15"/>
      <c r="O2982" s="15"/>
      <c r="P2982" s="15"/>
      <c r="Q2982" s="14"/>
      <c r="R2982" s="14"/>
      <c r="S2982" s="14"/>
      <c r="T2982" s="14"/>
      <c r="U2982" s="15"/>
      <c r="V2982" s="14"/>
      <c r="W2982" s="14"/>
      <c r="X2982" s="14"/>
      <c r="Y2982" s="14"/>
      <c r="Z2982" s="14"/>
    </row>
    <row r="2983" spans="1:26" ht="13.2">
      <c r="A2983" s="13"/>
      <c r="B2983" s="14"/>
      <c r="C2983" s="14"/>
      <c r="D2983" s="14"/>
      <c r="E2983" s="14"/>
      <c r="F2983" s="14"/>
      <c r="G2983" s="14"/>
      <c r="H2983" s="14"/>
      <c r="I2983" s="14"/>
      <c r="J2983" s="14"/>
      <c r="K2983" s="14"/>
      <c r="L2983" s="15"/>
      <c r="M2983" s="15"/>
      <c r="N2983" s="15"/>
      <c r="O2983" s="15"/>
      <c r="P2983" s="15"/>
      <c r="Q2983" s="14"/>
      <c r="R2983" s="14"/>
      <c r="S2983" s="14"/>
      <c r="T2983" s="14"/>
      <c r="U2983" s="15"/>
      <c r="V2983" s="14"/>
      <c r="W2983" s="14"/>
      <c r="X2983" s="14"/>
      <c r="Y2983" s="14"/>
      <c r="Z2983" s="14"/>
    </row>
    <row r="2984" spans="1:26" ht="13.2">
      <c r="A2984" s="13"/>
      <c r="B2984" s="14"/>
      <c r="C2984" s="14"/>
      <c r="D2984" s="14"/>
      <c r="E2984" s="14"/>
      <c r="F2984" s="14"/>
      <c r="G2984" s="14"/>
      <c r="H2984" s="14"/>
      <c r="I2984" s="14"/>
      <c r="J2984" s="14"/>
      <c r="K2984" s="14"/>
      <c r="L2984" s="15"/>
      <c r="M2984" s="15"/>
      <c r="N2984" s="15"/>
      <c r="O2984" s="15"/>
      <c r="P2984" s="15"/>
      <c r="Q2984" s="14"/>
      <c r="R2984" s="14"/>
      <c r="S2984" s="14"/>
      <c r="T2984" s="14"/>
      <c r="U2984" s="15"/>
      <c r="V2984" s="14"/>
      <c r="W2984" s="14"/>
      <c r="X2984" s="14"/>
      <c r="Y2984" s="14"/>
      <c r="Z2984" s="14"/>
    </row>
    <row r="2985" spans="1:26" ht="13.2">
      <c r="A2985" s="13"/>
      <c r="B2985" s="14"/>
      <c r="C2985" s="14"/>
      <c r="D2985" s="14"/>
      <c r="E2985" s="14"/>
      <c r="F2985" s="14"/>
      <c r="G2985" s="14"/>
      <c r="H2985" s="14"/>
      <c r="I2985" s="14"/>
      <c r="J2985" s="14"/>
      <c r="K2985" s="14"/>
      <c r="L2985" s="15"/>
      <c r="M2985" s="15"/>
      <c r="N2985" s="15"/>
      <c r="O2985" s="15"/>
      <c r="P2985" s="15"/>
      <c r="Q2985" s="14"/>
      <c r="R2985" s="14"/>
      <c r="S2985" s="14"/>
      <c r="T2985" s="14"/>
      <c r="U2985" s="15"/>
      <c r="V2985" s="14"/>
      <c r="W2985" s="14"/>
      <c r="X2985" s="14"/>
      <c r="Y2985" s="14"/>
      <c r="Z2985" s="14"/>
    </row>
    <row r="2986" spans="1:26" ht="13.2">
      <c r="A2986" s="13"/>
      <c r="B2986" s="14"/>
      <c r="C2986" s="14"/>
      <c r="D2986" s="14"/>
      <c r="E2986" s="14"/>
      <c r="F2986" s="14"/>
      <c r="G2986" s="14"/>
      <c r="H2986" s="14"/>
      <c r="I2986" s="14"/>
      <c r="J2986" s="14"/>
      <c r="K2986" s="14"/>
      <c r="L2986" s="15"/>
      <c r="M2986" s="15"/>
      <c r="N2986" s="15"/>
      <c r="O2986" s="15"/>
      <c r="P2986" s="15"/>
      <c r="Q2986" s="14"/>
      <c r="R2986" s="14"/>
      <c r="S2986" s="14"/>
      <c r="T2986" s="14"/>
      <c r="U2986" s="15"/>
      <c r="V2986" s="14"/>
      <c r="W2986" s="14"/>
      <c r="X2986" s="14"/>
      <c r="Y2986" s="14"/>
      <c r="Z2986" s="14"/>
    </row>
    <row r="2987" spans="1:26" ht="13.2">
      <c r="A2987" s="13"/>
      <c r="B2987" s="14"/>
      <c r="C2987" s="14"/>
      <c r="D2987" s="14"/>
      <c r="E2987" s="14"/>
      <c r="F2987" s="14"/>
      <c r="G2987" s="14"/>
      <c r="H2987" s="14"/>
      <c r="I2987" s="14"/>
      <c r="J2987" s="14"/>
      <c r="K2987" s="14"/>
      <c r="L2987" s="15"/>
      <c r="M2987" s="15"/>
      <c r="N2987" s="15"/>
      <c r="O2987" s="15"/>
      <c r="P2987" s="15"/>
      <c r="Q2987" s="14"/>
      <c r="R2987" s="14"/>
      <c r="S2987" s="14"/>
      <c r="T2987" s="14"/>
      <c r="U2987" s="15"/>
      <c r="V2987" s="14"/>
      <c r="W2987" s="14"/>
      <c r="X2987" s="14"/>
      <c r="Y2987" s="14"/>
      <c r="Z2987" s="14"/>
    </row>
    <row r="2988" spans="1:26" ht="13.2">
      <c r="A2988" s="13"/>
      <c r="B2988" s="14"/>
      <c r="C2988" s="14"/>
      <c r="D2988" s="14"/>
      <c r="E2988" s="14"/>
      <c r="F2988" s="14"/>
      <c r="G2988" s="14"/>
      <c r="H2988" s="14"/>
      <c r="I2988" s="14"/>
      <c r="J2988" s="14"/>
      <c r="K2988" s="14"/>
      <c r="L2988" s="15"/>
      <c r="M2988" s="15"/>
      <c r="N2988" s="15"/>
      <c r="O2988" s="15"/>
      <c r="P2988" s="15"/>
      <c r="Q2988" s="14"/>
      <c r="R2988" s="14"/>
      <c r="S2988" s="14"/>
      <c r="T2988" s="14"/>
      <c r="U2988" s="15"/>
      <c r="V2988" s="14"/>
      <c r="W2988" s="14"/>
      <c r="X2988" s="14"/>
      <c r="Y2988" s="14"/>
      <c r="Z2988" s="14"/>
    </row>
    <row r="2989" spans="1:26" ht="13.2">
      <c r="A2989" s="13"/>
      <c r="B2989" s="14"/>
      <c r="C2989" s="14"/>
      <c r="D2989" s="14"/>
      <c r="E2989" s="14"/>
      <c r="F2989" s="14"/>
      <c r="G2989" s="14"/>
      <c r="H2989" s="14"/>
      <c r="I2989" s="14"/>
      <c r="J2989" s="14"/>
      <c r="K2989" s="14"/>
      <c r="L2989" s="15"/>
      <c r="M2989" s="15"/>
      <c r="N2989" s="15"/>
      <c r="O2989" s="15"/>
      <c r="P2989" s="15"/>
      <c r="Q2989" s="14"/>
      <c r="R2989" s="14"/>
      <c r="S2989" s="14"/>
      <c r="T2989" s="14"/>
      <c r="U2989" s="15"/>
      <c r="V2989" s="14"/>
      <c r="W2989" s="14"/>
      <c r="X2989" s="14"/>
      <c r="Y2989" s="14"/>
      <c r="Z2989" s="14"/>
    </row>
    <row r="2990" spans="1:26" ht="13.2">
      <c r="A2990" s="13"/>
      <c r="B2990" s="14"/>
      <c r="C2990" s="14"/>
      <c r="D2990" s="14"/>
      <c r="E2990" s="14"/>
      <c r="F2990" s="14"/>
      <c r="G2990" s="14"/>
      <c r="H2990" s="14"/>
      <c r="I2990" s="14"/>
      <c r="J2990" s="14"/>
      <c r="K2990" s="14"/>
      <c r="L2990" s="15"/>
      <c r="M2990" s="15"/>
      <c r="N2990" s="15"/>
      <c r="O2990" s="15"/>
      <c r="P2990" s="15"/>
      <c r="Q2990" s="14"/>
      <c r="R2990" s="14"/>
      <c r="S2990" s="14"/>
      <c r="T2990" s="14"/>
      <c r="U2990" s="15"/>
      <c r="V2990" s="14"/>
      <c r="W2990" s="14"/>
      <c r="X2990" s="14"/>
      <c r="Y2990" s="14"/>
      <c r="Z2990" s="14"/>
    </row>
    <row r="2991" spans="1:26" ht="13.2">
      <c r="A2991" s="13"/>
      <c r="B2991" s="14"/>
      <c r="C2991" s="14"/>
      <c r="D2991" s="14"/>
      <c r="E2991" s="14"/>
      <c r="F2991" s="14"/>
      <c r="G2991" s="14"/>
      <c r="H2991" s="14"/>
      <c r="I2991" s="14"/>
      <c r="J2991" s="14"/>
      <c r="K2991" s="14"/>
      <c r="L2991" s="15"/>
      <c r="M2991" s="15"/>
      <c r="N2991" s="15"/>
      <c r="O2991" s="15"/>
      <c r="P2991" s="15"/>
      <c r="Q2991" s="14"/>
      <c r="R2991" s="14"/>
      <c r="S2991" s="14"/>
      <c r="T2991" s="14"/>
      <c r="U2991" s="15"/>
      <c r="V2991" s="14"/>
      <c r="W2991" s="14"/>
      <c r="X2991" s="14"/>
      <c r="Y2991" s="14"/>
      <c r="Z2991" s="14"/>
    </row>
    <row r="2992" spans="1:26" ht="13.2">
      <c r="A2992" s="13"/>
      <c r="B2992" s="14"/>
      <c r="C2992" s="14"/>
      <c r="D2992" s="14"/>
      <c r="E2992" s="14"/>
      <c r="F2992" s="14"/>
      <c r="G2992" s="14"/>
      <c r="H2992" s="14"/>
      <c r="I2992" s="14"/>
      <c r="J2992" s="14"/>
      <c r="K2992" s="14"/>
      <c r="L2992" s="15"/>
      <c r="M2992" s="15"/>
      <c r="N2992" s="15"/>
      <c r="O2992" s="15"/>
      <c r="P2992" s="15"/>
      <c r="Q2992" s="14"/>
      <c r="R2992" s="14"/>
      <c r="S2992" s="14"/>
      <c r="T2992" s="14"/>
      <c r="U2992" s="15"/>
      <c r="V2992" s="14"/>
      <c r="W2992" s="14"/>
      <c r="X2992" s="14"/>
      <c r="Y2992" s="14"/>
      <c r="Z2992" s="14"/>
    </row>
    <row r="2993" spans="1:26" ht="13.2">
      <c r="A2993" s="13"/>
      <c r="B2993" s="14"/>
      <c r="C2993" s="14"/>
      <c r="D2993" s="14"/>
      <c r="E2993" s="14"/>
      <c r="F2993" s="14"/>
      <c r="G2993" s="14"/>
      <c r="H2993" s="14"/>
      <c r="I2993" s="14"/>
      <c r="J2993" s="14"/>
      <c r="K2993" s="14"/>
      <c r="L2993" s="15"/>
      <c r="M2993" s="15"/>
      <c r="N2993" s="15"/>
      <c r="O2993" s="15"/>
      <c r="P2993" s="15"/>
      <c r="Q2993" s="14"/>
      <c r="R2993" s="14"/>
      <c r="S2993" s="14"/>
      <c r="T2993" s="14"/>
      <c r="U2993" s="15"/>
      <c r="V2993" s="14"/>
      <c r="W2993" s="14"/>
      <c r="X2993" s="14"/>
      <c r="Y2993" s="14"/>
      <c r="Z2993" s="14"/>
    </row>
    <row r="2994" spans="1:26" ht="13.2">
      <c r="A2994" s="13"/>
      <c r="B2994" s="14"/>
      <c r="C2994" s="14"/>
      <c r="D2994" s="14"/>
      <c r="E2994" s="14"/>
      <c r="F2994" s="14"/>
      <c r="G2994" s="14"/>
      <c r="H2994" s="14"/>
      <c r="I2994" s="14"/>
      <c r="J2994" s="14"/>
      <c r="K2994" s="14"/>
      <c r="L2994" s="15"/>
      <c r="M2994" s="15"/>
      <c r="N2994" s="15"/>
      <c r="O2994" s="15"/>
      <c r="P2994" s="15"/>
      <c r="Q2994" s="14"/>
      <c r="R2994" s="14"/>
      <c r="S2994" s="14"/>
      <c r="T2994" s="14"/>
      <c r="U2994" s="15"/>
      <c r="V2994" s="14"/>
      <c r="W2994" s="14"/>
      <c r="X2994" s="14"/>
      <c r="Y2994" s="14"/>
      <c r="Z2994" s="14"/>
    </row>
    <row r="2995" spans="1:26" ht="13.2">
      <c r="A2995" s="13"/>
      <c r="B2995" s="14"/>
      <c r="C2995" s="14"/>
      <c r="D2995" s="14"/>
      <c r="E2995" s="14"/>
      <c r="F2995" s="14"/>
      <c r="G2995" s="14"/>
      <c r="H2995" s="14"/>
      <c r="I2995" s="14"/>
      <c r="J2995" s="14"/>
      <c r="K2995" s="14"/>
      <c r="L2995" s="15"/>
      <c r="M2995" s="15"/>
      <c r="N2995" s="15"/>
      <c r="O2995" s="15"/>
      <c r="P2995" s="15"/>
      <c r="Q2995" s="14"/>
      <c r="R2995" s="14"/>
      <c r="S2995" s="14"/>
      <c r="T2995" s="14"/>
      <c r="U2995" s="15"/>
      <c r="V2995" s="14"/>
      <c r="W2995" s="14"/>
      <c r="X2995" s="14"/>
      <c r="Y2995" s="14"/>
      <c r="Z2995" s="14"/>
    </row>
    <row r="2996" spans="1:26" ht="13.2">
      <c r="A2996" s="13"/>
      <c r="B2996" s="14"/>
      <c r="C2996" s="14"/>
      <c r="D2996" s="14"/>
      <c r="E2996" s="14"/>
      <c r="F2996" s="14"/>
      <c r="G2996" s="14"/>
      <c r="H2996" s="14"/>
      <c r="I2996" s="14"/>
      <c r="J2996" s="14"/>
      <c r="K2996" s="14"/>
      <c r="L2996" s="15"/>
      <c r="M2996" s="15"/>
      <c r="N2996" s="15"/>
      <c r="O2996" s="15"/>
      <c r="P2996" s="15"/>
      <c r="Q2996" s="14"/>
      <c r="R2996" s="14"/>
      <c r="S2996" s="14"/>
      <c r="T2996" s="14"/>
      <c r="U2996" s="15"/>
      <c r="V2996" s="14"/>
      <c r="W2996" s="14"/>
      <c r="X2996" s="14"/>
      <c r="Y2996" s="14"/>
      <c r="Z2996" s="14"/>
    </row>
    <row r="2997" spans="1:26" ht="13.2">
      <c r="A2997" s="13"/>
      <c r="B2997" s="14"/>
      <c r="C2997" s="14"/>
      <c r="D2997" s="14"/>
      <c r="E2997" s="14"/>
      <c r="F2997" s="14"/>
      <c r="G2997" s="14"/>
      <c r="H2997" s="14"/>
      <c r="I2997" s="14"/>
      <c r="J2997" s="14"/>
      <c r="K2997" s="14"/>
      <c r="L2997" s="15"/>
      <c r="M2997" s="15"/>
      <c r="N2997" s="15"/>
      <c r="O2997" s="15"/>
      <c r="P2997" s="15"/>
      <c r="Q2997" s="14"/>
      <c r="R2997" s="14"/>
      <c r="S2997" s="14"/>
      <c r="T2997" s="14"/>
      <c r="U2997" s="15"/>
      <c r="V2997" s="14"/>
      <c r="W2997" s="14"/>
      <c r="X2997" s="14"/>
      <c r="Y2997" s="14"/>
      <c r="Z2997" s="14"/>
    </row>
    <row r="2998" spans="1:26" ht="13.2">
      <c r="A2998" s="13"/>
      <c r="B2998" s="14"/>
      <c r="C2998" s="14"/>
      <c r="D2998" s="14"/>
      <c r="E2998" s="14"/>
      <c r="F2998" s="14"/>
      <c r="G2998" s="14"/>
      <c r="H2998" s="14"/>
      <c r="I2998" s="14"/>
      <c r="J2998" s="14"/>
      <c r="K2998" s="14"/>
      <c r="L2998" s="15"/>
      <c r="M2998" s="15"/>
      <c r="N2998" s="15"/>
      <c r="O2998" s="15"/>
      <c r="P2998" s="15"/>
      <c r="Q2998" s="14"/>
      <c r="R2998" s="14"/>
      <c r="S2998" s="14"/>
      <c r="T2998" s="14"/>
      <c r="U2998" s="15"/>
      <c r="V2998" s="14"/>
      <c r="W2998" s="14"/>
      <c r="X2998" s="14"/>
      <c r="Y2998" s="14"/>
      <c r="Z2998" s="14"/>
    </row>
    <row r="2999" spans="1:26" ht="13.2">
      <c r="A2999" s="13"/>
      <c r="B2999" s="14"/>
      <c r="C2999" s="14"/>
      <c r="D2999" s="14"/>
      <c r="E2999" s="14"/>
      <c r="F2999" s="14"/>
      <c r="G2999" s="14"/>
      <c r="H2999" s="14"/>
      <c r="I2999" s="14"/>
      <c r="J2999" s="14"/>
      <c r="K2999" s="14"/>
      <c r="L2999" s="15"/>
      <c r="M2999" s="15"/>
      <c r="N2999" s="15"/>
      <c r="O2999" s="15"/>
      <c r="P2999" s="15"/>
      <c r="Q2999" s="14"/>
      <c r="R2999" s="14"/>
      <c r="S2999" s="14"/>
      <c r="T2999" s="14"/>
      <c r="U2999" s="15"/>
      <c r="V2999" s="14"/>
      <c r="W2999" s="14"/>
      <c r="X2999" s="14"/>
      <c r="Y2999" s="14"/>
      <c r="Z2999" s="14"/>
    </row>
    <row r="3000" spans="1:26" ht="13.2">
      <c r="A3000" s="13"/>
      <c r="B3000" s="14"/>
      <c r="C3000" s="14"/>
      <c r="D3000" s="14"/>
      <c r="E3000" s="14"/>
      <c r="F3000" s="14"/>
      <c r="G3000" s="14"/>
      <c r="H3000" s="14"/>
      <c r="I3000" s="14"/>
      <c r="J3000" s="14"/>
      <c r="K3000" s="14"/>
      <c r="L3000" s="15"/>
      <c r="M3000" s="15"/>
      <c r="N3000" s="15"/>
      <c r="O3000" s="15"/>
      <c r="P3000" s="15"/>
      <c r="Q3000" s="14"/>
      <c r="R3000" s="14"/>
      <c r="S3000" s="14"/>
      <c r="T3000" s="14"/>
      <c r="U3000" s="15"/>
      <c r="V3000" s="14"/>
      <c r="W3000" s="14"/>
      <c r="X3000" s="14"/>
      <c r="Y3000" s="14"/>
      <c r="Z3000" s="14"/>
    </row>
    <row r="3001" spans="1:26" ht="13.2">
      <c r="A3001" s="13"/>
      <c r="B3001" s="14"/>
      <c r="C3001" s="14"/>
      <c r="D3001" s="14"/>
      <c r="E3001" s="14"/>
      <c r="F3001" s="14"/>
      <c r="G3001" s="14"/>
      <c r="H3001" s="14"/>
      <c r="I3001" s="14"/>
      <c r="J3001" s="14"/>
      <c r="K3001" s="14"/>
      <c r="L3001" s="15"/>
      <c r="M3001" s="15"/>
      <c r="N3001" s="15"/>
      <c r="O3001" s="15"/>
      <c r="P3001" s="15"/>
      <c r="Q3001" s="14"/>
      <c r="R3001" s="14"/>
      <c r="S3001" s="14"/>
      <c r="T3001" s="14"/>
      <c r="U3001" s="15"/>
      <c r="V3001" s="14"/>
      <c r="W3001" s="14"/>
      <c r="X3001" s="14"/>
      <c r="Y3001" s="14"/>
      <c r="Z3001" s="14"/>
    </row>
    <row r="3002" spans="1:26" ht="13.2">
      <c r="A3002" s="13"/>
      <c r="B3002" s="14"/>
      <c r="C3002" s="14"/>
      <c r="D3002" s="14"/>
      <c r="E3002" s="14"/>
      <c r="F3002" s="14"/>
      <c r="G3002" s="14"/>
      <c r="H3002" s="14"/>
      <c r="I3002" s="14"/>
      <c r="J3002" s="14"/>
      <c r="K3002" s="14"/>
      <c r="L3002" s="15"/>
      <c r="M3002" s="15"/>
      <c r="N3002" s="15"/>
      <c r="O3002" s="15"/>
      <c r="P3002" s="15"/>
      <c r="Q3002" s="14"/>
      <c r="R3002" s="14"/>
      <c r="S3002" s="14"/>
      <c r="T3002" s="14"/>
      <c r="U3002" s="15"/>
      <c r="V3002" s="14"/>
      <c r="W3002" s="14"/>
      <c r="X3002" s="14"/>
      <c r="Y3002" s="14"/>
      <c r="Z3002" s="14"/>
    </row>
    <row r="3003" spans="1:26" ht="13.2">
      <c r="A3003" s="13"/>
      <c r="B3003" s="14"/>
      <c r="C3003" s="14"/>
      <c r="D3003" s="14"/>
      <c r="E3003" s="14"/>
      <c r="F3003" s="14"/>
      <c r="G3003" s="14"/>
      <c r="H3003" s="14"/>
      <c r="I3003" s="14"/>
      <c r="J3003" s="14"/>
      <c r="K3003" s="14"/>
      <c r="L3003" s="15"/>
      <c r="M3003" s="15"/>
      <c r="N3003" s="15"/>
      <c r="O3003" s="15"/>
      <c r="P3003" s="15"/>
      <c r="Q3003" s="14"/>
      <c r="R3003" s="14"/>
      <c r="S3003" s="14"/>
      <c r="T3003" s="14"/>
      <c r="U3003" s="15"/>
      <c r="V3003" s="14"/>
      <c r="W3003" s="14"/>
      <c r="X3003" s="14"/>
      <c r="Y3003" s="14"/>
      <c r="Z3003" s="14"/>
    </row>
    <row r="3004" spans="1:26" ht="13.2">
      <c r="A3004" s="13"/>
      <c r="B3004" s="14"/>
      <c r="C3004" s="14"/>
      <c r="D3004" s="14"/>
      <c r="E3004" s="14"/>
      <c r="F3004" s="14"/>
      <c r="G3004" s="14"/>
      <c r="H3004" s="14"/>
      <c r="I3004" s="14"/>
      <c r="J3004" s="14"/>
      <c r="K3004" s="14"/>
      <c r="L3004" s="15"/>
      <c r="M3004" s="15"/>
      <c r="N3004" s="15"/>
      <c r="O3004" s="15"/>
      <c r="P3004" s="15"/>
      <c r="Q3004" s="14"/>
      <c r="R3004" s="14"/>
      <c r="S3004" s="14"/>
      <c r="T3004" s="14"/>
      <c r="U3004" s="15"/>
      <c r="V3004" s="14"/>
      <c r="W3004" s="14"/>
      <c r="X3004" s="14"/>
      <c r="Y3004" s="14"/>
      <c r="Z3004" s="14"/>
    </row>
    <row r="3005" spans="1:26" ht="13.2">
      <c r="A3005" s="13"/>
      <c r="B3005" s="14"/>
      <c r="C3005" s="14"/>
      <c r="D3005" s="14"/>
      <c r="E3005" s="14"/>
      <c r="F3005" s="14"/>
      <c r="G3005" s="14"/>
      <c r="H3005" s="14"/>
      <c r="I3005" s="14"/>
      <c r="J3005" s="14"/>
      <c r="K3005" s="14"/>
      <c r="L3005" s="15"/>
      <c r="M3005" s="15"/>
      <c r="N3005" s="15"/>
      <c r="O3005" s="15"/>
      <c r="P3005" s="15"/>
      <c r="Q3005" s="14"/>
      <c r="R3005" s="14"/>
      <c r="S3005" s="14"/>
      <c r="T3005" s="14"/>
      <c r="U3005" s="15"/>
      <c r="V3005" s="14"/>
      <c r="W3005" s="14"/>
      <c r="X3005" s="14"/>
      <c r="Y3005" s="14"/>
      <c r="Z3005" s="14"/>
    </row>
    <row r="3006" spans="1:26" ht="13.2">
      <c r="A3006" s="13"/>
      <c r="B3006" s="14"/>
      <c r="C3006" s="14"/>
      <c r="D3006" s="14"/>
      <c r="E3006" s="14"/>
      <c r="F3006" s="14"/>
      <c r="G3006" s="14"/>
      <c r="H3006" s="14"/>
      <c r="I3006" s="14"/>
      <c r="J3006" s="14"/>
      <c r="K3006" s="14"/>
      <c r="L3006" s="15"/>
      <c r="M3006" s="15"/>
      <c r="N3006" s="15"/>
      <c r="O3006" s="15"/>
      <c r="P3006" s="15"/>
      <c r="Q3006" s="14"/>
      <c r="R3006" s="14"/>
      <c r="S3006" s="14"/>
      <c r="T3006" s="14"/>
      <c r="U3006" s="15"/>
      <c r="V3006" s="14"/>
      <c r="W3006" s="14"/>
      <c r="X3006" s="14"/>
      <c r="Y3006" s="14"/>
      <c r="Z3006" s="14"/>
    </row>
    <row r="3007" spans="1:26" ht="13.2">
      <c r="A3007" s="13"/>
      <c r="B3007" s="14"/>
      <c r="C3007" s="14"/>
      <c r="D3007" s="14"/>
      <c r="E3007" s="14"/>
      <c r="F3007" s="14"/>
      <c r="G3007" s="14"/>
      <c r="H3007" s="14"/>
      <c r="I3007" s="14"/>
      <c r="J3007" s="14"/>
      <c r="K3007" s="14"/>
      <c r="L3007" s="15"/>
      <c r="M3007" s="15"/>
      <c r="N3007" s="15"/>
      <c r="O3007" s="15"/>
      <c r="P3007" s="15"/>
      <c r="Q3007" s="14"/>
      <c r="R3007" s="14"/>
      <c r="S3007" s="14"/>
      <c r="T3007" s="14"/>
      <c r="U3007" s="15"/>
      <c r="V3007" s="14"/>
      <c r="W3007" s="14"/>
      <c r="X3007" s="14"/>
      <c r="Y3007" s="14"/>
      <c r="Z3007" s="14"/>
    </row>
    <row r="3008" spans="1:26" ht="13.2">
      <c r="A3008" s="13"/>
      <c r="B3008" s="14"/>
      <c r="C3008" s="14"/>
      <c r="D3008" s="14"/>
      <c r="E3008" s="14"/>
      <c r="F3008" s="14"/>
      <c r="G3008" s="14"/>
      <c r="H3008" s="14"/>
      <c r="I3008" s="14"/>
      <c r="J3008" s="14"/>
      <c r="K3008" s="14"/>
      <c r="L3008" s="15"/>
      <c r="M3008" s="15"/>
      <c r="N3008" s="15"/>
      <c r="O3008" s="15"/>
      <c r="P3008" s="15"/>
      <c r="Q3008" s="14"/>
      <c r="R3008" s="14"/>
      <c r="S3008" s="14"/>
      <c r="T3008" s="14"/>
      <c r="U3008" s="15"/>
      <c r="V3008" s="14"/>
      <c r="W3008" s="14"/>
      <c r="X3008" s="14"/>
      <c r="Y3008" s="14"/>
      <c r="Z3008" s="14"/>
    </row>
    <row r="3009" spans="1:26" ht="13.2">
      <c r="A3009" s="13"/>
      <c r="B3009" s="14"/>
      <c r="C3009" s="14"/>
      <c r="D3009" s="14"/>
      <c r="E3009" s="14"/>
      <c r="F3009" s="14"/>
      <c r="G3009" s="14"/>
      <c r="H3009" s="14"/>
      <c r="I3009" s="14"/>
      <c r="J3009" s="14"/>
      <c r="K3009" s="14"/>
      <c r="L3009" s="15"/>
      <c r="M3009" s="15"/>
      <c r="N3009" s="15"/>
      <c r="O3009" s="15"/>
      <c r="P3009" s="15"/>
      <c r="Q3009" s="14"/>
      <c r="R3009" s="14"/>
      <c r="S3009" s="14"/>
      <c r="T3009" s="14"/>
      <c r="U3009" s="15"/>
      <c r="V3009" s="14"/>
      <c r="W3009" s="14"/>
      <c r="X3009" s="14"/>
      <c r="Y3009" s="14"/>
      <c r="Z3009" s="14"/>
    </row>
    <row r="3010" spans="1:26" ht="13.2">
      <c r="A3010" s="13"/>
      <c r="B3010" s="14"/>
      <c r="C3010" s="14"/>
      <c r="D3010" s="14"/>
      <c r="E3010" s="14"/>
      <c r="F3010" s="14"/>
      <c r="G3010" s="14"/>
      <c r="H3010" s="14"/>
      <c r="I3010" s="14"/>
      <c r="J3010" s="14"/>
      <c r="K3010" s="14"/>
      <c r="L3010" s="15"/>
      <c r="M3010" s="15"/>
      <c r="N3010" s="15"/>
      <c r="O3010" s="15"/>
      <c r="P3010" s="15"/>
      <c r="Q3010" s="14"/>
      <c r="R3010" s="14"/>
      <c r="S3010" s="14"/>
      <c r="T3010" s="14"/>
      <c r="U3010" s="15"/>
      <c r="V3010" s="14"/>
      <c r="W3010" s="14"/>
      <c r="X3010" s="14"/>
      <c r="Y3010" s="14"/>
      <c r="Z3010" s="14"/>
    </row>
    <row r="3011" spans="1:26" ht="13.2">
      <c r="A3011" s="13"/>
      <c r="B3011" s="14"/>
      <c r="C3011" s="14"/>
      <c r="D3011" s="14"/>
      <c r="E3011" s="14"/>
      <c r="F3011" s="14"/>
      <c r="G3011" s="14"/>
      <c r="H3011" s="14"/>
      <c r="I3011" s="14"/>
      <c r="J3011" s="14"/>
      <c r="K3011" s="14"/>
      <c r="L3011" s="15"/>
      <c r="M3011" s="15"/>
      <c r="N3011" s="15"/>
      <c r="O3011" s="15"/>
      <c r="P3011" s="15"/>
      <c r="Q3011" s="14"/>
      <c r="R3011" s="14"/>
      <c r="S3011" s="14"/>
      <c r="T3011" s="14"/>
      <c r="U3011" s="15"/>
      <c r="V3011" s="14"/>
      <c r="W3011" s="14"/>
      <c r="X3011" s="14"/>
      <c r="Y3011" s="14"/>
      <c r="Z3011" s="14"/>
    </row>
    <row r="3012" spans="1:26" ht="13.2">
      <c r="A3012" s="13"/>
      <c r="B3012" s="14"/>
      <c r="C3012" s="14"/>
      <c r="D3012" s="14"/>
      <c r="E3012" s="14"/>
      <c r="F3012" s="14"/>
      <c r="G3012" s="14"/>
      <c r="H3012" s="14"/>
      <c r="I3012" s="14"/>
      <c r="J3012" s="14"/>
      <c r="K3012" s="14"/>
      <c r="L3012" s="15"/>
      <c r="M3012" s="15"/>
      <c r="N3012" s="15"/>
      <c r="O3012" s="15"/>
      <c r="P3012" s="15"/>
      <c r="Q3012" s="14"/>
      <c r="R3012" s="14"/>
      <c r="S3012" s="14"/>
      <c r="T3012" s="14"/>
      <c r="U3012" s="15"/>
      <c r="V3012" s="14"/>
      <c r="W3012" s="14"/>
      <c r="X3012" s="14"/>
      <c r="Y3012" s="14"/>
      <c r="Z3012" s="14"/>
    </row>
    <row r="3013" spans="1:26" ht="13.2">
      <c r="A3013" s="13"/>
      <c r="B3013" s="14"/>
      <c r="C3013" s="14"/>
      <c r="D3013" s="14"/>
      <c r="E3013" s="14"/>
      <c r="F3013" s="14"/>
      <c r="G3013" s="14"/>
      <c r="H3013" s="14"/>
      <c r="I3013" s="14"/>
      <c r="J3013" s="14"/>
      <c r="K3013" s="14"/>
      <c r="L3013" s="15"/>
      <c r="M3013" s="15"/>
      <c r="N3013" s="15"/>
      <c r="O3013" s="15"/>
      <c r="P3013" s="15"/>
      <c r="Q3013" s="14"/>
      <c r="R3013" s="14"/>
      <c r="S3013" s="14"/>
      <c r="T3013" s="14"/>
      <c r="U3013" s="15"/>
      <c r="V3013" s="14"/>
      <c r="W3013" s="14"/>
      <c r="X3013" s="14"/>
      <c r="Y3013" s="14"/>
      <c r="Z3013" s="14"/>
    </row>
    <row r="3014" spans="1:26" ht="13.2">
      <c r="A3014" s="13"/>
      <c r="B3014" s="14"/>
      <c r="C3014" s="14"/>
      <c r="D3014" s="14"/>
      <c r="E3014" s="14"/>
      <c r="F3014" s="14"/>
      <c r="G3014" s="14"/>
      <c r="H3014" s="14"/>
      <c r="I3014" s="14"/>
      <c r="J3014" s="14"/>
      <c r="K3014" s="14"/>
      <c r="L3014" s="15"/>
      <c r="M3014" s="15"/>
      <c r="N3014" s="15"/>
      <c r="O3014" s="15"/>
      <c r="P3014" s="15"/>
      <c r="Q3014" s="14"/>
      <c r="R3014" s="14"/>
      <c r="S3014" s="14"/>
      <c r="T3014" s="14"/>
      <c r="U3014" s="15"/>
      <c r="V3014" s="14"/>
      <c r="W3014" s="14"/>
      <c r="X3014" s="14"/>
      <c r="Y3014" s="14"/>
      <c r="Z3014" s="14"/>
    </row>
    <row r="3015" spans="1:26" ht="13.2">
      <c r="A3015" s="13"/>
      <c r="B3015" s="14"/>
      <c r="C3015" s="14"/>
      <c r="D3015" s="14"/>
      <c r="E3015" s="14"/>
      <c r="F3015" s="14"/>
      <c r="G3015" s="14"/>
      <c r="H3015" s="14"/>
      <c r="I3015" s="14"/>
      <c r="J3015" s="14"/>
      <c r="K3015" s="14"/>
      <c r="L3015" s="15"/>
      <c r="M3015" s="15"/>
      <c r="N3015" s="15"/>
      <c r="O3015" s="15"/>
      <c r="P3015" s="15"/>
      <c r="Q3015" s="14"/>
      <c r="R3015" s="14"/>
      <c r="S3015" s="14"/>
      <c r="T3015" s="14"/>
      <c r="U3015" s="15"/>
      <c r="V3015" s="14"/>
      <c r="W3015" s="14"/>
      <c r="X3015" s="14"/>
      <c r="Y3015" s="14"/>
      <c r="Z3015" s="14"/>
    </row>
    <row r="3016" spans="1:26" ht="13.2">
      <c r="A3016" s="13"/>
      <c r="B3016" s="14"/>
      <c r="C3016" s="14"/>
      <c r="D3016" s="14"/>
      <c r="E3016" s="14"/>
      <c r="F3016" s="14"/>
      <c r="G3016" s="14"/>
      <c r="H3016" s="14"/>
      <c r="I3016" s="14"/>
      <c r="J3016" s="14"/>
      <c r="K3016" s="14"/>
      <c r="L3016" s="15"/>
      <c r="M3016" s="15"/>
      <c r="N3016" s="15"/>
      <c r="O3016" s="15"/>
      <c r="P3016" s="15"/>
      <c r="Q3016" s="14"/>
      <c r="R3016" s="14"/>
      <c r="S3016" s="14"/>
      <c r="T3016" s="14"/>
      <c r="U3016" s="15"/>
      <c r="V3016" s="14"/>
      <c r="W3016" s="14"/>
      <c r="X3016" s="14"/>
      <c r="Y3016" s="14"/>
      <c r="Z3016" s="14"/>
    </row>
    <row r="3017" spans="1:26" ht="13.2">
      <c r="A3017" s="13"/>
      <c r="B3017" s="14"/>
      <c r="C3017" s="14"/>
      <c r="D3017" s="14"/>
      <c r="E3017" s="14"/>
      <c r="F3017" s="14"/>
      <c r="G3017" s="14"/>
      <c r="H3017" s="14"/>
      <c r="I3017" s="14"/>
      <c r="J3017" s="14"/>
      <c r="K3017" s="14"/>
      <c r="L3017" s="15"/>
      <c r="M3017" s="15"/>
      <c r="N3017" s="15"/>
      <c r="O3017" s="15"/>
      <c r="P3017" s="15"/>
      <c r="Q3017" s="14"/>
      <c r="R3017" s="14"/>
      <c r="S3017" s="14"/>
      <c r="T3017" s="14"/>
      <c r="U3017" s="15"/>
      <c r="V3017" s="14"/>
      <c r="W3017" s="14"/>
      <c r="X3017" s="14"/>
      <c r="Y3017" s="14"/>
      <c r="Z3017" s="14"/>
    </row>
    <row r="3018" spans="1:26" ht="13.2">
      <c r="A3018" s="13"/>
      <c r="B3018" s="14"/>
      <c r="C3018" s="14"/>
      <c r="D3018" s="14"/>
      <c r="E3018" s="14"/>
      <c r="F3018" s="14"/>
      <c r="G3018" s="14"/>
      <c r="H3018" s="14"/>
      <c r="I3018" s="14"/>
      <c r="J3018" s="14"/>
      <c r="K3018" s="14"/>
      <c r="L3018" s="15"/>
      <c r="M3018" s="15"/>
      <c r="N3018" s="15"/>
      <c r="O3018" s="15"/>
      <c r="P3018" s="15"/>
      <c r="Q3018" s="14"/>
      <c r="R3018" s="14"/>
      <c r="S3018" s="14"/>
      <c r="T3018" s="14"/>
      <c r="U3018" s="15"/>
      <c r="V3018" s="14"/>
      <c r="W3018" s="14"/>
      <c r="X3018" s="14"/>
      <c r="Y3018" s="14"/>
      <c r="Z3018" s="14"/>
    </row>
    <row r="3019" spans="1:26" ht="13.2">
      <c r="A3019" s="13"/>
      <c r="B3019" s="14"/>
      <c r="C3019" s="14"/>
      <c r="D3019" s="14"/>
      <c r="E3019" s="14"/>
      <c r="F3019" s="14"/>
      <c r="G3019" s="14"/>
      <c r="H3019" s="14"/>
      <c r="I3019" s="14"/>
      <c r="J3019" s="14"/>
      <c r="K3019" s="14"/>
      <c r="L3019" s="15"/>
      <c r="M3019" s="15"/>
      <c r="N3019" s="15"/>
      <c r="O3019" s="15"/>
      <c r="P3019" s="15"/>
      <c r="Q3019" s="14"/>
      <c r="R3019" s="14"/>
      <c r="S3019" s="14"/>
      <c r="T3019" s="14"/>
      <c r="U3019" s="15"/>
      <c r="V3019" s="14"/>
      <c r="W3019" s="14"/>
      <c r="X3019" s="14"/>
      <c r="Y3019" s="14"/>
      <c r="Z3019" s="14"/>
    </row>
    <row r="3020" spans="1:26" ht="13.2">
      <c r="A3020" s="13"/>
      <c r="B3020" s="14"/>
      <c r="C3020" s="14"/>
      <c r="D3020" s="14"/>
      <c r="E3020" s="14"/>
      <c r="F3020" s="14"/>
      <c r="G3020" s="14"/>
      <c r="H3020" s="14"/>
      <c r="I3020" s="14"/>
      <c r="J3020" s="14"/>
      <c r="K3020" s="14"/>
      <c r="L3020" s="15"/>
      <c r="M3020" s="15"/>
      <c r="N3020" s="15"/>
      <c r="O3020" s="15"/>
      <c r="P3020" s="15"/>
      <c r="Q3020" s="14"/>
      <c r="R3020" s="14"/>
      <c r="S3020" s="14"/>
      <c r="T3020" s="14"/>
      <c r="U3020" s="15"/>
      <c r="V3020" s="14"/>
      <c r="W3020" s="14"/>
      <c r="X3020" s="14"/>
      <c r="Y3020" s="14"/>
      <c r="Z3020" s="14"/>
    </row>
    <row r="3021" spans="1:26" ht="13.2">
      <c r="A3021" s="13"/>
      <c r="B3021" s="14"/>
      <c r="C3021" s="14"/>
      <c r="D3021" s="14"/>
      <c r="E3021" s="14"/>
      <c r="F3021" s="14"/>
      <c r="G3021" s="14"/>
      <c r="H3021" s="14"/>
      <c r="I3021" s="14"/>
      <c r="J3021" s="14"/>
      <c r="K3021" s="14"/>
      <c r="L3021" s="15"/>
      <c r="M3021" s="15"/>
      <c r="N3021" s="15"/>
      <c r="O3021" s="15"/>
      <c r="P3021" s="15"/>
      <c r="Q3021" s="14"/>
      <c r="R3021" s="14"/>
      <c r="S3021" s="14"/>
      <c r="T3021" s="14"/>
      <c r="U3021" s="15"/>
      <c r="V3021" s="14"/>
      <c r="W3021" s="14"/>
      <c r="X3021" s="14"/>
      <c r="Y3021" s="14"/>
      <c r="Z3021" s="14"/>
    </row>
    <row r="3022" spans="1:26" ht="13.2">
      <c r="A3022" s="13"/>
      <c r="B3022" s="14"/>
      <c r="C3022" s="14"/>
      <c r="D3022" s="14"/>
      <c r="E3022" s="14"/>
      <c r="F3022" s="14"/>
      <c r="G3022" s="14"/>
      <c r="H3022" s="14"/>
      <c r="I3022" s="14"/>
      <c r="J3022" s="14"/>
      <c r="K3022" s="14"/>
      <c r="L3022" s="15"/>
      <c r="M3022" s="15"/>
      <c r="N3022" s="15"/>
      <c r="O3022" s="15"/>
      <c r="P3022" s="15"/>
      <c r="Q3022" s="14"/>
      <c r="R3022" s="14"/>
      <c r="S3022" s="14"/>
      <c r="T3022" s="14"/>
      <c r="U3022" s="15"/>
      <c r="V3022" s="14"/>
      <c r="W3022" s="14"/>
      <c r="X3022" s="14"/>
      <c r="Y3022" s="14"/>
      <c r="Z3022" s="14"/>
    </row>
    <row r="3023" spans="1:26" ht="13.2">
      <c r="A3023" s="13"/>
      <c r="B3023" s="14"/>
      <c r="C3023" s="14"/>
      <c r="D3023" s="14"/>
      <c r="E3023" s="14"/>
      <c r="F3023" s="14"/>
      <c r="G3023" s="14"/>
      <c r="H3023" s="14"/>
      <c r="I3023" s="14"/>
      <c r="J3023" s="14"/>
      <c r="K3023" s="14"/>
      <c r="L3023" s="15"/>
      <c r="M3023" s="15"/>
      <c r="N3023" s="15"/>
      <c r="O3023" s="15"/>
      <c r="P3023" s="15"/>
      <c r="Q3023" s="14"/>
      <c r="R3023" s="14"/>
      <c r="S3023" s="14"/>
      <c r="T3023" s="14"/>
      <c r="U3023" s="15"/>
      <c r="V3023" s="14"/>
      <c r="W3023" s="14"/>
      <c r="X3023" s="14"/>
      <c r="Y3023" s="14"/>
      <c r="Z3023" s="14"/>
    </row>
    <row r="3024" spans="1:26" ht="13.2">
      <c r="A3024" s="13"/>
      <c r="B3024" s="14"/>
      <c r="C3024" s="14"/>
      <c r="D3024" s="14"/>
      <c r="E3024" s="14"/>
      <c r="F3024" s="14"/>
      <c r="G3024" s="14"/>
      <c r="H3024" s="14"/>
      <c r="I3024" s="14"/>
      <c r="J3024" s="14"/>
      <c r="K3024" s="14"/>
      <c r="L3024" s="15"/>
      <c r="M3024" s="15"/>
      <c r="N3024" s="15"/>
      <c r="O3024" s="15"/>
      <c r="P3024" s="15"/>
      <c r="Q3024" s="14"/>
      <c r="R3024" s="14"/>
      <c r="S3024" s="14"/>
      <c r="T3024" s="14"/>
      <c r="U3024" s="15"/>
      <c r="V3024" s="14"/>
      <c r="W3024" s="14"/>
      <c r="X3024" s="14"/>
      <c r="Y3024" s="14"/>
      <c r="Z3024" s="14"/>
    </row>
    <row r="3025" spans="1:26" ht="13.2">
      <c r="A3025" s="13"/>
      <c r="B3025" s="14"/>
      <c r="C3025" s="14"/>
      <c r="D3025" s="14"/>
      <c r="E3025" s="14"/>
      <c r="F3025" s="14"/>
      <c r="G3025" s="14"/>
      <c r="H3025" s="14"/>
      <c r="I3025" s="14"/>
      <c r="J3025" s="14"/>
      <c r="K3025" s="14"/>
      <c r="L3025" s="15"/>
      <c r="M3025" s="15"/>
      <c r="N3025" s="15"/>
      <c r="O3025" s="15"/>
      <c r="P3025" s="15"/>
      <c r="Q3025" s="14"/>
      <c r="R3025" s="14"/>
      <c r="S3025" s="14"/>
      <c r="T3025" s="14"/>
      <c r="U3025" s="15"/>
      <c r="V3025" s="14"/>
      <c r="W3025" s="14"/>
      <c r="X3025" s="14"/>
      <c r="Y3025" s="14"/>
      <c r="Z3025" s="14"/>
    </row>
    <row r="3026" spans="1:26" ht="13.2">
      <c r="A3026" s="13"/>
      <c r="B3026" s="14"/>
      <c r="C3026" s="14"/>
      <c r="D3026" s="14"/>
      <c r="E3026" s="14"/>
      <c r="F3026" s="14"/>
      <c r="G3026" s="14"/>
      <c r="H3026" s="14"/>
      <c r="I3026" s="14"/>
      <c r="J3026" s="14"/>
      <c r="K3026" s="14"/>
      <c r="L3026" s="15"/>
      <c r="M3026" s="15"/>
      <c r="N3026" s="15"/>
      <c r="O3026" s="15"/>
      <c r="P3026" s="15"/>
      <c r="Q3026" s="14"/>
      <c r="R3026" s="14"/>
      <c r="S3026" s="14"/>
      <c r="T3026" s="14"/>
      <c r="U3026" s="15"/>
      <c r="V3026" s="14"/>
      <c r="W3026" s="14"/>
      <c r="X3026" s="14"/>
      <c r="Y3026" s="14"/>
      <c r="Z3026" s="14"/>
    </row>
    <row r="3027" spans="1:26" ht="13.2">
      <c r="A3027" s="13"/>
      <c r="B3027" s="14"/>
      <c r="C3027" s="14"/>
      <c r="D3027" s="14"/>
      <c r="E3027" s="14"/>
      <c r="F3027" s="14"/>
      <c r="G3027" s="14"/>
      <c r="H3027" s="14"/>
      <c r="I3027" s="14"/>
      <c r="J3027" s="14"/>
      <c r="K3027" s="14"/>
      <c r="L3027" s="15"/>
      <c r="M3027" s="15"/>
      <c r="N3027" s="15"/>
      <c r="O3027" s="15"/>
      <c r="P3027" s="15"/>
      <c r="Q3027" s="14"/>
      <c r="R3027" s="14"/>
      <c r="S3027" s="14"/>
      <c r="T3027" s="14"/>
      <c r="U3027" s="15"/>
      <c r="V3027" s="14"/>
      <c r="W3027" s="14"/>
      <c r="X3027" s="14"/>
      <c r="Y3027" s="14"/>
      <c r="Z3027" s="14"/>
    </row>
    <row r="3028" spans="1:26" ht="13.2">
      <c r="A3028" s="13"/>
      <c r="B3028" s="14"/>
      <c r="C3028" s="14"/>
      <c r="D3028" s="14"/>
      <c r="E3028" s="14"/>
      <c r="F3028" s="14"/>
      <c r="G3028" s="14"/>
      <c r="H3028" s="14"/>
      <c r="I3028" s="14"/>
      <c r="J3028" s="14"/>
      <c r="K3028" s="14"/>
      <c r="L3028" s="15"/>
      <c r="M3028" s="15"/>
      <c r="N3028" s="15"/>
      <c r="O3028" s="15"/>
      <c r="P3028" s="15"/>
      <c r="Q3028" s="14"/>
      <c r="R3028" s="14"/>
      <c r="S3028" s="14"/>
      <c r="T3028" s="14"/>
      <c r="U3028" s="15"/>
      <c r="V3028" s="14"/>
      <c r="W3028" s="14"/>
      <c r="X3028" s="14"/>
      <c r="Y3028" s="14"/>
      <c r="Z3028" s="14"/>
    </row>
    <row r="3029" spans="1:26" ht="13.2">
      <c r="A3029" s="13"/>
      <c r="B3029" s="14"/>
      <c r="C3029" s="14"/>
      <c r="D3029" s="14"/>
      <c r="E3029" s="14"/>
      <c r="F3029" s="14"/>
      <c r="G3029" s="14"/>
      <c r="H3029" s="14"/>
      <c r="I3029" s="14"/>
      <c r="J3029" s="14"/>
      <c r="K3029" s="14"/>
      <c r="L3029" s="15"/>
      <c r="M3029" s="15"/>
      <c r="N3029" s="15"/>
      <c r="O3029" s="15"/>
      <c r="P3029" s="15"/>
      <c r="Q3029" s="14"/>
      <c r="R3029" s="14"/>
      <c r="S3029" s="14"/>
      <c r="T3029" s="14"/>
      <c r="U3029" s="15"/>
      <c r="V3029" s="14"/>
      <c r="W3029" s="14"/>
      <c r="X3029" s="14"/>
      <c r="Y3029" s="14"/>
      <c r="Z3029" s="14"/>
    </row>
    <row r="3030" spans="1:26" ht="13.2">
      <c r="A3030" s="13"/>
      <c r="B3030" s="14"/>
      <c r="C3030" s="14"/>
      <c r="D3030" s="14"/>
      <c r="E3030" s="14"/>
      <c r="F3030" s="14"/>
      <c r="G3030" s="14"/>
      <c r="H3030" s="14"/>
      <c r="I3030" s="14"/>
      <c r="J3030" s="14"/>
      <c r="K3030" s="14"/>
      <c r="L3030" s="15"/>
      <c r="M3030" s="15"/>
      <c r="N3030" s="15"/>
      <c r="O3030" s="15"/>
      <c r="P3030" s="15"/>
      <c r="Q3030" s="14"/>
      <c r="R3030" s="14"/>
      <c r="S3030" s="14"/>
      <c r="T3030" s="14"/>
      <c r="U3030" s="15"/>
      <c r="V3030" s="14"/>
      <c r="W3030" s="14"/>
      <c r="X3030" s="14"/>
      <c r="Y3030" s="14"/>
      <c r="Z3030" s="14"/>
    </row>
    <row r="3031" spans="1:26" ht="13.2">
      <c r="A3031" s="13"/>
      <c r="B3031" s="14"/>
      <c r="C3031" s="14"/>
      <c r="D3031" s="14"/>
      <c r="E3031" s="14"/>
      <c r="F3031" s="14"/>
      <c r="G3031" s="14"/>
      <c r="H3031" s="14"/>
      <c r="I3031" s="14"/>
      <c r="J3031" s="14"/>
      <c r="K3031" s="14"/>
      <c r="L3031" s="15"/>
      <c r="M3031" s="15"/>
      <c r="N3031" s="15"/>
      <c r="O3031" s="15"/>
      <c r="P3031" s="15"/>
      <c r="Q3031" s="14"/>
      <c r="R3031" s="14"/>
      <c r="S3031" s="14"/>
      <c r="T3031" s="14"/>
      <c r="U3031" s="15"/>
      <c r="V3031" s="14"/>
      <c r="W3031" s="14"/>
      <c r="X3031" s="14"/>
      <c r="Y3031" s="14"/>
      <c r="Z3031" s="14"/>
    </row>
    <row r="3032" spans="1:26" ht="13.2">
      <c r="A3032" s="13"/>
      <c r="B3032" s="14"/>
      <c r="C3032" s="14"/>
      <c r="D3032" s="14"/>
      <c r="E3032" s="14"/>
      <c r="F3032" s="14"/>
      <c r="G3032" s="14"/>
      <c r="H3032" s="14"/>
      <c r="I3032" s="14"/>
      <c r="J3032" s="14"/>
      <c r="K3032" s="14"/>
      <c r="L3032" s="15"/>
      <c r="M3032" s="15"/>
      <c r="N3032" s="15"/>
      <c r="O3032" s="15"/>
      <c r="P3032" s="15"/>
      <c r="Q3032" s="14"/>
      <c r="R3032" s="14"/>
      <c r="S3032" s="14"/>
      <c r="T3032" s="14"/>
      <c r="U3032" s="15"/>
      <c r="V3032" s="14"/>
      <c r="W3032" s="14"/>
      <c r="X3032" s="14"/>
      <c r="Y3032" s="14"/>
      <c r="Z3032" s="14"/>
    </row>
    <row r="3033" spans="1:26" ht="13.2">
      <c r="A3033" s="13"/>
      <c r="B3033" s="14"/>
      <c r="C3033" s="14"/>
      <c r="D3033" s="14"/>
      <c r="E3033" s="14"/>
      <c r="F3033" s="14"/>
      <c r="G3033" s="14"/>
      <c r="H3033" s="14"/>
      <c r="I3033" s="14"/>
      <c r="J3033" s="14"/>
      <c r="K3033" s="14"/>
      <c r="L3033" s="15"/>
      <c r="M3033" s="15"/>
      <c r="N3033" s="15"/>
      <c r="O3033" s="15"/>
      <c r="P3033" s="15"/>
      <c r="Q3033" s="14"/>
      <c r="R3033" s="14"/>
      <c r="S3033" s="14"/>
      <c r="T3033" s="14"/>
      <c r="U3033" s="15"/>
      <c r="V3033" s="14"/>
      <c r="W3033" s="14"/>
      <c r="X3033" s="14"/>
      <c r="Y3033" s="14"/>
      <c r="Z3033" s="14"/>
    </row>
    <row r="3034" spans="1:26" ht="13.2">
      <c r="A3034" s="13"/>
      <c r="B3034" s="14"/>
      <c r="C3034" s="14"/>
      <c r="D3034" s="14"/>
      <c r="E3034" s="14"/>
      <c r="F3034" s="14"/>
      <c r="G3034" s="14"/>
      <c r="H3034" s="14"/>
      <c r="I3034" s="14"/>
      <c r="J3034" s="14"/>
      <c r="K3034" s="14"/>
      <c r="L3034" s="15"/>
      <c r="M3034" s="15"/>
      <c r="N3034" s="15"/>
      <c r="O3034" s="15"/>
      <c r="P3034" s="15"/>
      <c r="Q3034" s="14"/>
      <c r="R3034" s="14"/>
      <c r="S3034" s="14"/>
      <c r="T3034" s="14"/>
      <c r="U3034" s="15"/>
      <c r="V3034" s="14"/>
      <c r="W3034" s="14"/>
      <c r="X3034" s="14"/>
      <c r="Y3034" s="14"/>
      <c r="Z3034" s="14"/>
    </row>
    <row r="3035" spans="1:26" ht="13.2">
      <c r="A3035" s="13"/>
      <c r="B3035" s="14"/>
      <c r="C3035" s="14"/>
      <c r="D3035" s="14"/>
      <c r="E3035" s="14"/>
      <c r="F3035" s="14"/>
      <c r="G3035" s="14"/>
      <c r="H3035" s="14"/>
      <c r="I3035" s="14"/>
      <c r="J3035" s="14"/>
      <c r="K3035" s="14"/>
      <c r="L3035" s="15"/>
      <c r="M3035" s="15"/>
      <c r="N3035" s="15"/>
      <c r="O3035" s="15"/>
      <c r="P3035" s="15"/>
      <c r="Q3035" s="14"/>
      <c r="R3035" s="14"/>
      <c r="S3035" s="14"/>
      <c r="T3035" s="14"/>
      <c r="U3035" s="15"/>
      <c r="V3035" s="14"/>
      <c r="W3035" s="14"/>
      <c r="X3035" s="14"/>
      <c r="Y3035" s="14"/>
      <c r="Z3035" s="14"/>
    </row>
    <row r="3036" spans="1:26" ht="13.2">
      <c r="A3036" s="13"/>
      <c r="B3036" s="14"/>
      <c r="C3036" s="14"/>
      <c r="D3036" s="14"/>
      <c r="E3036" s="14"/>
      <c r="F3036" s="14"/>
      <c r="G3036" s="14"/>
      <c r="H3036" s="14"/>
      <c r="I3036" s="14"/>
      <c r="J3036" s="14"/>
      <c r="K3036" s="14"/>
      <c r="L3036" s="15"/>
      <c r="M3036" s="15"/>
      <c r="N3036" s="15"/>
      <c r="O3036" s="15"/>
      <c r="P3036" s="15"/>
      <c r="Q3036" s="14"/>
      <c r="R3036" s="14"/>
      <c r="S3036" s="14"/>
      <c r="T3036" s="14"/>
      <c r="U3036" s="15"/>
      <c r="V3036" s="14"/>
      <c r="W3036" s="14"/>
      <c r="X3036" s="14"/>
      <c r="Y3036" s="14"/>
      <c r="Z3036" s="14"/>
    </row>
    <row r="3037" spans="1:26" ht="13.2">
      <c r="A3037" s="13"/>
      <c r="B3037" s="14"/>
      <c r="C3037" s="14"/>
      <c r="D3037" s="14"/>
      <c r="E3037" s="14"/>
      <c r="F3037" s="14"/>
      <c r="G3037" s="14"/>
      <c r="H3037" s="14"/>
      <c r="I3037" s="14"/>
      <c r="J3037" s="14"/>
      <c r="K3037" s="14"/>
      <c r="L3037" s="15"/>
      <c r="M3037" s="15"/>
      <c r="N3037" s="15"/>
      <c r="O3037" s="15"/>
      <c r="P3037" s="15"/>
      <c r="Q3037" s="14"/>
      <c r="R3037" s="14"/>
      <c r="S3037" s="14"/>
      <c r="T3037" s="14"/>
      <c r="U3037" s="15"/>
      <c r="V3037" s="14"/>
      <c r="W3037" s="14"/>
      <c r="X3037" s="14"/>
      <c r="Y3037" s="14"/>
      <c r="Z3037" s="14"/>
    </row>
    <row r="3038" spans="1:26" ht="13.2">
      <c r="A3038" s="13"/>
      <c r="B3038" s="14"/>
      <c r="C3038" s="14"/>
      <c r="D3038" s="14"/>
      <c r="E3038" s="14"/>
      <c r="F3038" s="14"/>
      <c r="G3038" s="14"/>
      <c r="H3038" s="14"/>
      <c r="I3038" s="14"/>
      <c r="J3038" s="14"/>
      <c r="K3038" s="14"/>
      <c r="L3038" s="15"/>
      <c r="M3038" s="15"/>
      <c r="N3038" s="15"/>
      <c r="O3038" s="15"/>
      <c r="P3038" s="15"/>
      <c r="Q3038" s="14"/>
      <c r="R3038" s="14"/>
      <c r="S3038" s="14"/>
      <c r="T3038" s="14"/>
      <c r="U3038" s="15"/>
      <c r="V3038" s="14"/>
      <c r="W3038" s="14"/>
      <c r="X3038" s="14"/>
      <c r="Y3038" s="14"/>
      <c r="Z3038" s="14"/>
    </row>
    <row r="3039" spans="1:26" ht="13.2">
      <c r="A3039" s="13"/>
      <c r="B3039" s="14"/>
      <c r="C3039" s="14"/>
      <c r="D3039" s="14"/>
      <c r="E3039" s="14"/>
      <c r="F3039" s="14"/>
      <c r="G3039" s="14"/>
      <c r="H3039" s="14"/>
      <c r="I3039" s="14"/>
      <c r="J3039" s="14"/>
      <c r="K3039" s="14"/>
      <c r="L3039" s="15"/>
      <c r="M3039" s="15"/>
      <c r="N3039" s="15"/>
      <c r="O3039" s="15"/>
      <c r="P3039" s="15"/>
      <c r="Q3039" s="14"/>
      <c r="R3039" s="14"/>
      <c r="S3039" s="14"/>
      <c r="T3039" s="14"/>
      <c r="U3039" s="15"/>
      <c r="V3039" s="14"/>
      <c r="W3039" s="14"/>
      <c r="X3039" s="14"/>
      <c r="Y3039" s="14"/>
      <c r="Z3039" s="14"/>
    </row>
    <row r="3040" spans="1:26" ht="13.2">
      <c r="A3040" s="13"/>
      <c r="B3040" s="14"/>
      <c r="C3040" s="14"/>
      <c r="D3040" s="14"/>
      <c r="E3040" s="14"/>
      <c r="F3040" s="14"/>
      <c r="G3040" s="14"/>
      <c r="H3040" s="14"/>
      <c r="I3040" s="14"/>
      <c r="J3040" s="14"/>
      <c r="K3040" s="14"/>
      <c r="L3040" s="15"/>
      <c r="M3040" s="15"/>
      <c r="N3040" s="15"/>
      <c r="O3040" s="15"/>
      <c r="P3040" s="15"/>
      <c r="Q3040" s="14"/>
      <c r="R3040" s="14"/>
      <c r="S3040" s="14"/>
      <c r="T3040" s="14"/>
      <c r="U3040" s="15"/>
      <c r="V3040" s="14"/>
      <c r="W3040" s="14"/>
      <c r="X3040" s="14"/>
      <c r="Y3040" s="14"/>
      <c r="Z3040" s="14"/>
    </row>
    <row r="3041" spans="1:26" ht="13.2">
      <c r="A3041" s="13"/>
      <c r="B3041" s="14"/>
      <c r="C3041" s="14"/>
      <c r="D3041" s="14"/>
      <c r="E3041" s="14"/>
      <c r="F3041" s="14"/>
      <c r="G3041" s="14"/>
      <c r="H3041" s="14"/>
      <c r="I3041" s="14"/>
      <c r="J3041" s="14"/>
      <c r="K3041" s="14"/>
      <c r="L3041" s="15"/>
      <c r="M3041" s="15"/>
      <c r="N3041" s="15"/>
      <c r="O3041" s="15"/>
      <c r="P3041" s="15"/>
      <c r="Q3041" s="14"/>
      <c r="R3041" s="14"/>
      <c r="S3041" s="14"/>
      <c r="T3041" s="14"/>
      <c r="U3041" s="15"/>
      <c r="V3041" s="14"/>
      <c r="W3041" s="14"/>
      <c r="X3041" s="14"/>
      <c r="Y3041" s="14"/>
      <c r="Z3041" s="14"/>
    </row>
    <row r="3042" spans="1:26" ht="13.2">
      <c r="A3042" s="13"/>
      <c r="B3042" s="14"/>
      <c r="C3042" s="14"/>
      <c r="D3042" s="14"/>
      <c r="E3042" s="14"/>
      <c r="F3042" s="14"/>
      <c r="G3042" s="14"/>
      <c r="H3042" s="14"/>
      <c r="I3042" s="14"/>
      <c r="J3042" s="14"/>
      <c r="K3042" s="14"/>
      <c r="L3042" s="15"/>
      <c r="M3042" s="15"/>
      <c r="N3042" s="15"/>
      <c r="O3042" s="15"/>
      <c r="P3042" s="15"/>
      <c r="Q3042" s="14"/>
      <c r="R3042" s="14"/>
      <c r="S3042" s="14"/>
      <c r="T3042" s="14"/>
      <c r="U3042" s="15"/>
      <c r="V3042" s="14"/>
      <c r="W3042" s="14"/>
      <c r="X3042" s="14"/>
      <c r="Y3042" s="14"/>
      <c r="Z3042" s="14"/>
    </row>
    <row r="3043" spans="1:26" ht="13.2">
      <c r="A3043" s="13"/>
      <c r="B3043" s="14"/>
      <c r="C3043" s="14"/>
      <c r="D3043" s="14"/>
      <c r="E3043" s="14"/>
      <c r="F3043" s="14"/>
      <c r="G3043" s="14"/>
      <c r="H3043" s="14"/>
      <c r="I3043" s="14"/>
      <c r="J3043" s="14"/>
      <c r="K3043" s="14"/>
      <c r="L3043" s="15"/>
      <c r="M3043" s="15"/>
      <c r="N3043" s="15"/>
      <c r="O3043" s="15"/>
      <c r="P3043" s="15"/>
      <c r="Q3043" s="14"/>
      <c r="R3043" s="14"/>
      <c r="S3043" s="14"/>
      <c r="T3043" s="14"/>
      <c r="U3043" s="15"/>
      <c r="V3043" s="14"/>
      <c r="W3043" s="14"/>
      <c r="X3043" s="14"/>
      <c r="Y3043" s="14"/>
      <c r="Z3043" s="14"/>
    </row>
    <row r="3044" spans="1:26" ht="13.2">
      <c r="A3044" s="13"/>
      <c r="B3044" s="14"/>
      <c r="C3044" s="14"/>
      <c r="D3044" s="14"/>
      <c r="E3044" s="14"/>
      <c r="F3044" s="14"/>
      <c r="G3044" s="14"/>
      <c r="H3044" s="14"/>
      <c r="I3044" s="14"/>
      <c r="J3044" s="14"/>
      <c r="K3044" s="14"/>
      <c r="L3044" s="15"/>
      <c r="M3044" s="15"/>
      <c r="N3044" s="15"/>
      <c r="O3044" s="15"/>
      <c r="P3044" s="15"/>
      <c r="Q3044" s="14"/>
      <c r="R3044" s="14"/>
      <c r="S3044" s="14"/>
      <c r="T3044" s="14"/>
      <c r="U3044" s="15"/>
      <c r="V3044" s="14"/>
      <c r="W3044" s="14"/>
      <c r="X3044" s="14"/>
      <c r="Y3044" s="14"/>
      <c r="Z3044" s="14"/>
    </row>
    <row r="3045" spans="1:26" ht="13.2">
      <c r="A3045" s="13"/>
      <c r="B3045" s="14"/>
      <c r="C3045" s="14"/>
      <c r="D3045" s="14"/>
      <c r="E3045" s="14"/>
      <c r="F3045" s="14"/>
      <c r="G3045" s="14"/>
      <c r="H3045" s="14"/>
      <c r="I3045" s="14"/>
      <c r="J3045" s="14"/>
      <c r="K3045" s="14"/>
      <c r="L3045" s="15"/>
      <c r="M3045" s="15"/>
      <c r="N3045" s="15"/>
      <c r="O3045" s="15"/>
      <c r="P3045" s="15"/>
      <c r="Q3045" s="14"/>
      <c r="R3045" s="14"/>
      <c r="S3045" s="14"/>
      <c r="T3045" s="14"/>
      <c r="U3045" s="15"/>
      <c r="V3045" s="14"/>
      <c r="W3045" s="14"/>
      <c r="X3045" s="14"/>
      <c r="Y3045" s="14"/>
      <c r="Z3045" s="14"/>
    </row>
    <row r="3046" spans="1:26" ht="13.2">
      <c r="A3046" s="13"/>
      <c r="B3046" s="14"/>
      <c r="C3046" s="14"/>
      <c r="D3046" s="14"/>
      <c r="E3046" s="14"/>
      <c r="F3046" s="14"/>
      <c r="G3046" s="14"/>
      <c r="H3046" s="14"/>
      <c r="I3046" s="14"/>
      <c r="J3046" s="14"/>
      <c r="K3046" s="14"/>
      <c r="L3046" s="15"/>
      <c r="M3046" s="15"/>
      <c r="N3046" s="15"/>
      <c r="O3046" s="15"/>
      <c r="P3046" s="15"/>
      <c r="Q3046" s="14"/>
      <c r="R3046" s="14"/>
      <c r="S3046" s="14"/>
      <c r="T3046" s="14"/>
      <c r="U3046" s="15"/>
      <c r="V3046" s="14"/>
      <c r="W3046" s="14"/>
      <c r="X3046" s="14"/>
      <c r="Y3046" s="14"/>
      <c r="Z3046" s="14"/>
    </row>
    <row r="3047" spans="1:26" ht="13.2">
      <c r="A3047" s="13"/>
      <c r="B3047" s="14"/>
      <c r="C3047" s="14"/>
      <c r="D3047" s="14"/>
      <c r="E3047" s="14"/>
      <c r="F3047" s="14"/>
      <c r="G3047" s="14"/>
      <c r="H3047" s="14"/>
      <c r="I3047" s="14"/>
      <c r="J3047" s="14"/>
      <c r="K3047" s="14"/>
      <c r="L3047" s="15"/>
      <c r="M3047" s="15"/>
      <c r="N3047" s="15"/>
      <c r="O3047" s="15"/>
      <c r="P3047" s="15"/>
      <c r="Q3047" s="14"/>
      <c r="R3047" s="14"/>
      <c r="S3047" s="14"/>
      <c r="T3047" s="14"/>
      <c r="U3047" s="15"/>
      <c r="V3047" s="14"/>
      <c r="W3047" s="14"/>
      <c r="X3047" s="14"/>
      <c r="Y3047" s="14"/>
      <c r="Z3047" s="14"/>
    </row>
    <row r="3048" spans="1:26" ht="13.2">
      <c r="A3048" s="13"/>
      <c r="B3048" s="14"/>
      <c r="C3048" s="14"/>
      <c r="D3048" s="14"/>
      <c r="E3048" s="14"/>
      <c r="F3048" s="14"/>
      <c r="G3048" s="14"/>
      <c r="H3048" s="14"/>
      <c r="I3048" s="14"/>
      <c r="J3048" s="14"/>
      <c r="K3048" s="14"/>
      <c r="L3048" s="15"/>
      <c r="M3048" s="15"/>
      <c r="N3048" s="15"/>
      <c r="O3048" s="15"/>
      <c r="P3048" s="15"/>
      <c r="Q3048" s="14"/>
      <c r="R3048" s="14"/>
      <c r="S3048" s="14"/>
      <c r="T3048" s="14"/>
      <c r="U3048" s="15"/>
      <c r="V3048" s="14"/>
      <c r="W3048" s="14"/>
      <c r="X3048" s="14"/>
      <c r="Y3048" s="14"/>
      <c r="Z3048" s="14"/>
    </row>
    <row r="3049" spans="1:26" ht="13.2">
      <c r="A3049" s="13"/>
      <c r="B3049" s="14"/>
      <c r="C3049" s="14"/>
      <c r="D3049" s="14"/>
      <c r="E3049" s="14"/>
      <c r="F3049" s="14"/>
      <c r="G3049" s="14"/>
      <c r="H3049" s="14"/>
      <c r="I3049" s="14"/>
      <c r="J3049" s="14"/>
      <c r="K3049" s="14"/>
      <c r="L3049" s="15"/>
      <c r="M3049" s="15"/>
      <c r="N3049" s="15"/>
      <c r="O3049" s="15"/>
      <c r="P3049" s="15"/>
      <c r="Q3049" s="14"/>
      <c r="R3049" s="14"/>
      <c r="S3049" s="14"/>
      <c r="T3049" s="14"/>
      <c r="U3049" s="15"/>
      <c r="V3049" s="14"/>
      <c r="W3049" s="14"/>
      <c r="X3049" s="14"/>
      <c r="Y3049" s="14"/>
      <c r="Z3049" s="14"/>
    </row>
    <row r="3050" spans="1:26" ht="13.2">
      <c r="A3050" s="13"/>
      <c r="B3050" s="14"/>
      <c r="C3050" s="14"/>
      <c r="D3050" s="14"/>
      <c r="E3050" s="14"/>
      <c r="F3050" s="14"/>
      <c r="G3050" s="14"/>
      <c r="H3050" s="14"/>
      <c r="I3050" s="14"/>
      <c r="J3050" s="14"/>
      <c r="K3050" s="14"/>
      <c r="L3050" s="15"/>
      <c r="M3050" s="15"/>
      <c r="N3050" s="15"/>
      <c r="O3050" s="15"/>
      <c r="P3050" s="15"/>
      <c r="Q3050" s="14"/>
      <c r="R3050" s="14"/>
      <c r="S3050" s="14"/>
      <c r="T3050" s="14"/>
      <c r="U3050" s="15"/>
      <c r="V3050" s="14"/>
      <c r="W3050" s="14"/>
      <c r="X3050" s="14"/>
      <c r="Y3050" s="14"/>
      <c r="Z3050" s="14"/>
    </row>
    <row r="3051" spans="1:26" ht="13.2">
      <c r="A3051" s="13"/>
      <c r="B3051" s="14"/>
      <c r="C3051" s="14"/>
      <c r="D3051" s="14"/>
      <c r="E3051" s="14"/>
      <c r="F3051" s="14"/>
      <c r="G3051" s="14"/>
      <c r="H3051" s="14"/>
      <c r="I3051" s="14"/>
      <c r="J3051" s="14"/>
      <c r="K3051" s="14"/>
      <c r="L3051" s="15"/>
      <c r="M3051" s="15"/>
      <c r="N3051" s="15"/>
      <c r="O3051" s="15"/>
      <c r="P3051" s="15"/>
      <c r="Q3051" s="14"/>
      <c r="R3051" s="14"/>
      <c r="S3051" s="14"/>
      <c r="T3051" s="14"/>
      <c r="U3051" s="15"/>
      <c r="V3051" s="14"/>
      <c r="W3051" s="14"/>
      <c r="X3051" s="14"/>
      <c r="Y3051" s="14"/>
      <c r="Z3051" s="14"/>
    </row>
    <row r="3052" spans="1:26" ht="13.2">
      <c r="A3052" s="13"/>
      <c r="B3052" s="14"/>
      <c r="C3052" s="14"/>
      <c r="D3052" s="14"/>
      <c r="E3052" s="14"/>
      <c r="F3052" s="14"/>
      <c r="G3052" s="14"/>
      <c r="H3052" s="14"/>
      <c r="I3052" s="14"/>
      <c r="J3052" s="14"/>
      <c r="K3052" s="14"/>
      <c r="L3052" s="15"/>
      <c r="M3052" s="15"/>
      <c r="N3052" s="15"/>
      <c r="O3052" s="15"/>
      <c r="P3052" s="15"/>
      <c r="Q3052" s="14"/>
      <c r="R3052" s="14"/>
      <c r="S3052" s="14"/>
      <c r="T3052" s="14"/>
      <c r="U3052" s="15"/>
      <c r="V3052" s="14"/>
      <c r="W3052" s="14"/>
      <c r="X3052" s="14"/>
      <c r="Y3052" s="14"/>
      <c r="Z3052" s="14"/>
    </row>
    <row r="3053" spans="1:26" ht="13.2">
      <c r="A3053" s="13"/>
      <c r="B3053" s="14"/>
      <c r="C3053" s="14"/>
      <c r="D3053" s="14"/>
      <c r="E3053" s="14"/>
      <c r="F3053" s="14"/>
      <c r="G3053" s="14"/>
      <c r="H3053" s="14"/>
      <c r="I3053" s="14"/>
      <c r="J3053" s="14"/>
      <c r="K3053" s="14"/>
      <c r="L3053" s="15"/>
      <c r="M3053" s="15"/>
      <c r="N3053" s="15"/>
      <c r="O3053" s="15"/>
      <c r="P3053" s="15"/>
      <c r="Q3053" s="14"/>
      <c r="R3053" s="14"/>
      <c r="S3053" s="14"/>
      <c r="T3053" s="14"/>
      <c r="U3053" s="15"/>
      <c r="V3053" s="14"/>
      <c r="W3053" s="14"/>
      <c r="X3053" s="14"/>
      <c r="Y3053" s="14"/>
      <c r="Z3053" s="14"/>
    </row>
    <row r="3054" spans="1:26" ht="13.2">
      <c r="A3054" s="13"/>
      <c r="B3054" s="14"/>
      <c r="C3054" s="14"/>
      <c r="D3054" s="14"/>
      <c r="E3054" s="14"/>
      <c r="F3054" s="14"/>
      <c r="G3054" s="14"/>
      <c r="H3054" s="14"/>
      <c r="I3054" s="14"/>
      <c r="J3054" s="14"/>
      <c r="K3054" s="14"/>
      <c r="L3054" s="15"/>
      <c r="M3054" s="15"/>
      <c r="N3054" s="15"/>
      <c r="O3054" s="15"/>
      <c r="P3054" s="15"/>
      <c r="Q3054" s="14"/>
      <c r="R3054" s="14"/>
      <c r="S3054" s="14"/>
      <c r="T3054" s="14"/>
      <c r="U3054" s="15"/>
      <c r="V3054" s="14"/>
      <c r="W3054" s="14"/>
      <c r="X3054" s="14"/>
      <c r="Y3054" s="14"/>
      <c r="Z3054" s="14"/>
    </row>
    <row r="3055" spans="1:26" ht="13.2">
      <c r="A3055" s="13"/>
      <c r="B3055" s="14"/>
      <c r="C3055" s="14"/>
      <c r="D3055" s="14"/>
      <c r="E3055" s="14"/>
      <c r="F3055" s="14"/>
      <c r="G3055" s="14"/>
      <c r="H3055" s="14"/>
      <c r="I3055" s="14"/>
      <c r="J3055" s="14"/>
      <c r="K3055" s="14"/>
      <c r="L3055" s="15"/>
      <c r="M3055" s="15"/>
      <c r="N3055" s="15"/>
      <c r="O3055" s="15"/>
      <c r="P3055" s="15"/>
      <c r="Q3055" s="14"/>
      <c r="R3055" s="14"/>
      <c r="S3055" s="14"/>
      <c r="T3055" s="14"/>
      <c r="U3055" s="15"/>
      <c r="V3055" s="14"/>
      <c r="W3055" s="14"/>
      <c r="X3055" s="14"/>
      <c r="Y3055" s="14"/>
      <c r="Z3055" s="14"/>
    </row>
    <row r="3056" spans="1:26" ht="13.2">
      <c r="A3056" s="13"/>
      <c r="B3056" s="14"/>
      <c r="C3056" s="14"/>
      <c r="D3056" s="14"/>
      <c r="E3056" s="14"/>
      <c r="F3056" s="14"/>
      <c r="G3056" s="14"/>
      <c r="H3056" s="14"/>
      <c r="I3056" s="14"/>
      <c r="J3056" s="14"/>
      <c r="K3056" s="14"/>
      <c r="L3056" s="15"/>
      <c r="M3056" s="15"/>
      <c r="N3056" s="15"/>
      <c r="O3056" s="15"/>
      <c r="P3056" s="15"/>
      <c r="Q3056" s="14"/>
      <c r="R3056" s="14"/>
      <c r="S3056" s="14"/>
      <c r="T3056" s="14"/>
      <c r="U3056" s="15"/>
      <c r="V3056" s="14"/>
      <c r="W3056" s="14"/>
      <c r="X3056" s="14"/>
      <c r="Y3056" s="14"/>
      <c r="Z3056" s="14"/>
    </row>
    <row r="3057" spans="1:26" ht="13.2">
      <c r="A3057" s="13"/>
      <c r="B3057" s="14"/>
      <c r="C3057" s="14"/>
      <c r="D3057" s="14"/>
      <c r="E3057" s="14"/>
      <c r="F3057" s="14"/>
      <c r="G3057" s="14"/>
      <c r="H3057" s="14"/>
      <c r="I3057" s="14"/>
      <c r="J3057" s="14"/>
      <c r="K3057" s="14"/>
      <c r="L3057" s="15"/>
      <c r="M3057" s="15"/>
      <c r="N3057" s="15"/>
      <c r="O3057" s="15"/>
      <c r="P3057" s="15"/>
      <c r="Q3057" s="14"/>
      <c r="R3057" s="14"/>
      <c r="S3057" s="14"/>
      <c r="T3057" s="14"/>
      <c r="U3057" s="15"/>
      <c r="V3057" s="14"/>
      <c r="W3057" s="14"/>
      <c r="X3057" s="14"/>
      <c r="Y3057" s="14"/>
      <c r="Z3057" s="14"/>
    </row>
    <row r="3058" spans="1:26" ht="13.2">
      <c r="A3058" s="13"/>
      <c r="B3058" s="14"/>
      <c r="C3058" s="14"/>
      <c r="D3058" s="14"/>
      <c r="E3058" s="14"/>
      <c r="F3058" s="14"/>
      <c r="G3058" s="14"/>
      <c r="H3058" s="14"/>
      <c r="I3058" s="14"/>
      <c r="J3058" s="14"/>
      <c r="K3058" s="14"/>
      <c r="L3058" s="15"/>
      <c r="M3058" s="15"/>
      <c r="N3058" s="15"/>
      <c r="O3058" s="15"/>
      <c r="P3058" s="15"/>
      <c r="Q3058" s="14"/>
      <c r="R3058" s="14"/>
      <c r="S3058" s="14"/>
      <c r="T3058" s="14"/>
      <c r="U3058" s="15"/>
      <c r="V3058" s="14"/>
      <c r="W3058" s="14"/>
      <c r="X3058" s="14"/>
      <c r="Y3058" s="14"/>
      <c r="Z3058" s="14"/>
    </row>
    <row r="3059" spans="1:26" ht="13.2">
      <c r="A3059" s="13"/>
      <c r="B3059" s="14"/>
      <c r="C3059" s="14"/>
      <c r="D3059" s="14"/>
      <c r="E3059" s="14"/>
      <c r="F3059" s="14"/>
      <c r="G3059" s="14"/>
      <c r="H3059" s="14"/>
      <c r="I3059" s="14"/>
      <c r="J3059" s="14"/>
      <c r="K3059" s="14"/>
      <c r="L3059" s="15"/>
      <c r="M3059" s="15"/>
      <c r="N3059" s="15"/>
      <c r="O3059" s="15"/>
      <c r="P3059" s="15"/>
      <c r="Q3059" s="14"/>
      <c r="R3059" s="14"/>
      <c r="S3059" s="14"/>
      <c r="T3059" s="14"/>
      <c r="U3059" s="15"/>
      <c r="V3059" s="14"/>
      <c r="W3059" s="14"/>
      <c r="X3059" s="14"/>
      <c r="Y3059" s="14"/>
      <c r="Z3059" s="14"/>
    </row>
    <row r="3060" spans="1:26" ht="13.2">
      <c r="A3060" s="13"/>
      <c r="B3060" s="14"/>
      <c r="C3060" s="14"/>
      <c r="D3060" s="14"/>
      <c r="E3060" s="14"/>
      <c r="F3060" s="14"/>
      <c r="G3060" s="14"/>
      <c r="H3060" s="14"/>
      <c r="I3060" s="14"/>
      <c r="J3060" s="14"/>
      <c r="K3060" s="14"/>
      <c r="L3060" s="15"/>
      <c r="M3060" s="15"/>
      <c r="N3060" s="15"/>
      <c r="O3060" s="15"/>
      <c r="P3060" s="15"/>
      <c r="Q3060" s="14"/>
      <c r="R3060" s="14"/>
      <c r="S3060" s="14"/>
      <c r="T3060" s="14"/>
      <c r="U3060" s="15"/>
      <c r="V3060" s="14"/>
      <c r="W3060" s="14"/>
      <c r="X3060" s="14"/>
      <c r="Y3060" s="14"/>
      <c r="Z3060" s="14"/>
    </row>
    <row r="3061" spans="1:26" ht="13.2">
      <c r="A3061" s="13"/>
      <c r="B3061" s="14"/>
      <c r="C3061" s="14"/>
      <c r="D3061" s="14"/>
      <c r="E3061" s="14"/>
      <c r="F3061" s="14"/>
      <c r="G3061" s="14"/>
      <c r="H3061" s="14"/>
      <c r="I3061" s="14"/>
      <c r="J3061" s="14"/>
      <c r="K3061" s="14"/>
      <c r="L3061" s="15"/>
      <c r="M3061" s="15"/>
      <c r="N3061" s="15"/>
      <c r="O3061" s="15"/>
      <c r="P3061" s="15"/>
      <c r="Q3061" s="14"/>
      <c r="R3061" s="14"/>
      <c r="S3061" s="14"/>
      <c r="T3061" s="14"/>
      <c r="U3061" s="15"/>
      <c r="V3061" s="14"/>
      <c r="W3061" s="14"/>
      <c r="X3061" s="14"/>
      <c r="Y3061" s="14"/>
      <c r="Z3061" s="14"/>
    </row>
    <row r="3062" spans="1:26" ht="13.2">
      <c r="A3062" s="13"/>
      <c r="B3062" s="14"/>
      <c r="C3062" s="14"/>
      <c r="D3062" s="14"/>
      <c r="E3062" s="14"/>
      <c r="F3062" s="14"/>
      <c r="G3062" s="14"/>
      <c r="H3062" s="14"/>
      <c r="I3062" s="14"/>
      <c r="J3062" s="14"/>
      <c r="K3062" s="14"/>
      <c r="L3062" s="15"/>
      <c r="M3062" s="15"/>
      <c r="N3062" s="15"/>
      <c r="O3062" s="15"/>
      <c r="P3062" s="15"/>
      <c r="Q3062" s="14"/>
      <c r="R3062" s="14"/>
      <c r="S3062" s="14"/>
      <c r="T3062" s="14"/>
      <c r="U3062" s="15"/>
      <c r="V3062" s="14"/>
      <c r="W3062" s="14"/>
      <c r="X3062" s="14"/>
      <c r="Y3062" s="14"/>
      <c r="Z3062" s="14"/>
    </row>
    <row r="3063" spans="1:26" ht="13.2">
      <c r="A3063" s="13"/>
      <c r="B3063" s="14"/>
      <c r="C3063" s="14"/>
      <c r="D3063" s="14"/>
      <c r="E3063" s="14"/>
      <c r="F3063" s="14"/>
      <c r="G3063" s="14"/>
      <c r="H3063" s="14"/>
      <c r="I3063" s="14"/>
      <c r="J3063" s="14"/>
      <c r="K3063" s="14"/>
      <c r="L3063" s="15"/>
      <c r="M3063" s="15"/>
      <c r="N3063" s="15"/>
      <c r="O3063" s="15"/>
      <c r="P3063" s="15"/>
      <c r="Q3063" s="14"/>
      <c r="R3063" s="14"/>
      <c r="S3063" s="14"/>
      <c r="T3063" s="14"/>
      <c r="U3063" s="15"/>
      <c r="V3063" s="14"/>
      <c r="W3063" s="14"/>
      <c r="X3063" s="14"/>
      <c r="Y3063" s="14"/>
      <c r="Z3063" s="14"/>
    </row>
    <row r="3064" spans="1:26" ht="13.2">
      <c r="A3064" s="13"/>
      <c r="B3064" s="14"/>
      <c r="C3064" s="14"/>
      <c r="D3064" s="14"/>
      <c r="E3064" s="14"/>
      <c r="F3064" s="14"/>
      <c r="G3064" s="14"/>
      <c r="H3064" s="14"/>
      <c r="I3064" s="14"/>
      <c r="J3064" s="14"/>
      <c r="K3064" s="14"/>
      <c r="L3064" s="15"/>
      <c r="M3064" s="15"/>
      <c r="N3064" s="15"/>
      <c r="O3064" s="15"/>
      <c r="P3064" s="15"/>
      <c r="Q3064" s="14"/>
      <c r="R3064" s="14"/>
      <c r="S3064" s="14"/>
      <c r="T3064" s="14"/>
      <c r="U3064" s="15"/>
      <c r="V3064" s="14"/>
      <c r="W3064" s="14"/>
      <c r="X3064" s="14"/>
      <c r="Y3064" s="14"/>
      <c r="Z3064" s="14"/>
    </row>
    <row r="3065" spans="1:26" ht="13.2">
      <c r="A3065" s="13"/>
      <c r="B3065" s="14"/>
      <c r="C3065" s="14"/>
      <c r="D3065" s="14"/>
      <c r="E3065" s="14"/>
      <c r="F3065" s="14"/>
      <c r="G3065" s="14"/>
      <c r="H3065" s="14"/>
      <c r="I3065" s="14"/>
      <c r="J3065" s="14"/>
      <c r="K3065" s="14"/>
      <c r="L3065" s="15"/>
      <c r="M3065" s="15"/>
      <c r="N3065" s="15"/>
      <c r="O3065" s="15"/>
      <c r="P3065" s="15"/>
      <c r="Q3065" s="14"/>
      <c r="R3065" s="14"/>
      <c r="S3065" s="14"/>
      <c r="T3065" s="14"/>
      <c r="U3065" s="15"/>
      <c r="V3065" s="14"/>
      <c r="W3065" s="14"/>
      <c r="X3065" s="14"/>
      <c r="Y3065" s="14"/>
      <c r="Z3065" s="14"/>
    </row>
    <row r="3066" spans="1:26" ht="13.2">
      <c r="A3066" s="13"/>
      <c r="B3066" s="14"/>
      <c r="C3066" s="14"/>
      <c r="D3066" s="14"/>
      <c r="E3066" s="14"/>
      <c r="F3066" s="14"/>
      <c r="G3066" s="14"/>
      <c r="H3066" s="14"/>
      <c r="I3066" s="14"/>
      <c r="J3066" s="14"/>
      <c r="K3066" s="14"/>
      <c r="L3066" s="15"/>
      <c r="M3066" s="15"/>
      <c r="N3066" s="15"/>
      <c r="O3066" s="15"/>
      <c r="P3066" s="15"/>
      <c r="Q3066" s="14"/>
      <c r="R3066" s="14"/>
      <c r="S3066" s="14"/>
      <c r="T3066" s="14"/>
      <c r="U3066" s="15"/>
      <c r="V3066" s="14"/>
      <c r="W3066" s="14"/>
      <c r="X3066" s="14"/>
      <c r="Y3066" s="14"/>
      <c r="Z3066" s="14"/>
    </row>
    <row r="3067" spans="1:26" ht="13.2">
      <c r="A3067" s="13"/>
      <c r="B3067" s="14"/>
      <c r="C3067" s="14"/>
      <c r="D3067" s="14"/>
      <c r="E3067" s="14"/>
      <c r="F3067" s="14"/>
      <c r="G3067" s="14"/>
      <c r="H3067" s="14"/>
      <c r="I3067" s="14"/>
      <c r="J3067" s="14"/>
      <c r="K3067" s="14"/>
      <c r="L3067" s="15"/>
      <c r="M3067" s="15"/>
      <c r="N3067" s="15"/>
      <c r="O3067" s="15"/>
      <c r="P3067" s="15"/>
      <c r="Q3067" s="14"/>
      <c r="R3067" s="14"/>
      <c r="S3067" s="14"/>
      <c r="T3067" s="14"/>
      <c r="U3067" s="15"/>
      <c r="V3067" s="14"/>
      <c r="W3067" s="14"/>
      <c r="X3067" s="14"/>
      <c r="Y3067" s="14"/>
      <c r="Z3067" s="14"/>
    </row>
    <row r="3068" spans="1:26" ht="13.2">
      <c r="A3068" s="13"/>
      <c r="B3068" s="14"/>
      <c r="C3068" s="14"/>
      <c r="D3068" s="14"/>
      <c r="E3068" s="14"/>
      <c r="F3068" s="14"/>
      <c r="G3068" s="14"/>
      <c r="H3068" s="14"/>
      <c r="I3068" s="14"/>
      <c r="J3068" s="14"/>
      <c r="K3068" s="14"/>
      <c r="L3068" s="15"/>
      <c r="M3068" s="15"/>
      <c r="N3068" s="15"/>
      <c r="O3068" s="15"/>
      <c r="P3068" s="15"/>
      <c r="Q3068" s="14"/>
      <c r="R3068" s="14"/>
      <c r="S3068" s="14"/>
      <c r="T3068" s="14"/>
      <c r="U3068" s="15"/>
      <c r="V3068" s="14"/>
      <c r="W3068" s="14"/>
      <c r="X3068" s="14"/>
      <c r="Y3068" s="14"/>
      <c r="Z3068" s="14"/>
    </row>
    <row r="3069" spans="1:26" ht="13.2">
      <c r="A3069" s="13"/>
      <c r="B3069" s="14"/>
      <c r="C3069" s="14"/>
      <c r="D3069" s="14"/>
      <c r="E3069" s="14"/>
      <c r="F3069" s="14"/>
      <c r="G3069" s="14"/>
      <c r="H3069" s="14"/>
      <c r="I3069" s="14"/>
      <c r="J3069" s="14"/>
      <c r="K3069" s="14"/>
      <c r="L3069" s="15"/>
      <c r="M3069" s="15"/>
      <c r="N3069" s="15"/>
      <c r="O3069" s="15"/>
      <c r="P3069" s="15"/>
      <c r="Q3069" s="14"/>
      <c r="R3069" s="14"/>
      <c r="S3069" s="14"/>
      <c r="T3069" s="14"/>
      <c r="U3069" s="15"/>
      <c r="V3069" s="14"/>
      <c r="W3069" s="14"/>
      <c r="X3069" s="14"/>
      <c r="Y3069" s="14"/>
      <c r="Z3069" s="14"/>
    </row>
    <row r="3070" spans="1:26" ht="13.2">
      <c r="A3070" s="13"/>
      <c r="B3070" s="14"/>
      <c r="C3070" s="14"/>
      <c r="D3070" s="14"/>
      <c r="E3070" s="14"/>
      <c r="F3070" s="14"/>
      <c r="G3070" s="14"/>
      <c r="H3070" s="14"/>
      <c r="I3070" s="14"/>
      <c r="J3070" s="14"/>
      <c r="K3070" s="14"/>
      <c r="L3070" s="15"/>
      <c r="M3070" s="15"/>
      <c r="N3070" s="15"/>
      <c r="O3070" s="15"/>
      <c r="P3070" s="15"/>
      <c r="Q3070" s="14"/>
      <c r="R3070" s="14"/>
      <c r="S3070" s="14"/>
      <c r="T3070" s="14"/>
      <c r="U3070" s="15"/>
      <c r="V3070" s="14"/>
      <c r="W3070" s="14"/>
      <c r="X3070" s="14"/>
      <c r="Y3070" s="14"/>
      <c r="Z3070" s="14"/>
    </row>
    <row r="3071" spans="1:26" ht="13.2">
      <c r="A3071" s="13"/>
      <c r="B3071" s="14"/>
      <c r="C3071" s="14"/>
      <c r="D3071" s="14"/>
      <c r="E3071" s="14"/>
      <c r="F3071" s="14"/>
      <c r="G3071" s="14"/>
      <c r="H3071" s="14"/>
      <c r="I3071" s="14"/>
      <c r="J3071" s="14"/>
      <c r="K3071" s="14"/>
      <c r="L3071" s="15"/>
      <c r="M3071" s="15"/>
      <c r="N3071" s="15"/>
      <c r="O3071" s="15"/>
      <c r="P3071" s="15"/>
      <c r="Q3071" s="14"/>
      <c r="R3071" s="14"/>
      <c r="S3071" s="14"/>
      <c r="T3071" s="14"/>
      <c r="U3071" s="15"/>
      <c r="V3071" s="14"/>
      <c r="W3071" s="14"/>
      <c r="X3071" s="14"/>
      <c r="Y3071" s="14"/>
      <c r="Z3071" s="14"/>
    </row>
    <row r="3072" spans="1:26" ht="13.2">
      <c r="A3072" s="13"/>
      <c r="B3072" s="14"/>
      <c r="C3072" s="14"/>
      <c r="D3072" s="14"/>
      <c r="E3072" s="14"/>
      <c r="F3072" s="14"/>
      <c r="G3072" s="14"/>
      <c r="H3072" s="14"/>
      <c r="I3072" s="14"/>
      <c r="J3072" s="14"/>
      <c r="K3072" s="14"/>
      <c r="L3072" s="15"/>
      <c r="M3072" s="15"/>
      <c r="N3072" s="15"/>
      <c r="O3072" s="15"/>
      <c r="P3072" s="15"/>
      <c r="Q3072" s="14"/>
      <c r="R3072" s="14"/>
      <c r="S3072" s="14"/>
      <c r="T3072" s="14"/>
      <c r="U3072" s="15"/>
      <c r="V3072" s="14"/>
      <c r="W3072" s="14"/>
      <c r="X3072" s="14"/>
      <c r="Y3072" s="14"/>
      <c r="Z3072" s="14"/>
    </row>
    <row r="3073" spans="1:26" ht="13.2">
      <c r="A3073" s="13"/>
      <c r="B3073" s="14"/>
      <c r="C3073" s="14"/>
      <c r="D3073" s="14"/>
      <c r="E3073" s="14"/>
      <c r="F3073" s="14"/>
      <c r="G3073" s="14"/>
      <c r="H3073" s="14"/>
      <c r="I3073" s="14"/>
      <c r="J3073" s="14"/>
      <c r="K3073" s="14"/>
      <c r="L3073" s="15"/>
      <c r="M3073" s="15"/>
      <c r="N3073" s="15"/>
      <c r="O3073" s="15"/>
      <c r="P3073" s="15"/>
      <c r="Q3073" s="14"/>
      <c r="R3073" s="14"/>
      <c r="S3073" s="14"/>
      <c r="T3073" s="14"/>
      <c r="U3073" s="15"/>
      <c r="V3073" s="14"/>
      <c r="W3073" s="14"/>
      <c r="X3073" s="14"/>
      <c r="Y3073" s="14"/>
      <c r="Z3073" s="14"/>
    </row>
    <row r="3074" spans="1:26" ht="13.2">
      <c r="A3074" s="13"/>
      <c r="B3074" s="14"/>
      <c r="C3074" s="14"/>
      <c r="D3074" s="14"/>
      <c r="E3074" s="14"/>
      <c r="F3074" s="14"/>
      <c r="G3074" s="14"/>
      <c r="H3074" s="14"/>
      <c r="I3074" s="14"/>
      <c r="J3074" s="14"/>
      <c r="K3074" s="14"/>
      <c r="L3074" s="15"/>
      <c r="M3074" s="15"/>
      <c r="N3074" s="15"/>
      <c r="O3074" s="15"/>
      <c r="P3074" s="15"/>
      <c r="Q3074" s="14"/>
      <c r="R3074" s="14"/>
      <c r="S3074" s="14"/>
      <c r="T3074" s="14"/>
      <c r="U3074" s="15"/>
      <c r="V3074" s="14"/>
      <c r="W3074" s="14"/>
      <c r="X3074" s="14"/>
      <c r="Y3074" s="14"/>
      <c r="Z3074" s="14"/>
    </row>
    <row r="3075" spans="1:26" ht="13.2">
      <c r="A3075" s="13"/>
      <c r="B3075" s="14"/>
      <c r="C3075" s="14"/>
      <c r="D3075" s="14"/>
      <c r="E3075" s="14"/>
      <c r="F3075" s="14"/>
      <c r="G3075" s="14"/>
      <c r="H3075" s="14"/>
      <c r="I3075" s="14"/>
      <c r="J3075" s="14"/>
      <c r="K3075" s="14"/>
      <c r="L3075" s="15"/>
      <c r="M3075" s="15"/>
      <c r="N3075" s="15"/>
      <c r="O3075" s="15"/>
      <c r="P3075" s="15"/>
      <c r="Q3075" s="14"/>
      <c r="R3075" s="14"/>
      <c r="S3075" s="14"/>
      <c r="T3075" s="14"/>
      <c r="U3075" s="15"/>
      <c r="V3075" s="14"/>
      <c r="W3075" s="14"/>
      <c r="X3075" s="14"/>
      <c r="Y3075" s="14"/>
      <c r="Z3075" s="14"/>
    </row>
    <row r="3076" spans="1:26" ht="13.2">
      <c r="A3076" s="13"/>
      <c r="B3076" s="14"/>
      <c r="C3076" s="14"/>
      <c r="D3076" s="14"/>
      <c r="E3076" s="14"/>
      <c r="F3076" s="14"/>
      <c r="G3076" s="14"/>
      <c r="H3076" s="14"/>
      <c r="I3076" s="14"/>
      <c r="J3076" s="14"/>
      <c r="K3076" s="14"/>
      <c r="L3076" s="15"/>
      <c r="M3076" s="15"/>
      <c r="N3076" s="15"/>
      <c r="O3076" s="15"/>
      <c r="P3076" s="15"/>
      <c r="Q3076" s="14"/>
      <c r="R3076" s="14"/>
      <c r="S3076" s="14"/>
      <c r="T3076" s="14"/>
      <c r="U3076" s="15"/>
      <c r="V3076" s="14"/>
      <c r="W3076" s="14"/>
      <c r="X3076" s="14"/>
      <c r="Y3076" s="14"/>
      <c r="Z3076" s="14"/>
    </row>
    <row r="3077" spans="1:26" ht="13.2">
      <c r="A3077" s="13"/>
      <c r="B3077" s="14"/>
      <c r="C3077" s="14"/>
      <c r="D3077" s="14"/>
      <c r="E3077" s="14"/>
      <c r="F3077" s="14"/>
      <c r="G3077" s="14"/>
      <c r="H3077" s="14"/>
      <c r="I3077" s="14"/>
      <c r="J3077" s="14"/>
      <c r="K3077" s="14"/>
      <c r="L3077" s="15"/>
      <c r="M3077" s="15"/>
      <c r="N3077" s="15"/>
      <c r="O3077" s="15"/>
      <c r="P3077" s="15"/>
      <c r="Q3077" s="14"/>
      <c r="R3077" s="14"/>
      <c r="S3077" s="14"/>
      <c r="T3077" s="14"/>
      <c r="U3077" s="15"/>
      <c r="V3077" s="14"/>
      <c r="W3077" s="14"/>
      <c r="X3077" s="14"/>
      <c r="Y3077" s="14"/>
      <c r="Z3077" s="14"/>
    </row>
    <row r="3078" spans="1:26" ht="13.2">
      <c r="A3078" s="13"/>
      <c r="B3078" s="14"/>
      <c r="C3078" s="14"/>
      <c r="D3078" s="14"/>
      <c r="E3078" s="14"/>
      <c r="F3078" s="14"/>
      <c r="G3078" s="14"/>
      <c r="H3078" s="14"/>
      <c r="I3078" s="14"/>
      <c r="J3078" s="14"/>
      <c r="K3078" s="14"/>
      <c r="L3078" s="15"/>
      <c r="M3078" s="15"/>
      <c r="N3078" s="15"/>
      <c r="O3078" s="15"/>
      <c r="P3078" s="15"/>
      <c r="Q3078" s="14"/>
      <c r="R3078" s="14"/>
      <c r="S3078" s="14"/>
      <c r="T3078" s="14"/>
      <c r="U3078" s="15"/>
      <c r="V3078" s="14"/>
      <c r="W3078" s="14"/>
      <c r="X3078" s="14"/>
      <c r="Y3078" s="14"/>
      <c r="Z3078" s="14"/>
    </row>
    <row r="3079" spans="1:26" ht="13.2">
      <c r="A3079" s="13"/>
      <c r="B3079" s="14"/>
      <c r="C3079" s="14"/>
      <c r="D3079" s="14"/>
      <c r="E3079" s="14"/>
      <c r="F3079" s="14"/>
      <c r="G3079" s="14"/>
      <c r="H3079" s="14"/>
      <c r="I3079" s="14"/>
      <c r="J3079" s="14"/>
      <c r="K3079" s="14"/>
      <c r="L3079" s="15"/>
      <c r="M3079" s="15"/>
      <c r="N3079" s="15"/>
      <c r="O3079" s="15"/>
      <c r="P3079" s="15"/>
      <c r="Q3079" s="14"/>
      <c r="R3079" s="14"/>
      <c r="S3079" s="14"/>
      <c r="T3079" s="14"/>
      <c r="U3079" s="15"/>
      <c r="V3079" s="14"/>
      <c r="W3079" s="14"/>
      <c r="X3079" s="14"/>
      <c r="Y3079" s="14"/>
      <c r="Z3079" s="14"/>
    </row>
    <row r="3080" spans="1:26" ht="13.2">
      <c r="A3080" s="13"/>
      <c r="B3080" s="14"/>
      <c r="C3080" s="14"/>
      <c r="D3080" s="14"/>
      <c r="E3080" s="14"/>
      <c r="F3080" s="14"/>
      <c r="G3080" s="14"/>
      <c r="H3080" s="14"/>
      <c r="I3080" s="14"/>
      <c r="J3080" s="14"/>
      <c r="K3080" s="14"/>
      <c r="L3080" s="15"/>
      <c r="M3080" s="15"/>
      <c r="N3080" s="15"/>
      <c r="O3080" s="15"/>
      <c r="P3080" s="15"/>
      <c r="Q3080" s="14"/>
      <c r="R3080" s="14"/>
      <c r="S3080" s="14"/>
      <c r="T3080" s="14"/>
      <c r="U3080" s="15"/>
      <c r="V3080" s="14"/>
      <c r="W3080" s="14"/>
      <c r="X3080" s="14"/>
      <c r="Y3080" s="14"/>
      <c r="Z3080" s="14"/>
    </row>
    <row r="3081" spans="1:26" ht="13.2">
      <c r="A3081" s="13"/>
      <c r="B3081" s="14"/>
      <c r="C3081" s="14"/>
      <c r="D3081" s="14"/>
      <c r="E3081" s="14"/>
      <c r="F3081" s="14"/>
      <c r="G3081" s="14"/>
      <c r="H3081" s="14"/>
      <c r="I3081" s="14"/>
      <c r="J3081" s="14"/>
      <c r="K3081" s="14"/>
      <c r="L3081" s="15"/>
      <c r="M3081" s="15"/>
      <c r="N3081" s="15"/>
      <c r="O3081" s="15"/>
      <c r="P3081" s="15"/>
      <c r="Q3081" s="14"/>
      <c r="R3081" s="14"/>
      <c r="S3081" s="14"/>
      <c r="T3081" s="14"/>
      <c r="U3081" s="15"/>
      <c r="V3081" s="14"/>
      <c r="W3081" s="14"/>
      <c r="X3081" s="14"/>
      <c r="Y3081" s="14"/>
      <c r="Z3081" s="14"/>
    </row>
    <row r="3082" spans="1:26" ht="13.2">
      <c r="A3082" s="13"/>
      <c r="B3082" s="14"/>
      <c r="C3082" s="14"/>
      <c r="D3082" s="14"/>
      <c r="E3082" s="14"/>
      <c r="F3082" s="14"/>
      <c r="G3082" s="14"/>
      <c r="H3082" s="14"/>
      <c r="I3082" s="14"/>
      <c r="J3082" s="14"/>
      <c r="K3082" s="14"/>
      <c r="L3082" s="15"/>
      <c r="M3082" s="15"/>
      <c r="N3082" s="15"/>
      <c r="O3082" s="15"/>
      <c r="P3082" s="15"/>
      <c r="Q3082" s="14"/>
      <c r="R3082" s="14"/>
      <c r="S3082" s="14"/>
      <c r="T3082" s="14"/>
      <c r="U3082" s="15"/>
      <c r="V3082" s="14"/>
      <c r="W3082" s="14"/>
      <c r="X3082" s="14"/>
      <c r="Y3082" s="14"/>
      <c r="Z3082" s="14"/>
    </row>
    <row r="3083" spans="1:26" ht="13.2">
      <c r="A3083" s="13"/>
      <c r="B3083" s="14"/>
      <c r="C3083" s="14"/>
      <c r="D3083" s="14"/>
      <c r="E3083" s="14"/>
      <c r="F3083" s="14"/>
      <c r="G3083" s="14"/>
      <c r="H3083" s="14"/>
      <c r="I3083" s="14"/>
      <c r="J3083" s="14"/>
      <c r="K3083" s="14"/>
      <c r="L3083" s="15"/>
      <c r="M3083" s="15"/>
      <c r="N3083" s="15"/>
      <c r="O3083" s="15"/>
      <c r="P3083" s="15"/>
      <c r="Q3083" s="14"/>
      <c r="R3083" s="14"/>
      <c r="S3083" s="14"/>
      <c r="T3083" s="14"/>
      <c r="U3083" s="15"/>
      <c r="V3083" s="14"/>
      <c r="W3083" s="14"/>
      <c r="X3083" s="14"/>
      <c r="Y3083" s="14"/>
      <c r="Z3083" s="14"/>
    </row>
    <row r="3084" spans="1:26" ht="13.2">
      <c r="A3084" s="13"/>
      <c r="B3084" s="14"/>
      <c r="C3084" s="14"/>
      <c r="D3084" s="14"/>
      <c r="E3084" s="14"/>
      <c r="F3084" s="14"/>
      <c r="G3084" s="14"/>
      <c r="H3084" s="14"/>
      <c r="I3084" s="14"/>
      <c r="J3084" s="14"/>
      <c r="K3084" s="14"/>
      <c r="L3084" s="15"/>
      <c r="M3084" s="15"/>
      <c r="N3084" s="15"/>
      <c r="O3084" s="15"/>
      <c r="P3084" s="15"/>
      <c r="Q3084" s="14"/>
      <c r="R3084" s="14"/>
      <c r="S3084" s="14"/>
      <c r="T3084" s="14"/>
      <c r="U3084" s="15"/>
      <c r="V3084" s="14"/>
      <c r="W3084" s="14"/>
      <c r="X3084" s="14"/>
      <c r="Y3084" s="14"/>
      <c r="Z3084" s="14"/>
    </row>
    <row r="3085" spans="1:26" ht="13.2">
      <c r="A3085" s="13"/>
      <c r="B3085" s="14"/>
      <c r="C3085" s="14"/>
      <c r="D3085" s="14"/>
      <c r="E3085" s="14"/>
      <c r="F3085" s="14"/>
      <c r="G3085" s="14"/>
      <c r="H3085" s="14"/>
      <c r="I3085" s="14"/>
      <c r="J3085" s="14"/>
      <c r="K3085" s="14"/>
      <c r="L3085" s="15"/>
      <c r="M3085" s="15"/>
      <c r="N3085" s="15"/>
      <c r="O3085" s="15"/>
      <c r="P3085" s="15"/>
      <c r="Q3085" s="14"/>
      <c r="R3085" s="14"/>
      <c r="S3085" s="14"/>
      <c r="T3085" s="14"/>
      <c r="U3085" s="15"/>
      <c r="V3085" s="14"/>
      <c r="W3085" s="14"/>
      <c r="X3085" s="14"/>
      <c r="Y3085" s="14"/>
      <c r="Z3085" s="14"/>
    </row>
    <row r="3086" spans="1:26" ht="13.2">
      <c r="A3086" s="13"/>
      <c r="B3086" s="14"/>
      <c r="C3086" s="14"/>
      <c r="D3086" s="14"/>
      <c r="E3086" s="14"/>
      <c r="F3086" s="14"/>
      <c r="G3086" s="14"/>
      <c r="H3086" s="14"/>
      <c r="I3086" s="14"/>
      <c r="J3086" s="14"/>
      <c r="K3086" s="14"/>
      <c r="L3086" s="15"/>
      <c r="M3086" s="15"/>
      <c r="N3086" s="15"/>
      <c r="O3086" s="15"/>
      <c r="P3086" s="15"/>
      <c r="Q3086" s="14"/>
      <c r="R3086" s="14"/>
      <c r="S3086" s="14"/>
      <c r="T3086" s="14"/>
      <c r="U3086" s="15"/>
      <c r="V3086" s="14"/>
      <c r="W3086" s="14"/>
      <c r="X3086" s="14"/>
      <c r="Y3086" s="14"/>
      <c r="Z3086" s="14"/>
    </row>
    <row r="3087" spans="1:26" ht="13.2">
      <c r="A3087" s="13"/>
      <c r="B3087" s="14"/>
      <c r="C3087" s="14"/>
      <c r="D3087" s="14"/>
      <c r="E3087" s="14"/>
      <c r="F3087" s="14"/>
      <c r="G3087" s="14"/>
      <c r="H3087" s="14"/>
      <c r="I3087" s="14"/>
      <c r="J3087" s="14"/>
      <c r="K3087" s="14"/>
      <c r="L3087" s="15"/>
      <c r="M3087" s="15"/>
      <c r="N3087" s="15"/>
      <c r="O3087" s="15"/>
      <c r="P3087" s="15"/>
      <c r="Q3087" s="14"/>
      <c r="R3087" s="14"/>
      <c r="S3087" s="14"/>
      <c r="T3087" s="14"/>
      <c r="U3087" s="15"/>
      <c r="V3087" s="14"/>
      <c r="W3087" s="14"/>
      <c r="X3087" s="14"/>
      <c r="Y3087" s="14"/>
      <c r="Z3087" s="14"/>
    </row>
    <row r="3088" spans="1:26" ht="13.2">
      <c r="A3088" s="13"/>
      <c r="B3088" s="14"/>
      <c r="C3088" s="14"/>
      <c r="D3088" s="14"/>
      <c r="E3088" s="14"/>
      <c r="F3088" s="14"/>
      <c r="G3088" s="14"/>
      <c r="H3088" s="14"/>
      <c r="I3088" s="14"/>
      <c r="J3088" s="14"/>
      <c r="K3088" s="14"/>
      <c r="L3088" s="15"/>
      <c r="M3088" s="15"/>
      <c r="N3088" s="15"/>
      <c r="O3088" s="15"/>
      <c r="P3088" s="15"/>
      <c r="Q3088" s="14"/>
      <c r="R3088" s="14"/>
      <c r="S3088" s="14"/>
      <c r="T3088" s="14"/>
      <c r="U3088" s="15"/>
      <c r="V3088" s="14"/>
      <c r="W3088" s="14"/>
      <c r="X3088" s="14"/>
      <c r="Y3088" s="14"/>
      <c r="Z3088" s="14"/>
    </row>
    <row r="3089" spans="1:26" ht="13.2">
      <c r="A3089" s="13"/>
      <c r="B3089" s="14"/>
      <c r="C3089" s="14"/>
      <c r="D3089" s="14"/>
      <c r="E3089" s="14"/>
      <c r="F3089" s="14"/>
      <c r="G3089" s="14"/>
      <c r="H3089" s="14"/>
      <c r="I3089" s="14"/>
      <c r="J3089" s="14"/>
      <c r="K3089" s="14"/>
      <c r="L3089" s="15"/>
      <c r="M3089" s="15"/>
      <c r="N3089" s="15"/>
      <c r="O3089" s="15"/>
      <c r="P3089" s="15"/>
      <c r="Q3089" s="14"/>
      <c r="R3089" s="14"/>
      <c r="S3089" s="14"/>
      <c r="T3089" s="14"/>
      <c r="U3089" s="15"/>
      <c r="V3089" s="14"/>
      <c r="W3089" s="14"/>
      <c r="X3089" s="14"/>
      <c r="Y3089" s="14"/>
      <c r="Z3089" s="14"/>
    </row>
    <row r="3090" spans="1:26" ht="13.2">
      <c r="A3090" s="13"/>
      <c r="B3090" s="14"/>
      <c r="C3090" s="14"/>
      <c r="D3090" s="14"/>
      <c r="E3090" s="14"/>
      <c r="F3090" s="14"/>
      <c r="G3090" s="14"/>
      <c r="H3090" s="14"/>
      <c r="I3090" s="14"/>
      <c r="J3090" s="14"/>
      <c r="K3090" s="14"/>
      <c r="L3090" s="15"/>
      <c r="M3090" s="15"/>
      <c r="N3090" s="15"/>
      <c r="O3090" s="15"/>
      <c r="P3090" s="15"/>
      <c r="Q3090" s="14"/>
      <c r="R3090" s="14"/>
      <c r="S3090" s="14"/>
      <c r="T3090" s="14"/>
      <c r="U3090" s="15"/>
      <c r="V3090" s="14"/>
      <c r="W3090" s="14"/>
      <c r="X3090" s="14"/>
      <c r="Y3090" s="14"/>
      <c r="Z3090" s="14"/>
    </row>
    <row r="3091" spans="1:26" ht="13.2">
      <c r="A3091" s="13"/>
      <c r="B3091" s="14"/>
      <c r="C3091" s="14"/>
      <c r="D3091" s="14"/>
      <c r="E3091" s="14"/>
      <c r="F3091" s="14"/>
      <c r="G3091" s="14"/>
      <c r="H3091" s="14"/>
      <c r="I3091" s="14"/>
      <c r="J3091" s="14"/>
      <c r="K3091" s="14"/>
      <c r="L3091" s="15"/>
      <c r="M3091" s="15"/>
      <c r="N3091" s="15"/>
      <c r="O3091" s="15"/>
      <c r="P3091" s="15"/>
      <c r="Q3091" s="14"/>
      <c r="R3091" s="14"/>
      <c r="S3091" s="14"/>
      <c r="T3091" s="14"/>
      <c r="U3091" s="15"/>
      <c r="V3091" s="14"/>
      <c r="W3091" s="14"/>
      <c r="X3091" s="14"/>
      <c r="Y3091" s="14"/>
      <c r="Z3091" s="14"/>
    </row>
    <row r="3092" spans="1:26" ht="13.2">
      <c r="A3092" s="13"/>
      <c r="B3092" s="14"/>
      <c r="C3092" s="14"/>
      <c r="D3092" s="14"/>
      <c r="E3092" s="14"/>
      <c r="F3092" s="14"/>
      <c r="G3092" s="14"/>
      <c r="H3092" s="14"/>
      <c r="I3092" s="14"/>
      <c r="J3092" s="14"/>
      <c r="K3092" s="14"/>
      <c r="L3092" s="15"/>
      <c r="M3092" s="15"/>
      <c r="N3092" s="15"/>
      <c r="O3092" s="15"/>
      <c r="P3092" s="15"/>
      <c r="Q3092" s="14"/>
      <c r="R3092" s="14"/>
      <c r="S3092" s="14"/>
      <c r="T3092" s="14"/>
      <c r="U3092" s="15"/>
      <c r="V3092" s="14"/>
      <c r="W3092" s="14"/>
      <c r="X3092" s="14"/>
      <c r="Y3092" s="14"/>
      <c r="Z3092" s="14"/>
    </row>
    <row r="3093" spans="1:26" ht="13.2">
      <c r="A3093" s="13"/>
      <c r="B3093" s="14"/>
      <c r="C3093" s="14"/>
      <c r="D3093" s="14"/>
      <c r="E3093" s="14"/>
      <c r="F3093" s="14"/>
      <c r="G3093" s="14"/>
      <c r="H3093" s="14"/>
      <c r="I3093" s="14"/>
      <c r="J3093" s="14"/>
      <c r="K3093" s="14"/>
      <c r="L3093" s="15"/>
      <c r="M3093" s="15"/>
      <c r="N3093" s="15"/>
      <c r="O3093" s="15"/>
      <c r="P3093" s="15"/>
      <c r="Q3093" s="14"/>
      <c r="R3093" s="14"/>
      <c r="S3093" s="14"/>
      <c r="T3093" s="14"/>
      <c r="U3093" s="15"/>
      <c r="V3093" s="14"/>
      <c r="W3093" s="14"/>
      <c r="X3093" s="14"/>
      <c r="Y3093" s="14"/>
      <c r="Z3093" s="14"/>
    </row>
    <row r="3094" spans="1:26" ht="13.2">
      <c r="A3094" s="13"/>
      <c r="B3094" s="14"/>
      <c r="C3094" s="14"/>
      <c r="D3094" s="14"/>
      <c r="E3094" s="14"/>
      <c r="F3094" s="14"/>
      <c r="G3094" s="14"/>
      <c r="H3094" s="14"/>
      <c r="I3094" s="14"/>
      <c r="J3094" s="14"/>
      <c r="K3094" s="14"/>
      <c r="L3094" s="15"/>
      <c r="M3094" s="15"/>
      <c r="N3094" s="15"/>
      <c r="O3094" s="15"/>
      <c r="P3094" s="15"/>
      <c r="Q3094" s="14"/>
      <c r="R3094" s="14"/>
      <c r="S3094" s="14"/>
      <c r="T3094" s="14"/>
      <c r="U3094" s="15"/>
      <c r="V3094" s="14"/>
      <c r="W3094" s="14"/>
      <c r="X3094" s="14"/>
      <c r="Y3094" s="14"/>
      <c r="Z3094" s="14"/>
    </row>
    <row r="3095" spans="1:26" ht="13.2">
      <c r="A3095" s="13"/>
      <c r="B3095" s="14"/>
      <c r="C3095" s="14"/>
      <c r="D3095" s="14"/>
      <c r="E3095" s="14"/>
      <c r="F3095" s="14"/>
      <c r="G3095" s="14"/>
      <c r="H3095" s="14"/>
      <c r="I3095" s="14"/>
      <c r="J3095" s="14"/>
      <c r="K3095" s="14"/>
      <c r="L3095" s="15"/>
      <c r="M3095" s="15"/>
      <c r="N3095" s="15"/>
      <c r="O3095" s="15"/>
      <c r="P3095" s="15"/>
      <c r="Q3095" s="14"/>
      <c r="R3095" s="14"/>
      <c r="S3095" s="14"/>
      <c r="T3095" s="14"/>
      <c r="U3095" s="15"/>
      <c r="V3095" s="14"/>
      <c r="W3095" s="14"/>
      <c r="X3095" s="14"/>
      <c r="Y3095" s="14"/>
      <c r="Z3095" s="14"/>
    </row>
    <row r="3096" spans="1:26" ht="13.2">
      <c r="A3096" s="13"/>
      <c r="B3096" s="14"/>
      <c r="C3096" s="14"/>
      <c r="D3096" s="14"/>
      <c r="E3096" s="14"/>
      <c r="F3096" s="14"/>
      <c r="G3096" s="14"/>
      <c r="H3096" s="14"/>
      <c r="I3096" s="14"/>
      <c r="J3096" s="14"/>
      <c r="K3096" s="14"/>
      <c r="L3096" s="15"/>
      <c r="M3096" s="15"/>
      <c r="N3096" s="15"/>
      <c r="O3096" s="15"/>
      <c r="P3096" s="15"/>
      <c r="Q3096" s="14"/>
      <c r="R3096" s="14"/>
      <c r="S3096" s="14"/>
      <c r="T3096" s="14"/>
      <c r="U3096" s="15"/>
      <c r="V3096" s="14"/>
      <c r="W3096" s="14"/>
      <c r="X3096" s="14"/>
      <c r="Y3096" s="14"/>
      <c r="Z3096" s="14"/>
    </row>
    <row r="3097" spans="1:26" ht="13.2">
      <c r="A3097" s="13"/>
      <c r="B3097" s="14"/>
      <c r="C3097" s="14"/>
      <c r="D3097" s="14"/>
      <c r="E3097" s="14"/>
      <c r="F3097" s="14"/>
      <c r="G3097" s="14"/>
      <c r="H3097" s="14"/>
      <c r="I3097" s="14"/>
      <c r="J3097" s="14"/>
      <c r="K3097" s="14"/>
      <c r="L3097" s="15"/>
      <c r="M3097" s="15"/>
      <c r="N3097" s="15"/>
      <c r="O3097" s="15"/>
      <c r="P3097" s="15"/>
      <c r="Q3097" s="14"/>
      <c r="R3097" s="14"/>
      <c r="S3097" s="14"/>
      <c r="T3097" s="14"/>
      <c r="U3097" s="15"/>
      <c r="V3097" s="14"/>
      <c r="W3097" s="14"/>
      <c r="X3097" s="14"/>
      <c r="Y3097" s="14"/>
      <c r="Z3097" s="14"/>
    </row>
    <row r="3098" spans="1:26" ht="13.2">
      <c r="A3098" s="13"/>
      <c r="B3098" s="14"/>
      <c r="C3098" s="14"/>
      <c r="D3098" s="14"/>
      <c r="E3098" s="14"/>
      <c r="F3098" s="14"/>
      <c r="G3098" s="14"/>
      <c r="H3098" s="14"/>
      <c r="I3098" s="14"/>
      <c r="J3098" s="14"/>
      <c r="K3098" s="14"/>
      <c r="L3098" s="15"/>
      <c r="M3098" s="15"/>
      <c r="N3098" s="15"/>
      <c r="O3098" s="15"/>
      <c r="P3098" s="15"/>
      <c r="Q3098" s="14"/>
      <c r="R3098" s="14"/>
      <c r="S3098" s="14"/>
      <c r="T3098" s="14"/>
      <c r="U3098" s="15"/>
      <c r="V3098" s="14"/>
      <c r="W3098" s="14"/>
      <c r="X3098" s="14"/>
      <c r="Y3098" s="14"/>
      <c r="Z3098" s="14"/>
    </row>
    <row r="3099" spans="1:26" ht="13.2">
      <c r="A3099" s="13"/>
      <c r="B3099" s="14"/>
      <c r="C3099" s="14"/>
      <c r="D3099" s="14"/>
      <c r="E3099" s="14"/>
      <c r="F3099" s="14"/>
      <c r="G3099" s="14"/>
      <c r="H3099" s="14"/>
      <c r="I3099" s="14"/>
      <c r="J3099" s="14"/>
      <c r="K3099" s="14"/>
      <c r="L3099" s="15"/>
      <c r="M3099" s="15"/>
      <c r="N3099" s="15"/>
      <c r="O3099" s="15"/>
      <c r="P3099" s="15"/>
      <c r="Q3099" s="14"/>
      <c r="R3099" s="14"/>
      <c r="S3099" s="14"/>
      <c r="T3099" s="14"/>
      <c r="U3099" s="15"/>
      <c r="V3099" s="14"/>
      <c r="W3099" s="14"/>
      <c r="X3099" s="14"/>
      <c r="Y3099" s="14"/>
      <c r="Z3099" s="14"/>
    </row>
    <row r="3100" spans="1:26" ht="13.2">
      <c r="A3100" s="13"/>
      <c r="B3100" s="14"/>
      <c r="C3100" s="14"/>
      <c r="D3100" s="14"/>
      <c r="E3100" s="14"/>
      <c r="F3100" s="14"/>
      <c r="G3100" s="14"/>
      <c r="H3100" s="14"/>
      <c r="I3100" s="14"/>
      <c r="J3100" s="14"/>
      <c r="K3100" s="14"/>
      <c r="L3100" s="15"/>
      <c r="M3100" s="15"/>
      <c r="N3100" s="15"/>
      <c r="O3100" s="15"/>
      <c r="P3100" s="15"/>
      <c r="Q3100" s="14"/>
      <c r="R3100" s="14"/>
      <c r="S3100" s="14"/>
      <c r="T3100" s="14"/>
      <c r="U3100" s="15"/>
      <c r="V3100" s="14"/>
      <c r="W3100" s="14"/>
      <c r="X3100" s="14"/>
      <c r="Y3100" s="14"/>
      <c r="Z3100" s="14"/>
    </row>
    <row r="3101" spans="1:26" ht="13.2">
      <c r="A3101" s="13"/>
      <c r="B3101" s="14"/>
      <c r="C3101" s="14"/>
      <c r="D3101" s="14"/>
      <c r="E3101" s="14"/>
      <c r="F3101" s="14"/>
      <c r="G3101" s="14"/>
      <c r="H3101" s="14"/>
      <c r="I3101" s="14"/>
      <c r="J3101" s="14"/>
      <c r="K3101" s="14"/>
      <c r="L3101" s="15"/>
      <c r="M3101" s="15"/>
      <c r="N3101" s="15"/>
      <c r="O3101" s="15"/>
      <c r="P3101" s="15"/>
      <c r="Q3101" s="14"/>
      <c r="R3101" s="14"/>
      <c r="S3101" s="14"/>
      <c r="T3101" s="14"/>
      <c r="U3101" s="15"/>
      <c r="V3101" s="14"/>
      <c r="W3101" s="14"/>
      <c r="X3101" s="14"/>
      <c r="Y3101" s="14"/>
      <c r="Z3101" s="14"/>
    </row>
    <row r="3102" spans="1:26" ht="13.2">
      <c r="A3102" s="13"/>
      <c r="B3102" s="14"/>
      <c r="C3102" s="14"/>
      <c r="D3102" s="14"/>
      <c r="E3102" s="14"/>
      <c r="F3102" s="14"/>
      <c r="G3102" s="14"/>
      <c r="H3102" s="14"/>
      <c r="I3102" s="14"/>
      <c r="J3102" s="14"/>
      <c r="K3102" s="14"/>
      <c r="L3102" s="15"/>
      <c r="M3102" s="15"/>
      <c r="N3102" s="15"/>
      <c r="O3102" s="15"/>
      <c r="P3102" s="15"/>
      <c r="Q3102" s="14"/>
      <c r="R3102" s="14"/>
      <c r="S3102" s="14"/>
      <c r="T3102" s="14"/>
      <c r="U3102" s="15"/>
      <c r="V3102" s="14"/>
      <c r="W3102" s="14"/>
      <c r="X3102" s="14"/>
      <c r="Y3102" s="14"/>
      <c r="Z3102" s="14"/>
    </row>
    <row r="3103" spans="1:26" ht="13.2">
      <c r="A3103" s="13"/>
      <c r="B3103" s="14"/>
      <c r="C3103" s="14"/>
      <c r="D3103" s="14"/>
      <c r="E3103" s="14"/>
      <c r="F3103" s="14"/>
      <c r="G3103" s="14"/>
      <c r="H3103" s="14"/>
      <c r="I3103" s="14"/>
      <c r="J3103" s="14"/>
      <c r="K3103" s="14"/>
      <c r="L3103" s="15"/>
      <c r="M3103" s="15"/>
      <c r="N3103" s="15"/>
      <c r="O3103" s="15"/>
      <c r="P3103" s="15"/>
      <c r="Q3103" s="14"/>
      <c r="R3103" s="14"/>
      <c r="S3103" s="14"/>
      <c r="T3103" s="14"/>
      <c r="U3103" s="15"/>
      <c r="V3103" s="14"/>
      <c r="W3103" s="14"/>
      <c r="X3103" s="14"/>
      <c r="Y3103" s="14"/>
      <c r="Z3103" s="14"/>
    </row>
    <row r="3104" spans="1:26" ht="13.2">
      <c r="A3104" s="13"/>
      <c r="B3104" s="14"/>
      <c r="C3104" s="14"/>
      <c r="D3104" s="14"/>
      <c r="E3104" s="14"/>
      <c r="F3104" s="14"/>
      <c r="G3104" s="14"/>
      <c r="H3104" s="14"/>
      <c r="I3104" s="14"/>
      <c r="J3104" s="14"/>
      <c r="K3104" s="14"/>
      <c r="L3104" s="15"/>
      <c r="M3104" s="15"/>
      <c r="N3104" s="15"/>
      <c r="O3104" s="15"/>
      <c r="P3104" s="15"/>
      <c r="Q3104" s="14"/>
      <c r="R3104" s="14"/>
      <c r="S3104" s="14"/>
      <c r="T3104" s="14"/>
      <c r="U3104" s="15"/>
      <c r="V3104" s="14"/>
      <c r="W3104" s="14"/>
      <c r="X3104" s="14"/>
      <c r="Y3104" s="14"/>
      <c r="Z3104" s="14"/>
    </row>
    <row r="3105" spans="1:26" ht="13.2">
      <c r="A3105" s="13"/>
      <c r="B3105" s="14"/>
      <c r="C3105" s="14"/>
      <c r="D3105" s="14"/>
      <c r="E3105" s="14"/>
      <c r="F3105" s="14"/>
      <c r="G3105" s="14"/>
      <c r="H3105" s="14"/>
      <c r="I3105" s="14"/>
      <c r="J3105" s="14"/>
      <c r="K3105" s="14"/>
      <c r="L3105" s="15"/>
      <c r="M3105" s="15"/>
      <c r="N3105" s="15"/>
      <c r="O3105" s="15"/>
      <c r="P3105" s="15"/>
      <c r="Q3105" s="14"/>
      <c r="R3105" s="14"/>
      <c r="S3105" s="14"/>
      <c r="T3105" s="14"/>
      <c r="U3105" s="15"/>
      <c r="V3105" s="14"/>
      <c r="W3105" s="14"/>
      <c r="X3105" s="14"/>
      <c r="Y3105" s="14"/>
      <c r="Z3105" s="14"/>
    </row>
    <row r="3106" spans="1:26" ht="13.2">
      <c r="A3106" s="13"/>
      <c r="B3106" s="14"/>
      <c r="C3106" s="14"/>
      <c r="D3106" s="14"/>
      <c r="E3106" s="14"/>
      <c r="F3106" s="14"/>
      <c r="G3106" s="14"/>
      <c r="H3106" s="14"/>
      <c r="I3106" s="14"/>
      <c r="J3106" s="14"/>
      <c r="K3106" s="14"/>
      <c r="L3106" s="15"/>
      <c r="M3106" s="15"/>
      <c r="N3106" s="15"/>
      <c r="O3106" s="15"/>
      <c r="P3106" s="15"/>
      <c r="Q3106" s="14"/>
      <c r="R3106" s="14"/>
      <c r="S3106" s="14"/>
      <c r="T3106" s="14"/>
      <c r="U3106" s="15"/>
      <c r="V3106" s="14"/>
      <c r="W3106" s="14"/>
      <c r="X3106" s="14"/>
      <c r="Y3106" s="14"/>
      <c r="Z3106" s="14"/>
    </row>
    <row r="3107" spans="1:26" ht="13.2">
      <c r="A3107" s="13"/>
      <c r="B3107" s="14"/>
      <c r="C3107" s="14"/>
      <c r="D3107" s="14"/>
      <c r="E3107" s="14"/>
      <c r="F3107" s="14"/>
      <c r="G3107" s="14"/>
      <c r="H3107" s="14"/>
      <c r="I3107" s="14"/>
      <c r="J3107" s="14"/>
      <c r="K3107" s="14"/>
      <c r="L3107" s="15"/>
      <c r="M3107" s="15"/>
      <c r="N3107" s="15"/>
      <c r="O3107" s="15"/>
      <c r="P3107" s="15"/>
      <c r="Q3107" s="14"/>
      <c r="R3107" s="14"/>
      <c r="S3107" s="14"/>
      <c r="T3107" s="14"/>
      <c r="U3107" s="15"/>
      <c r="V3107" s="14"/>
      <c r="W3107" s="14"/>
      <c r="X3107" s="14"/>
      <c r="Y3107" s="14"/>
      <c r="Z3107" s="14"/>
    </row>
    <row r="3108" spans="1:26" ht="13.2">
      <c r="A3108" s="13"/>
      <c r="B3108" s="14"/>
      <c r="C3108" s="14"/>
      <c r="D3108" s="14"/>
      <c r="E3108" s="14"/>
      <c r="F3108" s="14"/>
      <c r="G3108" s="14"/>
      <c r="H3108" s="14"/>
      <c r="I3108" s="14"/>
      <c r="J3108" s="14"/>
      <c r="K3108" s="14"/>
      <c r="L3108" s="15"/>
      <c r="M3108" s="15"/>
      <c r="N3108" s="15"/>
      <c r="O3108" s="15"/>
      <c r="P3108" s="15"/>
      <c r="Q3108" s="14"/>
      <c r="R3108" s="14"/>
      <c r="S3108" s="14"/>
      <c r="T3108" s="14"/>
      <c r="U3108" s="15"/>
      <c r="V3108" s="14"/>
      <c r="W3108" s="14"/>
      <c r="X3108" s="14"/>
      <c r="Y3108" s="14"/>
      <c r="Z3108" s="14"/>
    </row>
    <row r="3109" spans="1:26" ht="13.2">
      <c r="A3109" s="13"/>
      <c r="B3109" s="14"/>
      <c r="C3109" s="14"/>
      <c r="D3109" s="14"/>
      <c r="E3109" s="14"/>
      <c r="F3109" s="14"/>
      <c r="G3109" s="14"/>
      <c r="H3109" s="14"/>
      <c r="I3109" s="14"/>
      <c r="J3109" s="14"/>
      <c r="K3109" s="14"/>
      <c r="L3109" s="15"/>
      <c r="M3109" s="15"/>
      <c r="N3109" s="15"/>
      <c r="O3109" s="15"/>
      <c r="P3109" s="15"/>
      <c r="Q3109" s="14"/>
      <c r="R3109" s="14"/>
      <c r="S3109" s="14"/>
      <c r="T3109" s="14"/>
      <c r="U3109" s="15"/>
      <c r="V3109" s="14"/>
      <c r="W3109" s="14"/>
      <c r="X3109" s="14"/>
      <c r="Y3109" s="14"/>
      <c r="Z3109" s="14"/>
    </row>
    <row r="3110" spans="1:26" ht="13.2">
      <c r="A3110" s="13"/>
      <c r="B3110" s="14"/>
      <c r="C3110" s="14"/>
      <c r="D3110" s="14"/>
      <c r="E3110" s="14"/>
      <c r="F3110" s="14"/>
      <c r="G3110" s="14"/>
      <c r="H3110" s="14"/>
      <c r="I3110" s="14"/>
      <c r="J3110" s="14"/>
      <c r="K3110" s="14"/>
      <c r="L3110" s="15"/>
      <c r="M3110" s="15"/>
      <c r="N3110" s="15"/>
      <c r="O3110" s="15"/>
      <c r="P3110" s="15"/>
      <c r="Q3110" s="14"/>
      <c r="R3110" s="14"/>
      <c r="S3110" s="14"/>
      <c r="T3110" s="14"/>
      <c r="U3110" s="15"/>
      <c r="V3110" s="14"/>
      <c r="W3110" s="14"/>
      <c r="X3110" s="14"/>
      <c r="Y3110" s="14"/>
      <c r="Z3110" s="14"/>
    </row>
    <row r="3111" spans="1:26" ht="13.2">
      <c r="A3111" s="13"/>
      <c r="B3111" s="14"/>
      <c r="C3111" s="14"/>
      <c r="D3111" s="14"/>
      <c r="E3111" s="14"/>
      <c r="F3111" s="14"/>
      <c r="G3111" s="14"/>
      <c r="H3111" s="14"/>
      <c r="I3111" s="14"/>
      <c r="J3111" s="14"/>
      <c r="K3111" s="14"/>
      <c r="L3111" s="15"/>
      <c r="M3111" s="15"/>
      <c r="N3111" s="15"/>
      <c r="O3111" s="15"/>
      <c r="P3111" s="15"/>
      <c r="Q3111" s="14"/>
      <c r="R3111" s="14"/>
      <c r="S3111" s="14"/>
      <c r="T3111" s="14"/>
      <c r="U3111" s="15"/>
      <c r="V3111" s="14"/>
      <c r="W3111" s="14"/>
      <c r="X3111" s="14"/>
      <c r="Y3111" s="14"/>
      <c r="Z3111" s="14"/>
    </row>
    <row r="3112" spans="1:26" ht="13.2">
      <c r="A3112" s="13"/>
      <c r="B3112" s="14"/>
      <c r="C3112" s="14"/>
      <c r="D3112" s="14"/>
      <c r="E3112" s="14"/>
      <c r="F3112" s="14"/>
      <c r="G3112" s="14"/>
      <c r="H3112" s="14"/>
      <c r="I3112" s="14"/>
      <c r="J3112" s="14"/>
      <c r="K3112" s="14"/>
      <c r="L3112" s="15"/>
      <c r="M3112" s="15"/>
      <c r="N3112" s="15"/>
      <c r="O3112" s="15"/>
      <c r="P3112" s="15"/>
      <c r="Q3112" s="14"/>
      <c r="R3112" s="14"/>
      <c r="S3112" s="14"/>
      <c r="T3112" s="14"/>
      <c r="U3112" s="15"/>
      <c r="V3112" s="14"/>
      <c r="W3112" s="14"/>
      <c r="X3112" s="14"/>
      <c r="Y3112" s="14"/>
      <c r="Z3112" s="14"/>
    </row>
    <row r="3113" spans="1:26" ht="13.2">
      <c r="A3113" s="13"/>
      <c r="B3113" s="14"/>
      <c r="C3113" s="14"/>
      <c r="D3113" s="14"/>
      <c r="E3113" s="14"/>
      <c r="F3113" s="14"/>
      <c r="G3113" s="14"/>
      <c r="H3113" s="14"/>
      <c r="I3113" s="14"/>
      <c r="J3113" s="14"/>
      <c r="K3113" s="14"/>
      <c r="L3113" s="15"/>
      <c r="M3113" s="15"/>
      <c r="N3113" s="15"/>
      <c r="O3113" s="15"/>
      <c r="P3113" s="15"/>
      <c r="Q3113" s="14"/>
      <c r="R3113" s="14"/>
      <c r="S3113" s="14"/>
      <c r="T3113" s="14"/>
      <c r="U3113" s="15"/>
      <c r="V3113" s="14"/>
      <c r="W3113" s="14"/>
      <c r="X3113" s="14"/>
      <c r="Y3113" s="14"/>
      <c r="Z3113" s="14"/>
    </row>
    <row r="3114" spans="1:26" ht="13.2">
      <c r="A3114" s="13"/>
      <c r="B3114" s="14"/>
      <c r="C3114" s="14"/>
      <c r="D3114" s="14"/>
      <c r="E3114" s="14"/>
      <c r="F3114" s="14"/>
      <c r="G3114" s="14"/>
      <c r="H3114" s="14"/>
      <c r="I3114" s="14"/>
      <c r="J3114" s="14"/>
      <c r="K3114" s="14"/>
      <c r="L3114" s="15"/>
      <c r="M3114" s="15"/>
      <c r="N3114" s="15"/>
      <c r="O3114" s="15"/>
      <c r="P3114" s="15"/>
      <c r="Q3114" s="14"/>
      <c r="R3114" s="14"/>
      <c r="S3114" s="14"/>
      <c r="T3114" s="14"/>
      <c r="U3114" s="15"/>
      <c r="V3114" s="14"/>
      <c r="W3114" s="14"/>
      <c r="X3114" s="14"/>
      <c r="Y3114" s="14"/>
      <c r="Z3114" s="14"/>
    </row>
    <row r="3115" spans="1:26" ht="13.2">
      <c r="A3115" s="13"/>
      <c r="B3115" s="14"/>
      <c r="C3115" s="14"/>
      <c r="D3115" s="14"/>
      <c r="E3115" s="14"/>
      <c r="F3115" s="14"/>
      <c r="G3115" s="14"/>
      <c r="H3115" s="14"/>
      <c r="I3115" s="14"/>
      <c r="J3115" s="14"/>
      <c r="K3115" s="14"/>
      <c r="L3115" s="15"/>
      <c r="M3115" s="15"/>
      <c r="N3115" s="15"/>
      <c r="O3115" s="15"/>
      <c r="P3115" s="15"/>
      <c r="Q3115" s="14"/>
      <c r="R3115" s="14"/>
      <c r="S3115" s="14"/>
      <c r="T3115" s="14"/>
      <c r="U3115" s="15"/>
      <c r="V3115" s="14"/>
      <c r="W3115" s="14"/>
      <c r="X3115" s="14"/>
      <c r="Y3115" s="14"/>
      <c r="Z3115" s="14"/>
    </row>
    <row r="3116" spans="1:26" ht="13.2">
      <c r="A3116" s="13"/>
      <c r="B3116" s="14"/>
      <c r="C3116" s="14"/>
      <c r="D3116" s="14"/>
      <c r="E3116" s="14"/>
      <c r="F3116" s="14"/>
      <c r="G3116" s="14"/>
      <c r="H3116" s="14"/>
      <c r="I3116" s="14"/>
      <c r="J3116" s="14"/>
      <c r="K3116" s="14"/>
      <c r="L3116" s="15"/>
      <c r="M3116" s="15"/>
      <c r="N3116" s="15"/>
      <c r="O3116" s="15"/>
      <c r="P3116" s="15"/>
      <c r="Q3116" s="14"/>
      <c r="R3116" s="14"/>
      <c r="S3116" s="14"/>
      <c r="T3116" s="14"/>
      <c r="U3116" s="15"/>
      <c r="V3116" s="14"/>
      <c r="W3116" s="14"/>
      <c r="X3116" s="14"/>
      <c r="Y3116" s="14"/>
      <c r="Z3116" s="14"/>
    </row>
    <row r="3117" spans="1:26" ht="13.2">
      <c r="A3117" s="13"/>
      <c r="B3117" s="14"/>
      <c r="C3117" s="14"/>
      <c r="D3117" s="14"/>
      <c r="E3117" s="14"/>
      <c r="F3117" s="14"/>
      <c r="G3117" s="14"/>
      <c r="H3117" s="14"/>
      <c r="I3117" s="14"/>
      <c r="J3117" s="14"/>
      <c r="K3117" s="14"/>
      <c r="L3117" s="15"/>
      <c r="M3117" s="15"/>
      <c r="N3117" s="15"/>
      <c r="O3117" s="15"/>
      <c r="P3117" s="15"/>
      <c r="Q3117" s="14"/>
      <c r="R3117" s="14"/>
      <c r="S3117" s="14"/>
      <c r="T3117" s="14"/>
      <c r="U3117" s="15"/>
      <c r="V3117" s="14"/>
      <c r="W3117" s="14"/>
      <c r="X3117" s="14"/>
      <c r="Y3117" s="14"/>
      <c r="Z3117" s="14"/>
    </row>
    <row r="3118" spans="1:26" ht="13.2">
      <c r="A3118" s="13"/>
      <c r="B3118" s="14"/>
      <c r="C3118" s="14"/>
      <c r="D3118" s="14"/>
      <c r="E3118" s="14"/>
      <c r="F3118" s="14"/>
      <c r="G3118" s="14"/>
      <c r="H3118" s="14"/>
      <c r="I3118" s="14"/>
      <c r="J3118" s="14"/>
      <c r="K3118" s="14"/>
      <c r="L3118" s="15"/>
      <c r="M3118" s="15"/>
      <c r="N3118" s="15"/>
      <c r="O3118" s="15"/>
      <c r="P3118" s="15"/>
      <c r="Q3118" s="14"/>
      <c r="R3118" s="14"/>
      <c r="S3118" s="14"/>
      <c r="T3118" s="14"/>
      <c r="U3118" s="15"/>
      <c r="V3118" s="14"/>
      <c r="W3118" s="14"/>
      <c r="X3118" s="14"/>
      <c r="Y3118" s="14"/>
      <c r="Z3118" s="14"/>
    </row>
    <row r="3119" spans="1:26" ht="13.2">
      <c r="A3119" s="13"/>
      <c r="B3119" s="14"/>
      <c r="C3119" s="14"/>
      <c r="D3119" s="14"/>
      <c r="E3119" s="14"/>
      <c r="F3119" s="14"/>
      <c r="G3119" s="14"/>
      <c r="H3119" s="14"/>
      <c r="I3119" s="14"/>
      <c r="J3119" s="14"/>
      <c r="K3119" s="14"/>
      <c r="L3119" s="15"/>
      <c r="M3119" s="15"/>
      <c r="N3119" s="15"/>
      <c r="O3119" s="15"/>
      <c r="P3119" s="15"/>
      <c r="Q3119" s="14"/>
      <c r="R3119" s="14"/>
      <c r="S3119" s="14"/>
      <c r="T3119" s="14"/>
      <c r="U3119" s="15"/>
      <c r="V3119" s="14"/>
      <c r="W3119" s="14"/>
      <c r="X3119" s="14"/>
      <c r="Y3119" s="14"/>
      <c r="Z3119" s="14"/>
    </row>
    <row r="3120" spans="1:26" ht="13.2">
      <c r="A3120" s="13"/>
      <c r="B3120" s="14"/>
      <c r="C3120" s="14"/>
      <c r="D3120" s="14"/>
      <c r="E3120" s="14"/>
      <c r="F3120" s="14"/>
      <c r="G3120" s="14"/>
      <c r="H3120" s="14"/>
      <c r="I3120" s="14"/>
      <c r="J3120" s="14"/>
      <c r="K3120" s="14"/>
      <c r="L3120" s="15"/>
      <c r="M3120" s="15"/>
      <c r="N3120" s="15"/>
      <c r="O3120" s="15"/>
      <c r="P3120" s="15"/>
      <c r="Q3120" s="14"/>
      <c r="R3120" s="14"/>
      <c r="S3120" s="14"/>
      <c r="T3120" s="14"/>
      <c r="U3120" s="15"/>
      <c r="V3120" s="14"/>
      <c r="W3120" s="14"/>
      <c r="X3120" s="14"/>
      <c r="Y3120" s="14"/>
      <c r="Z3120" s="14"/>
    </row>
    <row r="3121" spans="1:26" ht="13.2">
      <c r="A3121" s="13"/>
      <c r="B3121" s="14"/>
      <c r="C3121" s="14"/>
      <c r="D3121" s="14"/>
      <c r="E3121" s="14"/>
      <c r="F3121" s="14"/>
      <c r="G3121" s="14"/>
      <c r="H3121" s="14"/>
      <c r="I3121" s="14"/>
      <c r="J3121" s="14"/>
      <c r="K3121" s="14"/>
      <c r="L3121" s="15"/>
      <c r="M3121" s="15"/>
      <c r="N3121" s="15"/>
      <c r="O3121" s="15"/>
      <c r="P3121" s="15"/>
      <c r="Q3121" s="14"/>
      <c r="R3121" s="14"/>
      <c r="S3121" s="14"/>
      <c r="T3121" s="14"/>
      <c r="U3121" s="15"/>
      <c r="V3121" s="14"/>
      <c r="W3121" s="14"/>
      <c r="X3121" s="14"/>
      <c r="Y3121" s="14"/>
      <c r="Z3121" s="14"/>
    </row>
    <row r="3122" spans="1:26" ht="13.2">
      <c r="A3122" s="13"/>
      <c r="B3122" s="14"/>
      <c r="C3122" s="14"/>
      <c r="D3122" s="14"/>
      <c r="E3122" s="14"/>
      <c r="F3122" s="14"/>
      <c r="G3122" s="14"/>
      <c r="H3122" s="14"/>
      <c r="I3122" s="14"/>
      <c r="J3122" s="14"/>
      <c r="K3122" s="14"/>
      <c r="L3122" s="15"/>
      <c r="M3122" s="15"/>
      <c r="N3122" s="15"/>
      <c r="O3122" s="15"/>
      <c r="P3122" s="15"/>
      <c r="Q3122" s="14"/>
      <c r="R3122" s="14"/>
      <c r="S3122" s="14"/>
      <c r="T3122" s="14"/>
      <c r="U3122" s="15"/>
      <c r="V3122" s="14"/>
      <c r="W3122" s="14"/>
      <c r="X3122" s="14"/>
      <c r="Y3122" s="14"/>
      <c r="Z3122" s="14"/>
    </row>
    <row r="3123" spans="1:26" ht="13.2">
      <c r="A3123" s="13"/>
      <c r="B3123" s="14"/>
      <c r="C3123" s="14"/>
      <c r="D3123" s="14"/>
      <c r="E3123" s="14"/>
      <c r="F3123" s="14"/>
      <c r="G3123" s="14"/>
      <c r="H3123" s="14"/>
      <c r="I3123" s="14"/>
      <c r="J3123" s="14"/>
      <c r="K3123" s="14"/>
      <c r="L3123" s="15"/>
      <c r="M3123" s="15"/>
      <c r="N3123" s="15"/>
      <c r="O3123" s="15"/>
      <c r="P3123" s="15"/>
      <c r="Q3123" s="14"/>
      <c r="R3123" s="14"/>
      <c r="S3123" s="14"/>
      <c r="T3123" s="14"/>
      <c r="U3123" s="15"/>
      <c r="V3123" s="14"/>
      <c r="W3123" s="14"/>
      <c r="X3123" s="14"/>
      <c r="Y3123" s="14"/>
      <c r="Z3123" s="14"/>
    </row>
    <row r="3124" spans="1:26" ht="13.2">
      <c r="A3124" s="13"/>
      <c r="B3124" s="14"/>
      <c r="C3124" s="14"/>
      <c r="D3124" s="14"/>
      <c r="E3124" s="14"/>
      <c r="F3124" s="14"/>
      <c r="G3124" s="14"/>
      <c r="H3124" s="14"/>
      <c r="I3124" s="14"/>
      <c r="J3124" s="14"/>
      <c r="K3124" s="14"/>
      <c r="L3124" s="15"/>
      <c r="M3124" s="15"/>
      <c r="N3124" s="15"/>
      <c r="O3124" s="15"/>
      <c r="P3124" s="15"/>
      <c r="Q3124" s="14"/>
      <c r="R3124" s="14"/>
      <c r="S3124" s="14"/>
      <c r="T3124" s="14"/>
      <c r="U3124" s="15"/>
      <c r="V3124" s="14"/>
      <c r="W3124" s="14"/>
      <c r="X3124" s="14"/>
      <c r="Y3124" s="14"/>
      <c r="Z3124" s="14"/>
    </row>
    <row r="3125" spans="1:26" ht="13.2">
      <c r="A3125" s="13"/>
      <c r="B3125" s="14"/>
      <c r="C3125" s="14"/>
      <c r="D3125" s="14"/>
      <c r="E3125" s="14"/>
      <c r="F3125" s="14"/>
      <c r="G3125" s="14"/>
      <c r="H3125" s="14"/>
      <c r="I3125" s="14"/>
      <c r="J3125" s="14"/>
      <c r="K3125" s="14"/>
      <c r="L3125" s="15"/>
      <c r="M3125" s="15"/>
      <c r="N3125" s="15"/>
      <c r="O3125" s="15"/>
      <c r="P3125" s="15"/>
      <c r="Q3125" s="14"/>
      <c r="R3125" s="14"/>
      <c r="S3125" s="14"/>
      <c r="T3125" s="14"/>
      <c r="U3125" s="15"/>
      <c r="V3125" s="14"/>
      <c r="W3125" s="14"/>
      <c r="X3125" s="14"/>
      <c r="Y3125" s="14"/>
      <c r="Z3125" s="14"/>
    </row>
    <row r="3126" spans="1:26" ht="13.2">
      <c r="A3126" s="13"/>
      <c r="B3126" s="14"/>
      <c r="C3126" s="14"/>
      <c r="D3126" s="14"/>
      <c r="E3126" s="14"/>
      <c r="F3126" s="14"/>
      <c r="G3126" s="14"/>
      <c r="H3126" s="14"/>
      <c r="I3126" s="14"/>
      <c r="J3126" s="14"/>
      <c r="K3126" s="14"/>
      <c r="L3126" s="15"/>
      <c r="M3126" s="15"/>
      <c r="N3126" s="15"/>
      <c r="O3126" s="15"/>
      <c r="P3126" s="15"/>
      <c r="Q3126" s="14"/>
      <c r="R3126" s="14"/>
      <c r="S3126" s="14"/>
      <c r="T3126" s="14"/>
      <c r="U3126" s="15"/>
      <c r="V3126" s="14"/>
      <c r="W3126" s="14"/>
      <c r="X3126" s="14"/>
      <c r="Y3126" s="14"/>
      <c r="Z3126" s="14"/>
    </row>
    <row r="3127" spans="1:26" ht="13.2">
      <c r="A3127" s="13"/>
      <c r="B3127" s="14"/>
      <c r="C3127" s="14"/>
      <c r="D3127" s="14"/>
      <c r="E3127" s="14"/>
      <c r="F3127" s="14"/>
      <c r="G3127" s="14"/>
      <c r="H3127" s="14"/>
      <c r="I3127" s="14"/>
      <c r="J3127" s="14"/>
      <c r="K3127" s="14"/>
      <c r="L3127" s="15"/>
      <c r="M3127" s="15"/>
      <c r="N3127" s="15"/>
      <c r="O3127" s="15"/>
      <c r="P3127" s="15"/>
      <c r="Q3127" s="14"/>
      <c r="R3127" s="14"/>
      <c r="S3127" s="14"/>
      <c r="T3127" s="14"/>
      <c r="U3127" s="15"/>
      <c r="V3127" s="14"/>
      <c r="W3127" s="14"/>
      <c r="X3127" s="14"/>
      <c r="Y3127" s="14"/>
      <c r="Z3127" s="14"/>
    </row>
    <row r="3128" spans="1:26" ht="13.2">
      <c r="A3128" s="13"/>
      <c r="B3128" s="14"/>
      <c r="C3128" s="14"/>
      <c r="D3128" s="14"/>
      <c r="E3128" s="14"/>
      <c r="F3128" s="14"/>
      <c r="G3128" s="14"/>
      <c r="H3128" s="14"/>
      <c r="I3128" s="14"/>
      <c r="J3128" s="14"/>
      <c r="K3128" s="14"/>
      <c r="L3128" s="15"/>
      <c r="M3128" s="15"/>
      <c r="N3128" s="15"/>
      <c r="O3128" s="15"/>
      <c r="P3128" s="15"/>
      <c r="Q3128" s="14"/>
      <c r="R3128" s="14"/>
      <c r="S3128" s="14"/>
      <c r="T3128" s="14"/>
      <c r="U3128" s="15"/>
      <c r="V3128" s="14"/>
      <c r="W3128" s="14"/>
      <c r="X3128" s="14"/>
      <c r="Y3128" s="14"/>
      <c r="Z3128" s="14"/>
    </row>
    <row r="3129" spans="1:26" ht="13.2">
      <c r="A3129" s="13"/>
      <c r="B3129" s="14"/>
      <c r="C3129" s="14"/>
      <c r="D3129" s="14"/>
      <c r="E3129" s="14"/>
      <c r="F3129" s="14"/>
      <c r="G3129" s="14"/>
      <c r="H3129" s="14"/>
      <c r="I3129" s="14"/>
      <c r="J3129" s="14"/>
      <c r="K3129" s="14"/>
      <c r="L3129" s="15"/>
      <c r="M3129" s="15"/>
      <c r="N3129" s="15"/>
      <c r="O3129" s="15"/>
      <c r="P3129" s="15"/>
      <c r="Q3129" s="14"/>
      <c r="R3129" s="14"/>
      <c r="S3129" s="14"/>
      <c r="T3129" s="14"/>
      <c r="U3129" s="15"/>
      <c r="V3129" s="14"/>
      <c r="W3129" s="14"/>
      <c r="X3129" s="14"/>
      <c r="Y3129" s="14"/>
      <c r="Z3129" s="14"/>
    </row>
    <row r="3130" spans="1:26" ht="13.2">
      <c r="A3130" s="13"/>
      <c r="B3130" s="14"/>
      <c r="C3130" s="14"/>
      <c r="D3130" s="14"/>
      <c r="E3130" s="14"/>
      <c r="F3130" s="14"/>
      <c r="G3130" s="14"/>
      <c r="H3130" s="14"/>
      <c r="I3130" s="14"/>
      <c r="J3130" s="14"/>
      <c r="K3130" s="14"/>
      <c r="L3130" s="15"/>
      <c r="M3130" s="15"/>
      <c r="N3130" s="15"/>
      <c r="O3130" s="15"/>
      <c r="P3130" s="15"/>
      <c r="Q3130" s="14"/>
      <c r="R3130" s="14"/>
      <c r="S3130" s="14"/>
      <c r="T3130" s="14"/>
      <c r="U3130" s="15"/>
      <c r="V3130" s="14"/>
      <c r="W3130" s="14"/>
      <c r="X3130" s="14"/>
      <c r="Y3130" s="14"/>
      <c r="Z3130" s="14"/>
    </row>
    <row r="3131" spans="1:26" ht="13.2">
      <c r="A3131" s="13"/>
      <c r="B3131" s="14"/>
      <c r="C3131" s="14"/>
      <c r="D3131" s="14"/>
      <c r="E3131" s="14"/>
      <c r="F3131" s="14"/>
      <c r="G3131" s="14"/>
      <c r="H3131" s="14"/>
      <c r="I3131" s="14"/>
      <c r="J3131" s="14"/>
      <c r="K3131" s="14"/>
      <c r="L3131" s="15"/>
      <c r="M3131" s="15"/>
      <c r="N3131" s="15"/>
      <c r="O3131" s="15"/>
      <c r="P3131" s="15"/>
      <c r="Q3131" s="14"/>
      <c r="R3131" s="14"/>
      <c r="S3131" s="14"/>
      <c r="T3131" s="14"/>
      <c r="U3131" s="15"/>
      <c r="V3131" s="14"/>
      <c r="W3131" s="14"/>
      <c r="X3131" s="14"/>
      <c r="Y3131" s="14"/>
      <c r="Z3131" s="14"/>
    </row>
    <row r="3132" spans="1:26" ht="13.2">
      <c r="A3132" s="13"/>
      <c r="B3132" s="14"/>
      <c r="C3132" s="14"/>
      <c r="D3132" s="14"/>
      <c r="E3132" s="14"/>
      <c r="F3132" s="14"/>
      <c r="G3132" s="14"/>
      <c r="H3132" s="14"/>
      <c r="I3132" s="14"/>
      <c r="J3132" s="14"/>
      <c r="K3132" s="14"/>
      <c r="L3132" s="15"/>
      <c r="M3132" s="15"/>
      <c r="N3132" s="15"/>
      <c r="O3132" s="15"/>
      <c r="P3132" s="15"/>
      <c r="Q3132" s="14"/>
      <c r="R3132" s="14"/>
      <c r="S3132" s="14"/>
      <c r="T3132" s="14"/>
      <c r="U3132" s="15"/>
      <c r="V3132" s="14"/>
      <c r="W3132" s="14"/>
      <c r="X3132" s="14"/>
      <c r="Y3132" s="14"/>
      <c r="Z3132" s="14"/>
    </row>
    <row r="3133" spans="1:26" ht="13.2">
      <c r="A3133" s="13"/>
      <c r="B3133" s="14"/>
      <c r="C3133" s="14"/>
      <c r="D3133" s="14"/>
      <c r="E3133" s="14"/>
      <c r="F3133" s="14"/>
      <c r="G3133" s="14"/>
      <c r="H3133" s="14"/>
      <c r="I3133" s="14"/>
      <c r="J3133" s="14"/>
      <c r="K3133" s="14"/>
      <c r="L3133" s="15"/>
      <c r="M3133" s="15"/>
      <c r="N3133" s="15"/>
      <c r="O3133" s="15"/>
      <c r="P3133" s="15"/>
      <c r="Q3133" s="14"/>
      <c r="R3133" s="14"/>
      <c r="S3133" s="14"/>
      <c r="T3133" s="14"/>
      <c r="U3133" s="15"/>
      <c r="V3133" s="14"/>
      <c r="W3133" s="14"/>
      <c r="X3133" s="14"/>
      <c r="Y3133" s="14"/>
      <c r="Z3133" s="14"/>
    </row>
    <row r="3134" spans="1:26" ht="13.2">
      <c r="A3134" s="13"/>
      <c r="B3134" s="14"/>
      <c r="C3134" s="14"/>
      <c r="D3134" s="14"/>
      <c r="E3134" s="14"/>
      <c r="F3134" s="14"/>
      <c r="G3134" s="14"/>
      <c r="H3134" s="14"/>
      <c r="I3134" s="14"/>
      <c r="J3134" s="14"/>
      <c r="K3134" s="14"/>
      <c r="L3134" s="15"/>
      <c r="M3134" s="15"/>
      <c r="N3134" s="15"/>
      <c r="O3134" s="15"/>
      <c r="P3134" s="15"/>
      <c r="Q3134" s="14"/>
      <c r="R3134" s="14"/>
      <c r="S3134" s="14"/>
      <c r="T3134" s="14"/>
      <c r="U3134" s="15"/>
      <c r="V3134" s="14"/>
      <c r="W3134" s="14"/>
      <c r="X3134" s="14"/>
      <c r="Y3134" s="14"/>
      <c r="Z3134" s="14"/>
    </row>
    <row r="3135" spans="1:26" ht="13.2">
      <c r="A3135" s="13"/>
      <c r="B3135" s="14"/>
      <c r="C3135" s="14"/>
      <c r="D3135" s="14"/>
      <c r="E3135" s="14"/>
      <c r="F3135" s="14"/>
      <c r="G3135" s="14"/>
      <c r="H3135" s="14"/>
      <c r="I3135" s="14"/>
      <c r="J3135" s="14"/>
      <c r="K3135" s="14"/>
      <c r="L3135" s="15"/>
      <c r="M3135" s="15"/>
      <c r="N3135" s="15"/>
      <c r="O3135" s="15"/>
      <c r="P3135" s="15"/>
      <c r="Q3135" s="14"/>
      <c r="R3135" s="14"/>
      <c r="S3135" s="14"/>
      <c r="T3135" s="14"/>
      <c r="U3135" s="15"/>
      <c r="V3135" s="14"/>
      <c r="W3135" s="14"/>
      <c r="X3135" s="14"/>
      <c r="Y3135" s="14"/>
      <c r="Z3135" s="14"/>
    </row>
    <row r="3136" spans="1:26" ht="13.2">
      <c r="A3136" s="13"/>
      <c r="B3136" s="14"/>
      <c r="C3136" s="14"/>
      <c r="D3136" s="14"/>
      <c r="E3136" s="14"/>
      <c r="F3136" s="14"/>
      <c r="G3136" s="14"/>
      <c r="H3136" s="14"/>
      <c r="I3136" s="14"/>
      <c r="J3136" s="14"/>
      <c r="K3136" s="14"/>
      <c r="L3136" s="15"/>
      <c r="M3136" s="15"/>
      <c r="N3136" s="15"/>
      <c r="O3136" s="15"/>
      <c r="P3136" s="15"/>
      <c r="Q3136" s="14"/>
      <c r="R3136" s="14"/>
      <c r="S3136" s="14"/>
      <c r="T3136" s="14"/>
      <c r="U3136" s="15"/>
      <c r="V3136" s="14"/>
      <c r="W3136" s="14"/>
      <c r="X3136" s="14"/>
      <c r="Y3136" s="14"/>
      <c r="Z3136" s="14"/>
    </row>
    <row r="3137" spans="1:26" ht="13.2">
      <c r="A3137" s="13"/>
      <c r="B3137" s="14"/>
      <c r="C3137" s="14"/>
      <c r="D3137" s="14"/>
      <c r="E3137" s="14"/>
      <c r="F3137" s="14"/>
      <c r="G3137" s="14"/>
      <c r="H3137" s="14"/>
      <c r="I3137" s="14"/>
      <c r="J3137" s="14"/>
      <c r="K3137" s="14"/>
      <c r="L3137" s="15"/>
      <c r="M3137" s="15"/>
      <c r="N3137" s="15"/>
      <c r="O3137" s="15"/>
      <c r="P3137" s="15"/>
      <c r="Q3137" s="14"/>
      <c r="R3137" s="14"/>
      <c r="S3137" s="14"/>
      <c r="T3137" s="14"/>
      <c r="U3137" s="15"/>
      <c r="V3137" s="14"/>
      <c r="W3137" s="14"/>
      <c r="X3137" s="14"/>
      <c r="Y3137" s="14"/>
      <c r="Z3137" s="14"/>
    </row>
    <row r="3138" spans="1:26" ht="13.2">
      <c r="A3138" s="13"/>
      <c r="B3138" s="14"/>
      <c r="C3138" s="14"/>
      <c r="D3138" s="14"/>
      <c r="E3138" s="14"/>
      <c r="F3138" s="14"/>
      <c r="G3138" s="14"/>
      <c r="H3138" s="14"/>
      <c r="I3138" s="14"/>
      <c r="J3138" s="14"/>
      <c r="K3138" s="14"/>
      <c r="L3138" s="15"/>
      <c r="M3138" s="15"/>
      <c r="N3138" s="15"/>
      <c r="O3138" s="15"/>
      <c r="P3138" s="15"/>
      <c r="Q3138" s="14"/>
      <c r="R3138" s="14"/>
      <c r="S3138" s="14"/>
      <c r="T3138" s="14"/>
      <c r="U3138" s="15"/>
      <c r="V3138" s="14"/>
      <c r="W3138" s="14"/>
      <c r="X3138" s="14"/>
      <c r="Y3138" s="14"/>
      <c r="Z3138" s="14"/>
    </row>
    <row r="3139" spans="1:26" ht="13.2">
      <c r="A3139" s="13"/>
      <c r="B3139" s="14"/>
      <c r="C3139" s="14"/>
      <c r="D3139" s="14"/>
      <c r="E3139" s="14"/>
      <c r="F3139" s="14"/>
      <c r="G3139" s="14"/>
      <c r="H3139" s="14"/>
      <c r="I3139" s="14"/>
      <c r="J3139" s="14"/>
      <c r="K3139" s="14"/>
      <c r="L3139" s="15"/>
      <c r="M3139" s="15"/>
      <c r="N3139" s="15"/>
      <c r="O3139" s="15"/>
      <c r="P3139" s="15"/>
      <c r="Q3139" s="14"/>
      <c r="R3139" s="14"/>
      <c r="S3139" s="14"/>
      <c r="T3139" s="14"/>
      <c r="U3139" s="15"/>
      <c r="V3139" s="14"/>
      <c r="W3139" s="14"/>
      <c r="X3139" s="14"/>
      <c r="Y3139" s="14"/>
      <c r="Z3139" s="14"/>
    </row>
    <row r="3140" spans="1:26" ht="13.2">
      <c r="A3140" s="13"/>
      <c r="B3140" s="14"/>
      <c r="C3140" s="14"/>
      <c r="D3140" s="14"/>
      <c r="E3140" s="14"/>
      <c r="F3140" s="14"/>
      <c r="G3140" s="14"/>
      <c r="H3140" s="14"/>
      <c r="I3140" s="14"/>
      <c r="J3140" s="14"/>
      <c r="K3140" s="14"/>
      <c r="L3140" s="15"/>
      <c r="M3140" s="15"/>
      <c r="N3140" s="15"/>
      <c r="O3140" s="15"/>
      <c r="P3140" s="15"/>
      <c r="Q3140" s="14"/>
      <c r="R3140" s="14"/>
      <c r="S3140" s="14"/>
      <c r="T3140" s="14"/>
      <c r="U3140" s="15"/>
      <c r="V3140" s="14"/>
      <c r="W3140" s="14"/>
      <c r="X3140" s="14"/>
      <c r="Y3140" s="14"/>
      <c r="Z3140" s="14"/>
    </row>
    <row r="3141" spans="1:26" ht="13.2">
      <c r="A3141" s="13"/>
      <c r="B3141" s="14"/>
      <c r="C3141" s="14"/>
      <c r="D3141" s="14"/>
      <c r="E3141" s="14"/>
      <c r="F3141" s="14"/>
      <c r="G3141" s="14"/>
      <c r="H3141" s="14"/>
      <c r="I3141" s="14"/>
      <c r="J3141" s="14"/>
      <c r="K3141" s="14"/>
      <c r="L3141" s="15"/>
      <c r="M3141" s="15"/>
      <c r="N3141" s="15"/>
      <c r="O3141" s="15"/>
      <c r="P3141" s="15"/>
      <c r="Q3141" s="14"/>
      <c r="R3141" s="14"/>
      <c r="S3141" s="14"/>
      <c r="T3141" s="14"/>
      <c r="U3141" s="15"/>
      <c r="V3141" s="14"/>
      <c r="W3141" s="14"/>
      <c r="X3141" s="14"/>
      <c r="Y3141" s="14"/>
      <c r="Z3141" s="14"/>
    </row>
    <row r="3142" spans="1:26" ht="13.2">
      <c r="A3142" s="13"/>
      <c r="B3142" s="14"/>
      <c r="C3142" s="14"/>
      <c r="D3142" s="14"/>
      <c r="E3142" s="14"/>
      <c r="F3142" s="14"/>
      <c r="G3142" s="14"/>
      <c r="H3142" s="14"/>
      <c r="I3142" s="14"/>
      <c r="J3142" s="14"/>
      <c r="K3142" s="14"/>
      <c r="L3142" s="15"/>
      <c r="M3142" s="15"/>
      <c r="N3142" s="15"/>
      <c r="O3142" s="15"/>
      <c r="P3142" s="15"/>
      <c r="Q3142" s="14"/>
      <c r="R3142" s="14"/>
      <c r="S3142" s="14"/>
      <c r="T3142" s="14"/>
      <c r="U3142" s="15"/>
      <c r="V3142" s="14"/>
      <c r="W3142" s="14"/>
      <c r="X3142" s="14"/>
      <c r="Y3142" s="14"/>
      <c r="Z3142" s="14"/>
    </row>
    <row r="3143" spans="1:26" ht="13.2">
      <c r="A3143" s="13"/>
      <c r="B3143" s="14"/>
      <c r="C3143" s="14"/>
      <c r="D3143" s="14"/>
      <c r="E3143" s="14"/>
      <c r="F3143" s="14"/>
      <c r="G3143" s="14"/>
      <c r="H3143" s="14"/>
      <c r="I3143" s="14"/>
      <c r="J3143" s="14"/>
      <c r="K3143" s="14"/>
      <c r="L3143" s="15"/>
      <c r="M3143" s="15"/>
      <c r="N3143" s="15"/>
      <c r="O3143" s="15"/>
      <c r="P3143" s="15"/>
      <c r="Q3143" s="14"/>
      <c r="R3143" s="14"/>
      <c r="S3143" s="14"/>
      <c r="T3143" s="14"/>
      <c r="U3143" s="15"/>
      <c r="V3143" s="14"/>
      <c r="W3143" s="14"/>
      <c r="X3143" s="14"/>
      <c r="Y3143" s="14"/>
      <c r="Z3143" s="14"/>
    </row>
    <row r="3144" spans="1:26" ht="13.2">
      <c r="A3144" s="13"/>
      <c r="B3144" s="14"/>
      <c r="C3144" s="14"/>
      <c r="D3144" s="14"/>
      <c r="E3144" s="14"/>
      <c r="F3144" s="14"/>
      <c r="G3144" s="14"/>
      <c r="H3144" s="14"/>
      <c r="I3144" s="14"/>
      <c r="J3144" s="14"/>
      <c r="K3144" s="14"/>
      <c r="L3144" s="15"/>
      <c r="M3144" s="15"/>
      <c r="N3144" s="15"/>
      <c r="O3144" s="15"/>
      <c r="P3144" s="15"/>
      <c r="Q3144" s="14"/>
      <c r="R3144" s="14"/>
      <c r="S3144" s="14"/>
      <c r="T3144" s="14"/>
      <c r="U3144" s="15"/>
      <c r="V3144" s="14"/>
      <c r="W3144" s="14"/>
      <c r="X3144" s="14"/>
      <c r="Y3144" s="14"/>
      <c r="Z3144" s="14"/>
    </row>
    <row r="3145" spans="1:26" ht="13.2">
      <c r="A3145" s="13"/>
      <c r="B3145" s="14"/>
      <c r="C3145" s="14"/>
      <c r="D3145" s="14"/>
      <c r="E3145" s="14"/>
      <c r="F3145" s="14"/>
      <c r="G3145" s="14"/>
      <c r="H3145" s="14"/>
      <c r="I3145" s="14"/>
      <c r="J3145" s="14"/>
      <c r="K3145" s="14"/>
      <c r="L3145" s="15"/>
      <c r="M3145" s="15"/>
      <c r="N3145" s="15"/>
      <c r="O3145" s="15"/>
      <c r="P3145" s="15"/>
      <c r="Q3145" s="14"/>
      <c r="R3145" s="14"/>
      <c r="S3145" s="14"/>
      <c r="T3145" s="14"/>
      <c r="U3145" s="15"/>
      <c r="V3145" s="14"/>
      <c r="W3145" s="14"/>
      <c r="X3145" s="14"/>
      <c r="Y3145" s="14"/>
      <c r="Z3145" s="14"/>
    </row>
    <row r="3146" spans="1:26" ht="13.2">
      <c r="A3146" s="13"/>
      <c r="B3146" s="14"/>
      <c r="C3146" s="14"/>
      <c r="D3146" s="14"/>
      <c r="E3146" s="14"/>
      <c r="F3146" s="14"/>
      <c r="G3146" s="14"/>
      <c r="H3146" s="14"/>
      <c r="I3146" s="14"/>
      <c r="J3146" s="14"/>
      <c r="K3146" s="14"/>
      <c r="L3146" s="15"/>
      <c r="M3146" s="15"/>
      <c r="N3146" s="15"/>
      <c r="O3146" s="15"/>
      <c r="P3146" s="15"/>
      <c r="Q3146" s="14"/>
      <c r="R3146" s="14"/>
      <c r="S3146" s="14"/>
      <c r="T3146" s="14"/>
      <c r="U3146" s="15"/>
      <c r="V3146" s="14"/>
      <c r="W3146" s="14"/>
      <c r="X3146" s="14"/>
      <c r="Y3146" s="14"/>
      <c r="Z3146" s="14"/>
    </row>
    <row r="3147" spans="1:26" ht="13.2">
      <c r="A3147" s="13"/>
      <c r="B3147" s="14"/>
      <c r="C3147" s="14"/>
      <c r="D3147" s="14"/>
      <c r="E3147" s="14"/>
      <c r="F3147" s="14"/>
      <c r="G3147" s="14"/>
      <c r="H3147" s="14"/>
      <c r="I3147" s="14"/>
      <c r="J3147" s="14"/>
      <c r="K3147" s="14"/>
      <c r="L3147" s="15"/>
      <c r="M3147" s="15"/>
      <c r="N3147" s="15"/>
      <c r="O3147" s="15"/>
      <c r="P3147" s="15"/>
      <c r="Q3147" s="14"/>
      <c r="R3147" s="14"/>
      <c r="S3147" s="14"/>
      <c r="T3147" s="14"/>
      <c r="U3147" s="15"/>
      <c r="V3147" s="14"/>
      <c r="W3147" s="14"/>
      <c r="X3147" s="14"/>
      <c r="Y3147" s="14"/>
      <c r="Z3147" s="14"/>
    </row>
    <row r="3148" spans="1:26" ht="13.2">
      <c r="A3148" s="13"/>
      <c r="B3148" s="14"/>
      <c r="C3148" s="14"/>
      <c r="D3148" s="14"/>
      <c r="E3148" s="14"/>
      <c r="F3148" s="14"/>
      <c r="G3148" s="14"/>
      <c r="H3148" s="14"/>
      <c r="I3148" s="14"/>
      <c r="J3148" s="14"/>
      <c r="K3148" s="14"/>
      <c r="L3148" s="15"/>
      <c r="M3148" s="15"/>
      <c r="N3148" s="15"/>
      <c r="O3148" s="15"/>
      <c r="P3148" s="15"/>
      <c r="Q3148" s="14"/>
      <c r="R3148" s="14"/>
      <c r="S3148" s="14"/>
      <c r="T3148" s="14"/>
      <c r="U3148" s="15"/>
      <c r="V3148" s="14"/>
      <c r="W3148" s="14"/>
      <c r="X3148" s="14"/>
      <c r="Y3148" s="14"/>
      <c r="Z3148" s="14"/>
    </row>
    <row r="3149" spans="1:26" ht="13.2">
      <c r="A3149" s="13"/>
      <c r="B3149" s="14"/>
      <c r="C3149" s="14"/>
      <c r="D3149" s="14"/>
      <c r="E3149" s="14"/>
      <c r="F3149" s="14"/>
      <c r="G3149" s="14"/>
      <c r="H3149" s="14"/>
      <c r="I3149" s="14"/>
      <c r="J3149" s="14"/>
      <c r="K3149" s="14"/>
      <c r="L3149" s="15"/>
      <c r="M3149" s="15"/>
      <c r="N3149" s="15"/>
      <c r="O3149" s="15"/>
      <c r="P3149" s="15"/>
      <c r="Q3149" s="14"/>
      <c r="R3149" s="14"/>
      <c r="S3149" s="14"/>
      <c r="T3149" s="14"/>
      <c r="U3149" s="15"/>
      <c r="V3149" s="14"/>
      <c r="W3149" s="14"/>
      <c r="X3149" s="14"/>
      <c r="Y3149" s="14"/>
      <c r="Z3149" s="14"/>
    </row>
    <row r="3150" spans="1:26" ht="13.2">
      <c r="A3150" s="13"/>
      <c r="B3150" s="14"/>
      <c r="C3150" s="14"/>
      <c r="D3150" s="14"/>
      <c r="E3150" s="14"/>
      <c r="F3150" s="14"/>
      <c r="G3150" s="14"/>
      <c r="H3150" s="14"/>
      <c r="I3150" s="14"/>
      <c r="J3150" s="14"/>
      <c r="K3150" s="14"/>
      <c r="L3150" s="15"/>
      <c r="M3150" s="15"/>
      <c r="N3150" s="15"/>
      <c r="O3150" s="15"/>
      <c r="P3150" s="15"/>
      <c r="Q3150" s="14"/>
      <c r="R3150" s="14"/>
      <c r="S3150" s="14"/>
      <c r="T3150" s="14"/>
      <c r="U3150" s="15"/>
      <c r="V3150" s="14"/>
      <c r="W3150" s="14"/>
      <c r="X3150" s="14"/>
      <c r="Y3150" s="14"/>
      <c r="Z3150" s="14"/>
    </row>
    <row r="3151" spans="1:26" ht="13.2">
      <c r="A3151" s="13"/>
      <c r="B3151" s="14"/>
      <c r="C3151" s="14"/>
      <c r="D3151" s="14"/>
      <c r="E3151" s="14"/>
      <c r="F3151" s="14"/>
      <c r="G3151" s="14"/>
      <c r="H3151" s="14"/>
      <c r="I3151" s="14"/>
      <c r="J3151" s="14"/>
      <c r="K3151" s="14"/>
      <c r="L3151" s="15"/>
      <c r="M3151" s="15"/>
      <c r="N3151" s="15"/>
      <c r="O3151" s="15"/>
      <c r="P3151" s="15"/>
      <c r="Q3151" s="14"/>
      <c r="R3151" s="14"/>
      <c r="S3151" s="14"/>
      <c r="T3151" s="14"/>
      <c r="U3151" s="15"/>
      <c r="V3151" s="14"/>
      <c r="W3151" s="14"/>
      <c r="X3151" s="14"/>
      <c r="Y3151" s="14"/>
      <c r="Z3151" s="14"/>
    </row>
    <row r="3152" spans="1:26" ht="13.2">
      <c r="A3152" s="13"/>
      <c r="B3152" s="14"/>
      <c r="C3152" s="14"/>
      <c r="D3152" s="14"/>
      <c r="E3152" s="14"/>
      <c r="F3152" s="14"/>
      <c r="G3152" s="14"/>
      <c r="H3152" s="14"/>
      <c r="I3152" s="14"/>
      <c r="J3152" s="14"/>
      <c r="K3152" s="14"/>
      <c r="L3152" s="15"/>
      <c r="M3152" s="15"/>
      <c r="N3152" s="15"/>
      <c r="O3152" s="15"/>
      <c r="P3152" s="15"/>
      <c r="Q3152" s="14"/>
      <c r="R3152" s="14"/>
      <c r="S3152" s="14"/>
      <c r="T3152" s="14"/>
      <c r="U3152" s="15"/>
      <c r="V3152" s="14"/>
      <c r="W3152" s="14"/>
      <c r="X3152" s="14"/>
      <c r="Y3152" s="14"/>
      <c r="Z3152" s="14"/>
    </row>
    <row r="3153" spans="1:26" ht="13.2">
      <c r="A3153" s="13"/>
      <c r="B3153" s="14"/>
      <c r="C3153" s="14"/>
      <c r="D3153" s="14"/>
      <c r="E3153" s="14"/>
      <c r="F3153" s="14"/>
      <c r="G3153" s="14"/>
      <c r="H3153" s="14"/>
      <c r="I3153" s="14"/>
      <c r="J3153" s="14"/>
      <c r="K3153" s="14"/>
      <c r="L3153" s="15"/>
      <c r="M3153" s="15"/>
      <c r="N3153" s="15"/>
      <c r="O3153" s="15"/>
      <c r="P3153" s="15"/>
      <c r="Q3153" s="14"/>
      <c r="R3153" s="14"/>
      <c r="S3153" s="14"/>
      <c r="T3153" s="14"/>
      <c r="U3153" s="15"/>
      <c r="V3153" s="14"/>
      <c r="W3153" s="14"/>
      <c r="X3153" s="14"/>
      <c r="Y3153" s="14"/>
      <c r="Z3153" s="14"/>
    </row>
    <row r="3154" spans="1:26" ht="13.2">
      <c r="A3154" s="13"/>
      <c r="B3154" s="14"/>
      <c r="C3154" s="14"/>
      <c r="D3154" s="14"/>
      <c r="E3154" s="14"/>
      <c r="F3154" s="14"/>
      <c r="G3154" s="14"/>
      <c r="H3154" s="14"/>
      <c r="I3154" s="14"/>
      <c r="J3154" s="14"/>
      <c r="K3154" s="14"/>
      <c r="L3154" s="15"/>
      <c r="M3154" s="15"/>
      <c r="N3154" s="15"/>
      <c r="O3154" s="15"/>
      <c r="P3154" s="15"/>
      <c r="Q3154" s="14"/>
      <c r="R3154" s="14"/>
      <c r="S3154" s="14"/>
      <c r="T3154" s="14"/>
      <c r="U3154" s="15"/>
      <c r="V3154" s="14"/>
      <c r="W3154" s="14"/>
      <c r="X3154" s="14"/>
      <c r="Y3154" s="14"/>
      <c r="Z3154" s="14"/>
    </row>
    <row r="3155" spans="1:26" ht="13.2">
      <c r="A3155" s="13"/>
      <c r="B3155" s="14"/>
      <c r="C3155" s="14"/>
      <c r="D3155" s="14"/>
      <c r="E3155" s="14"/>
      <c r="F3155" s="14"/>
      <c r="G3155" s="14"/>
      <c r="H3155" s="14"/>
      <c r="I3155" s="14"/>
      <c r="J3155" s="14"/>
      <c r="K3155" s="14"/>
      <c r="L3155" s="15"/>
      <c r="M3155" s="15"/>
      <c r="N3155" s="15"/>
      <c r="O3155" s="15"/>
      <c r="P3155" s="15"/>
      <c r="Q3155" s="14"/>
      <c r="R3155" s="14"/>
      <c r="S3155" s="14"/>
      <c r="T3155" s="14"/>
      <c r="U3155" s="15"/>
      <c r="V3155" s="14"/>
      <c r="W3155" s="14"/>
      <c r="X3155" s="14"/>
      <c r="Y3155" s="14"/>
      <c r="Z3155" s="14"/>
    </row>
    <row r="3156" spans="1:26" ht="13.2">
      <c r="A3156" s="13"/>
      <c r="B3156" s="14"/>
      <c r="C3156" s="14"/>
      <c r="D3156" s="14"/>
      <c r="E3156" s="14"/>
      <c r="F3156" s="14"/>
      <c r="G3156" s="14"/>
      <c r="H3156" s="14"/>
      <c r="I3156" s="14"/>
      <c r="J3156" s="14"/>
      <c r="K3156" s="14"/>
      <c r="L3156" s="15"/>
      <c r="M3156" s="15"/>
      <c r="N3156" s="15"/>
      <c r="O3156" s="15"/>
      <c r="P3156" s="15"/>
      <c r="Q3156" s="14"/>
      <c r="R3156" s="14"/>
      <c r="S3156" s="14"/>
      <c r="T3156" s="14"/>
      <c r="U3156" s="15"/>
      <c r="V3156" s="14"/>
      <c r="W3156" s="14"/>
      <c r="X3156" s="14"/>
      <c r="Y3156" s="14"/>
      <c r="Z3156" s="14"/>
    </row>
    <row r="3157" spans="1:26" ht="13.2">
      <c r="A3157" s="13"/>
      <c r="B3157" s="14"/>
      <c r="C3157" s="14"/>
      <c r="D3157" s="14"/>
      <c r="E3157" s="14"/>
      <c r="F3157" s="14"/>
      <c r="G3157" s="14"/>
      <c r="H3157" s="14"/>
      <c r="I3157" s="14"/>
      <c r="J3157" s="14"/>
      <c r="K3157" s="14"/>
      <c r="L3157" s="15"/>
      <c r="M3157" s="15"/>
      <c r="N3157" s="15"/>
      <c r="O3157" s="15"/>
      <c r="P3157" s="15"/>
      <c r="Q3157" s="14"/>
      <c r="R3157" s="14"/>
      <c r="S3157" s="14"/>
      <c r="T3157" s="14"/>
      <c r="U3157" s="15"/>
      <c r="V3157" s="14"/>
      <c r="W3157" s="14"/>
      <c r="X3157" s="14"/>
      <c r="Y3157" s="14"/>
      <c r="Z3157" s="14"/>
    </row>
    <row r="3158" spans="1:26" ht="13.2">
      <c r="A3158" s="13"/>
      <c r="B3158" s="14"/>
      <c r="C3158" s="14"/>
      <c r="D3158" s="14"/>
      <c r="E3158" s="14"/>
      <c r="F3158" s="14"/>
      <c r="G3158" s="14"/>
      <c r="H3158" s="14"/>
      <c r="I3158" s="14"/>
      <c r="J3158" s="14"/>
      <c r="K3158" s="14"/>
      <c r="L3158" s="15"/>
      <c r="M3158" s="15"/>
      <c r="N3158" s="15"/>
      <c r="O3158" s="15"/>
      <c r="P3158" s="15"/>
      <c r="Q3158" s="14"/>
      <c r="R3158" s="14"/>
      <c r="S3158" s="14"/>
      <c r="T3158" s="14"/>
      <c r="U3158" s="15"/>
      <c r="V3158" s="14"/>
      <c r="W3158" s="14"/>
      <c r="X3158" s="14"/>
      <c r="Y3158" s="14"/>
      <c r="Z3158" s="14"/>
    </row>
    <row r="3159" spans="1:26" ht="13.2">
      <c r="A3159" s="13"/>
      <c r="B3159" s="14"/>
      <c r="C3159" s="14"/>
      <c r="D3159" s="14"/>
      <c r="E3159" s="14"/>
      <c r="F3159" s="14"/>
      <c r="G3159" s="14"/>
      <c r="H3159" s="14"/>
      <c r="I3159" s="14"/>
      <c r="J3159" s="14"/>
      <c r="K3159" s="14"/>
      <c r="L3159" s="15"/>
      <c r="M3159" s="15"/>
      <c r="N3159" s="15"/>
      <c r="O3159" s="15"/>
      <c r="P3159" s="15"/>
      <c r="Q3159" s="14"/>
      <c r="R3159" s="14"/>
      <c r="S3159" s="14"/>
      <c r="T3159" s="14"/>
      <c r="U3159" s="15"/>
      <c r="V3159" s="14"/>
      <c r="W3159" s="14"/>
      <c r="X3159" s="14"/>
      <c r="Y3159" s="14"/>
      <c r="Z3159" s="14"/>
    </row>
    <row r="3160" spans="1:26" ht="13.2">
      <c r="A3160" s="13"/>
      <c r="B3160" s="14"/>
      <c r="C3160" s="14"/>
      <c r="D3160" s="14"/>
      <c r="E3160" s="14"/>
      <c r="F3160" s="14"/>
      <c r="G3160" s="14"/>
      <c r="H3160" s="14"/>
      <c r="I3160" s="14"/>
      <c r="J3160" s="14"/>
      <c r="K3160" s="14"/>
      <c r="L3160" s="15"/>
      <c r="M3160" s="15"/>
      <c r="N3160" s="15"/>
      <c r="O3160" s="15"/>
      <c r="P3160" s="15"/>
      <c r="Q3160" s="14"/>
      <c r="R3160" s="14"/>
      <c r="S3160" s="14"/>
      <c r="T3160" s="14"/>
      <c r="U3160" s="15"/>
      <c r="V3160" s="14"/>
      <c r="W3160" s="14"/>
      <c r="X3160" s="14"/>
      <c r="Y3160" s="14"/>
      <c r="Z3160" s="14"/>
    </row>
    <row r="3161" spans="1:26" ht="13.2">
      <c r="A3161" s="13"/>
      <c r="B3161" s="14"/>
      <c r="C3161" s="14"/>
      <c r="D3161" s="14"/>
      <c r="E3161" s="14"/>
      <c r="F3161" s="14"/>
      <c r="G3161" s="14"/>
      <c r="H3161" s="14"/>
      <c r="I3161" s="14"/>
      <c r="J3161" s="14"/>
      <c r="K3161" s="14"/>
      <c r="L3161" s="15"/>
      <c r="M3161" s="15"/>
      <c r="N3161" s="15"/>
      <c r="O3161" s="15"/>
      <c r="P3161" s="15"/>
      <c r="Q3161" s="14"/>
      <c r="R3161" s="14"/>
      <c r="S3161" s="14"/>
      <c r="T3161" s="14"/>
      <c r="U3161" s="15"/>
      <c r="V3161" s="14"/>
      <c r="W3161" s="14"/>
      <c r="X3161" s="14"/>
      <c r="Y3161" s="14"/>
      <c r="Z3161" s="14"/>
    </row>
    <row r="3162" spans="1:26" ht="13.2">
      <c r="A3162" s="13"/>
      <c r="B3162" s="14"/>
      <c r="C3162" s="14"/>
      <c r="D3162" s="14"/>
      <c r="E3162" s="14"/>
      <c r="F3162" s="14"/>
      <c r="G3162" s="14"/>
      <c r="H3162" s="14"/>
      <c r="I3162" s="14"/>
      <c r="J3162" s="14"/>
      <c r="K3162" s="14"/>
      <c r="L3162" s="15"/>
      <c r="M3162" s="15"/>
      <c r="N3162" s="15"/>
      <c r="O3162" s="15"/>
      <c r="P3162" s="15"/>
      <c r="Q3162" s="14"/>
      <c r="R3162" s="14"/>
      <c r="S3162" s="14"/>
      <c r="T3162" s="14"/>
      <c r="U3162" s="15"/>
      <c r="V3162" s="14"/>
      <c r="W3162" s="14"/>
      <c r="X3162" s="14"/>
      <c r="Y3162" s="14"/>
      <c r="Z3162" s="14"/>
    </row>
    <row r="3163" spans="1:26" ht="13.2">
      <c r="A3163" s="13"/>
      <c r="B3163" s="14"/>
      <c r="C3163" s="14"/>
      <c r="D3163" s="14"/>
      <c r="E3163" s="14"/>
      <c r="F3163" s="14"/>
      <c r="G3163" s="14"/>
      <c r="H3163" s="14"/>
      <c r="I3163" s="14"/>
      <c r="J3163" s="14"/>
      <c r="K3163" s="14"/>
      <c r="L3163" s="15"/>
      <c r="M3163" s="15"/>
      <c r="N3163" s="15"/>
      <c r="O3163" s="15"/>
      <c r="P3163" s="15"/>
      <c r="Q3163" s="14"/>
      <c r="R3163" s="14"/>
      <c r="S3163" s="14"/>
      <c r="T3163" s="14"/>
      <c r="U3163" s="15"/>
      <c r="V3163" s="14"/>
      <c r="W3163" s="14"/>
      <c r="X3163" s="14"/>
      <c r="Y3163" s="14"/>
      <c r="Z3163" s="14"/>
    </row>
    <row r="3164" spans="1:26" ht="13.2">
      <c r="A3164" s="13"/>
      <c r="B3164" s="14"/>
      <c r="C3164" s="14"/>
      <c r="D3164" s="14"/>
      <c r="E3164" s="14"/>
      <c r="F3164" s="14"/>
      <c r="G3164" s="14"/>
      <c r="H3164" s="14"/>
      <c r="I3164" s="14"/>
      <c r="J3164" s="14"/>
      <c r="K3164" s="14"/>
      <c r="L3164" s="15"/>
      <c r="M3164" s="15"/>
      <c r="N3164" s="15"/>
      <c r="O3164" s="15"/>
      <c r="P3164" s="15"/>
      <c r="Q3164" s="14"/>
      <c r="R3164" s="14"/>
      <c r="S3164" s="14"/>
      <c r="T3164" s="14"/>
      <c r="U3164" s="15"/>
      <c r="V3164" s="14"/>
      <c r="W3164" s="14"/>
      <c r="X3164" s="14"/>
      <c r="Y3164" s="14"/>
      <c r="Z3164" s="14"/>
    </row>
    <row r="3165" spans="1:26" ht="13.2">
      <c r="A3165" s="13"/>
      <c r="B3165" s="14"/>
      <c r="C3165" s="14"/>
      <c r="D3165" s="14"/>
      <c r="E3165" s="14"/>
      <c r="F3165" s="14"/>
      <c r="G3165" s="14"/>
      <c r="H3165" s="14"/>
      <c r="I3165" s="14"/>
      <c r="J3165" s="14"/>
      <c r="K3165" s="14"/>
      <c r="L3165" s="15"/>
      <c r="M3165" s="15"/>
      <c r="N3165" s="15"/>
      <c r="O3165" s="15"/>
      <c r="P3165" s="15"/>
      <c r="Q3165" s="14"/>
      <c r="R3165" s="14"/>
      <c r="S3165" s="14"/>
      <c r="T3165" s="14"/>
      <c r="U3165" s="15"/>
      <c r="V3165" s="14"/>
      <c r="W3165" s="14"/>
      <c r="X3165" s="14"/>
      <c r="Y3165" s="14"/>
      <c r="Z3165" s="14"/>
    </row>
    <row r="3166" spans="1:26" ht="13.2">
      <c r="A3166" s="13"/>
      <c r="B3166" s="14"/>
      <c r="C3166" s="14"/>
      <c r="D3166" s="14"/>
      <c r="E3166" s="14"/>
      <c r="F3166" s="14"/>
      <c r="G3166" s="14"/>
      <c r="H3166" s="14"/>
      <c r="I3166" s="14"/>
      <c r="J3166" s="14"/>
      <c r="K3166" s="14"/>
      <c r="L3166" s="15"/>
      <c r="M3166" s="15"/>
      <c r="N3166" s="15"/>
      <c r="O3166" s="15"/>
      <c r="P3166" s="15"/>
      <c r="Q3166" s="14"/>
      <c r="R3166" s="14"/>
      <c r="S3166" s="14"/>
      <c r="T3166" s="14"/>
      <c r="U3166" s="15"/>
      <c r="V3166" s="14"/>
      <c r="W3166" s="14"/>
      <c r="X3166" s="14"/>
      <c r="Y3166" s="14"/>
      <c r="Z3166" s="14"/>
    </row>
    <row r="3167" spans="1:26" ht="13.2">
      <c r="A3167" s="13"/>
      <c r="B3167" s="14"/>
      <c r="C3167" s="14"/>
      <c r="D3167" s="14"/>
      <c r="E3167" s="14"/>
      <c r="F3167" s="14"/>
      <c r="G3167" s="14"/>
      <c r="H3167" s="14"/>
      <c r="I3167" s="14"/>
      <c r="J3167" s="14"/>
      <c r="K3167" s="14"/>
      <c r="L3167" s="15"/>
      <c r="M3167" s="15"/>
      <c r="N3167" s="15"/>
      <c r="O3167" s="15"/>
      <c r="P3167" s="15"/>
      <c r="Q3167" s="14"/>
      <c r="R3167" s="14"/>
      <c r="S3167" s="14"/>
      <c r="T3167" s="14"/>
      <c r="U3167" s="15"/>
      <c r="V3167" s="14"/>
      <c r="W3167" s="14"/>
      <c r="X3167" s="14"/>
      <c r="Y3167" s="14"/>
      <c r="Z3167" s="14"/>
    </row>
    <row r="3168" spans="1:26" ht="13.2">
      <c r="A3168" s="13"/>
      <c r="B3168" s="14"/>
      <c r="C3168" s="14"/>
      <c r="D3168" s="14"/>
      <c r="E3168" s="14"/>
      <c r="F3168" s="14"/>
      <c r="G3168" s="14"/>
      <c r="H3168" s="14"/>
      <c r="I3168" s="14"/>
      <c r="J3168" s="14"/>
      <c r="K3168" s="14"/>
      <c r="L3168" s="15"/>
      <c r="M3168" s="15"/>
      <c r="N3168" s="15"/>
      <c r="O3168" s="15"/>
      <c r="P3168" s="15"/>
      <c r="Q3168" s="14"/>
      <c r="R3168" s="14"/>
      <c r="S3168" s="14"/>
      <c r="T3168" s="14"/>
      <c r="U3168" s="15"/>
      <c r="V3168" s="14"/>
      <c r="W3168" s="14"/>
      <c r="X3168" s="14"/>
      <c r="Y3168" s="14"/>
      <c r="Z3168" s="14"/>
    </row>
    <row r="3169" spans="1:26" ht="13.2">
      <c r="A3169" s="13"/>
      <c r="B3169" s="14"/>
      <c r="C3169" s="14"/>
      <c r="D3169" s="14"/>
      <c r="E3169" s="14"/>
      <c r="F3169" s="14"/>
      <c r="G3169" s="14"/>
      <c r="H3169" s="14"/>
      <c r="I3169" s="14"/>
      <c r="J3169" s="14"/>
      <c r="K3169" s="14"/>
      <c r="L3169" s="15"/>
      <c r="M3169" s="15"/>
      <c r="N3169" s="15"/>
      <c r="O3169" s="15"/>
      <c r="P3169" s="15"/>
      <c r="Q3169" s="14"/>
      <c r="R3169" s="14"/>
      <c r="S3169" s="14"/>
      <c r="T3169" s="14"/>
      <c r="U3169" s="15"/>
      <c r="V3169" s="14"/>
      <c r="W3169" s="14"/>
      <c r="X3169" s="14"/>
      <c r="Y3169" s="14"/>
      <c r="Z3169" s="14"/>
    </row>
    <row r="3170" spans="1:26" ht="13.2">
      <c r="A3170" s="13"/>
      <c r="B3170" s="14"/>
      <c r="C3170" s="14"/>
      <c r="D3170" s="14"/>
      <c r="E3170" s="14"/>
      <c r="F3170" s="14"/>
      <c r="G3170" s="14"/>
      <c r="H3170" s="14"/>
      <c r="I3170" s="14"/>
      <c r="J3170" s="14"/>
      <c r="K3170" s="14"/>
      <c r="L3170" s="15"/>
      <c r="M3170" s="15"/>
      <c r="N3170" s="15"/>
      <c r="O3170" s="15"/>
      <c r="P3170" s="15"/>
      <c r="Q3170" s="14"/>
      <c r="R3170" s="14"/>
      <c r="S3170" s="14"/>
      <c r="T3170" s="14"/>
      <c r="U3170" s="15"/>
      <c r="V3170" s="14"/>
      <c r="W3170" s="14"/>
      <c r="X3170" s="14"/>
      <c r="Y3170" s="14"/>
      <c r="Z3170" s="14"/>
    </row>
    <row r="3171" spans="1:26" ht="13.2">
      <c r="A3171" s="13"/>
      <c r="B3171" s="14"/>
      <c r="C3171" s="14"/>
      <c r="D3171" s="14"/>
      <c r="E3171" s="14"/>
      <c r="F3171" s="14"/>
      <c r="G3171" s="14"/>
      <c r="H3171" s="14"/>
      <c r="I3171" s="14"/>
      <c r="J3171" s="14"/>
      <c r="K3171" s="14"/>
      <c r="L3171" s="15"/>
      <c r="M3171" s="15"/>
      <c r="N3171" s="15"/>
      <c r="O3171" s="15"/>
      <c r="P3171" s="15"/>
      <c r="Q3171" s="14"/>
      <c r="R3171" s="14"/>
      <c r="S3171" s="14"/>
      <c r="T3171" s="14"/>
      <c r="U3171" s="15"/>
      <c r="V3171" s="14"/>
      <c r="W3171" s="14"/>
      <c r="X3171" s="14"/>
      <c r="Y3171" s="14"/>
      <c r="Z3171" s="14"/>
    </row>
    <row r="3172" spans="1:26" ht="13.2">
      <c r="A3172" s="13"/>
      <c r="B3172" s="14"/>
      <c r="C3172" s="14"/>
      <c r="D3172" s="14"/>
      <c r="E3172" s="14"/>
      <c r="F3172" s="14"/>
      <c r="G3172" s="14"/>
      <c r="H3172" s="14"/>
      <c r="I3172" s="14"/>
      <c r="J3172" s="14"/>
      <c r="K3172" s="14"/>
      <c r="L3172" s="15"/>
      <c r="M3172" s="15"/>
      <c r="N3172" s="15"/>
      <c r="O3172" s="15"/>
      <c r="P3172" s="15"/>
      <c r="Q3172" s="14"/>
      <c r="R3172" s="14"/>
      <c r="S3172" s="14"/>
      <c r="T3172" s="14"/>
      <c r="U3172" s="15"/>
      <c r="V3172" s="14"/>
      <c r="W3172" s="14"/>
      <c r="X3172" s="14"/>
      <c r="Y3172" s="14"/>
      <c r="Z3172" s="14"/>
    </row>
    <row r="3173" spans="1:26" ht="13.2">
      <c r="A3173" s="13"/>
      <c r="B3173" s="14"/>
      <c r="C3173" s="14"/>
      <c r="D3173" s="14"/>
      <c r="E3173" s="14"/>
      <c r="F3173" s="14"/>
      <c r="G3173" s="14"/>
      <c r="H3173" s="14"/>
      <c r="I3173" s="14"/>
      <c r="J3173" s="14"/>
      <c r="K3173" s="14"/>
      <c r="L3173" s="15"/>
      <c r="M3173" s="15"/>
      <c r="N3173" s="15"/>
      <c r="O3173" s="15"/>
      <c r="P3173" s="15"/>
      <c r="Q3173" s="14"/>
      <c r="R3173" s="14"/>
      <c r="S3173" s="14"/>
      <c r="T3173" s="14"/>
      <c r="U3173" s="15"/>
      <c r="V3173" s="14"/>
      <c r="W3173" s="14"/>
      <c r="X3173" s="14"/>
      <c r="Y3173" s="14"/>
      <c r="Z3173" s="14"/>
    </row>
    <row r="3174" spans="1:26" ht="13.2">
      <c r="A3174" s="13"/>
      <c r="B3174" s="14"/>
      <c r="C3174" s="14"/>
      <c r="D3174" s="14"/>
      <c r="E3174" s="14"/>
      <c r="F3174" s="14"/>
      <c r="G3174" s="14"/>
      <c r="H3174" s="14"/>
      <c r="I3174" s="14"/>
      <c r="J3174" s="14"/>
      <c r="K3174" s="14"/>
      <c r="L3174" s="15"/>
      <c r="M3174" s="15"/>
      <c r="N3174" s="15"/>
      <c r="O3174" s="15"/>
      <c r="P3174" s="15"/>
      <c r="Q3174" s="14"/>
      <c r="R3174" s="14"/>
      <c r="S3174" s="14"/>
      <c r="T3174" s="14"/>
      <c r="U3174" s="15"/>
      <c r="V3174" s="14"/>
      <c r="W3174" s="14"/>
      <c r="X3174" s="14"/>
      <c r="Y3174" s="14"/>
      <c r="Z3174" s="14"/>
    </row>
    <row r="3175" spans="1:26" ht="13.2">
      <c r="A3175" s="13"/>
      <c r="B3175" s="14"/>
      <c r="C3175" s="14"/>
      <c r="D3175" s="14"/>
      <c r="E3175" s="14"/>
      <c r="F3175" s="14"/>
      <c r="G3175" s="14"/>
      <c r="H3175" s="14"/>
      <c r="I3175" s="14"/>
      <c r="J3175" s="14"/>
      <c r="K3175" s="14"/>
      <c r="L3175" s="15"/>
      <c r="M3175" s="15"/>
      <c r="N3175" s="15"/>
      <c r="O3175" s="15"/>
      <c r="P3175" s="15"/>
      <c r="Q3175" s="14"/>
      <c r="R3175" s="14"/>
      <c r="S3175" s="14"/>
      <c r="T3175" s="14"/>
      <c r="U3175" s="15"/>
      <c r="V3175" s="14"/>
      <c r="W3175" s="14"/>
      <c r="X3175" s="14"/>
      <c r="Y3175" s="14"/>
      <c r="Z3175" s="14"/>
    </row>
    <row r="3176" spans="1:26" ht="13.2">
      <c r="A3176" s="13"/>
      <c r="B3176" s="14"/>
      <c r="C3176" s="14"/>
      <c r="D3176" s="14"/>
      <c r="E3176" s="14"/>
      <c r="F3176" s="14"/>
      <c r="G3176" s="14"/>
      <c r="H3176" s="14"/>
      <c r="I3176" s="14"/>
      <c r="J3176" s="14"/>
      <c r="K3176" s="14"/>
      <c r="L3176" s="15"/>
      <c r="M3176" s="15"/>
      <c r="N3176" s="15"/>
      <c r="O3176" s="15"/>
      <c r="P3176" s="15"/>
      <c r="Q3176" s="14"/>
      <c r="R3176" s="14"/>
      <c r="S3176" s="14"/>
      <c r="T3176" s="14"/>
      <c r="U3176" s="15"/>
      <c r="V3176" s="14"/>
      <c r="W3176" s="14"/>
      <c r="X3176" s="14"/>
      <c r="Y3176" s="14"/>
      <c r="Z3176" s="14"/>
    </row>
    <row r="3177" spans="1:26" ht="13.2">
      <c r="A3177" s="13"/>
      <c r="B3177" s="14"/>
      <c r="C3177" s="14"/>
      <c r="D3177" s="14"/>
      <c r="E3177" s="14"/>
      <c r="F3177" s="14"/>
      <c r="G3177" s="14"/>
      <c r="H3177" s="14"/>
      <c r="I3177" s="14"/>
      <c r="J3177" s="14"/>
      <c r="K3177" s="14"/>
      <c r="L3177" s="15"/>
      <c r="M3177" s="15"/>
      <c r="N3177" s="15"/>
      <c r="O3177" s="15"/>
      <c r="P3177" s="15"/>
      <c r="Q3177" s="14"/>
      <c r="R3177" s="14"/>
      <c r="S3177" s="14"/>
      <c r="T3177" s="14"/>
      <c r="U3177" s="15"/>
      <c r="V3177" s="14"/>
      <c r="W3177" s="14"/>
      <c r="X3177" s="14"/>
      <c r="Y3177" s="14"/>
      <c r="Z3177" s="14"/>
    </row>
    <row r="3178" spans="1:26" ht="13.2">
      <c r="A3178" s="13"/>
      <c r="B3178" s="14"/>
      <c r="C3178" s="14"/>
      <c r="D3178" s="14"/>
      <c r="E3178" s="14"/>
      <c r="F3178" s="14"/>
      <c r="G3178" s="14"/>
      <c r="H3178" s="14"/>
      <c r="I3178" s="14"/>
      <c r="J3178" s="14"/>
      <c r="K3178" s="14"/>
      <c r="L3178" s="15"/>
      <c r="M3178" s="15"/>
      <c r="N3178" s="15"/>
      <c r="O3178" s="15"/>
      <c r="P3178" s="15"/>
      <c r="Q3178" s="14"/>
      <c r="R3178" s="14"/>
      <c r="S3178" s="14"/>
      <c r="T3178" s="14"/>
      <c r="U3178" s="15"/>
      <c r="V3178" s="14"/>
      <c r="W3178" s="14"/>
      <c r="X3178" s="14"/>
      <c r="Y3178" s="14"/>
      <c r="Z3178" s="14"/>
    </row>
    <row r="3179" spans="1:26" ht="13.2">
      <c r="A3179" s="13"/>
      <c r="B3179" s="14"/>
      <c r="C3179" s="14"/>
      <c r="D3179" s="14"/>
      <c r="E3179" s="14"/>
      <c r="F3179" s="14"/>
      <c r="G3179" s="14"/>
      <c r="H3179" s="14"/>
      <c r="I3179" s="14"/>
      <c r="J3179" s="14"/>
      <c r="K3179" s="14"/>
      <c r="L3179" s="15"/>
      <c r="M3179" s="15"/>
      <c r="N3179" s="15"/>
      <c r="O3179" s="15"/>
      <c r="P3179" s="15"/>
      <c r="Q3179" s="14"/>
      <c r="R3179" s="14"/>
      <c r="S3179" s="14"/>
      <c r="T3179" s="14"/>
      <c r="U3179" s="15"/>
      <c r="V3179" s="14"/>
      <c r="W3179" s="14"/>
      <c r="X3179" s="14"/>
      <c r="Y3179" s="14"/>
      <c r="Z3179" s="14"/>
    </row>
    <row r="3180" spans="1:26" ht="13.2">
      <c r="A3180" s="13"/>
      <c r="B3180" s="14"/>
      <c r="C3180" s="14"/>
      <c r="D3180" s="14"/>
      <c r="E3180" s="14"/>
      <c r="F3180" s="14"/>
      <c r="G3180" s="14"/>
      <c r="H3180" s="14"/>
      <c r="I3180" s="14"/>
      <c r="J3180" s="14"/>
      <c r="K3180" s="14"/>
      <c r="L3180" s="15"/>
      <c r="M3180" s="15"/>
      <c r="N3180" s="15"/>
      <c r="O3180" s="15"/>
      <c r="P3180" s="15"/>
      <c r="Q3180" s="14"/>
      <c r="R3180" s="14"/>
      <c r="S3180" s="14"/>
      <c r="T3180" s="14"/>
      <c r="U3180" s="15"/>
      <c r="V3180" s="14"/>
      <c r="W3180" s="14"/>
      <c r="X3180" s="14"/>
      <c r="Y3180" s="14"/>
      <c r="Z3180" s="14"/>
    </row>
    <row r="3181" spans="1:26" ht="13.2">
      <c r="A3181" s="13"/>
      <c r="B3181" s="14"/>
      <c r="C3181" s="14"/>
      <c r="D3181" s="14"/>
      <c r="E3181" s="14"/>
      <c r="F3181" s="14"/>
      <c r="G3181" s="14"/>
      <c r="H3181" s="14"/>
      <c r="I3181" s="14"/>
      <c r="J3181" s="14"/>
      <c r="K3181" s="14"/>
      <c r="L3181" s="15"/>
      <c r="M3181" s="15"/>
      <c r="N3181" s="15"/>
      <c r="O3181" s="15"/>
      <c r="P3181" s="15"/>
      <c r="Q3181" s="14"/>
      <c r="R3181" s="14"/>
      <c r="S3181" s="14"/>
      <c r="T3181" s="14"/>
      <c r="U3181" s="15"/>
      <c r="V3181" s="14"/>
      <c r="W3181" s="14"/>
      <c r="X3181" s="14"/>
      <c r="Y3181" s="14"/>
      <c r="Z3181" s="14"/>
    </row>
    <row r="3182" spans="1:26" ht="13.2">
      <c r="A3182" s="13"/>
      <c r="B3182" s="14"/>
      <c r="C3182" s="14"/>
      <c r="D3182" s="14"/>
      <c r="E3182" s="14"/>
      <c r="F3182" s="14"/>
      <c r="G3182" s="14"/>
      <c r="H3182" s="14"/>
      <c r="I3182" s="14"/>
      <c r="J3182" s="14"/>
      <c r="K3182" s="14"/>
      <c r="L3182" s="15"/>
      <c r="M3182" s="15"/>
      <c r="N3182" s="15"/>
      <c r="O3182" s="15"/>
      <c r="P3182" s="15"/>
      <c r="Q3182" s="14"/>
      <c r="R3182" s="14"/>
      <c r="S3182" s="14"/>
      <c r="T3182" s="14"/>
      <c r="U3182" s="15"/>
      <c r="V3182" s="14"/>
      <c r="W3182" s="14"/>
      <c r="X3182" s="14"/>
      <c r="Y3182" s="14"/>
      <c r="Z3182" s="14"/>
    </row>
    <row r="3183" spans="1:26" ht="13.2">
      <c r="A3183" s="13"/>
      <c r="B3183" s="14"/>
      <c r="C3183" s="14"/>
      <c r="D3183" s="14"/>
      <c r="E3183" s="14"/>
      <c r="F3183" s="14"/>
      <c r="G3183" s="14"/>
      <c r="H3183" s="14"/>
      <c r="I3183" s="14"/>
      <c r="J3183" s="14"/>
      <c r="K3183" s="14"/>
      <c r="L3183" s="15"/>
      <c r="M3183" s="15"/>
      <c r="N3183" s="15"/>
      <c r="O3183" s="15"/>
      <c r="P3183" s="15"/>
      <c r="Q3183" s="14"/>
      <c r="R3183" s="14"/>
      <c r="S3183" s="14"/>
      <c r="T3183" s="14"/>
      <c r="U3183" s="15"/>
      <c r="V3183" s="14"/>
      <c r="W3183" s="14"/>
      <c r="X3183" s="14"/>
      <c r="Y3183" s="14"/>
      <c r="Z3183" s="14"/>
    </row>
    <row r="3184" spans="1:26" ht="13.2">
      <c r="A3184" s="13"/>
      <c r="B3184" s="14"/>
      <c r="C3184" s="14"/>
      <c r="D3184" s="14"/>
      <c r="E3184" s="14"/>
      <c r="F3184" s="14"/>
      <c r="G3184" s="14"/>
      <c r="H3184" s="14"/>
      <c r="I3184" s="14"/>
      <c r="J3184" s="14"/>
      <c r="K3184" s="14"/>
      <c r="L3184" s="15"/>
      <c r="M3184" s="15"/>
      <c r="N3184" s="15"/>
      <c r="O3184" s="15"/>
      <c r="P3184" s="15"/>
      <c r="Q3184" s="14"/>
      <c r="R3184" s="14"/>
      <c r="S3184" s="14"/>
      <c r="T3184" s="14"/>
      <c r="U3184" s="15"/>
      <c r="V3184" s="14"/>
      <c r="W3184" s="14"/>
      <c r="X3184" s="14"/>
      <c r="Y3184" s="14"/>
      <c r="Z3184" s="14"/>
    </row>
    <row r="3185" spans="1:26" ht="13.2">
      <c r="A3185" s="13"/>
      <c r="B3185" s="14"/>
      <c r="C3185" s="14"/>
      <c r="D3185" s="14"/>
      <c r="E3185" s="14"/>
      <c r="F3185" s="14"/>
      <c r="G3185" s="14"/>
      <c r="H3185" s="14"/>
      <c r="I3185" s="14"/>
      <c r="J3185" s="14"/>
      <c r="K3185" s="14"/>
      <c r="L3185" s="15"/>
      <c r="M3185" s="15"/>
      <c r="N3185" s="15"/>
      <c r="O3185" s="15"/>
      <c r="P3185" s="15"/>
      <c r="Q3185" s="14"/>
      <c r="R3185" s="14"/>
      <c r="S3185" s="14"/>
      <c r="T3185" s="14"/>
      <c r="U3185" s="15"/>
      <c r="V3185" s="14"/>
      <c r="W3185" s="14"/>
      <c r="X3185" s="14"/>
      <c r="Y3185" s="14"/>
      <c r="Z3185" s="14"/>
    </row>
    <row r="3186" spans="1:26" ht="13.2">
      <c r="A3186" s="13"/>
      <c r="B3186" s="14"/>
      <c r="C3186" s="14"/>
      <c r="D3186" s="14"/>
      <c r="E3186" s="14"/>
      <c r="F3186" s="14"/>
      <c r="G3186" s="14"/>
      <c r="H3186" s="14"/>
      <c r="I3186" s="14"/>
      <c r="J3186" s="14"/>
      <c r="K3186" s="14"/>
      <c r="L3186" s="15"/>
      <c r="M3186" s="15"/>
      <c r="N3186" s="15"/>
      <c r="O3186" s="15"/>
      <c r="P3186" s="15"/>
      <c r="Q3186" s="14"/>
      <c r="R3186" s="14"/>
      <c r="S3186" s="14"/>
      <c r="T3186" s="14"/>
      <c r="U3186" s="15"/>
      <c r="V3186" s="14"/>
      <c r="W3186" s="14"/>
      <c r="X3186" s="14"/>
      <c r="Y3186" s="14"/>
      <c r="Z3186" s="14"/>
    </row>
    <row r="3187" spans="1:26" ht="13.2">
      <c r="A3187" s="13"/>
      <c r="B3187" s="14"/>
      <c r="C3187" s="14"/>
      <c r="D3187" s="14"/>
      <c r="E3187" s="14"/>
      <c r="F3187" s="14"/>
      <c r="G3187" s="14"/>
      <c r="H3187" s="14"/>
      <c r="I3187" s="14"/>
      <c r="J3187" s="14"/>
      <c r="K3187" s="14"/>
      <c r="L3187" s="15"/>
      <c r="M3187" s="15"/>
      <c r="N3187" s="15"/>
      <c r="O3187" s="15"/>
      <c r="P3187" s="15"/>
      <c r="Q3187" s="14"/>
      <c r="R3187" s="14"/>
      <c r="S3187" s="14"/>
      <c r="T3187" s="14"/>
      <c r="U3187" s="15"/>
      <c r="V3187" s="14"/>
      <c r="W3187" s="14"/>
      <c r="X3187" s="14"/>
      <c r="Y3187" s="14"/>
      <c r="Z3187" s="14"/>
    </row>
    <row r="3188" spans="1:26" ht="13.2">
      <c r="A3188" s="13"/>
      <c r="B3188" s="14"/>
      <c r="C3188" s="14"/>
      <c r="D3188" s="14"/>
      <c r="E3188" s="14"/>
      <c r="F3188" s="14"/>
      <c r="G3188" s="14"/>
      <c r="H3188" s="14"/>
      <c r="I3188" s="14"/>
      <c r="J3188" s="14"/>
      <c r="K3188" s="14"/>
      <c r="L3188" s="15"/>
      <c r="M3188" s="15"/>
      <c r="N3188" s="15"/>
      <c r="O3188" s="15"/>
      <c r="P3188" s="15"/>
      <c r="Q3188" s="14"/>
      <c r="R3188" s="14"/>
      <c r="S3188" s="14"/>
      <c r="T3188" s="14"/>
      <c r="U3188" s="15"/>
      <c r="V3188" s="14"/>
      <c r="W3188" s="14"/>
      <c r="X3188" s="14"/>
      <c r="Y3188" s="14"/>
      <c r="Z3188" s="14"/>
    </row>
    <row r="3189" spans="1:26" ht="13.2">
      <c r="A3189" s="13"/>
      <c r="B3189" s="14"/>
      <c r="C3189" s="14"/>
      <c r="D3189" s="14"/>
      <c r="E3189" s="14"/>
      <c r="F3189" s="14"/>
      <c r="G3189" s="14"/>
      <c r="H3189" s="14"/>
      <c r="I3189" s="14"/>
      <c r="J3189" s="14"/>
      <c r="K3189" s="14"/>
      <c r="L3189" s="15"/>
      <c r="M3189" s="15"/>
      <c r="N3189" s="15"/>
      <c r="O3189" s="15"/>
      <c r="P3189" s="15"/>
      <c r="Q3189" s="14"/>
      <c r="R3189" s="14"/>
      <c r="S3189" s="14"/>
      <c r="T3189" s="14"/>
      <c r="U3189" s="15"/>
      <c r="V3189" s="14"/>
      <c r="W3189" s="14"/>
      <c r="X3189" s="14"/>
      <c r="Y3189" s="14"/>
      <c r="Z3189" s="14"/>
    </row>
    <row r="3190" spans="1:26" ht="13.2">
      <c r="A3190" s="13"/>
      <c r="B3190" s="14"/>
      <c r="C3190" s="14"/>
      <c r="D3190" s="14"/>
      <c r="E3190" s="14"/>
      <c r="F3190" s="14"/>
      <c r="G3190" s="14"/>
      <c r="H3190" s="14"/>
      <c r="I3190" s="14"/>
      <c r="J3190" s="14"/>
      <c r="K3190" s="14"/>
      <c r="L3190" s="15"/>
      <c r="M3190" s="15"/>
      <c r="N3190" s="15"/>
      <c r="O3190" s="15"/>
      <c r="P3190" s="15"/>
      <c r="Q3190" s="14"/>
      <c r="R3190" s="14"/>
      <c r="S3190" s="14"/>
      <c r="T3190" s="14"/>
      <c r="U3190" s="15"/>
      <c r="V3190" s="14"/>
      <c r="W3190" s="14"/>
      <c r="X3190" s="14"/>
      <c r="Y3190" s="14"/>
      <c r="Z3190" s="14"/>
    </row>
    <row r="3191" spans="1:26" ht="13.2">
      <c r="A3191" s="13"/>
      <c r="B3191" s="14"/>
      <c r="C3191" s="14"/>
      <c r="D3191" s="14"/>
      <c r="E3191" s="14"/>
      <c r="F3191" s="14"/>
      <c r="G3191" s="14"/>
      <c r="H3191" s="14"/>
      <c r="I3191" s="14"/>
      <c r="J3191" s="14"/>
      <c r="K3191" s="14"/>
      <c r="L3191" s="15"/>
      <c r="M3191" s="15"/>
      <c r="N3191" s="15"/>
      <c r="O3191" s="15"/>
      <c r="P3191" s="15"/>
      <c r="Q3191" s="14"/>
      <c r="R3191" s="14"/>
      <c r="S3191" s="14"/>
      <c r="T3191" s="14"/>
      <c r="U3191" s="15"/>
      <c r="V3191" s="14"/>
      <c r="W3191" s="14"/>
      <c r="X3191" s="14"/>
      <c r="Y3191" s="14"/>
      <c r="Z3191" s="14"/>
    </row>
    <row r="3192" spans="1:26" ht="13.2">
      <c r="A3192" s="13"/>
      <c r="B3192" s="14"/>
      <c r="C3192" s="14"/>
      <c r="D3192" s="14"/>
      <c r="E3192" s="14"/>
      <c r="F3192" s="14"/>
      <c r="G3192" s="14"/>
      <c r="H3192" s="14"/>
      <c r="I3192" s="14"/>
      <c r="J3192" s="14"/>
      <c r="K3192" s="14"/>
      <c r="L3192" s="15"/>
      <c r="M3192" s="15"/>
      <c r="N3192" s="15"/>
      <c r="O3192" s="15"/>
      <c r="P3192" s="15"/>
      <c r="Q3192" s="14"/>
      <c r="R3192" s="14"/>
      <c r="S3192" s="14"/>
      <c r="T3192" s="14"/>
      <c r="U3192" s="15"/>
      <c r="V3192" s="14"/>
      <c r="W3192" s="14"/>
      <c r="X3192" s="14"/>
      <c r="Y3192" s="14"/>
      <c r="Z3192" s="14"/>
    </row>
    <row r="3193" spans="1:26" ht="13.2">
      <c r="A3193" s="13"/>
      <c r="B3193" s="14"/>
      <c r="C3193" s="14"/>
      <c r="D3193" s="14"/>
      <c r="E3193" s="14"/>
      <c r="F3193" s="14"/>
      <c r="G3193" s="14"/>
      <c r="H3193" s="14"/>
      <c r="I3193" s="14"/>
      <c r="J3193" s="14"/>
      <c r="K3193" s="14"/>
      <c r="L3193" s="15"/>
      <c r="M3193" s="15"/>
      <c r="N3193" s="15"/>
      <c r="O3193" s="15"/>
      <c r="P3193" s="15"/>
      <c r="Q3193" s="14"/>
      <c r="R3193" s="14"/>
      <c r="S3193" s="14"/>
      <c r="T3193" s="14"/>
      <c r="U3193" s="15"/>
      <c r="V3193" s="14"/>
      <c r="W3193" s="14"/>
      <c r="X3193" s="14"/>
      <c r="Y3193" s="14"/>
      <c r="Z3193" s="14"/>
    </row>
    <row r="3194" spans="1:26" ht="13.2">
      <c r="A3194" s="13"/>
      <c r="B3194" s="14"/>
      <c r="C3194" s="14"/>
      <c r="D3194" s="14"/>
      <c r="E3194" s="14"/>
      <c r="F3194" s="14"/>
      <c r="G3194" s="14"/>
      <c r="H3194" s="14"/>
      <c r="I3194" s="14"/>
      <c r="J3194" s="14"/>
      <c r="K3194" s="14"/>
      <c r="L3194" s="15"/>
      <c r="M3194" s="15"/>
      <c r="N3194" s="15"/>
      <c r="O3194" s="15"/>
      <c r="P3194" s="15"/>
      <c r="Q3194" s="14"/>
      <c r="R3194" s="14"/>
      <c r="S3194" s="14"/>
      <c r="T3194" s="14"/>
      <c r="U3194" s="15"/>
      <c r="V3194" s="14"/>
      <c r="W3194" s="14"/>
      <c r="X3194" s="14"/>
      <c r="Y3194" s="14"/>
      <c r="Z3194" s="14"/>
    </row>
    <row r="3195" spans="1:26" ht="13.2">
      <c r="A3195" s="13"/>
      <c r="B3195" s="14"/>
      <c r="C3195" s="14"/>
      <c r="D3195" s="14"/>
      <c r="E3195" s="14"/>
      <c r="F3195" s="14"/>
      <c r="G3195" s="14"/>
      <c r="H3195" s="14"/>
      <c r="I3195" s="14"/>
      <c r="J3195" s="14"/>
      <c r="K3195" s="14"/>
      <c r="L3195" s="15"/>
      <c r="M3195" s="15"/>
      <c r="N3195" s="15"/>
      <c r="O3195" s="15"/>
      <c r="P3195" s="15"/>
      <c r="Q3195" s="14"/>
      <c r="R3195" s="14"/>
      <c r="S3195" s="14"/>
      <c r="T3195" s="14"/>
      <c r="U3195" s="15"/>
      <c r="V3195" s="14"/>
      <c r="W3195" s="14"/>
      <c r="X3195" s="14"/>
      <c r="Y3195" s="14"/>
      <c r="Z3195" s="14"/>
    </row>
    <row r="3196" spans="1:26" ht="13.2">
      <c r="A3196" s="13"/>
      <c r="B3196" s="14"/>
      <c r="C3196" s="14"/>
      <c r="D3196" s="14"/>
      <c r="E3196" s="14"/>
      <c r="F3196" s="14"/>
      <c r="G3196" s="14"/>
      <c r="H3196" s="14"/>
      <c r="I3196" s="14"/>
      <c r="J3196" s="14"/>
      <c r="K3196" s="14"/>
      <c r="L3196" s="15"/>
      <c r="M3196" s="15"/>
      <c r="N3196" s="15"/>
      <c r="O3196" s="15"/>
      <c r="P3196" s="15"/>
      <c r="Q3196" s="14"/>
      <c r="R3196" s="14"/>
      <c r="S3196" s="14"/>
      <c r="T3196" s="14"/>
      <c r="U3196" s="15"/>
      <c r="V3196" s="14"/>
      <c r="W3196" s="14"/>
      <c r="X3196" s="14"/>
      <c r="Y3196" s="14"/>
      <c r="Z3196" s="14"/>
    </row>
    <row r="3197" spans="1:26" ht="13.2">
      <c r="A3197" s="13"/>
      <c r="B3197" s="14"/>
      <c r="C3197" s="14"/>
      <c r="D3197" s="14"/>
      <c r="E3197" s="14"/>
      <c r="F3197" s="14"/>
      <c r="G3197" s="14"/>
      <c r="H3197" s="14"/>
      <c r="I3197" s="14"/>
      <c r="J3197" s="14"/>
      <c r="K3197" s="14"/>
      <c r="L3197" s="15"/>
      <c r="M3197" s="15"/>
      <c r="N3197" s="15"/>
      <c r="O3197" s="15"/>
      <c r="P3197" s="15"/>
      <c r="Q3197" s="14"/>
      <c r="R3197" s="14"/>
      <c r="S3197" s="14"/>
      <c r="T3197" s="14"/>
      <c r="U3197" s="15"/>
      <c r="V3197" s="14"/>
      <c r="W3197" s="14"/>
      <c r="X3197" s="14"/>
      <c r="Y3197" s="14"/>
      <c r="Z3197" s="14"/>
    </row>
    <row r="3198" spans="1:26" ht="13.2">
      <c r="A3198" s="13"/>
      <c r="B3198" s="14"/>
      <c r="C3198" s="14"/>
      <c r="D3198" s="14"/>
      <c r="E3198" s="14"/>
      <c r="F3198" s="14"/>
      <c r="G3198" s="14"/>
      <c r="H3198" s="14"/>
      <c r="I3198" s="14"/>
      <c r="J3198" s="14"/>
      <c r="K3198" s="14"/>
      <c r="L3198" s="15"/>
      <c r="M3198" s="15"/>
      <c r="N3198" s="15"/>
      <c r="O3198" s="15"/>
      <c r="P3198" s="15"/>
      <c r="Q3198" s="14"/>
      <c r="R3198" s="14"/>
      <c r="S3198" s="14"/>
      <c r="T3198" s="14"/>
      <c r="U3198" s="15"/>
      <c r="V3198" s="14"/>
      <c r="W3198" s="14"/>
      <c r="X3198" s="14"/>
      <c r="Y3198" s="14"/>
      <c r="Z3198" s="14"/>
    </row>
    <row r="3199" spans="1:26" ht="13.2">
      <c r="A3199" s="13"/>
      <c r="B3199" s="14"/>
      <c r="C3199" s="14"/>
      <c r="D3199" s="14"/>
      <c r="E3199" s="14"/>
      <c r="F3199" s="14"/>
      <c r="G3199" s="14"/>
      <c r="H3199" s="14"/>
      <c r="I3199" s="14"/>
      <c r="J3199" s="14"/>
      <c r="K3199" s="14"/>
      <c r="L3199" s="15"/>
      <c r="M3199" s="15"/>
      <c r="N3199" s="15"/>
      <c r="O3199" s="15"/>
      <c r="P3199" s="15"/>
      <c r="Q3199" s="14"/>
      <c r="R3199" s="14"/>
      <c r="S3199" s="14"/>
      <c r="T3199" s="14"/>
      <c r="U3199" s="15"/>
      <c r="V3199" s="14"/>
      <c r="W3199" s="14"/>
      <c r="X3199" s="14"/>
      <c r="Y3199" s="14"/>
      <c r="Z3199" s="14"/>
    </row>
    <row r="3200" spans="1:26" ht="13.2">
      <c r="A3200" s="13"/>
      <c r="B3200" s="14"/>
      <c r="C3200" s="14"/>
      <c r="D3200" s="14"/>
      <c r="E3200" s="14"/>
      <c r="F3200" s="14"/>
      <c r="G3200" s="14"/>
      <c r="H3200" s="14"/>
      <c r="I3200" s="14"/>
      <c r="J3200" s="14"/>
      <c r="K3200" s="14"/>
      <c r="L3200" s="15"/>
      <c r="M3200" s="15"/>
      <c r="N3200" s="15"/>
      <c r="O3200" s="15"/>
      <c r="P3200" s="15"/>
      <c r="Q3200" s="14"/>
      <c r="R3200" s="14"/>
      <c r="S3200" s="14"/>
      <c r="T3200" s="14"/>
      <c r="U3200" s="15"/>
      <c r="V3200" s="14"/>
      <c r="W3200" s="14"/>
      <c r="X3200" s="14"/>
      <c r="Y3200" s="14"/>
      <c r="Z3200" s="14"/>
    </row>
    <row r="3201" spans="1:26" ht="13.2">
      <c r="A3201" s="13"/>
      <c r="B3201" s="14"/>
      <c r="C3201" s="14"/>
      <c r="D3201" s="14"/>
      <c r="E3201" s="14"/>
      <c r="F3201" s="14"/>
      <c r="G3201" s="14"/>
      <c r="H3201" s="14"/>
      <c r="I3201" s="14"/>
      <c r="J3201" s="14"/>
      <c r="K3201" s="14"/>
      <c r="L3201" s="15"/>
      <c r="M3201" s="15"/>
      <c r="N3201" s="15"/>
      <c r="O3201" s="15"/>
      <c r="P3201" s="15"/>
      <c r="Q3201" s="14"/>
      <c r="R3201" s="14"/>
      <c r="S3201" s="14"/>
      <c r="T3201" s="14"/>
      <c r="U3201" s="15"/>
      <c r="V3201" s="14"/>
      <c r="W3201" s="14"/>
      <c r="X3201" s="14"/>
      <c r="Y3201" s="14"/>
      <c r="Z3201" s="14"/>
    </row>
    <row r="3202" spans="1:26" ht="13.2">
      <c r="A3202" s="13"/>
      <c r="B3202" s="14"/>
      <c r="C3202" s="14"/>
      <c r="D3202" s="14"/>
      <c r="E3202" s="14"/>
      <c r="F3202" s="14"/>
      <c r="G3202" s="14"/>
      <c r="H3202" s="14"/>
      <c r="I3202" s="14"/>
      <c r="J3202" s="14"/>
      <c r="K3202" s="14"/>
      <c r="L3202" s="15"/>
      <c r="M3202" s="15"/>
      <c r="N3202" s="15"/>
      <c r="O3202" s="15"/>
      <c r="P3202" s="15"/>
      <c r="Q3202" s="14"/>
      <c r="R3202" s="14"/>
      <c r="S3202" s="14"/>
      <c r="T3202" s="14"/>
      <c r="U3202" s="15"/>
      <c r="V3202" s="14"/>
      <c r="W3202" s="14"/>
      <c r="X3202" s="14"/>
      <c r="Y3202" s="14"/>
      <c r="Z3202" s="14"/>
    </row>
    <row r="3203" spans="1:26" ht="13.2">
      <c r="A3203" s="13"/>
      <c r="B3203" s="14"/>
      <c r="C3203" s="14"/>
      <c r="D3203" s="14"/>
      <c r="E3203" s="14"/>
      <c r="F3203" s="14"/>
      <c r="G3203" s="14"/>
      <c r="H3203" s="14"/>
      <c r="I3203" s="14"/>
      <c r="J3203" s="14"/>
      <c r="K3203" s="14"/>
      <c r="L3203" s="15"/>
      <c r="M3203" s="15"/>
      <c r="N3203" s="15"/>
      <c r="O3203" s="15"/>
      <c r="P3203" s="15"/>
      <c r="Q3203" s="14"/>
      <c r="R3203" s="14"/>
      <c r="S3203" s="14"/>
      <c r="T3203" s="14"/>
      <c r="U3203" s="15"/>
      <c r="V3203" s="14"/>
      <c r="W3203" s="14"/>
      <c r="X3203" s="14"/>
      <c r="Y3203" s="14"/>
      <c r="Z3203" s="14"/>
    </row>
    <row r="3204" spans="1:26" ht="13.2">
      <c r="A3204" s="13"/>
      <c r="B3204" s="14"/>
      <c r="C3204" s="14"/>
      <c r="D3204" s="14"/>
      <c r="E3204" s="14"/>
      <c r="F3204" s="14"/>
      <c r="G3204" s="14"/>
      <c r="H3204" s="14"/>
      <c r="I3204" s="14"/>
      <c r="J3204" s="14"/>
      <c r="K3204" s="14"/>
      <c r="L3204" s="15"/>
      <c r="M3204" s="15"/>
      <c r="N3204" s="15"/>
      <c r="O3204" s="15"/>
      <c r="P3204" s="15"/>
      <c r="Q3204" s="14"/>
      <c r="R3204" s="14"/>
      <c r="S3204" s="14"/>
      <c r="T3204" s="14"/>
      <c r="U3204" s="15"/>
      <c r="V3204" s="14"/>
      <c r="W3204" s="14"/>
      <c r="X3204" s="14"/>
      <c r="Y3204" s="14"/>
      <c r="Z3204" s="14"/>
    </row>
    <row r="3205" spans="1:26" ht="13.2">
      <c r="A3205" s="13"/>
      <c r="B3205" s="14"/>
      <c r="C3205" s="14"/>
      <c r="D3205" s="14"/>
      <c r="E3205" s="14"/>
      <c r="F3205" s="14"/>
      <c r="G3205" s="14"/>
      <c r="H3205" s="14"/>
      <c r="I3205" s="14"/>
      <c r="J3205" s="14"/>
      <c r="K3205" s="14"/>
      <c r="L3205" s="15"/>
      <c r="M3205" s="15"/>
      <c r="N3205" s="15"/>
      <c r="O3205" s="15"/>
      <c r="P3205" s="15"/>
      <c r="Q3205" s="14"/>
      <c r="R3205" s="14"/>
      <c r="S3205" s="14"/>
      <c r="T3205" s="14"/>
      <c r="U3205" s="15"/>
      <c r="V3205" s="14"/>
      <c r="W3205" s="14"/>
      <c r="X3205" s="14"/>
      <c r="Y3205" s="14"/>
      <c r="Z3205" s="14"/>
    </row>
    <row r="3206" spans="1:26" ht="13.2">
      <c r="A3206" s="13"/>
      <c r="B3206" s="14"/>
      <c r="C3206" s="14"/>
      <c r="D3206" s="14"/>
      <c r="E3206" s="14"/>
      <c r="F3206" s="14"/>
      <c r="G3206" s="14"/>
      <c r="H3206" s="14"/>
      <c r="I3206" s="14"/>
      <c r="J3206" s="14"/>
      <c r="K3206" s="14"/>
      <c r="L3206" s="15"/>
      <c r="M3206" s="15"/>
      <c r="N3206" s="15"/>
      <c r="O3206" s="15"/>
      <c r="P3206" s="15"/>
      <c r="Q3206" s="14"/>
      <c r="R3206" s="14"/>
      <c r="S3206" s="14"/>
      <c r="T3206" s="14"/>
      <c r="U3206" s="15"/>
      <c r="V3206" s="14"/>
      <c r="W3206" s="14"/>
      <c r="X3206" s="14"/>
      <c r="Y3206" s="14"/>
      <c r="Z3206" s="14"/>
    </row>
    <row r="3207" spans="1:26" ht="13.2">
      <c r="A3207" s="13"/>
      <c r="B3207" s="14"/>
      <c r="C3207" s="14"/>
      <c r="D3207" s="14"/>
      <c r="E3207" s="14"/>
      <c r="F3207" s="14"/>
      <c r="G3207" s="14"/>
      <c r="H3207" s="14"/>
      <c r="I3207" s="14"/>
      <c r="J3207" s="14"/>
      <c r="K3207" s="14"/>
      <c r="L3207" s="15"/>
      <c r="M3207" s="15"/>
      <c r="N3207" s="15"/>
      <c r="O3207" s="15"/>
      <c r="P3207" s="15"/>
      <c r="Q3207" s="14"/>
      <c r="R3207" s="14"/>
      <c r="S3207" s="14"/>
      <c r="T3207" s="14"/>
      <c r="U3207" s="15"/>
      <c r="V3207" s="14"/>
      <c r="W3207" s="14"/>
      <c r="X3207" s="14"/>
      <c r="Y3207" s="14"/>
      <c r="Z3207" s="14"/>
    </row>
    <row r="3208" spans="1:26" ht="13.2">
      <c r="A3208" s="13"/>
      <c r="B3208" s="14"/>
      <c r="C3208" s="14"/>
      <c r="D3208" s="14"/>
      <c r="E3208" s="14"/>
      <c r="F3208" s="14"/>
      <c r="G3208" s="14"/>
      <c r="H3208" s="14"/>
      <c r="I3208" s="14"/>
      <c r="J3208" s="14"/>
      <c r="K3208" s="14"/>
      <c r="L3208" s="15"/>
      <c r="M3208" s="15"/>
      <c r="N3208" s="15"/>
      <c r="O3208" s="15"/>
      <c r="P3208" s="15"/>
      <c r="Q3208" s="14"/>
      <c r="R3208" s="14"/>
      <c r="S3208" s="14"/>
      <c r="T3208" s="14"/>
      <c r="U3208" s="15"/>
      <c r="V3208" s="14"/>
      <c r="W3208" s="14"/>
      <c r="X3208" s="14"/>
      <c r="Y3208" s="14"/>
      <c r="Z3208" s="14"/>
    </row>
    <row r="3209" spans="1:26" ht="13.2">
      <c r="A3209" s="13"/>
      <c r="B3209" s="14"/>
      <c r="C3209" s="14"/>
      <c r="D3209" s="14"/>
      <c r="E3209" s="14"/>
      <c r="F3209" s="14"/>
      <c r="G3209" s="14"/>
      <c r="H3209" s="14"/>
      <c r="I3209" s="14"/>
      <c r="J3209" s="14"/>
      <c r="K3209" s="14"/>
      <c r="L3209" s="15"/>
      <c r="M3209" s="15"/>
      <c r="N3209" s="15"/>
      <c r="O3209" s="15"/>
      <c r="P3209" s="15"/>
      <c r="Q3209" s="14"/>
      <c r="R3209" s="14"/>
      <c r="S3209" s="14"/>
      <c r="T3209" s="14"/>
      <c r="U3209" s="15"/>
      <c r="V3209" s="14"/>
      <c r="W3209" s="14"/>
      <c r="X3209" s="14"/>
      <c r="Y3209" s="14"/>
      <c r="Z3209" s="14"/>
    </row>
    <row r="3210" spans="1:26" ht="13.2">
      <c r="A3210" s="13"/>
      <c r="B3210" s="14"/>
      <c r="C3210" s="14"/>
      <c r="D3210" s="14"/>
      <c r="E3210" s="14"/>
      <c r="F3210" s="14"/>
      <c r="G3210" s="14"/>
      <c r="H3210" s="14"/>
      <c r="I3210" s="14"/>
      <c r="J3210" s="14"/>
      <c r="K3210" s="14"/>
      <c r="L3210" s="15"/>
      <c r="M3210" s="15"/>
      <c r="N3210" s="15"/>
      <c r="O3210" s="15"/>
      <c r="P3210" s="15"/>
      <c r="Q3210" s="14"/>
      <c r="R3210" s="14"/>
      <c r="S3210" s="14"/>
      <c r="T3210" s="14"/>
      <c r="U3210" s="15"/>
      <c r="V3210" s="14"/>
      <c r="W3210" s="14"/>
      <c r="X3210" s="14"/>
      <c r="Y3210" s="14"/>
      <c r="Z3210" s="14"/>
    </row>
    <row r="3211" spans="1:26" ht="13.2">
      <c r="A3211" s="13"/>
      <c r="B3211" s="14"/>
      <c r="C3211" s="14"/>
      <c r="D3211" s="14"/>
      <c r="E3211" s="14"/>
      <c r="F3211" s="14"/>
      <c r="G3211" s="14"/>
      <c r="H3211" s="14"/>
      <c r="I3211" s="14"/>
      <c r="J3211" s="14"/>
      <c r="K3211" s="14"/>
      <c r="L3211" s="15"/>
      <c r="M3211" s="15"/>
      <c r="N3211" s="15"/>
      <c r="O3211" s="15"/>
      <c r="P3211" s="15"/>
      <c r="Q3211" s="14"/>
      <c r="R3211" s="14"/>
      <c r="S3211" s="14"/>
      <c r="T3211" s="14"/>
      <c r="U3211" s="15"/>
      <c r="V3211" s="14"/>
      <c r="W3211" s="14"/>
      <c r="X3211" s="14"/>
      <c r="Y3211" s="14"/>
      <c r="Z3211" s="14"/>
    </row>
    <row r="3212" spans="1:26" ht="13.2">
      <c r="A3212" s="13"/>
      <c r="B3212" s="14"/>
      <c r="C3212" s="14"/>
      <c r="D3212" s="14"/>
      <c r="E3212" s="14"/>
      <c r="F3212" s="14"/>
      <c r="G3212" s="14"/>
      <c r="H3212" s="14"/>
      <c r="I3212" s="14"/>
      <c r="J3212" s="14"/>
      <c r="K3212" s="14"/>
      <c r="L3212" s="15"/>
      <c r="M3212" s="15"/>
      <c r="N3212" s="15"/>
      <c r="O3212" s="15"/>
      <c r="P3212" s="15"/>
      <c r="Q3212" s="14"/>
      <c r="R3212" s="14"/>
      <c r="S3212" s="14"/>
      <c r="T3212" s="14"/>
      <c r="U3212" s="15"/>
      <c r="V3212" s="14"/>
      <c r="W3212" s="14"/>
      <c r="X3212" s="14"/>
      <c r="Y3212" s="14"/>
      <c r="Z3212" s="14"/>
    </row>
    <row r="3213" spans="1:26" ht="13.2">
      <c r="A3213" s="13"/>
      <c r="B3213" s="14"/>
      <c r="C3213" s="14"/>
      <c r="D3213" s="14"/>
      <c r="E3213" s="14"/>
      <c r="F3213" s="14"/>
      <c r="G3213" s="14"/>
      <c r="H3213" s="14"/>
      <c r="I3213" s="14"/>
      <c r="J3213" s="14"/>
      <c r="K3213" s="14"/>
      <c r="L3213" s="15"/>
      <c r="M3213" s="15"/>
      <c r="N3213" s="15"/>
      <c r="O3213" s="15"/>
      <c r="P3213" s="15"/>
      <c r="Q3213" s="14"/>
      <c r="R3213" s="14"/>
      <c r="S3213" s="14"/>
      <c r="T3213" s="14"/>
      <c r="U3213" s="15"/>
      <c r="V3213" s="14"/>
      <c r="W3213" s="14"/>
      <c r="X3213" s="14"/>
      <c r="Y3213" s="14"/>
      <c r="Z3213" s="14"/>
    </row>
    <row r="3214" spans="1:26" ht="13.2">
      <c r="A3214" s="13"/>
      <c r="B3214" s="14"/>
      <c r="C3214" s="14"/>
      <c r="D3214" s="14"/>
      <c r="E3214" s="14"/>
      <c r="F3214" s="14"/>
      <c r="G3214" s="14"/>
      <c r="H3214" s="14"/>
      <c r="I3214" s="14"/>
      <c r="J3214" s="14"/>
      <c r="K3214" s="14"/>
      <c r="L3214" s="15"/>
      <c r="M3214" s="15"/>
      <c r="N3214" s="15"/>
      <c r="O3214" s="15"/>
      <c r="P3214" s="15"/>
      <c r="Q3214" s="14"/>
      <c r="R3214" s="14"/>
      <c r="S3214" s="14"/>
      <c r="T3214" s="14"/>
      <c r="U3214" s="15"/>
      <c r="V3214" s="14"/>
      <c r="W3214" s="14"/>
      <c r="X3214" s="14"/>
      <c r="Y3214" s="14"/>
      <c r="Z3214" s="14"/>
    </row>
    <row r="3215" spans="1:26" ht="13.2"/>
  </sheetData>
  <hyperlinks>
    <hyperlink ref="F2" r:id="rId1" xr:uid="{932150EC-4152-4860-9142-5901FC828BEC}"/>
    <hyperlink ref="S2" r:id="rId2" xr:uid="{8404D135-60CE-42DA-900B-CEEB8456821A}"/>
    <hyperlink ref="G3" r:id="rId3" xr:uid="{C9275922-D038-4298-915C-137EA391D568}"/>
    <hyperlink ref="S3" r:id="rId4" xr:uid="{79B982C2-0E56-45DC-BFB4-6DD62F5D3413}"/>
    <hyperlink ref="F4" r:id="rId5" xr:uid="{99E93675-040F-4E18-BC63-3A0609821B9F}"/>
    <hyperlink ref="G4" r:id="rId6" xr:uid="{BB75DCEE-0692-4D31-87C9-752B5BB18CF3}"/>
    <hyperlink ref="S4" r:id="rId7" xr:uid="{C1486D67-4100-4D02-BEE4-C8B5535F9784}"/>
    <hyperlink ref="S5" r:id="rId8" xr:uid="{9611A969-1CC5-43CE-BF87-3BAA4B24B7C1}"/>
    <hyperlink ref="F6" r:id="rId9" xr:uid="{EDF42B79-B687-46F7-B8D9-760007A6284F}"/>
    <hyperlink ref="F7" r:id="rId10" xr:uid="{4C0F850D-47A6-4A66-9A22-9CBE145567C7}"/>
    <hyperlink ref="F8" r:id="rId11" xr:uid="{68F51F6B-19E6-445A-B5F6-F11BDB4F8ECA}"/>
    <hyperlink ref="S8" r:id="rId12" xr:uid="{7B8C9D17-E1BC-4F65-8E4C-FE3BAAB6EBE0}"/>
    <hyperlink ref="F9" r:id="rId13" xr:uid="{F3E7B250-B9A6-4DDC-861B-A9FEBF285583}"/>
    <hyperlink ref="G9" r:id="rId14" xr:uid="{EEB278F8-A72E-4778-ADA7-669E63ABE8FF}"/>
    <hyperlink ref="S9" r:id="rId15" xr:uid="{ED7E1816-1600-4DB4-9CB6-A5AC804CFAB4}"/>
    <hyperlink ref="F10" r:id="rId16" xr:uid="{3DE2D431-3494-4407-A109-84DA269C802E}"/>
    <hyperlink ref="G10" r:id="rId17" xr:uid="{5AB5F282-8BF7-4D6C-934A-182B1EEE1B28}"/>
    <hyperlink ref="S10" r:id="rId18" xr:uid="{A59E2087-B57B-4403-9FFB-0216351E247C}"/>
    <hyperlink ref="F11" r:id="rId19" xr:uid="{E111F98F-42D8-4DCE-8428-79E59B0F86D0}"/>
    <hyperlink ref="S11" r:id="rId20" xr:uid="{1FB78A6B-D371-4C3E-8A9A-494E90C94EB7}"/>
    <hyperlink ref="F12" r:id="rId21" xr:uid="{70C95FF3-7353-41F1-A59B-82272F79DD3E}"/>
    <hyperlink ref="S12" r:id="rId22" xr:uid="{43A55214-E2AC-4FC3-BCF4-DC71ABE22AFE}"/>
    <hyperlink ref="F13" r:id="rId23" xr:uid="{8DB9CA14-C0DB-4759-86FA-B7B66DE6D017}"/>
    <hyperlink ref="G13" r:id="rId24" xr:uid="{36C4F554-CA54-4ABB-B38A-5F25950D5545}"/>
    <hyperlink ref="S13" r:id="rId25" xr:uid="{9CDED94C-C160-4422-9362-52C2BB3355CD}"/>
    <hyperlink ref="F14" r:id="rId26" xr:uid="{FA8ED910-26FA-4C11-8B91-1B48CF6E3F2E}"/>
    <hyperlink ref="S14" r:id="rId27" xr:uid="{E52A3248-59AD-4291-84DE-3731964F10E6}"/>
    <hyperlink ref="F15" r:id="rId28" xr:uid="{47083136-496E-4DE3-8DEE-48C7386F6DEA}"/>
    <hyperlink ref="G15" r:id="rId29" xr:uid="{B601A4D5-0D11-404C-B143-A76B200D6AF9}"/>
    <hyperlink ref="S15" r:id="rId30" xr:uid="{BC574E1E-D53C-4CC7-99DB-50CA02AD63C7}"/>
    <hyperlink ref="F16" r:id="rId31" xr:uid="{86B2F6C8-2E98-4326-B5C0-CC2772C621CE}"/>
    <hyperlink ref="G16" r:id="rId32" xr:uid="{BC686368-245F-47A2-B680-E92BBBB9FEBC}"/>
    <hyperlink ref="S16" r:id="rId33" xr:uid="{479D74C3-C4B2-4D83-9A4A-E5D9737F0E02}"/>
    <hyperlink ref="G18" r:id="rId34" xr:uid="{9CB0F88A-01B0-436B-B8D4-9A75BC76AF9B}"/>
    <hyperlink ref="F19" r:id="rId35" xr:uid="{D5C8066F-441B-48D6-B686-9DDADF074975}"/>
    <hyperlink ref="F20" r:id="rId36" xr:uid="{47FD9656-4B61-4B09-8497-A8267B7A1366}"/>
    <hyperlink ref="S20" r:id="rId37" xr:uid="{9B8D708C-E063-499E-93B0-9259A7D7A9E2}"/>
    <hyperlink ref="F21" r:id="rId38" xr:uid="{0F1D17F8-7148-4C7D-BB27-E120C11631E9}"/>
    <hyperlink ref="S21" r:id="rId39" xr:uid="{69A75F31-A842-45DE-A7D7-CA2360911E37}"/>
    <hyperlink ref="F22" r:id="rId40" xr:uid="{5E15A47E-E08A-4748-82FA-F2D53BF67D58}"/>
    <hyperlink ref="G22" r:id="rId41" xr:uid="{BB4FC050-6A3C-483D-969F-343BC66F64C2}"/>
    <hyperlink ref="S22" r:id="rId42" xr:uid="{698682AA-6DCE-4004-BD38-95594B9F7B09}"/>
    <hyperlink ref="F23" r:id="rId43" xr:uid="{FA047636-6F0B-4C24-8811-DEC8ED72AA28}"/>
    <hyperlink ref="G23" r:id="rId44" xr:uid="{700E5566-8D97-4DE8-95E1-EA96085CF8CE}"/>
    <hyperlink ref="S23" r:id="rId45" xr:uid="{531D2372-B722-4EAA-A40C-C810AC8C745E}"/>
    <hyperlink ref="F24" r:id="rId46" xr:uid="{3E4C0754-7605-4D51-BF23-23D0889F3434}"/>
    <hyperlink ref="F25" r:id="rId47" xr:uid="{986F8F78-A043-43F7-A9B2-DF82DC0859E8}"/>
    <hyperlink ref="F26" r:id="rId48" xr:uid="{BCDD78E9-600E-4534-BA67-972CE7248AB3}"/>
    <hyperlink ref="S26" r:id="rId49" xr:uid="{1484E196-7E38-4528-A3A8-EC24359CD8C0}"/>
    <hyperlink ref="F27" r:id="rId50" xr:uid="{EBE2E918-1594-47E3-9711-847AAD62BEBD}"/>
    <hyperlink ref="S27" r:id="rId51" xr:uid="{2B3FC9A1-5818-4BC6-9381-2F4BBB786BD8}"/>
    <hyperlink ref="F28" r:id="rId52" xr:uid="{82A9E97C-0BA7-482A-80C0-5CBF1102016E}"/>
    <hyperlink ref="S28" r:id="rId53" xr:uid="{AF3133E6-E4F3-42CA-A195-AC71C040EE23}"/>
    <hyperlink ref="F29" r:id="rId54" xr:uid="{2E02EFAB-D17E-419D-B020-7B8EA26DD9C4}"/>
    <hyperlink ref="G29" r:id="rId55" xr:uid="{34023D74-0F2E-4CB6-96C3-ADBABF3E4204}"/>
    <hyperlink ref="S29" r:id="rId56" xr:uid="{A667351C-3D6B-410B-A609-320D23A04EDD}"/>
    <hyperlink ref="F30" r:id="rId57" xr:uid="{26A8DB63-E4EA-4B8E-BF7B-7D6FE758079A}"/>
    <hyperlink ref="F31" r:id="rId58" xr:uid="{BB60833E-350C-4E87-95F6-9B057D06A7E4}"/>
    <hyperlink ref="S31" r:id="rId59" xr:uid="{9A36E334-1C7A-4628-9944-C357F0188921}"/>
    <hyperlink ref="F32" r:id="rId60" xr:uid="{0E2D811A-A381-4CA5-B9C2-3D0A8CFC3F88}"/>
    <hyperlink ref="S32" r:id="rId61" xr:uid="{9866CF13-42D9-49F3-9ABC-3BEC39CB5659}"/>
    <hyperlink ref="F33" r:id="rId62" xr:uid="{92E19211-14C5-4D94-B469-9C07ED2E14EC}"/>
    <hyperlink ref="S33" r:id="rId63" xr:uid="{74E4E57A-E8AF-4BE3-BC38-F5F2B478459F}"/>
    <hyperlink ref="G34" r:id="rId64" xr:uid="{C92CECE3-E1C3-434A-AA50-FE1E6E0E36F2}"/>
    <hyperlink ref="S34" r:id="rId65" xr:uid="{57B21323-6A13-4610-B57C-8603A992972C}"/>
    <hyperlink ref="S35" r:id="rId66" xr:uid="{7201D269-6E45-4F3A-B447-713814067889}"/>
    <hyperlink ref="F36" r:id="rId67" xr:uid="{D37E2D70-85DE-407D-831D-76F8DBF4AF33}"/>
    <hyperlink ref="S36" r:id="rId68" xr:uid="{6C61BF49-1AA1-440C-81E0-9337854EAFA1}"/>
    <hyperlink ref="F38" r:id="rId69" xr:uid="{97AC2E34-9994-4499-A562-CD08302A6F84}"/>
    <hyperlink ref="G38" r:id="rId70" xr:uid="{952BA951-0D1A-473C-867E-6993A47A4087}"/>
    <hyperlink ref="S38" r:id="rId71" xr:uid="{C72B021D-A880-411B-8A12-28C3AF2191A2}"/>
    <hyperlink ref="F39" r:id="rId72" xr:uid="{41CD6D86-F1EB-4934-9CEE-34ADE18ABD52}"/>
    <hyperlink ref="G39" r:id="rId73" xr:uid="{03245063-6246-439C-A73C-814412BE751F}"/>
    <hyperlink ref="S39" r:id="rId74" xr:uid="{398C71B0-E35B-4F5A-8CD7-AB6E6E873AA2}"/>
    <hyperlink ref="F40" r:id="rId75" xr:uid="{B11F202D-0614-442F-9437-F00456A2807C}"/>
    <hyperlink ref="G40" r:id="rId76" xr:uid="{5A6C8018-0C94-41E8-B11B-94C62E7E683E}"/>
    <hyperlink ref="S40" r:id="rId77" xr:uid="{D172944C-6B4A-4D21-AC5A-328496E75165}"/>
    <hyperlink ref="G41" r:id="rId78" xr:uid="{F9895D60-D022-465A-BAF8-E3D6EB6AF44A}"/>
    <hyperlink ref="S41" r:id="rId79" xr:uid="{071E1A1E-F1FD-4C09-AF17-343BF3EEE5F9}"/>
    <hyperlink ref="F42" r:id="rId80" xr:uid="{1A67A8E6-F0A1-4AEA-B32F-06390087EB53}"/>
    <hyperlink ref="G42" r:id="rId81" xr:uid="{0A44C012-A9F9-4E4B-A295-7C703135EA0D}"/>
    <hyperlink ref="S42" r:id="rId82" xr:uid="{79A7A0D9-99B3-40ED-A272-2FD48AAF28FE}"/>
    <hyperlink ref="G43" r:id="rId83" xr:uid="{6406FE7A-5311-480C-8B6C-DC2E5F98600A}"/>
    <hyperlink ref="S43" r:id="rId84" xr:uid="{14EF5F00-AEAC-4139-BED4-2CFBC2189265}"/>
    <hyperlink ref="F44" r:id="rId85" xr:uid="{84F8344C-791A-4922-83EC-4101D779982D}"/>
    <hyperlink ref="G44" r:id="rId86" xr:uid="{68C9FFBB-5CDA-4015-BC5F-E02C659A1C50}"/>
    <hyperlink ref="S44" r:id="rId87" xr:uid="{40437F8E-9005-4044-B0B7-72C44AEA50D4}"/>
    <hyperlink ref="F45" r:id="rId88" xr:uid="{B0A42C5A-84FF-40F0-A783-67A982A36776}"/>
    <hyperlink ref="S45" r:id="rId89" xr:uid="{E894891F-0BF9-4577-8F4B-B0F88F949BD6}"/>
    <hyperlink ref="F46" r:id="rId90" xr:uid="{CFD3A91B-3236-463E-955C-1511619D7E91}"/>
    <hyperlink ref="S46" r:id="rId91" xr:uid="{3FB97507-0765-49E3-BBBD-3B71B1609600}"/>
    <hyperlink ref="S47" r:id="rId92" xr:uid="{34546F32-2EB7-4C0F-A402-1401A604F845}"/>
    <hyperlink ref="F48" r:id="rId93" xr:uid="{44245775-209F-4882-B28B-E13CF52E73F5}"/>
    <hyperlink ref="S48" r:id="rId94" xr:uid="{568C844C-877F-4AAA-A7A4-05EE5B7FF75D}"/>
    <hyperlink ref="F49" r:id="rId95" xr:uid="{7BF61E0C-2BE0-45BC-B553-72C924347225}"/>
    <hyperlink ref="S49" r:id="rId96" xr:uid="{CB753A8D-76F9-4788-88A3-A4DA524044D9}"/>
    <hyperlink ref="F50" r:id="rId97" xr:uid="{40FD17C3-A0E4-4BD1-ADA7-8BEC81A84E43}"/>
    <hyperlink ref="S50" r:id="rId98" xr:uid="{BD5A4E2B-8997-4D7E-ACAE-4D4CB2F70D9F}"/>
    <hyperlink ref="F51" r:id="rId99" xr:uid="{2561E431-4C68-4853-AFD0-3C3EF9CC7BCF}"/>
    <hyperlink ref="S51" r:id="rId100" xr:uid="{8537E77F-79C3-46A3-88D2-A55F6FF57E4C}"/>
    <hyperlink ref="F52" r:id="rId101" xr:uid="{B924FE86-3CF6-4258-B744-80E0C065B7BC}"/>
    <hyperlink ref="F53" r:id="rId102" xr:uid="{29275375-411D-40A2-AEDA-72E0EBA512F7}"/>
    <hyperlink ref="F54" r:id="rId103" xr:uid="{D21748EB-458E-48F9-A80A-BF529E91F5E4}"/>
    <hyperlink ref="G54" r:id="rId104" xr:uid="{47395BD4-B164-4C60-AAA9-1316F76ED171}"/>
    <hyperlink ref="S54" r:id="rId105" xr:uid="{69B089E1-2CFF-408A-BDE8-B926E7EDD354}"/>
    <hyperlink ref="F55" r:id="rId106" xr:uid="{DCD0309F-A8C5-49D2-8BCE-1F6BC3EC0ADC}"/>
    <hyperlink ref="S55" r:id="rId107" xr:uid="{EE6BD1E0-F0BF-4258-B9F3-574E5DAD873A}"/>
    <hyperlink ref="F56" r:id="rId108" xr:uid="{FE494C33-5E2B-43E0-9518-67D7E0C85270}"/>
    <hyperlink ref="G56" r:id="rId109" xr:uid="{BA3E6198-25F8-4A06-A966-916E41B8C049}"/>
    <hyperlink ref="S56" r:id="rId110" xr:uid="{A2660A38-F7DC-4A7F-8ABB-B3890A64BE68}"/>
    <hyperlink ref="F57" r:id="rId111" xr:uid="{6258660E-2F2B-40CA-8273-690D01C39A7D}"/>
    <hyperlink ref="S57" r:id="rId112" xr:uid="{9EFFDFB7-A047-4D0C-B0D2-46804C9E6137}"/>
    <hyperlink ref="G58" r:id="rId113" xr:uid="{5C1E4472-594D-4A9D-8DB9-C54E9481E3BC}"/>
    <hyperlink ref="S58" r:id="rId114" xr:uid="{96188DDA-9241-493E-8824-4037DAD53A7E}"/>
    <hyperlink ref="F59" r:id="rId115" xr:uid="{8755B529-3819-48D2-AC2F-48C4026193FB}"/>
    <hyperlink ref="F60" r:id="rId116" xr:uid="{1D70039F-7BB8-441F-9EF2-E3FB8143FA1F}"/>
    <hyperlink ref="S60" r:id="rId117" xr:uid="{9D6B2531-410F-477C-9572-7645309F9D15}"/>
    <hyperlink ref="F61" r:id="rId118" xr:uid="{828DA16E-8ECF-46C2-8B3A-814B20372EDC}"/>
    <hyperlink ref="G61" r:id="rId119" xr:uid="{42942AD3-0065-486B-9E12-AA7A0E5A1DB4}"/>
    <hyperlink ref="S61" r:id="rId120" xr:uid="{528D680C-54CE-426E-A1E0-4DB72FE75C71}"/>
    <hyperlink ref="G62" r:id="rId121" xr:uid="{9348DDC5-111D-42FD-BA24-947DD9CFF3D6}"/>
    <hyperlink ref="S62" r:id="rId122" xr:uid="{A96D7EFF-9D30-47BA-B373-B64FF030FDA8}"/>
    <hyperlink ref="F63" r:id="rId123" xr:uid="{EFBA3CD4-1005-4599-ABC1-C78AC99F78EA}"/>
    <hyperlink ref="G63" r:id="rId124" xr:uid="{2EEE4208-0CA1-4D09-A696-D5482AFDCF58}"/>
    <hyperlink ref="S63" r:id="rId125" xr:uid="{F98C6A79-7285-4B90-AA66-FF1121309F84}"/>
    <hyperlink ref="F65" r:id="rId126" xr:uid="{8D4EB90E-5485-4712-B7B1-5AFA23CDB17C}"/>
    <hyperlink ref="G65" r:id="rId127" xr:uid="{B6392406-E2E3-4721-8F8F-494D988B5BE2}"/>
    <hyperlink ref="S65" r:id="rId128" xr:uid="{51A48D1A-D2F7-43B0-9EA3-E088DE1A0BF7}"/>
    <hyperlink ref="F66" r:id="rId129" xr:uid="{59437C9B-33B5-4E08-8604-0C33A6569827}"/>
    <hyperlink ref="F67" r:id="rId130" xr:uid="{EA3AD20D-133E-469D-9670-EE0549BFE98D}"/>
    <hyperlink ref="S67" r:id="rId131" xr:uid="{1494BD9A-05C2-4E29-B593-7C2278BBB44E}"/>
    <hyperlink ref="S68" r:id="rId132" xr:uid="{2CD1DEE7-3509-4140-92BE-BA1256272C8C}"/>
    <hyperlink ref="G69" r:id="rId133" xr:uid="{496F97DE-A93B-407E-B2EB-38E68737C5CB}"/>
    <hyperlink ref="S70" r:id="rId134" xr:uid="{11E96B88-31BA-47C1-B575-3CE0FA582417}"/>
    <hyperlink ref="F71" r:id="rId135" xr:uid="{9AE4BB08-33A2-47A6-9DC7-C08387584678}"/>
    <hyperlink ref="G71" r:id="rId136" xr:uid="{79A81EA2-8A0C-4839-8328-EFD9673DF2B4}"/>
    <hyperlink ref="S71" r:id="rId137" xr:uid="{67C6C634-CE98-4D42-AD89-66964AFE9F1B}"/>
    <hyperlink ref="F72" r:id="rId138" xr:uid="{2C910D4C-4A29-4DEC-8E0D-B168B3D43528}"/>
    <hyperlink ref="F73" r:id="rId139" xr:uid="{739481E7-FF0D-4C9C-B1A4-ECFD10B2C7BD}"/>
    <hyperlink ref="S73" r:id="rId140" xr:uid="{B1070F16-2CF8-43BF-90AE-B13BFBF80F30}"/>
    <hyperlink ref="F74" r:id="rId141" xr:uid="{2F6DB256-278F-4F23-84D7-DFB1A99984E8}"/>
    <hyperlink ref="S74" r:id="rId142" xr:uid="{75E720CD-85AF-4AB9-BC22-17C7C08314F2}"/>
    <hyperlink ref="F76" r:id="rId143" xr:uid="{89AB9E56-382B-4F3C-A703-B8133FAB5ECD}"/>
    <hyperlink ref="S76" r:id="rId144" xr:uid="{7AD2E1BF-0D35-48AB-B275-258F170F197C}"/>
    <hyperlink ref="G77" r:id="rId145" xr:uid="{4A9C739B-2252-45E5-986C-21C26E5A2DC6}"/>
    <hyperlink ref="F78" r:id="rId146" xr:uid="{D7D632C0-1C52-4A3B-A11F-0B8D6904CEF8}"/>
    <hyperlink ref="G78" r:id="rId147" xr:uid="{FF411AFA-EF11-487F-BA74-B26F30A5C809}"/>
    <hyperlink ref="S78" r:id="rId148" xr:uid="{6F551B8B-8879-4EFA-A27B-1F2560B303A8}"/>
    <hyperlink ref="G79" r:id="rId149" xr:uid="{A947498D-9FAB-4F04-AAB9-CA3FEE3D5F84}"/>
    <hyperlink ref="S79" r:id="rId150" xr:uid="{A86065CD-B31A-405B-9803-1CE78FDFD910}"/>
    <hyperlink ref="F80" r:id="rId151" xr:uid="{4EC6ECD8-272E-4559-8085-8852E168F7E8}"/>
    <hyperlink ref="G81" r:id="rId152" xr:uid="{F0F44B10-1035-4C22-B908-1656A6459FAF}"/>
    <hyperlink ref="S81" r:id="rId153" xr:uid="{A7B3414D-555D-4E56-866F-1540F91E1355}"/>
    <hyperlink ref="F82" r:id="rId154" xr:uid="{2A9C644C-F5EE-4871-9D6D-FF84023878A7}"/>
    <hyperlink ref="G82" r:id="rId155" xr:uid="{72EADC92-03D4-4A09-8F7B-95D2E40E30D2}"/>
    <hyperlink ref="S83" r:id="rId156" xr:uid="{BA2AC6AD-2266-4061-82CA-B80A46D26B53}"/>
    <hyperlink ref="G84" r:id="rId157" xr:uid="{03E1B5C5-0039-4F8C-982A-173D701220F1}"/>
    <hyperlink ref="S84" r:id="rId158" xr:uid="{6EB9980C-78EB-4DED-BB82-33336DAEEB5B}"/>
    <hyperlink ref="G85" r:id="rId159" xr:uid="{B90C9308-B4D6-4339-B14B-5CD997C6940F}"/>
    <hyperlink ref="S85" r:id="rId160" xr:uid="{E5D694EB-ECC7-4F14-ADDE-6335B0350E67}"/>
    <hyperlink ref="F86" r:id="rId161" xr:uid="{6547E650-EAA6-4829-8866-A350E2B54EEB}"/>
    <hyperlink ref="G86" r:id="rId162" xr:uid="{0511C7BB-2E14-47DC-A36C-EA1669B8325C}"/>
    <hyperlink ref="S86" r:id="rId163" xr:uid="{78CEEA39-6916-43EB-A0B1-2437EEFCD8C9}"/>
    <hyperlink ref="F87" r:id="rId164" xr:uid="{7EB3F256-1760-4F57-854C-18EFEA348673}"/>
    <hyperlink ref="S87" r:id="rId165" xr:uid="{58D09517-1C73-424C-B676-E050B298F8E9}"/>
    <hyperlink ref="S88" r:id="rId166" xr:uid="{0B2C3E97-145D-4EE1-B4B0-A93437F4D6F3}"/>
    <hyperlink ref="F89" r:id="rId167" xr:uid="{1DE47480-7C44-412F-9DF9-78D85DC6F3AC}"/>
    <hyperlink ref="G89" r:id="rId168" xr:uid="{90C4A9B0-A8E2-4579-BC1B-60558C33624E}"/>
    <hyperlink ref="S89" r:id="rId169" xr:uid="{05CA3832-3C7C-4C1E-9AA6-86F32A269DC9}"/>
    <hyperlink ref="F90" r:id="rId170" xr:uid="{375ED1CC-2BA0-4DEE-AA3D-DE87F9621E2D}"/>
    <hyperlink ref="S90" r:id="rId171" xr:uid="{2B05DA94-8636-432B-9790-5876A94F16FB}"/>
    <hyperlink ref="F91" r:id="rId172" xr:uid="{492F5EEF-8CF8-4EF9-9B1D-C81514D8FFD5}"/>
    <hyperlink ref="G91" r:id="rId173" xr:uid="{3B1B9591-6ADC-4CF0-9EC8-1DC58636BD3D}"/>
    <hyperlink ref="S91" r:id="rId174" xr:uid="{60CFE282-A7E2-4E4D-B7A4-0B6F6EBE2317}"/>
    <hyperlink ref="F92" r:id="rId175" xr:uid="{2AC08A6F-1E6A-409C-8876-433BC2AD77CA}"/>
    <hyperlink ref="S92" r:id="rId176" xr:uid="{E6421D52-6EEC-47EA-9554-521A7E8C8067}"/>
    <hyperlink ref="F93" r:id="rId177" xr:uid="{B1414416-CBA9-458D-BE35-3E7CD6D94D1F}"/>
    <hyperlink ref="S93" r:id="rId178" xr:uid="{B4202BCB-BA59-4B0A-86E0-BBC6C0587BA1}"/>
    <hyperlink ref="F94" r:id="rId179" xr:uid="{21AE2499-B8F6-4D14-93F8-A40A98B22372}"/>
    <hyperlink ref="G94" r:id="rId180" xr:uid="{7D40D494-5A06-48F3-8EAF-20DB4C472E6A}"/>
    <hyperlink ref="S94" r:id="rId181" xr:uid="{4A2538BD-63D8-4D94-9C83-B6B9D028F3D5}"/>
    <hyperlink ref="S95" r:id="rId182" xr:uid="{0AA3059C-2DA7-4BA7-88C7-A179D9062127}"/>
    <hyperlink ref="F96" r:id="rId183" xr:uid="{7366249B-C5D1-46A2-BD51-33AF094D2D8A}"/>
    <hyperlink ref="G96" r:id="rId184" xr:uid="{13932D69-0161-4320-8E7B-5F5316A17BAF}"/>
    <hyperlink ref="S96" r:id="rId185" xr:uid="{96A71981-90A6-4241-9353-2A298A2EEEBA}"/>
    <hyperlink ref="F97" r:id="rId186" xr:uid="{AB2A16B2-ED95-43EA-8254-32084A68E4A6}"/>
    <hyperlink ref="S97" r:id="rId187" xr:uid="{B93C25E2-64CF-4F07-9C49-197C26639AAA}"/>
    <hyperlink ref="F98" r:id="rId188" xr:uid="{D6FDD56D-C3DE-4C0A-A346-7496CA0E8839}"/>
    <hyperlink ref="G99" r:id="rId189" xr:uid="{13D7190D-DF44-44B9-B5AF-E02E6F082719}"/>
    <hyperlink ref="S99" r:id="rId190" xr:uid="{DBAA8DB3-914F-465C-94E4-580E0AE9A266}"/>
    <hyperlink ref="F100" r:id="rId191" xr:uid="{D817CCC2-EDEE-4479-B3A6-A3A026201591}"/>
    <hyperlink ref="G100" r:id="rId192" xr:uid="{2468AA1B-312A-43A0-A3F0-4FFCF939BFB0}"/>
    <hyperlink ref="S100" r:id="rId193" xr:uid="{B11DA3AF-0FA5-41C8-9E35-6F18DCE61E01}"/>
    <hyperlink ref="F101" r:id="rId194" xr:uid="{66D958F0-1BE5-4708-BC33-0A174759FA00}"/>
    <hyperlink ref="G101" r:id="rId195" xr:uid="{85783AA0-A21D-4737-987A-F06DC283BD04}"/>
    <hyperlink ref="S101" r:id="rId196" xr:uid="{7C9E2FFB-E089-40CD-88A6-3510B752F34D}"/>
    <hyperlink ref="F102" r:id="rId197" xr:uid="{CCD14998-05E1-42F7-921E-1BA0F395CCE6}"/>
    <hyperlink ref="G102" r:id="rId198" xr:uid="{6BBEC935-C547-445A-B64D-9096DE0C7A68}"/>
    <hyperlink ref="S102" r:id="rId199" xr:uid="{41823006-45F6-49FA-9855-43BA9BAE805E}"/>
    <hyperlink ref="F103" r:id="rId200" xr:uid="{88FC5718-B37B-4D09-85EE-B8914367BE8C}"/>
    <hyperlink ref="G103" r:id="rId201" xr:uid="{24E234FB-4315-452E-A569-18DA8E75C464}"/>
    <hyperlink ref="S103" r:id="rId202" xr:uid="{580B8AFB-6C35-4F97-894A-591A7DB768CE}"/>
    <hyperlink ref="F104" r:id="rId203" xr:uid="{4CC6D1CD-382B-49A8-A3B4-858A93E87570}"/>
    <hyperlink ref="S104" r:id="rId204" xr:uid="{221A804A-4007-4D5C-BDB2-A728FE18D12A}"/>
    <hyperlink ref="F105" r:id="rId205" xr:uid="{2AFBC848-3D9C-4296-9625-B39038CD6143}"/>
    <hyperlink ref="G106" r:id="rId206" xr:uid="{CB8F8F98-82A2-4A0A-AAFF-C679D1C2D064}"/>
    <hyperlink ref="F107" r:id="rId207" xr:uid="{7E9E66FE-12EB-4699-AFC7-03AE4E98E7DD}"/>
    <hyperlink ref="S107" r:id="rId208" xr:uid="{0B276EEA-E69C-43EF-9A78-59102D9A9A86}"/>
    <hyperlink ref="G108" r:id="rId209" xr:uid="{DD4DE7AA-E583-4762-824B-D1AF7E4E585A}"/>
    <hyperlink ref="S108" r:id="rId210" xr:uid="{99C931C1-3294-4425-B931-2646D6F48DB2}"/>
    <hyperlink ref="F109" r:id="rId211" xr:uid="{4FBB5656-76B4-421F-9004-62D7F44FDE99}"/>
    <hyperlink ref="S110" r:id="rId212" xr:uid="{AA7A28B7-7E7E-42C3-9E70-8C3866F49C34}"/>
    <hyperlink ref="F111" r:id="rId213" xr:uid="{F00C9F64-1D0B-446E-90AA-58D53E4A2BF0}"/>
    <hyperlink ref="G111" r:id="rId214" xr:uid="{08501CA6-51A7-4AF9-91E7-538D86164ED8}"/>
    <hyperlink ref="S111" r:id="rId215" xr:uid="{D93A0F75-0B7A-4188-9E0A-56E8CA9AF493}"/>
    <hyperlink ref="F112" r:id="rId216" xr:uid="{32E19BA9-D046-411E-8B47-367DCF8A405C}"/>
    <hyperlink ref="G112" r:id="rId217" xr:uid="{97373747-05C5-44DE-A719-E8707E74F93A}"/>
    <hyperlink ref="S112" r:id="rId218" xr:uid="{558A8323-3520-4913-9E38-1F6EBD9FAEEE}"/>
    <hyperlink ref="F113" r:id="rId219" xr:uid="{E5F36F9B-3637-4E41-A39B-31B8888FCA2D}"/>
    <hyperlink ref="S113" r:id="rId220" xr:uid="{3A79B0AE-6AC9-4A2F-89F2-AD393860E7B1}"/>
    <hyperlink ref="G114" r:id="rId221" xr:uid="{67B5B91E-635B-4B18-9285-3A58A8202EAF}"/>
    <hyperlink ref="S114" r:id="rId222" xr:uid="{F16B677E-92F4-46F0-B6CF-894A82FABE46}"/>
    <hyperlink ref="F115" r:id="rId223" xr:uid="{1CED5AF0-39D9-4B39-B412-329582A380A4}"/>
    <hyperlink ref="G115" r:id="rId224" xr:uid="{B55AECCE-58F0-4A52-964D-E95635DF5ED0}"/>
    <hyperlink ref="S115" r:id="rId225" xr:uid="{2D8E180E-3EB4-4B34-B294-9562C4E32565}"/>
    <hyperlink ref="C117" r:id="rId226" xr:uid="{B247552B-6060-4697-99DE-9BA0E71CED89}"/>
    <hyperlink ref="F117" r:id="rId227" xr:uid="{E7415D09-E136-41C4-A117-C42C7D15DCE2}"/>
    <hyperlink ref="S117" r:id="rId228" xr:uid="{25C16D32-1AAF-41B8-9CA5-4D1BD852C3B1}"/>
    <hyperlink ref="F118" r:id="rId229" xr:uid="{8CC1BE16-A07E-4A8C-AF3D-3DAE54AE1616}"/>
    <hyperlink ref="F119" r:id="rId230" xr:uid="{9B0B1CB8-CDF7-43E5-9613-577A3ED9B83B}"/>
    <hyperlink ref="G119" r:id="rId231" xr:uid="{A65839C7-BA11-47DF-8090-AACDF16DC68D}"/>
    <hyperlink ref="S119" r:id="rId232" xr:uid="{50431C97-9FE9-495C-8933-C49BA18B54D8}"/>
    <hyperlink ref="F120" r:id="rId233" xr:uid="{CACA1B88-1698-4D26-9273-96BB54B13A64}"/>
    <hyperlink ref="G120" r:id="rId234" xr:uid="{D22BCE0A-6F68-4773-97FC-E5624B3894A6}"/>
    <hyperlink ref="S120" r:id="rId235" xr:uid="{96A41BC1-97F9-4149-B5D8-1F47145C6C84}"/>
    <hyperlink ref="G121" r:id="rId236" xr:uid="{867C7FA5-8B98-494C-8159-CC67FC423031}"/>
    <hyperlink ref="S121" r:id="rId237" xr:uid="{6B611D31-40F4-4A2D-AB90-B22B55B6DDAC}"/>
    <hyperlink ref="G122" r:id="rId238" xr:uid="{6B71A832-2324-40E8-8CA1-D1733FACBA9C}"/>
    <hyperlink ref="S122" r:id="rId239" xr:uid="{5B80D564-89B3-405D-853C-8271D830BA4D}"/>
    <hyperlink ref="F123" r:id="rId240" xr:uid="{4DF827E2-73CD-4933-8E2F-814107BA5F70}"/>
    <hyperlink ref="S123" r:id="rId241" xr:uid="{79559AD1-672D-4DA7-9D7A-51EF3D14809F}"/>
    <hyperlink ref="F124" r:id="rId242" xr:uid="{D03FD8C2-281B-4674-A428-F83CFE870E8C}"/>
    <hyperlink ref="S124" r:id="rId243" xr:uid="{35E6B82E-B2F6-478C-879F-90A6A55EE6ED}"/>
    <hyperlink ref="F125" r:id="rId244" xr:uid="{EBC32C72-D8AF-49EE-8581-254CFA1BBA8C}"/>
    <hyperlink ref="G125" r:id="rId245" xr:uid="{EBD362E5-2DAD-4958-A83E-D58B945D2048}"/>
    <hyperlink ref="S125" r:id="rId246" xr:uid="{5A6C0E46-2DB0-4CE5-845C-52AFDC4107BB}"/>
    <hyperlink ref="F126" r:id="rId247" xr:uid="{578A522A-5A10-4E9F-B878-FB9F6C064843}"/>
    <hyperlink ref="G126" r:id="rId248" xr:uid="{169A6116-06F5-443E-A3CF-4B98C7386DB0}"/>
    <hyperlink ref="S126" r:id="rId249" xr:uid="{195B6D0C-BE28-48B8-B10A-F8E9EE02DFF5}"/>
    <hyperlink ref="F127" r:id="rId250" xr:uid="{B8CE0593-4701-4FEC-9202-8F65BABD89CB}"/>
    <hyperlink ref="S127" r:id="rId251" xr:uid="{F79BD93C-F38A-4947-ABF5-F9D47098A058}"/>
    <hyperlink ref="F128" r:id="rId252" xr:uid="{19F7883D-C579-492E-8C7F-6AF60B5371A6}"/>
    <hyperlink ref="S128" r:id="rId253" xr:uid="{C0DD13CC-02DE-4399-BDAD-FF1A5CACB148}"/>
    <hyperlink ref="F129" r:id="rId254" xr:uid="{8E71A7DB-AC53-46F3-A833-D20901D285DE}"/>
    <hyperlink ref="S129" r:id="rId255" xr:uid="{8DFF5995-2C8C-4D1A-8048-A78FB7328B28}"/>
    <hyperlink ref="G130" r:id="rId256" xr:uid="{60AE9E91-FCDA-4396-AE1D-F2D27A317DDB}"/>
    <hyperlink ref="F131" r:id="rId257" xr:uid="{97D0209D-7D02-46BB-B50C-2D521CD5AC64}"/>
    <hyperlink ref="G131" r:id="rId258" xr:uid="{26CF5BA0-8E14-4ED7-8EF4-695B342FFD2F}"/>
    <hyperlink ref="S131" r:id="rId259" xr:uid="{B0B01807-2363-410F-95A3-930C6AD5B255}"/>
    <hyperlink ref="F132" r:id="rId260" xr:uid="{850DAC9A-80B7-4690-B0A7-7B71707F4A80}"/>
    <hyperlink ref="S132" r:id="rId261" xr:uid="{5D96408A-BA83-4EF4-9FFB-A22477095888}"/>
    <hyperlink ref="F133" r:id="rId262" xr:uid="{B99A5BDC-2440-47E7-BAF3-CD422452DF9B}"/>
    <hyperlink ref="G133" r:id="rId263" xr:uid="{671C8FB1-2185-4A30-803A-163F3B542BE6}"/>
    <hyperlink ref="S133" r:id="rId264" xr:uid="{95C7A661-AB94-4FFF-A4E3-22EE0250C67D}"/>
    <hyperlink ref="F134" r:id="rId265" xr:uid="{76E4DB0B-329E-4928-A6C0-0CEE6205FB8A}"/>
    <hyperlink ref="G134" r:id="rId266" xr:uid="{854EE626-A670-4D73-BABD-FC4ECEE97256}"/>
    <hyperlink ref="F135" r:id="rId267" xr:uid="{495ADFE6-270A-43E1-BBCF-B66F8B7DDE50}"/>
    <hyperlink ref="G135" r:id="rId268" xr:uid="{BFE766AB-5716-43B3-8272-6F9D38215DF9}"/>
    <hyperlink ref="S135" r:id="rId269" xr:uid="{12D006B4-71D8-4690-BE13-A567BEEC640F}"/>
    <hyperlink ref="F136" r:id="rId270" xr:uid="{BB7F7A19-8730-4717-9A94-607D0FCE351C}"/>
    <hyperlink ref="S136" r:id="rId271" xr:uid="{B807887E-0A9B-47B9-BA41-F50D77AC1B43}"/>
    <hyperlink ref="G137" r:id="rId272" xr:uid="{409FB72D-E640-4D22-87CA-77377C8E4055}"/>
    <hyperlink ref="C138" r:id="rId273" xr:uid="{D489D198-10B4-468C-AA73-8B25A9ACD74C}"/>
    <hyperlink ref="F138" r:id="rId274" xr:uid="{D242E11A-7C31-4635-A6F7-A60A6C0CED17}"/>
    <hyperlink ref="S138" r:id="rId275" xr:uid="{1EB30F2F-EADA-44B7-8B3B-311A770D6CF4}"/>
    <hyperlink ref="F139" r:id="rId276" xr:uid="{95ECB008-13B3-4EC7-9124-31C4C5D8E876}"/>
    <hyperlink ref="S139" r:id="rId277" xr:uid="{13148863-6C33-45D0-9421-FC516EE3F010}"/>
    <hyperlink ref="F140" r:id="rId278" xr:uid="{9B26A469-674C-4647-BB5D-5FE4BBA78AE0}"/>
    <hyperlink ref="G140" r:id="rId279" xr:uid="{C012EC35-9C6A-4CA6-AE25-9D698AFBEDE4}"/>
    <hyperlink ref="S140" r:id="rId280" xr:uid="{DE2149B8-FBD7-45B6-AC55-D0D695851249}"/>
    <hyperlink ref="F141" r:id="rId281" xr:uid="{5939F880-41E8-4A0E-9371-EAA06F6DA474}"/>
    <hyperlink ref="G141" r:id="rId282" xr:uid="{4340E549-B49F-4AFB-9B98-FAE00C9FAB29}"/>
    <hyperlink ref="S141" r:id="rId283" xr:uid="{04822AB5-B7D0-41DA-A191-B174CFEB70FA}"/>
    <hyperlink ref="F142" r:id="rId284" xr:uid="{5C0EC7D3-E1AC-4FA8-93F0-621D753771CF}"/>
    <hyperlink ref="S142" r:id="rId285" xr:uid="{8F565A0A-421B-43CC-90C8-6E3DC441F5A7}"/>
    <hyperlink ref="F143" r:id="rId286" xr:uid="{A10949C6-D731-40E7-9A6D-55DDDB1B3630}"/>
    <hyperlink ref="S143" r:id="rId287" xr:uid="{FD8A8D9B-8443-4FA7-BEF9-60BBDDF499D5}"/>
    <hyperlink ref="G144" r:id="rId288" xr:uid="{72796358-D355-40B8-96B2-3D03AE099F57}"/>
    <hyperlink ref="F145" r:id="rId289" xr:uid="{BF224E99-8849-4412-9C7C-C8ADC4EE7A5D}"/>
    <hyperlink ref="S145" r:id="rId290" xr:uid="{DCEC5BBD-E1F2-4430-83AF-BA72367DCEC3}"/>
    <hyperlink ref="S146" r:id="rId291" xr:uid="{8DF7FAE6-B0AC-46EC-BD50-46780A2DBFE6}"/>
    <hyperlink ref="F147" r:id="rId292" xr:uid="{94599544-C2A7-443F-B41E-1D75AD9BF6DF}"/>
    <hyperlink ref="S147" r:id="rId293" xr:uid="{79EB68EF-8988-42F4-95F8-28FE360CEC4E}"/>
    <hyperlink ref="F148" r:id="rId294" xr:uid="{5C4BC969-C42A-4F55-9EF1-D23B161077E1}"/>
    <hyperlink ref="S148" r:id="rId295" xr:uid="{2B233C6E-276F-4C64-8BD8-CAE59BE87DD5}"/>
    <hyperlink ref="F149" r:id="rId296" xr:uid="{2E531312-D928-4BE1-A88E-4E15991EBA1C}"/>
    <hyperlink ref="G149" r:id="rId297" xr:uid="{07A1057A-BFB9-47A2-91E5-B563930AEC65}"/>
    <hyperlink ref="S149" r:id="rId298" xr:uid="{7D608A9F-04F3-4582-9E67-8F126C043641}"/>
    <hyperlink ref="F150" r:id="rId299" xr:uid="{EDC9F1CA-C04F-4676-8CC3-D88319013119}"/>
    <hyperlink ref="S150" r:id="rId300" xr:uid="{C6A71B17-8EA9-4B4C-8D75-FD497A5C2FFD}"/>
    <hyperlink ref="G151" r:id="rId301" xr:uid="{DD38C79D-BA87-4066-A657-6B4B3926DF98}"/>
    <hyperlink ref="S151" r:id="rId302" xr:uid="{1CD58F9D-9137-4A30-A266-D4B7CC942041}"/>
    <hyperlink ref="G152" r:id="rId303" xr:uid="{A15854D8-E55F-44C5-A3A5-9956E9D5AD4B}"/>
    <hyperlink ref="S152" r:id="rId304" xr:uid="{4AEAB647-0A90-4562-A410-52A574C50D27}"/>
    <hyperlink ref="F153" r:id="rId305" xr:uid="{499CFBBD-D133-4175-953B-DB4E72637E93}"/>
    <hyperlink ref="S153" r:id="rId306" xr:uid="{135703F4-3B3F-43F8-817C-D86B3CCC0D2D}"/>
    <hyperlink ref="F154" r:id="rId307" xr:uid="{3600828D-B1F1-4C8D-93F0-F42C0D420850}"/>
    <hyperlink ref="F155" r:id="rId308" xr:uid="{84E459BA-6C16-4EF9-9136-5BFB79A80C9D}"/>
    <hyperlink ref="S155" r:id="rId309" xr:uid="{B4B219D3-7385-47E4-B226-23E093D2E86C}"/>
    <hyperlink ref="F156" r:id="rId310" xr:uid="{995216C3-B6CC-4D4C-98DB-994D36CC2F01}"/>
    <hyperlink ref="S156" r:id="rId311" xr:uid="{5F96FE32-9E22-4000-B690-D9F2C0F902C4}"/>
    <hyperlink ref="F157" r:id="rId312" xr:uid="{96AE7E17-2F30-46B2-BA93-0657D7FEE9B0}"/>
    <hyperlink ref="S157" r:id="rId313" xr:uid="{812A13C3-0B72-4C68-9C33-C67A14A70F2A}"/>
    <hyperlink ref="F158" r:id="rId314" xr:uid="{59CCCAE9-94D6-497A-9358-95C153A075ED}"/>
    <hyperlink ref="S158" r:id="rId315" xr:uid="{91DCD83F-E0F6-4390-B376-6EE20C50D613}"/>
    <hyperlink ref="F159" r:id="rId316" xr:uid="{90A41828-2174-46FE-92E6-DA972F618C17}"/>
    <hyperlink ref="S159" r:id="rId317" xr:uid="{D9C736F3-C74E-4937-8519-50868F5CC1A5}"/>
    <hyperlink ref="S160" r:id="rId318" xr:uid="{7BCFCA61-73D0-4E7D-91F9-58142F667A67}"/>
    <hyperlink ref="F161" r:id="rId319" xr:uid="{3DB90D43-2EF1-44C0-8AD8-F0F1AA4122F7}"/>
    <hyperlink ref="G161" r:id="rId320" xr:uid="{867230A8-DC8F-419A-AC99-340A948A394F}"/>
    <hyperlink ref="S161" r:id="rId321" xr:uid="{B7603FEE-E66F-4991-8A4E-743AB133F566}"/>
    <hyperlink ref="G162" r:id="rId322" xr:uid="{76118548-74D2-4831-A4A4-1423AF5375C1}"/>
    <hyperlink ref="S162" r:id="rId323" xr:uid="{D4115D85-EEE8-414C-8B24-9B6705D1F9FD}"/>
    <hyperlink ref="F163" r:id="rId324" xr:uid="{436D3111-CA7A-4AC7-AC78-23EC2C830CE8}"/>
    <hyperlink ref="S163" r:id="rId325" xr:uid="{2DA24C8A-D1E5-413D-BCFD-7FCDD0BEEB44}"/>
    <hyperlink ref="F164" r:id="rId326" xr:uid="{01F3BB71-5D32-4FE4-A107-78CD72B1DB7B}"/>
    <hyperlink ref="S164" r:id="rId327" xr:uid="{C4C50381-5151-4330-9200-CAA3F21AA1A8}"/>
    <hyperlink ref="F165" r:id="rId328" xr:uid="{383CE58B-1CC6-4B36-AB92-81BB76A4046A}"/>
    <hyperlink ref="G165" r:id="rId329" xr:uid="{2713A669-E38B-4FF5-8B63-16AC21837A06}"/>
    <hyperlink ref="S165" r:id="rId330" xr:uid="{A3CDB40A-1B46-42CE-BB16-329A8E6B0B92}"/>
    <hyperlink ref="F166" r:id="rId331" xr:uid="{F3B6FDEE-AE05-445D-B8BD-F5FC160DE089}"/>
    <hyperlink ref="G166" r:id="rId332" xr:uid="{61DAF7C7-9DB0-47E5-BB9E-B1F4EFB0831A}"/>
    <hyperlink ref="S166" r:id="rId333" xr:uid="{7C596385-7D7F-41D9-9AF4-C2CB082CDEA3}"/>
    <hyperlink ref="F167" r:id="rId334" xr:uid="{42ABA934-9A9D-4153-B400-22778FE0F07B}"/>
    <hyperlink ref="G167" r:id="rId335" xr:uid="{3A6480D5-6A35-4377-8181-45BDD72F04C2}"/>
    <hyperlink ref="S167" r:id="rId336" xr:uid="{B7FBDDBA-7FD1-46FE-BBD8-923F27AFE3D4}"/>
    <hyperlink ref="F168" r:id="rId337" xr:uid="{95CD6F1F-74F3-41ED-A52D-4193977D98E1}"/>
    <hyperlink ref="S168" r:id="rId338" xr:uid="{8C1185AF-57CF-4129-ADE7-18A7ABA74F93}"/>
    <hyperlink ref="F169" r:id="rId339" xr:uid="{5EBE49A5-5866-42FA-A8EC-322CCB73C054}"/>
    <hyperlink ref="S169" r:id="rId340" xr:uid="{F196B7DF-AEEF-4825-82AA-B9AF6F647EA8}"/>
    <hyperlink ref="G170" r:id="rId341" xr:uid="{B7204B8E-CBD5-4FA3-BB2F-7AB747CD9FA5}"/>
    <hyperlink ref="F171" r:id="rId342" xr:uid="{3BFDCAB2-AE29-409E-9271-B6E4E0EF725C}"/>
    <hyperlink ref="S171" r:id="rId343" xr:uid="{EEA9D57B-60BD-4E9C-B4DE-6E6D7DCFC262}"/>
    <hyperlink ref="S172" r:id="rId344" xr:uid="{0560B11E-C3BD-4612-99BC-B45D16883ED8}"/>
    <hyperlink ref="F173" r:id="rId345" xr:uid="{248CF429-1916-4197-B08D-FEB483819001}"/>
    <hyperlink ref="G173" r:id="rId346" xr:uid="{801293BC-4291-4354-8088-D1093FCDE664}"/>
    <hyperlink ref="S173" r:id="rId347" xr:uid="{20F8B639-2B6C-4FD4-9B83-3787BB973FF4}"/>
    <hyperlink ref="S174" r:id="rId348" xr:uid="{3C867805-E9FF-4D27-BED7-CF085FEA10E5}"/>
    <hyperlink ref="F175" r:id="rId349" xr:uid="{EC2D10B2-0D76-4559-A47E-23FF82131902}"/>
    <hyperlink ref="S175" r:id="rId350" xr:uid="{3FAB09F7-4682-4706-8905-A321B5760740}"/>
    <hyperlink ref="F176" r:id="rId351" xr:uid="{433C491C-6C05-4E8F-9F96-09E147DE6834}"/>
    <hyperlink ref="G176" r:id="rId352" xr:uid="{0AD59D12-656E-426C-9BB8-0095A12B7B55}"/>
    <hyperlink ref="S176" r:id="rId353" xr:uid="{63257DA4-8646-4982-8A0C-916062164D77}"/>
    <hyperlink ref="G177" r:id="rId354" xr:uid="{866CA7C5-58F1-415C-BE0C-66179B991A60}"/>
    <hyperlink ref="S177" r:id="rId355" xr:uid="{E2F1043C-0017-4243-8CF2-9ED3DC03343E}"/>
    <hyperlink ref="S178" r:id="rId356" xr:uid="{4DDE2F57-C31D-4B6F-9FB9-EA61BEDAD901}"/>
    <hyperlink ref="F179" r:id="rId357" xr:uid="{D67CB5B3-18B4-439F-832E-E75EFE99B334}"/>
    <hyperlink ref="G179" r:id="rId358" xr:uid="{3504E024-6B57-476E-8865-51EA749E6659}"/>
    <hyperlink ref="S179" r:id="rId359" xr:uid="{F6515773-AD28-4DA1-AAD4-23C6885FE5CE}"/>
    <hyperlink ref="F180" r:id="rId360" xr:uid="{EF7FC310-08E2-4D6C-A13E-E280B6DE50E1}"/>
    <hyperlink ref="G180" r:id="rId361" xr:uid="{106E82C8-64C2-4783-A2D7-B559033D7F6E}"/>
    <hyperlink ref="S180" r:id="rId362" xr:uid="{D33E76D2-84F1-452B-8271-1202F6ACF50E}"/>
    <hyperlink ref="F181" r:id="rId363" xr:uid="{5FDA663B-DC8A-4D73-9B7A-ED8E9D07D8A8}"/>
    <hyperlink ref="S181" r:id="rId364" xr:uid="{34860876-2982-43CC-8FC0-9F8BC7FAB5DE}"/>
    <hyperlink ref="F182" r:id="rId365" xr:uid="{16670E25-2610-4353-932D-FCEBA879B549}"/>
    <hyperlink ref="G182" r:id="rId366" xr:uid="{AF83C908-DB65-4F6D-928C-9C76A3B5F354}"/>
    <hyperlink ref="F183" r:id="rId367" xr:uid="{18360A69-E59C-40E0-BA40-82938DF46FD0}"/>
    <hyperlink ref="G183" r:id="rId368" xr:uid="{F7302E1D-24D9-4A46-99CB-86D3F671FB32}"/>
    <hyperlink ref="S183" r:id="rId369" xr:uid="{65DA95EB-1EC8-4963-B331-CA8BFBDF1D53}"/>
    <hyperlink ref="F184" r:id="rId370" xr:uid="{1AFFC044-B0BB-4867-956C-D8B7F59CF86B}"/>
    <hyperlink ref="G184" r:id="rId371" xr:uid="{6E2B293D-C8D6-4ED1-A065-54EA1E211614}"/>
    <hyperlink ref="S184" r:id="rId372" xr:uid="{1C30DD9E-BF08-472D-8A2E-318356CED590}"/>
    <hyperlink ref="F185" r:id="rId373" xr:uid="{C2175F8F-53B0-4B0C-9291-6924796E13CD}"/>
    <hyperlink ref="F186" r:id="rId374" xr:uid="{F9FD38E8-6A13-4116-AFF7-EA274AC3301D}"/>
    <hyperlink ref="S186" r:id="rId375" xr:uid="{33FA2C34-6523-41E5-8015-A74982C85408}"/>
    <hyperlink ref="F187" r:id="rId376" xr:uid="{6DE55537-35DB-4CCB-AAD3-057D2DFD41D3}"/>
    <hyperlink ref="S187" r:id="rId377" xr:uid="{6D5F1472-023D-4F83-AD08-4749D3B68F03}"/>
    <hyperlink ref="F188" r:id="rId378" location=".YDUNFuhKhPZ" xr:uid="{A5D1ADFB-A880-4617-BDC2-1B64EC5456D1}"/>
    <hyperlink ref="S188" r:id="rId379" xr:uid="{8E27119F-385B-47B1-8E9A-EB30167FFA55}"/>
    <hyperlink ref="F189" r:id="rId380" xr:uid="{C8898566-48F1-492A-892E-EDA7CD8D3B25}"/>
    <hyperlink ref="G189" r:id="rId381" xr:uid="{8E83F1AC-558C-41B2-B1BC-8C79A165F80A}"/>
    <hyperlink ref="S189" r:id="rId382" xr:uid="{A0E9191F-747B-411C-B7E4-36190235E2FE}"/>
    <hyperlink ref="F190" r:id="rId383" xr:uid="{638BE15B-D038-4EEB-A926-D0B0988C581B}"/>
    <hyperlink ref="G190" r:id="rId384" xr:uid="{9DA306DC-6A20-4890-829B-F0DBF8C0F250}"/>
    <hyperlink ref="G191" r:id="rId385" xr:uid="{CB8B689F-B1CE-43C3-9EAC-1C784EDB02DD}"/>
    <hyperlink ref="G192" r:id="rId386" xr:uid="{9CB2FAAB-A62B-4DF5-85D0-1903D4CB42EC}"/>
    <hyperlink ref="S192" r:id="rId387" xr:uid="{50DE2CE6-5E9D-4806-87D0-AE647DD8DB11}"/>
    <hyperlink ref="G193" r:id="rId388" xr:uid="{625D08B4-A257-42B1-86DB-982A87FE7DE7}"/>
    <hyperlink ref="S193" r:id="rId389" xr:uid="{E3B4BA49-9BCF-4DD8-8DC4-B0D90093E305}"/>
    <hyperlink ref="F194" r:id="rId390" xr:uid="{F7A83CC0-26A6-4251-8222-894A0FF7DFAE}"/>
    <hyperlink ref="S194" r:id="rId391" xr:uid="{93D16E65-B3E9-4509-A699-C0C38090D804}"/>
    <hyperlink ref="F195" r:id="rId392" xr:uid="{529849CE-AF54-467D-974E-3EEF893266BB}"/>
    <hyperlink ref="S195" r:id="rId393" xr:uid="{4D277025-9433-426B-98A3-BDA2F8882CB0}"/>
    <hyperlink ref="F196" r:id="rId394" xr:uid="{9ECABA90-C9CA-4D14-9BB6-92C3E95D2E36}"/>
    <hyperlink ref="G196" r:id="rId395" xr:uid="{5F912043-2F0C-4C86-9ADF-6D169D8A3A56}"/>
    <hyperlink ref="F197" r:id="rId396" xr:uid="{E97DCC81-C56F-4F1A-AB25-2F6AE62F69A8}"/>
    <hyperlink ref="G197" r:id="rId397" xr:uid="{7F346C76-EB9F-497F-9377-BD002E1551C1}"/>
    <hyperlink ref="S197" r:id="rId398" xr:uid="{0D182B49-1F34-4D7F-AB2D-77C845661BCE}"/>
    <hyperlink ref="F198" r:id="rId399" xr:uid="{6EDC5BE7-00D4-4508-A85A-1F30AA9C92E1}"/>
    <hyperlink ref="S198" r:id="rId400" xr:uid="{602DB75A-5DC5-43B7-ACC5-C3482619B453}"/>
    <hyperlink ref="S199" r:id="rId401" xr:uid="{FFEE8778-E456-4BA6-9CD2-953843839AA6}"/>
    <hyperlink ref="F200" r:id="rId402" xr:uid="{7815A538-2077-455E-A239-8E15318591C2}"/>
    <hyperlink ref="S200" r:id="rId403" xr:uid="{83692607-95AF-4D15-819C-DE50F481F41B}"/>
    <hyperlink ref="F201" r:id="rId404" xr:uid="{A3695A8D-1E9F-4E1C-A77B-79E69576FD7A}"/>
    <hyperlink ref="G201" r:id="rId405" xr:uid="{95592FD3-4F71-484D-98A0-49DCC5228E13}"/>
    <hyperlink ref="S201" r:id="rId406" xr:uid="{71E6A6B1-8B4A-443C-8B5E-CC7189AF23D2}"/>
    <hyperlink ref="F202" r:id="rId407" xr:uid="{F0DB88EE-2BA7-4903-B3DA-A1178626221C}"/>
    <hyperlink ref="S202" r:id="rId408" xr:uid="{40A7CD74-FD7D-4859-B8DD-600A7A2F7716}"/>
    <hyperlink ref="F203" r:id="rId409" xr:uid="{61E0B78C-966F-43A2-8287-E9226E6AAC85}"/>
    <hyperlink ref="S203" r:id="rId410" xr:uid="{F0BF43E2-6037-4D3A-BAD4-DFA287FC94CF}"/>
    <hyperlink ref="S204" r:id="rId411" xr:uid="{7609E0D1-2628-4A8D-A8E1-9CB858A928F8}"/>
    <hyperlink ref="F205" r:id="rId412" xr:uid="{9B65A195-8CD1-4E7B-8B0F-480C89321FC6}"/>
    <hyperlink ref="G205" r:id="rId413" xr:uid="{883BF79B-3366-4FC6-BDA1-1ADA3BD7DBC9}"/>
    <hyperlink ref="S205" r:id="rId414" xr:uid="{B6FE30A8-716D-45AD-B15D-1DD107EFDA84}"/>
    <hyperlink ref="G206" r:id="rId415" xr:uid="{B46F8AE3-D24F-4F7F-A866-F0881CB384C9}"/>
    <hyperlink ref="S206" r:id="rId416" xr:uid="{9F1E9897-85F0-4D04-B8C1-DD31333391FA}"/>
    <hyperlink ref="F207" r:id="rId417" xr:uid="{487712CA-FBF5-4AE3-B5B1-E6AB8CEA7F40}"/>
    <hyperlink ref="G207" r:id="rId418" xr:uid="{7EA11E8B-51B2-43B2-817B-12FBB6558AB4}"/>
    <hyperlink ref="S207" r:id="rId419" xr:uid="{78599F8C-A68A-48A2-A120-22DDA176C5A6}"/>
    <hyperlink ref="G208" r:id="rId420" xr:uid="{5BCD697F-4A52-429F-92D7-E3D71CF9856A}"/>
    <hyperlink ref="S208" r:id="rId421" xr:uid="{96D743BB-C84E-4FC3-9C84-F5D564C45B4B}"/>
    <hyperlink ref="F209" r:id="rId422" xr:uid="{EF42D956-CCDC-4707-AD9E-D1CCAAA156C3}"/>
    <hyperlink ref="S209" r:id="rId423" xr:uid="{F2FDD4DC-653D-4E61-AC7A-ACA0032B9764}"/>
    <hyperlink ref="C210" r:id="rId424" xr:uid="{A774080F-6495-40A9-A7BF-D235EF9E5428}"/>
    <hyperlink ref="F210" r:id="rId425" xr:uid="{7433A533-0595-4F08-A265-B8F3B526AB66}"/>
    <hyperlink ref="G210" r:id="rId426" xr:uid="{3552B997-25CF-4734-ABA8-F690206D36DF}"/>
    <hyperlink ref="S210" r:id="rId427" xr:uid="{CA4E2C6D-3662-4ECC-973A-EFF534F4D27F}"/>
    <hyperlink ref="S211" r:id="rId428" xr:uid="{355BD80C-8ACC-4492-98EE-C0EE42D41BB9}"/>
    <hyperlink ref="F212" r:id="rId429" xr:uid="{9EBAA4C8-ED2A-42A4-9344-B1B25CDDA045}"/>
    <hyperlink ref="S212" r:id="rId430" xr:uid="{0139D474-462B-4C12-AFB1-3E6D8C19E9F7}"/>
    <hyperlink ref="F213" r:id="rId431" xr:uid="{CA8A1E73-1F67-4E7C-A53D-EE1B1AE005CB}"/>
    <hyperlink ref="G213" r:id="rId432" xr:uid="{16C18D00-72D9-4E8C-8F94-2C27CFA97853}"/>
    <hyperlink ref="S213" r:id="rId433" xr:uid="{96CAA663-A099-4F5F-B48D-EB183BE5745C}"/>
    <hyperlink ref="F214" r:id="rId434" xr:uid="{1D0008F2-FD9B-40DE-BC22-96134896D867}"/>
    <hyperlink ref="G214" r:id="rId435" xr:uid="{419BED0C-6E26-4F67-8F2E-FB970C01D108}"/>
    <hyperlink ref="S214" r:id="rId436" xr:uid="{2D7E8107-481A-4DE5-9C2E-048012922E36}"/>
    <hyperlink ref="G215" r:id="rId437" xr:uid="{CC454876-60CE-4ADE-BF73-EF3291A87214}"/>
    <hyperlink ref="S215" r:id="rId438" xr:uid="{67582B60-E01F-4948-B43E-EDBAD9E038F9}"/>
    <hyperlink ref="F216" r:id="rId439" xr:uid="{0ADA7BEA-444A-4DE5-BB59-BB0498721BCA}"/>
    <hyperlink ref="G216" r:id="rId440" xr:uid="{2CF312BF-1BF9-4250-89BC-7B7598BA9AE4}"/>
    <hyperlink ref="S216" r:id="rId441" xr:uid="{1FFAB531-6810-441B-8349-3569FF3DFE9E}"/>
    <hyperlink ref="F217" r:id="rId442" xr:uid="{E06B8E00-4A8F-45E4-A1B0-AA2EA52CE31C}"/>
    <hyperlink ref="S217" r:id="rId443" xr:uid="{122C0293-304C-47B8-9FF7-C69D9112FC80}"/>
    <hyperlink ref="F218" r:id="rId444" xr:uid="{FBE7C0CB-EE7A-446C-ADBC-6F7E76D68C19}"/>
    <hyperlink ref="G218" r:id="rId445" xr:uid="{62A670D4-14DF-498A-876C-DBBD15F44161}"/>
    <hyperlink ref="S218" r:id="rId446" xr:uid="{07FC544E-B8A3-41A2-A481-1691559B3B68}"/>
    <hyperlink ref="F219" r:id="rId447" xr:uid="{9CBF176C-6B5C-4096-9434-224DFFFF82EA}"/>
    <hyperlink ref="S219" r:id="rId448" xr:uid="{65F43A38-09CE-43BD-908A-089A6E59BC64}"/>
    <hyperlink ref="F220" r:id="rId449" xr:uid="{243E114C-DB18-4C8E-9AD2-785787007DD9}"/>
    <hyperlink ref="G220" r:id="rId450" xr:uid="{16C2DA8F-039E-4939-9F4D-03FEA58B3D6C}"/>
    <hyperlink ref="S220" r:id="rId451" xr:uid="{19CDB90A-E122-4F79-B187-1AEABDEAD3A6}"/>
    <hyperlink ref="F221" r:id="rId452" xr:uid="{CA9C14C9-0E64-4962-ADDB-7CFBFBF0CD8D}"/>
    <hyperlink ref="G221" r:id="rId453" xr:uid="{CA7176A8-7806-45EB-B7F1-CB28FF64F7EE}"/>
    <hyperlink ref="S221" r:id="rId454" xr:uid="{A93D43C2-0F9E-4077-88A5-64F2ECFFB591}"/>
    <hyperlink ref="G222" r:id="rId455" xr:uid="{D87E969E-4C23-4422-8892-1534F75DFEDB}"/>
    <hyperlink ref="F223" r:id="rId456" xr:uid="{4F5AC976-9C0F-493E-992A-FBED52902704}"/>
    <hyperlink ref="F224" r:id="rId457" xr:uid="{845F2516-7067-480E-BD44-2BAAC750A0C5}"/>
    <hyperlink ref="G224" r:id="rId458" xr:uid="{C0E6BCFC-0B9B-4BD7-84AA-A2FCBB062ED0}"/>
    <hyperlink ref="S224" r:id="rId459" xr:uid="{4D7A2393-6471-44B1-972C-782BCC421296}"/>
    <hyperlink ref="F225" r:id="rId460" xr:uid="{61948F37-F878-40D7-A6C3-22836B9AF899}"/>
    <hyperlink ref="S225" r:id="rId461" xr:uid="{8F0FF2E5-6DBB-47C6-911D-AF228936AEF5}"/>
    <hyperlink ref="F226" r:id="rId462" xr:uid="{0C0FDE0B-C23C-426E-B0DA-5D1DDF43E22D}"/>
    <hyperlink ref="G226" r:id="rId463" xr:uid="{E9A4D354-F2DE-4BFD-9CEF-DCED42E7F447}"/>
    <hyperlink ref="F227" r:id="rId464" xr:uid="{703F9242-2108-4DE5-AF1E-044C1484522A}"/>
    <hyperlink ref="S227" r:id="rId465" xr:uid="{E8FEDC6E-0B29-4883-B353-CA7ADB395D04}"/>
    <hyperlink ref="F228" r:id="rId466" xr:uid="{D741D1C5-B4C3-4580-B38F-A9D5EE688ECD}"/>
    <hyperlink ref="G228" r:id="rId467" xr:uid="{DD3CD436-E1BB-4046-B953-EFBC60F460A7}"/>
    <hyperlink ref="S228" r:id="rId468" xr:uid="{E6C147F9-0E42-4321-AAC1-0144797EAE9F}"/>
    <hyperlink ref="F229" r:id="rId469" xr:uid="{D0762F06-B099-4F6D-9A84-2F3B6ED33339}"/>
    <hyperlink ref="G229" r:id="rId470" xr:uid="{DA8AE1BB-F742-4E78-AA0B-116622048293}"/>
    <hyperlink ref="S229" r:id="rId471" xr:uid="{EB51B8B1-AADE-4788-A969-DA04DCB2C32B}"/>
    <hyperlink ref="F230" r:id="rId472" xr:uid="{32EBAB27-F95F-4341-ACBD-1A19D5D0A334}"/>
    <hyperlink ref="G230" r:id="rId473" xr:uid="{E9DF6A59-6B0F-4E45-9D19-2111A89112FB}"/>
    <hyperlink ref="F231" r:id="rId474" xr:uid="{94D5E6DE-F84C-4114-8E3C-10EE3B93A2B4}"/>
    <hyperlink ref="G231" r:id="rId475" xr:uid="{2019B679-E5E2-446B-8F7E-A673FC833BB8}"/>
    <hyperlink ref="F232" r:id="rId476" xr:uid="{63680FE4-5616-4FF8-ACDB-D4D636449660}"/>
    <hyperlink ref="G232" r:id="rId477" xr:uid="{C82E8819-4CF8-44B3-9687-379F44416CA7}"/>
    <hyperlink ref="S232" r:id="rId478" xr:uid="{E545FC95-3642-4ACC-B5C3-212463599BBD}"/>
    <hyperlink ref="F233" r:id="rId479" xr:uid="{D235D658-CC8C-43CC-A583-18BA77CA47E6}"/>
    <hyperlink ref="G233" r:id="rId480" xr:uid="{C2BF0EB9-1FF7-4E07-98AC-1DB56EEE81FF}"/>
    <hyperlink ref="S233" r:id="rId481" xr:uid="{F7EBF5E7-726E-4059-A946-E581ADBD5E0D}"/>
    <hyperlink ref="G234" r:id="rId482" xr:uid="{A46B69FE-521F-4E2F-8D44-2748C143C808}"/>
    <hyperlink ref="S234" r:id="rId483" xr:uid="{C8098A3E-9843-4AB1-BD9C-308FE46A2B8F}"/>
    <hyperlink ref="F235" r:id="rId484" xr:uid="{931694FA-CC62-406F-B63A-672D887DC0E7}"/>
    <hyperlink ref="S235" r:id="rId485" xr:uid="{ECB35BBF-8E51-4557-8A24-47DBCAB105A8}"/>
    <hyperlink ref="F236" r:id="rId486" xr:uid="{4ACFF1FB-D13A-4AF3-92D5-8666A8C0181D}"/>
    <hyperlink ref="G236" r:id="rId487" xr:uid="{7C89E908-ADA8-49EC-B695-8A0318D3F27A}"/>
    <hyperlink ref="S236" r:id="rId488" xr:uid="{E5DCAEA9-3419-4998-9A43-74E8FCED3ACC}"/>
    <hyperlink ref="S237" r:id="rId489" xr:uid="{11C6B794-60E7-4D6A-8559-FA62E0311A35}"/>
    <hyperlink ref="F238" r:id="rId490" xr:uid="{91A12CDB-DB0E-4723-B2AB-484BA55BB257}"/>
    <hyperlink ref="S238" r:id="rId491" xr:uid="{8015D8D1-9F04-4098-B857-E7B3759604EC}"/>
    <hyperlink ref="G239" r:id="rId492" xr:uid="{B7168A32-8A6A-4C7F-A242-A3CD47F6DAA9}"/>
    <hyperlink ref="S239" r:id="rId493" xr:uid="{B47D66DC-EE03-4747-B2EC-7FB79A49C253}"/>
    <hyperlink ref="F240" r:id="rId494" xr:uid="{724CD4A5-7A54-42CE-A952-C9C1503CA13E}"/>
    <hyperlink ref="F241" r:id="rId495" xr:uid="{EAACC0C3-062F-4625-A34D-0B79F0F1E29B}"/>
    <hyperlink ref="S241" r:id="rId496" xr:uid="{1F313433-BF96-4ADF-92FE-E04E26D0423F}"/>
    <hyperlink ref="S242" r:id="rId497" xr:uid="{E1462DBB-8856-4041-B7CD-968F8B415855}"/>
    <hyperlink ref="F243" r:id="rId498" xr:uid="{1FAE541C-3496-4A23-BBBF-DE0D622B06F3}"/>
    <hyperlink ref="G243" r:id="rId499" xr:uid="{1769442A-F30B-412A-9DBE-EB01A3C760BC}"/>
    <hyperlink ref="S243" r:id="rId500" xr:uid="{DB9C9BDD-4432-4BE7-A6FB-E079CB7D6D8D}"/>
    <hyperlink ref="F244" r:id="rId501" xr:uid="{93D112B5-D6ED-438A-A309-07C705AA9739}"/>
    <hyperlink ref="S244" r:id="rId502" xr:uid="{2ACB91E6-5F92-436A-8874-9976E08A7F5C}"/>
    <hyperlink ref="F245" r:id="rId503" xr:uid="{93DF1FD3-B80B-49FD-A38F-EB06AAA6420C}"/>
    <hyperlink ref="S245" r:id="rId504" xr:uid="{B8915603-7846-4802-8AC9-E3B60D0C7093}"/>
    <hyperlink ref="F246" r:id="rId505" xr:uid="{F272E3F0-ED01-4AB3-A923-29FD6D09664D}"/>
    <hyperlink ref="G246" r:id="rId506" xr:uid="{DA4384FB-DCC5-4AFD-87A1-837446D80615}"/>
    <hyperlink ref="S246" r:id="rId507" xr:uid="{8247C0F7-0517-4EFC-8B5E-2574D85260AF}"/>
    <hyperlink ref="G247" r:id="rId508" xr:uid="{A75D4026-E182-4C67-BDE8-B893A01E5C5D}"/>
    <hyperlink ref="F248" r:id="rId509" xr:uid="{654A90C5-4CBE-4723-8F44-6BB032119EE8}"/>
    <hyperlink ref="S248" r:id="rId510" xr:uid="{4DB2732A-C562-40BA-B31B-35243C485631}"/>
    <hyperlink ref="F249" r:id="rId511" xr:uid="{CF93FDA2-13A7-452D-B950-BEEC234A7149}"/>
    <hyperlink ref="G249" r:id="rId512" xr:uid="{5A412A59-566F-42C8-9D99-C922682373A8}"/>
    <hyperlink ref="S249" r:id="rId513" xr:uid="{7D7F181E-A3AC-4C60-86A9-83AD0849DD1A}"/>
    <hyperlink ref="G250" r:id="rId514" xr:uid="{9FDED1DB-1019-4A83-8C01-BD1316311120}"/>
    <hyperlink ref="S250" r:id="rId515" xr:uid="{10135123-7D3C-4985-A478-74038F3E148D}"/>
    <hyperlink ref="F251" r:id="rId516" xr:uid="{237D7521-4D1D-4DEC-B819-6722614B6D2C}"/>
    <hyperlink ref="S251" r:id="rId517" xr:uid="{9C5E5EBD-BF3F-4790-BD51-6848832C7AE5}"/>
    <hyperlink ref="F252" r:id="rId518" xr:uid="{2F7173C5-D584-42FB-8DCD-9DF14AF1E58C}"/>
    <hyperlink ref="G253" r:id="rId519" xr:uid="{76AD1BA1-B237-4CDB-A42E-B164ADA37141}"/>
    <hyperlink ref="S253" r:id="rId520" xr:uid="{20C7F63F-F703-4ECE-A812-74F0133B4C83}"/>
    <hyperlink ref="F254" r:id="rId521" xr:uid="{CFE7382A-43AE-47D6-B20D-633F97456053}"/>
    <hyperlink ref="G254" r:id="rId522" xr:uid="{6B20D2F2-C2B2-4558-9D91-B27F7549C051}"/>
    <hyperlink ref="S254" r:id="rId523" xr:uid="{19558A33-0C37-46A2-9D96-A657DAD9E559}"/>
    <hyperlink ref="S255" r:id="rId524" xr:uid="{449EF339-9AFC-4CB7-B5E3-8F937212B353}"/>
    <hyperlink ref="G256" r:id="rId525" xr:uid="{85CE9440-57B8-44F7-AD7F-E8AEB8FCDA4D}"/>
    <hyperlink ref="S256" r:id="rId526" xr:uid="{FDEDC8A6-BA31-4537-A1D7-9B1E5020C19C}"/>
    <hyperlink ref="S257" r:id="rId527" xr:uid="{F8C29ECB-FCBE-4361-B050-C00240798C94}"/>
    <hyperlink ref="S258" r:id="rId528" xr:uid="{CD3897E8-AFC9-4F53-BF6C-42EF46F7BF45}"/>
    <hyperlink ref="F259" r:id="rId529" xr:uid="{9E31B9CC-6110-4A62-AC1E-1F71BF1C7829}"/>
    <hyperlink ref="S259" r:id="rId530" xr:uid="{C1805D82-5FA2-41C2-86B8-73404829F491}"/>
    <hyperlink ref="F260" r:id="rId531" xr:uid="{30EDBC88-6B32-40F6-BA0C-21E81D9F6B07}"/>
    <hyperlink ref="S260" r:id="rId532" xr:uid="{BAB67AAB-7F70-426D-8EBA-9DCDAA290878}"/>
    <hyperlink ref="F261" r:id="rId533" xr:uid="{2FB8B55B-9078-4EEC-909A-686933D16DFD}"/>
    <hyperlink ref="G261" r:id="rId534" xr:uid="{F6510C59-72BC-4FC6-AD89-C4E1C2557769}"/>
    <hyperlink ref="S261" r:id="rId535" xr:uid="{08E6B6DC-1237-4626-983D-FF267B23ED24}"/>
    <hyperlink ref="F262" r:id="rId536" xr:uid="{7EFB49CB-7AA6-4158-8DB3-52F16DA51FCB}"/>
    <hyperlink ref="S262" r:id="rId537" xr:uid="{18D1E3B2-17E8-49AE-AC50-ABF92C5B0120}"/>
    <hyperlink ref="F263" r:id="rId538" xr:uid="{8AF97F71-E97F-4D84-BC7D-CD0726FBD17C}"/>
    <hyperlink ref="F264" r:id="rId539" xr:uid="{A63E0AFA-9BC5-4AB8-9108-DF0553C4B81F}"/>
    <hyperlink ref="G264" r:id="rId540" xr:uid="{745B510D-46A2-4BB8-BF38-35774F8008E9}"/>
    <hyperlink ref="S264" r:id="rId541" xr:uid="{6481F4B8-6624-406C-9170-3A768E04109E}"/>
    <hyperlink ref="F265" r:id="rId542" xr:uid="{2C323780-B2DC-4B4C-AF36-076D3283088C}"/>
    <hyperlink ref="G265" r:id="rId543" xr:uid="{5BAC9912-F4A1-4643-88F8-5992A60284E7}"/>
    <hyperlink ref="S265" r:id="rId544" xr:uid="{0604C0AD-10E5-49E2-99ED-3F8CF962AE21}"/>
    <hyperlink ref="F266" r:id="rId545" xr:uid="{D2519458-5F02-4FBA-B377-23200A073BFD}"/>
    <hyperlink ref="S266" r:id="rId546" xr:uid="{FEA3A8FB-A9E5-4935-A90D-6FC226227FB8}"/>
    <hyperlink ref="G267" r:id="rId547" xr:uid="{6B721413-70D6-43D7-A732-4AE23FE3317E}"/>
    <hyperlink ref="F268" r:id="rId548" xr:uid="{726DFE71-4FE6-411E-8A1A-AC73B543CF6F}"/>
    <hyperlink ref="S268" r:id="rId549" xr:uid="{0B7BF0F8-429D-44B6-807C-ACF341456932}"/>
    <hyperlink ref="S269" r:id="rId550" xr:uid="{4C23EF31-859C-4B65-AAE8-8D80FC1890FE}"/>
    <hyperlink ref="F271" r:id="rId551" xr:uid="{E84FF199-8688-44EA-90AB-57D0EEB3B916}"/>
    <hyperlink ref="S271" r:id="rId552" xr:uid="{06D485B8-5481-4533-921F-1A5DD29EA3F1}"/>
    <hyperlink ref="G272" r:id="rId553" xr:uid="{BB556A6D-92F2-4F43-A6A7-1D1FF1010F19}"/>
    <hyperlink ref="F273" r:id="rId554" xr:uid="{562FF143-0B62-4449-B12E-BA80B03B6800}"/>
    <hyperlink ref="F274" r:id="rId555" xr:uid="{10598121-5F2F-40DC-B061-496C7975E27B}"/>
    <hyperlink ref="S274" r:id="rId556" xr:uid="{9DD274C4-CC60-4DDB-939C-0956C80CDE80}"/>
    <hyperlink ref="F275" r:id="rId557" xr:uid="{3ACA8EDB-70D5-44A3-BC15-39724B9D2F03}"/>
    <hyperlink ref="G275" r:id="rId558" xr:uid="{430113E9-557C-49CB-8712-3C903BDB8100}"/>
    <hyperlink ref="S275" r:id="rId559" xr:uid="{91EA5A15-BA03-4167-A8A0-AF4ABE297CA8}"/>
    <hyperlink ref="F276" r:id="rId560" xr:uid="{04F3CABB-5F5B-4FE0-8BA4-C3B756F97A71}"/>
    <hyperlink ref="S277" r:id="rId561" xr:uid="{462F6BAC-36D2-4FF3-9556-F8546FDB4E65}"/>
    <hyperlink ref="F278" r:id="rId562" xr:uid="{C64552AD-8D23-4F1D-ADA0-B2D391C12216}"/>
    <hyperlink ref="F279" r:id="rId563" xr:uid="{4D475D29-48D1-4B57-A350-A31DC8FD9B7A}"/>
    <hyperlink ref="G279" r:id="rId564" xr:uid="{904C538F-C900-4695-8E7A-1568C71536B6}"/>
    <hyperlink ref="S279" r:id="rId565" xr:uid="{F0256F8A-FDD7-4C1D-807F-BBB1222D3A79}"/>
    <hyperlink ref="G280" r:id="rId566" xr:uid="{21D37CBD-E8F3-482B-AF72-55E874C15410}"/>
    <hyperlink ref="S280" r:id="rId567" xr:uid="{ED83D003-51A7-4F2A-B8FC-56C1B9F8DB92}"/>
    <hyperlink ref="S281" r:id="rId568" xr:uid="{1C2D06D1-5552-46C9-955C-9BFB6CE5FF2D}"/>
    <hyperlink ref="F282" r:id="rId569" xr:uid="{C91489C2-A00D-431C-B52C-BAB47B20CDA3}"/>
    <hyperlink ref="G282" r:id="rId570" xr:uid="{4B1C895E-3473-4AB9-B63F-286BF48526F5}"/>
    <hyperlink ref="S282" r:id="rId571" xr:uid="{8E58392C-5566-422C-9233-A37F136B115D}"/>
    <hyperlink ref="F283" r:id="rId572" xr:uid="{5FE04DDD-7AD1-4B7A-9ACA-5EF04A84AF95}"/>
    <hyperlink ref="S283" r:id="rId573" xr:uid="{16AC8CAD-4DD5-447B-BA19-C0974546D0E3}"/>
    <hyperlink ref="F284" r:id="rId574" xr:uid="{37B3F0E7-DF19-42CD-89E2-028A63AEF6D4}"/>
    <hyperlink ref="G284" r:id="rId575" xr:uid="{2E7CEC66-FF65-43DC-A240-6D5B83CBB3C0}"/>
    <hyperlink ref="S284" r:id="rId576" xr:uid="{FF8EAECE-254B-4594-8640-4F0FA73081ED}"/>
    <hyperlink ref="F285" r:id="rId577" xr:uid="{D66D699A-C104-47D7-8588-4C033A291F2E}"/>
    <hyperlink ref="G285" r:id="rId578" xr:uid="{3E930D7F-C57A-4E30-850A-959EB697F46C}"/>
    <hyperlink ref="S285" r:id="rId579" xr:uid="{7E05C61E-049D-41AF-BF58-657B5546D416}"/>
    <hyperlink ref="F286" r:id="rId580" xr:uid="{8E3B74FD-C2E0-42AA-9FBB-36F4C0BD213B}"/>
    <hyperlink ref="G286" r:id="rId581" xr:uid="{C6E02AF3-0485-4589-B94E-C510D2860356}"/>
    <hyperlink ref="S286" r:id="rId582" xr:uid="{7FAA9AAC-9391-4C3B-9765-A2CEA8C1675E}"/>
    <hyperlink ref="F287" r:id="rId583" xr:uid="{11B901EB-2814-4862-957E-04C19329D2AC}"/>
    <hyperlink ref="G287" r:id="rId584" xr:uid="{BC8A838C-19D1-44D3-A3DD-8776ACDB1471}"/>
    <hyperlink ref="S287" r:id="rId585" xr:uid="{B190F630-E3EE-41FC-88A5-B7D572521FF4}"/>
    <hyperlink ref="G288" r:id="rId586" xr:uid="{4DD11066-F576-46D8-BB0E-8C5E309BB554}"/>
    <hyperlink ref="G289" r:id="rId587" xr:uid="{FAB31A01-54FB-40F1-AF37-029CCF2A5FEE}"/>
    <hyperlink ref="S289" r:id="rId588" xr:uid="{11E88360-0393-48D0-A51D-6CF32A56C78C}"/>
    <hyperlink ref="F290" r:id="rId589" xr:uid="{FADAB4BB-D81D-4656-8858-DDE7BE2FC728}"/>
    <hyperlink ref="G290" r:id="rId590" xr:uid="{493C89F4-1100-4B5A-9DB5-C80DECFE1BF2}"/>
    <hyperlink ref="S290" r:id="rId591" xr:uid="{417A8BA7-0637-4373-A0CC-C5A643D94EB4}"/>
    <hyperlink ref="F291" r:id="rId592" xr:uid="{806701C8-3754-4BC8-9B1B-C81D5EDA2E57}"/>
    <hyperlink ref="G291" r:id="rId593" xr:uid="{42C43320-7B1F-4A4E-8F1B-7AABEED5E541}"/>
    <hyperlink ref="G292" r:id="rId594" xr:uid="{4493CF2B-02BF-4E0F-B9C2-C10F1466CB64}"/>
    <hyperlink ref="S292" r:id="rId595" xr:uid="{495AFAF7-67C8-4EEF-80CC-8E005E90DFE5}"/>
    <hyperlink ref="G293" r:id="rId596" xr:uid="{248EB486-5023-4373-8A21-674D7199B90E}"/>
    <hyperlink ref="G294" r:id="rId597" xr:uid="{E8EA6D21-7963-4683-9341-8801BEB417B2}"/>
    <hyperlink ref="G295" r:id="rId598" xr:uid="{F8528F5D-9FE5-491E-953D-F4566C7FBD6C}"/>
    <hyperlink ref="S295" r:id="rId599" xr:uid="{C9A2ADC4-3194-4813-BDE9-B70B690667D7}"/>
    <hyperlink ref="F296" r:id="rId600" xr:uid="{0A8DBDC2-D8F7-4097-AAD3-BB4631E97B06}"/>
    <hyperlink ref="G296" r:id="rId601" xr:uid="{7EB62F2B-A7CB-40B2-BE01-D8423970D5B3}"/>
    <hyperlink ref="S296" r:id="rId602" xr:uid="{4F820015-9D08-441F-8BA3-C4E35870ACAB}"/>
    <hyperlink ref="F297" r:id="rId603" xr:uid="{E9DF924B-077E-4630-89B7-90550124B957}"/>
    <hyperlink ref="S297" r:id="rId604" xr:uid="{8385B6F5-9FC0-44B2-BBB7-318A85E503E9}"/>
    <hyperlink ref="G298" r:id="rId605" xr:uid="{2D05C380-C6A0-40B3-8B89-824F076E6C0C}"/>
    <hyperlink ref="S298" r:id="rId606" xr:uid="{9B838EAB-A4CE-488D-A940-871C0FF926FC}"/>
    <hyperlink ref="F299" r:id="rId607" xr:uid="{A550A46B-3397-4711-A588-3A5198C55CCE}"/>
    <hyperlink ref="G299" r:id="rId608" xr:uid="{D5FB504B-B4DF-4A40-9EEA-ACB89F62363B}"/>
    <hyperlink ref="S299" r:id="rId609" xr:uid="{A6202467-B31E-41F0-BC2F-D290081EF640}"/>
    <hyperlink ref="F300" r:id="rId610" xr:uid="{248DD57C-0B53-466D-8522-FFA4CD4DBF9F}"/>
    <hyperlink ref="S300" r:id="rId611" xr:uid="{4765D932-B95F-4121-85D5-2FAEA10C06B1}"/>
    <hyperlink ref="G301" r:id="rId612" xr:uid="{0C46BC02-5AE8-4CB8-85FE-7189AF939ADA}"/>
    <hyperlink ref="S301" r:id="rId613" xr:uid="{4DDCC3FE-07D9-447C-9F0D-43E24900F174}"/>
    <hyperlink ref="F302" r:id="rId614" xr:uid="{52EC40AE-8754-4AF8-9BB5-AA330C4F7D81}"/>
    <hyperlink ref="G302" r:id="rId615" xr:uid="{526AD945-A0A7-4E6B-88CE-33F2DF970A3C}"/>
    <hyperlink ref="S302" r:id="rId616" xr:uid="{332834E1-78A6-4FC9-BE50-75F6AC239FD8}"/>
    <hyperlink ref="G303" r:id="rId617" xr:uid="{B912A49F-9B6E-4EE2-849B-F3564C39C892}"/>
    <hyperlink ref="S303" r:id="rId618" xr:uid="{41BC9478-3707-456C-AFEA-CD9EF1B95E47}"/>
    <hyperlink ref="F304" r:id="rId619" xr:uid="{65BB6100-5D95-48DF-AA7E-0C460BCE8941}"/>
    <hyperlink ref="S304" r:id="rId620" xr:uid="{E6CF78EC-0DDB-4C5D-860E-BC12C9F9BB79}"/>
    <hyperlink ref="G305" r:id="rId621" xr:uid="{0774147A-2672-4F03-AF0A-04C0D0C33476}"/>
    <hyperlink ref="S305" r:id="rId622" xr:uid="{C11B5409-2987-467A-A214-3073F2DF4BD2}"/>
    <hyperlink ref="F306" r:id="rId623" xr:uid="{FBF0B969-B3FE-44A4-9801-EB2DD3CCCC3E}"/>
    <hyperlink ref="G306" r:id="rId624" xr:uid="{D1902F6D-639B-49F8-A765-7514DCFB398E}"/>
    <hyperlink ref="S306" r:id="rId625" xr:uid="{E8B5EC26-FEC1-469B-8DA9-9D3F1AACEA58}"/>
    <hyperlink ref="S307" r:id="rId626" xr:uid="{C5A31F35-B942-49FF-90D9-5198236992FF}"/>
    <hyperlink ref="F308" r:id="rId627" xr:uid="{865AC3E8-976C-4AC8-B6BB-0F12A997DB13}"/>
    <hyperlink ref="S308" r:id="rId628" xr:uid="{A00C73A0-D306-49DC-8A22-31BEF033BFF5}"/>
    <hyperlink ref="F309" r:id="rId629" xr:uid="{40412699-30D3-4CCA-9A87-A8E1E2EC213D}"/>
    <hyperlink ref="G309" r:id="rId630" xr:uid="{C4DD0052-99D3-4FEE-B9DC-057A14B53AFE}"/>
    <hyperlink ref="S309" r:id="rId631" xr:uid="{513287C6-BB9A-4B0C-9339-2D61D95EAC62}"/>
    <hyperlink ref="G310" r:id="rId632" xr:uid="{018846B4-B143-4B92-950D-7B3891B52AE0}"/>
    <hyperlink ref="S310" r:id="rId633" xr:uid="{F1A9B6E7-AA56-4408-9AE1-E774616C66EF}"/>
    <hyperlink ref="G311" r:id="rId634" xr:uid="{227979CC-5E90-4F25-9F44-DE2814A1394E}"/>
    <hyperlink ref="S311" r:id="rId635" xr:uid="{08AEA14D-3D4B-4E44-8B91-C912E56602E8}"/>
    <hyperlink ref="G312" r:id="rId636" xr:uid="{50E58646-267D-4E3D-AEF9-E66DC6406972}"/>
    <hyperlink ref="S312" r:id="rId637" xr:uid="{91785582-DC8A-4871-BDEF-E74AEDC432C9}"/>
    <hyperlink ref="F313" r:id="rId638" xr:uid="{C4C85611-0B0C-49C6-A344-780491CF5E25}"/>
    <hyperlink ref="S313" r:id="rId639" xr:uid="{C96518D5-69DA-49B0-973B-5CCB879447FA}"/>
    <hyperlink ref="F314" r:id="rId640" xr:uid="{36401639-91EE-4715-86FB-956A3E377318}"/>
    <hyperlink ref="S314" r:id="rId641" xr:uid="{2CAE79C6-2C21-41E5-A2EB-FF6D14D420B7}"/>
    <hyperlink ref="F315" r:id="rId642" xr:uid="{0464B728-7008-4F54-93D2-E35B1D75389F}"/>
    <hyperlink ref="S315" r:id="rId643" xr:uid="{71326877-6FC5-454D-9DA3-4385E20A439D}"/>
    <hyperlink ref="F316" r:id="rId644" xr:uid="{713A698A-229D-403A-A1E8-E931DBD2970D}"/>
    <hyperlink ref="G316" r:id="rId645" xr:uid="{A3C37378-E849-40C1-B029-C189211ECC00}"/>
    <hyperlink ref="S316" r:id="rId646" xr:uid="{5C479C27-C627-4DE1-AB9D-718FC7D17343}"/>
    <hyperlink ref="G317" r:id="rId647" xr:uid="{828BBBA2-0CB8-4257-AAF8-774F8A7EFEB5}"/>
    <hyperlink ref="S317" r:id="rId648" xr:uid="{8DCA05BF-F8FD-4783-9E80-7D5DB2B7BCFB}"/>
    <hyperlink ref="S318" r:id="rId649" xr:uid="{C99D0F0A-BC6E-4415-B6EF-A8910D8077AA}"/>
    <hyperlink ref="F319" r:id="rId650" xr:uid="{870CA7F8-6F48-4BB8-B98D-FCB304BCE401}"/>
    <hyperlink ref="G319" r:id="rId651" xr:uid="{23FCB550-8F05-49A6-A54D-DFB047814576}"/>
    <hyperlink ref="S319" r:id="rId652" xr:uid="{68566CCB-7776-4AAA-943F-1FF63091D656}"/>
    <hyperlink ref="F320" r:id="rId653" xr:uid="{FFAED159-F520-49A6-8326-0C5D4B00A311}"/>
    <hyperlink ref="G320" r:id="rId654" xr:uid="{012D3B0D-DA30-4CC2-9B6B-D22E841C1DDD}"/>
    <hyperlink ref="S320" r:id="rId655" xr:uid="{248DE4AD-F0C6-434E-825B-84CFF8BEA5CE}"/>
    <hyperlink ref="F322" r:id="rId656" xr:uid="{506250D0-CD63-4F6C-B6AE-35E6EBD969CC}"/>
    <hyperlink ref="S322" r:id="rId657" xr:uid="{8AEA6F6D-C9D3-4D38-B823-1BFA5D9BE621}"/>
    <hyperlink ref="F323" r:id="rId658" xr:uid="{8FDB0341-F741-4682-B080-5D80B5F0E93F}"/>
    <hyperlink ref="G323" r:id="rId659" xr:uid="{F50B0894-4DC2-4375-8F59-9A813F87A997}"/>
    <hyperlink ref="F324" r:id="rId660" xr:uid="{CCEEA8D0-077F-4935-92FC-5213E850C124}"/>
    <hyperlink ref="S324" r:id="rId661" xr:uid="{B4469D5D-CC9B-4A68-BE2C-083C498B9A74}"/>
    <hyperlink ref="F325" r:id="rId662" xr:uid="{02734C2F-6806-44AF-9248-DFF200637255}"/>
    <hyperlink ref="S325" r:id="rId663" xr:uid="{14261A15-4FA5-4872-AA06-56B1CBB0B66B}"/>
    <hyperlink ref="G326" r:id="rId664" xr:uid="{9CAB8362-5027-4D5F-B403-40606DB67D6D}"/>
    <hyperlink ref="S326" r:id="rId665" xr:uid="{A07A8924-8DFB-4202-9EEB-6B9ABFB63EAE}"/>
    <hyperlink ref="F327" r:id="rId666" xr:uid="{2F8887C3-2ABA-49D8-B9F8-D4E56B93CA0C}"/>
    <hyperlink ref="G327" r:id="rId667" xr:uid="{CEBFF7FF-24A5-44D0-8530-BB8928A189FA}"/>
    <hyperlink ref="S327" r:id="rId668" xr:uid="{47B59840-BFAC-4C5C-889F-0DF4E16EE36F}"/>
    <hyperlink ref="F328" r:id="rId669" xr:uid="{6D3D8277-1DCD-4806-A298-89A578230B42}"/>
    <hyperlink ref="G328" r:id="rId670" xr:uid="{19DFC318-4024-4B3C-8544-7A5103E0D200}"/>
    <hyperlink ref="S328" r:id="rId671" xr:uid="{130E30AF-65D6-41AA-9100-86CF75EE885E}"/>
    <hyperlink ref="F329" r:id="rId672" xr:uid="{22B47AA4-8F0B-434F-BB15-29F537696666}"/>
    <hyperlink ref="G329" r:id="rId673" xr:uid="{771D4DC0-B48B-4C97-A2D9-7909EFC53983}"/>
    <hyperlink ref="S329" r:id="rId674" xr:uid="{87476CD3-3402-4239-929C-F040C1F6B06F}"/>
    <hyperlink ref="F330" r:id="rId675" xr:uid="{33CB08B2-655D-412F-92B5-F47AC0E96EB1}"/>
    <hyperlink ref="S330" r:id="rId676" xr:uid="{DDF9EAF0-9FA2-4BA2-8C5F-15E438368F0D}"/>
    <hyperlink ref="F331" r:id="rId677" xr:uid="{272C09F7-D59E-4F97-926E-2F9708A6B404}"/>
    <hyperlink ref="S331" r:id="rId678" xr:uid="{10238DE3-1C46-41F5-B72B-9A9BCC5F6701}"/>
    <hyperlink ref="F333" r:id="rId679" xr:uid="{742F2F05-65D1-49F7-B606-4E8EE69F5086}"/>
    <hyperlink ref="S333" r:id="rId680" xr:uid="{76D58968-D02A-4D84-AF89-F8708BC574D0}"/>
    <hyperlink ref="G334" r:id="rId681" xr:uid="{8DD07FB8-953A-4702-B3AF-3195A2E3F249}"/>
    <hyperlink ref="S334" r:id="rId682" xr:uid="{1A334244-AE53-49FE-A383-C4F75739D09A}"/>
    <hyperlink ref="G335" r:id="rId683" xr:uid="{D9234F1A-0634-428C-A9C8-3CF2BA98B572}"/>
    <hyperlink ref="S335" r:id="rId684" xr:uid="{1FE24572-09F4-433B-A03A-7081C46309CB}"/>
    <hyperlink ref="F336" r:id="rId685" xr:uid="{36E7F57F-EC7A-40F9-9F86-A3950171683D}"/>
    <hyperlink ref="G336" r:id="rId686" xr:uid="{C5336895-B858-4671-A617-C3D06EC527CA}"/>
    <hyperlink ref="S336" r:id="rId687" xr:uid="{EF0B428F-8AB9-43EE-ACC5-D5A12AA080A6}"/>
    <hyperlink ref="F337" r:id="rId688" xr:uid="{1917F50B-A2D1-4BDE-BE94-99CD34F8F90F}"/>
    <hyperlink ref="G337" r:id="rId689" xr:uid="{0EB30D7D-AA8F-4743-BE3E-AD9F4D3FCC18}"/>
    <hyperlink ref="S337" r:id="rId690" xr:uid="{427DBCEE-983E-4A62-BC1F-FB0FAFCC111B}"/>
    <hyperlink ref="S338" r:id="rId691" xr:uid="{9F2354AF-41D9-47DD-93E6-3096ADA04BDB}"/>
    <hyperlink ref="F340" r:id="rId692" xr:uid="{CEF8EDC3-9853-46D0-AEC3-8BF0EFC38156}"/>
    <hyperlink ref="S340" r:id="rId693" xr:uid="{B6A323F0-A996-4270-9378-CABB3ABED0C4}"/>
    <hyperlink ref="F342" r:id="rId694" xr:uid="{A38D64FB-7B0D-4EF4-9142-A1F6FA6BD1E7}"/>
    <hyperlink ref="S342" r:id="rId695" xr:uid="{0B4A488F-7167-4BBE-AEF5-E0060952C8D7}"/>
    <hyperlink ref="G343" r:id="rId696" xr:uid="{C5CF9222-921B-467A-BBFE-42E8F3766FD4}"/>
    <hyperlink ref="S343" r:id="rId697" xr:uid="{9A85E037-B06E-4334-91A5-E40355BEA8F3}"/>
    <hyperlink ref="F344" r:id="rId698" xr:uid="{214F92F8-755A-4D9D-9F50-9A1573413321}"/>
    <hyperlink ref="S345" r:id="rId699" xr:uid="{8EAA92E5-9011-4493-8716-13B50DA01E89}"/>
    <hyperlink ref="F346" r:id="rId700" xr:uid="{4D12C2B7-4302-4E33-AB8A-8427CD30C4A8}"/>
    <hyperlink ref="S346" r:id="rId701" xr:uid="{8206150B-A3F3-4027-96DB-4F1BF7369766}"/>
    <hyperlink ref="F347" r:id="rId702" xr:uid="{4DB979E2-AEF0-4A44-A7BD-4303DD421212}"/>
    <hyperlink ref="S347" r:id="rId703" xr:uid="{17516395-9683-4960-A131-27988E672E4F}"/>
    <hyperlink ref="F348" r:id="rId704" xr:uid="{C9D4A133-BF7A-45A3-A11D-433C3B00596B}"/>
    <hyperlink ref="S348" r:id="rId705" xr:uid="{A2CC95DB-84B6-4833-997D-F77646AB2FF4}"/>
    <hyperlink ref="F349" r:id="rId706" xr:uid="{EDE3AD8C-5B23-48E0-9D13-590B3449B340}"/>
    <hyperlink ref="G349" r:id="rId707" xr:uid="{BCE84FE2-4C5C-408C-BB02-2A503AE44378}"/>
    <hyperlink ref="S349" r:id="rId708" xr:uid="{1F95EF76-5428-4588-9533-012317B98150}"/>
    <hyperlink ref="F351" r:id="rId709" xr:uid="{48C27FC0-8BDD-4FF5-9899-B235542D4DD2}"/>
    <hyperlink ref="G351" r:id="rId710" xr:uid="{DDEBA9A2-EA4E-4CB2-B05B-5AB69393E9C9}"/>
    <hyperlink ref="S351" r:id="rId711" xr:uid="{6424E4A3-A40B-4D2A-834F-070E281352F8}"/>
    <hyperlink ref="G352" r:id="rId712" xr:uid="{BA1D6204-B6EB-4C48-BB13-3E55F328B3E5}"/>
    <hyperlink ref="S352" r:id="rId713" xr:uid="{7C122923-DA6B-4A76-BA6F-6B3AD046898F}"/>
    <hyperlink ref="F353" r:id="rId714" xr:uid="{3CB60195-444E-45F6-AB66-D826BB822BD3}"/>
    <hyperlink ref="G353" r:id="rId715" xr:uid="{558FC483-DFBA-4D50-A879-514C950A0EB5}"/>
    <hyperlink ref="S353" r:id="rId716" xr:uid="{E55ED6B6-F3EE-4BC4-B1CC-B9BF5E3E98F8}"/>
    <hyperlink ref="G354" r:id="rId717" xr:uid="{1B6202D1-1FC5-494A-BB8B-256527F1168F}"/>
    <hyperlink ref="S354" r:id="rId718" xr:uid="{C171DA25-BEF4-4139-8ECD-F86D10412EBD}"/>
    <hyperlink ref="F356" r:id="rId719" xr:uid="{EEEC9DCE-041C-4E20-BB34-B1BB9CAD8B93}"/>
    <hyperlink ref="G356" r:id="rId720" xr:uid="{81B8056B-33A9-43B9-841B-6C4F72D2F69D}"/>
    <hyperlink ref="S356" r:id="rId721" xr:uid="{EC409D5F-BAF4-4121-9DC6-C23375EED956}"/>
    <hyperlink ref="F357" r:id="rId722" xr:uid="{758FD1C1-E70F-427E-8B2B-DBD7E46C35A7}"/>
    <hyperlink ref="S357" r:id="rId723" xr:uid="{3173DBFC-52EF-4DAC-9A8F-D2127FE8CE7C}"/>
    <hyperlink ref="G358" r:id="rId724" xr:uid="{501BA91C-6E9C-4C37-A8C5-4BB7AC510C49}"/>
    <hyperlink ref="S358" r:id="rId725" xr:uid="{C02F5AD4-8EB4-44A0-A28F-2876D282DD1E}"/>
    <hyperlink ref="F359" r:id="rId726" xr:uid="{CFA37C55-6146-4509-8B75-922BF9F98FC2}"/>
    <hyperlink ref="G359" r:id="rId727" xr:uid="{67804A92-18B9-4F97-8417-41A81065CA7E}"/>
    <hyperlink ref="S359" r:id="rId728" xr:uid="{5B2E17AA-3EA0-46B2-A076-3CD000EA0D76}"/>
    <hyperlink ref="G360" r:id="rId729" xr:uid="{49D74EB8-9EA0-42AD-9245-2BFD7F01C153}"/>
    <hyperlink ref="S360" r:id="rId730" xr:uid="{C4248C00-5E8E-4EF2-BCAD-BBA566414C21}"/>
    <hyperlink ref="F362" r:id="rId731" xr:uid="{3FB70FE5-266A-480B-8010-F9E5FDC117DB}"/>
    <hyperlink ref="G362" r:id="rId732" xr:uid="{7204923C-40E9-42A0-9E78-163C12469725}"/>
    <hyperlink ref="F363" r:id="rId733" xr:uid="{DD63F172-7592-49F6-A924-8E215717FACA}"/>
    <hyperlink ref="S363" r:id="rId734" xr:uid="{18BA5F84-F68B-4B14-836B-F43B45A3202F}"/>
    <hyperlink ref="F364" r:id="rId735" xr:uid="{1A4E8C22-8757-4F15-BA46-D8224A8D254E}"/>
    <hyperlink ref="G364" r:id="rId736" xr:uid="{B69706B2-13A0-4E93-ABA4-1B80FAF0E487}"/>
    <hyperlink ref="S364" r:id="rId737" xr:uid="{BA739CA0-90FD-4507-965E-8DB732A5F227}"/>
    <hyperlink ref="F365" r:id="rId738" xr:uid="{B7E9D190-654C-44E2-8B86-92B3F78B2995}"/>
    <hyperlink ref="S365" r:id="rId739" xr:uid="{4EDCBB9F-4B32-4A90-BD3A-9A3C85747B52}"/>
    <hyperlink ref="G366" r:id="rId740" xr:uid="{91FF79E9-932A-4D88-BCD3-E4F28825FC19}"/>
    <hyperlink ref="S366" r:id="rId741" xr:uid="{ED84D7C0-299A-4204-8835-262B35C353AD}"/>
    <hyperlink ref="F367" r:id="rId742" xr:uid="{D29D911D-003C-4232-8DCD-A344FFBEA815}"/>
    <hyperlink ref="S367" r:id="rId743" xr:uid="{DD1B18E9-85BC-4AE9-B905-28F5E2C5F229}"/>
    <hyperlink ref="G368" r:id="rId744" xr:uid="{6C23E5CB-45C1-4213-8218-729FC9D71701}"/>
    <hyperlink ref="S368" r:id="rId745" xr:uid="{A3CC851D-B4C7-43C1-B64C-F1FA44DAD193}"/>
    <hyperlink ref="C369" r:id="rId746" xr:uid="{D110DDF7-C57A-498D-91B5-65BD13DCE61C}"/>
    <hyperlink ref="F369" r:id="rId747" xr:uid="{AB3A5EB7-0ED6-4E1F-A83A-6E0F0DA0AB1E}"/>
    <hyperlink ref="S369" r:id="rId748" xr:uid="{00A5C713-AB32-4C0D-99C2-2101C912F766}"/>
    <hyperlink ref="F371" r:id="rId749" xr:uid="{E72D1A3E-820A-4D00-9129-ACBC4B97843A}"/>
    <hyperlink ref="G371" r:id="rId750" xr:uid="{90770A19-ED01-4C43-98AC-22A97ED08305}"/>
    <hyperlink ref="F372" r:id="rId751" xr:uid="{06DB66BC-6927-4F5E-A403-81E8AFC40477}"/>
    <hyperlink ref="S372" r:id="rId752" xr:uid="{57B27F16-2C28-434F-A359-48B6D5A154EA}"/>
    <hyperlink ref="F373" r:id="rId753" xr:uid="{EAA24DCD-328F-4938-A39B-5BD667C210E0}"/>
    <hyperlink ref="S373" r:id="rId754" xr:uid="{5EAD1AC0-6BF0-4CCE-BCAA-E0D2759D9B02}"/>
    <hyperlink ref="F374" r:id="rId755" xr:uid="{531BE323-6EBB-40F6-9448-2C87FA5E14F3}"/>
    <hyperlink ref="G374" r:id="rId756" xr:uid="{814B6ABB-AB67-4A4E-BA73-D0C76BD4F61B}"/>
    <hyperlink ref="S374" r:id="rId757" xr:uid="{155583F5-13A1-43CD-A5ED-1B3BFD601876}"/>
    <hyperlink ref="F375" r:id="rId758" xr:uid="{2326E09D-47C7-45CF-93B1-910CE15982DC}"/>
    <hyperlink ref="S375" r:id="rId759" xr:uid="{92987BDA-59E5-4F31-9FD5-CF29651D8FDD}"/>
    <hyperlink ref="F376" r:id="rId760" xr:uid="{B21269E8-D445-48D0-852A-0B3F4656994E}"/>
    <hyperlink ref="S376" r:id="rId761" xr:uid="{F4C8ACEA-DF2A-4518-9F77-B1B5ACD9A3C3}"/>
    <hyperlink ref="F377" r:id="rId762" xr:uid="{14959DD2-5C2C-4141-865A-010B46E1411A}"/>
    <hyperlink ref="S377" r:id="rId763" xr:uid="{1507BCEE-2201-49E1-BCB5-E443D6240160}"/>
    <hyperlink ref="G378" r:id="rId764" xr:uid="{F450EB84-08A3-44D9-829D-B3C67AA32BD0}"/>
    <hyperlink ref="S378" r:id="rId765" xr:uid="{77C7BFB3-1FDD-4D4C-B322-D406A9E0E701}"/>
    <hyperlink ref="F379" r:id="rId766" xr:uid="{2C0A7CB0-49E3-48A6-8CA7-B05B382F23BE}"/>
    <hyperlink ref="S379" r:id="rId767" xr:uid="{6FCF7E9F-38DF-41D9-9625-6FCE98F7639A}"/>
    <hyperlink ref="F381" r:id="rId768" xr:uid="{89B7C16C-8FD5-400F-94B8-B9AE964D8FF1}"/>
    <hyperlink ref="G381" r:id="rId769" xr:uid="{6D348905-4996-4F6A-B4AC-27AD0078184B}"/>
    <hyperlink ref="S381" r:id="rId770" xr:uid="{D41016DD-8221-45BE-8877-11DA254794AF}"/>
    <hyperlink ref="F382" r:id="rId771" xr:uid="{947E598E-EFF1-4C8C-AB70-963EF5F2FEAB}"/>
    <hyperlink ref="S382" r:id="rId772" xr:uid="{77BE497D-D6A3-4618-8B6C-BE979256B56E}"/>
    <hyperlink ref="F383" r:id="rId773" xr:uid="{9EC17883-59A7-41CE-9F2D-EF2654E48EE1}"/>
    <hyperlink ref="S383" r:id="rId774" xr:uid="{050EFE58-BF48-4AF6-9EDE-860E4561A23F}"/>
    <hyperlink ref="G384" r:id="rId775" xr:uid="{C1F5C5B3-3CDB-4428-B836-D97121DC92F4}"/>
    <hyperlink ref="S384" r:id="rId776" xr:uid="{1C4E99A8-230A-48FE-8490-2BD9EBD8E76C}"/>
    <hyperlink ref="F385" r:id="rId777" xr:uid="{E3D0EF20-9AD3-4293-A6DA-301E3D5E9DF7}"/>
    <hyperlink ref="S385" r:id="rId778" xr:uid="{56122158-D9C3-4267-833D-93BFD837EFCF}"/>
    <hyperlink ref="F386" r:id="rId779" xr:uid="{18B30B9A-2299-4E78-AFA8-6543BAFB3226}"/>
    <hyperlink ref="G386" r:id="rId780" xr:uid="{0151DD29-157B-42C1-9996-E8EB5F3D20D0}"/>
    <hyperlink ref="S386" r:id="rId781" xr:uid="{E972D3D6-8042-42BC-8233-CB3184FC0258}"/>
    <hyperlink ref="F387" r:id="rId782" xr:uid="{F4B737FD-7103-4452-81E8-43E7615AAC5C}"/>
    <hyperlink ref="S387" r:id="rId783" xr:uid="{E61697DF-32D2-43F2-9CB2-2007D1429AD5}"/>
    <hyperlink ref="S388" r:id="rId784" xr:uid="{52FB6861-5ACB-44EE-AD17-A93846EA4FF1}"/>
    <hyperlink ref="F389" r:id="rId785" xr:uid="{78A37394-035D-4371-AF8A-9B7CA7328FE6}"/>
    <hyperlink ref="G389" r:id="rId786" xr:uid="{AEC664E6-888E-49C0-B44F-ABEA54D5A42F}"/>
    <hyperlink ref="S389" r:id="rId787" xr:uid="{45B1166A-601B-4E23-A1C9-651E8FF124A0}"/>
    <hyperlink ref="G391" r:id="rId788" xr:uid="{FBE13243-C5F9-4DBA-A9B1-C5F4B20F64A7}"/>
    <hyperlink ref="S391" r:id="rId789" xr:uid="{10FD4842-7488-4C5B-8495-2DD055CC1B22}"/>
    <hyperlink ref="F392" r:id="rId790" xr:uid="{271D1F8B-094C-490F-828B-ED8F15046060}"/>
    <hyperlink ref="F393" r:id="rId791" xr:uid="{C505A08F-C23B-4273-AE77-A1ADB3C78496}"/>
    <hyperlink ref="G393" r:id="rId792" xr:uid="{2CAFAA48-290B-410A-ADE9-0D06B8DDDFC1}"/>
    <hyperlink ref="S393" r:id="rId793" xr:uid="{B568ADA7-5A65-486C-B1E7-FF7061A3E81A}"/>
    <hyperlink ref="F394" r:id="rId794" xr:uid="{FEC1E4A6-C915-4D85-83D6-ADAAD5287BAC}"/>
    <hyperlink ref="G394" r:id="rId795" xr:uid="{76028902-3BF6-4CCF-96AD-0B22AFE55C1F}"/>
    <hyperlink ref="S394" r:id="rId796" xr:uid="{B0BB4929-7C19-416C-A14B-B4E182CF35A9}"/>
    <hyperlink ref="F395" r:id="rId797" xr:uid="{6D6A1741-4F0C-4627-8311-94DF85A50DB2}"/>
    <hyperlink ref="F396" r:id="rId798" xr:uid="{DD3EB14D-C789-4C74-BBAC-6F122A9DB18B}"/>
    <hyperlink ref="S396" r:id="rId799" xr:uid="{C756616B-D09A-42E3-9068-37D47D0642E3}"/>
    <hyperlink ref="G397" r:id="rId800" xr:uid="{0AD19E3C-4D1F-4788-B55A-23BCE58988BB}"/>
    <hyperlink ref="F398" r:id="rId801" xr:uid="{47575C6D-C77D-487A-AF6A-A26C2DE97245}"/>
    <hyperlink ref="S398" r:id="rId802" xr:uid="{FE3D6D4D-0CF0-4687-9318-77170F3FF7B3}"/>
    <hyperlink ref="G399" r:id="rId803" xr:uid="{2AC23875-B1E5-43F1-918B-EBB03D396B51}"/>
    <hyperlink ref="S399" r:id="rId804" xr:uid="{2D56405C-316D-4995-9626-127BCB53CC6D}"/>
    <hyperlink ref="F400" r:id="rId805" xr:uid="{56B0971E-DD65-4EC9-A6F3-F14BE911361F}"/>
    <hyperlink ref="S400" r:id="rId806" xr:uid="{5310E985-B3D4-4395-98B1-2D98B9B35BF2}"/>
    <hyperlink ref="F401" r:id="rId807" xr:uid="{29E58230-4156-4514-91EE-636CBD0E734E}"/>
    <hyperlink ref="G401" r:id="rId808" xr:uid="{25287529-E4A1-4BD6-B3BF-F2AA7F2C789B}"/>
    <hyperlink ref="S401" r:id="rId809" xr:uid="{E09AD690-C1BC-4377-8972-1A24F1C89146}"/>
    <hyperlink ref="F403" r:id="rId810" xr:uid="{BA9CF132-EBF1-414F-B644-7E870AA2B39F}"/>
    <hyperlink ref="F404" r:id="rId811" xr:uid="{034AA53E-A47C-4BA7-B324-8B3D983EFAD2}"/>
    <hyperlink ref="S404" r:id="rId812" xr:uid="{6FF89946-9F5C-44DC-B963-81CE28F74427}"/>
    <hyperlink ref="F405" r:id="rId813" xr:uid="{15D44FD3-43C2-4CEA-AF6C-B691BCB450E0}"/>
    <hyperlink ref="S405" r:id="rId814" xr:uid="{04C1E636-996C-4ECE-955A-37E8010CD708}"/>
    <hyperlink ref="F406" r:id="rId815" xr:uid="{131987E4-995D-43D7-A3B1-258B8BA6FCF9}"/>
    <hyperlink ref="S406" r:id="rId816" xr:uid="{C38C1956-141E-44A8-8A66-9D49298ECAB5}"/>
    <hyperlink ref="F407" r:id="rId817" xr:uid="{B6FD9617-B0CA-44D1-A1A9-3F1C8FED68F0}"/>
    <hyperlink ref="S407" r:id="rId818" xr:uid="{01AABDC1-BAFD-4D1F-B55C-D77C88C13A81}"/>
    <hyperlink ref="F408" r:id="rId819" xr:uid="{AF605684-7980-445A-95F6-FCA2854EADC5}"/>
    <hyperlink ref="S408" r:id="rId820" xr:uid="{3ADC122F-4636-4360-8CB6-CFA6D68AD3E5}"/>
    <hyperlink ref="F409" r:id="rId821" xr:uid="{F00C0A82-A013-4CC1-A948-859C31F48C77}"/>
    <hyperlink ref="S409" r:id="rId822" xr:uid="{17068FC2-CCA1-44BB-ACF7-59364D397444}"/>
    <hyperlink ref="F410" r:id="rId823" xr:uid="{AFE0AC2D-6B73-4C65-ABCD-ADF9496091BD}"/>
    <hyperlink ref="S410" r:id="rId824" xr:uid="{A2D7CDD0-0627-44AF-B934-61AB8016DACA}"/>
    <hyperlink ref="F411" r:id="rId825" xr:uid="{4B3638C3-AEC2-48CF-BF74-C63C89B31233}"/>
    <hyperlink ref="S411" r:id="rId826" xr:uid="{198332FC-821D-4B97-AC4D-02B1B752BC01}"/>
    <hyperlink ref="F412" r:id="rId827" xr:uid="{E52DAEBE-3566-49DE-B796-B6C29F1BFA70}"/>
    <hyperlink ref="S412" r:id="rId828" xr:uid="{0F13E729-2FE1-4B70-B969-1C08B4DB77CF}"/>
    <hyperlink ref="F413" r:id="rId829" xr:uid="{A73FB698-695F-40B2-9BEC-2739A3F80885}"/>
    <hyperlink ref="S413" r:id="rId830" xr:uid="{4DA0AD6F-DF39-47F6-97EC-9B95C9D1CA08}"/>
    <hyperlink ref="F414" r:id="rId831" xr:uid="{79253BF5-6454-45DA-A0C6-21E2FC7138EE}"/>
    <hyperlink ref="S414" r:id="rId832" xr:uid="{763D0FAD-7EC3-4D84-935A-45FE7A906E22}"/>
    <hyperlink ref="F415" r:id="rId833" xr:uid="{9E832BB0-9954-44BC-9E1E-3904998C45D0}"/>
    <hyperlink ref="F416" r:id="rId834" xr:uid="{B337985A-AE81-411A-B329-7BB944ACE1CF}"/>
    <hyperlink ref="S416" r:id="rId835" xr:uid="{5790FF32-0DC4-4D77-826C-E0E834D0704F}"/>
    <hyperlink ref="G417" r:id="rId836" xr:uid="{BF89BE69-B526-477F-89EE-C069B59C7BD7}"/>
    <hyperlink ref="F418" r:id="rId837" xr:uid="{0B78F5A4-540B-41E4-BE4D-240098D78285}"/>
    <hyperlink ref="G418" r:id="rId838" xr:uid="{AAC1D24A-C3D2-4FCC-AC83-9CEA94E6A52D}"/>
    <hyperlink ref="S418" r:id="rId839" xr:uid="{F3E290E7-766E-485F-AD2D-B21E704063FE}"/>
    <hyperlink ref="F419" r:id="rId840" xr:uid="{CBAAB594-EE71-4ABC-A665-E6B6C0C269E8}"/>
    <hyperlink ref="G419" r:id="rId841" xr:uid="{9CD4381B-8D37-49DE-9352-A5F59E43EB5C}"/>
    <hyperlink ref="S419" r:id="rId842" xr:uid="{9E91328B-C230-43A0-925B-1EB9105876FB}"/>
    <hyperlink ref="G420" r:id="rId843" xr:uid="{A609BD7E-B2D0-4501-95BA-CB632B207B28}"/>
    <hyperlink ref="F421" r:id="rId844" xr:uid="{6E609949-2F50-48B6-BCF2-8864CDDCAC4D}"/>
    <hyperlink ref="F422" r:id="rId845" xr:uid="{17901977-ECE8-4CFC-A3AB-066BC09728E6}"/>
    <hyperlink ref="G422" r:id="rId846" xr:uid="{852342FD-E04A-4A87-ADB9-E7605ED22F8A}"/>
    <hyperlink ref="F423" r:id="rId847" xr:uid="{E9F0B816-DCA3-4747-957E-0829327B469D}"/>
    <hyperlink ref="G423" r:id="rId848" xr:uid="{5161D2EF-3066-4F8E-9D5F-7856F4E2FC63}"/>
    <hyperlink ref="S423" r:id="rId849" xr:uid="{A53EAF24-4642-4A92-9BD4-4C5FDD1E000C}"/>
    <hyperlink ref="F424" r:id="rId850" xr:uid="{9722A4B8-61A2-450E-8B73-EAB3C1AE42C6}"/>
    <hyperlink ref="S424" r:id="rId851" xr:uid="{12BA8A4E-A8D2-4A5E-9FA7-A5A915EC407E}"/>
    <hyperlink ref="G425" r:id="rId852" xr:uid="{289308ED-B2FA-4FDE-95E4-936279F2256A}"/>
    <hyperlink ref="S425" r:id="rId853" xr:uid="{50E6108A-7596-4196-81E4-860FCA0A23EC}"/>
    <hyperlink ref="F426" r:id="rId854" xr:uid="{5D5C4AD5-7874-409E-A210-E2A43581C664}"/>
    <hyperlink ref="S426" r:id="rId855" xr:uid="{8D537EF2-47C8-410E-93F7-EFC16CB33EF8}"/>
    <hyperlink ref="F427" r:id="rId856" xr:uid="{562DF4CB-7725-494D-A09C-4D6A5C3A942F}"/>
    <hyperlink ref="S427" r:id="rId857" xr:uid="{5E963307-D110-4280-BFD1-2BB689C121A2}"/>
    <hyperlink ref="F428" r:id="rId858" xr:uid="{2DAB162B-5D7C-49E1-B573-573996F4B646}"/>
    <hyperlink ref="S428" r:id="rId859" xr:uid="{054FD76F-87A4-40FF-83BF-4457D2366FE1}"/>
    <hyperlink ref="G429" r:id="rId860" xr:uid="{F63E102F-7638-48CE-B02D-62A22D73BDA8}"/>
    <hyperlink ref="F430" r:id="rId861" xr:uid="{15DB450D-0E2D-4FB7-92D0-3798991F3B1B}"/>
    <hyperlink ref="G430" r:id="rId862" xr:uid="{04AD2590-0E69-4DF9-84D6-4A177A538B00}"/>
    <hyperlink ref="S430" r:id="rId863" xr:uid="{E41002AD-5433-45E8-8819-CA34BE0A56C3}"/>
    <hyperlink ref="F431" r:id="rId864" xr:uid="{7F6F5823-74F9-4D3D-BA0B-9497999D4773}"/>
    <hyperlink ref="G431" r:id="rId865" xr:uid="{C17D1994-896B-4265-A199-810F9BC938EE}"/>
    <hyperlink ref="S431" r:id="rId866" xr:uid="{948C7E93-BD5B-42DE-8065-3957F17366F4}"/>
    <hyperlink ref="F432" r:id="rId867" xr:uid="{47A1A70F-8D8E-4C57-93A5-575D02A95831}"/>
    <hyperlink ref="S432" r:id="rId868" xr:uid="{1FD5FB56-A642-4238-9E1D-FD63F31F7D69}"/>
    <hyperlink ref="S433" r:id="rId869" xr:uid="{DF74C657-1F6C-4B08-B979-A3DBCE66C806}"/>
    <hyperlink ref="F434" r:id="rId870" xr:uid="{F974CF15-F5A3-4A5B-9402-511AA2972A99}"/>
    <hyperlink ref="G434" r:id="rId871" xr:uid="{FB7A893E-4FA6-4291-850F-07B676B40A12}"/>
    <hyperlink ref="S434" r:id="rId872" xr:uid="{8DC1EEF3-3D0D-4E0E-B1CD-9C65C9DC6F1F}"/>
    <hyperlink ref="F435" r:id="rId873" xr:uid="{9DA1DC44-48AB-4F5E-9346-1B53062FE6D6}"/>
    <hyperlink ref="F436" r:id="rId874" xr:uid="{8FECA6B4-FA7C-477C-8FDF-460401781B51}"/>
    <hyperlink ref="F437" r:id="rId875" xr:uid="{27D12FA8-6449-4642-A28B-B78529168463}"/>
    <hyperlink ref="G437" r:id="rId876" xr:uid="{5E5A6323-15F5-4F75-B28F-394032B76974}"/>
    <hyperlink ref="S437" r:id="rId877" xr:uid="{599DB819-5667-416F-AA41-2A41BDB6F15C}"/>
    <hyperlink ref="F438" r:id="rId878" xr:uid="{831972ED-2C8C-4FB1-996C-2E90CFDF463D}"/>
    <hyperlink ref="S438" r:id="rId879" xr:uid="{AEE4C386-EDD3-4F11-8989-09970890639A}"/>
    <hyperlink ref="F439" r:id="rId880" xr:uid="{353774C5-9415-4A58-95DD-3F1CBFBBC448}"/>
    <hyperlink ref="S439" r:id="rId881" xr:uid="{DBE59FF0-7D15-4BD0-B333-00F404552BF3}"/>
    <hyperlink ref="F440" r:id="rId882" xr:uid="{5E1E60C4-42F7-46FE-A178-970241048E23}"/>
    <hyperlink ref="F441" r:id="rId883" xr:uid="{07B58835-C065-40B4-B08E-1D2A508DD769}"/>
    <hyperlink ref="G441" r:id="rId884" xr:uid="{D77522E1-82AC-492E-A378-96A60A198B29}"/>
    <hyperlink ref="F442" r:id="rId885" xr:uid="{555E679A-F3F2-4AE1-BECF-005CF10DD691}"/>
    <hyperlink ref="S442" r:id="rId886" xr:uid="{D2575C63-F5F8-4B98-875A-6EF31C93F65E}"/>
    <hyperlink ref="F443" r:id="rId887" xr:uid="{CF569365-0754-40ED-BA9B-338DDC7B1D51}"/>
    <hyperlink ref="G443" r:id="rId888" xr:uid="{B57D1B49-499F-4F90-9F9E-4E0BF33E9426}"/>
    <hyperlink ref="S443" r:id="rId889" xr:uid="{F960A10E-0CA5-4A27-AAEF-2149C0D229CE}"/>
    <hyperlink ref="F444" r:id="rId890" xr:uid="{A2041268-87A4-4298-9494-0551A2A781D9}"/>
    <hyperlink ref="F445" r:id="rId891" xr:uid="{FDA5F557-FE73-458F-BFCF-A776048AA9B3}"/>
    <hyperlink ref="S445" r:id="rId892" xr:uid="{3AC41410-F54B-4D4F-8B26-1DA23CE88827}"/>
    <hyperlink ref="F446" r:id="rId893" xr:uid="{9289C71A-EF97-4820-A569-1B164F48E117}"/>
    <hyperlink ref="F447" r:id="rId894" xr:uid="{0DECA459-9B17-4FAB-AE27-22F4478609BD}"/>
    <hyperlink ref="F448" r:id="rId895" xr:uid="{C7E59EDA-CC89-4957-B8C0-F968A632D93B}"/>
    <hyperlink ref="G448" r:id="rId896" xr:uid="{67271B33-B2DA-4EF0-825F-F8A220AE2DA2}"/>
    <hyperlink ref="S448" r:id="rId897" xr:uid="{B909E521-D733-4DAE-B105-D3E2840A3D6C}"/>
    <hyperlink ref="G449" r:id="rId898" xr:uid="{4E20BA97-D182-4461-B305-487D635D48A6}"/>
    <hyperlink ref="S449" r:id="rId899" xr:uid="{9B769349-3EC3-45B9-883A-8B565F124B2F}"/>
    <hyperlink ref="F450" r:id="rId900" xr:uid="{F9D4E36D-A30D-407D-93D3-D073BBF3E482}"/>
    <hyperlink ref="G451" r:id="rId901" xr:uid="{F59E0F52-9AC1-4294-9AB4-86C5D85B53BD}"/>
    <hyperlink ref="S451" r:id="rId902" xr:uid="{5D69CAB6-0837-4BA4-A3D7-2E0A2A754C2B}"/>
    <hyperlink ref="F452" r:id="rId903" xr:uid="{EC23EDA0-8AA6-4ABB-9B92-88D83555994F}"/>
    <hyperlink ref="S452" r:id="rId904" xr:uid="{86E41B54-2163-4436-BBC4-41A0BEB0EC1D}"/>
    <hyperlink ref="F453" r:id="rId905" xr:uid="{DDD63E04-688F-46E0-963F-8149C9280BA9}"/>
    <hyperlink ref="G453" r:id="rId906" xr:uid="{3FBA8A30-52F8-4AE2-BFED-548D52EA53AD}"/>
    <hyperlink ref="S453" r:id="rId907" xr:uid="{1D3FAD81-8F17-4E64-B0C5-A8AE0A73B009}"/>
    <hyperlink ref="F454" r:id="rId908" xr:uid="{79A8BDDE-068B-4CEA-947E-A171A84D3446}"/>
    <hyperlink ref="G454" r:id="rId909" xr:uid="{C7494E6F-1209-4E53-B639-A13D792DA453}"/>
    <hyperlink ref="S454" r:id="rId910" xr:uid="{7EFC285B-7C00-49F0-9F7E-869C01EEFE29}"/>
    <hyperlink ref="F455" r:id="rId911" xr:uid="{BC8D5263-28EC-4592-B2D0-27C0B4D7C2C0}"/>
    <hyperlink ref="S455" r:id="rId912" xr:uid="{3D2A35A6-1F60-4C50-8550-7317BF567B4A}"/>
    <hyperlink ref="F456" r:id="rId913" xr:uid="{43B37C7C-CDB0-480F-A72B-0BEB10F0BF58}"/>
    <hyperlink ref="G456" r:id="rId914" xr:uid="{DB538E07-75FE-4C5C-877B-4E3CBDB4E974}"/>
    <hyperlink ref="S456" r:id="rId915" xr:uid="{65AA832B-CA6C-489C-A21F-FC529710741A}"/>
    <hyperlink ref="F457" r:id="rId916" xr:uid="{08CAA02C-61FE-402A-A8E0-1EB6FEDACE02}"/>
    <hyperlink ref="S457" r:id="rId917" xr:uid="{A4F36170-0518-41CA-9FD0-47F20CD2943E}"/>
    <hyperlink ref="F458" r:id="rId918" xr:uid="{5BE110D9-7B50-4C7E-96E9-5C5C802E6346}"/>
    <hyperlink ref="F459" r:id="rId919" xr:uid="{C1F23482-A6C4-421E-85E2-7A9312C3544F}"/>
    <hyperlink ref="S459" r:id="rId920" xr:uid="{24B39D0C-79C6-4676-949B-2A9EE6407498}"/>
    <hyperlink ref="F460" r:id="rId921" xr:uid="{94C3B0B0-FE75-496A-B6FD-BDB19F3E5432}"/>
    <hyperlink ref="S460" r:id="rId922" xr:uid="{6BC5AFF5-59B2-481F-8637-742866177391}"/>
    <hyperlink ref="F462" r:id="rId923" xr:uid="{F2B9B631-85FA-4BCF-BAE6-A595DA5C42D6}"/>
    <hyperlink ref="S462" r:id="rId924" xr:uid="{6390D537-8092-415A-8C44-A8199D45A279}"/>
    <hyperlink ref="F463" r:id="rId925" xr:uid="{FE3E06A1-1FF5-4EB7-A0EE-47B1E31AA584}"/>
    <hyperlink ref="S463" r:id="rId926" xr:uid="{3AC4021F-4DB7-491E-B1FF-6DFEFA22ADCE}"/>
    <hyperlink ref="F464" r:id="rId927" xr:uid="{E114A945-C480-4AEF-B12C-7CED0740611B}"/>
    <hyperlink ref="S464" r:id="rId928" xr:uid="{396C3668-98A9-4612-BCEC-9E92940D262E}"/>
    <hyperlink ref="F465" r:id="rId929" xr:uid="{7EFEF7AE-67C1-4FFF-9010-204E1BD8DBA8}"/>
    <hyperlink ref="S465" r:id="rId930" xr:uid="{6F8996C1-791D-4A0E-A89A-1F6893C3AFF3}"/>
    <hyperlink ref="F466" r:id="rId931" xr:uid="{6FD51A47-DFFD-461E-B7E3-0615B6351C92}"/>
    <hyperlink ref="S466" r:id="rId932" xr:uid="{DCD3CDDC-5605-45B6-933E-3542E322BAA8}"/>
    <hyperlink ref="F467" r:id="rId933" xr:uid="{58647A34-EEBA-496D-8652-DAAA99ED55CC}"/>
    <hyperlink ref="S467" r:id="rId934" xr:uid="{4537E4AE-3096-4E69-93B9-9E437DA587BD}"/>
    <hyperlink ref="G468" r:id="rId935" xr:uid="{F7F02E03-529B-46EA-B91A-A00A71FD1F30}"/>
    <hyperlink ref="F469" r:id="rId936" xr:uid="{2A04F447-5196-44EB-8C15-27BCE7EA316F}"/>
    <hyperlink ref="S469" r:id="rId937" xr:uid="{884370BE-B58D-4E0F-9420-81B2BA9032C2}"/>
    <hyperlink ref="F470" r:id="rId938" xr:uid="{0F19552B-D726-44C5-A77D-89E4CDFC8804}"/>
    <hyperlink ref="G470" r:id="rId939" xr:uid="{8958EC93-226C-4B7C-B618-0E4FC0088324}"/>
    <hyperlink ref="S470" r:id="rId940" xr:uid="{B935BF14-ED57-4C41-8D88-573586DC38C1}"/>
    <hyperlink ref="F471" r:id="rId941" xr:uid="{BA742326-81DF-423B-BC56-E3DFA300F793}"/>
    <hyperlink ref="G471" r:id="rId942" xr:uid="{9637A966-E6D2-4745-AD6A-A4F1C53A1AA6}"/>
    <hyperlink ref="S471" r:id="rId943" xr:uid="{C8479A0F-7BF8-4A5F-BD5E-F2E972B90B35}"/>
    <hyperlink ref="F472" r:id="rId944" xr:uid="{EC2DDD9E-C61E-4B1F-9C9F-92C10C978CF2}"/>
    <hyperlink ref="S472" r:id="rId945" xr:uid="{9B40FAA4-3351-4D7E-BCA7-4B5079FF086E}"/>
    <hyperlink ref="S473" r:id="rId946" xr:uid="{2BB85960-F079-4151-A33A-50571670CF53}"/>
    <hyperlink ref="F474" r:id="rId947" xr:uid="{833F99A5-6F4F-455A-A86B-DD0CAE914B00}"/>
    <hyperlink ref="G474" r:id="rId948" xr:uid="{28263138-7EEE-484A-A66C-AC82AE5C2607}"/>
    <hyperlink ref="S474" r:id="rId949" xr:uid="{2F407BAD-71DB-43FD-9F22-FCDF5EC47DB6}"/>
    <hyperlink ref="G475" r:id="rId950" xr:uid="{AA878205-F51B-4CD2-ADF9-26E1E331FAAF}"/>
    <hyperlink ref="F476" r:id="rId951" xr:uid="{1FB9F951-D286-4A2A-8C54-6F90758A6B49}"/>
    <hyperlink ref="G476" r:id="rId952" xr:uid="{ED9FA50D-CA44-40FC-B39B-79FE2BCCC8EF}"/>
    <hyperlink ref="S476" r:id="rId953" xr:uid="{37687E57-FACF-4A08-8F5F-9B97006AB9BA}"/>
    <hyperlink ref="F477" r:id="rId954" xr:uid="{37204B2D-3F20-481C-957E-937557456B4F}"/>
    <hyperlink ref="G477" r:id="rId955" xr:uid="{077E0D08-0DAB-47A7-ADEB-FB4D872250D3}"/>
    <hyperlink ref="S477" r:id="rId956" xr:uid="{F80627D3-0DCD-4990-A1CD-291F786F040D}"/>
    <hyperlink ref="F478" r:id="rId957" xr:uid="{59AB2FF4-3D90-4407-AB5D-0E093406632E}"/>
    <hyperlink ref="S478" r:id="rId958" xr:uid="{008C0A53-C765-40F0-8F56-90040A098542}"/>
    <hyperlink ref="S479" r:id="rId959" xr:uid="{87449141-6165-425A-9834-4840DBA1E808}"/>
    <hyperlink ref="F480" r:id="rId960" xr:uid="{F0816710-B74F-4905-B901-7B234AC56CB2}"/>
    <hyperlink ref="G480" r:id="rId961" xr:uid="{91D41957-E5AF-45A3-BE02-D9597CE7E43A}"/>
    <hyperlink ref="S480" r:id="rId962" xr:uid="{794CECAA-2D28-43A0-ABF0-201F1E0D26C8}"/>
    <hyperlink ref="F481" r:id="rId963" xr:uid="{798D5F3E-CA66-4194-BD40-72E8071A613C}"/>
    <hyperlink ref="S481" r:id="rId964" xr:uid="{F66E095A-3A80-4463-8B37-20C4A2C37D4F}"/>
    <hyperlink ref="F482" r:id="rId965" xr:uid="{948761CA-DD4E-45BA-BFBF-5D087D914EEB}"/>
    <hyperlink ref="S482" r:id="rId966" xr:uid="{EEA8F794-B141-4F09-9712-02290D2AB3B4}"/>
    <hyperlink ref="F483" r:id="rId967" xr:uid="{FF29540A-D978-4061-8602-D866A586B37C}"/>
    <hyperlink ref="F484" r:id="rId968" xr:uid="{20AC7241-A182-4609-8A28-265901F890E5}"/>
    <hyperlink ref="G484" r:id="rId969" xr:uid="{311403E3-0959-4F35-B474-1295A3487D54}"/>
    <hyperlink ref="S484" r:id="rId970" xr:uid="{6D08D9F6-5774-431E-9AA6-EB7BE7A4CFD5}"/>
    <hyperlink ref="G485" r:id="rId971" xr:uid="{04940AAF-812D-4E9A-BDAE-34B389F9A9D5}"/>
    <hyperlink ref="F486" r:id="rId972" xr:uid="{2FC70CD0-13CE-43BE-9C6C-08F9CA88EEE6}"/>
    <hyperlink ref="S486" r:id="rId973" xr:uid="{FEF8769F-65B3-4D95-AD6A-442F9E37F2B2}"/>
    <hyperlink ref="F487" r:id="rId974" xr:uid="{2D7CCF50-D033-488E-9131-BB6B6F2A1C82}"/>
    <hyperlink ref="F488" r:id="rId975" xr:uid="{34D730C7-2B70-4270-9228-D1EC8377FCAA}"/>
    <hyperlink ref="S488" r:id="rId976" xr:uid="{A7E9E8AB-4F0F-460D-A122-F0DA63775E6D}"/>
    <hyperlink ref="S489" r:id="rId977" xr:uid="{CBD05626-47B2-4441-8A50-F0242E43CC6E}"/>
    <hyperlink ref="F490" r:id="rId978" xr:uid="{C7651382-57E6-47EC-9C8B-9754C76A3AAB}"/>
    <hyperlink ref="S490" r:id="rId979" xr:uid="{215AC2BE-AF19-47F7-96D2-E8B65D3FFFA2}"/>
    <hyperlink ref="S491" r:id="rId980" xr:uid="{03FBC834-76A4-4109-A0AC-AC71737B811D}"/>
    <hyperlink ref="S492" r:id="rId981" xr:uid="{EEA471D1-EE9C-468F-9F70-57073B8625BC}"/>
    <hyperlink ref="F493" r:id="rId982" xr:uid="{3A6B6FF4-38EA-4E45-BBC6-A4099F84EFA0}"/>
    <hyperlink ref="S493" r:id="rId983" xr:uid="{5E48C28D-48C1-43AD-BD3B-EAF3271C9DEE}"/>
    <hyperlink ref="F494" r:id="rId984" xr:uid="{374DD0B4-C359-4E75-91FF-E9DCC448E1A0}"/>
    <hyperlink ref="G494" r:id="rId985" xr:uid="{32E622B5-6E6D-499E-972E-149DCA871732}"/>
    <hyperlink ref="S494" r:id="rId986" xr:uid="{FC9BDA24-5014-471A-B171-2E586A5A1263}"/>
    <hyperlink ref="F495" r:id="rId987" xr:uid="{033EF135-E471-44E4-BB1C-517E1ECF4EED}"/>
    <hyperlink ref="S495" r:id="rId988" xr:uid="{639679F1-07DF-4FEB-B457-AEAFC96AB7D9}"/>
    <hyperlink ref="F496" r:id="rId989" xr:uid="{8116F0B1-F288-45C1-8821-D34E81742177}"/>
    <hyperlink ref="G496" r:id="rId990" xr:uid="{55B35E3F-D5B8-4429-A7AA-9B51038A5988}"/>
    <hyperlink ref="S496" r:id="rId991" xr:uid="{F644168A-CF47-4CC7-88A1-04A23BE790BE}"/>
    <hyperlink ref="F497" r:id="rId992" xr:uid="{FC010571-626A-4293-BD7A-A7B5330A32D2}"/>
    <hyperlink ref="S497" r:id="rId993" xr:uid="{4E02FE55-979B-4292-B402-630644506968}"/>
    <hyperlink ref="F498" r:id="rId994" xr:uid="{FE4B1FC0-4C25-4EF0-952D-89ADC2C10841}"/>
    <hyperlink ref="S498" r:id="rId995" xr:uid="{B49AE5E5-296D-447B-A816-A5AF4BBC2F8A}"/>
    <hyperlink ref="F499" r:id="rId996" xr:uid="{181C1309-3C5C-44BD-8AFA-7B105CE62416}"/>
    <hyperlink ref="S499" r:id="rId997" xr:uid="{247F4DDD-2CCE-4E21-A496-4BA8BB8CE4CE}"/>
    <hyperlink ref="F500" r:id="rId998" xr:uid="{26AA51CE-4257-4BD5-9ED0-BE41BB29167A}"/>
    <hyperlink ref="S501" r:id="rId999" xr:uid="{3A98D19B-44DC-4044-A003-5D15B025A6B4}"/>
    <hyperlink ref="F502" r:id="rId1000" xr:uid="{1309B151-A1EA-488E-BF42-B6F79D2A3716}"/>
    <hyperlink ref="S502" r:id="rId1001" xr:uid="{1BAE592C-E6C0-4B20-A3E0-AC778E495898}"/>
    <hyperlink ref="F503" r:id="rId1002" xr:uid="{3328FA80-B7E9-4041-86F7-55E2EEA15458}"/>
    <hyperlink ref="S503" r:id="rId1003" xr:uid="{F931BD62-1AAB-4404-8639-B90AE03586C0}"/>
    <hyperlink ref="F504" r:id="rId1004" xr:uid="{6F1F6FA9-C13D-47B2-BEC3-17A5AAAC02F2}"/>
    <hyperlink ref="G504" r:id="rId1005" xr:uid="{49B00EA9-DA97-475D-A6E0-FC5546F84271}"/>
    <hyperlink ref="S504" r:id="rId1006" xr:uid="{5BDAA1CF-81AD-4265-8647-55244092B078}"/>
    <hyperlink ref="S505" r:id="rId1007" xr:uid="{33AC82BD-7D78-4C6A-84C0-81A656075985}"/>
    <hyperlink ref="S506" r:id="rId1008" xr:uid="{3F440D54-FA1F-41A1-833E-75122122A8B6}"/>
    <hyperlink ref="S508" r:id="rId1009" xr:uid="{BF567D0B-E44B-4C1C-A041-67A8A872586B}"/>
    <hyperlink ref="S509" r:id="rId1010" xr:uid="{4D244470-BC64-4D53-9BF7-B41C5FC0C1C7}"/>
    <hyperlink ref="S510" r:id="rId1011" xr:uid="{C28875A9-D1AB-4B5E-93DA-53AA63DFF6CD}"/>
    <hyperlink ref="F511" r:id="rId1012" xr:uid="{5EC0C0CF-E671-4CA9-98B3-ACEB15C0A5B6}"/>
    <hyperlink ref="G511" r:id="rId1013" xr:uid="{9C241F29-7A77-438E-AB2D-F920F976C9D8}"/>
    <hyperlink ref="S511" r:id="rId1014" xr:uid="{F057A5AA-8866-487B-BF88-44AA93D8C36E}"/>
    <hyperlink ref="F512" r:id="rId1015" xr:uid="{3B8A7224-ED6F-4CEF-A3A3-3C81AA690B68}"/>
    <hyperlink ref="G512" r:id="rId1016" xr:uid="{8E6013DA-1E24-40E3-98DC-94FF710FA7DC}"/>
    <hyperlink ref="F513" r:id="rId1017" xr:uid="{E7D5F820-40A5-408A-BC78-D56803F6902F}"/>
    <hyperlink ref="G513" r:id="rId1018" xr:uid="{3D95C9E0-B079-40A9-86FD-7C832923E38B}"/>
    <hyperlink ref="S513" r:id="rId1019" xr:uid="{F52FB079-B486-4F9D-B773-8F71773895A9}"/>
    <hyperlink ref="F514" r:id="rId1020" xr:uid="{E709EA21-8191-4D4F-9001-10BB7E213DE0}"/>
    <hyperlink ref="G514" r:id="rId1021" xr:uid="{CE6D3CB8-1BB2-4E81-8D78-AD1B80362F42}"/>
    <hyperlink ref="S514" r:id="rId1022" xr:uid="{8B5E57C2-A1AF-4DD6-AD14-82BAB194E102}"/>
    <hyperlink ref="G515" r:id="rId1023" xr:uid="{716F6DE7-9FBA-4C12-A27A-0EC3179D8AA8}"/>
    <hyperlink ref="F517" r:id="rId1024" xr:uid="{070A4909-14BA-4B52-BF42-BBAB1D468422}"/>
    <hyperlink ref="S517" r:id="rId1025" xr:uid="{FDB9AE57-D5CA-4109-9709-67C00DC44891}"/>
    <hyperlink ref="S518" r:id="rId1026" xr:uid="{9B24F4C8-0E7A-46C7-8D58-2903145011DF}"/>
    <hyperlink ref="F519" r:id="rId1027" xr:uid="{0375CA92-21DA-48AB-AF98-C2555EAA0906}"/>
    <hyperlink ref="F520" r:id="rId1028" xr:uid="{3B9EC522-FEF3-439D-B49D-DC51CB098F38}"/>
    <hyperlink ref="S520" r:id="rId1029" xr:uid="{EED7324D-FC17-49B2-88A7-AA12DEEC2E52}"/>
    <hyperlink ref="F521" r:id="rId1030" xr:uid="{A82CD728-FDC2-4F18-9041-5070FE8FD3E9}"/>
    <hyperlink ref="G521" r:id="rId1031" xr:uid="{75255F0F-5F54-458F-A7CA-F860B6CF3834}"/>
    <hyperlink ref="F522" r:id="rId1032" xr:uid="{658B0EE0-EF91-4D8E-A054-D9714F11C3A5}"/>
    <hyperlink ref="S522" r:id="rId1033" xr:uid="{5C74711C-0586-4B28-BB7C-13FB78F3CEFB}"/>
    <hyperlink ref="F523" r:id="rId1034" xr:uid="{5662B22F-5312-4A92-8305-DAC9D4F21670}"/>
    <hyperlink ref="G523" r:id="rId1035" xr:uid="{E7373276-F349-4C0E-B618-CDA73A0A869C}"/>
    <hyperlink ref="S523" r:id="rId1036" xr:uid="{1BF7BE0D-51BB-408B-B8FF-69B286C770D9}"/>
    <hyperlink ref="S524" r:id="rId1037" xr:uid="{7EE955DE-E76A-4145-8A69-299F0E28B179}"/>
    <hyperlink ref="G525" r:id="rId1038" xr:uid="{5299A4CC-97CC-45EC-911A-B89940A7D157}"/>
    <hyperlink ref="S525" r:id="rId1039" xr:uid="{16BE2997-7A79-47DB-A42E-A2A26AE88EE7}"/>
    <hyperlink ref="S526" r:id="rId1040" xr:uid="{447F90B6-5FEE-44CE-AB3D-18C5F7DF4087}"/>
    <hyperlink ref="F527" r:id="rId1041" xr:uid="{D0CC5D25-4080-47C9-88A8-6072D4AD1EF0}"/>
    <hyperlink ref="G527" r:id="rId1042" xr:uid="{8F059636-BACD-48AD-9C1C-3F199A10E60E}"/>
    <hyperlink ref="S527" r:id="rId1043" xr:uid="{F3C64643-0F8E-44E5-B67A-2B4C6FA4FCA8}"/>
    <hyperlink ref="F528" r:id="rId1044" xr:uid="{9DC2E06C-3F95-4FAC-A977-F1CFAB01BBA5}"/>
    <hyperlink ref="G528" r:id="rId1045" xr:uid="{E8E9A2FA-3CD2-47B1-8CAE-CE8D9B620978}"/>
    <hyperlink ref="S528" r:id="rId1046" xr:uid="{EEF4DF44-B02F-42CB-BE05-1F27588176CB}"/>
    <hyperlink ref="F529" r:id="rId1047" xr:uid="{2125DE74-7983-4765-B4BD-7B6FF0D86370}"/>
    <hyperlink ref="S529" r:id="rId1048" xr:uid="{7B4914CF-A5ED-49BC-A44D-21598E16811C}"/>
    <hyperlink ref="F530" r:id="rId1049" xr:uid="{5D6D0C09-0BDF-42AA-83C6-D1B7382994D8}"/>
    <hyperlink ref="S530" r:id="rId1050" xr:uid="{9F0F1867-F597-4AE2-851B-057D6B14D278}"/>
    <hyperlink ref="F531" r:id="rId1051" xr:uid="{FCB8F4B9-72A3-4F66-8CCA-B45218D6653B}"/>
    <hyperlink ref="S531" r:id="rId1052" xr:uid="{9FC7B2A6-F848-425D-82EF-4885AF390639}"/>
    <hyperlink ref="F533" r:id="rId1053" xr:uid="{4614583A-B14C-41F4-9808-FCE4080D7CD1}"/>
    <hyperlink ref="G533" r:id="rId1054" xr:uid="{84859F0F-D59F-4E5E-A5C5-C1D240B30496}"/>
    <hyperlink ref="S533" r:id="rId1055" xr:uid="{375C36D2-2D35-47FB-8949-3A87FBF92FEF}"/>
    <hyperlink ref="S534" r:id="rId1056" xr:uid="{D14A791C-73AE-4022-B834-AD0C777192E7}"/>
    <hyperlink ref="F535" r:id="rId1057" xr:uid="{7D141747-6FE8-4744-B973-DC4235B33691}"/>
    <hyperlink ref="G535" r:id="rId1058" xr:uid="{82745EC2-9C5A-46D8-8F46-07B75BFBC787}"/>
    <hyperlink ref="S535" r:id="rId1059" xr:uid="{D86544E5-F480-48CC-B2DA-592F95E890D6}"/>
    <hyperlink ref="F536" r:id="rId1060" xr:uid="{4EBEEBE5-FF28-4726-B969-FB795BC614BB}"/>
    <hyperlink ref="G536" r:id="rId1061" xr:uid="{29B713B0-8CC1-4498-8E0D-E6BDC9BA3EB2}"/>
    <hyperlink ref="S536" r:id="rId1062" xr:uid="{F683F45E-528E-4E38-88E1-CAC0706A124C}"/>
    <hyperlink ref="F537" r:id="rId1063" xr:uid="{3F0F22E3-2173-462F-81AA-0696186AC8CB}"/>
    <hyperlink ref="G537" r:id="rId1064" xr:uid="{D96079D8-B427-4365-AAD7-BB545F68F280}"/>
    <hyperlink ref="S537" r:id="rId1065" xr:uid="{BE5126C5-2C3B-49A6-A477-7697905C47D5}"/>
    <hyperlink ref="S538" r:id="rId1066" xr:uid="{BA8D5EF3-A317-45E5-9134-DDBED735476F}"/>
    <hyperlink ref="F539" r:id="rId1067" xr:uid="{ABA2F6F3-86F3-4523-96AC-D384FE8FD381}"/>
    <hyperlink ref="G539" r:id="rId1068" xr:uid="{4A3DCBD6-BEF2-42A7-A384-8C8CC41A6BD9}"/>
    <hyperlink ref="S539" r:id="rId1069" xr:uid="{E722B68B-EE24-4D1E-8CE6-3D95CFBFBEF7}"/>
    <hyperlink ref="F540" r:id="rId1070" xr:uid="{1BC4CD7B-D4B9-40C4-97A0-6068856DCCA5}"/>
    <hyperlink ref="G540" r:id="rId1071" xr:uid="{8988662E-EA5D-4783-A6AA-574801A19684}"/>
    <hyperlink ref="S540" r:id="rId1072" xr:uid="{D7777B4F-84E6-4616-AE73-59DC42488B72}"/>
    <hyperlink ref="F541" r:id="rId1073" xr:uid="{578E0170-684B-4204-AF18-130958461692}"/>
    <hyperlink ref="S541" r:id="rId1074" xr:uid="{3DF4C19B-5402-435E-8F58-521ADDF5C9AF}"/>
    <hyperlink ref="F542" r:id="rId1075" xr:uid="{39CA3D22-50FE-410A-82AE-1D0A2652EE9A}"/>
    <hyperlink ref="S542" r:id="rId1076" xr:uid="{D2A40B0C-CB17-4220-ADD8-83B770E9CD24}"/>
    <hyperlink ref="G543" r:id="rId1077" xr:uid="{FD3C652D-183E-450F-AEBD-E7F24405753A}"/>
    <hyperlink ref="S543" r:id="rId1078" xr:uid="{EFC34C6B-06C1-4704-97E2-68561AD3A9F4}"/>
    <hyperlink ref="G544" r:id="rId1079" xr:uid="{2E1A6531-03D2-4F53-8FFE-C6F4ECAA181C}"/>
    <hyperlink ref="S544" r:id="rId1080" xr:uid="{6B9D8AED-4C71-4F8C-A2CF-3876DEA24279}"/>
    <hyperlink ref="F545" r:id="rId1081" xr:uid="{DB385DD9-AF0E-43F1-B710-DCC0C0F64A7C}"/>
    <hyperlink ref="S545" r:id="rId1082" xr:uid="{B5927506-4BB8-4A67-A840-D725B2C01F06}"/>
    <hyperlink ref="F546" r:id="rId1083" xr:uid="{FDF93AE3-450D-4A32-9277-C5945AECA805}"/>
    <hyperlink ref="S546" r:id="rId1084" xr:uid="{73FFA3C1-E821-4678-95C5-3C0A217BD8AB}"/>
    <hyperlink ref="F547" r:id="rId1085" xr:uid="{330819C7-62AE-4D57-91F3-6B2C3B7C95C1}"/>
    <hyperlink ref="S547" r:id="rId1086" xr:uid="{56B382C5-F2A7-44EA-9F33-D86FF9BF29E3}"/>
    <hyperlink ref="F548" r:id="rId1087" xr:uid="{ED232157-38A3-460D-8976-09FD14A15209}"/>
    <hyperlink ref="F549" r:id="rId1088" xr:uid="{AD382FD0-5E77-4D86-8671-AFB082EFBF86}"/>
    <hyperlink ref="G549" r:id="rId1089" xr:uid="{6FC86C58-7914-4832-B43D-3088FDFF2E20}"/>
    <hyperlink ref="S549" r:id="rId1090" xr:uid="{B7B0F9B1-C40F-4FED-BA51-853EACD08D46}"/>
    <hyperlink ref="F550" r:id="rId1091" xr:uid="{6C45EEE3-2AD4-4817-A5FA-FB8CC1023312}"/>
    <hyperlink ref="G550" r:id="rId1092" xr:uid="{F7A9A18C-002F-4CB6-829B-7D9AD3EEB954}"/>
    <hyperlink ref="S550" r:id="rId1093" xr:uid="{27D797B5-F64D-4E90-B949-2B544F6049EF}"/>
    <hyperlink ref="F551" r:id="rId1094" xr:uid="{89E8D645-31EA-44CF-B195-DE89C28BA700}"/>
    <hyperlink ref="G551" r:id="rId1095" xr:uid="{98E80A0D-A7C9-4452-B4D8-F851A2055F6F}"/>
    <hyperlink ref="S551" r:id="rId1096" xr:uid="{B5183155-CAB3-496C-AD9E-11345D4F2821}"/>
    <hyperlink ref="F552" r:id="rId1097" xr:uid="{7E3497CD-BEBF-43EA-848E-C422A59D38B2}"/>
    <hyperlink ref="S552" r:id="rId1098" xr:uid="{0DC261C5-BD72-4FDA-A756-F8787B16411E}"/>
    <hyperlink ref="F553" r:id="rId1099" xr:uid="{63D26B54-9C2F-4B85-913D-33EDB4725076}"/>
    <hyperlink ref="G553" r:id="rId1100" xr:uid="{C4AB620B-6569-4CF4-8B0A-6D59C401660B}"/>
    <hyperlink ref="S553" r:id="rId1101" xr:uid="{31281A12-6F8D-4DB4-84E6-02C4C1EBEB1A}"/>
    <hyperlink ref="S554" r:id="rId1102" xr:uid="{B084644C-29A1-48CA-BED2-13097C8C3361}"/>
    <hyperlink ref="F555" r:id="rId1103" xr:uid="{EF8944BD-95C6-4020-A263-2257B33C41D3}"/>
    <hyperlink ref="G555" r:id="rId1104" xr:uid="{43A13198-BAB8-4C24-A273-3DD9F6D82A8A}"/>
    <hyperlink ref="S555" r:id="rId1105" xr:uid="{293DE748-70E5-4813-96CE-F347676BF78F}"/>
    <hyperlink ref="F556" r:id="rId1106" xr:uid="{B4542618-FE3B-4CCA-AACF-4B7A71F37086}"/>
    <hyperlink ref="G556" r:id="rId1107" xr:uid="{CBED3F41-AA6F-4D9A-959F-7536147BB715}"/>
    <hyperlink ref="S556" r:id="rId1108" xr:uid="{C279F9FE-4B05-4914-8DDA-F4B8F742D2C5}"/>
    <hyperlink ref="F557" r:id="rId1109" xr:uid="{E6103E9A-8A8D-4F22-9ADB-ED3F3907B06D}"/>
    <hyperlink ref="G557" r:id="rId1110" xr:uid="{1799EF78-2273-4E85-AC36-939E3B7FA57E}"/>
    <hyperlink ref="S557" r:id="rId1111" xr:uid="{F3E6C270-A283-42FE-A0E8-0011239A906F}"/>
    <hyperlink ref="G558" r:id="rId1112" xr:uid="{56437D40-9B16-4006-A439-7846791C89A8}"/>
    <hyperlink ref="S558" r:id="rId1113" xr:uid="{56F7D76E-EA3A-4E22-8491-9972383DE173}"/>
    <hyperlink ref="G559" r:id="rId1114" xr:uid="{DC5DE49D-2C7A-45A0-BC95-7A8432FD0A32}"/>
    <hyperlink ref="S559" r:id="rId1115" xr:uid="{0CC90E36-179E-45A4-8A88-305AECC35863}"/>
    <hyperlink ref="F560" r:id="rId1116" xr:uid="{1CECB7FF-543D-4B57-A923-92ADBA6B7DD0}"/>
    <hyperlink ref="G560" r:id="rId1117" xr:uid="{6CEA731A-FED5-4215-8788-16FFFCBDED86}"/>
    <hyperlink ref="S560" r:id="rId1118" xr:uid="{02739ADB-F64C-41A0-908F-0CEB119E4157}"/>
    <hyperlink ref="F561" r:id="rId1119" xr:uid="{274232AD-4B77-437A-9725-F065B124E8AE}"/>
    <hyperlink ref="S561" r:id="rId1120" xr:uid="{4EA8E46D-4DBF-42DC-8F16-7B4FB37F2712}"/>
    <hyperlink ref="G562" r:id="rId1121" xr:uid="{B1756384-7488-4842-959E-CCDBE7387D67}"/>
    <hyperlink ref="F563" r:id="rId1122" xr:uid="{DB318104-85CA-4BFD-838B-94429F3A960F}"/>
    <hyperlink ref="S563" r:id="rId1123" xr:uid="{FCBB59D1-E3D8-4667-8B80-1F7F3610048D}"/>
    <hyperlink ref="F564" r:id="rId1124" xr:uid="{5AA2E0BE-FFAF-404C-8B59-54963664A12F}"/>
    <hyperlink ref="F565" r:id="rId1125" xr:uid="{B0900777-7024-4559-B80C-BA0FC618A4BB}"/>
    <hyperlink ref="S565" r:id="rId1126" xr:uid="{0DE8F3CA-8CEF-4A0D-84B0-74C053EEA508}"/>
    <hyperlink ref="G566" r:id="rId1127" xr:uid="{AA802980-568C-4BDE-A909-012C79DCF9E4}"/>
    <hyperlink ref="S566" r:id="rId1128" xr:uid="{FAE42DFB-B534-4ACD-B325-276F067F2E2B}"/>
    <hyperlink ref="F567" r:id="rId1129" xr:uid="{7EE4E1C3-D5A1-4CCB-A1A2-98E3E97B868B}"/>
    <hyperlink ref="G567" r:id="rId1130" xr:uid="{818BA58A-A801-42C5-AF57-9E0374CD8C35}"/>
    <hyperlink ref="S567" r:id="rId1131" xr:uid="{44328509-D86F-40FD-BDF8-D3527D259250}"/>
    <hyperlink ref="F568" r:id="rId1132" xr:uid="{A3A2FB5A-DDE4-4403-BC44-43365B238A28}"/>
    <hyperlink ref="G568" r:id="rId1133" xr:uid="{A28ACAA9-3C82-40AD-9AF3-F5C51F772B2D}"/>
    <hyperlink ref="S568" r:id="rId1134" xr:uid="{B7CCDAC7-4C28-4D15-80D1-599CD6331C49}"/>
    <hyperlink ref="F569" r:id="rId1135" xr:uid="{E718169C-08C3-4F67-A17F-903F13B0A1B5}"/>
    <hyperlink ref="G569" r:id="rId1136" xr:uid="{FB4FD5EF-763E-4886-BB61-2D5F15E29573}"/>
    <hyperlink ref="S569" r:id="rId1137" xr:uid="{3F807D1C-CCDB-4C36-A1D4-5E2C0AA3C913}"/>
    <hyperlink ref="G570" r:id="rId1138" xr:uid="{66C92CF5-A5DD-45EC-8AEF-1BB6A87C3080}"/>
    <hyperlink ref="F571" r:id="rId1139" xr:uid="{32E36884-119A-4ADA-A05D-4B6C9935EFFC}"/>
    <hyperlink ref="S571" r:id="rId1140" xr:uid="{CFB3710F-57C8-47BE-8F75-F5C4474C54B3}"/>
    <hyperlink ref="F572" r:id="rId1141" xr:uid="{51177C8A-7429-446A-93AC-236A6F688027}"/>
    <hyperlink ref="S572" r:id="rId1142" xr:uid="{35CEE017-7B12-42E7-A72E-11CAB3383039}"/>
    <hyperlink ref="F573" r:id="rId1143" xr:uid="{BB7767B9-8D4B-4A47-B221-EBD6FB2FA7A4}"/>
    <hyperlink ref="G573" r:id="rId1144" xr:uid="{FE450F39-8B30-495E-BDE8-FC9102B60929}"/>
    <hyperlink ref="S573" r:id="rId1145" xr:uid="{CB238E95-98B6-4F3D-BC49-D42277F30269}"/>
    <hyperlink ref="F574" r:id="rId1146" xr:uid="{A681A0D5-2A69-40D7-B0FB-044BD2D0660C}"/>
    <hyperlink ref="G574" r:id="rId1147" xr:uid="{061DEDA2-9827-42B3-B390-74E29232D8BF}"/>
    <hyperlink ref="G575" r:id="rId1148" xr:uid="{C935642B-6CC4-4568-9C60-1AED9C198A23}"/>
    <hyperlink ref="S575" r:id="rId1149" xr:uid="{01AC8179-BE37-4335-ABF5-E11BEAE14669}"/>
    <hyperlink ref="F576" r:id="rId1150" xr:uid="{0E732742-5F0E-4EC2-8250-2DEA840537B5}"/>
    <hyperlink ref="G576" r:id="rId1151" xr:uid="{48FCB565-5728-40A8-BCA5-FB572B4E7D9A}"/>
    <hyperlink ref="S576" r:id="rId1152" xr:uid="{7A3F16A6-BB6D-4801-9EBE-DA1B3D9B4849}"/>
    <hyperlink ref="F578" r:id="rId1153" xr:uid="{0C10CDFB-20FA-4263-A864-61E53238A5BF}"/>
    <hyperlink ref="G578" r:id="rId1154" xr:uid="{E23EF8BB-F298-446C-B040-35AE80D31352}"/>
    <hyperlink ref="S578" r:id="rId1155" xr:uid="{B5AD0362-6625-474F-BB73-F6FE1A302750}"/>
    <hyperlink ref="F579" r:id="rId1156" xr:uid="{39B8D125-0CFD-45DE-B287-57D17787A693}"/>
    <hyperlink ref="S579" r:id="rId1157" xr:uid="{D7B21521-45EA-4E14-BC71-4942C24C7E19}"/>
    <hyperlink ref="F580" r:id="rId1158" location="pone.0247203.ref001" xr:uid="{8D17EAB9-E4FF-4CDF-9E0A-949DF1EDF5E1}"/>
    <hyperlink ref="G580" r:id="rId1159" xr:uid="{E92F7C3D-11D0-4E6B-BF0C-EDA37368126B}"/>
    <hyperlink ref="S580" r:id="rId1160" xr:uid="{1E1D2A4D-568A-41BA-BAA2-0AFEC0B38134}"/>
    <hyperlink ref="F582" r:id="rId1161" xr:uid="{553E8D5F-E2A1-4B31-B424-E9BF7DA3D445}"/>
    <hyperlink ref="S582" r:id="rId1162" xr:uid="{60F71CBE-DED0-4CDC-97DA-A495E1C9F604}"/>
    <hyperlink ref="F583" r:id="rId1163" location=".YDUV7h40LXE.twitter" xr:uid="{0F30CFFF-0C46-4E3D-BD99-0D817F1DFF43}"/>
    <hyperlink ref="S583" r:id="rId1164" xr:uid="{DCCE7B09-1CDE-4CEB-9D50-11FEC0641FB7}"/>
    <hyperlink ref="F584" r:id="rId1165" xr:uid="{52025AB2-3B89-416D-8350-C3DA51329EB1}"/>
    <hyperlink ref="F585" r:id="rId1166" xr:uid="{3EF9CFDE-3837-467C-9B0F-5FE00A558A0C}"/>
    <hyperlink ref="S585" r:id="rId1167" xr:uid="{FFC78220-BA95-4672-B00F-EDFBE5E56D37}"/>
    <hyperlink ref="F586" r:id="rId1168" xr:uid="{9CFA0885-5F24-4EF1-B49D-5DF3345F1E67}"/>
    <hyperlink ref="S586" r:id="rId1169" xr:uid="{EADEB594-D567-40A7-9B71-042F3911217C}"/>
    <hyperlink ref="G587" r:id="rId1170" xr:uid="{0814C305-B756-4CFF-8521-AB2553412688}"/>
    <hyperlink ref="S587" r:id="rId1171" xr:uid="{21B90195-2C5E-4B6E-80D2-B1DD17A577E7}"/>
    <hyperlink ref="F588" r:id="rId1172" xr:uid="{83E29522-1DF1-4C88-AB28-A607F3CBCDD8}"/>
    <hyperlink ref="F589" r:id="rId1173" xr:uid="{F61436F9-0EC5-4DCA-A6C6-FBD93617BC02}"/>
    <hyperlink ref="G589" r:id="rId1174" xr:uid="{3E0BC150-9C94-471C-9F09-02CBEED92B07}"/>
    <hyperlink ref="S589" r:id="rId1175" xr:uid="{73F7E3D3-461E-4420-8F4D-2BFB1E09BF58}"/>
    <hyperlink ref="F590" r:id="rId1176" xr:uid="{6FBA57B6-A90C-457B-B80A-D1A3171324E2}"/>
    <hyperlink ref="G590" r:id="rId1177" xr:uid="{646A5097-0BAA-43AD-A13F-66A5C80C8B80}"/>
    <hyperlink ref="S590" r:id="rId1178" xr:uid="{18D24D22-7ABC-43EF-A7F1-297C5BD73632}"/>
    <hyperlink ref="F591" r:id="rId1179" xr:uid="{865C5FC5-F81F-46C6-B144-08F2B5752B57}"/>
    <hyperlink ref="S591" r:id="rId1180" xr:uid="{5DD5CB95-D90B-451D-AD04-0BA23EE89D50}"/>
    <hyperlink ref="F592" r:id="rId1181" xr:uid="{93B10488-D187-49F8-A5B5-AA596C65F4CD}"/>
    <hyperlink ref="S592" r:id="rId1182" xr:uid="{8EE77F46-7E54-4BA2-8A6B-1625E522EBB5}"/>
    <hyperlink ref="F593" r:id="rId1183" xr:uid="{2E485E08-3169-417F-9282-3FA118C941D7}"/>
    <hyperlink ref="F594" r:id="rId1184" xr:uid="{B55D53AB-E773-4020-82AC-6C15E73E2F58}"/>
    <hyperlink ref="F595" r:id="rId1185" xr:uid="{D5937C99-EF96-4016-976A-593DFE7CD5B5}"/>
    <hyperlink ref="F596" r:id="rId1186" xr:uid="{25B94AEA-2B42-46A9-BC5C-9BABC5D21A72}"/>
    <hyperlink ref="G596" r:id="rId1187" xr:uid="{2277AB4E-6E3D-4178-BD00-F0C284B3A8AD}"/>
    <hyperlink ref="S596" r:id="rId1188" xr:uid="{2FC6285F-F375-42FC-98E5-95528FC0FEBC}"/>
    <hyperlink ref="F597" r:id="rId1189" xr:uid="{5CDC0FA4-3BCD-4254-84FC-7CD37D3E5FEE}"/>
    <hyperlink ref="G597" r:id="rId1190" xr:uid="{9E12FC68-1C63-4FA8-AFE4-39BDC5C2E541}"/>
    <hyperlink ref="S597" r:id="rId1191" xr:uid="{E4206922-17FE-43DE-8DF1-54D285EC2C55}"/>
    <hyperlink ref="F598" r:id="rId1192" xr:uid="{22B9B570-0529-427F-AB0F-67EB4090F39C}"/>
    <hyperlink ref="G598" r:id="rId1193" xr:uid="{4336E962-D392-4E93-8B06-B7269855AF8F}"/>
    <hyperlink ref="S598" r:id="rId1194" xr:uid="{CB59594E-2E86-414D-8E83-BE60EB5E0B79}"/>
    <hyperlink ref="F599" r:id="rId1195" xr:uid="{8FB44592-C0F6-4E1B-8E1F-C59A466BADBC}"/>
    <hyperlink ref="F600" r:id="rId1196" xr:uid="{244CDED4-AFDE-445D-8F01-3F4AF2A58354}"/>
    <hyperlink ref="S600" r:id="rId1197" xr:uid="{7D09F3BE-BF90-4796-8F3E-05E57692BDA8}"/>
    <hyperlink ref="F601" r:id="rId1198" xr:uid="{F9F9D404-B13E-4037-822D-34F1CB4C24B3}"/>
    <hyperlink ref="S601" r:id="rId1199" xr:uid="{C7AECD08-FC18-4787-8B1F-7E9EBFB85B00}"/>
    <hyperlink ref="F602" r:id="rId1200" xr:uid="{B1966EB5-032B-470D-B7F5-38B0793DECC4}"/>
    <hyperlink ref="F603" r:id="rId1201" xr:uid="{2688DCED-CC2C-4847-A81B-92536D1CB4D0}"/>
    <hyperlink ref="G603" r:id="rId1202" xr:uid="{9F833DF5-6E4A-4D38-8695-5C58573565BB}"/>
    <hyperlink ref="S603" r:id="rId1203" xr:uid="{AB58FCA4-6FA5-47F9-9D2D-E03086E55E7C}"/>
    <hyperlink ref="F604" r:id="rId1204" xr:uid="{70A4F5BB-B4AD-4D75-A46D-241A420C1AAA}"/>
    <hyperlink ref="G604" r:id="rId1205" xr:uid="{C96A7B86-FCC4-4122-A6E5-6F2E30A7D64F}"/>
    <hyperlink ref="S604" r:id="rId1206" xr:uid="{B635B20E-6080-4BF2-B413-2309B2FFBF17}"/>
    <hyperlink ref="F605" r:id="rId1207" xr:uid="{325BEC2E-EA8E-4924-A9B2-97DF9708B86F}"/>
    <hyperlink ref="G605" r:id="rId1208" xr:uid="{57CD748A-19E9-4E45-8A05-83E8ED8FC2AC}"/>
    <hyperlink ref="S605" r:id="rId1209" xr:uid="{3B2D4C47-AE78-4E83-BC3D-11769848D378}"/>
    <hyperlink ref="G606" r:id="rId1210" xr:uid="{04377072-4022-49D6-B481-6BFB1DD653AB}"/>
    <hyperlink ref="S606" r:id="rId1211" xr:uid="{F7459684-23C1-4939-B2F2-097DBA5A3A25}"/>
    <hyperlink ref="F607" r:id="rId1212" xr:uid="{0704BA0C-CC6D-41E2-8C0A-7333B6573CD0}"/>
    <hyperlink ref="S607" r:id="rId1213" xr:uid="{A2303E5D-44AD-4D3B-99BE-151A0029F39B}"/>
    <hyperlink ref="F608" r:id="rId1214" xr:uid="{3D823E0D-C021-45A3-AC38-9400BAF01EE9}"/>
    <hyperlink ref="S608" r:id="rId1215" xr:uid="{2E8BC42B-5879-4F9E-B272-297CA81DB875}"/>
    <hyperlink ref="G609" r:id="rId1216" xr:uid="{F4AD64B0-4E3A-4F11-B41B-E4C64CF4FA41}"/>
    <hyperlink ref="S609" r:id="rId1217" xr:uid="{BF74C622-DF48-464D-BC8C-39F93415BF95}"/>
    <hyperlink ref="F610" r:id="rId1218" xr:uid="{67C0491E-CC0E-4230-A25D-40C7D1D776BB}"/>
    <hyperlink ref="S610" r:id="rId1219" xr:uid="{FCA5E4FB-9F26-48B2-B9F8-A6E5F58D9FAA}"/>
    <hyperlink ref="F611" r:id="rId1220" xr:uid="{525B4917-7234-4F90-8CBE-DBF915B8749F}"/>
    <hyperlink ref="F612" r:id="rId1221" xr:uid="{B3F89431-1520-4200-82E5-84650A6CBE96}"/>
    <hyperlink ref="S612" r:id="rId1222" xr:uid="{E0246C5E-50FF-4A6F-9071-D7B8AF220C65}"/>
    <hyperlink ref="G613" r:id="rId1223" xr:uid="{C980C245-E0B5-4AC1-BB23-8D2F3BC6CAF1}"/>
    <hyperlink ref="F614" r:id="rId1224" xr:uid="{74AA1CA4-DEB9-49B1-BEDB-5827AD80BDE6}"/>
    <hyperlink ref="G614" r:id="rId1225" xr:uid="{47FA126C-0A10-4590-9B22-26F9222D7156}"/>
    <hyperlink ref="F615" r:id="rId1226" xr:uid="{47D6F0BD-0687-4A43-852D-20B606025A44}"/>
    <hyperlink ref="F616" r:id="rId1227" xr:uid="{FC7797B6-2039-4744-BF8E-65E6ED9D4569}"/>
    <hyperlink ref="G616" r:id="rId1228" xr:uid="{4BD7E4A3-1877-411E-A89E-5CFAD7640A24}"/>
    <hyperlink ref="S616" r:id="rId1229" xr:uid="{89EDC8F1-7D03-4757-A620-60B2964219FB}"/>
    <hyperlink ref="F617" r:id="rId1230" xr:uid="{A8E14CBC-A503-4315-8A79-2CE046D0446D}"/>
    <hyperlink ref="G617" r:id="rId1231" xr:uid="{981B222A-BB36-45E8-8A57-E71B66BF0FA6}"/>
    <hyperlink ref="F618" r:id="rId1232" xr:uid="{3BD94DEF-D31F-4366-992F-CBD4E0191A19}"/>
    <hyperlink ref="S618" r:id="rId1233" xr:uid="{BB762B51-0F1B-49F6-93A8-C81459BEC9A6}"/>
    <hyperlink ref="F619" r:id="rId1234" xr:uid="{2804B947-EC68-4ADC-A4D6-D44981884A8A}"/>
    <hyperlink ref="F620" r:id="rId1235" xr:uid="{CBB50A1C-D11A-40B6-889C-330CCEAF16D2}"/>
    <hyperlink ref="G620" r:id="rId1236" xr:uid="{1B8D71F0-6F0A-4042-BFB9-75ACA1ABBEE6}"/>
    <hyperlink ref="S620" r:id="rId1237" xr:uid="{E507EAF9-46E6-42BE-89F7-1D0988765EB2}"/>
    <hyperlink ref="S621" r:id="rId1238" xr:uid="{2BDD30B9-8522-4031-95F3-AEFBE7CC0E30}"/>
    <hyperlink ref="G622" r:id="rId1239" xr:uid="{D3D927C5-D58C-4146-8024-79FFCB227523}"/>
    <hyperlink ref="S622" r:id="rId1240" xr:uid="{FD0F49D3-0B31-492F-BD1F-2BEFB4804BBD}"/>
    <hyperlink ref="F623" r:id="rId1241" xr:uid="{97B40D60-BFA0-4ABF-AE12-4F3FDF434ADE}"/>
    <hyperlink ref="F624" r:id="rId1242" xr:uid="{682E6514-3319-4B45-B6DE-18694641403A}"/>
    <hyperlink ref="F625" r:id="rId1243" xr:uid="{D7A57820-9968-423C-9FED-FFB98B0DA624}"/>
    <hyperlink ref="S625" r:id="rId1244" xr:uid="{73F1BCAE-8C6A-4280-AC98-A9E2964A4D5B}"/>
    <hyperlink ref="F626" r:id="rId1245" xr:uid="{28391557-EA1B-41C9-9F68-3C104670F8F3}"/>
    <hyperlink ref="S626" r:id="rId1246" xr:uid="{D787EE73-E2B1-4273-BFE0-96FD7E774881}"/>
    <hyperlink ref="F627" r:id="rId1247" xr:uid="{430DBD8F-E23B-4546-B106-D5542C07CFC0}"/>
    <hyperlink ref="S627" r:id="rId1248" xr:uid="{C4A43A52-FBFD-4442-9A54-3C18554F1F76}"/>
    <hyperlink ref="F628" r:id="rId1249" xr:uid="{6F5E7CBF-732D-4B18-9DF5-BC36FDB98A6C}"/>
    <hyperlink ref="S628" r:id="rId1250" xr:uid="{E56782E9-DC84-4423-9379-CC3971F4708B}"/>
    <hyperlink ref="G629" r:id="rId1251" xr:uid="{313C8ECC-21D8-4366-B913-0E81CF83180A}"/>
    <hyperlink ref="S629" r:id="rId1252" xr:uid="{7EA3E67D-3716-45AC-9207-3C206547FB33}"/>
    <hyperlink ref="G630" r:id="rId1253" xr:uid="{455361D2-4B25-45DA-A209-D4E0F99FDA04}"/>
    <hyperlink ref="S630" r:id="rId1254" xr:uid="{7FBE9ABF-EE9B-4FAE-9FF0-7B43EB9B2490}"/>
    <hyperlink ref="F631" r:id="rId1255" xr:uid="{8C5D5FA7-964D-4707-83D1-E42444C3EBCB}"/>
    <hyperlink ref="G631" r:id="rId1256" xr:uid="{0029F992-3C85-4F36-95D7-2409E5C1ACD3}"/>
    <hyperlink ref="S631" r:id="rId1257" xr:uid="{540DDEDF-398B-4F35-A7E2-38D3AD50DDED}"/>
    <hyperlink ref="F632" r:id="rId1258" xr:uid="{1106E2C4-8D7D-47CE-A447-5D14F6CA46C2}"/>
    <hyperlink ref="G632" r:id="rId1259" xr:uid="{F614493C-D6BB-4B49-AD6F-0B3A4271192B}"/>
    <hyperlink ref="S632" r:id="rId1260" xr:uid="{392613BB-F1E9-46B4-8B81-5A2ACD9798C7}"/>
    <hyperlink ref="F633" r:id="rId1261" xr:uid="{CDF11639-7FF2-4E09-8301-A395B736DA75}"/>
    <hyperlink ref="S634" r:id="rId1262" xr:uid="{A6FCC56C-5368-4E87-8A2D-8E0F2E48909E}"/>
    <hyperlink ref="G635" r:id="rId1263" xr:uid="{C1F1EE4F-B79E-4A92-A5B0-446E50B28406}"/>
    <hyperlink ref="S635" r:id="rId1264" xr:uid="{F53B8B6C-51B5-46FC-9520-D5530F946602}"/>
    <hyperlink ref="F637" r:id="rId1265" xr:uid="{1F048AF6-AFE2-4053-9F47-A461A73C6BBC}"/>
    <hyperlink ref="S637" r:id="rId1266" xr:uid="{590AC8F9-38DB-4370-A12F-E8835BC36A67}"/>
    <hyperlink ref="F638" r:id="rId1267" xr:uid="{BF42A677-5C57-4160-AD3E-5AC2DF8F42FA}"/>
    <hyperlink ref="F639" r:id="rId1268" xr:uid="{6DC4D5CA-8067-4D68-8DE7-D15B3F39290D}"/>
    <hyperlink ref="S639" r:id="rId1269" xr:uid="{67F21E66-730F-4CE8-8CC9-CD4699D605A4}"/>
    <hyperlink ref="G640" r:id="rId1270" xr:uid="{C3A92F6B-5B94-47D0-A44E-512691AA1540}"/>
    <hyperlink ref="S640" r:id="rId1271" xr:uid="{95EDE4A3-4DE5-4BC7-A5D8-CBF2BA26222E}"/>
    <hyperlink ref="F641" r:id="rId1272" xr:uid="{5072E637-54FF-492A-8798-B1BA62FC042E}"/>
    <hyperlink ref="G641" r:id="rId1273" xr:uid="{5F828CAA-A18A-4B68-92C0-69C0514F5B72}"/>
    <hyperlink ref="S641" r:id="rId1274" xr:uid="{4E7A2CF2-BC6D-427B-85C0-1BD45E56D6B5}"/>
    <hyperlink ref="F642" r:id="rId1275" xr:uid="{D618925E-C09B-4B20-83B9-157E9A1EDCE6}"/>
    <hyperlink ref="G643" r:id="rId1276" xr:uid="{3F4B5046-489D-42CE-AFAE-8FA4E6FC27D7}"/>
    <hyperlink ref="S643" r:id="rId1277" xr:uid="{1BEF23F7-6600-4658-B64B-3FD10B61DAF4}"/>
    <hyperlink ref="F644" r:id="rId1278" xr:uid="{348BFC87-61EF-4E34-B7E8-57FE4B8F70DF}"/>
    <hyperlink ref="F645" r:id="rId1279" xr:uid="{D9B27227-33A7-4BBA-843F-A45AF0768725}"/>
    <hyperlink ref="S645" r:id="rId1280" xr:uid="{902158FF-3162-46AF-B740-BDB0DFCFF57B}"/>
    <hyperlink ref="G646" r:id="rId1281" xr:uid="{CCC412A7-B546-49E3-BE06-62B047577B77}"/>
    <hyperlink ref="S646" r:id="rId1282" xr:uid="{1EF14F6F-24F6-47E9-9F48-223F787012DB}"/>
    <hyperlink ref="F647" r:id="rId1283" xr:uid="{A1A83A7E-0A20-4A5D-9AC8-70183945F57A}"/>
    <hyperlink ref="S647" r:id="rId1284" xr:uid="{0B0E7591-9509-4551-8C16-9A2E653EE464}"/>
    <hyperlink ref="F648" r:id="rId1285" xr:uid="{037E0C61-DD7A-4A44-9747-87614B794D44}"/>
    <hyperlink ref="S648" r:id="rId1286" xr:uid="{CE298182-B343-4AD5-B647-5FBBC22BFECD}"/>
    <hyperlink ref="F649" r:id="rId1287" xr:uid="{D418DC4A-C0B2-4E42-BCFB-5AA7997C550D}"/>
    <hyperlink ref="S649" r:id="rId1288" xr:uid="{3BAB0986-6DCA-4E85-9B52-8C288FDCED79}"/>
    <hyperlink ref="F650" r:id="rId1289" xr:uid="{9EAFC12D-01FB-48E3-998D-C542D99B6FA7}"/>
    <hyperlink ref="S650" r:id="rId1290" xr:uid="{2CF785F5-8B63-4E4C-BEAC-A4FC8F95E72B}"/>
    <hyperlink ref="F651" r:id="rId1291" xr:uid="{DBBFE54D-863D-4C74-930C-2B0044D65275}"/>
    <hyperlink ref="S651" r:id="rId1292" xr:uid="{FB87141F-974E-4EB0-A10C-524E41002D73}"/>
    <hyperlink ref="F652" r:id="rId1293" xr:uid="{D99E849B-F714-4F93-AB56-41FA36C29579}"/>
    <hyperlink ref="S652" r:id="rId1294" xr:uid="{3067A329-36AB-43B5-92DA-9C6434B0214F}"/>
    <hyperlink ref="F653" r:id="rId1295" xr:uid="{8BACAB51-BB40-4828-B860-198CA39BDE75}"/>
    <hyperlink ref="G654" r:id="rId1296" xr:uid="{6B967882-3C88-4666-BBBA-1E340F8EEE10}"/>
    <hyperlink ref="F656" r:id="rId1297" xr:uid="{A1A466DD-2016-45E1-938B-07E2E4FE5FC8}"/>
    <hyperlink ref="F657" r:id="rId1298" xr:uid="{744898E5-7417-4AFE-90C1-221D94DC371F}"/>
    <hyperlink ref="G657" r:id="rId1299" xr:uid="{679E3CA3-0624-4D46-B4BD-262B895481C5}"/>
    <hyperlink ref="S657" r:id="rId1300" xr:uid="{8D847B21-2759-4786-9E05-034D8FC51691}"/>
    <hyperlink ref="F658" r:id="rId1301" xr:uid="{4CA9297A-1362-4BFD-9FB5-2287525BBF22}"/>
    <hyperlink ref="G658" r:id="rId1302" xr:uid="{AE53C5F1-D82D-4A49-96F8-3DF44113B676}"/>
    <hyperlink ref="S658" r:id="rId1303" xr:uid="{73FE8838-B524-45C4-9200-C46C4EA1EFA8}"/>
    <hyperlink ref="F659" r:id="rId1304" xr:uid="{70BC4803-63DC-49CD-9DFE-6CF4DE52BEF7}"/>
    <hyperlink ref="S659" r:id="rId1305" xr:uid="{C61821D0-AA13-4ACB-9B78-77B94AC3FADC}"/>
    <hyperlink ref="F660" r:id="rId1306" xr:uid="{D325F751-2E80-427F-8514-2E33136444CD}"/>
    <hyperlink ref="Q660" r:id="rId1307" xr:uid="{F8C897BA-3401-41F4-B172-7EAFA57D5B27}"/>
    <hyperlink ref="S660" r:id="rId1308" xr:uid="{C82CF0A6-1B34-4C2F-9B4B-05F9617DE8BE}"/>
    <hyperlink ref="S661" r:id="rId1309" xr:uid="{2564844F-89A0-443D-BCEC-5C6D55D96C73}"/>
    <hyperlink ref="G663" r:id="rId1310" xr:uid="{24BE9511-47FA-4F95-AC8F-1E66C5B3AF60}"/>
    <hyperlink ref="F664" r:id="rId1311" xr:uid="{407B35DE-7C9E-457B-8E00-43E225CA635D}"/>
    <hyperlink ref="S664" r:id="rId1312" xr:uid="{D766630F-A2A6-4558-9BBF-9E746EA86B80}"/>
    <hyperlink ref="F665" r:id="rId1313" xr:uid="{5CA0ECD2-2B44-493F-A48C-68B8B476FEFE}"/>
    <hyperlink ref="F666" r:id="rId1314" xr:uid="{6E69CBC6-16D7-4F99-BBE4-E099FB765B15}"/>
    <hyperlink ref="F667" r:id="rId1315" xr:uid="{AD653B05-14F2-4258-85D6-4F7025B1E9C8}"/>
    <hyperlink ref="S668" r:id="rId1316" xr:uid="{3019AC5E-7211-4B3A-88EF-9F524DC6B670}"/>
    <hyperlink ref="F669" r:id="rId1317" xr:uid="{44E0516E-9B9F-4859-BB58-0FAFAEC9D5F3}"/>
    <hyperlink ref="S669" r:id="rId1318" xr:uid="{FBB52084-B40B-4059-B728-DD4F558D3327}"/>
    <hyperlink ref="F670" r:id="rId1319" xr:uid="{56112AA0-5CEF-43CE-80FE-52EB082610A6}"/>
    <hyperlink ref="S671" r:id="rId1320" xr:uid="{BF903219-35E1-4970-90D5-5FC073C6D12F}"/>
    <hyperlink ref="F672" r:id="rId1321" xr:uid="{749D61C7-F2AA-4916-AAA1-81F6C39109E8}"/>
    <hyperlink ref="F673" r:id="rId1322" xr:uid="{FDC11086-2B88-44BB-8B45-E5B65C4A2DA6}"/>
    <hyperlink ref="G673" r:id="rId1323" xr:uid="{2480C2EB-72D6-4481-8C3D-0AD869004851}"/>
    <hyperlink ref="S673" r:id="rId1324" xr:uid="{63AD31AB-7CBD-4D57-BCF4-E6989120849F}"/>
    <hyperlink ref="F674" r:id="rId1325" xr:uid="{7D21A0C2-2056-4AF8-913D-A94FE880034E}"/>
    <hyperlink ref="S674" r:id="rId1326" xr:uid="{96075B81-8DEF-4D0C-97F6-F86DD474FEF0}"/>
    <hyperlink ref="F675" r:id="rId1327" xr:uid="{9C32F3CB-5E81-4485-B6B3-EEC9DBDBBE2C}"/>
    <hyperlink ref="G675" r:id="rId1328" xr:uid="{AB10F878-6870-43DD-BCBA-D4DB10DF5EDD}"/>
    <hyperlink ref="S675" r:id="rId1329" xr:uid="{2E8F9598-0A95-4D8C-8036-5E7005BC6D93}"/>
    <hyperlink ref="F676" r:id="rId1330" xr:uid="{364EF06B-209A-49F0-9CC1-0A61CFDB2651}"/>
    <hyperlink ref="S676" r:id="rId1331" xr:uid="{BF7926AE-3DB3-4F0E-B492-F3DF6AB32026}"/>
    <hyperlink ref="G677" r:id="rId1332" xr:uid="{22ADC340-CF17-4343-8C0E-3E1FC248A852}"/>
    <hyperlink ref="F678" r:id="rId1333" xr:uid="{A9706010-F02E-48DA-BE87-8ADABA694D24}"/>
    <hyperlink ref="S678" r:id="rId1334" xr:uid="{C59C1A9D-FABD-4281-AD46-59D538152F93}"/>
    <hyperlink ref="F679" r:id="rId1335" xr:uid="{81729F9D-2D95-40FB-A2C9-D8380249C665}"/>
    <hyperlink ref="G679" r:id="rId1336" xr:uid="{FB6B900E-5972-43BA-82A7-B8C85FB6030A}"/>
    <hyperlink ref="S679" r:id="rId1337" xr:uid="{58C05141-46A3-4487-B916-68C04104B91A}"/>
    <hyperlink ref="F680" r:id="rId1338" xr:uid="{96A5A8C8-C480-49BB-BAE7-DA1ED291505D}"/>
    <hyperlink ref="S680" r:id="rId1339" xr:uid="{6A57AB3A-8783-4C52-A269-D0ED53A06262}"/>
    <hyperlink ref="F681" r:id="rId1340" xr:uid="{173163CB-3CE2-4274-8685-F3AE921F1D19}"/>
    <hyperlink ref="F682" r:id="rId1341" xr:uid="{33516210-0640-4687-BD8E-B6599106A339}"/>
    <hyperlink ref="G682" r:id="rId1342" xr:uid="{F2A451A1-D3AA-426D-BB20-B0D509B4AB8E}"/>
    <hyperlink ref="S682" r:id="rId1343" xr:uid="{A4CA6585-9402-42C0-9BA4-4B8FAD332A6E}"/>
    <hyperlink ref="F683" r:id="rId1344" xr:uid="{4CB123AF-5C07-476E-99EE-A95892E5FEA1}"/>
    <hyperlink ref="G683" r:id="rId1345" xr:uid="{4A3DFA5F-0126-41CC-81A6-9C6C8DF9CBE7}"/>
    <hyperlink ref="S683" r:id="rId1346" xr:uid="{2913BD4C-675F-4BED-ADE8-CD6502EB349B}"/>
    <hyperlink ref="F684" r:id="rId1347" xr:uid="{38D3B994-AE36-4058-A021-03D586932CB8}"/>
    <hyperlink ref="S684" r:id="rId1348" xr:uid="{DC729744-B2EB-4585-ADF7-3B9671FDA320}"/>
    <hyperlink ref="G685" r:id="rId1349" xr:uid="{4E6C0604-8145-4884-A354-2C07A6BEB46D}"/>
    <hyperlink ref="S685" r:id="rId1350" xr:uid="{F5FDF47C-9FB5-4518-92D9-B489079883BA}"/>
    <hyperlink ref="F686" r:id="rId1351" xr:uid="{CB860EEB-07BA-451D-B7DA-0A56E7A711BE}"/>
    <hyperlink ref="S686" r:id="rId1352" xr:uid="{95FB0871-BEF9-44B5-AC24-2B54A52016C0}"/>
    <hyperlink ref="F687" r:id="rId1353" xr:uid="{A4D9343D-B7C7-43D2-9B63-E4BAFA6EA571}"/>
    <hyperlink ref="F688" r:id="rId1354" xr:uid="{CBAB6244-AFB9-46A8-AC2A-71B0C0211434}"/>
    <hyperlink ref="G689" r:id="rId1355" xr:uid="{0FBC156C-7F29-483A-9EBC-08EBAB5AD1D9}"/>
    <hyperlink ref="S689" r:id="rId1356" xr:uid="{29393A47-2CA6-4DAF-BA63-47B0CB2BA138}"/>
    <hyperlink ref="F690" r:id="rId1357" xr:uid="{A73F7B1D-5CEB-4F55-8CBF-336008ED2A81}"/>
    <hyperlink ref="S690" r:id="rId1358" xr:uid="{6B235355-A9CB-401C-87D2-F7F72DE1EFE5}"/>
    <hyperlink ref="F691" r:id="rId1359" xr:uid="{A9649ACA-2A7C-48BC-93B1-5ABB5574D6C4}"/>
    <hyperlink ref="G691" r:id="rId1360" xr:uid="{A9575892-96DF-42D8-A9A6-D6FC1EB6D773}"/>
    <hyperlink ref="S691" r:id="rId1361" xr:uid="{5900C6E7-165C-4B8F-8C73-F7F8B9C8F8CA}"/>
    <hyperlink ref="F692" r:id="rId1362" xr:uid="{F3C13B85-E027-48CB-95EC-0E970DFD90F0}"/>
    <hyperlink ref="S692" r:id="rId1363" xr:uid="{DB3614D7-DAB3-433B-858C-B1C40CDEC625}"/>
    <hyperlink ref="F693" r:id="rId1364" xr:uid="{D703AB6E-6D0A-44DF-AF77-CBCCA96B2BFC}"/>
    <hyperlink ref="G693" r:id="rId1365" xr:uid="{76E26276-2873-450F-A04D-9C2D0BC0E6E3}"/>
    <hyperlink ref="S693" r:id="rId1366" xr:uid="{E3444104-5DB4-479F-875A-BCC97A897F28}"/>
    <hyperlink ref="F694" r:id="rId1367" xr:uid="{6638804A-7F1B-44E4-BAE8-70D5FFFF99DC}"/>
    <hyperlink ref="S694" r:id="rId1368" xr:uid="{65B7DE36-8BBD-4124-BB1B-706F652C2336}"/>
    <hyperlink ref="F695" r:id="rId1369" xr:uid="{82F79C9F-9CD0-4D66-90D7-B85B4494D54A}"/>
    <hyperlink ref="S695" r:id="rId1370" xr:uid="{92CA89B5-BEEB-405A-8440-8A2C50F99C97}"/>
    <hyperlink ref="G696" r:id="rId1371" xr:uid="{710E5C10-BBDA-47EC-AC36-DD65A2A472A1}"/>
    <hyperlink ref="G697" r:id="rId1372" xr:uid="{83D268C2-6909-4922-8D08-09DA044D105C}"/>
    <hyperlink ref="F698" r:id="rId1373" xr:uid="{C805F576-953C-41A7-BB3C-6E5D9247E86D}"/>
    <hyperlink ref="G698" r:id="rId1374" xr:uid="{23182DAF-34D6-4895-A6CF-AB1346235154}"/>
    <hyperlink ref="S698" r:id="rId1375" xr:uid="{E40E3C7D-2FBF-4187-8A38-E28A60DED5D6}"/>
    <hyperlink ref="C699" r:id="rId1376" xr:uid="{1F4C0981-9085-4B7C-A507-F29EA97D10A4}"/>
    <hyperlink ref="G699" r:id="rId1377" xr:uid="{86A334B0-C0ED-471A-95B2-FF227FBAC3C4}"/>
    <hyperlink ref="S699" r:id="rId1378" xr:uid="{8043D943-4FD8-40BA-A930-A477A7864480}"/>
    <hyperlink ref="F700" r:id="rId1379" xr:uid="{3D68B150-B111-48B7-9A7D-653D54DD9196}"/>
    <hyperlink ref="S700" r:id="rId1380" xr:uid="{AB19B106-03C3-448E-A121-07803E79AD7A}"/>
    <hyperlink ref="S701" r:id="rId1381" xr:uid="{83BAFF62-58DA-43B0-8AE9-2848D0397221}"/>
    <hyperlink ref="F703" r:id="rId1382" xr:uid="{8E772210-80B8-4D45-9C89-12965AE635A4}"/>
    <hyperlink ref="G703" r:id="rId1383" xr:uid="{46474CCA-5AC8-4F69-B1AF-3A74511263DC}"/>
    <hyperlink ref="S703" r:id="rId1384" xr:uid="{F13575D9-975B-4588-A403-32CEA0554A4F}"/>
    <hyperlink ref="F704" r:id="rId1385" xr:uid="{9CE42210-8169-466C-92A7-540C45A289BA}"/>
    <hyperlink ref="G704" r:id="rId1386" xr:uid="{F6D8EF9C-C3DC-41F4-A261-CA7A70EF2BAE}"/>
    <hyperlink ref="S704" r:id="rId1387" xr:uid="{01546887-47A8-4B11-9697-9874B8346502}"/>
    <hyperlink ref="G706" r:id="rId1388" xr:uid="{CAFCE352-BC1D-4CFC-8B6C-ED759E069487}"/>
    <hyperlink ref="S706" r:id="rId1389" xr:uid="{7FCC2B22-73AB-482C-B8EE-6A9402FF2349}"/>
    <hyperlink ref="C707" r:id="rId1390" xr:uid="{766DBB76-5CF4-4B41-BC6B-26B9E7A9BC37}"/>
    <hyperlink ref="G707" r:id="rId1391" xr:uid="{9C267CAD-22F8-4984-8ED1-818766F3EA2A}"/>
    <hyperlink ref="S707" r:id="rId1392" xr:uid="{725E2821-C407-461D-B93D-2B069076B595}"/>
    <hyperlink ref="F708" r:id="rId1393" xr:uid="{B0BBC5E3-CE6C-4AA8-8516-1BD70AB42C8F}"/>
    <hyperlink ref="G708" r:id="rId1394" xr:uid="{99ADF7D3-BB12-425B-8AAA-6CA55F81289C}"/>
    <hyperlink ref="S708" r:id="rId1395" xr:uid="{29356223-AD18-4D78-BD24-18113779CF3B}"/>
    <hyperlink ref="F709" r:id="rId1396" xr:uid="{DCB548A5-6EEE-49F0-9F9D-A3F065F97B05}"/>
    <hyperlink ref="S709" r:id="rId1397" xr:uid="{63C02429-D768-45AA-8B65-D6D1F076ACA7}"/>
    <hyperlink ref="F710" r:id="rId1398" xr:uid="{EA2FDB27-AD28-4466-90F7-189FE2525C3A}"/>
    <hyperlink ref="G710" r:id="rId1399" xr:uid="{FACCA81C-67A4-46FC-959C-C98EF4FA8717}"/>
    <hyperlink ref="S710" r:id="rId1400" xr:uid="{EBAE4AE8-74C7-449F-8716-21ED7B547C27}"/>
    <hyperlink ref="F711" r:id="rId1401" xr:uid="{2ACBDCA7-4BEC-4A42-B4E1-A764AEE09ADC}"/>
    <hyperlink ref="S711" r:id="rId1402" xr:uid="{430C6CB4-D254-475C-A637-B668C8CD05F5}"/>
    <hyperlink ref="F712" r:id="rId1403" xr:uid="{7349196E-DD74-40A4-B2E4-78342210924C}"/>
    <hyperlink ref="S712" r:id="rId1404" xr:uid="{66DE4588-FA12-4C23-AFE0-513EF0B1AB5E}"/>
    <hyperlink ref="F713" r:id="rId1405" xr:uid="{1FEABFCA-EDD2-44FF-8130-4A82CC6B1B04}"/>
    <hyperlink ref="G713" r:id="rId1406" xr:uid="{4885300C-6219-4DDC-A00F-326E5BCC0B67}"/>
    <hyperlink ref="S713" r:id="rId1407" xr:uid="{2104BED7-1B4B-43F4-9E67-D5B79AF20583}"/>
    <hyperlink ref="F714" r:id="rId1408" xr:uid="{2B119FCF-1500-4BA6-902B-8441F16FAAC5}"/>
    <hyperlink ref="G714" r:id="rId1409" xr:uid="{D1F92938-C881-4ACC-919B-AF5D4BE186F5}"/>
    <hyperlink ref="S714" r:id="rId1410" xr:uid="{81C67F26-60B8-43C9-B259-64FF7CE75C64}"/>
    <hyperlink ref="G715" r:id="rId1411" xr:uid="{0074261C-FDF2-4FA2-9251-00A3493E4B10}"/>
    <hyperlink ref="S715" r:id="rId1412" xr:uid="{9589F688-4E1B-4D42-870C-BD489CE342A4}"/>
    <hyperlink ref="F716" r:id="rId1413" xr:uid="{A960354B-D728-46E7-B61C-15D2E38167E5}"/>
    <hyperlink ref="G716" r:id="rId1414" xr:uid="{33B8793F-20AE-4584-962C-EA35D9058AE1}"/>
    <hyperlink ref="S716" r:id="rId1415" xr:uid="{F24A7271-218A-47E9-A63C-66401BF9A564}"/>
    <hyperlink ref="G717" r:id="rId1416" xr:uid="{EFD01586-9765-441C-A5D9-119E8EE980FA}"/>
    <hyperlink ref="S717" r:id="rId1417" xr:uid="{B19631DA-3B21-430C-A5BA-9B05A18D38D6}"/>
    <hyperlink ref="G718" r:id="rId1418" xr:uid="{7DFD71CE-1F00-424E-B586-CBCD2F4CE9DE}"/>
    <hyperlink ref="S718" r:id="rId1419" xr:uid="{8E652E35-FCC5-49E6-B6D9-A94ADD95B813}"/>
    <hyperlink ref="F719" r:id="rId1420" xr:uid="{DD29FCFE-D64A-41E2-8E19-753D5A2A6B55}"/>
    <hyperlink ref="S719" r:id="rId1421" xr:uid="{DF5252DE-CC83-4542-8895-807B0967AB27}"/>
    <hyperlink ref="F720" r:id="rId1422" xr:uid="{930C23EC-FA03-42D4-8D26-68DDEB72F894}"/>
    <hyperlink ref="G720" r:id="rId1423" xr:uid="{72E10BE9-1F0E-48D3-92C8-E379512AE502}"/>
    <hyperlink ref="S720" r:id="rId1424" xr:uid="{30837DB7-7736-4A1B-9586-BDA1BAC3F1F2}"/>
    <hyperlink ref="F721" r:id="rId1425" xr:uid="{B29E93A5-D02B-4EF5-BF85-A0A44DFA5FA2}"/>
    <hyperlink ref="S721" r:id="rId1426" xr:uid="{A050F987-44D3-4DEF-96AD-CC6B1017A07C}"/>
    <hyperlink ref="F722" r:id="rId1427" xr:uid="{C9363ABA-A31E-4591-8CAD-948A0E182534}"/>
    <hyperlink ref="F723" r:id="rId1428" xr:uid="{2FCEA33F-757B-46C9-B24B-35902CA570EE}"/>
    <hyperlink ref="G724" r:id="rId1429" xr:uid="{6C3FEA1E-813E-4ED8-8B97-C3BAC5369ACF}"/>
    <hyperlink ref="S724" r:id="rId1430" xr:uid="{28D47AB8-DF6E-4823-9E1E-A6F558918B38}"/>
    <hyperlink ref="F725" r:id="rId1431" xr:uid="{9CFF6110-3805-4B61-BA38-57B437F9086E}"/>
    <hyperlink ref="S725" r:id="rId1432" xr:uid="{63B3E9E1-F988-4D0F-8468-4394ED56304A}"/>
    <hyperlink ref="F726" r:id="rId1433" xr:uid="{C7B40D59-720A-49FB-9059-A55FA0CC4116}"/>
    <hyperlink ref="S726" r:id="rId1434" xr:uid="{8D166D4A-1F3D-42F0-89D3-8E50A58EF2F6}"/>
    <hyperlink ref="G727" r:id="rId1435" xr:uid="{1989C907-A968-478D-84FF-A16972B07CDE}"/>
    <hyperlink ref="F728" r:id="rId1436" xr:uid="{843423B8-4733-422B-9805-13BD520B2C04}"/>
    <hyperlink ref="G728" r:id="rId1437" xr:uid="{1D708B84-B162-4FA1-82AE-92D0B0FF9595}"/>
    <hyperlink ref="S728" r:id="rId1438" xr:uid="{CA061C4D-31C4-4417-868F-0BB32B4E2E1B}"/>
    <hyperlink ref="S729" r:id="rId1439" xr:uid="{A85573D0-81F4-4109-B207-060B9CD64AEC}"/>
    <hyperlink ref="F730" r:id="rId1440" xr:uid="{BC94EAC3-2964-4496-9530-02E199BF11D4}"/>
    <hyperlink ref="S730" r:id="rId1441" xr:uid="{ECCAFB18-F45B-4247-A280-EBA3E258F1E5}"/>
    <hyperlink ref="F731" r:id="rId1442" xr:uid="{16A8AC6F-E53B-424D-83FF-D7675908E668}"/>
    <hyperlink ref="G731" r:id="rId1443" xr:uid="{0A2CD725-24AA-4308-B352-4866869FD7C7}"/>
    <hyperlink ref="S731" r:id="rId1444" xr:uid="{D14770F3-199E-498C-BE94-A69A3406A600}"/>
    <hyperlink ref="F732" r:id="rId1445" xr:uid="{B026836D-42FF-44C9-8EEB-D7B9388E1708}"/>
    <hyperlink ref="S732" r:id="rId1446" xr:uid="{D62F5553-1501-481F-AFCC-A41410FD1250}"/>
    <hyperlink ref="F733" r:id="rId1447" xr:uid="{F8DBBE8C-3FA6-4A44-9483-DABE92A5AF8F}"/>
    <hyperlink ref="S733" r:id="rId1448" xr:uid="{D0E1DFCE-46F6-41A4-80E4-EFEBDE38637B}"/>
    <hyperlink ref="F734" r:id="rId1449" xr:uid="{8AC4779F-2675-409B-A698-62717386C9C9}"/>
    <hyperlink ref="G734" r:id="rId1450" xr:uid="{0A04E34E-3BBA-437E-879A-0471F5F463F3}"/>
    <hyperlink ref="S734" r:id="rId1451" xr:uid="{DDE88212-4DE6-4509-9EB5-301E84272D5E}"/>
    <hyperlink ref="F735" r:id="rId1452" xr:uid="{92387D55-60A6-46BC-A60A-920D8C3538A3}"/>
    <hyperlink ref="S735" r:id="rId1453" xr:uid="{3BFF4383-D3C7-4BF2-A70F-15FCBEAE6547}"/>
    <hyperlink ref="F736" r:id="rId1454" xr:uid="{B38DF11D-476A-4B36-85DF-E0D52E1D404A}"/>
    <hyperlink ref="S736" r:id="rId1455" xr:uid="{4CCD6A78-CE65-49C5-80B6-82472035D424}"/>
    <hyperlink ref="S737" r:id="rId1456" xr:uid="{D3F8DB51-78E8-4653-AC95-BA3EB58B9E76}"/>
    <hyperlink ref="S738" r:id="rId1457" xr:uid="{CFE22B1E-A142-4F05-8A56-B832D8A8F558}"/>
    <hyperlink ref="F739" r:id="rId1458" xr:uid="{98FC83F9-19BC-49B8-ACB3-526CEFE6F903}"/>
    <hyperlink ref="S739" r:id="rId1459" xr:uid="{D4E37C36-45FF-40AD-8BBF-C82354700243}"/>
    <hyperlink ref="F740" r:id="rId1460" xr:uid="{570638DD-1CD5-4458-8018-57700E5B57F4}"/>
    <hyperlink ref="S740" r:id="rId1461" xr:uid="{E44D93E1-EE29-41BF-83DD-B1282574954C}"/>
    <hyperlink ref="F741" r:id="rId1462" xr:uid="{342086C2-3C60-4880-AC44-70B3D6252109}"/>
    <hyperlink ref="S741" r:id="rId1463" xr:uid="{2C7B5829-3332-4310-91CF-139DCAFC4720}"/>
    <hyperlink ref="F742" r:id="rId1464" xr:uid="{2CC83C59-0AA3-43D3-A89F-2F6BD47C15EA}"/>
    <hyperlink ref="S742" r:id="rId1465" xr:uid="{53E35F22-844D-46A4-9795-6CF0B787B647}"/>
    <hyperlink ref="F743" r:id="rId1466" xr:uid="{7A9FA57B-F963-4EB0-9C81-7197EA70B7D1}"/>
    <hyperlink ref="G743" r:id="rId1467" xr:uid="{1E6DE042-3464-4ACE-8BC1-DB55E4540E25}"/>
    <hyperlink ref="S743" r:id="rId1468" xr:uid="{E6D4B568-52A0-48A5-9689-E19A1AF26919}"/>
    <hyperlink ref="F744" r:id="rId1469" xr:uid="{37933D25-F90F-42FE-9290-B8AC446351BB}"/>
    <hyperlink ref="S744" r:id="rId1470" xr:uid="{D3CC1BB7-EC19-449D-849A-EEDE0BBFF5E8}"/>
    <hyperlink ref="F745" r:id="rId1471" xr:uid="{EC5C5FE5-4AE0-4C30-857D-853FB252A83A}"/>
    <hyperlink ref="G745" r:id="rId1472" xr:uid="{60BDA503-0698-49EA-A09E-91A58742A492}"/>
    <hyperlink ref="S745" r:id="rId1473" xr:uid="{288F7B77-CD16-4549-8667-8391C14B065C}"/>
    <hyperlink ref="F746" r:id="rId1474" xr:uid="{F72BF893-F97E-4E35-9A04-61493E032809}"/>
    <hyperlink ref="S746" r:id="rId1475" xr:uid="{03D995CF-E8B8-40BB-9C16-A81FA2077746}"/>
    <hyperlink ref="F747" r:id="rId1476" xr:uid="{9F01057C-5FB5-4C5B-92D2-4EA01BF65B76}"/>
    <hyperlink ref="S747" r:id="rId1477" xr:uid="{1FF9AAF4-1354-4852-B26C-142FEED52EEC}"/>
    <hyperlink ref="F748" r:id="rId1478" xr:uid="{AFB72B11-764A-4C7B-AF30-4F1A7F3FBC32}"/>
    <hyperlink ref="S748" r:id="rId1479" xr:uid="{5FAF3BE0-DC72-49A2-9BFC-69CE1D69A389}"/>
    <hyperlink ref="F749" r:id="rId1480" xr:uid="{800120B8-7EA8-4691-8521-6BF97E66D295}"/>
    <hyperlink ref="S749" r:id="rId1481" xr:uid="{D9E383D7-195F-4519-8A49-2F294D6D54E6}"/>
    <hyperlink ref="F750" r:id="rId1482" xr:uid="{01C2F713-3055-4FDC-9C39-EFE67A765E4A}"/>
    <hyperlink ref="S750" r:id="rId1483" xr:uid="{41951F24-EFC2-4DB5-B489-920BB62EC5B9}"/>
    <hyperlink ref="F751" r:id="rId1484" xr:uid="{B0192787-5B4D-46E8-9748-D1E641AA487F}"/>
    <hyperlink ref="S751" r:id="rId1485" xr:uid="{66EAD85B-657F-43D1-BFA3-6DB8D044D1D3}"/>
    <hyperlink ref="C752" r:id="rId1486" xr:uid="{8CCE5DA4-2316-4DC1-B87F-C8D011B5CDC7}"/>
    <hyperlink ref="F752" r:id="rId1487" xr:uid="{D0F260AC-E07F-4A4E-BBA4-2E5079A84DC4}"/>
    <hyperlink ref="S752" r:id="rId1488" xr:uid="{36785C5E-81FE-4550-924E-DA1832D172D1}"/>
    <hyperlink ref="F753" r:id="rId1489" xr:uid="{D7B35249-FF6F-4463-9717-117F6B2FA028}"/>
    <hyperlink ref="G753" r:id="rId1490" xr:uid="{D3C71872-8D74-47DD-8744-1ECF95F1DE10}"/>
    <hyperlink ref="S753" r:id="rId1491" xr:uid="{37423C2A-4324-420E-991C-54A81F5FF231}"/>
    <hyperlink ref="F754" r:id="rId1492" xr:uid="{F4C687CC-07EB-43FE-A2FA-92E24487C59E}"/>
    <hyperlink ref="S754" r:id="rId1493" xr:uid="{CB4A8DE8-C702-45D1-87C6-4498E1A7030C}"/>
    <hyperlink ref="G755" r:id="rId1494" xr:uid="{205928C3-566F-4E79-B5AD-3BD5AB4F5FDE}"/>
    <hyperlink ref="S755" r:id="rId1495" xr:uid="{DA3D4E8F-0BD3-4A2E-BF7F-7EB7E0A64532}"/>
    <hyperlink ref="S756" r:id="rId1496" xr:uid="{D1478679-DCAE-42DF-B059-FAF868B08305}"/>
    <hyperlink ref="G757" r:id="rId1497" xr:uid="{E4F13C33-9EFB-4634-AF0D-54153CB88479}"/>
    <hyperlink ref="F758" r:id="rId1498" xr:uid="{E1E9D813-2AF5-45D1-BCC7-B5AA1D5980B5}"/>
    <hyperlink ref="F760" r:id="rId1499" xr:uid="{BA991B45-4952-462A-AB1C-E22A26047411}"/>
    <hyperlink ref="F761" r:id="rId1500" xr:uid="{1E7B274F-8C9C-4656-9751-99389C2B6244}"/>
    <hyperlink ref="S761" r:id="rId1501" xr:uid="{707D62BD-EC92-4B40-9274-F5A21827FFBA}"/>
    <hyperlink ref="F762" r:id="rId1502" xr:uid="{BA435BB0-164D-41DC-BFC0-114E20C1304D}"/>
    <hyperlink ref="S762" r:id="rId1503" xr:uid="{0B13D008-63C6-4C53-AE8F-914BF1A16926}"/>
    <hyperlink ref="F763" r:id="rId1504" xr:uid="{EA005220-59A4-49E1-815C-9EE4428818E0}"/>
    <hyperlink ref="G763" r:id="rId1505" xr:uid="{5CEF392C-9A8B-4B80-B83A-8B2FBB32CA8E}"/>
    <hyperlink ref="S763" r:id="rId1506" xr:uid="{36D15D03-108E-4FF5-91FE-8845E2C0DEB8}"/>
    <hyperlink ref="G764" r:id="rId1507" xr:uid="{89328CD1-7DAE-441E-9250-23B82EF077DF}"/>
    <hyperlink ref="F765" r:id="rId1508" xr:uid="{B0412292-1DFA-4858-8428-C52D6F99F987}"/>
    <hyperlink ref="G765" r:id="rId1509" xr:uid="{04A3A64D-F62B-48F2-B4B7-0C5C88CD848C}"/>
    <hyperlink ref="S765" r:id="rId1510" xr:uid="{E13BDC23-4193-4E3F-80C6-6F98CA1C0F00}"/>
    <hyperlink ref="F766" r:id="rId1511" xr:uid="{9BAA01C2-B5AE-4010-AAA2-F5F5254C9D09}"/>
    <hyperlink ref="G766" r:id="rId1512" xr:uid="{4B69FC2A-C437-482C-8E98-26A76A5611A0}"/>
    <hyperlink ref="S766" r:id="rId1513" xr:uid="{2CF29539-2EF6-45A6-989D-27AF07F8B143}"/>
    <hyperlink ref="F767" r:id="rId1514" xr:uid="{31B5ECED-F2FF-4E7C-8B4D-150C3BC8E490}"/>
    <hyperlink ref="G767" r:id="rId1515" xr:uid="{0B45A8CD-B29F-49E5-B389-100735DBD4EB}"/>
    <hyperlink ref="S767" r:id="rId1516" xr:uid="{E502C4C3-F99A-4C96-BD13-5343B6A6116E}"/>
    <hyperlink ref="G768" r:id="rId1517" xr:uid="{D5C3709A-64A8-44B2-8998-BE42282AA865}"/>
    <hyperlink ref="F769" r:id="rId1518" xr:uid="{35CDB5BC-7106-4B5B-A68A-27C5EE7A3F08}"/>
    <hyperlink ref="G769" r:id="rId1519" xr:uid="{EC27F5AF-B41F-4CC3-9E59-BE4DCB2FB32B}"/>
    <hyperlink ref="S769" r:id="rId1520" xr:uid="{20681F6D-27E0-41E9-932B-548DE2854F94}"/>
    <hyperlink ref="G770" r:id="rId1521" xr:uid="{932A8F47-0085-4AE7-8A97-7ABA675DF8CC}"/>
    <hyperlink ref="S770" r:id="rId1522" xr:uid="{0D041936-341E-4741-A0DF-17C6540C2F3E}"/>
    <hyperlink ref="F771" r:id="rId1523" xr:uid="{9CC846A9-DF33-4F33-ABDE-CC6385B799CB}"/>
    <hyperlink ref="G771" r:id="rId1524" xr:uid="{CBC29085-FA2C-406F-8668-FE7732A3CB93}"/>
    <hyperlink ref="F772" r:id="rId1525" xr:uid="{F9432F50-A99A-42C3-8DEF-607A03AC4CFC}"/>
    <hyperlink ref="G772" r:id="rId1526" xr:uid="{8D043023-7A71-48DA-A760-3ED15145AD0E}"/>
    <hyperlink ref="S772" r:id="rId1527" xr:uid="{DF8E8C43-F2B3-4898-99F7-7CB20D8307B7}"/>
    <hyperlink ref="F773" r:id="rId1528" xr:uid="{09FB8236-DF87-41CC-95DC-6D172BF07DE2}"/>
    <hyperlink ref="G773" r:id="rId1529" xr:uid="{87268E7F-5633-4D57-9188-E25D758D1BBF}"/>
    <hyperlink ref="S773" r:id="rId1530" xr:uid="{B9D50501-8A80-44B5-A7A2-56922A6408DE}"/>
    <hyperlink ref="F774" r:id="rId1531" xr:uid="{B91638BC-A464-4C44-AF2F-A306C04FF470}"/>
    <hyperlink ref="S774" r:id="rId1532" xr:uid="{B75ED692-EAB9-4D86-9AF9-5199FF98BB70}"/>
    <hyperlink ref="F775" r:id="rId1533" xr:uid="{0605A2B9-C10E-4281-ACEE-93D8996AB852}"/>
    <hyperlink ref="S775" r:id="rId1534" xr:uid="{4D2FE34E-B9B7-4DA6-BCD5-C3AE9577D9CF}"/>
    <hyperlink ref="F776" r:id="rId1535" xr:uid="{9F0D10EE-9DD2-422C-9D78-501CE4368342}"/>
    <hyperlink ref="G776" r:id="rId1536" xr:uid="{ABB9C5A4-26AA-4CF3-8B50-8999E7B86874}"/>
    <hyperlink ref="S776" r:id="rId1537" xr:uid="{061B1DE6-4289-41CF-8848-9B9F41B8953F}"/>
    <hyperlink ref="S778" r:id="rId1538" xr:uid="{A67D9700-E37E-4D39-8829-11922CB6F430}"/>
    <hyperlink ref="S779" r:id="rId1539" xr:uid="{9C0DF061-9F56-4329-9D8E-DD5BCA64C87D}"/>
    <hyperlink ref="F780" r:id="rId1540" xr:uid="{D4BEAC5D-7CC0-4F22-BD6B-665608EA4974}"/>
    <hyperlink ref="G780" r:id="rId1541" xr:uid="{7E48BC0F-D726-45E0-BC68-DE1F9A56D148}"/>
    <hyperlink ref="F781" r:id="rId1542" xr:uid="{23133D52-D169-4261-AAB0-E28521417DF6}"/>
    <hyperlink ref="G781" r:id="rId1543" xr:uid="{805B8832-56C8-4950-8236-76EE196302F8}"/>
    <hyperlink ref="S781" r:id="rId1544" xr:uid="{991F6264-D956-4234-A3D0-FD188820A635}"/>
    <hyperlink ref="F782" r:id="rId1545" xr:uid="{CE153F8A-5E6C-4B8D-A1B0-745E6A95CB3E}"/>
    <hyperlink ref="S782" r:id="rId1546" xr:uid="{C8B0DB05-4054-4F4F-86F4-A6CA5E51DB04}"/>
    <hyperlink ref="F784" r:id="rId1547" xr:uid="{93490AB2-4F77-4089-BD3D-0951B9271043}"/>
    <hyperlink ref="G784" r:id="rId1548" xr:uid="{567590DD-2FF7-445A-BC00-BCC4D1BDAA12}"/>
    <hyperlink ref="S784" r:id="rId1549" xr:uid="{F5820AD3-2AC0-4CE7-930B-591551751FE1}"/>
    <hyperlink ref="F785" r:id="rId1550" xr:uid="{78EB24DD-C72D-4BDF-B710-3C2ABFAE7B66}"/>
    <hyperlink ref="G785" r:id="rId1551" xr:uid="{E9CA1E29-DB46-4C4C-B409-17844D24314B}"/>
    <hyperlink ref="S785" r:id="rId1552" xr:uid="{B9694B3B-74FF-4B80-BC18-578338373FCA}"/>
    <hyperlink ref="F786" r:id="rId1553" xr:uid="{B794C050-F495-4B34-9691-0A41D95A46FE}"/>
    <hyperlink ref="G786" r:id="rId1554" xr:uid="{53B17234-0DBD-432C-B1A2-11885459DF98}"/>
    <hyperlink ref="S786" r:id="rId1555" xr:uid="{7BB2231C-D689-400C-85D4-54B09A1F998C}"/>
    <hyperlink ref="F787" r:id="rId1556" xr:uid="{0AC9855B-1AC9-4D92-834A-C3113378B480}"/>
    <hyperlink ref="S787" r:id="rId1557" xr:uid="{CF894446-85C8-48DA-9ABE-D4AEAE767DC7}"/>
    <hyperlink ref="F788" r:id="rId1558" xr:uid="{81E5EA6F-EFE1-49B8-9CB1-307566269A34}"/>
    <hyperlink ref="S788" r:id="rId1559" xr:uid="{2403A441-A989-4C2F-A1E4-405768FD7AC8}"/>
    <hyperlink ref="F789" r:id="rId1560" location="ftag=CAD590a51e" xr:uid="{63C729E9-7598-4389-86BA-C5346B5EAC99}"/>
    <hyperlink ref="G789" r:id="rId1561" xr:uid="{EFE62E92-2DAD-452D-8A7F-4B6FF19BD689}"/>
    <hyperlink ref="F790" r:id="rId1562" xr:uid="{FDFFDF85-8DB6-476B-9E8E-94832EC05AA3}"/>
    <hyperlink ref="S790" r:id="rId1563" xr:uid="{2E4857FA-0C9C-4385-8A90-9B13E62F6945}"/>
    <hyperlink ref="S791" r:id="rId1564" xr:uid="{6C5F38E9-2262-4108-A8F3-39D2BB64C176}"/>
    <hyperlink ref="F792" r:id="rId1565" xr:uid="{D49A78D3-A1A7-465F-A724-5D231950EE96}"/>
    <hyperlink ref="S792" r:id="rId1566" xr:uid="{EC0B67FC-94BE-4DF4-AD75-3FD3DB7B493F}"/>
    <hyperlink ref="F793" r:id="rId1567" xr:uid="{A06167C8-50AB-4F1A-B8EE-985BE83C26F9}"/>
    <hyperlink ref="S793" r:id="rId1568" xr:uid="{B1D62A63-A00C-4CE8-8F16-25BCA50C00BC}"/>
    <hyperlink ref="F794" r:id="rId1569" xr:uid="{D4DCC8A0-B20D-4BC5-9439-D2D07B7375E3}"/>
    <hyperlink ref="S794" r:id="rId1570" xr:uid="{13E00D71-36B5-49D6-A1C7-C0AA9D310B96}"/>
    <hyperlink ref="G795" r:id="rId1571" xr:uid="{97BAF254-48EE-403B-B9D7-D5A356AC6DE0}"/>
    <hyperlink ref="G796" r:id="rId1572" xr:uid="{5D7F2A7C-E5F0-4D7C-9B7A-C7289871D4BE}"/>
    <hyperlink ref="S796" r:id="rId1573" xr:uid="{CD8A89DA-C86E-4CE0-85D3-553A6A3BB79C}"/>
    <hyperlink ref="F797" r:id="rId1574" xr:uid="{87157B80-5CDE-40CE-BB98-C6BCEC098A58}"/>
    <hyperlink ref="S797" r:id="rId1575" xr:uid="{04A399C8-C393-4E65-8F2E-1953E0B3037E}"/>
    <hyperlink ref="F798" r:id="rId1576" xr:uid="{CA65B5FD-8752-4CAB-8D00-DA4877B0C6D0}"/>
    <hyperlink ref="F799" r:id="rId1577" xr:uid="{3ABC7553-66AB-40EC-96C0-3CCE0B624E55}"/>
    <hyperlink ref="G800" r:id="rId1578" xr:uid="{1609FDCB-C61B-495B-93A3-10FBC6EC74F3}"/>
    <hyperlink ref="G802" r:id="rId1579" xr:uid="{57634022-78B9-47E6-BE92-3DE800935F50}"/>
    <hyperlink ref="S802" r:id="rId1580" xr:uid="{E7F4644B-4EE0-48EF-A24C-5279BFE67F34}"/>
    <hyperlink ref="S803" r:id="rId1581" xr:uid="{017B8044-9FA2-4701-810A-1D6E70D13754}"/>
    <hyperlink ref="F804" r:id="rId1582" xr:uid="{6512F7D4-07C4-4580-8938-C59E76160BA2}"/>
    <hyperlink ref="G804" r:id="rId1583" xr:uid="{1C55443D-1FD6-43EA-BB2C-C7295F574245}"/>
    <hyperlink ref="S804" r:id="rId1584" xr:uid="{78A9BEEE-6A0F-4359-8DDD-A6C42A28AD25}"/>
    <hyperlink ref="G805" r:id="rId1585" xr:uid="{9A40AD92-DB0E-49E9-A347-B309C697C530}"/>
    <hyperlink ref="S805" r:id="rId1586" xr:uid="{8CAC2B59-8475-47B0-9444-CBE176834E1B}"/>
    <hyperlink ref="F806" r:id="rId1587" xr:uid="{67C91EF0-F36F-4475-9F47-0A1980E4DEB8}"/>
    <hyperlink ref="F807" r:id="rId1588" xr:uid="{7018142F-8B9A-4F53-BA50-E55857F0F7D6}"/>
    <hyperlink ref="G807" r:id="rId1589" xr:uid="{FC43B024-6BFA-4E5F-8B06-CD6821B2DBAE}"/>
    <hyperlink ref="F808" r:id="rId1590" xr:uid="{DC7D4C05-A286-47AE-83BC-903A482EBEC3}"/>
    <hyperlink ref="G808" r:id="rId1591" xr:uid="{AA3DE4DC-4DD8-4C5A-8D05-1AD75D183144}"/>
    <hyperlink ref="S808" r:id="rId1592" xr:uid="{27EEFE72-322C-41F9-875D-5754AC309EC9}"/>
    <hyperlink ref="F809" r:id="rId1593" xr:uid="{A0FB6BDD-FB67-4C79-B973-06D0BE8BF61E}"/>
    <hyperlink ref="F810" r:id="rId1594" xr:uid="{5296DC45-5CE6-4EC5-881E-E3A7523DDA7B}"/>
    <hyperlink ref="G810" r:id="rId1595" xr:uid="{7D933BCA-270C-4667-888E-93773E7460FB}"/>
    <hyperlink ref="S810" r:id="rId1596" xr:uid="{55508629-DF7D-426B-8F88-6962D6D45D58}"/>
    <hyperlink ref="F811" r:id="rId1597" xr:uid="{9B28F354-16CE-467A-B442-27B64166C9C6}"/>
    <hyperlink ref="S811" r:id="rId1598" xr:uid="{78D9A66F-A0F9-4046-BEA5-AB0D2078E75F}"/>
    <hyperlink ref="F812" r:id="rId1599" xr:uid="{7C477B8D-FEE9-4AF0-A907-CAEB2F92F666}"/>
    <hyperlink ref="S812" r:id="rId1600" xr:uid="{22F9E016-98CC-4A64-8E77-2172565FAB16}"/>
    <hyperlink ref="F813" r:id="rId1601" xr:uid="{BA46D73F-9B74-4E31-A0F4-EB20510FCA82}"/>
    <hyperlink ref="S813" r:id="rId1602" xr:uid="{7200950E-930C-4949-B05F-6A7B02CE3AC5}"/>
    <hyperlink ref="C814" r:id="rId1603" xr:uid="{764EDA39-C676-4237-A982-1E897307291F}"/>
    <hyperlink ref="G814" r:id="rId1604" xr:uid="{9075131C-934C-4A2F-9BB0-AE11E5871B94}"/>
    <hyperlink ref="S814" r:id="rId1605" xr:uid="{2A047E17-262C-4299-B0C9-B22946F027F5}"/>
    <hyperlink ref="F815" r:id="rId1606" xr:uid="{8A2E7D57-4D3B-4FF8-B7A3-CBFF2FEF8F15}"/>
    <hyperlink ref="G815" r:id="rId1607" xr:uid="{37C7879D-ACB3-4735-AAF1-61AE4B9D55E5}"/>
    <hyperlink ref="S815" r:id="rId1608" xr:uid="{24BBFFF8-78B9-42F4-85B3-51E15CA3B384}"/>
    <hyperlink ref="F816" r:id="rId1609" xr:uid="{F6CEE07E-4304-4CC5-B6C9-CDE1D4E8FAA8}"/>
    <hyperlink ref="F817" r:id="rId1610" xr:uid="{F08CEB74-52C7-4287-9B65-4285C7E751F0}"/>
    <hyperlink ref="S817" r:id="rId1611" xr:uid="{42093B57-A63C-4CBE-A4C2-B6D6EECA809F}"/>
    <hyperlink ref="F818" r:id="rId1612" xr:uid="{70510C9C-AACB-41E6-9E1B-C71B1C23C3BA}"/>
    <hyperlink ref="G818" r:id="rId1613" xr:uid="{D087FD6F-24CA-424C-B853-7535075B6171}"/>
    <hyperlink ref="F819" r:id="rId1614" xr:uid="{02AAB14E-DAF0-4853-82E0-21D788ABB93B}"/>
    <hyperlink ref="S819" r:id="rId1615" xr:uid="{99CB7069-CCFA-4B8A-A755-5C81B7B5180F}"/>
    <hyperlink ref="F820" r:id="rId1616" xr:uid="{B5818BCF-A460-4125-9E24-B7B796E985D5}"/>
    <hyperlink ref="G820" r:id="rId1617" xr:uid="{731EAC2F-1BE3-47A3-AE53-05ACA8FD38B4}"/>
    <hyperlink ref="S820" r:id="rId1618" xr:uid="{61E8682B-8D2F-466D-B79D-AB31080D511C}"/>
    <hyperlink ref="F821" r:id="rId1619" xr:uid="{9C32F9C1-DC3D-4D2B-974E-44AFFC5EFEB5}"/>
    <hyperlink ref="S821" r:id="rId1620" xr:uid="{11135B8E-8969-465B-B5ED-DB8D346E6FA5}"/>
    <hyperlink ref="G822" r:id="rId1621" xr:uid="{906663D7-26F2-4212-BE57-0086158B6DF7}"/>
    <hyperlink ref="S822" r:id="rId1622" xr:uid="{54DFB5B8-5CD7-4D77-8DCC-CFA24ACFB892}"/>
    <hyperlink ref="F823" r:id="rId1623" xr:uid="{C7E978D1-7F15-4170-8F14-E2041FB44FB6}"/>
    <hyperlink ref="S823" r:id="rId1624" xr:uid="{C592115E-3D8B-46C1-8192-2C5EB0F48E4F}"/>
    <hyperlink ref="F824" r:id="rId1625" xr:uid="{886E1021-C29B-4706-AE80-5055180C5333}"/>
    <hyperlink ref="G824" r:id="rId1626" xr:uid="{452F2903-3F86-4A33-9898-72FBE13CEE54}"/>
    <hyperlink ref="S824" r:id="rId1627" xr:uid="{675F44C5-6D24-42EE-813C-ABC8C3E14A78}"/>
    <hyperlink ref="F825" r:id="rId1628" xr:uid="{2B8A5ADA-DE6C-4E74-8F65-EA19115F7EB1}"/>
    <hyperlink ref="S825" r:id="rId1629" xr:uid="{34DFC669-1499-44D5-A39C-08CBF7EA86AE}"/>
    <hyperlink ref="S826" r:id="rId1630" xr:uid="{078060D9-5E77-487B-9940-B9D6F80BE417}"/>
    <hyperlink ref="G827" r:id="rId1631" xr:uid="{98B25CB1-C4CA-4ED9-9D1E-9762A1877AA3}"/>
    <hyperlink ref="G828" r:id="rId1632" xr:uid="{B3006BC1-3FB1-498B-BAF1-AE7A898533D3}"/>
    <hyperlink ref="S828" r:id="rId1633" xr:uid="{8F9B8EA1-2E8F-4E61-9A06-45B76625B295}"/>
    <hyperlink ref="F829" r:id="rId1634" xr:uid="{4610300A-5868-4EE8-898A-4B2104A5A25C}"/>
    <hyperlink ref="G829" r:id="rId1635" xr:uid="{ED76C9B6-58F6-4A37-94F9-56FE237B1CAC}"/>
    <hyperlink ref="S829" r:id="rId1636" xr:uid="{9AB9FAE2-5943-4CAB-B725-E9680CD7E542}"/>
    <hyperlink ref="F830" r:id="rId1637" xr:uid="{3915B1B8-23C3-4EDB-930D-255F287F9518}"/>
    <hyperlink ref="G830" r:id="rId1638" xr:uid="{55246ED4-C1D5-4F7C-9BC7-4F1B608C5231}"/>
    <hyperlink ref="S830" r:id="rId1639" xr:uid="{27F790D9-DFA7-4EE5-96CD-BB0E7C0C389A}"/>
    <hyperlink ref="F831" r:id="rId1640" xr:uid="{E0FAB67C-2D46-40C4-9841-AB2DB60F5145}"/>
    <hyperlink ref="G831" r:id="rId1641" xr:uid="{AD5E4976-7B52-4CAB-AFD5-30537E4E708C}"/>
    <hyperlink ref="S831" r:id="rId1642" xr:uid="{E3985A01-85C0-4F4A-9E24-A2DD3072FCA7}"/>
    <hyperlink ref="F832" r:id="rId1643" xr:uid="{665D5CAB-1C4C-44CD-955E-4789A867896B}"/>
    <hyperlink ref="S832" r:id="rId1644" xr:uid="{6849677D-0C86-4939-818D-B440EDBA0097}"/>
    <hyperlink ref="F833" r:id="rId1645" xr:uid="{FE05D942-809A-43E9-9707-ADED60A4D3A8}"/>
    <hyperlink ref="G833" r:id="rId1646" xr:uid="{97B2B3C1-8B9A-4B09-8023-A9B1B09CF97C}"/>
    <hyperlink ref="S833" r:id="rId1647" xr:uid="{A046A810-D940-4D80-9B67-8C591D11929E}"/>
    <hyperlink ref="G834" r:id="rId1648" xr:uid="{013AAE96-E684-4390-9513-40CA77D02690}"/>
    <hyperlink ref="S834" r:id="rId1649" xr:uid="{2F9BE824-3ADB-4D85-A034-2185836D8BFF}"/>
    <hyperlink ref="F835" r:id="rId1650" xr:uid="{2BA6BA77-AB25-4C76-918A-E814F8735D89}"/>
    <hyperlink ref="G835" r:id="rId1651" xr:uid="{E53E0B08-E153-45D7-ABAA-57A836B06EDA}"/>
    <hyperlink ref="F836" r:id="rId1652" xr:uid="{A88E0CFE-DAE9-4594-84B6-ABF90F02F7E8}"/>
    <hyperlink ref="S836" r:id="rId1653" xr:uid="{B71552AB-6837-4C58-B402-E0C28EE84C6A}"/>
    <hyperlink ref="G837" r:id="rId1654" xr:uid="{84B61F4D-0CC0-4E56-97E3-0DBA156E5812}"/>
    <hyperlink ref="S837" r:id="rId1655" xr:uid="{E5D30EF4-9819-4F40-8514-D8D33E9CBF1C}"/>
    <hyperlink ref="F838" r:id="rId1656" xr:uid="{F5D4F922-0008-4694-8B64-E6246BF3FF1D}"/>
    <hyperlink ref="G838" r:id="rId1657" xr:uid="{977A5D1A-A961-4A20-B6E8-215C470A9420}"/>
    <hyperlink ref="F839" r:id="rId1658" xr:uid="{F26C0B15-2052-4231-AB2B-BAD3FA8B98E6}"/>
    <hyperlink ref="S839" r:id="rId1659" xr:uid="{79D69B3A-D073-412C-A88F-FA0CF424C415}"/>
    <hyperlink ref="F840" r:id="rId1660" xr:uid="{6B7FC0D8-CF67-483C-8FBB-0D2F8609270F}"/>
    <hyperlink ref="S840" r:id="rId1661" xr:uid="{916FCC0D-7A9A-45F5-ADA9-458B241303FF}"/>
    <hyperlink ref="G841" r:id="rId1662" xr:uid="{306BBAAE-ED6C-4DA9-9EFD-01FF733DAA30}"/>
    <hyperlink ref="F842" r:id="rId1663" xr:uid="{5EE8D8F0-8FAD-4C40-8379-251ADAB24DAE}"/>
    <hyperlink ref="S842" r:id="rId1664" xr:uid="{822C9242-B8A7-4127-983E-CEE1D2F9DEC0}"/>
    <hyperlink ref="F843" r:id="rId1665" xr:uid="{5F94A741-CF49-481C-984D-D33B7A3F11C0}"/>
    <hyperlink ref="S843" r:id="rId1666" xr:uid="{4CE9B9E0-806F-4402-9596-FE2D9ABC97E9}"/>
    <hyperlink ref="F844" r:id="rId1667" xr:uid="{217BF55B-A832-4BE9-9E7E-8854D5C27CD7}"/>
    <hyperlink ref="S844" r:id="rId1668" xr:uid="{A56B96C0-8721-48E6-9776-0F29A692B971}"/>
    <hyperlink ref="F845" r:id="rId1669" xr:uid="{76E0F78E-2073-4D57-84DA-327777B02335}"/>
    <hyperlink ref="S845" r:id="rId1670" xr:uid="{E46D4651-9C6D-4B18-BD4E-87658EC93482}"/>
    <hyperlink ref="F846" r:id="rId1671" xr:uid="{B941B857-48C1-4DA1-8722-91E7C05FD565}"/>
    <hyperlink ref="S846" r:id="rId1672" xr:uid="{E562586C-6478-4A23-BFBA-CC3273CD7BAB}"/>
    <hyperlink ref="F847" r:id="rId1673" xr:uid="{0F5F3701-9BC5-44E9-8F8F-9B0959F30D4E}"/>
    <hyperlink ref="G847" r:id="rId1674" xr:uid="{CD8B01DB-6DF6-4637-B312-D915137E7DF5}"/>
    <hyperlink ref="S847" r:id="rId1675" xr:uid="{5EE2F897-BA70-4047-8198-2B4B3917331A}"/>
    <hyperlink ref="F848" r:id="rId1676" xr:uid="{81B20D1F-9E9B-4B33-85F6-2D3D37C30807}"/>
    <hyperlink ref="G848" r:id="rId1677" xr:uid="{0AF72478-9DDF-4E6A-9CF1-9C91B185AB76}"/>
    <hyperlink ref="S848" r:id="rId1678" xr:uid="{D85D5B80-C9AA-438B-8DB5-50D2B5CE2292}"/>
    <hyperlink ref="G849" r:id="rId1679" xr:uid="{D1B03BA2-F012-416B-B06D-1F75E5F9899A}"/>
    <hyperlink ref="G850" r:id="rId1680" xr:uid="{286D4A12-8CF5-4F72-B924-3BB395415485}"/>
    <hyperlink ref="S850" r:id="rId1681" xr:uid="{34F44411-16B5-406E-B2B4-25A875E63553}"/>
    <hyperlink ref="F851" r:id="rId1682" xr:uid="{B9A2C4C7-DD14-4B8A-865D-60E40091E36C}"/>
    <hyperlink ref="S851" r:id="rId1683" xr:uid="{5FA4D9BF-C8A7-4EFF-A3C2-BC1DCF4428E5}"/>
    <hyperlink ref="F852" r:id="rId1684" xr:uid="{853A8404-56D0-4BFA-B6A3-BDE21AC7A884}"/>
    <hyperlink ref="S852" r:id="rId1685" xr:uid="{DBCB3DA8-B625-4B80-AE23-BCA95FEFAA11}"/>
    <hyperlink ref="F853" r:id="rId1686" xr:uid="{56CD4537-CFAE-496B-AA8A-8C783720E4D5}"/>
    <hyperlink ref="S853" r:id="rId1687" xr:uid="{1FF51584-CB56-49EE-B55A-2F1057D47094}"/>
    <hyperlink ref="F854" r:id="rId1688" xr:uid="{0F23F302-2B53-49F9-9259-6C00D8017063}"/>
    <hyperlink ref="G854" r:id="rId1689" xr:uid="{A8EE5A87-1482-4149-B916-DD58C4F18095}"/>
    <hyperlink ref="S854" r:id="rId1690" xr:uid="{8B36B578-0AE5-4F3A-B854-1A3B4EEBBE1D}"/>
    <hyperlink ref="S855" r:id="rId1691" xr:uid="{98BA0153-B19F-4BF9-A66F-B3DAAEA68CD8}"/>
    <hyperlink ref="F856" r:id="rId1692" xr:uid="{51A478A1-18FF-4A35-9EAF-262B1D2AB55D}"/>
    <hyperlink ref="G856" r:id="rId1693" xr:uid="{D2DD135F-2037-439C-BBAA-7EC038603F96}"/>
    <hyperlink ref="S856" r:id="rId1694" xr:uid="{6B525309-1124-48A2-AD29-A4D10BD817D2}"/>
    <hyperlink ref="G857" r:id="rId1695" xr:uid="{53A990B6-E25B-4E98-AB54-7A2DEF2136AD}"/>
    <hyperlink ref="S857" r:id="rId1696" xr:uid="{872E79A9-B0EB-41A2-9542-E46D30973C13}"/>
    <hyperlink ref="F858" r:id="rId1697" xr:uid="{C815A54C-CF4C-4070-BA92-A1F75CBBF608}"/>
    <hyperlink ref="G858" r:id="rId1698" xr:uid="{A34B9CB3-6D02-4959-B9E4-B90B0E61B62B}"/>
    <hyperlink ref="S858" r:id="rId1699" xr:uid="{5626057F-FC3F-4110-9B05-135B51108645}"/>
    <hyperlink ref="F859" r:id="rId1700" xr:uid="{FF425E77-1F97-4638-A58C-1BAE67AA9E0B}"/>
    <hyperlink ref="G859" r:id="rId1701" xr:uid="{CCFF0691-948C-46B1-B81F-CF6467E49DBA}"/>
    <hyperlink ref="S859" r:id="rId1702" xr:uid="{FDEA0597-6DE5-47A5-9134-DCC9CB934C49}"/>
    <hyperlink ref="F860" r:id="rId1703" xr:uid="{4CD97F82-12E5-43BF-AF77-D9A81EAAFB2C}"/>
    <hyperlink ref="G860" r:id="rId1704" xr:uid="{8E062E61-DAB8-4BCC-A4E7-73E8A07EE5B1}"/>
    <hyperlink ref="S860" r:id="rId1705" xr:uid="{B7A80CB7-BECF-45F5-A08F-A22F0F704AB2}"/>
    <hyperlink ref="F861" r:id="rId1706" xr:uid="{B622C4F9-4B1F-4A9F-95E7-4350D5EC17F6}"/>
    <hyperlink ref="S861" r:id="rId1707" xr:uid="{1EC61A9F-9811-40DB-83C3-F3638B9AFC49}"/>
    <hyperlink ref="F862" r:id="rId1708" xr:uid="{998C243F-5913-4030-AAFC-C389A911F868}"/>
    <hyperlink ref="G862" r:id="rId1709" xr:uid="{F153B1C5-7C6E-4C5C-AE82-BCC3B87AAA36}"/>
    <hyperlink ref="S862" r:id="rId1710" xr:uid="{80404B8A-CDA4-4505-A1E1-7C7B0E174735}"/>
    <hyperlink ref="F863" r:id="rId1711" xr:uid="{718D21B8-A95C-451D-8903-5FDA1BB19C88}"/>
    <hyperlink ref="G863" r:id="rId1712" xr:uid="{E3A2FF3D-992B-433A-9DD3-C4D2C2FC4CE6}"/>
    <hyperlink ref="S863" r:id="rId1713" xr:uid="{2AEB2202-FEC8-4BD4-97B1-E5EA18B5E688}"/>
    <hyperlink ref="F864" r:id="rId1714" xr:uid="{B3276912-7BC5-4953-B34B-0656AFA29966}"/>
    <hyperlink ref="G864" r:id="rId1715" xr:uid="{ABDACA44-6149-40EB-BACA-0AAE6D689ECF}"/>
    <hyperlink ref="S864" r:id="rId1716" xr:uid="{2638473D-43D7-4D01-96DE-6D2616629973}"/>
    <hyperlink ref="F865" r:id="rId1717" xr:uid="{40580A77-15F0-4CA5-BD87-3AE68C51DDCC}"/>
    <hyperlink ref="S865" r:id="rId1718" xr:uid="{6324AF72-ED94-4949-91F5-845F7C46EFDD}"/>
    <hyperlink ref="F866" r:id="rId1719" xr:uid="{48C301A5-190D-420A-BB01-ACF3426B2789}"/>
    <hyperlink ref="G866" r:id="rId1720" xr:uid="{4F4C4730-D218-4680-AEBF-49A86C38F095}"/>
    <hyperlink ref="S866" r:id="rId1721" xr:uid="{C514357D-B89A-413B-A178-117A019DB550}"/>
    <hyperlink ref="F867" r:id="rId1722" xr:uid="{16A7DCF3-56E7-4041-A28C-CBE9A63F6050}"/>
    <hyperlink ref="G867" r:id="rId1723" xr:uid="{A4C8C3A7-2FB1-417B-AC27-58B70C3DD28F}"/>
    <hyperlink ref="S867" r:id="rId1724" xr:uid="{D27E3584-5A92-4FF5-9101-F65403F6E9D6}"/>
    <hyperlink ref="C868" r:id="rId1725" xr:uid="{956A35C4-4020-4B1A-A58B-E7CAF2E7056F}"/>
    <hyperlink ref="F868" r:id="rId1726" xr:uid="{6D35C523-3D92-4223-B8C2-929B365BAC22}"/>
    <hyperlink ref="S868" r:id="rId1727" xr:uid="{196076BA-3685-4EC4-ACF2-FAC4C50E968B}"/>
    <hyperlink ref="F869" r:id="rId1728" xr:uid="{302961E1-57FD-4DC1-99EE-153A706DF150}"/>
    <hyperlink ref="G869" r:id="rId1729" xr:uid="{C573DAC1-580A-4339-90F9-4840F13AA040}"/>
    <hyperlink ref="S869" r:id="rId1730" xr:uid="{C9EDE80F-D821-49F1-85EE-1D8A0E1170C6}"/>
    <hyperlink ref="F870" r:id="rId1731" xr:uid="{B7B45569-3028-44F1-9FC1-EB42706A11FF}"/>
    <hyperlink ref="G870" r:id="rId1732" xr:uid="{29988A62-11BD-429B-8C61-5D67542CEDE1}"/>
    <hyperlink ref="S870" r:id="rId1733" xr:uid="{8DEFE120-075A-4491-B695-5E143D0624C3}"/>
    <hyperlink ref="F872" r:id="rId1734" xr:uid="{01D3385A-39F9-40B5-88A0-BF2709C343C4}"/>
    <hyperlink ref="S872" r:id="rId1735" xr:uid="{85C73947-1E73-42F4-84AA-1B4E0B72F5A1}"/>
    <hyperlink ref="F873" r:id="rId1736" xr:uid="{E2D6AE9E-B0A6-47C5-87A6-DF36C4F8D418}"/>
    <hyperlink ref="G873" r:id="rId1737" xr:uid="{2FC93A2A-3491-464E-9AC8-256C9C212701}"/>
    <hyperlink ref="S873" r:id="rId1738" xr:uid="{598435A6-6F5B-42E5-AC64-BA1CE6EA351D}"/>
    <hyperlink ref="F874" r:id="rId1739" xr:uid="{D09B2F6C-A83C-4FF6-B9F5-E5CA78B32AFA}"/>
    <hyperlink ref="S874" r:id="rId1740" xr:uid="{50DE18B7-0CF6-4ED0-89B6-F5CC811C40FE}"/>
    <hyperlink ref="F875" r:id="rId1741" xr:uid="{0680EC3E-B3BF-421C-9A60-B4399D95FC81}"/>
    <hyperlink ref="F876" r:id="rId1742" xr:uid="{C43259B7-BED7-46E3-B782-A1E448E0FE32}"/>
    <hyperlink ref="G876" r:id="rId1743" xr:uid="{8FA22631-BFF6-47E4-B402-52966EB32EF3}"/>
    <hyperlink ref="S876" r:id="rId1744" xr:uid="{41FD636D-A8A6-4956-86FD-0848A20FDB5B}"/>
    <hyperlink ref="F878" r:id="rId1745" xr:uid="{AB285E9A-85C2-4DE8-BC12-920A8326D1AB}"/>
    <hyperlink ref="G878" r:id="rId1746" xr:uid="{0ED59A6C-1CEF-4FC7-BABA-A755AB9D1566}"/>
    <hyperlink ref="S878" r:id="rId1747" xr:uid="{DDFBABD6-60ED-47B9-A35F-D6B8516E6304}"/>
    <hyperlink ref="F879" r:id="rId1748" xr:uid="{43C78011-68CB-4383-ACBB-6DB5DBEBF3C7}"/>
    <hyperlink ref="G879" r:id="rId1749" xr:uid="{F6658BE3-1D9F-45AD-8107-E1228563CBBD}"/>
    <hyperlink ref="S879" r:id="rId1750" xr:uid="{A6CA02ED-4F9F-4AB9-8337-56060EB193B4}"/>
    <hyperlink ref="G880" r:id="rId1751" xr:uid="{B8EDB84F-360D-4BA3-8D12-C33E4F17D59E}"/>
    <hyperlink ref="S880" r:id="rId1752" xr:uid="{F75E0622-EAB9-4045-9C6A-49B9C4FA2B4D}"/>
    <hyperlink ref="F882" r:id="rId1753" xr:uid="{BF21D8E6-214A-4C09-9F60-3C661C3FA23A}"/>
    <hyperlink ref="F883" r:id="rId1754" xr:uid="{4AA4F5C2-81DF-4CC5-883F-3B151F3C1711}"/>
    <hyperlink ref="S883" r:id="rId1755" xr:uid="{F1CD3391-3683-422B-BD30-37DC4FF584D7}"/>
    <hyperlink ref="G885" r:id="rId1756" xr:uid="{330942C6-EFAF-4106-BDD8-D9FD9E00035A}"/>
    <hyperlink ref="F887" r:id="rId1757" xr:uid="{E55D1543-DC5D-40CD-92F2-23FC34537A66}"/>
    <hyperlink ref="S887" r:id="rId1758" xr:uid="{3B78035E-8838-45AF-935A-CE7164B70C5C}"/>
    <hyperlink ref="F889" r:id="rId1759" xr:uid="{266CDBBD-2994-40E9-981B-5784FA874B33}"/>
    <hyperlink ref="F890" r:id="rId1760" xr:uid="{A647C069-2B70-4FD4-8BCD-2F7879ED4594}"/>
    <hyperlink ref="S890" r:id="rId1761" xr:uid="{C8B052C3-A07A-4B5C-9AC0-F6329C005545}"/>
    <hyperlink ref="F891" r:id="rId1762" xr:uid="{53F26311-D99D-423D-B787-0651DD6B73DD}"/>
    <hyperlink ref="S891" r:id="rId1763" xr:uid="{57B89021-ED82-4616-AEB9-6B8087B642AB}"/>
    <hyperlink ref="F892" r:id="rId1764" xr:uid="{248A2F0E-9CF6-470B-AA8F-288AAEE19516}"/>
    <hyperlink ref="S892" r:id="rId1765" xr:uid="{3B2494C8-AF84-419C-B333-D55726C40E99}"/>
    <hyperlink ref="F893" r:id="rId1766" xr:uid="{D58B7F72-0C80-4F13-858E-D548E133ADD6}"/>
    <hyperlink ref="G893" r:id="rId1767" xr:uid="{7435BDF6-C3B8-43EF-BA3E-7018DBB5E0A7}"/>
    <hyperlink ref="S893" r:id="rId1768" xr:uid="{F8E1AE4A-0C6A-48B1-AA3A-DDCE69695909}"/>
    <hyperlink ref="F894" r:id="rId1769" xr:uid="{AA02CCA4-6A0E-4C9A-89CA-64363737661B}"/>
    <hyperlink ref="F895" r:id="rId1770" xr:uid="{76528BFE-B5D6-4C85-855C-E1467DA64387}"/>
    <hyperlink ref="S895" r:id="rId1771" xr:uid="{0A197023-438A-4CBA-A9E8-AD3D29FCD86B}"/>
    <hyperlink ref="F896" r:id="rId1772" xr:uid="{1A6CB91B-F5B1-4ABD-B536-A5029176A8D8}"/>
    <hyperlink ref="G896" r:id="rId1773" xr:uid="{1555435E-60D4-4C6A-8F58-3035E0E67F95}"/>
    <hyperlink ref="S896" r:id="rId1774" xr:uid="{31D36663-C266-4435-AF41-F7B2316FA204}"/>
    <hyperlink ref="F897" r:id="rId1775" xr:uid="{E2440502-D3F4-4723-A169-C792F93FE72C}"/>
    <hyperlink ref="F898" r:id="rId1776" xr:uid="{7D98377F-4A72-4655-87A6-9CB2C3F59DAD}"/>
    <hyperlink ref="S899" r:id="rId1777" xr:uid="{0F11CE88-7503-42A5-96DB-4C21100CB64D}"/>
    <hyperlink ref="F900" r:id="rId1778" xr:uid="{E7F8E010-E164-4322-846E-99C8E29CC3F2}"/>
    <hyperlink ref="S900" r:id="rId1779" xr:uid="{7E3E7179-66B9-4CE5-973B-49F4DD609FD0}"/>
    <hyperlink ref="F901" r:id="rId1780" xr:uid="{316A1555-52B5-4458-A428-440BB8DC4B9F}"/>
    <hyperlink ref="S901" r:id="rId1781" xr:uid="{B8ADBBB1-864F-492A-8B2B-08460FC4D40A}"/>
    <hyperlink ref="F902" r:id="rId1782" xr:uid="{B76B1492-9CC6-4377-BE3B-F185155DBD02}"/>
    <hyperlink ref="G902" r:id="rId1783" xr:uid="{282EF1D0-A98A-445A-ACB2-0DEF6BDE8B4B}"/>
    <hyperlink ref="S902" r:id="rId1784" xr:uid="{1A03F5B0-3597-46CC-ACFC-19BA0D75056F}"/>
    <hyperlink ref="F904" r:id="rId1785" xr:uid="{B9B36CD9-8794-4FB1-9DDC-67E2CC11CF39}"/>
    <hyperlink ref="S904" r:id="rId1786" xr:uid="{821C4CF7-47FE-4186-989F-D3714359B8FB}"/>
    <hyperlink ref="F905" r:id="rId1787" xr:uid="{B6CE2E8B-6177-4DAF-9110-B8DCFFE16641}"/>
    <hyperlink ref="G905" r:id="rId1788" xr:uid="{035B9503-46F7-486D-824E-F719C3835767}"/>
    <hyperlink ref="S905" r:id="rId1789" xr:uid="{949F8AC3-0FEE-4B66-A2B7-4F65E57B3880}"/>
    <hyperlink ref="F906" r:id="rId1790" xr:uid="{EAB0513A-D942-4435-ACFD-E576A66FF88D}"/>
    <hyperlink ref="S906" r:id="rId1791" xr:uid="{33901D96-CAD5-4940-A993-A74DEF43C714}"/>
    <hyperlink ref="F907" r:id="rId1792" xr:uid="{8C84329C-DBED-4580-9AC6-4BD012721116}"/>
    <hyperlink ref="S907" r:id="rId1793" xr:uid="{0B4FB62B-483F-4B7B-B997-34D1E0E70246}"/>
    <hyperlink ref="F908" r:id="rId1794" xr:uid="{16146A55-440B-4A7E-A466-151AA3C6F302}"/>
    <hyperlink ref="S908" r:id="rId1795" xr:uid="{82422940-87A0-49F8-9A3B-1BBE4A21352B}"/>
    <hyperlink ref="F909" r:id="rId1796" xr:uid="{CE86432A-5FCB-4BD3-A05D-9F44484DDB0E}"/>
    <hyperlink ref="S909" r:id="rId1797" xr:uid="{CBBE3349-A503-4086-95C8-46AF07797BF4}"/>
    <hyperlink ref="S910" r:id="rId1798" xr:uid="{E9C1C2A5-88D5-498E-87C9-30208C1B3DB6}"/>
    <hyperlink ref="G911" r:id="rId1799" xr:uid="{92B2E414-08A4-4318-9018-32ED2A4E37BD}"/>
    <hyperlink ref="S911" r:id="rId1800" xr:uid="{337CF293-7119-4F54-9F1E-06B1056952DE}"/>
    <hyperlink ref="G912" r:id="rId1801" xr:uid="{002D88A6-510E-4F53-AB81-998A35BA6C09}"/>
    <hyperlink ref="S912" r:id="rId1802" xr:uid="{192D8D58-BC76-4878-B603-DC22EFAB1882}"/>
    <hyperlink ref="F913" r:id="rId1803" xr:uid="{EBBB9D73-B5DC-4F69-84E9-D919BCF7FCC3}"/>
    <hyperlink ref="S913" r:id="rId1804" xr:uid="{3974AB04-8BEC-4D7B-881E-9F6EAEFDC3FF}"/>
    <hyperlink ref="F914" r:id="rId1805" xr:uid="{7E1AB96E-5DBF-4E18-B814-5FF6670C9C6C}"/>
    <hyperlink ref="S914" r:id="rId1806" xr:uid="{C87AA65F-BA02-4258-85A1-DAD824FC12C4}"/>
    <hyperlink ref="F916" r:id="rId1807" xr:uid="{B55BB904-9BBA-4FDB-8CB1-764A1A84ECC1}"/>
    <hyperlink ref="G916" r:id="rId1808" xr:uid="{81C9759A-99DF-40A9-80D4-83C1E83393DF}"/>
    <hyperlink ref="S916" r:id="rId1809" xr:uid="{4CBF3BC4-1A95-4D3E-9E11-6D45C77311D9}"/>
    <hyperlink ref="G917" r:id="rId1810" xr:uid="{C285204D-184D-4E55-BDFF-2B3C8D02CE99}"/>
    <hyperlink ref="F918" r:id="rId1811" xr:uid="{1EB930EA-18C4-4B94-ABD9-A867296A344F}"/>
    <hyperlink ref="S918" r:id="rId1812" xr:uid="{642F64F1-7A28-4A78-B7A7-7BC4268C04FF}"/>
    <hyperlink ref="F920" r:id="rId1813" xr:uid="{4626243D-C175-4D1F-8155-B7DA4CE6A86D}"/>
    <hyperlink ref="G920" r:id="rId1814" xr:uid="{4C937F2B-16E2-4FBD-9FA1-D36AB76FC2D1}"/>
    <hyperlink ref="S920" r:id="rId1815" xr:uid="{520E40F4-1E6C-4A3B-A116-906510E14745}"/>
    <hyperlink ref="F923" r:id="rId1816" xr:uid="{62420EF7-9FCD-495F-875B-26EBECAFC8F0}"/>
    <hyperlink ref="S923" r:id="rId1817" xr:uid="{7D645FEF-90B6-4A08-8168-5EAD8365581F}"/>
    <hyperlink ref="C924" r:id="rId1818" xr:uid="{9498B2D1-02BA-43E2-979A-32AE9B4C9C25}"/>
    <hyperlink ref="F924" r:id="rId1819" xr:uid="{4B74F035-8CBB-4E43-BF69-F75C7D0F0EE0}"/>
    <hyperlink ref="S924" r:id="rId1820" xr:uid="{D8C5E3BF-DC69-4457-9292-B8E7992E2566}"/>
    <hyperlink ref="F925" r:id="rId1821" xr:uid="{73D17B9C-87A9-4001-A187-0F37E5220B0E}"/>
    <hyperlink ref="G925" r:id="rId1822" xr:uid="{5EF031D5-26CC-4765-8CA6-AF3F95B9DE40}"/>
    <hyperlink ref="S925" r:id="rId1823" xr:uid="{01A85630-E452-43BC-96F2-5F4EB0B6E01F}"/>
    <hyperlink ref="S926" r:id="rId1824" xr:uid="{902DB365-51C6-48FA-9978-5477030D6454}"/>
    <hyperlink ref="F927" r:id="rId1825" xr:uid="{D82D500B-932B-428A-B374-AF25DC02315F}"/>
    <hyperlink ref="S927" r:id="rId1826" xr:uid="{3C7CB270-BDD2-4830-A6D2-CE7400EE5E5C}"/>
    <hyperlink ref="F928" r:id="rId1827" xr:uid="{8876BD3C-8236-49E9-A488-F6610A34E8EF}"/>
    <hyperlink ref="G928" r:id="rId1828" xr:uid="{46C22C94-44C6-4CC8-97A3-B21AEEF983E6}"/>
    <hyperlink ref="F929" r:id="rId1829" xr:uid="{52181707-5837-400C-9510-F406506DBA32}"/>
    <hyperlink ref="S929" r:id="rId1830" xr:uid="{592BB9B3-BB74-4F1F-AA75-B9049BCBAD29}"/>
    <hyperlink ref="G930" r:id="rId1831" xr:uid="{AAE6ABDA-CE1A-4CBF-97ED-6715BCD26759}"/>
    <hyperlink ref="S930" r:id="rId1832" xr:uid="{DEBF8C1D-65B8-409A-AB39-F519DE4F4B5B}"/>
    <hyperlink ref="G931" r:id="rId1833" xr:uid="{83BFF976-5929-46EF-9977-84777CCE2FE5}"/>
    <hyperlink ref="S931" r:id="rId1834" xr:uid="{FE791121-079F-4C3B-8F34-57A1F258AF1E}"/>
    <hyperlink ref="F932" r:id="rId1835" xr:uid="{D6AD8795-7914-4F80-AE70-16C34E4F2CDC}"/>
    <hyperlink ref="G932" r:id="rId1836" xr:uid="{63331376-4078-4737-8300-58095DFE7695}"/>
    <hyperlink ref="S932" r:id="rId1837" xr:uid="{3A33950B-9C12-4184-B215-C8DBFB197C4D}"/>
    <hyperlink ref="S933" r:id="rId1838" xr:uid="{445E3739-57E8-43BE-9B92-98415FCD291F}"/>
    <hyperlink ref="S934" r:id="rId1839" xr:uid="{B476FC34-7BC0-4F77-A38D-450EBB135044}"/>
    <hyperlink ref="F936" r:id="rId1840" xr:uid="{066F7DB2-B0B6-4440-A543-0F9581A8C315}"/>
    <hyperlink ref="S936" r:id="rId1841" xr:uid="{8DEE1B09-9A0D-4D29-860A-936F2118F533}"/>
    <hyperlink ref="F937" r:id="rId1842" xr:uid="{28EE3386-C48D-479E-BA9C-195E8B2E2BB6}"/>
    <hyperlink ref="S937" r:id="rId1843" xr:uid="{042EB6B5-C8B5-403E-BDEE-5E9EA57A8F72}"/>
    <hyperlink ref="S938" r:id="rId1844" xr:uid="{6017F5B3-A86F-4EB8-B0B4-739F7D8B9161}"/>
    <hyperlink ref="S939" r:id="rId1845" xr:uid="{0C0099BE-386D-4D84-9545-E8FD6878186A}"/>
    <hyperlink ref="F940" r:id="rId1846" xr:uid="{23D8D984-800D-4D62-8BE5-63312B001BBF}"/>
    <hyperlink ref="S940" r:id="rId1847" xr:uid="{4BE4BC79-2FB8-4A53-9889-5A062936CBD8}"/>
    <hyperlink ref="F941" r:id="rId1848" xr:uid="{C1EF630F-F959-4287-8C67-FE2F291923FD}"/>
    <hyperlink ref="G941" r:id="rId1849" xr:uid="{300576EA-10D7-4DD2-9334-A4AA248EF87C}"/>
    <hyperlink ref="S941" r:id="rId1850" xr:uid="{E49CEAB1-8BCE-4AB4-A7F9-99366E59BDBC}"/>
    <hyperlink ref="G942" r:id="rId1851" xr:uid="{D6BAEAC5-B3A2-4BF6-BB14-15B078F4DFBE}"/>
    <hyperlink ref="S942" r:id="rId1852" xr:uid="{F7E09908-3C24-4B95-8A95-B2B482F01E5B}"/>
    <hyperlink ref="S943" r:id="rId1853" xr:uid="{EB4E2382-3669-48D7-B6FF-4E1E107C5C5F}"/>
    <hyperlink ref="F944" r:id="rId1854" xr:uid="{2164E0A9-6789-43CE-B154-67235B79C502}"/>
    <hyperlink ref="G945" r:id="rId1855" xr:uid="{6FD72882-5213-474D-9882-9A57C2C9F4B5}"/>
    <hyperlink ref="S945" r:id="rId1856" xr:uid="{E4DDD186-4A0A-49A8-8271-11095C210A0D}"/>
    <hyperlink ref="F946" r:id="rId1857" xr:uid="{F8BA12A5-F96E-469B-BF91-8C0EF583F915}"/>
    <hyperlink ref="G946" r:id="rId1858" xr:uid="{FE7A8FF8-E788-42EE-834A-998B41EBA304}"/>
    <hyperlink ref="F947" r:id="rId1859" xr:uid="{58FCEA0C-FB51-43C3-BB72-9710C61073AD}"/>
    <hyperlink ref="G947" r:id="rId1860" xr:uid="{66FCF4E7-53FB-471E-AB5A-3BC76409A3C8}"/>
    <hyperlink ref="S947" r:id="rId1861" xr:uid="{F3C0CB5E-3E43-46DB-A13B-B2A652410DDF}"/>
    <hyperlink ref="F948" r:id="rId1862" xr:uid="{795AAA06-314E-47DE-9F32-72EFBB3A5156}"/>
    <hyperlink ref="F949" r:id="rId1863" xr:uid="{952FB9E8-86ED-4195-A1CC-80850AF572E1}"/>
    <hyperlink ref="S949" r:id="rId1864" xr:uid="{4852E992-374A-4B6A-A422-1AA2AC841D7B}"/>
    <hyperlink ref="F950" r:id="rId1865" xr:uid="{9B1B91F3-9E82-493F-BA4B-E0BC2AA7E7CC}"/>
    <hyperlink ref="G950" r:id="rId1866" xr:uid="{51A5139D-4843-45A3-95F7-6185EF3FF1F9}"/>
    <hyperlink ref="S950" r:id="rId1867" xr:uid="{0EA15B37-C3C1-420E-A6B5-5C2046E385F9}"/>
    <hyperlink ref="F951" r:id="rId1868" xr:uid="{0A799C7A-A4C3-45EE-9BC3-2378C57EF998}"/>
    <hyperlink ref="G951" r:id="rId1869" xr:uid="{C20665CB-464E-450E-A0AF-A509145A66FD}"/>
    <hyperlink ref="S951" r:id="rId1870" xr:uid="{7E8C1268-9252-41DF-B2AA-1F9D220ED598}"/>
    <hyperlink ref="F952" r:id="rId1871" xr:uid="{7998268C-B212-489F-B041-CF3ECE4C878F}"/>
    <hyperlink ref="S952" r:id="rId1872" xr:uid="{FE65F035-E031-49D4-997F-BDC63943C081}"/>
    <hyperlink ref="F953" r:id="rId1873" xr:uid="{4F5F9A5C-5C3A-4208-A9DB-EE1B2D3FBED3}"/>
    <hyperlink ref="G953" r:id="rId1874" xr:uid="{6758BD13-010D-4648-AD1C-BD7667AC132A}"/>
    <hyperlink ref="S953" r:id="rId1875" xr:uid="{DB3B22E7-80A5-4D3F-B1D1-C87D756776B3}"/>
    <hyperlink ref="G954" r:id="rId1876" xr:uid="{C3A76065-2E34-4BFD-9571-478D03D1CED6}"/>
    <hyperlink ref="S954" r:id="rId1877" xr:uid="{DB0B8B77-C8E2-4F07-BCD0-7E54AB14868B}"/>
    <hyperlink ref="F955" r:id="rId1878" xr:uid="{EF2C28F6-567E-437C-BAFC-5CB5B78B0823}"/>
    <hyperlink ref="G955" r:id="rId1879" xr:uid="{2EA103E0-3B85-4876-A661-ACDE77D982EF}"/>
    <hyperlink ref="F956" r:id="rId1880" xr:uid="{BF6136FA-5E08-49BB-ADF5-1CC992E54332}"/>
    <hyperlink ref="G957" r:id="rId1881" xr:uid="{D8A52B5C-8B80-48DA-8960-421579139FDC}"/>
    <hyperlink ref="S957" r:id="rId1882" xr:uid="{BA58DA11-BAFF-438D-BB9C-18BAF72D8030}"/>
    <hyperlink ref="F958" r:id="rId1883" xr:uid="{5CFCBBCE-FE98-42D1-B728-6AF962E0DDB4}"/>
    <hyperlink ref="S958" r:id="rId1884" xr:uid="{F7FB22C8-8DB1-4B30-AE6A-9832F26308DD}"/>
    <hyperlink ref="F959" r:id="rId1885" xr:uid="{273A19EF-B230-41AC-BD20-96496962273E}"/>
    <hyperlink ref="G959" r:id="rId1886" xr:uid="{8FE1E64F-1D11-4B14-8C67-66041B9182EE}"/>
    <hyperlink ref="F960" r:id="rId1887" xr:uid="{68029AC8-626E-47D7-8F39-9CB518233448}"/>
    <hyperlink ref="S960" r:id="rId1888" xr:uid="{01A36332-CA06-4A2E-ACEC-959397A12FDC}"/>
    <hyperlink ref="S961" r:id="rId1889" xr:uid="{465AD2CB-C9DF-49C0-999E-38735ECB7025}"/>
    <hyperlink ref="F962" r:id="rId1890" xr:uid="{74C0796C-3C8B-4C0A-B539-46B33F5C2E14}"/>
    <hyperlink ref="G962" r:id="rId1891" xr:uid="{796A7A83-D6BC-4D69-9B0B-733224D05FD4}"/>
    <hyperlink ref="S962" r:id="rId1892" xr:uid="{6BE43A36-E1D1-4600-8B72-45160D7A9329}"/>
    <hyperlink ref="G963" r:id="rId1893" xr:uid="{68F7E0C7-2E0F-4E28-8980-D07E04716B0E}"/>
    <hyperlink ref="S963" r:id="rId1894" xr:uid="{499D94D9-CA50-434C-ABD0-6F8A0C134485}"/>
    <hyperlink ref="F964" r:id="rId1895" xr:uid="{FBB28B07-C08C-43DE-B891-DA8F65935C9A}"/>
    <hyperlink ref="S964" r:id="rId1896" xr:uid="{0BBD2F82-AF2E-41A4-A505-6D2A0697DB1F}"/>
    <hyperlink ref="F965" r:id="rId1897" xr:uid="{8DFF1172-80E4-44DF-86F9-C63C64DBBD80}"/>
    <hyperlink ref="S965" r:id="rId1898" xr:uid="{2E099AE1-4DD6-48CB-A1EF-32CE8A3D3181}"/>
    <hyperlink ref="F966" r:id="rId1899" xr:uid="{B6F4C3E2-EBF6-44DA-B87C-1AF50F28E7EA}"/>
    <hyperlink ref="G966" r:id="rId1900" xr:uid="{C5A32213-1226-4D8F-900B-C0BE558E9CC5}"/>
    <hyperlink ref="S966" r:id="rId1901" xr:uid="{AE4E780E-B530-4107-8F36-092589136A2D}"/>
    <hyperlink ref="F967" r:id="rId1902" xr:uid="{0E40FC9D-485C-45AF-AB83-646B69B6633D}"/>
    <hyperlink ref="G967" r:id="rId1903" xr:uid="{31157612-B4FC-4FD6-A3D6-BE9095A18B8A}"/>
    <hyperlink ref="S967" r:id="rId1904" xr:uid="{F92B704D-E23C-4662-AC08-0C555A3C5D36}"/>
    <hyperlink ref="F968" r:id="rId1905" xr:uid="{11F28B36-1448-4959-A52B-8ED1ECD0E278}"/>
    <hyperlink ref="G968" r:id="rId1906" xr:uid="{10043CF2-34FA-43F0-83BF-3E961AF1E775}"/>
    <hyperlink ref="G969" r:id="rId1907" xr:uid="{ADB916F0-3130-40A1-8AE8-D773FFA2A35A}"/>
    <hyperlink ref="S969" r:id="rId1908" xr:uid="{74351B33-F01B-49C7-87F4-E39347673FBA}"/>
    <hyperlink ref="F970" r:id="rId1909" xr:uid="{C99954CF-F0F3-42A6-9B64-67881E18CC8A}"/>
    <hyperlink ref="F971" r:id="rId1910" xr:uid="{B6E7A502-EC34-4E18-AD82-7BAA47588838}"/>
    <hyperlink ref="S971" r:id="rId1911" xr:uid="{BB2E13B4-E387-4186-8A41-77A0C5F50BAC}"/>
    <hyperlink ref="F972" r:id="rId1912" xr:uid="{94C64A40-5F0D-4555-A6C2-78621E21A4F4}"/>
    <hyperlink ref="F973" r:id="rId1913" xr:uid="{292D9DEB-D397-4849-83E4-84D4E4BEC735}"/>
    <hyperlink ref="G973" r:id="rId1914" xr:uid="{C864D641-5DA6-4D7D-823A-03A8E0316B9C}"/>
    <hyperlink ref="S973" r:id="rId1915" xr:uid="{DD63ACAB-4BC9-4BDA-89F2-FB7EF2513A9D}"/>
    <hyperlink ref="F974" r:id="rId1916" xr:uid="{EB20C378-BD0F-4F24-8E4F-E885D63EB4CA}"/>
    <hyperlink ref="G974" r:id="rId1917" xr:uid="{FF7F4150-1A30-4B3E-9811-22871A2CEDA7}"/>
    <hyperlink ref="S974" r:id="rId1918" xr:uid="{18738B8B-C3B1-4424-9C10-F0C2324B3282}"/>
    <hyperlink ref="F976" r:id="rId1919" xr:uid="{889DD375-F7C5-4542-9B24-FD7C2AEE8594}"/>
    <hyperlink ref="S976" r:id="rId1920" xr:uid="{F4EA84BC-6827-4DD1-9E07-D1D993C2EA16}"/>
    <hyperlink ref="F977" r:id="rId1921" xr:uid="{EB6255D2-4498-4455-A17F-9FF538A76E44}"/>
    <hyperlink ref="G977" r:id="rId1922" xr:uid="{CBA0E9CF-B85E-4E3F-83E9-B0330A621EBB}"/>
    <hyperlink ref="S977" r:id="rId1923" xr:uid="{91FA3882-BE2F-42DD-89EF-A3D565AF5104}"/>
    <hyperlink ref="F978" r:id="rId1924" xr:uid="{765C75D2-3B62-4002-9720-6909576E92AA}"/>
    <hyperlink ref="G978" r:id="rId1925" xr:uid="{62B68C0A-07AB-4B4E-BAE9-CBDB469D4694}"/>
    <hyperlink ref="S978" r:id="rId1926" xr:uid="{2219812D-1C39-4833-BDC9-898E1F64E5B0}"/>
    <hyperlink ref="F979" r:id="rId1927" xr:uid="{06DFC920-BD95-4C7A-B137-1CCB1E40525D}"/>
    <hyperlink ref="G979" r:id="rId1928" xr:uid="{E653DB51-4AA8-4925-A3C2-06BCBDBDE610}"/>
    <hyperlink ref="S979" r:id="rId1929" xr:uid="{19D0D8FD-8C5F-41D7-AD0F-201B24B5BC14}"/>
    <hyperlink ref="F980" r:id="rId1930" xr:uid="{FDFDCEA4-8351-49FA-870E-AA7173C97F4E}"/>
    <hyperlink ref="G980" r:id="rId1931" xr:uid="{E04AC26D-37E8-4553-BB6F-C8C053BDDD06}"/>
    <hyperlink ref="F981" r:id="rId1932" xr:uid="{F58E5560-65C7-4786-B788-880F7C5A8AF4}"/>
    <hyperlink ref="G981" r:id="rId1933" xr:uid="{1E84F1C4-EC4E-4F9F-BFA4-A10774A2C629}"/>
    <hyperlink ref="S981" r:id="rId1934" xr:uid="{5A7D2CD5-4744-475E-9C60-AED56E9D0028}"/>
    <hyperlink ref="F982" r:id="rId1935" xr:uid="{9489051B-7A5A-4DFE-9CA6-188A145FEC62}"/>
    <hyperlink ref="S982" r:id="rId1936" xr:uid="{D60882FD-8E2B-4A0C-B82F-2C6DA490F7FC}"/>
    <hyperlink ref="G983" r:id="rId1937" xr:uid="{CC229A84-3B37-42BD-B503-6894A2412B79}"/>
    <hyperlink ref="S983" r:id="rId1938" xr:uid="{416CDB83-1FDB-4D3F-84D9-917DCA0B25D4}"/>
    <hyperlink ref="F984" r:id="rId1939" xr:uid="{5D869AE9-0980-4418-988C-C7319CE3E38C}"/>
    <hyperlink ref="S984" r:id="rId1940" xr:uid="{0DA0B767-C0FF-4F11-9BC1-5E7CF239F238}"/>
    <hyperlink ref="F985" r:id="rId1941" xr:uid="{B0918224-A3BB-45CD-9B02-3637497C06E4}"/>
    <hyperlink ref="G985" r:id="rId1942" xr:uid="{DD9F4170-6720-4D65-88B3-D465F7255E9A}"/>
    <hyperlink ref="S985" r:id="rId1943" xr:uid="{7471B2AF-00A1-4904-9C4D-9990237012D9}"/>
    <hyperlink ref="F986" r:id="rId1944" xr:uid="{87A134F1-365C-40D2-9835-1A0A7A05D2E7}"/>
    <hyperlink ref="G986" r:id="rId1945" xr:uid="{792A7186-1605-42D6-9BAD-35539D923377}"/>
    <hyperlink ref="S986" r:id="rId1946" xr:uid="{632BBF81-7713-4989-997F-C555A0EB0024}"/>
    <hyperlink ref="F987" r:id="rId1947" xr:uid="{5F258FC9-6FE5-43BE-A60F-984E5056885A}"/>
    <hyperlink ref="S987" r:id="rId1948" xr:uid="{D114E4BE-2461-49CE-9CD0-2310BA0B901F}"/>
    <hyperlink ref="S988" r:id="rId1949" xr:uid="{EC488E17-094C-4035-B6A6-FE9627F98F83}"/>
    <hyperlink ref="F990" r:id="rId1950" xr:uid="{EF0D2F8F-6A5C-4CC0-BE2F-E1D13DE4EAA3}"/>
    <hyperlink ref="S990" r:id="rId1951" xr:uid="{9F6E9C93-92E6-4E6B-B383-0AB88F3A7BE8}"/>
    <hyperlink ref="C991" r:id="rId1952" xr:uid="{D4EA523C-7D32-465B-8B83-821F290B8401}"/>
    <hyperlink ref="F991" r:id="rId1953" xr:uid="{2D60D3B6-8C98-41E1-9EF4-8B6E8A1532C3}"/>
    <hyperlink ref="G991" r:id="rId1954" xr:uid="{241D2A03-B412-49C2-ADE7-039D6D7ACF7E}"/>
    <hyperlink ref="S991" r:id="rId1955" xr:uid="{165DE5CA-FE50-4ADB-853F-A1E16C071A15}"/>
    <hyperlink ref="F992" r:id="rId1956" xr:uid="{ABC423E1-D966-44DB-B5BB-A9E48BA48439}"/>
    <hyperlink ref="S992" r:id="rId1957" xr:uid="{15AD16BA-1986-464C-BF05-6E0789CC773E}"/>
    <hyperlink ref="F993" r:id="rId1958" xr:uid="{0D1E1F65-1863-4878-8918-B127F6890CC6}"/>
    <hyperlink ref="G993" r:id="rId1959" xr:uid="{1809046E-0C10-4756-A063-C64E7DD23067}"/>
    <hyperlink ref="S993" r:id="rId1960" xr:uid="{810C4129-DA80-45F3-8114-9D3DEE8B8E25}"/>
    <hyperlink ref="G994" r:id="rId1961" xr:uid="{14A23B0D-B35D-4EFD-B7EB-EA100814519E}"/>
    <hyperlink ref="G995" r:id="rId1962" xr:uid="{A1DAA6B1-27FD-472E-9A4E-94C0F0E4F18D}"/>
    <hyperlink ref="S995" r:id="rId1963" xr:uid="{C326BC0A-E1E8-4775-92C6-E83495CDA713}"/>
    <hyperlink ref="F996" r:id="rId1964" xr:uid="{78E7C9CA-3E7D-40E2-8119-32458752A3B5}"/>
    <hyperlink ref="F997" r:id="rId1965" xr:uid="{4CC44BD5-8871-467A-BF39-5C9819D40AE1}"/>
    <hyperlink ref="G997" r:id="rId1966" xr:uid="{E3FD75ED-4F4F-4C00-8EE7-71235BA05AB2}"/>
    <hyperlink ref="S997" r:id="rId1967" xr:uid="{CDF66C29-BD2C-478C-A0A4-A1C9D4A6AE63}"/>
    <hyperlink ref="G998" r:id="rId1968" xr:uid="{5CD74864-BCE2-439C-879F-5108F762FCAE}"/>
    <hyperlink ref="S998" r:id="rId1969" xr:uid="{795EB377-E148-4FA8-BB08-424CD5FE40DE}"/>
    <hyperlink ref="G999" r:id="rId1970" xr:uid="{119860C4-7177-44AE-80D4-776B5011F825}"/>
    <hyperlink ref="S999" r:id="rId1971" xr:uid="{B13BC56A-91DC-437D-B010-6CDFCD5CD321}"/>
    <hyperlink ref="G1000" r:id="rId1972" xr:uid="{6FD2691D-8D4E-4330-B9F6-ACF0039BDE4D}"/>
    <hyperlink ref="S1000" r:id="rId1973" xr:uid="{51986331-3E1A-46C2-810F-7A632498C5BF}"/>
    <hyperlink ref="F1001" r:id="rId1974" xr:uid="{E1BB8F36-CFE8-4D62-8574-E4C1D0F733F4}"/>
    <hyperlink ref="G1001" r:id="rId1975" xr:uid="{205F3E45-FD60-49D5-9D09-45DE2D144FA8}"/>
    <hyperlink ref="S1001" r:id="rId1976" xr:uid="{D3458940-AA9E-4302-B1D4-CA024D90A041}"/>
    <hyperlink ref="F1002" r:id="rId1977" xr:uid="{2318BE20-44B0-4394-AE3D-7A7795093F67}"/>
    <hyperlink ref="S1002" r:id="rId1978" xr:uid="{D3713738-04BF-47A0-9469-4B039DD83FBF}"/>
    <hyperlink ref="G1003" r:id="rId1979" xr:uid="{03B31CE3-8C2F-46C4-AB1C-24D9E7E99495}"/>
    <hyperlink ref="S1003" r:id="rId1980" xr:uid="{1D8AF633-EAFA-49FF-8FB9-6610170EC1D0}"/>
    <hyperlink ref="F1004" r:id="rId1981" xr:uid="{AE222161-0428-446F-B56B-9AD0841F6A6C}"/>
    <hyperlink ref="G1004" r:id="rId1982" xr:uid="{3C73AC3C-C6C2-4CCC-86B3-DF833E3C77AA}"/>
    <hyperlink ref="S1004" r:id="rId1983" xr:uid="{26F93427-AF2F-492C-8E7A-FECB10A94413}"/>
    <hyperlink ref="G1005" r:id="rId1984" xr:uid="{D85C900F-18B2-4D39-883F-49E5516E22AB}"/>
    <hyperlink ref="S1005" r:id="rId1985" xr:uid="{A26F529F-DFDE-4CD3-9AE1-4CB7DE7FC0AD}"/>
    <hyperlink ref="F1006" r:id="rId1986" xr:uid="{5886102D-3F43-4FF0-8373-FD408984538E}"/>
    <hyperlink ref="S1006" r:id="rId1987" xr:uid="{B6A32B17-BD5F-4085-A1E7-80D818E28E01}"/>
    <hyperlink ref="F1007" r:id="rId1988" xr:uid="{A0317AF6-EBA8-49FD-BD2A-9BC4993BD489}"/>
    <hyperlink ref="G1007" r:id="rId1989" xr:uid="{28FB7BBA-BFDB-4DAC-956D-CC53B2738B30}"/>
    <hyperlink ref="S1007" r:id="rId1990" xr:uid="{550CB2B2-2AB6-4784-882D-1E19BAD56437}"/>
    <hyperlink ref="G1008" r:id="rId1991" xr:uid="{CE385DD8-A59C-4CEF-B1C5-AD162CED67E5}"/>
    <hyperlink ref="F1010" r:id="rId1992" xr:uid="{322872C5-1033-4399-A72B-CD7AA4F03410}"/>
    <hyperlink ref="S1010" r:id="rId1993" xr:uid="{47F8223A-7562-464B-8899-687340530D72}"/>
    <hyperlink ref="F1011" r:id="rId1994" xr:uid="{72B2E4BB-F2E6-4243-925B-655D80028490}"/>
    <hyperlink ref="S1011" r:id="rId1995" xr:uid="{809C02FC-ACF8-42FD-8E67-D94D94573446}"/>
    <hyperlink ref="G1012" r:id="rId1996" xr:uid="{6D1CF52D-8B69-4FB2-BFF4-574233981F48}"/>
    <hyperlink ref="F1013" r:id="rId1997" xr:uid="{0774D29F-12A4-4F2A-8A07-AE9E0CF3E5DA}"/>
    <hyperlink ref="G1013" r:id="rId1998" xr:uid="{0948C4DB-8DF2-43E9-A65B-04B0E3AFACE2}"/>
    <hyperlink ref="F1014" r:id="rId1999" xr:uid="{16F4B1BA-4E1F-4B83-A1BC-F7B0C04FFD42}"/>
    <hyperlink ref="G1014" r:id="rId2000" xr:uid="{7B253C97-5A84-474E-9422-62FF17362A82}"/>
    <hyperlink ref="S1014" r:id="rId2001" xr:uid="{7A167592-F15C-4288-8188-CAF57F20669C}"/>
    <hyperlink ref="F1015" r:id="rId2002" xr:uid="{E0609D25-8208-469D-BD4D-41FE99C6F328}"/>
    <hyperlink ref="F1016" r:id="rId2003" xr:uid="{DEB4DAED-A574-4417-80ED-57ED56151482}"/>
    <hyperlink ref="G1016" r:id="rId2004" xr:uid="{06BD6984-44AA-4291-A974-578D2DEA24DC}"/>
    <hyperlink ref="S1016" r:id="rId2005" xr:uid="{CAA5C209-E092-432E-98C8-92BD91348FA3}"/>
    <hyperlink ref="F1017" r:id="rId2006" xr:uid="{B6EAF969-4C32-436E-98E0-0A0813F68826}"/>
    <hyperlink ref="G1017" r:id="rId2007" xr:uid="{A96162DB-BB56-49C5-BA76-7DE8611FD52F}"/>
    <hyperlink ref="S1017" r:id="rId2008" xr:uid="{B90423C0-FC34-4402-803B-F7F1284BB47E}"/>
    <hyperlink ref="F1018" r:id="rId2009" xr:uid="{820F02A3-BE5B-4A5F-8594-B9CC9A222A74}"/>
    <hyperlink ref="S1018" r:id="rId2010" xr:uid="{B1B8F07C-8DBB-4B6F-B121-8B445F7DEC2E}"/>
    <hyperlink ref="F1019" r:id="rId2011" xr:uid="{F683E1CF-A718-4F16-B986-1AF0D7E254A0}"/>
    <hyperlink ref="F1020" r:id="rId2012" xr:uid="{D84ED702-C663-457D-9C14-44D8842EB752}"/>
    <hyperlink ref="S1020" r:id="rId2013" xr:uid="{EEB0C80D-826E-4453-B6CA-B227B020A295}"/>
    <hyperlink ref="F1021" r:id="rId2014" xr:uid="{A819972C-7363-4880-8984-3A10914B6D36}"/>
    <hyperlink ref="G1021" r:id="rId2015" xr:uid="{995C53ED-3DEC-469B-B33E-1B2DB6933F7D}"/>
    <hyperlink ref="S1021" r:id="rId2016" xr:uid="{871D616A-41BC-4BA5-8899-85D0487A1B20}"/>
    <hyperlink ref="F1022" r:id="rId2017" xr:uid="{3AE6847B-5DE9-4E6D-ABAD-AA24E844F044}"/>
    <hyperlink ref="S1022" r:id="rId2018" xr:uid="{1BF4D583-80CD-4A33-B324-E0A0825EA3B6}"/>
    <hyperlink ref="F1023" r:id="rId2019" xr:uid="{26E18413-9566-4346-8C1D-75B44C7CA448}"/>
    <hyperlink ref="S1023" r:id="rId2020" xr:uid="{2EAC48EE-CAC5-46A8-8B2B-3D80865743FF}"/>
    <hyperlink ref="F1024" r:id="rId2021" xr:uid="{928D3F73-FA86-47C0-B963-6E2D29123E1D}"/>
    <hyperlink ref="F1025" r:id="rId2022" xr:uid="{D2C65FA9-3AE4-4FB9-87DA-23ACE773C361}"/>
    <hyperlink ref="S1025" r:id="rId2023" xr:uid="{E97149F6-886A-42B6-BA5A-9D5C92A89D10}"/>
    <hyperlink ref="F1026" r:id="rId2024" xr:uid="{52CF1E11-A343-4CEF-B464-0A48B91ADDF5}"/>
    <hyperlink ref="S1026" r:id="rId2025" xr:uid="{BAA3008E-6DE3-4CD0-9009-41963B471474}"/>
    <hyperlink ref="F1027" r:id="rId2026" xr:uid="{B5AC1416-EA32-4F1F-BB33-4793E4798F88}"/>
    <hyperlink ref="G1027" r:id="rId2027" xr:uid="{F52E8FCC-53EA-4DDE-9176-2C95E4CC7D48}"/>
    <hyperlink ref="S1027" r:id="rId2028" xr:uid="{F0261B38-948D-4992-BAB4-6425400C78B5}"/>
    <hyperlink ref="F1028" r:id="rId2029" xr:uid="{5661814E-586E-4DC8-9247-2E387C4B9795}"/>
    <hyperlink ref="S1028" r:id="rId2030" xr:uid="{EFA269B2-A06A-4DE5-9FAE-95E8939E3B12}"/>
    <hyperlink ref="F1029" r:id="rId2031" xr:uid="{E7CD1A65-7892-4119-BFFA-64A6C06D950B}"/>
    <hyperlink ref="G1029" r:id="rId2032" xr:uid="{9F7DC03E-A220-4BF8-B02A-5196302F9CD7}"/>
    <hyperlink ref="S1029" r:id="rId2033" xr:uid="{94526104-CBEB-4740-8F89-B9F6C12CD828}"/>
    <hyperlink ref="G1030" r:id="rId2034" xr:uid="{A30DE807-E835-453A-83B1-097AD933A9AA}"/>
    <hyperlink ref="S1030" r:id="rId2035" xr:uid="{2D264683-0027-4253-A603-3D96A01972E3}"/>
    <hyperlink ref="F1031" r:id="rId2036" xr:uid="{B98FB983-2F96-420C-9EC4-9FAA7E13AC2E}"/>
    <hyperlink ref="S1031" r:id="rId2037" xr:uid="{940003D8-2FDD-4CB7-824A-FE129EB6FC2F}"/>
    <hyperlink ref="F1032" r:id="rId2038" xr:uid="{71152CA5-D03D-45D5-B7B7-AA50A01892E6}"/>
    <hyperlink ref="S1032" r:id="rId2039" xr:uid="{B749856D-B185-437D-9FB3-392E0C08A70C}"/>
    <hyperlink ref="G1033" r:id="rId2040" xr:uid="{04EA64B2-9A5F-48F4-BCD2-21D48B63C97D}"/>
    <hyperlink ref="F1035" r:id="rId2041" xr:uid="{5592EAC2-9459-4ADD-A06F-BCF6D9A96C45}"/>
    <hyperlink ref="S1036" r:id="rId2042" xr:uid="{855169CB-4921-4CFC-8A72-C119C31F5225}"/>
    <hyperlink ref="G1037" r:id="rId2043" xr:uid="{D774CE92-06C1-44D3-9CC1-B7F598B3355B}"/>
    <hyperlink ref="S1037" r:id="rId2044" xr:uid="{7F03D50B-546F-4590-A9D4-D334CD97212C}"/>
    <hyperlink ref="F1038" r:id="rId2045" xr:uid="{4DF1DC10-DBB6-4BEE-9E43-E8E7099FA375}"/>
    <hyperlink ref="S1038" r:id="rId2046" xr:uid="{4DC65F5D-9463-4C74-9E36-0F0200BA8EE8}"/>
    <hyperlink ref="F1039" r:id="rId2047" xr:uid="{07FCA2EB-9D59-4C5F-BECB-E5F22AB98BE4}"/>
    <hyperlink ref="G1039" r:id="rId2048" xr:uid="{9C226251-F927-4270-85C0-725DC1A780A5}"/>
    <hyperlink ref="G1040" r:id="rId2049" xr:uid="{1B1AB9D6-EDFC-4F97-8E2F-3037BF95B8C5}"/>
    <hyperlink ref="S1040" r:id="rId2050" xr:uid="{BBA8965B-BB14-48A5-99B7-6476F2A96C97}"/>
    <hyperlink ref="F1041" r:id="rId2051" xr:uid="{9C5193D8-5E93-4EAE-89FC-F8400B64E3DE}"/>
    <hyperlink ref="S1041" r:id="rId2052" xr:uid="{8333F08C-C0F8-4C62-BA65-0C8992E5ED15}"/>
    <hyperlink ref="F1042" r:id="rId2053" xr:uid="{BE1E4268-E7BE-4885-A3D6-8FB168925F01}"/>
    <hyperlink ref="S1042" r:id="rId2054" xr:uid="{01904BDE-4FB2-422B-B10D-00C0C13C2D8C}"/>
    <hyperlink ref="F1043" r:id="rId2055" xr:uid="{88CB66FE-48AC-4D7C-85EE-45BDFC20B7AC}"/>
    <hyperlink ref="G1043" r:id="rId2056" xr:uid="{58EC0761-B01A-4471-B845-72A2B0838401}"/>
    <hyperlink ref="S1043" r:id="rId2057" xr:uid="{ABA179A6-FA00-41DE-B30C-225E0D93107D}"/>
    <hyperlink ref="F1044" r:id="rId2058" xr:uid="{0F2CE078-1BBE-4C9A-A6A6-88CCE5C68294}"/>
    <hyperlink ref="S1044" r:id="rId2059" xr:uid="{8FC2FAA4-0FD4-4F1E-8F99-1BA32278A012}"/>
    <hyperlink ref="F1045" r:id="rId2060" xr:uid="{84049A6E-1335-48FA-943C-F479EBD3EE20}"/>
    <hyperlink ref="F1046" r:id="rId2061" xr:uid="{59C76718-6292-4C0B-845C-8E0F8372CC71}"/>
    <hyperlink ref="G1046" r:id="rId2062" xr:uid="{0F81E857-F624-464F-97B1-B5BCEB14BE40}"/>
    <hyperlink ref="S1046" r:id="rId2063" xr:uid="{4929AF0A-D1A8-4685-943A-9BEECAAB4358}"/>
    <hyperlink ref="G1047" r:id="rId2064" xr:uid="{A5C85FD9-C67C-4A6B-B86F-3ABB9C1DC7FD}"/>
    <hyperlink ref="S1047" r:id="rId2065" xr:uid="{12BBC607-7FBB-4C1B-B6CF-9933F4C3CB0F}"/>
    <hyperlink ref="F1048" r:id="rId2066" xr:uid="{D6C013C2-0A62-4E08-BB9B-21FF232CA2EC}"/>
    <hyperlink ref="S1048" r:id="rId2067" xr:uid="{228C587E-99AC-4746-9134-190F7AE7DD36}"/>
    <hyperlink ref="G1049" r:id="rId2068" xr:uid="{E4FCAB6B-17E7-463B-835C-0C70EF021C4F}"/>
    <hyperlink ref="S1050" r:id="rId2069" xr:uid="{63184704-86DC-44B0-8635-76E95D30F864}"/>
    <hyperlink ref="F1051" r:id="rId2070" xr:uid="{945F1250-6EE7-4BCB-9B5C-F78BE0FEDEE8}"/>
    <hyperlink ref="S1051" r:id="rId2071" xr:uid="{5EF51048-439D-4121-8340-D1717DC3EBF2}"/>
    <hyperlink ref="F1052" r:id="rId2072" xr:uid="{7934ACB2-3B1A-4208-B4FE-3FE5B41C09E5}"/>
    <hyperlink ref="S1052" r:id="rId2073" xr:uid="{DA4547BF-25CE-44EA-B0D9-0FB10D4402B7}"/>
    <hyperlink ref="F1053" r:id="rId2074" xr:uid="{75341707-E8EE-411D-8592-B83235757A11}"/>
    <hyperlink ref="S1053" r:id="rId2075" xr:uid="{B68EC07B-09DE-4545-971B-C3BF50C64533}"/>
    <hyperlink ref="F1054" r:id="rId2076" xr:uid="{B377868A-59D3-423F-9FAD-667A9F35D7AD}"/>
    <hyperlink ref="F1055" r:id="rId2077" xr:uid="{95068842-772C-408E-8986-B08228A5C565}"/>
    <hyperlink ref="F1056" r:id="rId2078" xr:uid="{EC4F940F-3E44-45E5-B230-A4BDCCBE51E3}"/>
    <hyperlink ref="F1057" r:id="rId2079" xr:uid="{B2773327-0BB1-453A-B869-C42F289AB2EC}"/>
    <hyperlink ref="F1058" r:id="rId2080" xr:uid="{68898B7E-9D03-4914-AD8E-224A4E99265B}"/>
    <hyperlink ref="F1059" r:id="rId2081" xr:uid="{2745B57B-F58E-4A59-8DBA-55B82BCD8336}"/>
    <hyperlink ref="G1059" r:id="rId2082" xr:uid="{4605D2A1-3E90-4AEE-86AD-7860F91AC713}"/>
    <hyperlink ref="F1060" r:id="rId2083" xr:uid="{7B046D68-98A9-4A3C-9CC9-B0D2EB9979AF}"/>
    <hyperlink ref="G1060" r:id="rId2084" xr:uid="{F83B910E-1CF8-4279-BB66-BD676A604DFE}"/>
    <hyperlink ref="S1060" r:id="rId2085" xr:uid="{62497FF8-F9F9-4083-9718-7E7388D185F7}"/>
    <hyperlink ref="F1061" r:id="rId2086" location="ftag=CAD590a51e" xr:uid="{139A4650-3000-4FBF-B633-9502E236BB7E}"/>
    <hyperlink ref="G1061" r:id="rId2087" xr:uid="{5B1B79F7-866B-49F8-A53B-DDD7949D5BA6}"/>
    <hyperlink ref="S1061" r:id="rId2088" xr:uid="{1F22F870-2694-48B0-999C-067F8CE41D98}"/>
    <hyperlink ref="F1062" r:id="rId2089" xr:uid="{9BC6448B-137B-4863-B010-ECDA2A5A44CC}"/>
    <hyperlink ref="F1063" r:id="rId2090" xr:uid="{B5768F17-EE89-4927-8A2F-56E598096D38}"/>
    <hyperlink ref="S1065" r:id="rId2091" xr:uid="{FD38C956-3EAB-43BF-999B-16852CB1B587}"/>
    <hyperlink ref="S1067" r:id="rId2092" xr:uid="{D86BD19D-FCBE-4C4F-8CCB-23B855E40DBD}"/>
    <hyperlink ref="F1068" r:id="rId2093" xr:uid="{078FEF3A-A866-4FCC-A7B7-8EE502393B8E}"/>
    <hyperlink ref="S1068" r:id="rId2094" xr:uid="{4FE0B231-8F42-4C7C-A720-9188E31A212A}"/>
    <hyperlink ref="F1069" r:id="rId2095" xr:uid="{AD38D1FA-4EFD-486D-9833-C8E8FD163704}"/>
    <hyperlink ref="S1069" r:id="rId2096" xr:uid="{8172FEF6-5D68-4D91-AE57-F1FCA09A08D5}"/>
    <hyperlink ref="F1070" r:id="rId2097" xr:uid="{C6B847C6-DDEB-4730-8BA5-A465697FC3A1}"/>
    <hyperlink ref="S1070" r:id="rId2098" xr:uid="{FB83BF70-7681-445A-805F-2C61B43DB229}"/>
    <hyperlink ref="G1071" r:id="rId2099" xr:uid="{B1627C1F-D660-43B5-AB43-B141BE6B68AC}"/>
    <hyperlink ref="C1072" r:id="rId2100" xr:uid="{31A5DF3A-2AC9-4E34-9480-F1C49A77CA81}"/>
    <hyperlink ref="F1072" r:id="rId2101" xr:uid="{92CB218B-792E-42C1-9702-F842C650B54A}"/>
    <hyperlink ref="S1072" r:id="rId2102" xr:uid="{6ADC25E7-CDDD-4CCB-ADDB-ACA42075C2E8}"/>
    <hyperlink ref="G1073" r:id="rId2103" xr:uid="{EA93E12D-D11A-434A-B174-7AA45F794C7C}"/>
    <hyperlink ref="S1073" r:id="rId2104" xr:uid="{150D5AA7-9973-47D7-8CC3-8DC98E4E864B}"/>
    <hyperlink ref="F1074" r:id="rId2105" xr:uid="{D65B9949-474E-4B3A-A5E1-ED552CFE0505}"/>
    <hyperlink ref="F1075" r:id="rId2106" xr:uid="{FD288B68-9A49-4AD9-ABFC-25AB7A28D190}"/>
    <hyperlink ref="G1077" r:id="rId2107" xr:uid="{C8CA3CBD-EC86-4B8F-BA53-389A9D75115F}"/>
    <hyperlink ref="S1077" r:id="rId2108" xr:uid="{31E83DDD-0B0E-4518-A8D3-101DD6794F73}"/>
    <hyperlink ref="F1078" r:id="rId2109" xr:uid="{80EA210B-AEDC-4EE3-AA88-8C683EB683B3}"/>
    <hyperlink ref="G1078" r:id="rId2110" xr:uid="{8E64BC1C-DE01-444B-A1B3-0C7A241EC7B0}"/>
    <hyperlink ref="S1078" r:id="rId2111" xr:uid="{F640BDB2-8B44-4314-91B9-01C7CE4DB802}"/>
    <hyperlink ref="F1079" r:id="rId2112" xr:uid="{3BFAE41F-7FDB-450C-BE82-7565BBE28D7E}"/>
    <hyperlink ref="S1079" r:id="rId2113" xr:uid="{DA4D7AC7-8359-4BFE-A7CE-C34DE3B519B2}"/>
    <hyperlink ref="F1080" r:id="rId2114" xr:uid="{CED4F51E-D68A-40DB-B936-4E3560430FF6}"/>
    <hyperlink ref="S1080" r:id="rId2115" xr:uid="{66EAF3D5-20A3-4E4A-988F-2A1851429426}"/>
    <hyperlink ref="G1081" r:id="rId2116" xr:uid="{63286E05-9F7C-4DEE-A10A-FF353DD3C703}"/>
    <hyperlink ref="S1081" r:id="rId2117" xr:uid="{6D5FA7A2-423F-4559-ADA8-17DF3FCE7402}"/>
    <hyperlink ref="F1083" r:id="rId2118" xr:uid="{335DB1D5-923A-49D6-A18A-7B06968D9A69}"/>
    <hyperlink ref="F1084" r:id="rId2119" xr:uid="{79C88DA4-ABFE-4536-8BCA-DAAFC5797EDE}"/>
    <hyperlink ref="S1084" r:id="rId2120" xr:uid="{E64718DB-4C26-4C10-B386-EDCF5617BAA5}"/>
    <hyperlink ref="F1085" r:id="rId2121" xr:uid="{83D0A4C0-48C0-4D00-9B37-8FC0BD1A4157}"/>
    <hyperlink ref="F1086" r:id="rId2122" xr:uid="{73306C30-5142-4C70-8C64-A219A034DC00}"/>
    <hyperlink ref="S1086" r:id="rId2123" xr:uid="{86CB40A2-82B9-4103-BAD5-504330E83F0D}"/>
    <hyperlink ref="F1087" r:id="rId2124" xr:uid="{3157D567-DBE6-43CD-8188-F45715534F94}"/>
    <hyperlink ref="F1088" r:id="rId2125" xr:uid="{4B47527D-8BDE-4783-9CC5-76CFD682FBD6}"/>
    <hyperlink ref="S1088" r:id="rId2126" xr:uid="{27A9B652-38DE-4323-AF52-0C23C00EF105}"/>
    <hyperlink ref="F1089" r:id="rId2127" xr:uid="{A207A11D-04F2-42A9-B0F1-5F1FD9A0A93B}"/>
    <hyperlink ref="G1090" r:id="rId2128" xr:uid="{0A24A586-9BC1-483F-A4A7-C7FE324AE95B}"/>
    <hyperlink ref="S1090" r:id="rId2129" xr:uid="{2F68ABF9-908F-40FA-8A5A-8C5B45679006}"/>
    <hyperlink ref="F1092" r:id="rId2130" xr:uid="{9172C6D3-A2E5-416F-8BDD-0ABE0BCA263E}"/>
    <hyperlink ref="F1093" r:id="rId2131" xr:uid="{58532999-63FE-4CD6-AEB7-05B9C1F98ABD}"/>
    <hyperlink ref="G1093" r:id="rId2132" xr:uid="{DA454047-15D3-4514-8B6F-5F20243A5240}"/>
    <hyperlink ref="S1093" r:id="rId2133" xr:uid="{AA16820C-51FB-4A4E-9385-D29780A53EB4}"/>
    <hyperlink ref="F1094" r:id="rId2134" xr:uid="{7EE2B3A5-B20A-4CAD-AB5C-4449A3FA76B6}"/>
    <hyperlink ref="S1094" r:id="rId2135" xr:uid="{F026C63C-5F7A-432C-82D3-8AD99509174B}"/>
    <hyperlink ref="C1095" r:id="rId2136" xr:uid="{93F9F9E7-897E-4786-903E-7E9282901C48}"/>
    <hyperlink ref="F1095" r:id="rId2137" xr:uid="{BDE3A872-05F0-4D0E-96AE-B459E82B4C9C}"/>
    <hyperlink ref="G1095" r:id="rId2138" xr:uid="{1A9FF096-E0C8-42AE-A4BE-479B026A1DDD}"/>
    <hyperlink ref="S1095" r:id="rId2139" xr:uid="{D55168BB-2A26-4FB6-9FD4-531D58512032}"/>
    <hyperlink ref="F1096" r:id="rId2140" xr:uid="{AB64EF9D-BE21-4F37-AE69-DC8027FA3D2C}"/>
    <hyperlink ref="F1097" r:id="rId2141" xr:uid="{C5E796BD-DFA4-44F9-A5C3-CAD2B30E2CF7}"/>
    <hyperlink ref="G1097" r:id="rId2142" xr:uid="{DB73BDA9-0BAD-483A-A0B8-7A4239EB3DFD}"/>
    <hyperlink ref="S1097" r:id="rId2143" xr:uid="{513D0398-73C3-431E-BA02-D63A20657C19}"/>
    <hyperlink ref="G1098" r:id="rId2144" xr:uid="{203D4CCB-7D38-43F3-8466-02D123709AED}"/>
    <hyperlink ref="S1098" r:id="rId2145" xr:uid="{A83E44B3-4169-45BF-B4A9-0C0F2C57B0B5}"/>
    <hyperlink ref="F1099" r:id="rId2146" xr:uid="{208B4EF5-ED5B-44D2-BCD0-B46299425B41}"/>
    <hyperlink ref="S1099" r:id="rId2147" xr:uid="{D7B1D65A-8B30-433D-B8E6-5D3E2B1300A7}"/>
    <hyperlink ref="S1100" r:id="rId2148" xr:uid="{72F4BD37-4504-43F4-A212-C3D634803E32}"/>
    <hyperlink ref="F1101" r:id="rId2149" xr:uid="{5F8C92D0-D42E-4D97-959C-9314792400EF}"/>
    <hyperlink ref="G1101" r:id="rId2150" xr:uid="{1914CDE1-4F4E-4A62-935D-2433D5992EB9}"/>
    <hyperlink ref="S1101" r:id="rId2151" xr:uid="{A2975C5B-FC48-4C78-BA80-2E795C0E2AAC}"/>
    <hyperlink ref="F1102" r:id="rId2152" xr:uid="{7DD989CC-875E-49BB-B533-8EF452E3EB69}"/>
    <hyperlink ref="S1102" r:id="rId2153" xr:uid="{84A76AAC-5597-43BF-9311-A1317288B69F}"/>
    <hyperlink ref="F1103" r:id="rId2154" xr:uid="{C277891D-9834-4D0A-8661-D852C583E3CF}"/>
    <hyperlink ref="G1103" r:id="rId2155" xr:uid="{46C0D637-2DD4-4BF1-AC9C-E56CB0A745F3}"/>
    <hyperlink ref="S1103" r:id="rId2156" xr:uid="{8FCA8AFF-B3C3-4312-BFAF-05FB3A74DC94}"/>
    <hyperlink ref="F1104" r:id="rId2157" xr:uid="{4C2D7EE1-9FAA-4D3C-B53A-C6B53462C873}"/>
    <hyperlink ref="G1104" r:id="rId2158" xr:uid="{F93AE184-B16B-4E6D-AADC-9531964BDFE7}"/>
    <hyperlink ref="G1105" r:id="rId2159" xr:uid="{CD1B3D90-AD46-44FC-B6CF-8F910EEA0684}"/>
    <hyperlink ref="S1105" r:id="rId2160" xr:uid="{2D96D4DF-F0AB-4146-87E7-DE2C0B37A991}"/>
    <hyperlink ref="F1106" r:id="rId2161" xr:uid="{FF4C6636-FF3C-47D6-B89F-4A2349BC7920}"/>
    <hyperlink ref="G1106" r:id="rId2162" xr:uid="{919FEE72-6ACC-43BF-A59D-0FB0AAF19021}"/>
    <hyperlink ref="S1106" r:id="rId2163" xr:uid="{B6168DC7-9C57-4D91-85C1-64DF44E53794}"/>
    <hyperlink ref="G1107" r:id="rId2164" xr:uid="{9D95D951-A3F7-4C34-ACD1-A8A17936C0AA}"/>
    <hyperlink ref="S1107" r:id="rId2165" xr:uid="{ACDB559C-503C-43C1-9A98-CFBE18A10B87}"/>
    <hyperlink ref="S1108" r:id="rId2166" xr:uid="{2D15D08C-6037-43AE-A894-14F8170608A6}"/>
    <hyperlink ref="F1109" r:id="rId2167" xr:uid="{FC0A59F3-AFCB-4D71-A7C0-F841440FAB50}"/>
    <hyperlink ref="G1110" r:id="rId2168" xr:uid="{EF6B0222-73CC-4BD2-BAF7-68B6946F1285}"/>
    <hyperlink ref="S1111" r:id="rId2169" xr:uid="{7284B23E-AEC3-4065-BE1E-53EB1FBFE081}"/>
    <hyperlink ref="F1112" r:id="rId2170" xr:uid="{D9283ECD-89D5-48C9-8EFA-3AB658D86D4B}"/>
    <hyperlink ref="G1113" r:id="rId2171" xr:uid="{740D1C87-1802-4A10-B23C-C44BE540B18A}"/>
    <hyperlink ref="F1114" r:id="rId2172" xr:uid="{E09796CB-8B63-4EFC-87D5-C3E1D6533F23}"/>
    <hyperlink ref="F1115" r:id="rId2173" xr:uid="{4C5E1FE2-AAE1-4F60-A558-75E30A821709}"/>
    <hyperlink ref="G1115" r:id="rId2174" xr:uid="{2B4B10E6-74D8-4CD5-822C-08D2AC70D18E}"/>
    <hyperlink ref="S1115" r:id="rId2175" xr:uid="{E13EE10F-9513-44FB-8EB4-CF10D434F53B}"/>
    <hyperlink ref="F1116" r:id="rId2176" xr:uid="{9AC4ECA2-05E6-4FFF-B229-7C2437EED43D}"/>
    <hyperlink ref="G1116" r:id="rId2177" xr:uid="{1B9CE310-B9B4-44F1-825A-80FDC3873546}"/>
    <hyperlink ref="S1116" r:id="rId2178" xr:uid="{3CBBE847-1417-4FBD-B0DC-82509B0509AB}"/>
    <hyperlink ref="G1117" r:id="rId2179" xr:uid="{86EEC257-2864-4C38-8052-6A8D78462211}"/>
    <hyperlink ref="S1117" r:id="rId2180" xr:uid="{89EDB69C-91C9-4E89-8784-F2917BD1235C}"/>
    <hyperlink ref="F1118" r:id="rId2181" xr:uid="{053C5DAF-2619-467A-81E0-43968185B50E}"/>
    <hyperlink ref="S1118" r:id="rId2182" xr:uid="{42F35C60-7EE2-4B07-952D-4EA0BEEC4454}"/>
    <hyperlink ref="F1119" r:id="rId2183" xr:uid="{F8DED1C7-86D3-4DA0-9C6D-598AD1BCB0B2}"/>
    <hyperlink ref="S1119" r:id="rId2184" xr:uid="{ACA907B3-B0EE-4ED9-B10C-9DE145A06948}"/>
    <hyperlink ref="F1121" r:id="rId2185" xr:uid="{E86F92B3-5E9B-42DF-9927-71585FD94550}"/>
    <hyperlink ref="S1121" r:id="rId2186" xr:uid="{ECE3B852-B48C-42CA-8987-B59C4F33F50C}"/>
    <hyperlink ref="F1122" r:id="rId2187" xr:uid="{2EC64BBC-586A-4155-9741-3756B2ECD80E}"/>
    <hyperlink ref="F1123" r:id="rId2188" xr:uid="{3B648527-5A60-4EBE-8681-5825C903354C}"/>
    <hyperlink ref="F1124" r:id="rId2189" xr:uid="{3B9C1023-92B6-49A6-95DC-3326F05705CB}"/>
    <hyperlink ref="G1124" r:id="rId2190" xr:uid="{2E295E9B-8042-4980-BFA5-D42BCEC5C584}"/>
    <hyperlink ref="S1124" r:id="rId2191" xr:uid="{9E37DC3D-1465-4423-9C5D-C250F71FDF9F}"/>
    <hyperlink ref="F1125" r:id="rId2192" location=".YDSaptAVniM.twitter" xr:uid="{5BA52540-6F6C-40A9-8C2D-9271D609EAB8}"/>
    <hyperlink ref="S1125" r:id="rId2193" xr:uid="{467FECED-6A8B-4D09-9974-952C3C94E88C}"/>
    <hyperlink ref="F1126" r:id="rId2194" xr:uid="{9D072A89-578B-4296-B228-CF6CB86283A1}"/>
    <hyperlink ref="F1127" r:id="rId2195" xr:uid="{FD791514-709A-48A0-9C94-F79E954C0E5E}"/>
    <hyperlink ref="S1127" r:id="rId2196" xr:uid="{07EA5001-E878-4AA6-949B-01ACE27685C5}"/>
    <hyperlink ref="F1128" r:id="rId2197" xr:uid="{EE557A5F-DBDC-4F13-A001-27696FD77BA6}"/>
    <hyperlink ref="S1128" r:id="rId2198" xr:uid="{541A1D36-B888-464D-B99E-93BFDDC946F9}"/>
    <hyperlink ref="G1129" r:id="rId2199" xr:uid="{BD402E33-588B-4D78-930C-EC86DB1DB9E3}"/>
    <hyperlink ref="F1130" r:id="rId2200" xr:uid="{8C6F933A-9904-4925-852F-CB0A3A27C7FC}"/>
    <hyperlink ref="S1130" r:id="rId2201" xr:uid="{F1AA2F2D-0BA6-4261-B805-4401B2746921}"/>
    <hyperlink ref="F1131" r:id="rId2202" xr:uid="{189FA859-12B8-4AEA-9D15-D524583AEBB3}"/>
    <hyperlink ref="G1131" r:id="rId2203" xr:uid="{39959289-72C5-470E-898E-14FDB9FB3686}"/>
    <hyperlink ref="S1131" r:id="rId2204" xr:uid="{329B057B-EE8C-4BE6-8CB7-068E4C0290C4}"/>
    <hyperlink ref="G1132" r:id="rId2205" xr:uid="{D470C9C8-4102-4CE5-AA7D-289D4FCEB16C}"/>
    <hyperlink ref="S1132" r:id="rId2206" xr:uid="{20E2EF1D-D549-4B14-B1F2-452AC37520FD}"/>
    <hyperlink ref="G1133" r:id="rId2207" xr:uid="{76339E3F-83C2-4684-B187-DB293D6647A8}"/>
    <hyperlink ref="F1135" r:id="rId2208" xr:uid="{DD64262E-E8DA-4443-AE39-29E763491B43}"/>
    <hyperlink ref="S1135" r:id="rId2209" xr:uid="{2FDE2119-34B0-451E-ABA1-BCB145CAD4C8}"/>
    <hyperlink ref="F1136" r:id="rId2210" xr:uid="{AEB29E17-1E39-41C0-B680-969EC05BC56E}"/>
    <hyperlink ref="G1136" r:id="rId2211" xr:uid="{8B555AF4-D7D7-4841-9155-7CCC79D10A3F}"/>
    <hyperlink ref="S1136" r:id="rId2212" xr:uid="{415E0D09-EE0F-4628-9A13-19BC0031A9F6}"/>
    <hyperlink ref="F1138" r:id="rId2213" xr:uid="{85D323A2-E425-412C-BD15-01C18CE1D234}"/>
    <hyperlink ref="S1138" r:id="rId2214" xr:uid="{913358D6-EC69-4ECB-9E96-D537582B49FD}"/>
    <hyperlink ref="F1139" r:id="rId2215" xr:uid="{3D34E4AF-AFFE-4E1D-85E1-9D5D383CA377}"/>
    <hyperlink ref="S1139" r:id="rId2216" xr:uid="{3937D735-B989-4CCA-8D3D-A90F143660AE}"/>
    <hyperlink ref="F1140" r:id="rId2217" xr:uid="{6CFE2C7E-AED5-47B0-AEE2-617121F78A29}"/>
    <hyperlink ref="S1140" r:id="rId2218" xr:uid="{F0CBFC63-A0F3-4F35-843D-ED31F8E550D3}"/>
    <hyperlink ref="G1141" r:id="rId2219" xr:uid="{01BC872E-3BEA-4C97-8D41-6B0CA7D6FFC0}"/>
    <hyperlink ref="F1142" r:id="rId2220" xr:uid="{7ED27C41-AFF6-4EA7-8BCA-59A78112E2E7}"/>
    <hyperlink ref="G1142" r:id="rId2221" xr:uid="{4F4BCB48-91F0-4771-9EA1-00E18808F2EE}"/>
    <hyperlink ref="S1142" r:id="rId2222" xr:uid="{1C821CE9-4FC3-4849-8899-BF941DCCA292}"/>
    <hyperlink ref="F1143" r:id="rId2223" xr:uid="{5393FEA1-C23C-4585-A444-ADCD36A38D1D}"/>
    <hyperlink ref="G1143" r:id="rId2224" xr:uid="{5FFBBF76-15A7-4E5B-B992-6EE5F1A94915}"/>
    <hyperlink ref="S1143" r:id="rId2225" xr:uid="{D2324E3F-2275-4D9B-960A-8A08DBF49FDB}"/>
    <hyperlink ref="F1144" r:id="rId2226" xr:uid="{3F031034-E88D-43D4-BA55-8D32B94DEF55}"/>
    <hyperlink ref="G1144" r:id="rId2227" xr:uid="{8983BD54-FC2C-48BA-8FE1-DA7E0A5E104C}"/>
    <hyperlink ref="S1144" r:id="rId2228" xr:uid="{F49EF527-C644-4774-85AD-8187E7F8AB3D}"/>
    <hyperlink ref="F1145" r:id="rId2229" xr:uid="{0A7749A1-AA5F-4055-BA2F-6BC6A1C43BC0}"/>
    <hyperlink ref="G1145" r:id="rId2230" xr:uid="{C29A1C1F-97A8-44A6-829C-FD38584373DB}"/>
    <hyperlink ref="S1145" r:id="rId2231" xr:uid="{6BAB6A3A-F7BF-45D2-96D2-6DB217C7F433}"/>
    <hyperlink ref="F1146" r:id="rId2232" xr:uid="{2653E155-1346-4ED1-AC8C-43E9B3B079B1}"/>
    <hyperlink ref="G1146" r:id="rId2233" xr:uid="{A906B472-EBC4-4361-8727-A7128EB07756}"/>
    <hyperlink ref="F1147" r:id="rId2234" xr:uid="{292697D9-D2F3-4430-B5A6-76F7FFECC690}"/>
    <hyperlink ref="G1147" r:id="rId2235" xr:uid="{6706B168-99D9-459B-AB2F-1ED6DD9B9E0B}"/>
    <hyperlink ref="G1148" r:id="rId2236" xr:uid="{49121EEE-A8FE-4B88-9708-616324C5A811}"/>
    <hyperlink ref="S1148" r:id="rId2237" xr:uid="{62A6235C-D2DD-4D73-91C5-CADBE4B6DE9A}"/>
    <hyperlink ref="F1149" r:id="rId2238" xr:uid="{541B6C24-9E19-41E6-BCD6-A023C73D1082}"/>
    <hyperlink ref="G1149" r:id="rId2239" xr:uid="{B6F663B2-36CB-438B-B5BE-0299AAA5D48A}"/>
    <hyperlink ref="G1150" r:id="rId2240" xr:uid="{56695950-3339-4FEC-8C98-92CC7DE82E5D}"/>
    <hyperlink ref="S1150" r:id="rId2241" xr:uid="{94B3A309-F1BF-4A78-9FCE-F2A7610F8C2D}"/>
    <hyperlink ref="F1151" r:id="rId2242" xr:uid="{CA86441C-807A-44A6-AE28-20133500299C}"/>
    <hyperlink ref="S1151" r:id="rId2243" xr:uid="{C4F848DB-5303-4B81-B367-5124DC45A51F}"/>
    <hyperlink ref="F1152" r:id="rId2244" xr:uid="{0F560D70-75FF-483C-ABE1-2FF5C3C74723}"/>
    <hyperlink ref="S1152" r:id="rId2245" xr:uid="{5609C834-B511-4926-9B9B-47B9439AEFA5}"/>
    <hyperlink ref="F1153" r:id="rId2246" xr:uid="{53E95622-95AB-43FF-9D3F-E19D1D362067}"/>
    <hyperlink ref="S1153" r:id="rId2247" xr:uid="{152C4BF1-E817-486D-A6EA-E368A9379166}"/>
    <hyperlink ref="F1154" r:id="rId2248" xr:uid="{613DC4F5-FACF-4A0E-80E6-E7086E4C34D9}"/>
    <hyperlink ref="S1154" r:id="rId2249" xr:uid="{8C7EE1D8-81FE-47FB-ACAD-4D605EF9C74E}"/>
    <hyperlink ref="F1155" r:id="rId2250" xr:uid="{2EFFC806-6292-4145-95E8-E7FECD2CD2D4}"/>
    <hyperlink ref="G1155" r:id="rId2251" xr:uid="{C038F443-1A96-4E71-BEB8-FC5AB01B131F}"/>
    <hyperlink ref="S1155" r:id="rId2252" xr:uid="{ED06F5A7-6737-4A91-AA95-0B5AB6A0796D}"/>
    <hyperlink ref="G1156" r:id="rId2253" xr:uid="{553CEB3D-826A-4D22-B7B4-1F88659B10EF}"/>
    <hyperlink ref="S1156" r:id="rId2254" xr:uid="{ADAA4115-10C1-4A2B-9E88-AF1BC7481946}"/>
    <hyperlink ref="F1157" r:id="rId2255" xr:uid="{49ECB72F-0F9D-4034-BDE3-170194814616}"/>
    <hyperlink ref="S1157" r:id="rId2256" xr:uid="{B31D5C18-F9E2-4DD1-ABA3-BDEF8063E0BE}"/>
    <hyperlink ref="F1158" r:id="rId2257" xr:uid="{55B44090-6492-46BE-8254-A31226F92978}"/>
    <hyperlink ref="G1158" r:id="rId2258" xr:uid="{048E2A1F-F33D-49B0-BA39-96B6CE5738C8}"/>
    <hyperlink ref="S1158" r:id="rId2259" xr:uid="{1F1586B3-5DDB-419B-9007-F07B1409E341}"/>
    <hyperlink ref="F1159" r:id="rId2260" xr:uid="{56A508DF-8E44-43B0-B6C9-F6FA3ED71805}"/>
    <hyperlink ref="S1159" r:id="rId2261" xr:uid="{45366378-2D14-4EF0-9ABC-49F5ACDD1553}"/>
    <hyperlink ref="C1160" r:id="rId2262" xr:uid="{DB70D7B3-3DD3-4B55-BCB2-B3B2B153962C}"/>
    <hyperlink ref="F1160" r:id="rId2263" xr:uid="{EB8B505C-E339-478B-8A8B-96F452BDC4EE}"/>
    <hyperlink ref="G1160" r:id="rId2264" xr:uid="{2794E769-3D9D-4074-AE9E-B2A938C0AF50}"/>
    <hyperlink ref="S1160" r:id="rId2265" xr:uid="{8BEFB907-CB84-4DE8-AFE8-BB6ECF13287E}"/>
    <hyperlink ref="F1162" r:id="rId2266" xr:uid="{805F03BB-CCF5-48E1-8030-34B2267DE69A}"/>
    <hyperlink ref="G1162" r:id="rId2267" xr:uid="{62CB5592-3A45-4E76-9F9E-3F3235895B53}"/>
    <hyperlink ref="S1162" r:id="rId2268" xr:uid="{CC4B3AF5-8A79-4AF0-AFC8-C5A85390BC8B}"/>
    <hyperlink ref="F1163" r:id="rId2269" xr:uid="{B9CD016F-59E0-46ED-ABCD-96EDB6A32862}"/>
    <hyperlink ref="G1163" r:id="rId2270" xr:uid="{A0D5E63A-7CEC-4FBF-8976-1A5CF420119B}"/>
    <hyperlink ref="S1163" r:id="rId2271" xr:uid="{2D3F81F2-2B40-468E-A58E-4F733F7C3F30}"/>
    <hyperlink ref="C1164" r:id="rId2272" xr:uid="{B87984EE-310B-4105-8ED9-C3D84675027C}"/>
    <hyperlink ref="G1164" r:id="rId2273" xr:uid="{C7FCFFF2-E2D4-4E08-BB6C-4ADA7AE04CC2}"/>
    <hyperlink ref="S1164" r:id="rId2274" xr:uid="{F1E997A7-0820-42C8-8020-99C5846ED5C1}"/>
    <hyperlink ref="F1165" r:id="rId2275" xr:uid="{870C532A-E75E-4979-8B4D-5F6F746C5873}"/>
    <hyperlink ref="G1165" r:id="rId2276" xr:uid="{74A89B3F-3AE9-4BE5-A683-3E3478577817}"/>
    <hyperlink ref="S1165" r:id="rId2277" xr:uid="{ECAA002C-8C98-4AA9-95A0-74EEDF697E0C}"/>
    <hyperlink ref="F1166" r:id="rId2278" xr:uid="{3DEDCC89-A576-4DF8-8477-0511FEC1369A}"/>
    <hyperlink ref="G1166" r:id="rId2279" xr:uid="{8C66BE79-E80E-4738-9F24-1C8009C8E44F}"/>
    <hyperlink ref="S1166" r:id="rId2280" xr:uid="{B4119523-C761-461A-BCD7-10BFF04AA734}"/>
    <hyperlink ref="F1167" r:id="rId2281" xr:uid="{15561ACC-70AB-4990-B1AD-56F436EC1A87}"/>
    <hyperlink ref="G1167" r:id="rId2282" xr:uid="{2E1F5D7C-9228-46A5-AAF7-306EDBD64D53}"/>
    <hyperlink ref="S1167" r:id="rId2283" xr:uid="{40177337-4417-4CAD-BF4C-3E78B4E70D69}"/>
    <hyperlink ref="F1168" r:id="rId2284" xr:uid="{10251DF3-8F4B-44D7-8A68-E94D66F0CE3E}"/>
    <hyperlink ref="G1168" r:id="rId2285" xr:uid="{5FDA4863-262F-4756-9CB9-35610D0B707B}"/>
    <hyperlink ref="S1168" r:id="rId2286" xr:uid="{223EBFED-A256-433F-A4ED-6305A40815C0}"/>
    <hyperlink ref="F1169" r:id="rId2287" xr:uid="{D8B88BC4-7C96-4C00-98BD-DF681B2F3F84}"/>
    <hyperlink ref="S1169" r:id="rId2288" xr:uid="{948AE316-E626-4A8D-B111-E0AF6D0E9B0A}"/>
    <hyperlink ref="F1170" r:id="rId2289" xr:uid="{6FCB28D3-8C05-46AA-B0AE-6BBBE1FABF85}"/>
    <hyperlink ref="G1170" r:id="rId2290" xr:uid="{46DA34DD-FF8C-478E-A28E-CDF57D3CD27F}"/>
    <hyperlink ref="S1170" r:id="rId2291" xr:uid="{944A6F17-E1B6-44B5-A4EB-10D722B31DA6}"/>
    <hyperlink ref="F1172" r:id="rId2292" xr:uid="{E366A4F8-D428-4D51-BA88-9A245FD73EE0}"/>
    <hyperlink ref="G1172" r:id="rId2293" xr:uid="{91484A54-6D74-432A-BC6C-15E89106624F}"/>
    <hyperlink ref="S1172" r:id="rId2294" xr:uid="{DA4F1693-62A5-4F18-99FC-4EB3BA32685C}"/>
    <hyperlink ref="F1173" r:id="rId2295" xr:uid="{52F8BD85-8DC0-4E9E-BC08-E3C3F2C765F2}"/>
    <hyperlink ref="G1174" r:id="rId2296" xr:uid="{E3994D27-84A2-45A4-A474-2E2E195D3CE0}"/>
    <hyperlink ref="F1175" r:id="rId2297" xr:uid="{92CBD95A-FBC4-414B-9FEE-DC25912E3058}"/>
    <hyperlink ref="S1175" r:id="rId2298" xr:uid="{55088EA4-1694-4CD7-8F12-0011244656CB}"/>
    <hyperlink ref="F1176" r:id="rId2299" xr:uid="{3967B2E0-09B8-406D-9E7A-72EAE95BDC81}"/>
    <hyperlink ref="G1176" r:id="rId2300" xr:uid="{3D9C436B-1743-43D5-AAE5-815151569620}"/>
    <hyperlink ref="S1176" r:id="rId2301" xr:uid="{DA4A9984-20AE-4080-B272-4E22EE941804}"/>
    <hyperlink ref="F1177" r:id="rId2302" xr:uid="{0978E098-DB5E-40F2-A784-27AF23C25EAF}"/>
    <hyperlink ref="G1177" r:id="rId2303" xr:uid="{F5168CB1-646D-4937-9673-664CF5745C9D}"/>
    <hyperlink ref="F1178" r:id="rId2304" xr:uid="{E14E1489-9D53-44C2-8190-7A5E5D5BBB3A}"/>
    <hyperlink ref="G1178" r:id="rId2305" xr:uid="{9FC3D850-FBAD-435B-8439-00BB62433E72}"/>
    <hyperlink ref="F1180" r:id="rId2306" xr:uid="{8226520C-3B47-438F-BB52-62273B0BB21A}"/>
    <hyperlink ref="G1180" r:id="rId2307" xr:uid="{EF8D20DC-6368-40AF-9976-4FB3463718E5}"/>
    <hyperlink ref="G1181" r:id="rId2308" xr:uid="{B1FBFD58-82A8-45A2-AF84-22507809EA7F}"/>
    <hyperlink ref="S1181" r:id="rId2309" xr:uid="{10663C90-4048-44D2-9861-31AEAD4B3A93}"/>
    <hyperlink ref="G1182" r:id="rId2310" xr:uid="{DA1BCAE1-FBA2-4D29-86E7-B7CFE2A4E963}"/>
    <hyperlink ref="S1182" r:id="rId2311" xr:uid="{DE12574C-E554-4AFE-83F3-FFFAA924C61D}"/>
    <hyperlink ref="F1183" r:id="rId2312" xr:uid="{9B480872-E515-4FF0-852D-A9BF83499486}"/>
    <hyperlink ref="G1183" r:id="rId2313" xr:uid="{32590A9C-0317-4B1E-9A71-45D1F605573A}"/>
    <hyperlink ref="S1183" r:id="rId2314" xr:uid="{A17C6323-BCF1-47F9-8789-0FEBE31D82C6}"/>
    <hyperlink ref="G1184" r:id="rId2315" xr:uid="{922866EA-6B0C-464E-A981-5F84A538317E}"/>
    <hyperlink ref="S1184" r:id="rId2316" xr:uid="{3F6A0603-D5A6-49C1-80B0-B6D7D5FCE952}"/>
    <hyperlink ref="F1186" r:id="rId2317" xr:uid="{0E2C3EAB-12FC-405B-B536-F30CFA3CCB11}"/>
    <hyperlink ref="S1186" r:id="rId2318" xr:uid="{7ED1B288-DDBF-4FFA-8867-172EE835884F}"/>
    <hyperlink ref="F1187" r:id="rId2319" xr:uid="{DEDCC693-C49D-479A-BB3D-D79B8A893AD7}"/>
    <hyperlink ref="F1188" r:id="rId2320" xr:uid="{CBE62845-4793-482C-857B-62F52D378686}"/>
    <hyperlink ref="S1188" r:id="rId2321" xr:uid="{64C4FFF1-1E45-49E9-9442-564A6E5AA0E6}"/>
    <hyperlink ref="F1189" r:id="rId2322" xr:uid="{AB264C1F-1992-497A-A27E-B0F3A667FFAD}"/>
    <hyperlink ref="G1189" r:id="rId2323" xr:uid="{6F850DEA-F055-462A-99D0-71E9A3673829}"/>
    <hyperlink ref="S1189" r:id="rId2324" xr:uid="{37B48D50-3826-4D20-AC10-9C5CA4365302}"/>
    <hyperlink ref="G1190" r:id="rId2325" xr:uid="{F7C36868-1582-4DDA-9D93-82D4FA541014}"/>
    <hyperlink ref="F1191" r:id="rId2326" xr:uid="{AA17305D-EBDC-4981-80F7-D3B4E9D3B206}"/>
    <hyperlink ref="G1191" r:id="rId2327" xr:uid="{3D81DCA3-C5B7-4B62-B43E-AF810B6854F2}"/>
    <hyperlink ref="F1192" r:id="rId2328" xr:uid="{D324BE53-E8F9-4573-A997-5A151E713062}"/>
    <hyperlink ref="S1192" r:id="rId2329" xr:uid="{08DFAEC3-CA98-41B1-A544-4D1DEDA6CD3E}"/>
    <hyperlink ref="F1193" r:id="rId2330" xr:uid="{C9C98FEC-76CD-4C53-B48B-B5D0F1F99691}"/>
    <hyperlink ref="S1193" r:id="rId2331" xr:uid="{F7A0C7A9-6E63-42C1-B2AE-26C451557454}"/>
    <hyperlink ref="F1194" r:id="rId2332" xr:uid="{691FE95B-651B-4EAE-B078-873B01E4D24C}"/>
    <hyperlink ref="G1194" r:id="rId2333" xr:uid="{9FFF33CB-24B6-49E3-A3FD-B96D739CE824}"/>
    <hyperlink ref="F1195" r:id="rId2334" xr:uid="{D9562B62-EAB1-41B9-90B5-3DF26A748AA3}"/>
    <hyperlink ref="S1195" r:id="rId2335" xr:uid="{A73690C1-824F-4A53-ACE7-04A7377076DE}"/>
    <hyperlink ref="S1196" r:id="rId2336" xr:uid="{8D2472AA-5AAF-478B-8142-9359814BC758}"/>
    <hyperlink ref="F1197" r:id="rId2337" xr:uid="{6795D52F-0CDB-4C53-96A4-F75F2EFFD0C2}"/>
    <hyperlink ref="S1197" r:id="rId2338" xr:uid="{D5F574DC-83AF-480C-BCE7-5DE78D41D8A0}"/>
    <hyperlink ref="F1198" r:id="rId2339" xr:uid="{07D0AB97-CABB-49C2-A837-9467530511F8}"/>
    <hyperlink ref="S1198" r:id="rId2340" xr:uid="{B4BF5EA4-3383-4E05-8A26-F158803FC0F7}"/>
    <hyperlink ref="F1199" r:id="rId2341" xr:uid="{27F96A81-5384-4B91-90F6-23CD209337E5}"/>
    <hyperlink ref="G1199" r:id="rId2342" xr:uid="{62D257B7-7D5D-4475-9EF5-BD2EF9796B71}"/>
    <hyperlink ref="F1200" r:id="rId2343" xr:uid="{D60324AA-EEDF-422F-BDE6-A86A12E84F48}"/>
    <hyperlink ref="S1200" r:id="rId2344" xr:uid="{26171F3D-E6BE-4C76-93AB-C3AFD9D7FEA0}"/>
    <hyperlink ref="G1201" r:id="rId2345" xr:uid="{F1256DF9-F864-4275-A596-E6D85101571E}"/>
    <hyperlink ref="S1201" r:id="rId2346" xr:uid="{147FB383-30B4-4EED-8AA9-68FD23CE643D}"/>
    <hyperlink ref="F1202" r:id="rId2347" xr:uid="{B08FA5AB-5C47-4C58-9365-CD9D18E03E4A}"/>
    <hyperlink ref="S1202" r:id="rId2348" xr:uid="{973682B9-E2EC-4031-851A-C48EEB0515ED}"/>
    <hyperlink ref="F1203" r:id="rId2349" xr:uid="{3352EAEB-881B-4FEF-8C99-EE5B922E3100}"/>
    <hyperlink ref="G1203" r:id="rId2350" xr:uid="{AF32C20D-F055-4730-8599-7D556DDC7A04}"/>
    <hyperlink ref="S1203" r:id="rId2351" xr:uid="{A6C7A728-2117-4F95-8E7C-7E83EB314756}"/>
    <hyperlink ref="F1204" r:id="rId2352" xr:uid="{ECFB705A-FA59-4E16-BC65-C008DF2FBAF9}"/>
    <hyperlink ref="G1204" r:id="rId2353" xr:uid="{DDD6CFBB-B202-4440-8503-3B5613466839}"/>
    <hyperlink ref="S1204" r:id="rId2354" xr:uid="{A3288451-9B79-49FE-B3DF-0558955222E2}"/>
    <hyperlink ref="F1205" r:id="rId2355" xr:uid="{B6C0740A-D22D-44AF-BF58-003AFCFE4313}"/>
    <hyperlink ref="S1205" r:id="rId2356" xr:uid="{D7175CD9-4223-4A2E-85CB-1D2AB89AF71A}"/>
    <hyperlink ref="S1206" r:id="rId2357" xr:uid="{694A5BF9-A458-48BF-8E24-46094B65E0DC}"/>
    <hyperlink ref="F1207" r:id="rId2358" xr:uid="{4ACBBFA1-DD75-4FE7-8672-04713422331E}"/>
    <hyperlink ref="G1207" r:id="rId2359" xr:uid="{B15AEBE3-DBCB-47F6-92EE-8A2051B6031A}"/>
    <hyperlink ref="S1207" r:id="rId2360" xr:uid="{5529EE6F-4B93-4A0F-818E-721001937431}"/>
    <hyperlink ref="G1208" r:id="rId2361" xr:uid="{5101C5EF-9E34-4DA7-B26C-286E92D0FDB4}"/>
    <hyperlink ref="F1209" r:id="rId2362" xr:uid="{EF0ADA2E-4133-4C27-8BC7-D12AAA234C6B}"/>
    <hyperlink ref="G1209" r:id="rId2363" xr:uid="{1A82CF8D-4EE7-4C06-AB10-A808FB006639}"/>
    <hyperlink ref="G1210" r:id="rId2364" xr:uid="{75A78DD6-74C7-4FC4-9AA6-60BCEA6FEE99}"/>
    <hyperlink ref="S1210" r:id="rId2365" xr:uid="{04151881-7E6A-44E8-8574-82724F870E76}"/>
    <hyperlink ref="F1211" r:id="rId2366" xr:uid="{18BF5B06-B452-4C90-89D1-A8344C7EA61E}"/>
    <hyperlink ref="G1211" r:id="rId2367" xr:uid="{8185CE1E-4BED-4FA1-9EE0-0351B6C06759}"/>
    <hyperlink ref="S1211" r:id="rId2368" xr:uid="{D2326D1B-435F-4014-BBE8-6F1467049A5A}"/>
    <hyperlink ref="F1212" r:id="rId2369" xr:uid="{FA48804A-9849-4026-83D0-BEDED040052F}"/>
    <hyperlink ref="G1212" r:id="rId2370" xr:uid="{962F4D33-2A26-4D51-8BB2-233E7FEFE625}"/>
    <hyperlink ref="S1212" r:id="rId2371" xr:uid="{93DA029A-246A-41D8-B17E-8E6D65F4BFF2}"/>
    <hyperlink ref="F1213" r:id="rId2372" xr:uid="{78771F56-1AAE-4CA0-B9DE-138A87CF9C0E}"/>
    <hyperlink ref="S1213" r:id="rId2373" xr:uid="{27DF60D7-5536-4FEF-997D-942B3ADA652A}"/>
    <hyperlink ref="S1214" r:id="rId2374" xr:uid="{56B343DC-816A-4A2C-A0E0-7214BDDA6FBF}"/>
    <hyperlink ref="F1215" r:id="rId2375" xr:uid="{458CD0EC-C598-47D9-8B2B-C11F924A4F72}"/>
    <hyperlink ref="S1215" r:id="rId2376" xr:uid="{397F5680-6D11-47E7-887C-33FE77F285F6}"/>
    <hyperlink ref="F1216" r:id="rId2377" xr:uid="{CBCB6357-BB2B-404F-BA5F-D756646E9392}"/>
    <hyperlink ref="S1216" r:id="rId2378" xr:uid="{AC2CA9B9-D445-4EE2-B664-41236B6466F7}"/>
    <hyperlink ref="F1217" r:id="rId2379" xr:uid="{7F2E1C73-BCE8-4082-BB91-27A566D5A644}"/>
    <hyperlink ref="S1217" r:id="rId2380" xr:uid="{02B1E2BD-26FD-4C64-B4AA-00D8654893E4}"/>
    <hyperlink ref="F1218" r:id="rId2381" xr:uid="{2BFB8F14-F9F9-4942-A93B-C1E981F4FFA2}"/>
    <hyperlink ref="F1219" r:id="rId2382" xr:uid="{C4DFF59A-502A-44DF-811A-7B53B8CF08BF}"/>
    <hyperlink ref="S1219" r:id="rId2383" xr:uid="{FE5D015A-5084-46AA-B16F-1F1264AF1155}"/>
    <hyperlink ref="F1220" r:id="rId2384" xr:uid="{BFFAADEB-245D-4DF7-AE91-9F148564D31A}"/>
    <hyperlink ref="G1220" r:id="rId2385" xr:uid="{25F9DD52-28F3-433A-B71D-23DE1F5D8F73}"/>
    <hyperlink ref="S1220" r:id="rId2386" xr:uid="{81A8D4FD-6543-4A95-8AB1-E20D522D6C4C}"/>
    <hyperlink ref="G1221" r:id="rId2387" xr:uid="{C7CFEBC6-DA31-4E7C-B42E-739BB3E2E59F}"/>
    <hyperlink ref="S1221" r:id="rId2388" xr:uid="{A8633CE2-D770-4715-A540-A33AEA48B6F8}"/>
    <hyperlink ref="F1222" r:id="rId2389" xr:uid="{D51E65AC-CB91-49E2-9DE3-AA3EBC74A208}"/>
    <hyperlink ref="S1222" r:id="rId2390" xr:uid="{79D7A033-92A9-492F-AD48-B98FEC48D5EB}"/>
    <hyperlink ref="F1223" r:id="rId2391" xr:uid="{CFA05099-B66F-420E-8A25-22B0C0331640}"/>
    <hyperlink ref="F1224" r:id="rId2392" xr:uid="{C2B788BF-60E4-4127-B9FD-11D3A38A3D82}"/>
    <hyperlink ref="G1224" r:id="rId2393" xr:uid="{CEE734BC-953D-4CAE-98BC-099AF11E6060}"/>
    <hyperlink ref="S1224" r:id="rId2394" xr:uid="{3EA2F1F5-4E8F-485D-A1AF-0D96739EA8D3}"/>
    <hyperlink ref="S1225" r:id="rId2395" xr:uid="{A5E0439B-51BA-4964-81DF-06BCFF5C9374}"/>
    <hyperlink ref="F1226" r:id="rId2396" xr:uid="{73071685-6552-4957-92AE-DB81D6CFCAA5}"/>
    <hyperlink ref="G1226" r:id="rId2397" xr:uid="{2CB406B7-9751-4CAD-871E-9EFA953DF9E7}"/>
    <hyperlink ref="S1226" r:id="rId2398" xr:uid="{5A45EA45-4F7D-4F80-A72A-5FBE24A525A1}"/>
    <hyperlink ref="F1227" r:id="rId2399" xr:uid="{3F4C6CDF-81EC-4F14-89BD-41EF0DD9F831}"/>
    <hyperlink ref="S1227" r:id="rId2400" xr:uid="{35BF43AF-DEB7-4487-90B3-4F76B09143F6}"/>
    <hyperlink ref="F1228" r:id="rId2401" xr:uid="{6ABC91C7-9417-425D-ACE8-39E1B2D14BDE}"/>
    <hyperlink ref="S1228" r:id="rId2402" xr:uid="{379912F1-32E7-4322-9EA5-8C479AA1C94A}"/>
    <hyperlink ref="F1230" r:id="rId2403" xr:uid="{7153EF3F-66A2-4605-B9B4-446A67235A85}"/>
    <hyperlink ref="G1230" r:id="rId2404" xr:uid="{E420378C-ACDD-46E1-9208-CA04872D7652}"/>
    <hyperlink ref="S1230" r:id="rId2405" xr:uid="{10E1BDF4-F727-4CC5-AFFF-F247930004BE}"/>
    <hyperlink ref="F1231" r:id="rId2406" xr:uid="{310C00B4-44DF-4F3D-8364-054707DB1B4E}"/>
    <hyperlink ref="S1231" r:id="rId2407" xr:uid="{45C5A4A0-6548-434F-83BF-AEA7BFE43334}"/>
    <hyperlink ref="F1232" r:id="rId2408" xr:uid="{A51752EF-3DAB-4933-9F83-529764C32B1D}"/>
    <hyperlink ref="G1232" r:id="rId2409" xr:uid="{9DE32560-43F9-44FB-AB84-2C4804CC8E11}"/>
    <hyperlink ref="F1233" r:id="rId2410" xr:uid="{AB59E183-FCD7-48C0-B4DE-9CA877E549AF}"/>
    <hyperlink ref="G1233" r:id="rId2411" xr:uid="{F4491F8A-4D36-4AE4-9182-DE28B69048EA}"/>
    <hyperlink ref="G1234" r:id="rId2412" xr:uid="{EA22822C-B857-402B-A78E-376C778E5DC6}"/>
    <hyperlink ref="S1234" r:id="rId2413" xr:uid="{A6145FC7-BA61-4389-9CE1-12432248CA00}"/>
    <hyperlink ref="G1235" r:id="rId2414" xr:uid="{A0EC3427-69DB-42A7-967A-BA8C75737BF1}"/>
    <hyperlink ref="S1235" r:id="rId2415" xr:uid="{1E2B029F-7EE7-42C3-A2C5-3526865FF9E3}"/>
    <hyperlink ref="F1236" r:id="rId2416" xr:uid="{0B11EBCC-0357-437E-A6C7-791B68215DA4}"/>
    <hyperlink ref="S1236" r:id="rId2417" xr:uid="{0E43BC52-F93A-4D92-8B8B-78D8115C10B1}"/>
    <hyperlink ref="F1237" r:id="rId2418" xr:uid="{C91E3CBF-2742-4384-A908-BC57FFBE571F}"/>
    <hyperlink ref="S1237" r:id="rId2419" xr:uid="{011FCB94-F0B1-4447-818E-65D660C7B79B}"/>
    <hyperlink ref="F1238" r:id="rId2420" xr:uid="{F78B040D-E723-4754-AC36-8241442B8EEC}"/>
    <hyperlink ref="S1238" r:id="rId2421" xr:uid="{3F413E8C-DE50-4A08-9252-3B28D73DDCF3}"/>
    <hyperlink ref="F1239" r:id="rId2422" xr:uid="{9FEB1157-04AE-43FA-A717-D31266718C93}"/>
    <hyperlink ref="G1239" r:id="rId2423" xr:uid="{DA44EC1C-D475-4C59-812B-5E4AAE6E941C}"/>
    <hyperlink ref="S1239" r:id="rId2424" xr:uid="{46876175-11EE-4915-ADE8-F288DFB56D50}"/>
    <hyperlink ref="F1240" r:id="rId2425" xr:uid="{DC1D0AFF-469D-4B13-82C2-B1A01731E69D}"/>
    <hyperlink ref="G1240" r:id="rId2426" xr:uid="{7F5EA522-72E0-4FE4-8C32-F4AB23761974}"/>
    <hyperlink ref="S1240" r:id="rId2427" xr:uid="{05945490-66FE-4F91-9CC0-AE60E81AE50F}"/>
    <hyperlink ref="F1241" r:id="rId2428" xr:uid="{C086C47B-38A4-4EF1-A512-E04592D7E76E}"/>
    <hyperlink ref="G1241" r:id="rId2429" xr:uid="{79B01146-2379-4F74-B6E2-DC1BD7C75828}"/>
    <hyperlink ref="G1242" r:id="rId2430" xr:uid="{93326E5A-BB67-4490-ACB9-8E17590DE689}"/>
    <hyperlink ref="S1242" r:id="rId2431" xr:uid="{0EB57346-F9AE-4456-ABEE-F4885815E506}"/>
    <hyperlink ref="F1243" r:id="rId2432" xr:uid="{6B695C94-9632-4ABB-B7BD-03F1727D2EFE}"/>
    <hyperlink ref="F1244" r:id="rId2433" xr:uid="{9486F0D7-3BB9-4D70-B342-F36DD444B5B0}"/>
    <hyperlink ref="F1245" r:id="rId2434" xr:uid="{3243DF69-F768-4F9C-98C6-7837E262076F}"/>
    <hyperlink ref="G1245" r:id="rId2435" xr:uid="{12BCB74E-1824-408E-8B16-7E81BFC13467}"/>
    <hyperlink ref="S1245" r:id="rId2436" xr:uid="{E7D45258-57E8-4CE7-8E26-C2A3AB0AAB86}"/>
    <hyperlink ref="F1246" r:id="rId2437" xr:uid="{F3809E8A-F250-4F29-A3BB-48B73BA4DC35}"/>
    <hyperlink ref="S1246" r:id="rId2438" xr:uid="{31198788-8386-4723-98E0-10E32B94513C}"/>
    <hyperlink ref="F1247" r:id="rId2439" xr:uid="{06111FEB-AD6C-4EF9-9707-BAB4885C1704}"/>
    <hyperlink ref="S1247" r:id="rId2440" xr:uid="{D64E66A2-4DC3-49AF-B138-0CB3D97E6333}"/>
    <hyperlink ref="F1248" r:id="rId2441" xr:uid="{E33E2959-E0AC-407B-8239-33BFF3B645E3}"/>
    <hyperlink ref="S1248" r:id="rId2442" xr:uid="{C20DC892-A7D6-40F1-BFF5-19F8B0769C79}"/>
    <hyperlink ref="F1249" r:id="rId2443" xr:uid="{665E3CDE-9E92-4CDE-8982-EBE3B256732D}"/>
    <hyperlink ref="G1249" r:id="rId2444" xr:uid="{B5337963-2B89-40C2-B02D-3CD8DB88E717}"/>
    <hyperlink ref="F1250" r:id="rId2445" xr:uid="{1580C39D-5243-4CB4-97F9-12498D44E685}"/>
    <hyperlink ref="G1250" r:id="rId2446" xr:uid="{A1287ACE-E689-43AB-B45E-89CEF591151B}"/>
    <hyperlink ref="S1250" r:id="rId2447" xr:uid="{6BA8CB77-4AB8-49CA-AF3A-461CD433D893}"/>
    <hyperlink ref="G1251" r:id="rId2448" xr:uid="{D2C03091-EEBF-4337-B317-837C9A878F8E}"/>
    <hyperlink ref="S1251" r:id="rId2449" xr:uid="{A24265F8-4AF7-4D30-B907-887A0C4B52F0}"/>
    <hyperlink ref="F1252" r:id="rId2450" xr:uid="{47AA8929-CE35-4B1C-9A2F-FD1586716913}"/>
    <hyperlink ref="S1252" r:id="rId2451" xr:uid="{7BD4FBFA-5D4F-4780-9E3E-51B622F65CD9}"/>
    <hyperlink ref="F1253" r:id="rId2452" xr:uid="{8DA9DA60-99A0-444C-9D3D-8583182368EA}"/>
    <hyperlink ref="S1253" r:id="rId2453" xr:uid="{79390B87-8D1C-4D88-8176-9D7B8C5B7605}"/>
    <hyperlink ref="F1254" r:id="rId2454" xr:uid="{B66FA79F-5DFA-4CD5-B8F0-816D481A64D3}"/>
    <hyperlink ref="S1254" r:id="rId2455" xr:uid="{BA1229DE-B4A8-404B-9716-6E785D7D5864}"/>
    <hyperlink ref="F1255" r:id="rId2456" xr:uid="{9D449614-E196-4F90-A940-F2680E4B3EEB}"/>
    <hyperlink ref="S1255" r:id="rId2457" xr:uid="{E99DB50C-62C3-4B61-B2B3-E727429C2C77}"/>
    <hyperlink ref="F1256" r:id="rId2458" xr:uid="{B31003F9-CE7D-4284-BCD2-A2CA6504C1C3}"/>
    <hyperlink ref="S1256" r:id="rId2459" xr:uid="{8E915F09-F80D-4803-947F-50439CE0B717}"/>
    <hyperlink ref="F1257" r:id="rId2460" xr:uid="{32186B9A-43A1-4E80-8854-0BE7F6149AF2}"/>
    <hyperlink ref="S1257" r:id="rId2461" xr:uid="{706B01C3-4A34-45FF-9923-A1DD81DB0BDF}"/>
    <hyperlink ref="F1258" r:id="rId2462" xr:uid="{E52F511E-0EDD-4239-8936-FFAD5ABC7CBE}"/>
    <hyperlink ref="G1258" r:id="rId2463" xr:uid="{240A4634-7E64-4D2C-8EE5-8B2B24BD0DE8}"/>
    <hyperlink ref="S1258" r:id="rId2464" xr:uid="{1118B44B-9082-4182-A507-F6D02A29DDD0}"/>
    <hyperlink ref="F1259" r:id="rId2465" xr:uid="{9F3D0590-E90D-4AB0-AC1F-D792B937C744}"/>
    <hyperlink ref="F1260" r:id="rId2466" xr:uid="{52280D6A-B4DD-416D-BF9E-B8254684CA12}"/>
    <hyperlink ref="S1260" r:id="rId2467" xr:uid="{C25146D4-66D3-4438-9BF1-DCF370DE2D54}"/>
    <hyperlink ref="F1261" r:id="rId2468" xr:uid="{586B86BC-D90C-4981-8DA5-341A9FD0A535}"/>
    <hyperlink ref="G1261" r:id="rId2469" xr:uid="{42874E43-18A5-43B7-BC81-E1BF11BE4E5E}"/>
    <hyperlink ref="S1261" r:id="rId2470" xr:uid="{FF2FD45D-38A9-45F4-93D0-08BC5D78C574}"/>
    <hyperlink ref="F1262" r:id="rId2471" xr:uid="{CC2B37B1-ED33-4905-802A-47642F62570A}"/>
    <hyperlink ref="F1263" r:id="rId2472" xr:uid="{28FBA306-9613-45D1-9900-692408A5869C}"/>
    <hyperlink ref="S1264" r:id="rId2473" xr:uid="{3A69C628-A1DC-474D-84FF-83590DC5AC7F}"/>
    <hyperlink ref="G1265" r:id="rId2474" xr:uid="{95CE1C1C-F956-403E-88BC-4BCC57EBCD9F}"/>
    <hyperlink ref="F1266" r:id="rId2475" xr:uid="{6424FBBB-374C-4838-9328-E8C0EB1C9913}"/>
    <hyperlink ref="F1268" r:id="rId2476" xr:uid="{1581E9E8-2C59-4865-8B98-279908EE78C0}"/>
    <hyperlink ref="F1269" r:id="rId2477" xr:uid="{D4D3B9E8-DEB9-43F1-9C98-0B02553D943E}"/>
    <hyperlink ref="S1269" r:id="rId2478" xr:uid="{B76654C9-08BF-4318-8E73-EB813FDABF0E}"/>
    <hyperlink ref="F1270" r:id="rId2479" xr:uid="{13900420-1CD5-4C53-9B5C-53380A2C3796}"/>
    <hyperlink ref="G1270" r:id="rId2480" xr:uid="{FE03E8D4-6AE4-4C88-9996-BC54A91EDC37}"/>
    <hyperlink ref="S1270" r:id="rId2481" xr:uid="{C51FC8C3-CFF1-4B43-A1B7-27E32E37D03E}"/>
    <hyperlink ref="F1271" r:id="rId2482" xr:uid="{0F9DADA1-BECA-4F4B-A899-BAEB88C9CE9E}"/>
    <hyperlink ref="G1271" r:id="rId2483" xr:uid="{179B05EA-5335-4BC5-9F49-2AE09B01E995}"/>
    <hyperlink ref="S1271" r:id="rId2484" xr:uid="{D73D4023-ADE9-43C1-99F1-5386AEEB20C0}"/>
    <hyperlink ref="F1272" r:id="rId2485" xr:uid="{156570B2-EB13-4B8B-9C52-0F566AC345C3}"/>
    <hyperlink ref="S1273" r:id="rId2486" xr:uid="{0F8DDD95-083A-4B7B-A7FD-23B88A1117A8}"/>
    <hyperlink ref="S1274" r:id="rId2487" xr:uid="{A2EEFE65-0ADF-4D85-815F-D0D84B96E982}"/>
    <hyperlink ref="F1275" r:id="rId2488" xr:uid="{25B68C54-5920-4B4A-ABA8-2498620BD37E}"/>
    <hyperlink ref="F1276" r:id="rId2489" xr:uid="{C9158C9B-E183-4436-AE52-3FFEAB678BAD}"/>
    <hyperlink ref="S1276" r:id="rId2490" xr:uid="{08181F92-FB37-44AA-9814-489375966CF8}"/>
    <hyperlink ref="G1277" r:id="rId2491" xr:uid="{9E2F5D69-D4C0-4051-9215-F34202D39A62}"/>
    <hyperlink ref="S1277" r:id="rId2492" xr:uid="{4C6CF711-B548-4BD8-8FA7-0006A1F222AB}"/>
    <hyperlink ref="F1278" r:id="rId2493" xr:uid="{21FEAE45-54AE-4938-853A-044F8D7D968B}"/>
    <hyperlink ref="G1278" r:id="rId2494" xr:uid="{E079FC4F-DC0D-49A8-83D0-29041BB949E9}"/>
    <hyperlink ref="S1278" r:id="rId2495" xr:uid="{128450FF-B53B-44CB-A5AC-43494A6A8E5E}"/>
    <hyperlink ref="F1279" r:id="rId2496" xr:uid="{C459CFF0-E15E-4F18-964E-2878CFED2DC8}"/>
    <hyperlink ref="G1280" r:id="rId2497" xr:uid="{4ED851EA-4015-4079-B5B2-8549E5F84B2E}"/>
    <hyperlink ref="F1281" r:id="rId2498" xr:uid="{5542A372-9805-48CE-B1D7-D24EB1490CC7}"/>
    <hyperlink ref="G1282" r:id="rId2499" xr:uid="{4F2BE71B-1AB2-421F-9207-A0938CB8070C}"/>
    <hyperlink ref="F1283" r:id="rId2500" xr:uid="{1B4BB4F3-FE87-4D8A-9AAD-4AEDBF9ABFE8}"/>
    <hyperlink ref="S1283" r:id="rId2501" xr:uid="{BB1BDBCD-4FE4-42C7-BFB8-62FC459CA825}"/>
    <hyperlink ref="F1284" r:id="rId2502" xr:uid="{617E67E5-F8D3-4369-ACEF-0E58ED828AB0}"/>
    <hyperlink ref="S1284" r:id="rId2503" xr:uid="{967C9640-99CD-4E97-95C5-B57C153D343B}"/>
    <hyperlink ref="F1285" r:id="rId2504" xr:uid="{83B84CA9-8203-4F40-98E6-A5C20557A5B5}"/>
    <hyperlink ref="S1285" r:id="rId2505" xr:uid="{5F137806-1D80-406A-84F5-20DE733D93F3}"/>
    <hyperlink ref="F1286" r:id="rId2506" xr:uid="{4130EC30-70CF-4B81-8822-69D6AA2A9728}"/>
    <hyperlink ref="F1287" r:id="rId2507" xr:uid="{EE353725-9B81-4474-AE99-B911FB5AA800}"/>
    <hyperlink ref="F1288" r:id="rId2508" xr:uid="{1A42266E-F164-4C24-9276-384785E5C397}"/>
    <hyperlink ref="G1288" r:id="rId2509" xr:uid="{7286F5FA-062D-4CE7-BB16-C9DD4F67417E}"/>
    <hyperlink ref="S1288" r:id="rId2510" xr:uid="{B654C778-1452-48EC-B464-FB5690A06FD2}"/>
    <hyperlink ref="F1289" r:id="rId2511" xr:uid="{E7272CD1-EAC4-4FCB-9C67-C27066066E86}"/>
    <hyperlink ref="S1289" r:id="rId2512" xr:uid="{B5829089-618B-4F2C-83AA-68B94A3E07B2}"/>
    <hyperlink ref="F1290" r:id="rId2513" xr:uid="{5FED9FA7-7B2D-400C-A646-2AF53879A5B8}"/>
    <hyperlink ref="S1290" r:id="rId2514" xr:uid="{B57C6544-FA25-4553-AE9B-304AB6246459}"/>
    <hyperlink ref="F1291" r:id="rId2515" xr:uid="{CD7D7B50-0E85-4A32-A705-9CFE2A21DF0A}"/>
    <hyperlink ref="G1291" r:id="rId2516" xr:uid="{266709F7-F8A4-49CF-AF94-7983346F0735}"/>
    <hyperlink ref="S1291" r:id="rId2517" xr:uid="{2885D47C-A3DE-4347-9951-8A43123B0A31}"/>
    <hyperlink ref="S1292" r:id="rId2518" xr:uid="{8581C8EC-F9F3-46D0-9574-3C8E70446C72}"/>
    <hyperlink ref="G1293" r:id="rId2519" xr:uid="{0171EBFB-318E-46AA-80DB-DC6AF48F2AA9}"/>
    <hyperlink ref="S1293" r:id="rId2520" xr:uid="{89EF24ED-6EFB-4683-B85E-746E310976B1}"/>
    <hyperlink ref="F1294" r:id="rId2521" xr:uid="{06732B3D-A5A7-4BF2-88A3-444A9414CA72}"/>
    <hyperlink ref="G1294" r:id="rId2522" xr:uid="{D03CD3CE-C44F-4AEE-A9F4-32833291F25A}"/>
    <hyperlink ref="F1295" r:id="rId2523" xr:uid="{03565A72-FC3F-4E8B-99F0-F68A97F895C2}"/>
    <hyperlink ref="S1295" r:id="rId2524" xr:uid="{C60B94C9-ED3F-422F-8C3C-23B367ADE797}"/>
    <hyperlink ref="C1296" r:id="rId2525" xr:uid="{B8F37453-7660-4D7D-9A77-778F5A06968D}"/>
    <hyperlink ref="F1296" r:id="rId2526" xr:uid="{F2B204A3-FB07-467D-AECA-F60A4D3D233A}"/>
    <hyperlink ref="S1296" r:id="rId2527" xr:uid="{1BAA7333-E725-4A7B-A3DD-1D7A6BE4D45D}"/>
    <hyperlink ref="F1297" r:id="rId2528" xr:uid="{CEE1F20F-95F3-4DB1-899C-BDC2278BD89E}"/>
    <hyperlink ref="F1298" r:id="rId2529" xr:uid="{0391ED0C-8DFB-4CE9-8FF3-E314674851A3}"/>
    <hyperlink ref="G1298" r:id="rId2530" xr:uid="{BD76CCF5-6FF2-4DD9-90FE-1110DECD511E}"/>
    <hyperlink ref="S1298" r:id="rId2531" xr:uid="{CBE5318B-185C-4965-AF91-0618FAC84B44}"/>
    <hyperlink ref="F1299" r:id="rId2532" xr:uid="{D23BBAB4-13CD-4824-80A6-B2AC1779F389}"/>
    <hyperlink ref="S1299" r:id="rId2533" xr:uid="{3F1EBA2C-0471-4C00-A1C9-44120B430965}"/>
    <hyperlink ref="G1300" r:id="rId2534" xr:uid="{18E6B779-11FD-464E-99CC-3757164485D1}"/>
    <hyperlink ref="F1301" r:id="rId2535" xr:uid="{B0E439D9-8217-4764-91F2-79D0BF8CDDCB}"/>
    <hyperlink ref="G1301" r:id="rId2536" xr:uid="{043F01CA-4871-4CEB-BA80-F5A04A7343B0}"/>
    <hyperlink ref="S1301" r:id="rId2537" xr:uid="{E87F424C-1679-46E7-BCF3-C79B165DCABE}"/>
    <hyperlink ref="F1302" r:id="rId2538" xr:uid="{46BC3ACF-371B-41F3-B6D3-C1516F06A76C}"/>
    <hyperlink ref="S1302" r:id="rId2539" xr:uid="{E1830944-3A5B-4D53-A295-3A8D7FD69099}"/>
    <hyperlink ref="F1303" r:id="rId2540" xr:uid="{ABF289E5-6E93-4C93-80E5-375AF8F39E9A}"/>
    <hyperlink ref="F1304" r:id="rId2541" xr:uid="{E28D70FE-A5CD-4B33-B22F-45DFF5ED398C}"/>
    <hyperlink ref="S1304" r:id="rId2542" xr:uid="{A6C586B2-C037-4703-8D1C-62B5B6C0429E}"/>
    <hyperlink ref="F1305" r:id="rId2543" xr:uid="{EDC7C2F9-8E04-44F5-B099-76D1DCC22F9B}"/>
    <hyperlink ref="S1305" r:id="rId2544" xr:uid="{6B0F9DCA-4B00-4EF5-84BC-7C1E2939AACF}"/>
    <hyperlink ref="F1306" r:id="rId2545" xr:uid="{6A7DAE08-1817-44F5-9FA3-926042F9E7B4}"/>
    <hyperlink ref="G1306" r:id="rId2546" xr:uid="{1988CFCB-C631-4202-B183-6E4C789BFEB4}"/>
    <hyperlink ref="S1306" r:id="rId2547" xr:uid="{F7C9E3EF-D4E3-4849-815A-0F998AB83C65}"/>
    <hyperlink ref="F1308" r:id="rId2548" xr:uid="{176CC9ED-7BE9-45C7-A76D-56864586142C}"/>
    <hyperlink ref="S1308" r:id="rId2549" xr:uid="{A12E8440-69A1-4705-B80D-4F0ACC47437E}"/>
    <hyperlink ref="F1309" r:id="rId2550" xr:uid="{E73EED97-86B3-4474-8F89-E7DA91743921}"/>
    <hyperlink ref="G1309" r:id="rId2551" xr:uid="{02FCEE01-A263-42E4-BC66-98FE8F7DA8DE}"/>
    <hyperlink ref="S1309" r:id="rId2552" xr:uid="{0D278DAB-B05B-4A67-BCF5-840D2FDBB5ED}"/>
    <hyperlink ref="F1310" r:id="rId2553" xr:uid="{E1F1AC7E-689F-4328-BBFA-D153BB3C2695}"/>
    <hyperlink ref="S1311" r:id="rId2554" xr:uid="{53B34B24-B5D8-42B8-9DD4-5DF386A341A7}"/>
    <hyperlink ref="F1312" r:id="rId2555" xr:uid="{9BBDA2AA-AB18-4DF2-A9F7-3552E95B2EC1}"/>
    <hyperlink ref="S1312" r:id="rId2556" xr:uid="{2F9AB1CD-C42B-449A-8622-793FDAB2F717}"/>
    <hyperlink ref="F1313" r:id="rId2557" xr:uid="{0B5B161D-198C-4108-AB64-53474C8760A9}"/>
    <hyperlink ref="S1313" r:id="rId2558" xr:uid="{AEF12648-B5B3-4C9F-8703-8EAF073A2D22}"/>
    <hyperlink ref="F1314" r:id="rId2559" xr:uid="{0F50C781-37AA-4BFC-BA8B-4DE0255FCDE1}"/>
    <hyperlink ref="F1315" r:id="rId2560" xr:uid="{E20C7365-0FF6-4EC2-A4E3-91FEA8B5C41C}"/>
    <hyperlink ref="S1315" r:id="rId2561" xr:uid="{49B9A16C-DCD3-469C-8DA4-23E14280EA79}"/>
    <hyperlink ref="F1316" r:id="rId2562" xr:uid="{AB8FE51E-FA5E-40B1-B08F-B0943F826731}"/>
    <hyperlink ref="S1316" r:id="rId2563" xr:uid="{9BC43ED3-3F24-4F6C-8AB2-B5C1B4E2F381}"/>
    <hyperlink ref="F1317" r:id="rId2564" xr:uid="{63D0F23F-6E68-4B00-88A2-191E25A31CD7}"/>
    <hyperlink ref="S1317" r:id="rId2565" xr:uid="{9DFDAB46-E134-4333-BFA9-73A5E9B45C60}"/>
    <hyperlink ref="F1318" r:id="rId2566" xr:uid="{CC190F97-D97D-491A-834F-0EF500895A66}"/>
    <hyperlink ref="F1319" r:id="rId2567" xr:uid="{51BB2241-74B2-49EE-A7F6-A1FD1FD6B9F0}"/>
    <hyperlink ref="S1319" r:id="rId2568" xr:uid="{8C42389B-8E66-46D2-BB22-40B2AE57C02B}"/>
    <hyperlink ref="F1320" r:id="rId2569" xr:uid="{6E388AD5-DCA2-4827-83ED-E9A94D8F7AF3}"/>
    <hyperlink ref="S1320" r:id="rId2570" xr:uid="{9FA28BA8-3B8B-4AA2-9436-FD8348D29692}"/>
    <hyperlink ref="F1321" r:id="rId2571" xr:uid="{482D3A31-D88D-4C63-B95D-78BC215A2087}"/>
    <hyperlink ref="G1321" r:id="rId2572" xr:uid="{549F0778-B1BF-49A0-B516-4887EDE7C588}"/>
    <hyperlink ref="S1321" r:id="rId2573" xr:uid="{7558850E-9161-4A9B-A6E3-AAF50B8D8C61}"/>
    <hyperlink ref="F1322" r:id="rId2574" xr:uid="{FD83026E-F262-449A-B1AA-F6D02A459A00}"/>
    <hyperlink ref="G1322" r:id="rId2575" xr:uid="{D5F9E149-BBD1-49CF-AA15-6E7511C47CD8}"/>
    <hyperlink ref="S1322" r:id="rId2576" xr:uid="{A055B640-2B83-4CEF-8C32-EFB7BFE25637}"/>
    <hyperlink ref="F1323" r:id="rId2577" xr:uid="{59BEAA6C-62A9-4F57-B2BA-8E389A775E6C}"/>
    <hyperlink ref="S1323" r:id="rId2578" xr:uid="{8B6A702F-53CB-4F83-BD6B-A0EA22B29B4E}"/>
    <hyperlink ref="F1324" r:id="rId2579" xr:uid="{63F5A5B6-B986-4658-98BC-B7905143078E}"/>
    <hyperlink ref="G1325" r:id="rId2580" xr:uid="{20CC9B6E-E21B-47F2-8425-7BB460D2F387}"/>
    <hyperlink ref="S1325" r:id="rId2581" xr:uid="{ECC37EC2-B431-47A0-A450-C76784AAE894}"/>
    <hyperlink ref="F1326" r:id="rId2582" xr:uid="{454468FE-69BE-4820-8807-4BE4DBC8B3CD}"/>
    <hyperlink ref="S1326" r:id="rId2583" xr:uid="{AC422696-656D-4608-8FC5-9461E03CCA86}"/>
    <hyperlink ref="F1327" r:id="rId2584" xr:uid="{18FA6EFE-6168-4D65-9AC6-69CC8123D300}"/>
    <hyperlink ref="S1328" r:id="rId2585" xr:uid="{79462072-0F09-4D9A-AF17-C6F9EE912E83}"/>
    <hyperlink ref="F1329" r:id="rId2586" xr:uid="{0299D4EC-720B-41F6-B68F-8B33A22BAE7B}"/>
    <hyperlink ref="F1330" r:id="rId2587" xr:uid="{ACD30622-9D48-4CEB-A8B3-CE1A6DA33591}"/>
    <hyperlink ref="G1330" r:id="rId2588" xr:uid="{22EF96AF-AB9F-48DF-8308-76D6F4429E29}"/>
    <hyperlink ref="S1330" r:id="rId2589" xr:uid="{1B3FBF19-F10B-4C47-8828-49581241AB1A}"/>
    <hyperlink ref="F1331" r:id="rId2590" xr:uid="{5B08FB75-AFF1-459B-8E9D-673A56C5E331}"/>
    <hyperlink ref="F1332" r:id="rId2591" xr:uid="{E8B7BE46-912B-4497-82EC-9DE8D6C13A3D}"/>
    <hyperlink ref="S1332" r:id="rId2592" xr:uid="{087116EA-79B6-4605-BAB9-C17A8F544F7A}"/>
    <hyperlink ref="F1333" r:id="rId2593" xr:uid="{5AAAD31D-CB7D-4CD6-BDB7-5882B40A5B2B}"/>
    <hyperlink ref="F1334" r:id="rId2594" xr:uid="{205DF9C0-A04B-4786-8B6B-C83C24D7B1CE}"/>
    <hyperlink ref="S1334" r:id="rId2595" xr:uid="{C626E24A-5D6C-44FE-B8DD-7CFCA88F7B1E}"/>
    <hyperlink ref="S1335" r:id="rId2596" xr:uid="{D2DB3FB8-532E-4867-A5EB-6D7DF980162D}"/>
    <hyperlink ref="F1336" r:id="rId2597" xr:uid="{B93CC9F7-634F-4A0C-97D7-381D6322569E}"/>
    <hyperlink ref="S1336" r:id="rId2598" xr:uid="{2AF5CD6C-3879-475C-A9E4-FB307AE1CDB9}"/>
    <hyperlink ref="F1337" r:id="rId2599" xr:uid="{4B9B38C2-0FC6-4961-88FC-40823D560FE9}"/>
    <hyperlink ref="F1338" r:id="rId2600" xr:uid="{E8452B02-C49F-4910-BC65-CD489EF2AFB3}"/>
    <hyperlink ref="S1338" r:id="rId2601" xr:uid="{E4AFFC36-8091-47EE-940B-C88192E5F83D}"/>
    <hyperlink ref="F1339" r:id="rId2602" location="ftag=CAD590a51e" xr:uid="{8331F8B9-03B9-4C1C-8879-A1D7473781A6}"/>
    <hyperlink ref="G1339" r:id="rId2603" xr:uid="{8D9F195B-AE88-4F4E-B90F-FD5279DEE50B}"/>
    <hyperlink ref="S1340" r:id="rId2604" xr:uid="{9DAB2406-EFD4-4700-BBC0-224F2A3D0AB0}"/>
    <hyperlink ref="F1341" r:id="rId2605" xr:uid="{5433A4CD-9415-4471-8DE1-61D3E9533AD9}"/>
    <hyperlink ref="G1341" r:id="rId2606" xr:uid="{EA2C19E6-5805-456D-BC61-A61E74666BB0}"/>
    <hyperlink ref="S1341" r:id="rId2607" xr:uid="{97764394-1612-4B8E-8B46-5CEA36286A6C}"/>
    <hyperlink ref="F1342" r:id="rId2608" xr:uid="{8307929C-3CDA-4BEF-8D47-A08A3F63DA09}"/>
    <hyperlink ref="G1342" r:id="rId2609" xr:uid="{46DFB981-8B09-4D06-9C28-0C7C8E3BCE42}"/>
    <hyperlink ref="S1342" r:id="rId2610" xr:uid="{DE6A9CE5-9431-4466-A101-2E78F3319083}"/>
    <hyperlink ref="F1343" r:id="rId2611" xr:uid="{AF5B6F75-21F6-4E74-85AD-8A8F3AC6EC3B}"/>
    <hyperlink ref="S1343" r:id="rId2612" xr:uid="{CB26CBFD-7D8B-4710-8B04-09FA4436D8EE}"/>
    <hyperlink ref="G1344" r:id="rId2613" xr:uid="{107686B1-4760-4898-B272-291A96ABE533}"/>
    <hyperlink ref="S1344" r:id="rId2614" xr:uid="{CAD90EE8-8F5C-42B1-9621-5099BD643E6B}"/>
    <hyperlink ref="G1345" r:id="rId2615" xr:uid="{A7EAB8EF-2EBA-4F08-AE2F-3350F67EFCF9}"/>
    <hyperlink ref="S1345" r:id="rId2616" xr:uid="{F0791B53-36D0-4842-A7C9-0750D1840976}"/>
    <hyperlink ref="F1346" r:id="rId2617" xr:uid="{0EE2DD09-9772-40C4-8A47-BE50B0459B97}"/>
    <hyperlink ref="S1346" r:id="rId2618" xr:uid="{3D71CD95-6486-46F0-811D-FEEC20F791CC}"/>
    <hyperlink ref="F1347" r:id="rId2619" xr:uid="{1F8421B5-EDB2-46C8-A45C-9E3C63122D3A}"/>
    <hyperlink ref="S1347" r:id="rId2620" xr:uid="{A8DB4115-EE5E-4742-A576-440AD393F472}"/>
    <hyperlink ref="F1348" r:id="rId2621" xr:uid="{40398527-E4F6-4D09-A422-8252149924C4}"/>
    <hyperlink ref="G1348" r:id="rId2622" xr:uid="{75DB19DD-C59C-4EC1-8FA5-E15C2726BE98}"/>
    <hyperlink ref="F1349" r:id="rId2623" xr:uid="{679EF979-FE8C-4FB2-9EF2-160123D66E06}"/>
    <hyperlink ref="S1349" r:id="rId2624" xr:uid="{029E28E1-0E13-4D8F-B3D1-87913AFF725F}"/>
    <hyperlink ref="G1350" r:id="rId2625" xr:uid="{34C37483-068E-4434-B01E-A351FCE783BA}"/>
    <hyperlink ref="F1351" r:id="rId2626" xr:uid="{3D717276-9BEA-48BD-958C-9D9010787827}"/>
    <hyperlink ref="S1351" r:id="rId2627" xr:uid="{04F25ADF-1DB9-430A-8EF1-792D63E14633}"/>
    <hyperlink ref="F1352" r:id="rId2628" xr:uid="{87B7AD11-48B4-4DE6-9640-EE6F4CD72DB5}"/>
    <hyperlink ref="S1352" r:id="rId2629" xr:uid="{BE63E6C5-EF18-4797-A27D-86ACDE0D8FA9}"/>
    <hyperlink ref="F1353" r:id="rId2630" xr:uid="{A1919B4E-C53A-4425-AA77-97F143807E15}"/>
    <hyperlink ref="G1353" r:id="rId2631" xr:uid="{B883AC04-240C-465E-AB97-E19A0AF6677C}"/>
    <hyperlink ref="S1353" r:id="rId2632" xr:uid="{54B6D71D-71EE-49FF-8F2E-593C0490AA0B}"/>
    <hyperlink ref="F1354" r:id="rId2633" xr:uid="{1D5426BA-B77D-4268-9693-E007DB0374FD}"/>
    <hyperlink ref="S1354" r:id="rId2634" xr:uid="{FD07A267-DA31-4C17-AA20-223DEE1B4DC3}"/>
    <hyperlink ref="F1355" r:id="rId2635" xr:uid="{57B6A9B0-C56E-48BC-99BF-557475342751}"/>
    <hyperlink ref="G1355" r:id="rId2636" xr:uid="{F1F3B42B-E446-4F16-B49D-7E00FC5A5067}"/>
    <hyperlink ref="F1356" r:id="rId2637" xr:uid="{A78D60B4-4A16-4943-9062-708F9C5A25C8}"/>
    <hyperlink ref="S1356" r:id="rId2638" xr:uid="{9ABCDE0F-0F73-4246-8A97-35C815DBC787}"/>
    <hyperlink ref="F1357" r:id="rId2639" xr:uid="{E7B264D2-C5A9-46E8-B626-613E7AFE3DB2}"/>
    <hyperlink ref="F1358" r:id="rId2640" xr:uid="{97F9684C-2F3A-42DA-B9F8-3573372CBE77}"/>
    <hyperlink ref="S1358" r:id="rId2641" xr:uid="{959E1931-44C6-4653-B486-4CA2172AFF89}"/>
    <hyperlink ref="F1359" r:id="rId2642" xr:uid="{BF6DE003-D8D0-425D-96E2-B519E040A383}"/>
    <hyperlink ref="G1359" r:id="rId2643" xr:uid="{3A8C1F51-EBBC-40F9-A6B5-24F037E4289F}"/>
    <hyperlink ref="S1359" r:id="rId2644" xr:uid="{6C7245DE-43F7-4299-AD83-61A064D26137}"/>
    <hyperlink ref="S1360" r:id="rId2645" xr:uid="{8A7BDE0C-CFB0-4E18-8052-B38771FE0779}"/>
    <hyperlink ref="F1361" r:id="rId2646" xr:uid="{B846FC14-9EC9-4C10-B96C-21759307B9ED}"/>
    <hyperlink ref="S1361" r:id="rId2647" xr:uid="{8D2B00CE-FAE2-45B9-A13C-ADDCE58A7529}"/>
    <hyperlink ref="F1362" r:id="rId2648" xr:uid="{684255B5-B445-4817-BA7D-D024448BE984}"/>
    <hyperlink ref="S1362" r:id="rId2649" xr:uid="{C8A02FFE-F5FE-409F-A906-DE89B4C52F08}"/>
    <hyperlink ref="F1363" r:id="rId2650" xr:uid="{912C380F-4193-49E3-BFFD-BF77C472BDFE}"/>
    <hyperlink ref="S1363" r:id="rId2651" xr:uid="{ADE648F5-69C5-45A5-8277-7D03C40700D7}"/>
    <hyperlink ref="F1364" r:id="rId2652" xr:uid="{09A2D9C1-5ACA-4987-A1A7-3231069654AB}"/>
    <hyperlink ref="G1364" r:id="rId2653" xr:uid="{5A836BC6-C64B-40B3-B506-3AC33C1893B4}"/>
    <hyperlink ref="F1365" r:id="rId2654" xr:uid="{37E444B4-7F70-4936-A317-C1623E7C4C3F}"/>
    <hyperlink ref="S1365" r:id="rId2655" xr:uid="{FE39FC0B-91EB-466C-A5BA-1EEAB5564E08}"/>
    <hyperlink ref="F1366" r:id="rId2656" xr:uid="{FD41DECC-01E0-4422-8E1B-EEEB60D1B0A6}"/>
    <hyperlink ref="G1366" r:id="rId2657" xr:uid="{C041F6ED-B0D7-495C-B52C-1B35254130A6}"/>
    <hyperlink ref="S1366" r:id="rId2658" xr:uid="{C768067C-E9C9-4468-A9CF-E9A26740BE8B}"/>
    <hyperlink ref="G1367" r:id="rId2659" xr:uid="{4D1F1C8B-0B6A-4AFE-9435-FEA59B61377B}"/>
    <hyperlink ref="F1368" r:id="rId2660" xr:uid="{29B579C7-1066-4F16-B717-2762F3519F90}"/>
    <hyperlink ref="S1368" r:id="rId2661" xr:uid="{29886219-47A7-487A-876F-7D07BF4675B6}"/>
    <hyperlink ref="F1369" r:id="rId2662" xr:uid="{3848DDDE-A53E-4CCA-B4AE-1A8D61CD25DA}"/>
    <hyperlink ref="G1369" r:id="rId2663" xr:uid="{731F62D6-0197-4CE6-90E1-10BF42FD5C86}"/>
    <hyperlink ref="S1369" r:id="rId2664" xr:uid="{6A11D45D-13F8-4B25-8FBD-9F8171C4F1B4}"/>
    <hyperlink ref="F1370" r:id="rId2665" xr:uid="{5B220C35-3893-4165-A70D-620B0D812324}"/>
    <hyperlink ref="S1370" r:id="rId2666" xr:uid="{7425A0AC-2C3A-48F5-96E1-B17D35E6BDA0}"/>
    <hyperlink ref="F1371" r:id="rId2667" xr:uid="{C5074AE2-2A11-4486-BAE2-F73F1FCA0E10}"/>
    <hyperlink ref="G1371" r:id="rId2668" xr:uid="{DF2CAF07-70C7-4E66-B7BD-F44993F1FF9F}"/>
    <hyperlink ref="S1371" r:id="rId2669" xr:uid="{C5E541AC-3651-445D-8186-1C5C814237ED}"/>
    <hyperlink ref="F1372" r:id="rId2670" xr:uid="{1E3CC4B7-F63D-4F82-91EE-7D0735358C7B}"/>
    <hyperlink ref="F1373" r:id="rId2671" xr:uid="{9594D8F7-643C-4351-A6F7-BE398B635021}"/>
    <hyperlink ref="G1373" r:id="rId2672" xr:uid="{265BE87E-12F9-4AC6-8F90-4316FA61E5AC}"/>
    <hyperlink ref="F1374" r:id="rId2673" xr:uid="{A7685430-0669-4B5E-8546-4A8BB97A8D2A}"/>
    <hyperlink ref="F1375" r:id="rId2674" xr:uid="{91D70129-EC0C-4221-A09F-7C0D3A7E10AA}"/>
    <hyperlink ref="F1376" r:id="rId2675" xr:uid="{9A04D215-C184-4BAE-B56D-52A23252072F}"/>
    <hyperlink ref="S1376" r:id="rId2676" xr:uid="{8D607D00-9668-4E43-84DD-E7EC5BC6A338}"/>
    <hyperlink ref="F1377" r:id="rId2677" xr:uid="{4D01C155-847D-457D-817D-E648374314A7}"/>
    <hyperlink ref="F1378" r:id="rId2678" xr:uid="{6DDE5196-8F06-4677-A23C-0F68B2D9C8C4}"/>
    <hyperlink ref="S1378" r:id="rId2679" xr:uid="{11615D51-9F98-4BA0-ADAF-24C9E74FCF0E}"/>
    <hyperlink ref="F1379" r:id="rId2680" xr:uid="{59AF500A-29F7-4B78-8387-037F81093B44}"/>
    <hyperlink ref="F1380" r:id="rId2681" xr:uid="{3E866739-7200-4733-AEE2-CBC81FCB9E7C}"/>
    <hyperlink ref="S1380" r:id="rId2682" xr:uid="{D22B8DDE-53B4-4E70-B18C-2AD71B9BA54C}"/>
    <hyperlink ref="F1381" r:id="rId2683" xr:uid="{5D90DC5E-7DA6-4FB3-A0DA-234E582B2782}"/>
    <hyperlink ref="G1381" r:id="rId2684" xr:uid="{DDDBCFA2-D6DC-4023-9C12-7D32DFFF8619}"/>
    <hyperlink ref="S1381" r:id="rId2685" xr:uid="{54179F17-A3CF-444E-ACE5-423863C190D3}"/>
    <hyperlink ref="F1382" r:id="rId2686" xr:uid="{E8D61642-F7CB-41E3-9FF5-97C43BE89006}"/>
    <hyperlink ref="G1382" r:id="rId2687" xr:uid="{9E5C2D07-D88F-4B64-9094-CFE46C9E97F8}"/>
    <hyperlink ref="R1382" r:id="rId2688" xr:uid="{DCC35C8A-73BA-4616-9742-A98CC342B739}"/>
    <hyperlink ref="S1382" r:id="rId2689" xr:uid="{1AD16735-91AE-4011-BDD1-786B9CEF7C92}"/>
    <hyperlink ref="F1383" r:id="rId2690" xr:uid="{B1716C99-1E16-48A8-9CFD-9808E123D745}"/>
    <hyperlink ref="G1383" r:id="rId2691" xr:uid="{E01B244B-1825-4368-8749-8F71A424D2AC}"/>
    <hyperlink ref="S1383" r:id="rId2692" xr:uid="{CD0E190B-1B89-4893-BFFC-3D0150EB168D}"/>
    <hyperlink ref="F1384" r:id="rId2693" xr:uid="{85EBA542-EEBE-4916-8430-C5D23A1AAEE7}"/>
    <hyperlink ref="G1384" r:id="rId2694" xr:uid="{2EA9FE8A-8365-4922-9F54-234D91CFD79B}"/>
    <hyperlink ref="S1384" r:id="rId2695" xr:uid="{7C8FA9F4-E522-4107-8E7F-8D5114CACDEF}"/>
    <hyperlink ref="F1386" r:id="rId2696" xr:uid="{65E09A2E-0A41-470F-B464-71FE89078B47}"/>
    <hyperlink ref="S1386" r:id="rId2697" xr:uid="{A635D76D-1BCB-491C-82EF-7EAF4468218D}"/>
    <hyperlink ref="G1387" r:id="rId2698" xr:uid="{8C0D9482-022B-4013-8F15-8B20BDE1EA66}"/>
    <hyperlink ref="S1387" r:id="rId2699" xr:uid="{0A622CD1-AA60-420B-BA4A-4E00372F88A9}"/>
    <hyperlink ref="F1388" r:id="rId2700" xr:uid="{4BFFEAA7-BC0D-4BB6-AD99-FB876B287D32}"/>
    <hyperlink ref="S1388" r:id="rId2701" xr:uid="{5CD3E87E-F63E-4FF0-96D0-16155A0E1BBF}"/>
    <hyperlink ref="F1389" r:id="rId2702" xr:uid="{6C8B3D70-D7AF-4ABD-88D9-A39139821712}"/>
    <hyperlink ref="S1389" r:id="rId2703" xr:uid="{5B2D18AD-7D24-4513-8507-809798C287AF}"/>
    <hyperlink ref="F1390" r:id="rId2704" xr:uid="{9017666A-D662-4AF2-8525-3D5931BF2E06}"/>
    <hyperlink ref="F1391" r:id="rId2705" xr:uid="{3D04B60D-BC53-4435-9845-7EE58EEAC61A}"/>
    <hyperlink ref="S1391" r:id="rId2706" xr:uid="{E9642D42-6ACE-4623-BD9F-4171187AF429}"/>
    <hyperlink ref="F1392" r:id="rId2707" xr:uid="{97C6ACB7-6DB7-4DED-9D7B-CDD489415C92}"/>
    <hyperlink ref="S1392" r:id="rId2708" xr:uid="{B5642D34-8824-401D-85EF-A0AC01934F31}"/>
    <hyperlink ref="F1393" r:id="rId2709" xr:uid="{5702415B-8D20-46F8-A9CB-FCA3DCEA9A2E}"/>
    <hyperlink ref="S1393" r:id="rId2710" xr:uid="{5943C50B-3483-4F12-9233-90CA85AC3856}"/>
    <hyperlink ref="F1394" r:id="rId2711" xr:uid="{E74C700F-E7ED-40CE-8A6B-B44A1B594F14}"/>
    <hyperlink ref="G1394" r:id="rId2712" xr:uid="{EA534055-4F42-4496-9337-EA79676A5D40}"/>
    <hyperlink ref="F1395" r:id="rId2713" xr:uid="{2AFB717C-8BB6-415A-B3F7-9CC2613B63A1}"/>
    <hyperlink ref="G1395" r:id="rId2714" xr:uid="{E222FDE7-5B01-4282-9800-1C484D561A88}"/>
    <hyperlink ref="S1395" r:id="rId2715" xr:uid="{70C1BDE7-41C9-4A6E-9DB5-59B818B6494D}"/>
    <hyperlink ref="F1396" r:id="rId2716" xr:uid="{F851E39F-5758-472C-9E03-EDC28217E60D}"/>
    <hyperlink ref="S1396" r:id="rId2717" xr:uid="{2A2AED0E-887F-46DD-B343-3B1D226F2CE7}"/>
    <hyperlink ref="S1397" r:id="rId2718" xr:uid="{5BC9F29B-22AF-405B-AADB-04C3A378D81C}"/>
    <hyperlink ref="F1398" r:id="rId2719" xr:uid="{47312DD1-03F3-450A-9E5A-D4506B9FF4BE}"/>
    <hyperlink ref="F1399" r:id="rId2720" xr:uid="{E23752F0-A678-4CCA-9D87-C90BDC9850B8}"/>
    <hyperlink ref="G1399" r:id="rId2721" xr:uid="{5FDF8D18-CD6D-48DC-8CD4-BE680A6F0BCE}"/>
    <hyperlink ref="G1400" r:id="rId2722" xr:uid="{4CB00F47-3607-421B-BED4-0295A5DD7E7F}"/>
    <hyperlink ref="G1401" r:id="rId2723" xr:uid="{E7897014-05E3-4161-8754-04DC4DAFBB98}"/>
    <hyperlink ref="S1401" r:id="rId2724" xr:uid="{7C798568-7FEC-4320-9466-A0540AB45E81}"/>
    <hyperlink ref="F1402" r:id="rId2725" xr:uid="{AC2A683A-B4A1-4030-821E-420BDA4593D6}"/>
    <hyperlink ref="G1402" r:id="rId2726" xr:uid="{7184878B-282B-4616-92F9-F735907B686A}"/>
    <hyperlink ref="S1402" r:id="rId2727" xr:uid="{2CDD6EE6-36D3-4DA5-BFB3-DDC5EE075B39}"/>
    <hyperlink ref="F1403" r:id="rId2728" xr:uid="{6C679AAB-9807-491D-88CA-B5EF7ECAF32C}"/>
    <hyperlink ref="G1403" r:id="rId2729" xr:uid="{1AD599BC-9178-4535-A2BD-F3FEEB6BFE05}"/>
    <hyperlink ref="F1404" r:id="rId2730" xr:uid="{966EFE08-BFEF-4841-B272-370D10FBEAD3}"/>
    <hyperlink ref="S1404" r:id="rId2731" xr:uid="{AE071683-FF21-41AF-9FC1-219414CFCDFD}"/>
    <hyperlink ref="F1405" r:id="rId2732" xr:uid="{15655033-2EB8-47A7-A45F-F86DABAFC85F}"/>
    <hyperlink ref="S1405" r:id="rId2733" xr:uid="{598816A2-C6C0-46A7-B6D4-919910C224F6}"/>
    <hyperlink ref="F1406" r:id="rId2734" xr:uid="{DB058DFE-F61E-472E-9B48-D73C1BDA241B}"/>
    <hyperlink ref="S1406" r:id="rId2735" xr:uid="{594D5EA9-E30E-45BB-A9E9-9F7784B92959}"/>
    <hyperlink ref="F1407" r:id="rId2736" xr:uid="{EA923EC2-69AA-47A3-B1E6-4DB01C1A7DE9}"/>
    <hyperlink ref="G1407" r:id="rId2737" xr:uid="{B4A24FFC-4EF5-46EC-B09F-07224F6A10E2}"/>
    <hyperlink ref="S1407" r:id="rId2738" xr:uid="{09EC9B94-F4B8-4A46-9148-4169F4C13DD7}"/>
    <hyperlink ref="F1408" r:id="rId2739" xr:uid="{BF44E641-3F09-497F-8AE4-0FBD51BDF016}"/>
    <hyperlink ref="G1408" r:id="rId2740" xr:uid="{D499D2D0-6BEB-475C-97DE-737C24894359}"/>
    <hyperlink ref="S1408" r:id="rId2741" xr:uid="{709DCCB1-3299-4FE7-B68D-82A9448F4E56}"/>
    <hyperlink ref="F1409" r:id="rId2742" xr:uid="{AE7BD548-D14E-43B7-9422-EED6BC2457FB}"/>
    <hyperlink ref="G1409" r:id="rId2743" xr:uid="{CA194491-D8BD-44B9-B536-258A38C02642}"/>
    <hyperlink ref="S1409" r:id="rId2744" xr:uid="{BBC9411F-3394-4A95-BF94-33D295B18423}"/>
    <hyperlink ref="F1410" r:id="rId2745" xr:uid="{B5BC37D2-86C2-4699-AB6B-04AC4F1FE610}"/>
    <hyperlink ref="S1410" r:id="rId2746" xr:uid="{993FF450-F035-4E64-83AB-F36EE626E5A2}"/>
    <hyperlink ref="F1411" r:id="rId2747" xr:uid="{6412ED8B-5435-4B10-88AE-AAC0F5EDBD9C}"/>
    <hyperlink ref="G1411" r:id="rId2748" xr:uid="{CE1BD76E-42A2-4753-A6BB-7CA957B7765F}"/>
    <hyperlink ref="S1412" r:id="rId2749" xr:uid="{E4587E32-960F-428B-92C7-17AC02CB11E2}"/>
    <hyperlink ref="F1413" r:id="rId2750" xr:uid="{BBDA8B93-5275-404C-A36E-BCADBEECE7E2}"/>
    <hyperlink ref="S1413" r:id="rId2751" xr:uid="{73EDC779-5C7A-4821-85C8-20099C82834D}"/>
    <hyperlink ref="F1414" r:id="rId2752" xr:uid="{6DD02DE0-5B2D-48D1-9799-F27A453D09A6}"/>
    <hyperlink ref="F1415" r:id="rId2753" xr:uid="{F516B19F-423E-4322-ACC1-297C0E080F94}"/>
    <hyperlink ref="G1415" r:id="rId2754" xr:uid="{9C6C4DA3-C62C-467D-98DC-D9E1D72FCEDC}"/>
    <hyperlink ref="F1416" r:id="rId2755" xr:uid="{BCFEA989-22AF-4879-868A-138F2A384837}"/>
    <hyperlink ref="G1416" r:id="rId2756" xr:uid="{E442B89A-F98C-49DB-BB8D-34E14632085B}"/>
    <hyperlink ref="S1416" r:id="rId2757" xr:uid="{B5EBC755-F0A6-472C-9A63-45825081976E}"/>
    <hyperlink ref="F1417" r:id="rId2758" xr:uid="{0E7FC644-A417-4209-A590-14F388469B47}"/>
    <hyperlink ref="G1417" r:id="rId2759" xr:uid="{778BBCEB-A192-401C-9FED-EDE73312FB3A}"/>
    <hyperlink ref="S1417" r:id="rId2760" xr:uid="{B95484B0-70A9-4A12-A764-2B646904C867}"/>
    <hyperlink ref="F1418" r:id="rId2761" xr:uid="{919E41B9-6C5A-4588-8D70-1BFA5C6247CF}"/>
    <hyperlink ref="F1419" r:id="rId2762" xr:uid="{CAAFB6DF-1AB2-4C7E-B4CA-6BD860B1CEBE}"/>
    <hyperlink ref="G1419" r:id="rId2763" xr:uid="{DEE29B50-0C57-4967-8A5A-A96AE6F652C7}"/>
    <hyperlink ref="F1420" r:id="rId2764" xr:uid="{47D87741-6BBD-4BF7-A52A-5A58D40A3C18}"/>
    <hyperlink ref="G1420" r:id="rId2765" xr:uid="{EA9EFCC5-A24A-40A5-8BCB-842DB5D59E9E}"/>
    <hyperlink ref="F1421" r:id="rId2766" xr:uid="{BBAFB5E5-504C-4B0D-8F26-5163D1A87A04}"/>
    <hyperlink ref="S1421" r:id="rId2767" xr:uid="{A497A748-AB02-494C-9C05-F5E5C25804F4}"/>
    <hyperlink ref="F1422" r:id="rId2768" xr:uid="{5A121CFA-025B-433B-BB54-0AC5690C3252}"/>
    <hyperlink ref="G1422" r:id="rId2769" xr:uid="{441E7FFD-4F5F-4ED3-B47A-31C9B62F512A}"/>
    <hyperlink ref="F1423" r:id="rId2770" xr:uid="{4F1A3A7D-FC00-4ABB-BEEF-9A92AD4133D5}"/>
    <hyperlink ref="G1423" r:id="rId2771" xr:uid="{01A6045D-5781-4A0D-89EF-2FA9F6867BD2}"/>
    <hyperlink ref="G1424" r:id="rId2772" xr:uid="{28B37F52-2B00-491B-8813-42579AE3B2EA}"/>
    <hyperlink ref="F1425" r:id="rId2773" xr:uid="{DE640434-727B-43D8-8A0B-E49BD9D1C6D4}"/>
    <hyperlink ref="G1425" r:id="rId2774" xr:uid="{C749742A-0A77-4CFB-BE27-A71D51A69B7D}"/>
    <hyperlink ref="S1425" r:id="rId2775" xr:uid="{2052A30E-1ADE-43FE-891E-0AE2DE0A48AF}"/>
    <hyperlink ref="F1426" r:id="rId2776" xr:uid="{FEF4E0F2-5858-4B8C-9B07-D117A30991DE}"/>
    <hyperlink ref="G1426" r:id="rId2777" xr:uid="{01075721-B9CA-4471-A20F-48B7ABB136A6}"/>
    <hyperlink ref="S1426" r:id="rId2778" xr:uid="{50CFE537-2518-4D10-B03B-6E52910A44C4}"/>
    <hyperlink ref="F1427" r:id="rId2779" xr:uid="{7600E9CD-6CEF-4020-AAD8-74C46B574069}"/>
    <hyperlink ref="G1427" r:id="rId2780" xr:uid="{2354E4E8-C67B-49CF-A02E-43DF28B1D7A4}"/>
    <hyperlink ref="F1428" r:id="rId2781" xr:uid="{A2444AD3-E18C-4631-A1D9-A97C28EB2CEB}"/>
    <hyperlink ref="F1429" r:id="rId2782" xr:uid="{208FB886-D865-421A-A989-10B248F1D148}"/>
    <hyperlink ref="G1429" r:id="rId2783" xr:uid="{940A5E2D-3073-4FFF-A4D0-6FB87E6BB262}"/>
    <hyperlink ref="S1429" r:id="rId2784" xr:uid="{117D7207-1C15-419F-82A5-B5A8955738EA}"/>
    <hyperlink ref="F1430" r:id="rId2785" xr:uid="{9915BB41-709B-4FE8-9BCA-296AB1B2C949}"/>
    <hyperlink ref="F1431" r:id="rId2786" xr:uid="{A4C0C391-27E1-432A-A858-32AE20EDB84D}"/>
    <hyperlink ref="S1431" r:id="rId2787" xr:uid="{4E03F075-2370-45F8-8F8E-0FE7943F51EC}"/>
    <hyperlink ref="F1432" r:id="rId2788" xr:uid="{622EBDD7-1F7B-492D-8D4B-CD516A453A70}"/>
    <hyperlink ref="G1432" r:id="rId2789" xr:uid="{DA3EA146-CB41-4D32-BAED-EA72EBDB3D7A}"/>
    <hyperlink ref="S1432" r:id="rId2790" xr:uid="{89A18E8B-8D3E-4480-93BC-5CEBDCC38A3F}"/>
    <hyperlink ref="F1433" r:id="rId2791" xr:uid="{0B7B9DA0-ABBD-450C-B948-6E65832123FF}"/>
    <hyperlink ref="G1433" r:id="rId2792" xr:uid="{DB276CB0-476B-488B-8A5C-B6880D943059}"/>
    <hyperlink ref="F1434" r:id="rId2793" xr:uid="{BDBDED33-1CEE-4719-8217-546BBB63CDD3}"/>
    <hyperlink ref="G1434" r:id="rId2794" xr:uid="{80D51B82-4E71-4E71-966A-0310558AA56A}"/>
    <hyperlink ref="S1434" r:id="rId2795" xr:uid="{73F2326C-6AD7-4540-BDC0-F2D68F4C6AF2}"/>
    <hyperlink ref="F1435" r:id="rId2796" xr:uid="{48968752-0923-411B-8DBB-4C93EF933DFB}"/>
    <hyperlink ref="G1435" r:id="rId2797" xr:uid="{D01C1669-7F66-4053-91EA-D2B433112BF1}"/>
    <hyperlink ref="F1436" r:id="rId2798" xr:uid="{818013E0-6129-4B88-9CA1-66B0F9C9AAE8}"/>
    <hyperlink ref="G1436" r:id="rId2799" xr:uid="{52DBDA0D-1030-4893-93F5-308472E5FCD5}"/>
    <hyperlink ref="S1436" r:id="rId2800" xr:uid="{6CDD0EA6-D246-4921-BD59-FAFCD0A15D60}"/>
    <hyperlink ref="F1437" r:id="rId2801" xr:uid="{C23DFABD-A101-447E-87DA-1F073D77E378}"/>
    <hyperlink ref="S1437" r:id="rId2802" xr:uid="{DABEC7DC-D74D-4375-983C-2295A833A2A9}"/>
    <hyperlink ref="F1438" r:id="rId2803" xr:uid="{9BD9223E-3AAA-43ED-9E36-733F44BEB807}"/>
    <hyperlink ref="S1438" r:id="rId2804" xr:uid="{D23B6307-E7FE-49ED-B10B-947BCC432E67}"/>
    <hyperlink ref="F1439" r:id="rId2805" xr:uid="{F00B3C7B-E840-4FDC-BF2F-2D9455E188CA}"/>
    <hyperlink ref="S1439" r:id="rId2806" xr:uid="{BF2440A7-FDC1-4310-9A51-A03184E8D502}"/>
    <hyperlink ref="F1440" r:id="rId2807" xr:uid="{CBCA9AAB-145C-4B4D-BFA6-3E147123FA4B}"/>
    <hyperlink ref="G1440" r:id="rId2808" xr:uid="{F517C614-E207-4C5F-899F-83BC2D9109AD}"/>
    <hyperlink ref="S1440" r:id="rId2809" xr:uid="{6ACEA18D-472F-4349-ABA3-82D89C305EEF}"/>
    <hyperlink ref="F1441" r:id="rId2810" xr:uid="{18E390D6-593D-401E-AA53-65E0A418F8CD}"/>
    <hyperlink ref="S1441" r:id="rId2811" xr:uid="{2B052347-AAEC-4E7B-B224-B14CC8973476}"/>
    <hyperlink ref="F1442" r:id="rId2812" xr:uid="{65A47ABB-84DA-4A33-AC46-F35F949231B1}"/>
    <hyperlink ref="S1442" r:id="rId2813" xr:uid="{A88E0050-138D-4604-A778-F62F92CD8757}"/>
    <hyperlink ref="F1443" r:id="rId2814" xr:uid="{C96E4B62-154C-41EE-991F-C53865805757}"/>
    <hyperlink ref="G1443" r:id="rId2815" xr:uid="{5DB7D908-73E1-4205-86BA-559EA7888D3A}"/>
    <hyperlink ref="S1443" r:id="rId2816" xr:uid="{7A0AC25D-D64C-441D-95A6-0D0FB1ED0D4B}"/>
    <hyperlink ref="F1444" r:id="rId2817" xr:uid="{82C50ACF-F786-4736-9B5E-472B7F8C858F}"/>
    <hyperlink ref="G1444" r:id="rId2818" xr:uid="{0384D2FB-9F4B-4BE6-821A-2156A87B7185}"/>
    <hyperlink ref="S1444" r:id="rId2819" xr:uid="{D341B8AF-220B-4FA1-B8AD-6F2580C5958B}"/>
    <hyperlink ref="C1445" r:id="rId2820" xr:uid="{FC9FC29C-BBC4-4742-901B-3305A23352C3}"/>
    <hyperlink ref="G1445" r:id="rId2821" xr:uid="{7026AB84-76CA-49D5-8728-E862ABC9093C}"/>
    <hyperlink ref="S1445" r:id="rId2822" xr:uid="{3A3B4D8D-0032-4075-B40A-C9A70EAA6ED2}"/>
    <hyperlink ref="F1446" r:id="rId2823" xr:uid="{91527A58-B364-4C65-8AA3-662F035E6D3D}"/>
    <hyperlink ref="S1446" r:id="rId2824" xr:uid="{B55A3C26-4AF2-4D13-A176-C713B4021205}"/>
    <hyperlink ref="F1447" r:id="rId2825" xr:uid="{8572EC52-EACE-4C3F-8D0E-E0E281A6AD2F}"/>
    <hyperlink ref="S1447" r:id="rId2826" xr:uid="{9514544D-87F6-43E9-9A8B-D18468F9D60E}"/>
    <hyperlink ref="G1448" r:id="rId2827" xr:uid="{AB77BAEE-B611-4653-8A12-B150D4BD2689}"/>
    <hyperlink ref="F1449" r:id="rId2828" xr:uid="{28E21902-0876-4071-AA22-C2AA82E3AD2B}"/>
    <hyperlink ref="G1449" r:id="rId2829" xr:uid="{0D277E18-5686-47C4-A52B-89E5687071CF}"/>
    <hyperlink ref="F1450" r:id="rId2830" xr:uid="{A9010092-D046-461E-A24E-26CD102D6C42}"/>
    <hyperlink ref="G1450" r:id="rId2831" xr:uid="{D75A1146-C22F-4082-986C-194E1005F63F}"/>
    <hyperlink ref="S1450" r:id="rId2832" xr:uid="{49CFA247-4960-4575-A90B-1600030144E9}"/>
    <hyperlink ref="F1451" r:id="rId2833" xr:uid="{848C5F35-8BF3-41D7-A0EF-674945983900}"/>
    <hyperlink ref="G1451" r:id="rId2834" xr:uid="{CAC36AF4-53CE-4E0F-94E5-3E36823493D5}"/>
    <hyperlink ref="F1452" r:id="rId2835" xr:uid="{64BC427A-8443-442F-BCEF-CA8CE06B6D49}"/>
    <hyperlink ref="G1452" r:id="rId2836" xr:uid="{17B56AA8-74A2-42F5-B2F4-C1B99E4F1189}"/>
    <hyperlink ref="F1453" r:id="rId2837" xr:uid="{D7D23025-6932-4032-B9EE-A2C8E5E79DD2}"/>
    <hyperlink ref="G1453" r:id="rId2838" xr:uid="{6B67F4E7-5166-4F49-BAA5-BBFA01587242}"/>
    <hyperlink ref="S1453" r:id="rId2839" xr:uid="{4898A80C-FCF9-4CDA-9E49-0F0CB8BF1D04}"/>
    <hyperlink ref="G1454" r:id="rId2840" xr:uid="{9ABBD23C-FBF3-41F0-B070-4D92692904B6}"/>
    <hyperlink ref="S1454" r:id="rId2841" xr:uid="{83A101E6-9ABE-41AD-90A3-B40B78F2869B}"/>
    <hyperlink ref="F1455" r:id="rId2842" xr:uid="{3B91F4C6-981B-457C-83EB-BF46E2298A51}"/>
    <hyperlink ref="G1455" r:id="rId2843" xr:uid="{0CDCC9A4-7A3F-4637-AA7D-1F8337E10A4F}"/>
    <hyperlink ref="F1456" r:id="rId2844" location=".YDTCWG2zW4k.twitter" xr:uid="{934B9EF1-B0AF-4EF3-9146-31A8F6E6C5C4}"/>
    <hyperlink ref="S1456" r:id="rId2845" xr:uid="{90C405D7-4BD9-49DA-9C86-00A8A7803FF3}"/>
    <hyperlink ref="F1457" r:id="rId2846" xr:uid="{0FC3559A-B19E-4688-B9D1-D54F789C41A6}"/>
    <hyperlink ref="G1457" r:id="rId2847" xr:uid="{45AF2027-6D8B-44E9-8B69-B08A36C0060B}"/>
    <hyperlink ref="F1458" r:id="rId2848" xr:uid="{216FA0E6-25A2-4013-AA5B-4626B4984D04}"/>
    <hyperlink ref="G1458" r:id="rId2849" xr:uid="{209376BD-125F-4607-96A3-95AB25CF8635}"/>
    <hyperlink ref="S1458" r:id="rId2850" xr:uid="{AD7A81B9-0832-496F-AD46-F4E4492251C2}"/>
    <hyperlink ref="F1459" r:id="rId2851" xr:uid="{04D1A781-2C72-4E3B-8B5E-6FF9EA30E277}"/>
    <hyperlink ref="G1459" r:id="rId2852" xr:uid="{9E659641-4615-4ACD-9143-F1F945E03CEB}"/>
    <hyperlink ref="S1459" r:id="rId2853" xr:uid="{73A5BF85-5F9B-4001-B696-AFBE674D70FB}"/>
    <hyperlink ref="F1460" r:id="rId2854" xr:uid="{3B598A3D-3E4C-472B-A5F3-5C95DCBD37E4}"/>
    <hyperlink ref="G1460" r:id="rId2855" xr:uid="{7176E7F2-D256-4E4D-A6EF-5ECC664BA599}"/>
    <hyperlink ref="F1461" r:id="rId2856" xr:uid="{20616A3B-ABB4-4976-B797-66DCD9888C7A}"/>
    <hyperlink ref="G1461" r:id="rId2857" xr:uid="{F89C723C-7F35-480F-8707-B65B331955FA}"/>
    <hyperlink ref="F1462" r:id="rId2858" xr:uid="{C1AC8813-FB55-4E27-A22A-07C6CF3E2822}"/>
    <hyperlink ref="S1462" r:id="rId2859" xr:uid="{189C30F5-9B3A-4AFD-8C79-F282FE95906D}"/>
    <hyperlink ref="S1463" r:id="rId2860" xr:uid="{A624DE4C-B2CE-490D-99F8-42084F209F1C}"/>
    <hyperlink ref="F1464" r:id="rId2861" xr:uid="{9236C9B9-087C-45B9-A528-C779EC29E588}"/>
    <hyperlink ref="S1464" r:id="rId2862" xr:uid="{D74FA90C-DF71-4653-AC0E-F0D0CD547AD4}"/>
    <hyperlink ref="F1465" r:id="rId2863" xr:uid="{78D99A7E-AD51-4906-91C5-8DEBC51D073D}"/>
    <hyperlink ref="S1465" r:id="rId2864" xr:uid="{6786C4ED-703A-4E37-844F-1E75E28E4E8D}"/>
    <hyperlink ref="F1466" r:id="rId2865" xr:uid="{882EDFD2-AA14-4BE4-84EE-A17394B21288}"/>
    <hyperlink ref="S1466" r:id="rId2866" xr:uid="{B876E1B3-6ACB-4392-B313-8651103E9BB9}"/>
    <hyperlink ref="F1467" r:id="rId2867" xr:uid="{B1F837DD-F750-4A98-9740-153CF6332607}"/>
    <hyperlink ref="S1467" r:id="rId2868" xr:uid="{CB97A332-F0C9-49CC-A8C8-AABC23A83925}"/>
    <hyperlink ref="F1468" r:id="rId2869" xr:uid="{2CD7ADBD-98D9-4DC3-A2FE-56B981E961EF}"/>
    <hyperlink ref="S1468" r:id="rId2870" xr:uid="{88B3A430-5324-4AA8-8139-CB5B7D439567}"/>
    <hyperlink ref="F1469" r:id="rId2871" xr:uid="{194D5B76-629C-42ED-8143-17A02793C09D}"/>
    <hyperlink ref="S1469" r:id="rId2872" xr:uid="{8BAD81C5-F2D6-4B5B-A27F-364AA1487D8E}"/>
    <hyperlink ref="F1470" r:id="rId2873" xr:uid="{5AE74379-A196-4C36-AB3E-EED4680AB2E8}"/>
    <hyperlink ref="G1470" r:id="rId2874" xr:uid="{8CD279EF-451D-485F-9607-111F7E683F78}"/>
    <hyperlink ref="F1471" r:id="rId2875" xr:uid="{AF1813CB-EA31-43A3-AC66-18FE2AF19092}"/>
    <hyperlink ref="S1471" r:id="rId2876" xr:uid="{77BB4A86-C049-40BB-AD25-1C5E6890D95B}"/>
    <hyperlink ref="F1472" r:id="rId2877" xr:uid="{89AFBBA6-ACE2-4E4A-A98F-CE264F81D1DC}"/>
    <hyperlink ref="S1472" r:id="rId2878" xr:uid="{758BF6AE-DCA1-48F4-BCA8-BB3D3A7DC38C}"/>
    <hyperlink ref="F1473" r:id="rId2879" xr:uid="{E3DA2BB9-5711-41B4-B3FE-1CCF0613CCDE}"/>
    <hyperlink ref="S1473" r:id="rId2880" xr:uid="{A510B512-2326-4DFF-AA6A-839AE1719E0A}"/>
    <hyperlink ref="S1474" r:id="rId2881" xr:uid="{4FD92DCB-37C0-4FEF-9171-165A68D02BA5}"/>
    <hyperlink ref="S1475" r:id="rId2882" xr:uid="{30B68B2C-07CE-48A2-A072-7B068AA9C3B8}"/>
    <hyperlink ref="F1476" r:id="rId2883" xr:uid="{C39BE8C5-3185-406C-A1D0-2D10657AC565}"/>
    <hyperlink ref="S1476" r:id="rId2884" xr:uid="{97E5FDFE-285A-4F59-868D-813E809BBE0B}"/>
    <hyperlink ref="F1477" r:id="rId2885" xr:uid="{9EB1A01C-2521-40C2-A000-46D23871E11D}"/>
    <hyperlink ref="S1477" r:id="rId2886" xr:uid="{912B5442-A23D-4757-B47A-74F997BB4FB6}"/>
    <hyperlink ref="F1478" r:id="rId2887" xr:uid="{4A081DD3-85DA-44E3-9FD3-F869C06AE316}"/>
    <hyperlink ref="G1478" r:id="rId2888" xr:uid="{92E7C1CB-75FC-4C95-A552-B9F583C4109F}"/>
    <hyperlink ref="S1478" r:id="rId2889" xr:uid="{2ED9DD1C-0122-49AC-AA48-455E15BAC0F9}"/>
    <hyperlink ref="G1479" r:id="rId2890" xr:uid="{60F38374-C597-49B4-B266-EBD979D52E51}"/>
    <hyperlink ref="S1479" r:id="rId2891" xr:uid="{E29A1EC3-3BA1-45C7-9F51-3CB54F857263}"/>
    <hyperlink ref="F1480" r:id="rId2892" xr:uid="{01BF6E82-B9FA-4D35-B68D-2A9F11AB538A}"/>
    <hyperlink ref="G1480" r:id="rId2893" xr:uid="{87919D82-FDFE-4316-8F9C-41CB11DA8BF1}"/>
    <hyperlink ref="S1480" r:id="rId2894" xr:uid="{3F60CCF1-A84E-4896-B337-052783C7ACE6}"/>
    <hyperlink ref="F1481" r:id="rId2895" xr:uid="{2FAEDEBD-CC1E-476C-8A04-DDC67E4A863C}"/>
    <hyperlink ref="F1482" r:id="rId2896" xr:uid="{F487F541-6B65-48CF-B2CF-C1E62CB621A7}"/>
    <hyperlink ref="G1482" r:id="rId2897" xr:uid="{EC5CDF06-E587-4CAB-9F25-A9F1945302DE}"/>
    <hyperlink ref="F1483" r:id="rId2898" xr:uid="{CF9BE4F4-007D-4BE0-99CE-CBA810F65DAC}"/>
    <hyperlink ref="G1483" r:id="rId2899" xr:uid="{63306026-8664-4F28-9DAE-EA99C392666A}"/>
    <hyperlink ref="S1483" r:id="rId2900" xr:uid="{459C01C8-818C-40EF-BD23-EF9F3E42C96C}"/>
    <hyperlink ref="F1484" r:id="rId2901" xr:uid="{96581DFC-2737-456F-9C1E-4D5C3E0DAC3C}"/>
    <hyperlink ref="F1485" r:id="rId2902" xr:uid="{A41B47BF-FD47-4E85-93F4-23F338035496}"/>
    <hyperlink ref="G1485" r:id="rId2903" xr:uid="{32D1E7E2-87C0-4C9E-8AC9-E582D5D6B036}"/>
    <hyperlink ref="F1486" r:id="rId2904" xr:uid="{8B236AC9-1866-45A1-87C4-FE3E8678076E}"/>
    <hyperlink ref="G1486" r:id="rId2905" xr:uid="{3D0CE061-33AC-4FF2-A96F-3ED21A044BEF}"/>
    <hyperlink ref="F1487" r:id="rId2906" xr:uid="{CFF46C0F-9F94-485F-A47E-D940302341E4}"/>
    <hyperlink ref="F1488" r:id="rId2907" xr:uid="{D7EA474E-7141-4996-AF3B-700DA40072ED}"/>
    <hyperlink ref="F1489" r:id="rId2908" xr:uid="{6CC8DAAF-D88E-46C9-AE08-24A532AB3967}"/>
    <hyperlink ref="G1489" r:id="rId2909" xr:uid="{920B4B62-3E0B-445A-8A41-9EDD0FEC27E5}"/>
    <hyperlink ref="S1489" r:id="rId2910" xr:uid="{E7E60DE1-A4E2-448D-823D-7455B2D97884}"/>
    <hyperlink ref="F1493" r:id="rId2911" xr:uid="{51208E54-62B2-41EF-BBF2-E325CAF58753}"/>
    <hyperlink ref="F1494" r:id="rId2912" xr:uid="{DCEE43B8-7358-4302-838E-75991AA5B5CA}"/>
    <hyperlink ref="F1495" r:id="rId2913" xr:uid="{62BC3FDF-81E2-40F1-9477-465BDED24D14}"/>
    <hyperlink ref="G1495" r:id="rId2914" xr:uid="{5916DA45-D140-4F5F-A22E-60BD64D32690}"/>
    <hyperlink ref="S1495" r:id="rId2915" xr:uid="{96374701-0546-48A0-87ED-E7627FCEBA7A}"/>
    <hyperlink ref="F1496" r:id="rId2916" xr:uid="{F9C4D668-E525-4664-A891-5BD966D61E74}"/>
    <hyperlink ref="G1496" r:id="rId2917" xr:uid="{005A1DF0-913B-41A1-9098-4EABEE3AAEFD}"/>
    <hyperlink ref="S1496" r:id="rId2918" xr:uid="{A26F9152-0126-408D-B15F-C9A7248C86B3}"/>
    <hyperlink ref="F1497" r:id="rId2919" xr:uid="{55F24126-0276-4837-AEC5-C47DA388C620}"/>
    <hyperlink ref="F1498" r:id="rId2920" xr:uid="{93153285-9AB9-41EF-A12F-DAD1B62D24F5}"/>
    <hyperlink ref="C1500" r:id="rId2921" xr:uid="{EAE564E7-8BEC-4104-8286-D7B0922E0775}"/>
    <hyperlink ref="F1500" r:id="rId2922" xr:uid="{7E8EED95-1566-42F8-96D0-2C7357226FF8}"/>
    <hyperlink ref="S1500" r:id="rId2923" xr:uid="{A8C3731C-57A0-4B72-A91B-1B2A0B9075B9}"/>
    <hyperlink ref="G1502" r:id="rId2924" xr:uid="{5E82F0C6-D89D-43F0-8C01-88383E55B4F7}"/>
    <hyperlink ref="F1503" r:id="rId2925" xr:uid="{384BD222-B1F9-4C4C-AEEA-11F0D2AC3286}"/>
    <hyperlink ref="G1503" r:id="rId2926" xr:uid="{F6ACB3E8-B30B-4EC7-A7B0-07B2306E8466}"/>
    <hyperlink ref="F1504" r:id="rId2927" xr:uid="{4A648D82-6A73-4D9A-A6E9-C097DFA10C76}"/>
    <hyperlink ref="G1504" r:id="rId2928" xr:uid="{E318A8A8-57F3-4B03-9296-E42757500895}"/>
    <hyperlink ref="F1505" r:id="rId2929" xr:uid="{8CD8ACF0-D1CC-4000-9EDA-5143DD676C8E}"/>
    <hyperlink ref="S1505" r:id="rId2930" xr:uid="{0D669F5B-DFED-4B42-81EB-28FC68740CD5}"/>
    <hyperlink ref="F1506" r:id="rId2931" xr:uid="{C3572FBD-C848-4603-A9BC-38A62E432339}"/>
    <hyperlink ref="G1506" r:id="rId2932" xr:uid="{EB95572C-C2F6-4A67-A2D9-40CEB2334E15}"/>
    <hyperlink ref="S1506" r:id="rId2933" xr:uid="{DF822998-43F6-425A-BBD5-E18AC3094B26}"/>
    <hyperlink ref="F1507" r:id="rId2934" xr:uid="{0AB39D56-CEA5-46CA-915D-D9995CC7C57D}"/>
    <hyperlink ref="G1507" r:id="rId2935" xr:uid="{1FE5E3EA-F874-42F8-A6C3-BFD675635C98}"/>
    <hyperlink ref="S1507" r:id="rId2936" xr:uid="{5098481B-A884-4B0C-ACBA-E6E2054EC2AF}"/>
    <hyperlink ref="F1508" r:id="rId2937" location="hadoop-training" xr:uid="{1291F4BF-8815-4CFD-8DF0-06BADBED2E1B}"/>
    <hyperlink ref="G1508" r:id="rId2938" xr:uid="{D7456F1C-8431-46FF-96C3-EAE070257341}"/>
    <hyperlink ref="S1508" r:id="rId2939" xr:uid="{1249203C-14C0-408C-9077-96A635D09400}"/>
    <hyperlink ref="F1509" r:id="rId2940" xr:uid="{3F7D1998-B13D-4B81-ADE6-C222A49D3301}"/>
    <hyperlink ref="S1509" r:id="rId2941" xr:uid="{0AED7246-2D96-40E4-AACB-653CA5CF55C9}"/>
    <hyperlink ref="F1510" r:id="rId2942" xr:uid="{0321A5C2-481F-4A8C-A0E3-902094DEE703}"/>
    <hyperlink ref="S1510" r:id="rId2943" xr:uid="{0F835222-4274-4FF4-879F-414818685968}"/>
    <hyperlink ref="F1511" r:id="rId2944" xr:uid="{CE876746-9AED-4E6B-AB81-43B3109D3DC7}"/>
    <hyperlink ref="S1511" r:id="rId2945" xr:uid="{EA7C03F2-7A6E-4D5D-8E97-B3C96CE851F3}"/>
    <hyperlink ref="F1512" r:id="rId2946" xr:uid="{D1EE1C60-5DD7-4662-B132-AF3CD5EF3012}"/>
    <hyperlink ref="S1512" r:id="rId2947" xr:uid="{B16C5B41-A557-4625-BC1D-2AA88534C1B4}"/>
    <hyperlink ref="F1513" r:id="rId2948" xr:uid="{F75EF2C2-8E5E-45D8-A5D1-ACAAA79F876A}"/>
    <hyperlink ref="S1513" r:id="rId2949" xr:uid="{53F1199B-7228-468A-ACB2-BEF8572E28AF}"/>
    <hyperlink ref="F1514" r:id="rId2950" xr:uid="{979E429C-8B5C-400B-AC9D-9527EA15410D}"/>
    <hyperlink ref="S1514" r:id="rId2951" xr:uid="{5DD36D1D-01CE-4B95-8052-E634D227A2A2}"/>
    <hyperlink ref="F1515" r:id="rId2952" xr:uid="{1E4FD6D8-2D68-4808-A0FD-6DEBFE1C82F1}"/>
    <hyperlink ref="S1515" r:id="rId2953" xr:uid="{D44FCA0A-0455-4B92-A565-F87F622DE2E4}"/>
    <hyperlink ref="F1516" r:id="rId2954" xr:uid="{E8CBF9BE-E664-47BB-BF00-5EC0A8BAA04F}"/>
    <hyperlink ref="G1516" r:id="rId2955" xr:uid="{511D50DE-1DC9-4F31-8874-3B2A7F10A4F2}"/>
    <hyperlink ref="F1517" r:id="rId2956" xr:uid="{E33BC973-583F-4C15-8CA0-5BDAC0FF4E3A}"/>
    <hyperlink ref="F1518" r:id="rId2957" xr:uid="{8A18964B-26F5-40ED-8FD1-CFF94D79BD4E}"/>
    <hyperlink ref="F1519" r:id="rId2958" xr:uid="{94EB33B2-4496-4952-91FE-6F5BD6157453}"/>
    <hyperlink ref="S1519" r:id="rId2959" xr:uid="{D3C153FA-C078-443A-99AF-C44C11DF7665}"/>
    <hyperlink ref="F1520" r:id="rId2960" xr:uid="{8ACE5CCD-3DA1-44E7-B23F-329C4256B8C9}"/>
    <hyperlink ref="G1520" r:id="rId2961" xr:uid="{849266F3-8C17-4D4C-9C1B-6390C1F5C07A}"/>
    <hyperlink ref="S1520" r:id="rId2962" xr:uid="{B099B4AE-2477-422D-BA0B-54C033C16CE3}"/>
    <hyperlink ref="F1521" r:id="rId2963" xr:uid="{9EF13658-8545-4896-B555-EA02C3226CD0}"/>
    <hyperlink ref="G1521" r:id="rId2964" xr:uid="{3B0EE715-8523-4E0C-80BB-F7EFDB1834EC}"/>
    <hyperlink ref="F1522" r:id="rId2965" xr:uid="{E37AA410-7A5F-47F9-BFDA-3CB3616353D9}"/>
    <hyperlink ref="G1522" r:id="rId2966" xr:uid="{9059B924-0FF6-4B07-9F00-32331679D2A6}"/>
    <hyperlink ref="S1522" r:id="rId2967" xr:uid="{2FE5E5EC-D168-4B05-9A76-AC7F83A5F7CC}"/>
    <hyperlink ref="F1523" r:id="rId2968" xr:uid="{FE2F8916-FBAA-4F7E-BBE0-6ECF00D10177}"/>
    <hyperlink ref="G1523" r:id="rId2969" xr:uid="{8A1BBD18-44D6-4CF0-8E8B-D546EB4AE025}"/>
    <hyperlink ref="S1523" r:id="rId2970" xr:uid="{BB9C8B95-7C17-41E0-B858-F2FA13EC919B}"/>
    <hyperlink ref="C1526" r:id="rId2971" xr:uid="{903134DF-D128-4ECC-BD66-83AE502B586C}"/>
    <hyperlink ref="F1526" r:id="rId2972" xr:uid="{85875170-F715-40D8-89DF-707997D2BD63}"/>
    <hyperlink ref="S1526" r:id="rId2973" xr:uid="{B4C847B9-9375-4F6A-9207-63B5C8A79DCE}"/>
    <hyperlink ref="F1527" r:id="rId2974" xr:uid="{D83ED021-43DA-4B4B-9B8E-98DD46FF44B8}"/>
    <hyperlink ref="R1527" r:id="rId2975" xr:uid="{FA8CDAA9-1F56-4C0F-B8E2-E8266FEDA505}"/>
    <hyperlink ref="S1527" r:id="rId2976" xr:uid="{CD73D18D-95FD-43EC-B617-4A8676D864FF}"/>
    <hyperlink ref="G1528" r:id="rId2977" xr:uid="{0E6DB993-2622-4C31-998D-0814F2F3ABC7}"/>
    <hyperlink ref="S1528" r:id="rId2978" xr:uid="{E65B835A-F51A-402F-832C-1464BB36953A}"/>
    <hyperlink ref="F1529" r:id="rId2979" xr:uid="{AA9D706D-1AD9-481D-B887-35F4B83FBCF6}"/>
    <hyperlink ref="G1529" r:id="rId2980" xr:uid="{C64952A3-6AEB-4260-8C74-7EFD6BC2C67A}"/>
    <hyperlink ref="S1529" r:id="rId2981" xr:uid="{E1150619-B387-4C3D-A54D-8E0025945A3E}"/>
    <hyperlink ref="G1530" r:id="rId2982" xr:uid="{391F5E88-B734-4ADD-88E9-F883A3DAE507}"/>
    <hyperlink ref="S1530" r:id="rId2983" xr:uid="{2C9C7958-B44B-4CF4-B7B0-E8CC0BDBC702}"/>
    <hyperlink ref="F1531" r:id="rId2984" xr:uid="{669FA56D-F3E6-4764-8622-8BE4EB90DA1C}"/>
    <hyperlink ref="F1532" r:id="rId2985" xr:uid="{FCA99635-8A93-4559-94A7-DD5E998FF9BF}"/>
    <hyperlink ref="F1533" r:id="rId2986" xr:uid="{9EB39C40-4643-4D01-BCCE-ADC113B59D4E}"/>
    <hyperlink ref="F1534" r:id="rId2987" xr:uid="{B516B354-FE08-4E18-A2A0-5E625EF1D253}"/>
    <hyperlink ref="F1535" r:id="rId2988" xr:uid="{9CB2D395-0470-480F-B4D4-154E6C8F5230}"/>
    <hyperlink ref="F1536" r:id="rId2989" xr:uid="{BF8183B3-8639-4A25-A3E0-74CECC6E80A2}"/>
    <hyperlink ref="F1537" r:id="rId2990" xr:uid="{A459BE0D-3824-46BE-86A3-1AAF728C52E3}"/>
    <hyperlink ref="G1537" r:id="rId2991" xr:uid="{A39572CC-ABF0-4334-865B-0748B5A3CFDD}"/>
    <hyperlink ref="S1537" r:id="rId2992" xr:uid="{EF936C47-3D00-409A-B3F9-81B19AA57D7F}"/>
    <hyperlink ref="G1538" r:id="rId2993" xr:uid="{4764764F-6192-4163-8FA9-ABBEAC87BECD}"/>
    <hyperlink ref="S1538" r:id="rId2994" xr:uid="{7A7A8E0A-3E0E-4ADD-97E1-9AB58FD8B735}"/>
    <hyperlink ref="F1539" r:id="rId2995" xr:uid="{4AA3FE24-7633-4B79-9920-7AF84688C464}"/>
    <hyperlink ref="G1539" r:id="rId2996" xr:uid="{7D15DD2D-3B3F-48EC-BD00-A6F2DEEDC18F}"/>
    <hyperlink ref="S1539" r:id="rId2997" xr:uid="{D5E0158D-5AFD-4ECE-A5A4-F55278514654}"/>
    <hyperlink ref="F1540" r:id="rId2998" xr:uid="{EB5525A5-A7DA-4FF3-BD7F-9E64004BF634}"/>
    <hyperlink ref="S1540" r:id="rId2999" xr:uid="{7BB7A705-7CD0-40F8-B79C-70AEB6E98A34}"/>
    <hyperlink ref="G1541" r:id="rId3000" xr:uid="{061A2700-18CD-41D4-BFDB-5FAF65AAD79F}"/>
    <hyperlink ref="S1541" r:id="rId3001" xr:uid="{42084396-54A2-4CE4-9913-4EC8849F73FB}"/>
    <hyperlink ref="S1542" r:id="rId3002" xr:uid="{DF692C37-466F-4004-8D12-30C9E8230186}"/>
    <hyperlink ref="F1547" r:id="rId3003" xr:uid="{0AF9FBED-281E-4715-8E31-68B51F471A09}"/>
    <hyperlink ref="F1548" r:id="rId3004" xr:uid="{D706E021-B1BE-4680-80FC-E23C6A9AD903}"/>
    <hyperlink ref="F1549" r:id="rId3005" xr:uid="{1F43EB60-C0F8-4F6B-B97D-30CB1F3B02DB}"/>
    <hyperlink ref="F1550" r:id="rId3006" xr:uid="{CCD87DA0-1D78-47E1-A275-3D2B25686367}"/>
    <hyperlink ref="F1551" r:id="rId3007" xr:uid="{131920FC-5078-4C0E-9AD2-40A85AB46771}"/>
    <hyperlink ref="F1552" r:id="rId3008" xr:uid="{E140ECF7-496E-4EEF-8609-28FE3650636F}"/>
    <hyperlink ref="F1553" r:id="rId3009" xr:uid="{70AC90F4-7467-45A3-BA84-1EE908969A8D}"/>
    <hyperlink ref="F1554" r:id="rId3010" xr:uid="{9C8B8D3A-4552-457D-BF1B-5542278C5295}"/>
    <hyperlink ref="F1555" r:id="rId3011" xr:uid="{A61D7598-0083-4D74-859F-83D47523330E}"/>
    <hyperlink ref="S1555" r:id="rId3012" xr:uid="{5EFB532F-DA7C-41BF-815E-CD4D6FA03E9A}"/>
    <hyperlink ref="F1556" r:id="rId3013" xr:uid="{5E43D2EB-6937-45EF-94A9-488FA1FC88FF}"/>
    <hyperlink ref="G1556" r:id="rId3014" xr:uid="{425C2ACE-19A9-402F-88FC-AB4B247C70A9}"/>
    <hyperlink ref="S1556" r:id="rId3015" xr:uid="{88335E82-FBFE-4443-B11C-CFC6872629C7}"/>
    <hyperlink ref="F1557" r:id="rId3016" xr:uid="{0F3F8BBE-A503-4CA6-99FC-FE09DE3EF7A9}"/>
    <hyperlink ref="S1558" r:id="rId3017" xr:uid="{5A5FE3B6-7A60-4802-A8BB-F5F947D228FA}"/>
    <hyperlink ref="F1559" r:id="rId3018" xr:uid="{B590F5C8-9F53-4005-8A15-720272564DF7}"/>
    <hyperlink ref="S1559" r:id="rId3019" xr:uid="{E83512B1-A1AB-4145-9C99-3738BCB7D998}"/>
    <hyperlink ref="F1560" r:id="rId3020" xr:uid="{D2E14509-1EF1-41F6-B4C9-95171345478B}"/>
    <hyperlink ref="G1560" r:id="rId3021" xr:uid="{BE421037-E9EF-4CDB-A40B-7F7BE846576D}"/>
    <hyperlink ref="S1560" r:id="rId3022" xr:uid="{543EC86E-E758-41BA-B5A6-808677C8D429}"/>
    <hyperlink ref="F1561" r:id="rId3023" xr:uid="{ECC12737-7772-47E6-A2BD-F2C250095B9D}"/>
    <hyperlink ref="G1561" r:id="rId3024" xr:uid="{8451B81D-185B-4372-B3FD-75898EB44695}"/>
    <hyperlink ref="S1561" r:id="rId3025" xr:uid="{6247B42B-EEF0-448B-B3ED-7967AB508403}"/>
    <hyperlink ref="F1562" r:id="rId3026" xr:uid="{DA28D102-C3D7-4459-A625-AAA6C9BA31FC}"/>
    <hyperlink ref="F1563" r:id="rId3027" xr:uid="{077B3D87-5A2F-4B02-8032-2AF55D60FD0B}"/>
    <hyperlink ref="G1563" r:id="rId3028" xr:uid="{102822FA-07CA-48E7-A4CA-07D62F92062F}"/>
    <hyperlink ref="S1563" r:id="rId3029" xr:uid="{D95CE708-613F-49E4-9C38-5C78C231E33B}"/>
    <hyperlink ref="F1570" r:id="rId3030" xr:uid="{0D1EB4CB-79FB-46D6-A975-DFBF08107ED7}"/>
    <hyperlink ref="G1570" r:id="rId3031" xr:uid="{02CF9100-4AED-44D2-AD67-984DE4D77468}"/>
    <hyperlink ref="S1570" r:id="rId3032" xr:uid="{73A20278-6895-4E01-AE84-09D38E89863D}"/>
    <hyperlink ref="S1571" r:id="rId3033" xr:uid="{431D55EB-423B-43AE-8985-1E8CAEF3923D}"/>
    <hyperlink ref="F1572" r:id="rId3034" xr:uid="{5AF69519-D17C-4FDD-956D-3D87505E98E1}"/>
    <hyperlink ref="S1572" r:id="rId3035" xr:uid="{8976C3E4-4214-44D1-B155-2E68C8C2A6AD}"/>
    <hyperlink ref="G1573" r:id="rId3036" xr:uid="{49136185-461D-4DC5-8119-0F6B70709AF0}"/>
    <hyperlink ref="S1573" r:id="rId3037" xr:uid="{0519752C-9253-4939-A840-FF5A0A7B570B}"/>
    <hyperlink ref="F1574" r:id="rId3038" xr:uid="{EDEF9F9A-A119-498B-82D9-0D17A2F972AC}"/>
    <hyperlink ref="G1574" r:id="rId3039" xr:uid="{4D1E6813-DE75-46AF-8E86-40A87BF2908F}"/>
    <hyperlink ref="F1575" r:id="rId3040" xr:uid="{E6561D16-6AE7-4780-87E6-4ED9B362E528}"/>
    <hyperlink ref="G1575" r:id="rId3041" xr:uid="{D6AE8760-1174-4899-82D0-177CD1C04157}"/>
    <hyperlink ref="S1575" r:id="rId3042" xr:uid="{3926EC61-3810-4FB1-9742-B3C7D7E5BC25}"/>
    <hyperlink ref="G1576" r:id="rId3043" xr:uid="{416E7615-4F8D-4FD3-AFA3-CFC77C398651}"/>
    <hyperlink ref="S1576" r:id="rId3044" xr:uid="{40C86E3C-749C-48EF-B5EB-147DCDC4A2C6}"/>
    <hyperlink ref="F1577" r:id="rId3045" xr:uid="{9B9B1E7E-EFD1-44E4-8350-715473BD2B45}"/>
    <hyperlink ref="S1577" r:id="rId3046" xr:uid="{73222B05-FC89-454F-BAC0-D637F394E65C}"/>
    <hyperlink ref="F1578" r:id="rId3047" xr:uid="{FF53BD9D-6C20-4DCF-A783-4A772739BD01}"/>
    <hyperlink ref="S1578" r:id="rId3048" xr:uid="{842131A2-2DD6-498C-A1DB-53D5486B8ABD}"/>
    <hyperlink ref="F1579" r:id="rId3049" xr:uid="{F204D0E8-D577-4D5A-AEBE-66E250806EBB}"/>
    <hyperlink ref="S1579" r:id="rId3050" xr:uid="{17325CCB-ABED-4066-ACE2-47256F92D572}"/>
    <hyperlink ref="F1580" r:id="rId3051" xr:uid="{9EC9727C-1CB9-4C34-8B72-424767DFFDD3}"/>
    <hyperlink ref="S1580" r:id="rId3052" xr:uid="{0BDBA193-393D-402D-8F35-8308933D8CDF}"/>
    <hyperlink ref="F1581" r:id="rId3053" xr:uid="{5360A0E7-8A3B-4E54-BEDC-B3C47FCC07C8}"/>
    <hyperlink ref="S1581" r:id="rId3054" xr:uid="{F7477F7E-9FEA-43A2-9D59-9E9C5D36E10E}"/>
    <hyperlink ref="F1582" r:id="rId3055" xr:uid="{98FE28F7-42B5-4CF5-96FB-4AF2AA3BBBA7}"/>
    <hyperlink ref="G1582" r:id="rId3056" xr:uid="{2C03F5EB-6B36-43EE-BD46-69ECB77309AD}"/>
    <hyperlink ref="S1582" r:id="rId3057" xr:uid="{6FDCE7AE-073D-44FA-86E3-933897282446}"/>
    <hyperlink ref="G1583" r:id="rId3058" xr:uid="{F3F5353D-6A0A-4815-9796-4CE4275DA950}"/>
    <hyperlink ref="S1583" r:id="rId3059" xr:uid="{0E7FAB3E-881C-4DFE-BA63-A122FAACEE5A}"/>
    <hyperlink ref="F1584" r:id="rId3060" xr:uid="{220DDCA8-13E7-462A-9510-FF24E92EED95}"/>
    <hyperlink ref="S1584" r:id="rId3061" xr:uid="{D4F1EC1D-B7D9-435B-8F88-F374BFAAD090}"/>
    <hyperlink ref="S1585" r:id="rId3062" xr:uid="{AEEC799F-C450-4275-AC84-D36F7BA1C53B}"/>
    <hyperlink ref="F1586" r:id="rId3063" xr:uid="{78BE2F5F-8CFE-472E-AE24-C5BDA97B1B89}"/>
    <hyperlink ref="S1588" r:id="rId3064" xr:uid="{657F5CE5-32F6-4B45-8CD4-A8BC821F674E}"/>
    <hyperlink ref="G1589" r:id="rId3065" xr:uid="{95486A1E-E5EB-4F48-AC0D-B021536E6836}"/>
    <hyperlink ref="S1589" r:id="rId3066" xr:uid="{E9C2D1AB-232B-401D-8464-887E061F6229}"/>
    <hyperlink ref="F1590" r:id="rId3067" xr:uid="{4A631DC5-7225-4777-B367-4E973C51939C}"/>
    <hyperlink ref="G1590" r:id="rId3068" xr:uid="{DD17F173-700D-4A24-99C1-E9AD1CA8DE61}"/>
    <hyperlink ref="S1590" r:id="rId3069" xr:uid="{06342A59-3AE4-4237-B732-581DD588D12A}"/>
    <hyperlink ref="F1591" r:id="rId3070" xr:uid="{850A0563-4E27-4F2B-BA95-32EB416C5655}"/>
    <hyperlink ref="S1591" r:id="rId3071" xr:uid="{6E0ED6B9-3A05-4481-976F-7BC807E198E4}"/>
    <hyperlink ref="G1592" r:id="rId3072" xr:uid="{75806C61-1472-4097-934D-BB42A6B8488D}"/>
    <hyperlink ref="S1592" r:id="rId3073" xr:uid="{C2F1E092-5885-4419-A559-81229B1F3322}"/>
    <hyperlink ref="F1599" r:id="rId3074" xr:uid="{9E0350C6-2525-4BD0-A0A2-80613A7A4386}"/>
    <hyperlink ref="S1599" r:id="rId3075" xr:uid="{4EC6E3D8-E39E-4101-AA44-FD1D457425E4}"/>
    <hyperlink ref="S1600" r:id="rId3076" xr:uid="{95869DAF-DE8E-4513-A39C-48991B9CA883}"/>
    <hyperlink ref="F1601" r:id="rId3077" xr:uid="{B67157BB-1B17-4413-ADCD-5D07A81DA7C3}"/>
    <hyperlink ref="F1602" r:id="rId3078" xr:uid="{6046AA42-D7BB-400B-BDA2-05C797099F20}"/>
    <hyperlink ref="S1602" r:id="rId3079" xr:uid="{6A91CEE3-D10A-4DE5-9D3A-BF787D8D21CA}"/>
    <hyperlink ref="G1603" r:id="rId3080" xr:uid="{ECB11483-F1ED-4533-A7B0-C0E36432D274}"/>
    <hyperlink ref="S1603" r:id="rId3081" xr:uid="{BEF871EE-FA11-4EBA-91CA-5E27CF744A93}"/>
    <hyperlink ref="F1604" r:id="rId3082" xr:uid="{7B064A3B-D2FE-4227-8F0E-077E8B4540C1}"/>
    <hyperlink ref="G1604" r:id="rId3083" xr:uid="{D80BE94B-3ABA-4C0B-85DC-89BA5DFC1F80}"/>
    <hyperlink ref="S1604" r:id="rId3084" xr:uid="{08D77C47-684E-49D1-A122-F8E1801E80D6}"/>
    <hyperlink ref="F1605" r:id="rId3085" xr:uid="{239E2FEC-74E6-4C60-B9E6-D2772E6A7DD9}"/>
    <hyperlink ref="G1605" r:id="rId3086" xr:uid="{7A7564FE-76CB-454D-B09A-64B24E9EBF5D}"/>
    <hyperlink ref="S1605" r:id="rId3087" xr:uid="{7297150A-DB1E-44AD-B521-0F922F158BB5}"/>
    <hyperlink ref="F1606" r:id="rId3088" xr:uid="{E7905D36-7B05-4801-A959-E869D639F321}"/>
    <hyperlink ref="S1606" r:id="rId3089" xr:uid="{5CCE91B5-8501-4B0A-A12A-B87D959D7C71}"/>
    <hyperlink ref="F1607" r:id="rId3090" xr:uid="{1AF81389-3018-41AE-A558-27870C7F2EFB}"/>
    <hyperlink ref="F1608" r:id="rId3091" xr:uid="{B2CFF406-6E07-44A7-997B-01923B799093}"/>
    <hyperlink ref="F1609" r:id="rId3092" xr:uid="{B0920D34-3497-4A4B-BC1C-BADFA1507F5E}"/>
    <hyperlink ref="F1610" r:id="rId3093" xr:uid="{5994F2FC-419B-441E-842A-65186765C7E5}"/>
    <hyperlink ref="F1611" r:id="rId3094" xr:uid="{AA624F9B-18F4-457F-BBC7-C6E850D0B285}"/>
    <hyperlink ref="F1612" r:id="rId3095" xr:uid="{D99986E5-D475-4756-877E-8660CCE0D9DB}"/>
    <hyperlink ref="F1613" r:id="rId3096" xr:uid="{54E51417-3DA3-4042-8902-C54FE8B4E060}"/>
    <hyperlink ref="F1614" r:id="rId3097" xr:uid="{FF099724-3A75-4584-B421-3D52971A380D}"/>
    <hyperlink ref="G1616" r:id="rId3098" xr:uid="{8A7A14D2-8542-40B1-8163-E0E632555888}"/>
    <hyperlink ref="S1616" r:id="rId3099" xr:uid="{E868A0C5-5B53-4742-B9DF-BC1A6AC679AB}"/>
    <hyperlink ref="F1617" r:id="rId3100" xr:uid="{5CFDF058-00FD-49FC-8C3E-8221FFD8FB89}"/>
    <hyperlink ref="G1617" r:id="rId3101" xr:uid="{475F344D-F55F-4EE5-BBB6-584A69D71DD9}"/>
    <hyperlink ref="S1617" r:id="rId3102" xr:uid="{1109162C-3CA1-45C0-80B1-659492D956BC}"/>
    <hyperlink ref="S1618" r:id="rId3103" xr:uid="{79E5E05C-9396-482F-B333-0C0699BC80AC}"/>
    <hyperlink ref="F1619" r:id="rId3104" xr:uid="{C75C5F5D-B460-4DD5-8030-27E8FB9EB23F}"/>
    <hyperlink ref="G1619" r:id="rId3105" xr:uid="{A360A8DC-87A1-4169-ACB0-D854B60B2A13}"/>
    <hyperlink ref="F1620" r:id="rId3106" xr:uid="{4564168D-68FF-486F-8CBB-5F6A50AE27A2}"/>
    <hyperlink ref="S1620" r:id="rId3107" xr:uid="{E46E8328-1BD0-430B-AFBE-B4374998D558}"/>
    <hyperlink ref="F1621" r:id="rId3108" xr:uid="{DA1A4931-DB1F-4A74-B537-FA46142FFAB1}"/>
    <hyperlink ref="S1621" r:id="rId3109" xr:uid="{327E338D-2A38-4A5B-97F0-3FCD6963A4EB}"/>
    <hyperlink ref="F1622" r:id="rId3110" xr:uid="{1612C95E-D0E9-41C0-83C7-338B2F2E0651}"/>
    <hyperlink ref="G1622" r:id="rId3111" xr:uid="{3BDB7294-DC63-4D95-93FE-7463BC09D823}"/>
    <hyperlink ref="S1622" r:id="rId3112" xr:uid="{46B6C277-0A8A-475A-92E7-489D3E48D772}"/>
    <hyperlink ref="F1623" r:id="rId3113" xr:uid="{65AF2022-1022-4D58-93E5-3E9C68E6ED59}"/>
    <hyperlink ref="F1624" r:id="rId3114" xr:uid="{BD3AFC0F-9839-4044-A744-C60E0C1D6E06}"/>
    <hyperlink ref="G1624" r:id="rId3115" xr:uid="{3DA95D0B-6844-421B-A859-B4D1D27A2899}"/>
    <hyperlink ref="S1624" r:id="rId3116" xr:uid="{8429BAF1-9A92-4C80-A399-2E58B4B887EA}"/>
    <hyperlink ref="S1626" r:id="rId3117" xr:uid="{6117A33E-9746-438A-99AA-E41C06743E1D}"/>
    <hyperlink ref="F1627" r:id="rId3118" xr:uid="{9027B401-F29C-41BF-89C5-9A9BA17075E3}"/>
    <hyperlink ref="S1627" r:id="rId3119" xr:uid="{598D7039-20B8-4825-A30A-F5B392551DF4}"/>
    <hyperlink ref="G1628" r:id="rId3120" xr:uid="{D5BFD779-82EB-4FD2-A56A-2731302FF28F}"/>
    <hyperlink ref="S1628" r:id="rId3121" xr:uid="{7022BF61-905F-4EDF-81CD-011756317FD6}"/>
    <hyperlink ref="F1629" r:id="rId3122" xr:uid="{404B3435-2097-4D4A-AFBD-55A870F62109}"/>
    <hyperlink ref="S1629" r:id="rId3123" xr:uid="{AC3137B2-30F8-47DE-9C65-776D418F4607}"/>
    <hyperlink ref="F1630" r:id="rId3124" xr:uid="{311F162A-1330-44BA-9D2D-64573CA3A8A4}"/>
    <hyperlink ref="S1630" r:id="rId3125" xr:uid="{C563BDEB-FB40-42A7-AD6E-D856ED272782}"/>
    <hyperlink ref="F1631" r:id="rId3126" xr:uid="{536977AA-687F-403F-832A-60A5233A4827}"/>
    <hyperlink ref="S1631" r:id="rId3127" xr:uid="{10936037-243A-49CF-9029-ED47A833B317}"/>
    <hyperlink ref="F1632" r:id="rId3128" xr:uid="{D2E2DCF4-5256-4867-97D7-088F3AF7549F}"/>
    <hyperlink ref="G1632" r:id="rId3129" xr:uid="{DA1A13A6-7A7D-4E4A-867B-74E6D3D62CD0}"/>
    <hyperlink ref="S1632" r:id="rId3130" xr:uid="{9901B068-D904-4EAF-8A53-8FB2105786F8}"/>
    <hyperlink ref="F1633" r:id="rId3131" xr:uid="{82BAE89D-D278-48E3-A28F-D09D9D5FB541}"/>
    <hyperlink ref="G1633" r:id="rId3132" xr:uid="{FC3D917C-E765-4C6A-A42A-1FB883E39EF4}"/>
    <hyperlink ref="S1633" r:id="rId3133" xr:uid="{8D71E9DE-DD53-498A-AEEA-27E5172E2E81}"/>
    <hyperlink ref="G1634" r:id="rId3134" xr:uid="{ECCCDD94-DF48-4206-9875-166F750B2447}"/>
    <hyperlink ref="G1635" r:id="rId3135" xr:uid="{133E3147-D12E-4319-A0F8-BE0DFE009F6F}"/>
    <hyperlink ref="F1636" r:id="rId3136" xr:uid="{FE30C893-E697-43C5-8B84-465CAFD37AE5}"/>
    <hyperlink ref="F1637" r:id="rId3137" xr:uid="{E64CFD9D-993E-49D6-A015-CED9736E0738}"/>
    <hyperlink ref="S1637" r:id="rId3138" xr:uid="{C68991A2-FD98-4B72-B710-8A5480F58BA2}"/>
    <hyperlink ref="G1638" r:id="rId3139" xr:uid="{8F25E0AC-524B-4626-8311-783C08C0AEDD}"/>
    <hyperlink ref="S1638" r:id="rId3140" xr:uid="{F019B716-7B0C-47E9-9C76-2756E4989DAB}"/>
    <hyperlink ref="F1639" r:id="rId3141" xr:uid="{2E39A887-47BB-485B-8D0C-8E71606BB947}"/>
    <hyperlink ref="F1640" r:id="rId3142" xr:uid="{3B38F30A-08B0-4897-8E59-582D97D1B481}"/>
    <hyperlink ref="G1640" r:id="rId3143" xr:uid="{7F78DC41-7286-4E85-996C-F8EB345BCBA3}"/>
    <hyperlink ref="S1640" r:id="rId3144" xr:uid="{02311E89-03DD-4C45-989F-C5DB9F3A18B5}"/>
    <hyperlink ref="F1641" r:id="rId3145" xr:uid="{7F913A00-3409-4E12-B37A-489B33E7F665}"/>
    <hyperlink ref="S1641" r:id="rId3146" xr:uid="{C4B8ABF3-B42A-4627-9A8B-A8998041B9C2}"/>
    <hyperlink ref="G1642" r:id="rId3147" xr:uid="{1FD6C64A-7FAE-4356-A0A4-14FEE3DDE033}"/>
    <hyperlink ref="S1642" r:id="rId3148" xr:uid="{0A4E279D-6BC2-42FE-8527-09CDFE64B6A1}"/>
    <hyperlink ref="S1643" r:id="rId3149" xr:uid="{1F9CECF2-6320-4716-AEB1-5402FF029880}"/>
    <hyperlink ref="F1644" r:id="rId3150" xr:uid="{FE9125E4-9A98-4B47-9A33-2669F3660BC1}"/>
    <hyperlink ref="S1644" r:id="rId3151" xr:uid="{8F5F4994-8573-4B40-81EC-FE30EA40F878}"/>
    <hyperlink ref="S1645" r:id="rId3152" xr:uid="{AE428061-04D1-45F5-AEEA-8E3A5AFF881C}"/>
    <hyperlink ref="F1646" r:id="rId3153" xr:uid="{640F6F87-5BCF-4D9D-AAE2-5790B086D1FE}"/>
    <hyperlink ref="G1646" r:id="rId3154" xr:uid="{66CA7E54-DCDD-4E4A-8E3B-9B422B59C554}"/>
    <hyperlink ref="F1647" r:id="rId3155" xr:uid="{2303FD86-FCD8-4F98-BF76-37E4BA833474}"/>
    <hyperlink ref="G1647" r:id="rId3156" xr:uid="{D549F54B-2B5F-4404-A51E-CE12DB573EF1}"/>
    <hyperlink ref="F1648" r:id="rId3157" xr:uid="{F64616F2-8EFE-4454-AF86-AA0B90BAA41D}"/>
    <hyperlink ref="S1648" r:id="rId3158" xr:uid="{6C7D7AAE-7AC3-4C76-8BF3-9F3B8C0720FF}"/>
    <hyperlink ref="F1649" r:id="rId3159" xr:uid="{6B28BAF5-7FDD-4627-8718-1EC3B2A5D1E2}"/>
    <hyperlink ref="S1649" r:id="rId3160" xr:uid="{1AB37B0B-C520-402C-B3F4-E1CA7156A380}"/>
    <hyperlink ref="F1650" r:id="rId3161" location=".YDSqjNwGomA.twitter" xr:uid="{628BBAE9-4AAA-47E5-B92E-BB388C8AF78A}"/>
    <hyperlink ref="S1650" r:id="rId3162" xr:uid="{09D0F27A-A1D4-41E3-8EA3-E1E0018B3A35}"/>
    <hyperlink ref="F1651" r:id="rId3163" xr:uid="{E81035B2-FA20-4E16-9F80-7E5266A48A52}"/>
    <hyperlink ref="F1652" r:id="rId3164" xr:uid="{C0BC10C3-3EC7-4137-AFEC-B4770904C568}"/>
    <hyperlink ref="S1652" r:id="rId3165" xr:uid="{9F18478F-E072-4F33-8520-C84450CF7744}"/>
    <hyperlink ref="F1653" r:id="rId3166" xr:uid="{F73FA39E-12B0-45D5-B34C-3794E71BAF13}"/>
    <hyperlink ref="S1653" r:id="rId3167" xr:uid="{8E54668E-86D9-475A-834C-A11239346D12}"/>
    <hyperlink ref="S1654" r:id="rId3168" xr:uid="{73D32057-70E5-4EDA-9A41-1352B55DAFE6}"/>
    <hyperlink ref="F1655" r:id="rId3169" xr:uid="{F6019EED-3EA9-47D2-A80D-00464598237A}"/>
    <hyperlink ref="S1655" r:id="rId3170" xr:uid="{8A5AFD75-7948-42E6-972B-D8511ED3BC2F}"/>
    <hyperlink ref="S1656" r:id="rId3171" xr:uid="{25D7C148-87B6-454A-A860-8E47F2C26981}"/>
    <hyperlink ref="F1657" r:id="rId3172" xr:uid="{FF4AD1BE-76D2-48DA-8E23-A2372DA1F5C0}"/>
    <hyperlink ref="S1657" r:id="rId3173" xr:uid="{806E6105-6902-4426-9177-2AE882ED5442}"/>
    <hyperlink ref="F1658" r:id="rId3174" xr:uid="{BA0946A3-58E2-45ED-A174-B1977DDF68AF}"/>
    <hyperlink ref="G1658" r:id="rId3175" xr:uid="{1FDEA612-37CC-48E8-8723-772225407EB7}"/>
    <hyperlink ref="F1659" r:id="rId3176" xr:uid="{553F8339-8224-4801-8601-62522F8077B8}"/>
    <hyperlink ref="G1659" r:id="rId3177" xr:uid="{B575B973-285C-48DE-B467-38457596DE70}"/>
    <hyperlink ref="S1659" r:id="rId3178" xr:uid="{E88FA8C6-E0EF-42CE-B6DA-32407732F3B9}"/>
    <hyperlink ref="G1660" r:id="rId3179" xr:uid="{B32EAEBC-CBAC-42A0-81B3-430CF3071829}"/>
    <hyperlink ref="S1660" r:id="rId3180" xr:uid="{53E41212-0886-4AA6-A04D-7785AF9C0EA8}"/>
    <hyperlink ref="G1661" r:id="rId3181" xr:uid="{227D16B1-B626-45DD-8491-6BE8B6AF3008}"/>
    <hyperlink ref="F1662" r:id="rId3182" xr:uid="{E3163C56-27AC-458F-A2D1-F1920A8B929E}"/>
    <hyperlink ref="F1663" r:id="rId3183" xr:uid="{94A56738-57CA-4DBA-8A31-7AD9B1394403}"/>
    <hyperlink ref="S1663" r:id="rId3184" xr:uid="{7064FEEE-CAA6-4A97-9FAE-28DF0E754D02}"/>
    <hyperlink ref="F1664" r:id="rId3185" xr:uid="{59EF9EF4-FE76-447F-9F5E-61B612CA4EC3}"/>
    <hyperlink ref="S1664" r:id="rId3186" xr:uid="{20483EEA-2BCC-4C15-8C6E-8680ECDF59EC}"/>
    <hyperlink ref="G1665" r:id="rId3187" xr:uid="{AD610B6B-E992-4A3A-9626-A4EB3FE6D1CC}"/>
    <hyperlink ref="S1665" r:id="rId3188" xr:uid="{0ECC9794-91B7-4378-BE96-BA1B23A4474C}"/>
    <hyperlink ref="G1666" r:id="rId3189" xr:uid="{8E33C550-BF14-43A2-9C58-82A13C1BD95A}"/>
    <hyperlink ref="S1666" r:id="rId3190" xr:uid="{BAC32B4A-8597-41D6-A47D-C64BC2284CE0}"/>
    <hyperlink ref="F1667" r:id="rId3191" xr:uid="{A16EA16A-E2FC-4322-9803-B6BF28C073CC}"/>
    <hyperlink ref="S1667" r:id="rId3192" xr:uid="{8AE09477-5B27-45C1-9326-3590FF0A2B48}"/>
    <hyperlink ref="F1668" r:id="rId3193" xr:uid="{7AD62857-58EC-4B11-B647-7363B1055662}"/>
    <hyperlink ref="G1668" r:id="rId3194" xr:uid="{F4D2D3DE-CC01-47BC-9858-4C12310778D6}"/>
    <hyperlink ref="F1669" r:id="rId3195" xr:uid="{9D3BA2E0-5D36-48E5-B4CA-629A807596FD}"/>
    <hyperlink ref="F1670" r:id="rId3196" xr:uid="{FD896FC3-BB19-42BE-BA2B-92EA051737BC}"/>
    <hyperlink ref="F1671" r:id="rId3197" xr:uid="{E7970866-0D60-4F53-BB7E-FA9FF68D5928}"/>
    <hyperlink ref="G1671" r:id="rId3198" xr:uid="{127DF565-8FAC-4305-83FC-4B8437CE7A09}"/>
    <hyperlink ref="S1671" r:id="rId3199" xr:uid="{7ED9C941-FB77-48E0-8C62-F4C0945A5379}"/>
    <hyperlink ref="F1672" r:id="rId3200" xr:uid="{C67D12A9-CD8D-4DFE-B193-66354251856E}"/>
    <hyperlink ref="S1672" r:id="rId3201" xr:uid="{ADB887DD-944E-4B70-B580-7FF6FFDD3BEC}"/>
    <hyperlink ref="S1673" r:id="rId3202" xr:uid="{32EB5639-20F6-4066-915C-1A60CD1E77C8}"/>
    <hyperlink ref="S1674" r:id="rId3203" xr:uid="{6C3CFEE5-A4A7-4B6E-8121-845CDEB00EE3}"/>
    <hyperlink ref="G1675" r:id="rId3204" xr:uid="{666E30D7-13DB-4864-A28A-7C580BD695D3}"/>
    <hyperlink ref="S1675" r:id="rId3205" xr:uid="{7BB872E5-472D-4E8E-B068-E8A136B5E4A0}"/>
    <hyperlink ref="F1676" r:id="rId3206" xr:uid="{6D0E84CB-B3A6-4405-A8B9-649A51AB9DF3}"/>
    <hyperlink ref="G1676" r:id="rId3207" xr:uid="{4341E85A-DEA4-470D-8D41-6456D86F2B19}"/>
    <hyperlink ref="S1676" r:id="rId3208" xr:uid="{01030573-E5FE-48BD-9ECE-2EECD46B4337}"/>
    <hyperlink ref="F1677" r:id="rId3209" xr:uid="{37BECDA7-8576-4F94-BE29-4326C8298B01}"/>
    <hyperlink ref="S1677" r:id="rId3210" xr:uid="{CD108AF5-80E7-47FE-9D21-FB4CFBC7BA96}"/>
    <hyperlink ref="G1678" r:id="rId3211" xr:uid="{B41663EC-C6C5-49D2-A0D1-C38F5DDF3A1A}"/>
    <hyperlink ref="S1678" r:id="rId3212" xr:uid="{014FE3D9-70BD-4EEE-A88E-45CB8EF55F97}"/>
    <hyperlink ref="F1679" r:id="rId3213" xr:uid="{793CA7D0-EAE0-499F-90C7-9710EF807F63}"/>
    <hyperlink ref="S1679" r:id="rId3214" xr:uid="{3F2639B9-0CBF-40EC-8CC0-A8E12B6738A3}"/>
    <hyperlink ref="F1680" r:id="rId3215" xr:uid="{9D429284-4D2B-4662-AA60-AC9CAC996FDC}"/>
    <hyperlink ref="G1681" r:id="rId3216" xr:uid="{3296F74D-28D9-4F0E-80DB-E9FEC2BC078A}"/>
    <hyperlink ref="G1682" r:id="rId3217" xr:uid="{C46B3626-7385-4F6F-8A35-0534B2A3D386}"/>
    <hyperlink ref="F1683" r:id="rId3218" xr:uid="{25EFCE6D-56D7-4CDD-AED7-D727D6A4E80A}"/>
    <hyperlink ref="G1683" r:id="rId3219" xr:uid="{867E7AD5-0B90-41D0-B67E-9A7A59FAAFCB}"/>
    <hyperlink ref="S1683" r:id="rId3220" xr:uid="{714598ED-D307-45CB-AA3E-A350F085F8D5}"/>
    <hyperlink ref="F1684" r:id="rId3221" xr:uid="{536BDABD-BC54-4179-ADB7-E24164867B66}"/>
    <hyperlink ref="G1685" r:id="rId3222" xr:uid="{6BBFF6BA-81C3-4E6D-BFEE-16687E56B9FE}"/>
    <hyperlink ref="G1686" r:id="rId3223" xr:uid="{E9AAAEDE-9E21-4776-8B2F-51BAE51C29E6}"/>
    <hyperlink ref="S1686" r:id="rId3224" xr:uid="{9DCC9F6B-BCD0-4D07-AFAA-E1DD31B4A726}"/>
    <hyperlink ref="S1687" r:id="rId3225" xr:uid="{4C8A917F-F018-4C5E-BAD7-93AB7B7CCB85}"/>
    <hyperlink ref="G1688" r:id="rId3226" xr:uid="{AE7C02EA-096E-4FD3-8CF2-FF27A5DF551C}"/>
    <hyperlink ref="G1689" r:id="rId3227" xr:uid="{282E6371-AD44-4595-908A-C2DE427549E5}"/>
    <hyperlink ref="S1689" r:id="rId3228" xr:uid="{6B8E846A-7FB3-4B25-8CF0-DC6104840FA6}"/>
    <hyperlink ref="F1690" r:id="rId3229" xr:uid="{69BA682A-A39D-4E93-9AEC-440CE8CA782F}"/>
    <hyperlink ref="G1690" r:id="rId3230" xr:uid="{EF85627A-C039-4250-B7C7-2CDED6303BA1}"/>
    <hyperlink ref="S1690" r:id="rId3231" xr:uid="{2ECC4B0C-6866-43EC-B602-60DE587F1E88}"/>
    <hyperlink ref="G1691" r:id="rId3232" xr:uid="{0C46E418-FCE8-4B64-90BB-6669F27721DC}"/>
    <hyperlink ref="S1691" r:id="rId3233" xr:uid="{FB5A44AF-FF6D-4061-AC3B-C6A7D1860326}"/>
    <hyperlink ref="G1693" r:id="rId3234" xr:uid="{B2F732EA-80F5-408B-A10B-D5CA3891BFAF}"/>
    <hyperlink ref="S1693" r:id="rId3235" xr:uid="{05316673-FEF1-4655-BDD3-003F04F05A73}"/>
    <hyperlink ref="F1694" r:id="rId3236" xr:uid="{B28BA2AD-572B-4C4A-A6F1-756E1AE2E777}"/>
    <hyperlink ref="G1695" r:id="rId3237" xr:uid="{0945D5B7-4EFA-47EA-98A1-9B482B0FA2AE}"/>
    <hyperlink ref="S1695" r:id="rId3238" xr:uid="{AEB65183-A66F-40AB-964C-388307202F62}"/>
    <hyperlink ref="G1697" r:id="rId3239" xr:uid="{0C0F30A8-2AD9-46CB-BFF9-B32E2A1B345D}"/>
    <hyperlink ref="S1697" r:id="rId3240" xr:uid="{FF2BA259-5C9D-489C-B246-1C74BE146B46}"/>
    <hyperlink ref="G1698" r:id="rId3241" xr:uid="{D879CBB3-F2D9-484D-8130-3A524CB2C8A5}"/>
    <hyperlink ref="S1698" r:id="rId3242" xr:uid="{799DC2B9-06A4-4063-828B-983701030183}"/>
    <hyperlink ref="F1699" r:id="rId3243" xr:uid="{7F34BC6A-26C7-45DE-BA64-AAC9A99E5648}"/>
    <hyperlink ref="G1699" r:id="rId3244" xr:uid="{E75D443C-80E1-4FC7-AE9E-11AD52C8EFEA}"/>
    <hyperlink ref="S1699" r:id="rId3245" xr:uid="{70260362-5854-46B8-BCF5-F65425627E44}"/>
    <hyperlink ref="G1700" r:id="rId3246" xr:uid="{369DB08F-DC68-46A3-8658-AD04588F1CDD}"/>
    <hyperlink ref="S1700" r:id="rId3247" xr:uid="{D3C4D860-9AE4-4744-87ED-0C1E1178D0DE}"/>
    <hyperlink ref="G1701" r:id="rId3248" xr:uid="{6495DEF9-92E1-4878-9A63-A86C5AD63DA9}"/>
    <hyperlink ref="S1701" r:id="rId3249" xr:uid="{18A1B059-3742-42BC-8266-5739BFE61381}"/>
    <hyperlink ref="F1702" r:id="rId3250" xr:uid="{519C389A-E33B-4B64-B721-CE8FC2B377B2}"/>
    <hyperlink ref="G1702" r:id="rId3251" xr:uid="{42EDCED6-7E15-40B6-AFC9-1C5BA245F9FA}"/>
    <hyperlink ref="S1702" r:id="rId3252" xr:uid="{0412080E-94BD-46D8-878B-E167F2C6C399}"/>
    <hyperlink ref="F1703" r:id="rId3253" xr:uid="{2D09DF5F-BBF7-4159-8E4E-8AAA48E1D7D5}"/>
    <hyperlink ref="G1703" r:id="rId3254" xr:uid="{7FDCA2FE-D039-448A-910E-98F7364E39DF}"/>
    <hyperlink ref="S1703" r:id="rId3255" xr:uid="{3405BD0F-F4EA-4E4A-8240-4C88C0C0936C}"/>
    <hyperlink ref="G1704" r:id="rId3256" xr:uid="{FDC572F2-52C9-440C-B024-88E3E5ECA2A1}"/>
    <hyperlink ref="S1704" r:id="rId3257" xr:uid="{BE4388D3-52FC-46BB-98F2-0440E1B726A1}"/>
    <hyperlink ref="F1705" r:id="rId3258" xr:uid="{804E921A-88F1-4311-B0B6-AC1C449ACCD0}"/>
    <hyperlink ref="G1705" r:id="rId3259" xr:uid="{2D4A0918-9EDF-4145-9D33-DA1BADF341D8}"/>
    <hyperlink ref="S1705" r:id="rId3260" xr:uid="{1731D5E2-E424-4688-957D-830C331186DC}"/>
    <hyperlink ref="F1706" r:id="rId3261" xr:uid="{60DFCDD9-0CF9-4A6F-841B-BA38AF0C4BD5}"/>
    <hyperlink ref="G1706" r:id="rId3262" xr:uid="{BABA27A0-D761-4560-8724-B4C2AFA09385}"/>
    <hyperlink ref="S1706" r:id="rId3263" xr:uid="{2843124E-2144-468D-A98C-0D617718DEC5}"/>
    <hyperlink ref="F1707" r:id="rId3264" xr:uid="{F7467B8B-4548-43AF-8B86-1CA0C309F757}"/>
    <hyperlink ref="G1707" r:id="rId3265" xr:uid="{158D4801-2D57-46E2-BA3B-7B94347A0079}"/>
    <hyperlink ref="S1707" r:id="rId3266" xr:uid="{1CFFFEA5-54CE-4328-9F7F-BD1667985216}"/>
    <hyperlink ref="S1708" r:id="rId3267" xr:uid="{C401BB1A-8FA7-4D0F-A943-B8EDD195B2D4}"/>
    <hyperlink ref="F1709" r:id="rId3268" xr:uid="{C2C856AF-8338-4F93-82B9-33E04FE8BF91}"/>
    <hyperlink ref="G1709" r:id="rId3269" xr:uid="{B352B0AD-6452-4B6C-B2F9-C803CE700A05}"/>
    <hyperlink ref="F1710" r:id="rId3270" xr:uid="{2E6F5477-C774-4F8D-97CC-4177BADD0865}"/>
    <hyperlink ref="S1710" r:id="rId3271" xr:uid="{9319EEFF-19E7-4970-B4CE-26DA80B130F0}"/>
    <hyperlink ref="G1711" r:id="rId3272" xr:uid="{41907E76-1035-4F79-8240-18B26A7C045C}"/>
    <hyperlink ref="S1711" r:id="rId3273" xr:uid="{26A6BD06-0C68-4898-94BA-1974913ABC82}"/>
    <hyperlink ref="S1712" r:id="rId3274" xr:uid="{83E9DB1C-75AA-4212-B88A-D291713A47ED}"/>
    <hyperlink ref="S1713" r:id="rId3275" xr:uid="{ABDF0741-CFA9-4FB5-82BB-C1E71A210D22}"/>
    <hyperlink ref="C1714" r:id="rId3276" xr:uid="{17FED038-40F9-4CA8-8B95-DC09B5FD2F3C}"/>
    <hyperlink ref="F1714" r:id="rId3277" xr:uid="{725E533F-4B28-44A7-8673-7FB1368EA31F}"/>
    <hyperlink ref="S1714" r:id="rId3278" xr:uid="{AB6DB439-C95D-48EA-B304-375CB006638A}"/>
    <hyperlink ref="G1715" r:id="rId3279" xr:uid="{62DF0456-3DDD-4D43-8AE6-09F3DBD7B819}"/>
    <hyperlink ref="S1715" r:id="rId3280" xr:uid="{45798CCB-7DC8-412A-99DA-873C43FB2F7D}"/>
    <hyperlink ref="F1716" r:id="rId3281" xr:uid="{A8F3173E-60D4-48F2-9D66-60163B6EF803}"/>
    <hyperlink ref="G1716" r:id="rId3282" xr:uid="{5461D350-32EA-4DCF-B6A4-1BDFB82E3B85}"/>
    <hyperlink ref="S1716" r:id="rId3283" xr:uid="{41745F38-0DAD-4F0B-B0FE-A48521C503CC}"/>
    <hyperlink ref="F1717" r:id="rId3284" xr:uid="{EBF7D5D6-E125-4060-9311-95A08E4F7EB1}"/>
    <hyperlink ref="S1717" r:id="rId3285" xr:uid="{4EBD3301-7CC5-4308-8482-4FEF240CBC56}"/>
    <hyperlink ref="F1718" r:id="rId3286" xr:uid="{F877D700-099F-45E1-8427-93850490893B}"/>
    <hyperlink ref="G1718" r:id="rId3287" xr:uid="{FF88EEF0-E6A4-457E-AAD0-F1A3BD4DB7DC}"/>
    <hyperlink ref="S1718" r:id="rId3288" xr:uid="{DA21BEBB-2E1D-4279-9007-FA3D7E8C67B3}"/>
    <hyperlink ref="F1719" r:id="rId3289" xr:uid="{2AE7597A-DC5F-4D2E-9A70-26FE1A695E16}"/>
    <hyperlink ref="G1719" r:id="rId3290" xr:uid="{8D603296-1FFE-4463-B814-0CD00D4FE74E}"/>
    <hyperlink ref="F1720" r:id="rId3291" xr:uid="{EA229B05-8F4E-41DE-969A-A4D45AE2EBC7}"/>
    <hyperlink ref="G1720" r:id="rId3292" xr:uid="{1DE75C15-12CD-477C-A526-0DD657D9DF77}"/>
    <hyperlink ref="S1720" r:id="rId3293" xr:uid="{72D7BE6C-527C-4854-80D1-F0BE1B97DA54}"/>
    <hyperlink ref="F1721" r:id="rId3294" xr:uid="{324CBC8E-A420-46FB-B886-F0657DB3AD24}"/>
    <hyperlink ref="G1721" r:id="rId3295" xr:uid="{E7284D48-EE7B-4435-9588-4DF289E9F9BD}"/>
    <hyperlink ref="S1721" r:id="rId3296" xr:uid="{B33DDAFB-AAA0-4E8E-BEEF-66C0F46A9753}"/>
    <hyperlink ref="F1722" r:id="rId3297" xr:uid="{5D3DB24B-AACB-4929-BEE3-157D6E61E6E7}"/>
    <hyperlink ref="S1722" r:id="rId3298" xr:uid="{09C306E8-74D4-4C77-BE14-5979EE728620}"/>
    <hyperlink ref="G1723" r:id="rId3299" xr:uid="{F79D38AA-D838-4F3B-A427-6B0A8F5F7D71}"/>
    <hyperlink ref="S1723" r:id="rId3300" xr:uid="{FCCFA526-76ED-4AD9-BFB5-E1BC0B326D18}"/>
    <hyperlink ref="S1724" r:id="rId3301" xr:uid="{85C64A85-24FB-4975-BB3B-016641C30E09}"/>
    <hyperlink ref="G1725" r:id="rId3302" xr:uid="{FF48911B-0E25-4E19-96A6-8FD53F128963}"/>
    <hyperlink ref="S1725" r:id="rId3303" xr:uid="{1388FACB-A7FA-4260-9C7D-0635BE429434}"/>
    <hyperlink ref="F1726" r:id="rId3304" xr:uid="{48BBC018-0A6A-4E4D-AA34-8BD838204D85}"/>
    <hyperlink ref="G1726" r:id="rId3305" xr:uid="{31BE8322-3EB4-43C4-904E-F4AA0FFC7AA1}"/>
    <hyperlink ref="S1727" r:id="rId3306" xr:uid="{7C722FC6-71C6-4DAC-B74D-D4E49976FD81}"/>
    <hyperlink ref="F1728" r:id="rId3307" xr:uid="{E300DBBD-8F08-4943-81CF-764068620D6D}"/>
    <hyperlink ref="S1728" r:id="rId3308" xr:uid="{181B34E8-8DFF-415F-A7B8-651879CDF877}"/>
    <hyperlink ref="F1729" r:id="rId3309" xr:uid="{044509EB-6BC6-461E-9DAC-7BA02E4FCECA}"/>
    <hyperlink ref="S1729" r:id="rId3310" xr:uid="{9A510ADF-4424-4FB5-840A-083EAB1B93BD}"/>
    <hyperlink ref="F1730" r:id="rId3311" xr:uid="{72336BA7-5C8C-492A-ADCF-013C52956CA0}"/>
    <hyperlink ref="S1730" r:id="rId3312" xr:uid="{9632CDF6-6EE2-40BF-8F4A-183BA53C4734}"/>
    <hyperlink ref="C1731" r:id="rId3313" xr:uid="{C75B5BA1-9DC3-4FB0-9227-D05B683DB664}"/>
    <hyperlink ref="F1731" r:id="rId3314" xr:uid="{36FD18E3-D569-4B89-B61B-867FDEB1DC23}"/>
    <hyperlink ref="S1731" r:id="rId3315" xr:uid="{62B16059-2FD4-458C-B31C-19C82EB0B803}"/>
    <hyperlink ref="F1732" r:id="rId3316" xr:uid="{5102371B-32E6-4567-9D3E-8CF0D4B50BFD}"/>
    <hyperlink ref="S1732" r:id="rId3317" xr:uid="{00295D5C-5E0E-436A-89EA-50A086E9E420}"/>
    <hyperlink ref="F1733" r:id="rId3318" xr:uid="{0F4EAC52-E006-4F1D-AE4A-A2793E563795}"/>
    <hyperlink ref="G1733" r:id="rId3319" xr:uid="{8EBC040A-CA9C-4670-B3D0-E895AA874EE3}"/>
    <hyperlink ref="S1733" r:id="rId3320" xr:uid="{152A3842-F1A0-4871-9111-4FBADDC97833}"/>
    <hyperlink ref="F1734" r:id="rId3321" xr:uid="{24E94891-3856-42F9-AB96-395C3DCBFC34}"/>
    <hyperlink ref="G1734" r:id="rId3322" xr:uid="{CD8A5607-6198-42B8-B91D-C3AE36538259}"/>
    <hyperlink ref="S1734" r:id="rId3323" xr:uid="{DF173ADD-0796-475D-8F3C-3AF33AF0FF6F}"/>
    <hyperlink ref="F1735" r:id="rId3324" xr:uid="{D8629F38-5C08-4D6E-927D-6B271BA1D458}"/>
    <hyperlink ref="G1735" r:id="rId3325" xr:uid="{05BF2B11-2DDD-4E76-98AF-7AAEAAF2E7CD}"/>
    <hyperlink ref="S1735" r:id="rId3326" xr:uid="{4F045FAC-27D5-4B98-8D1A-30A2F5C9AF5B}"/>
    <hyperlink ref="F1736" r:id="rId3327" xr:uid="{333ABFD9-B314-4A23-A62F-A13766799986}"/>
    <hyperlink ref="S1736" r:id="rId3328" xr:uid="{ABB89AD1-DC6A-44EC-816E-DF436A31A702}"/>
    <hyperlink ref="F1737" r:id="rId3329" xr:uid="{CBF4F0DB-40FE-4DA7-B76C-757D329863F6}"/>
    <hyperlink ref="S1737" r:id="rId3330" xr:uid="{B0D5C4FE-5FB6-4C3C-AE24-8A22FD29083A}"/>
    <hyperlink ref="F1739" r:id="rId3331" xr:uid="{710814E7-B5FD-43DE-831E-472340D0E0BD}"/>
    <hyperlink ref="S1739" r:id="rId3332" xr:uid="{AAF2E7B8-37BC-44A5-9BFE-D756589E7324}"/>
    <hyperlink ref="F1740" r:id="rId3333" xr:uid="{94A72B71-3ECE-46EE-9CA6-EEAE854A04B8}"/>
    <hyperlink ref="S1740" r:id="rId3334" xr:uid="{63DA163D-C88E-4117-B9E4-AC0FFEDC3E2C}"/>
    <hyperlink ref="C1741" r:id="rId3335" xr:uid="{6D19308C-3D40-4281-8D6D-0457E44728E0}"/>
    <hyperlink ref="F1741" r:id="rId3336" xr:uid="{C62F3A5C-6B0F-4FE0-8692-0FC29ECE2DFF}"/>
    <hyperlink ref="G1741" r:id="rId3337" xr:uid="{242D0E8D-7879-41AA-A156-1FBB0CE300E0}"/>
    <hyperlink ref="S1741" r:id="rId3338" xr:uid="{79F19520-5B9C-44F5-8995-D79A7ED29914}"/>
    <hyperlink ref="F1742" r:id="rId3339" xr:uid="{A8EDB5F9-FB9E-4980-BCC0-75CF4409AE70}"/>
    <hyperlink ref="S1742" r:id="rId3340" xr:uid="{B0C0891B-181F-44EA-B204-FB9D96A2BA17}"/>
    <hyperlink ref="F1743" r:id="rId3341" xr:uid="{54A6E4B7-8DC4-445A-8710-E7C0913769DF}"/>
    <hyperlink ref="G1743" r:id="rId3342" xr:uid="{983D03F0-F2EB-4F31-B2CD-A8257E8D0334}"/>
    <hyperlink ref="S1743" r:id="rId3343" xr:uid="{B020E385-FF0D-4DFF-B58C-F1473F462588}"/>
    <hyperlink ref="F1744" r:id="rId3344" xr:uid="{48FDE681-4181-4A1B-9CD5-3437C2C36CB0}"/>
    <hyperlink ref="S1744" r:id="rId3345" xr:uid="{6905C91E-E56F-41B1-B1B2-8FA6FC2B0F26}"/>
    <hyperlink ref="F1745" r:id="rId3346" xr:uid="{DA59CFE3-88B0-4043-9CE4-39C2B3C6B15A}"/>
    <hyperlink ref="S1745" r:id="rId3347" xr:uid="{E045EB9C-9004-4108-A2BE-04C1D9DF8B20}"/>
    <hyperlink ref="F1746" r:id="rId3348" xr:uid="{2C36B862-173C-4595-8A37-8A7F486CC651}"/>
    <hyperlink ref="G1746" r:id="rId3349" xr:uid="{5BEB0EA3-97E3-48A9-A76B-285DF5852B02}"/>
    <hyperlink ref="S1746" r:id="rId3350" xr:uid="{CD56D199-66E7-48A1-A9A4-E92090E94CE2}"/>
    <hyperlink ref="F1747" r:id="rId3351" xr:uid="{5C125F46-8C39-4BBF-A0DE-EDE79D7F5A58}"/>
    <hyperlink ref="G1747" r:id="rId3352" xr:uid="{2DE53BAF-D307-4D89-9D2F-9111F2E5FA0B}"/>
    <hyperlink ref="S1747" r:id="rId3353" xr:uid="{E06A02BC-8214-4195-A5EB-B0ADD5193978}"/>
    <hyperlink ref="G1748" r:id="rId3354" xr:uid="{05DAC304-07B1-4753-A678-838529860023}"/>
    <hyperlink ref="S1748" r:id="rId3355" xr:uid="{31E1F70A-22C7-4DBC-ADA2-ECC42A9E59A1}"/>
    <hyperlink ref="F1749" r:id="rId3356" xr:uid="{6FB9D997-6310-4FE5-82B3-7478188DAF45}"/>
    <hyperlink ref="G1749" r:id="rId3357" xr:uid="{ABAA3622-E889-414D-A59B-7D28A967EFAA}"/>
    <hyperlink ref="S1749" r:id="rId3358" xr:uid="{78B90347-94A2-4386-9948-00E181C2AC56}"/>
    <hyperlink ref="F1750" r:id="rId3359" xr:uid="{1105DA6C-DBDA-4C36-B821-02057F7E1F0C}"/>
    <hyperlink ref="G1750" r:id="rId3360" xr:uid="{39DF1D2E-B334-43ED-9DEB-268AACDBC478}"/>
    <hyperlink ref="G1751" r:id="rId3361" xr:uid="{6FBADCBB-C7EF-4B96-8521-A9956C218DE7}"/>
    <hyperlink ref="F1752" r:id="rId3362" xr:uid="{E3859310-68BB-4315-AC11-920BBDF0B7F8}"/>
    <hyperlink ref="F1753" r:id="rId3363" xr:uid="{081791FB-8043-46C5-8EA4-29866FB450A8}"/>
    <hyperlink ref="S1753" r:id="rId3364" xr:uid="{7B1B4F17-8D29-459F-9153-2CDF9E65F99D}"/>
    <hyperlink ref="F1754" r:id="rId3365" xr:uid="{53B25074-695B-4ADF-86F4-43554B84637F}"/>
    <hyperlink ref="G1754" r:id="rId3366" xr:uid="{64F7D387-063A-4375-A134-D9857B6413EC}"/>
    <hyperlink ref="S1754" r:id="rId3367" xr:uid="{5F386E1C-3253-4002-AB81-BC22AEE7BDE4}"/>
    <hyperlink ref="F1755" r:id="rId3368" xr:uid="{E642A8B5-6560-4C23-851B-0156D94DA6C3}"/>
    <hyperlink ref="S1755" r:id="rId3369" xr:uid="{C187C624-106D-4971-B1AE-CBD9C45F58AD}"/>
    <hyperlink ref="F1756" r:id="rId3370" xr:uid="{4D487E6F-41D2-4B64-A5B8-3A783720B93B}"/>
    <hyperlink ref="G1756" r:id="rId3371" xr:uid="{880E7072-F033-4812-88CD-7E6F3DE60332}"/>
    <hyperlink ref="S1756" r:id="rId3372" xr:uid="{7BA9A6CF-B62C-4BDB-A47F-E6D68D04057B}"/>
    <hyperlink ref="S1758" r:id="rId3373" xr:uid="{77830E41-747B-404E-B691-A00A7EFA6708}"/>
    <hyperlink ref="G1759" r:id="rId3374" xr:uid="{F399288B-0EA3-45A8-A29C-96DD69559D1E}"/>
    <hyperlink ref="S1759" r:id="rId3375" xr:uid="{220438EC-A8BD-4A46-BFCC-6A88D7714F45}"/>
    <hyperlink ref="G1760" r:id="rId3376" xr:uid="{2B068F36-9FAA-4F67-B60B-8D864F53CA2B}"/>
    <hyperlink ref="S1760" r:id="rId3377" xr:uid="{9DF0C821-F8F0-4F7D-A946-25F5A283371A}"/>
    <hyperlink ref="G1761" r:id="rId3378" xr:uid="{0CBA5E5A-5B41-4B83-817C-F45642EE8386}"/>
    <hyperlink ref="S1761" r:id="rId3379" xr:uid="{BF117060-3F3B-4C68-B1E9-4AC7FDBF4E49}"/>
    <hyperlink ref="F1762" r:id="rId3380" xr:uid="{443D24E8-625C-4358-A105-E2FFA7B75740}"/>
    <hyperlink ref="G1762" r:id="rId3381" xr:uid="{DAAD608E-2139-4957-AA1F-261E4C0BC7EC}"/>
    <hyperlink ref="S1762" r:id="rId3382" xr:uid="{480F90B8-9040-4081-AEF2-A7E23E3D6C82}"/>
    <hyperlink ref="F1763" r:id="rId3383" xr:uid="{718D1344-23FB-46A3-A85D-4AB2572A6DEA}"/>
    <hyperlink ref="S1763" r:id="rId3384" xr:uid="{5C0F655D-03E3-4ADE-BB23-589542D416B2}"/>
    <hyperlink ref="F1764" r:id="rId3385" xr:uid="{0BB9F84E-C623-4306-A065-531F148B7CC3}"/>
    <hyperlink ref="S1764" r:id="rId3386" xr:uid="{A8C615E9-47DD-4730-8537-43E941D448A2}"/>
    <hyperlink ref="F1765" r:id="rId3387" xr:uid="{D6A0A29E-A583-4B8B-B1A7-5B04CD2C09DF}"/>
    <hyperlink ref="G1765" r:id="rId3388" xr:uid="{03C64AC3-006C-4BB1-9A3A-DEEA5DEF1159}"/>
    <hyperlink ref="S1765" r:id="rId3389" xr:uid="{14936A03-33B5-493F-99B6-D833D221633F}"/>
    <hyperlink ref="F1766" r:id="rId3390" xr:uid="{7B14582A-85D5-44FC-9D09-33388BCE749F}"/>
    <hyperlink ref="S1766" r:id="rId3391" xr:uid="{504E63B6-99AD-4444-805A-3ECBEB0F5543}"/>
    <hyperlink ref="F1767" r:id="rId3392" xr:uid="{7DE30E1D-62F5-4607-B242-B9D1596C34CF}"/>
    <hyperlink ref="S1767" r:id="rId3393" xr:uid="{B58F6D76-7977-41F6-A8F9-ADE54BAAB423}"/>
    <hyperlink ref="F1768" r:id="rId3394" xr:uid="{6192D2BF-F19E-42D1-81FA-46732954430C}"/>
    <hyperlink ref="S1768" r:id="rId3395" xr:uid="{B1CDB201-7B56-48C6-9A01-01F0D4BAAA00}"/>
    <hyperlink ref="F1769" r:id="rId3396" xr:uid="{DF756505-1965-4FE6-B5F1-F7A14E2F3D81}"/>
    <hyperlink ref="S1769" r:id="rId3397" xr:uid="{6BBCE96A-6A06-48BA-9603-25773A2DDC02}"/>
    <hyperlink ref="F1770" r:id="rId3398" xr:uid="{F46DB565-7406-4272-85F6-827146BB9FD6}"/>
    <hyperlink ref="S1770" r:id="rId3399" xr:uid="{45EE7A61-4F6E-47A0-8C93-45A0434000D0}"/>
    <hyperlink ref="G1771" r:id="rId3400" xr:uid="{90E34CA8-A4E2-45E9-9EAE-7577124D2A44}"/>
    <hyperlink ref="S1771" r:id="rId3401" xr:uid="{C111FC1F-9599-4620-A355-3E5E6DD19C69}"/>
    <hyperlink ref="F1772" r:id="rId3402" xr:uid="{A0D3E140-B93D-4DFA-89C4-A3B6314766C6}"/>
    <hyperlink ref="G1772" r:id="rId3403" xr:uid="{91AE0B04-87A5-4612-BA61-3DB769ED20EF}"/>
    <hyperlink ref="S1772" r:id="rId3404" xr:uid="{CA525BEA-AA19-4D0D-8180-2E68EDDC0B65}"/>
    <hyperlink ref="F1773" r:id="rId3405" xr:uid="{DD795DAA-642A-4A0E-9B6C-5FB0069E7796}"/>
    <hyperlink ref="S1773" r:id="rId3406" xr:uid="{9F27EA68-59DC-48B4-85CA-CC5F5DDB2A49}"/>
    <hyperlink ref="G1774" r:id="rId3407" xr:uid="{23ABC7C3-E76F-4886-A3FA-80FFADD0003A}"/>
    <hyperlink ref="S1774" r:id="rId3408" xr:uid="{8D4F89ED-3C67-4465-A7E4-E455499F3942}"/>
    <hyperlink ref="G1775" r:id="rId3409" xr:uid="{D653850D-B787-433B-9D0F-0139FD02A1BD}"/>
    <hyperlink ref="S1776" r:id="rId3410" xr:uid="{76D3A5C0-AF3B-4871-BBF7-3A925697F092}"/>
    <hyperlink ref="F1777" r:id="rId3411" xr:uid="{720856BF-6D10-4D7C-80D9-2171AEFF9D7B}"/>
    <hyperlink ref="S1777" r:id="rId3412" xr:uid="{09BB9202-238A-4558-8027-F1D0389BB846}"/>
    <hyperlink ref="F1778" r:id="rId3413" xr:uid="{A43A8340-CC7C-42EE-8508-BCD933D6AA85}"/>
    <hyperlink ref="G1778" r:id="rId3414" xr:uid="{942A6894-2C0C-452B-8E4F-9BE4CE2A5CCF}"/>
    <hyperlink ref="S1778" r:id="rId3415" xr:uid="{02C402EF-3953-4B67-9020-2B2EE5EE2D9C}"/>
    <hyperlink ref="F1779" r:id="rId3416" xr:uid="{7338E8D9-4688-45CF-BF54-78AF640ABFC8}"/>
    <hyperlink ref="S1779" r:id="rId3417" xr:uid="{FC9E4182-9531-4B8B-A7E2-B0BD706516DD}"/>
    <hyperlink ref="G1780" r:id="rId3418" xr:uid="{C5A059FB-4A2D-406E-849C-704BDC308245}"/>
    <hyperlink ref="S1780" r:id="rId3419" xr:uid="{160300CD-80A3-42E6-AAAD-5DDE227C9753}"/>
    <hyperlink ref="F1781" r:id="rId3420" xr:uid="{BD8B1A93-D3C6-4BE0-8A13-8935CC3C3036}"/>
    <hyperlink ref="S1781" r:id="rId3421" xr:uid="{9482F5FE-8F4D-4013-A333-05ED182C0661}"/>
    <hyperlink ref="F1782" r:id="rId3422" xr:uid="{E8876BA9-6D59-4E0F-8BFF-973A09E93434}"/>
    <hyperlink ref="S1782" r:id="rId3423" xr:uid="{4D7D439A-31E4-496A-8356-791A3E0B2A76}"/>
    <hyperlink ref="G1783" r:id="rId3424" xr:uid="{5D140F7F-55C5-4EA3-8FF8-9AE8D57D0DD8}"/>
    <hyperlink ref="S1783" r:id="rId3425" xr:uid="{BC4CD1C5-0C8C-45D7-A43E-D2356215ECE4}"/>
    <hyperlink ref="S1784" r:id="rId3426" xr:uid="{FB73464A-4C8B-42C3-A7C8-BDCA2DC60271}"/>
    <hyperlink ref="C1786" r:id="rId3427" xr:uid="{C6E46A6E-0974-4BBE-B5CB-11E8208C7B00}"/>
    <hyperlink ref="F1786" r:id="rId3428" xr:uid="{6F344F1B-1889-4C66-BC68-B2D52E956A43}"/>
    <hyperlink ref="S1786" r:id="rId3429" xr:uid="{2BBB1B51-B9CF-479F-9E4E-7572B49DC07C}"/>
    <hyperlink ref="G1787" r:id="rId3430" xr:uid="{2C93F548-4D06-4475-A928-7BFEC6137575}"/>
    <hyperlink ref="S1787" r:id="rId3431" xr:uid="{BB5A1E3C-4DAE-4D16-A67A-ACB298DE2774}"/>
    <hyperlink ref="S1788" r:id="rId3432" xr:uid="{0F1BD0F8-760D-4AEA-8E7E-6047577331CA}"/>
    <hyperlink ref="F1789" r:id="rId3433" xr:uid="{4ED24B98-2CAE-41F2-A11B-69C7FC787C6D}"/>
    <hyperlink ref="S1789" r:id="rId3434" xr:uid="{15ADE1B2-5997-41DC-9425-F58190653894}"/>
    <hyperlink ref="F1790" r:id="rId3435" xr:uid="{97C95B53-DB9F-445A-BDEC-A0680A6A3C28}"/>
    <hyperlink ref="G1790" r:id="rId3436" xr:uid="{7ADB8E06-265E-47F1-89AC-3314705B10C7}"/>
    <hyperlink ref="S1790" r:id="rId3437" xr:uid="{3EC5F0E7-6B6B-46E8-AC46-68F410080167}"/>
    <hyperlink ref="G1791" r:id="rId3438" xr:uid="{265C8E0D-8D85-4F03-9CCF-3D0C8D6D9C55}"/>
    <hyperlink ref="S1791" r:id="rId3439" xr:uid="{8015C2C7-A266-467A-BEFF-184546395E0B}"/>
    <hyperlink ref="F1792" r:id="rId3440" xr:uid="{7834ABC6-41E5-4D9E-B163-1662253507EA}"/>
    <hyperlink ref="G1792" r:id="rId3441" xr:uid="{D6EE36AA-CF32-4B06-B197-F2AA7700A49C}"/>
    <hyperlink ref="G1793" r:id="rId3442" xr:uid="{7087C681-1ABA-4D8D-9C77-9D31E0243FF3}"/>
    <hyperlink ref="S1793" r:id="rId3443" xr:uid="{E67E5E4C-29E3-4332-971C-9771B290FFEB}"/>
    <hyperlink ref="F1794" r:id="rId3444" xr:uid="{7326C8F7-98C0-44F0-B84F-9866A090C965}"/>
    <hyperlink ref="G1794" r:id="rId3445" xr:uid="{C0FBF2F6-47CE-412B-B95C-07FC1F4E5DC1}"/>
    <hyperlink ref="S1794" r:id="rId3446" xr:uid="{E758F7ED-FDC1-41A8-A469-35CCBF9FA30A}"/>
    <hyperlink ref="C1795" r:id="rId3447" xr:uid="{8AFF3393-C6F0-470C-921C-A66120A967C8}"/>
    <hyperlink ref="F1795" r:id="rId3448" xr:uid="{524DFCB1-F531-438E-8A77-A4D3AE4A8FD2}"/>
    <hyperlink ref="G1795" r:id="rId3449" xr:uid="{BC680FE2-5EAB-4450-BB3A-204C3B83F9BC}"/>
    <hyperlink ref="S1795" r:id="rId3450" xr:uid="{CCB54D6E-9DF4-4505-8127-B6EA0FCDEB1E}"/>
    <hyperlink ref="F1796" r:id="rId3451" xr:uid="{D0F82CC4-F0E6-4BE0-B3F6-6F86E88E5D72}"/>
    <hyperlink ref="G1796" r:id="rId3452" xr:uid="{E4C0478F-B859-4FB2-A0B5-98735B26FBA6}"/>
    <hyperlink ref="S1796" r:id="rId3453" xr:uid="{76D3ADBA-38BA-47F8-9412-49641C6949B6}"/>
    <hyperlink ref="S1797" r:id="rId3454" xr:uid="{E8148DA0-8819-4B55-B017-45789C3E164F}"/>
    <hyperlink ref="F1798" r:id="rId3455" xr:uid="{77136C4E-DA35-4393-840D-8C08887A4714}"/>
    <hyperlink ref="G1798" r:id="rId3456" xr:uid="{A0299607-DD66-4CBE-9174-417F9068C22E}"/>
    <hyperlink ref="S1798" r:id="rId3457" xr:uid="{5358C07C-D7DE-4787-81B1-8CE9F5183A04}"/>
    <hyperlink ref="F1799" r:id="rId3458" xr:uid="{209E1B4C-863E-4CB7-9A33-6A1C2C29CFFE}"/>
    <hyperlink ref="S1799" r:id="rId3459" xr:uid="{CC555070-037A-4DF0-880F-AAD4465074B3}"/>
    <hyperlink ref="F1800" r:id="rId3460" xr:uid="{645305AB-AE9E-4137-B642-2465F9F1A361}"/>
    <hyperlink ref="F1801" r:id="rId3461" xr:uid="{2480819C-9650-43BE-84DF-0385A96C9D10}"/>
    <hyperlink ref="G1801" r:id="rId3462" xr:uid="{CAEF648A-9C90-4145-BE2D-0ED89F4CAFED}"/>
    <hyperlink ref="S1801" r:id="rId3463" xr:uid="{ECD0479A-367A-4656-8083-DBD5C2C319B6}"/>
    <hyperlink ref="F1802" r:id="rId3464" xr:uid="{05F6B591-66D5-4769-858D-AD380D7F733D}"/>
    <hyperlink ref="S1802" r:id="rId3465" xr:uid="{A3F6B7D3-CAA2-49DD-B11C-4CD8BF993ED2}"/>
    <hyperlink ref="F1804" r:id="rId3466" xr:uid="{F576522B-9620-4231-922B-40A37BB2F605}"/>
    <hyperlink ref="G1804" r:id="rId3467" xr:uid="{3B566DE1-FE55-4C6F-A890-F94A999FDDE3}"/>
    <hyperlink ref="S1804" r:id="rId3468" xr:uid="{87FB4812-7DD9-4475-9B00-D53F932A5F5B}"/>
    <hyperlink ref="F1805" r:id="rId3469" xr:uid="{F1103D82-8935-48C0-A737-4D416BDA0C88}"/>
    <hyperlink ref="G1805" r:id="rId3470" xr:uid="{E53B77DA-128A-4FF9-BB49-A56E746E286E}"/>
    <hyperlink ref="S1805" r:id="rId3471" xr:uid="{21F847E9-7427-4897-B604-AA035D1FF52E}"/>
    <hyperlink ref="G1806" r:id="rId3472" xr:uid="{D25A53D0-EF52-4BDC-87DB-473C10F49649}"/>
    <hyperlink ref="F1807" r:id="rId3473" xr:uid="{C60CF5D2-9136-4BD6-A33A-CC39D81AC258}"/>
    <hyperlink ref="G1808" r:id="rId3474" xr:uid="{0BEB5248-8C75-4248-860E-75A558410B80}"/>
    <hyperlink ref="S1808" r:id="rId3475" xr:uid="{3A5654CB-4466-4312-9656-844062C1C462}"/>
    <hyperlink ref="G1809" r:id="rId3476" xr:uid="{D3DBB2E4-B682-4AF9-88FB-614FF5566A39}"/>
    <hyperlink ref="S1809" r:id="rId3477" xr:uid="{543A6CF7-766B-4F3D-ACD1-4628593B23E5}"/>
    <hyperlink ref="F1810" r:id="rId3478" xr:uid="{8133EF84-0951-4D69-83F9-6D83ED712F9B}"/>
    <hyperlink ref="S1810" r:id="rId3479" xr:uid="{B20CF0C4-8627-4AD3-97E9-B6348C66A8CA}"/>
    <hyperlink ref="F1811" r:id="rId3480" xr:uid="{0FD9CBEF-7FDC-4303-8791-CFB942D22251}"/>
    <hyperlink ref="G1811" r:id="rId3481" xr:uid="{E6BE5040-67A7-42FA-B34E-68440A690750}"/>
    <hyperlink ref="S1811" r:id="rId3482" xr:uid="{331867C9-8A71-4DD3-B683-82DED9FED848}"/>
    <hyperlink ref="F1812" r:id="rId3483" xr:uid="{BA592B4A-ED40-4532-9144-28D4F27BF0EE}"/>
    <hyperlink ref="G1812" r:id="rId3484" xr:uid="{CA781671-84A6-440B-B9A0-EACD5F9B3F99}"/>
    <hyperlink ref="S1812" r:id="rId3485" xr:uid="{E90594C4-1991-4B57-AD0F-7A44DE2D8B00}"/>
    <hyperlink ref="F1813" r:id="rId3486" xr:uid="{BDD723BB-E5C5-4564-983A-DB4C78E78C85}"/>
    <hyperlink ref="S1813" r:id="rId3487" xr:uid="{40914EE4-BA19-4F17-BB41-852362F87A4F}"/>
    <hyperlink ref="F1814" r:id="rId3488" xr:uid="{4DEC8744-5ACD-4B4A-9FBE-529AD80A7E98}"/>
    <hyperlink ref="S1814" r:id="rId3489" xr:uid="{013CE081-6453-4C40-94EE-93793D59CF14}"/>
    <hyperlink ref="F1815" r:id="rId3490" xr:uid="{0A3D1AEB-7444-4DC5-AD22-CA051FAED6C8}"/>
    <hyperlink ref="F1816" r:id="rId3491" xr:uid="{18D9DF7D-A5A5-4495-B92F-E8813BFC123B}"/>
    <hyperlink ref="S1816" r:id="rId3492" xr:uid="{C2DEC858-2FA4-4731-8A8F-C535737101B2}"/>
    <hyperlink ref="F1817" r:id="rId3493" xr:uid="{A3D19108-BBA6-4CD0-B808-D3A31B184011}"/>
    <hyperlink ref="S1817" r:id="rId3494" xr:uid="{6C429235-A429-4EFC-98F2-455986762CCF}"/>
    <hyperlink ref="F1818" r:id="rId3495" xr:uid="{337A80FE-164A-4BF0-8B95-96555C6314FA}"/>
    <hyperlink ref="G1818" r:id="rId3496" xr:uid="{EE7BD263-0676-4D1B-9243-5D772922507D}"/>
    <hyperlink ref="S1818" r:id="rId3497" xr:uid="{87EBD584-738D-48C4-89DA-219D178A53F3}"/>
    <hyperlink ref="F1819" r:id="rId3498" xr:uid="{D2FA6D22-9C71-49A5-98E1-633902D1CF94}"/>
    <hyperlink ref="G1819" r:id="rId3499" xr:uid="{DA232DCA-F1C3-4B59-80B5-3993C66AE2CC}"/>
    <hyperlink ref="S1819" r:id="rId3500" xr:uid="{90AB316D-FB55-4D73-935B-EC6641AEEA2F}"/>
    <hyperlink ref="F1820" r:id="rId3501" xr:uid="{05129D5C-0E62-4A39-8E54-BD0CED49BCE9}"/>
    <hyperlink ref="S1820" r:id="rId3502" xr:uid="{9ECDD6FC-27F1-46FB-80A3-A7D78A43A3FE}"/>
    <hyperlink ref="F1821" r:id="rId3503" xr:uid="{C5F43C00-03B5-41BC-9874-F72AB84FC021}"/>
    <hyperlink ref="F1822" r:id="rId3504" xr:uid="{6E9BBF80-A267-46E9-A2B9-3D1BA7FF4381}"/>
    <hyperlink ref="G1822" r:id="rId3505" xr:uid="{23314BAB-8839-4A34-8676-488BEB123647}"/>
    <hyperlink ref="S1822" r:id="rId3506" xr:uid="{18CC2614-CABF-4749-AB2E-AD8BDDA8F623}"/>
    <hyperlink ref="S1824" r:id="rId3507" xr:uid="{0F097E1C-4083-4FE9-BEEE-5AA5D9B16966}"/>
    <hyperlink ref="G1825" r:id="rId3508" xr:uid="{CA31BB78-CAF7-488A-9EF3-DD1575CB14D3}"/>
    <hyperlink ref="S1825" r:id="rId3509" xr:uid="{E11C9401-FAEE-4953-A19C-8246634A08AC}"/>
    <hyperlink ref="F1827" r:id="rId3510" xr:uid="{8F6DD4BC-8EAE-46FB-8154-3D1FADE99B86}"/>
    <hyperlink ref="G1828" r:id="rId3511" xr:uid="{C09F9D7E-26E5-47AF-83BD-D3C74314F33D}"/>
    <hyperlink ref="S1828" r:id="rId3512" xr:uid="{309EE241-B066-48BF-8E8D-1A8AAE97589D}"/>
    <hyperlink ref="F1829" r:id="rId3513" xr:uid="{E90AB07C-61FF-4C90-9D97-867DC46F7D5D}"/>
    <hyperlink ref="S1829" r:id="rId3514" xr:uid="{13F4E3B7-A47F-4BA0-BC07-E48B37BA0376}"/>
    <hyperlink ref="F1830" r:id="rId3515" xr:uid="{5D2F9B1C-6FE3-40FA-BEEA-099DFCFBE05F}"/>
    <hyperlink ref="S1830" r:id="rId3516" xr:uid="{934BB97A-08B7-4857-AB6E-11E82D383F95}"/>
    <hyperlink ref="F1831" r:id="rId3517" xr:uid="{0F62F024-523E-4848-B67C-B4505ECCA1C3}"/>
    <hyperlink ref="S1831" r:id="rId3518" xr:uid="{1D6F9F1E-AD85-4F6C-A408-065F5DCE4DB7}"/>
    <hyperlink ref="G1832" r:id="rId3519" xr:uid="{E87B3133-B129-4D72-A70E-4DFB53A45395}"/>
    <hyperlink ref="S1832" r:id="rId3520" xr:uid="{961FC101-7C87-4782-9F2E-7C3B29D0D7EB}"/>
    <hyperlink ref="G1833" r:id="rId3521" xr:uid="{4F8D6234-1E03-4AD1-A9D5-5BD475C4DFDF}"/>
    <hyperlink ref="S1833" r:id="rId3522" xr:uid="{D513974E-BF8B-4380-94FE-299AB1D13645}"/>
    <hyperlink ref="F1834" r:id="rId3523" xr:uid="{E4F527A4-5161-4986-A66A-04B3816A0189}"/>
    <hyperlink ref="G1834" r:id="rId3524" xr:uid="{9E6564A5-C290-4120-AC2D-2C006899B876}"/>
    <hyperlink ref="S1834" r:id="rId3525" xr:uid="{E0FAA892-ABA1-42E9-B39A-D098AFDF594F}"/>
    <hyperlink ref="S1835" r:id="rId3526" xr:uid="{13A56AF4-DA22-4D62-9842-B8C6560E23D8}"/>
    <hyperlink ref="F1836" r:id="rId3527" xr:uid="{86422EEF-619F-43DC-9398-FA7C3F403238}"/>
    <hyperlink ref="S1836" r:id="rId3528" xr:uid="{37EF2E59-A4FC-44AE-A860-2F72364A8D3F}"/>
    <hyperlink ref="S1837" r:id="rId3529" xr:uid="{8EBE3116-0948-49D8-919A-060A70DCA534}"/>
    <hyperlink ref="F1838" r:id="rId3530" xr:uid="{D6841B99-831F-48A1-9A9F-1019CDF55C79}"/>
    <hyperlink ref="F1839" r:id="rId3531" xr:uid="{EDC53714-10D7-402B-B40A-F53A63C41133}"/>
    <hyperlink ref="S1839" r:id="rId3532" xr:uid="{61B1FBA9-5B3F-4E0A-88F6-B94BEEE057C3}"/>
    <hyperlink ref="F1840" r:id="rId3533" xr:uid="{B74D386E-D976-4976-B8FB-57FD42B074E7}"/>
    <hyperlink ref="G1840" r:id="rId3534" xr:uid="{0F288163-165B-4234-8E7A-937C42597708}"/>
    <hyperlink ref="S1840" r:id="rId3535" xr:uid="{CCC90A5F-E810-480C-92D6-89897D92EAAF}"/>
    <hyperlink ref="S1841" r:id="rId3536" xr:uid="{F5915594-4B78-446D-A815-EF2D3C1022D4}"/>
    <hyperlink ref="F1842" r:id="rId3537" xr:uid="{BB74ED32-2DFA-48D6-A4ED-5F6A49190CB2}"/>
    <hyperlink ref="G1843" r:id="rId3538" xr:uid="{9A37FDC3-88E5-4F75-BF49-FA456727A175}"/>
    <hyperlink ref="F1844" r:id="rId3539" xr:uid="{B2E1EDCD-37C6-4DED-8C22-0C7128A9F1D7}"/>
    <hyperlink ref="S1844" r:id="rId3540" xr:uid="{8AB988B9-4705-4BBB-AFAD-D939AECC711B}"/>
    <hyperlink ref="G1845" r:id="rId3541" xr:uid="{437113F0-2B39-4C79-8837-CEEC89A7A649}"/>
    <hyperlink ref="G1846" r:id="rId3542" xr:uid="{BD5F587B-3C97-411B-860C-053AA24C9D1A}"/>
    <hyperlink ref="S1846" r:id="rId3543" xr:uid="{2EF8845A-E094-4C4F-A03A-B0ACD00EF0B1}"/>
    <hyperlink ref="F1847" r:id="rId3544" xr:uid="{6E6EC170-3D1D-40B5-8042-C8D3131540B4}"/>
    <hyperlink ref="G1847" r:id="rId3545" xr:uid="{C8AD0CFE-AD51-4A35-9D23-A443B0E3E8F7}"/>
    <hyperlink ref="F1848" r:id="rId3546" xr:uid="{DA4C387E-0E77-4A78-9997-99DFECBBA332}"/>
    <hyperlink ref="G1848" r:id="rId3547" xr:uid="{5365585F-C41F-43BD-9E1D-5F980FFC9EED}"/>
    <hyperlink ref="S1848" r:id="rId3548" xr:uid="{053230E7-95A6-45A9-8376-7466D4539F90}"/>
    <hyperlink ref="F1849" r:id="rId3549" xr:uid="{1B7ED4D7-9393-468E-A489-4820C9450E30}"/>
    <hyperlink ref="G1849" r:id="rId3550" xr:uid="{BED1DCBB-5DAB-463F-B467-54A417F0308B}"/>
    <hyperlink ref="S1849" r:id="rId3551" xr:uid="{BA1AE40C-19AE-4A73-BB40-260F209137F0}"/>
    <hyperlink ref="G1850" r:id="rId3552" xr:uid="{7D45F704-2022-43BB-BF46-73584326BE82}"/>
    <hyperlink ref="S1850" r:id="rId3553" xr:uid="{10759489-8E7C-4353-8C0F-23A896B83CA7}"/>
    <hyperlink ref="F1851" r:id="rId3554" xr:uid="{D9DE634A-6387-4899-A55B-0C001EC7FCE1}"/>
    <hyperlink ref="S1851" r:id="rId3555" xr:uid="{D8FBD514-ADC3-4CBB-86AF-4B65D5EA8493}"/>
    <hyperlink ref="G1852" r:id="rId3556" xr:uid="{76367D57-93A1-4A35-BC9C-3A7DA6D19280}"/>
    <hyperlink ref="S1852" r:id="rId3557" xr:uid="{86AF97A0-66E2-4374-821E-AEC8EEA3D50C}"/>
    <hyperlink ref="F1853" r:id="rId3558" xr:uid="{F3F029A6-FD5F-4AC2-81C3-F4EE74EF2162}"/>
    <hyperlink ref="S1853" r:id="rId3559" xr:uid="{D19009CE-AD33-4DD7-B169-B1F1FA775815}"/>
    <hyperlink ref="F1854" r:id="rId3560" xr:uid="{0F72A010-6C07-4E2A-822D-D29D04C4618B}"/>
    <hyperlink ref="G1854" r:id="rId3561" xr:uid="{26B9B296-9163-47E3-B269-0122A02D9843}"/>
    <hyperlink ref="G1855" r:id="rId3562" xr:uid="{44A5E208-82DC-42DE-A82A-53481E5704BE}"/>
    <hyperlink ref="S1855" r:id="rId3563" xr:uid="{63DCD9F1-B563-43AA-83B5-F7104D67D6AD}"/>
    <hyperlink ref="F1856" r:id="rId3564" xr:uid="{2D9539E7-59E2-4F89-A7B8-E2B261DF82C9}"/>
    <hyperlink ref="S1856" r:id="rId3565" xr:uid="{C3067BFC-4306-4A75-B894-74ABB950F2A0}"/>
    <hyperlink ref="G1857" r:id="rId3566" xr:uid="{F12313C2-B8E0-4057-9F47-39B029C31DED}"/>
    <hyperlink ref="S1857" r:id="rId3567" xr:uid="{B390061E-C86E-4E4E-B113-015C396C2778}"/>
    <hyperlink ref="G1858" r:id="rId3568" xr:uid="{B745A93B-56D1-4677-8542-7F8E003E94AA}"/>
    <hyperlink ref="S1858" r:id="rId3569" xr:uid="{7B42FBBF-35BC-4661-B817-662BD4A80C9F}"/>
    <hyperlink ref="F1859" r:id="rId3570" xr:uid="{34FE4EF9-914A-4DB4-99C2-B73901D77441}"/>
    <hyperlink ref="G1859" r:id="rId3571" xr:uid="{5883AE41-A4C0-477A-A9B5-73BF1FE9BA29}"/>
    <hyperlink ref="S1859" r:id="rId3572" xr:uid="{CF965E7D-1B63-4495-B01C-EF74A72C24DF}"/>
    <hyperlink ref="F1861" r:id="rId3573" xr:uid="{E8D13E2E-87FA-4040-9427-CF222ED63111}"/>
    <hyperlink ref="G1861" r:id="rId3574" xr:uid="{E5FDFC2C-7505-4DD2-91CA-1A0107CF2FFC}"/>
    <hyperlink ref="S1861" r:id="rId3575" xr:uid="{8ADB85F2-B9D9-4181-A3F1-D4682F801C3F}"/>
    <hyperlink ref="S1862" r:id="rId3576" xr:uid="{7437ADBC-A7B5-4211-A701-CA6845E6143C}"/>
    <hyperlink ref="F1863" r:id="rId3577" xr:uid="{B0AFB59C-982F-4D2D-A398-FA4F9AA21731}"/>
    <hyperlink ref="G1863" r:id="rId3578" xr:uid="{AC26CBC8-C70D-4F74-8D8B-C2F9F9F7C987}"/>
    <hyperlink ref="S1863" r:id="rId3579" xr:uid="{FA7C3800-042A-4C87-9CC8-6A79EC57058F}"/>
    <hyperlink ref="G1864" r:id="rId3580" xr:uid="{093B84B0-1347-4433-BE8E-AE496028A6EE}"/>
    <hyperlink ref="S1864" r:id="rId3581" xr:uid="{59A4AAA5-4CBF-46A1-9FF6-A0C461AC41B1}"/>
    <hyperlink ref="F1865" r:id="rId3582" xr:uid="{A44918E1-7A7A-4121-A271-A578AE0B152F}"/>
    <hyperlink ref="G1865" r:id="rId3583" xr:uid="{9E853C7B-2A42-4ADA-838E-9FFCA08A771D}"/>
    <hyperlink ref="S1865" r:id="rId3584" xr:uid="{50E3CC25-D5FD-4676-85E8-857F7A40E3DD}"/>
    <hyperlink ref="C1866" r:id="rId3585" xr:uid="{068FB84F-19C7-4764-9E39-EDBE7A6F3C3D}"/>
    <hyperlink ref="F1866" r:id="rId3586" xr:uid="{89BF8560-3A7A-4AF2-920B-88F1D4983899}"/>
    <hyperlink ref="G1866" r:id="rId3587" xr:uid="{2DAD0DFC-31CF-4D45-B48D-1EF4AB9AF2A2}"/>
    <hyperlink ref="S1866" r:id="rId3588" xr:uid="{58A8D95A-E90A-4D96-8E31-49C88096C747}"/>
    <hyperlink ref="F1867" r:id="rId3589" xr:uid="{4D5B4084-41C3-4F05-B271-399767524EE8}"/>
    <hyperlink ref="G1867" r:id="rId3590" xr:uid="{670830EB-0179-421A-B1B4-B11DC8259482}"/>
    <hyperlink ref="S1867" r:id="rId3591" xr:uid="{6CD55A61-76E7-4826-89D0-6BF5A382A803}"/>
    <hyperlink ref="G1868" r:id="rId3592" xr:uid="{B2867A9F-D760-4E92-A8CF-C39AED9F0C26}"/>
    <hyperlink ref="S1868" r:id="rId3593" xr:uid="{7AE995A2-272C-41C4-86A3-84E44DBAA955}"/>
    <hyperlink ref="G1869" r:id="rId3594" xr:uid="{A4D11000-4E37-4CBE-952C-8F6CA9569CD6}"/>
    <hyperlink ref="S1869" r:id="rId3595" xr:uid="{97AAA950-C1BC-473C-B773-1A340875BD44}"/>
    <hyperlink ref="S1870" r:id="rId3596" xr:uid="{D31B2C88-EA79-4B5C-A4CD-5738C70F9780}"/>
    <hyperlink ref="S1871" r:id="rId3597" xr:uid="{035C4FED-947F-42C8-8C11-F0156E44212D}"/>
    <hyperlink ref="F1872" r:id="rId3598" xr:uid="{16AF2928-A89C-43D7-A8E5-BA157B7D9BDF}"/>
    <hyperlink ref="G1872" r:id="rId3599" xr:uid="{6665495B-12F2-4CA0-A700-2C640A01CCB1}"/>
    <hyperlink ref="S1872" r:id="rId3600" xr:uid="{5A063954-2A2E-412E-94FE-6ED39A466A5F}"/>
    <hyperlink ref="F1873" r:id="rId3601" xr:uid="{46147FE0-48F9-4CC6-862B-5767F19E118D}"/>
    <hyperlink ref="S1873" r:id="rId3602" xr:uid="{7E02DF04-764F-48A3-A50D-8B5277BBFE15}"/>
    <hyperlink ref="G1874" r:id="rId3603" xr:uid="{D87B2A9B-4665-482F-BFFC-1E8DB83E5C1C}"/>
    <hyperlink ref="S1874" r:id="rId3604" xr:uid="{4C06588B-44CB-4D5D-A41A-3B89FE041105}"/>
    <hyperlink ref="F1875" r:id="rId3605" xr:uid="{475560F4-A992-4F49-837D-AE2912FD7043}"/>
    <hyperlink ref="S1875" r:id="rId3606" xr:uid="{B69079AA-E152-4435-8CC6-18BFC14116CB}"/>
    <hyperlink ref="F1876" r:id="rId3607" xr:uid="{16F45287-13EE-4582-BF2A-B15CB6FD2A55}"/>
    <hyperlink ref="S1876" r:id="rId3608" xr:uid="{60142DB6-BC10-4DE2-A8FA-B0F9C4DF1AFF}"/>
    <hyperlink ref="G1877" r:id="rId3609" xr:uid="{9CC628DB-8B2F-4B6E-8A31-F2819008D42F}"/>
    <hyperlink ref="F1878" r:id="rId3610" xr:uid="{00679F9A-1EF4-4E77-BEEE-2E1BED81A57C}"/>
    <hyperlink ref="G1878" r:id="rId3611" xr:uid="{FB1C43DF-5F8D-4344-93C7-2EB95996D738}"/>
    <hyperlink ref="S1878" r:id="rId3612" xr:uid="{74DC537E-26B8-4E2F-99BA-D4C5BDA500B6}"/>
    <hyperlink ref="F1879" r:id="rId3613" xr:uid="{DBF03D06-BD9E-4ABF-8C87-EBB7659443C6}"/>
    <hyperlink ref="F1880" r:id="rId3614" xr:uid="{9788D84A-4DD2-4B79-9FB4-4A0F94F46D25}"/>
    <hyperlink ref="G1880" r:id="rId3615" xr:uid="{48ED2FC9-426D-4C94-8427-C770E35F78ED}"/>
    <hyperlink ref="F1881" r:id="rId3616" xr:uid="{A462597D-3746-42AE-B141-554482B4FDFB}"/>
    <hyperlink ref="G1881" r:id="rId3617" xr:uid="{BEB429F4-ABDB-4D32-82EE-FB0DD34591E0}"/>
    <hyperlink ref="S1881" r:id="rId3618" xr:uid="{B2B67888-8F5B-4233-8333-85A10A064663}"/>
    <hyperlink ref="F1882" r:id="rId3619" xr:uid="{E7AA7627-4189-4A3B-B913-12802EED79F4}"/>
    <hyperlink ref="S1882" r:id="rId3620" xr:uid="{A72E8BC6-DAC8-4664-B8D8-0009E26D5F95}"/>
    <hyperlink ref="F1883" r:id="rId3621" xr:uid="{EC68BC2F-A483-4EAA-BBF6-C3E5D36F1A32}"/>
    <hyperlink ref="S1883" r:id="rId3622" xr:uid="{918C49C6-2746-4A6F-963D-877AC129580A}"/>
    <hyperlink ref="S1884" r:id="rId3623" xr:uid="{9E9C8C39-4E91-4B6C-966F-CCCC8A1868D5}"/>
    <hyperlink ref="S1885" r:id="rId3624" xr:uid="{D3BF0333-C192-4966-96FB-222B5FD5D95F}"/>
    <hyperlink ref="F1886" r:id="rId3625" xr:uid="{2F49A0B9-1B2B-4EB8-A04C-DE784818BB5D}"/>
    <hyperlink ref="S1886" r:id="rId3626" xr:uid="{CEE1B16D-95F9-4025-B8AC-5A66A677B91A}"/>
    <hyperlink ref="F1887" r:id="rId3627" xr:uid="{C8251CD3-CF7F-48B8-9D76-21AC105D7F23}"/>
    <hyperlink ref="S1887" r:id="rId3628" xr:uid="{53DB33BC-0E8B-4898-ABE6-363BADB77CDD}"/>
    <hyperlink ref="C1888" r:id="rId3629" xr:uid="{710EFCAD-A57B-4912-BB52-AC3C1C29BB44}"/>
    <hyperlink ref="F1888" r:id="rId3630" xr:uid="{3E9054A5-03B2-4434-BD3F-85A10AC1FB6F}"/>
    <hyperlink ref="G1888" r:id="rId3631" xr:uid="{C3F4EDC1-4483-4B1E-B7A3-88728CA7EA55}"/>
    <hyperlink ref="S1888" r:id="rId3632" xr:uid="{A09536D8-71E5-4727-B433-0331BD7867A2}"/>
    <hyperlink ref="G1889" r:id="rId3633" xr:uid="{427C6948-D52F-4333-8E32-D14356089B4C}"/>
    <hyperlink ref="F1890" r:id="rId3634" xr:uid="{26AA8606-5E3E-43F9-81BC-BA95B86287B4}"/>
    <hyperlink ref="S1890" r:id="rId3635" xr:uid="{DE530B99-92CB-452F-BD4A-BF3D71F82716}"/>
    <hyperlink ref="F1891" r:id="rId3636" xr:uid="{5E288BDF-5830-4E53-9B42-149A6F3EFA36}"/>
    <hyperlink ref="G1891" r:id="rId3637" xr:uid="{70A8A7B3-7ECE-47D1-B22A-BD8E8EE69B8E}"/>
    <hyperlink ref="S1891" r:id="rId3638" xr:uid="{DBF290AB-3160-44A2-88B4-B019967C611B}"/>
    <hyperlink ref="F1892" r:id="rId3639" xr:uid="{709018F1-1CDF-495B-88B9-BEB04F01776B}"/>
    <hyperlink ref="F1893" r:id="rId3640" xr:uid="{7AB2D1F4-6F1E-4A58-936C-9590FBDBC423}"/>
    <hyperlink ref="F1894" r:id="rId3641" xr:uid="{BC1115D6-C032-493F-A58B-ADF12B4E28CE}"/>
    <hyperlink ref="F1895" r:id="rId3642" xr:uid="{B3E5D6AE-BE0B-4C7B-8681-A87983460F3D}"/>
    <hyperlink ref="G1895" r:id="rId3643" xr:uid="{646A9ECF-69E4-4DCA-95A0-08893481DC94}"/>
    <hyperlink ref="S1895" r:id="rId3644" xr:uid="{FEF44D8A-3269-400B-8FE1-2374D660EBC6}"/>
    <hyperlink ref="F1896" r:id="rId3645" xr:uid="{2D3FBD18-BBBA-428F-BCD2-94BD1E0E081B}"/>
    <hyperlink ref="F1897" r:id="rId3646" xr:uid="{ADCAA62E-8D84-48FA-B3F1-3BEC5FC6AEB3}"/>
    <hyperlink ref="G1897" r:id="rId3647" xr:uid="{A7993790-B1DF-4C7D-BB00-02ED5B9D0B06}"/>
    <hyperlink ref="S1897" r:id="rId3648" xr:uid="{90011E51-7061-40F3-9F94-AFDA7ECA2BD8}"/>
    <hyperlink ref="G1898" r:id="rId3649" xr:uid="{C6CCF45A-896E-49C6-941B-0A58077CA910}"/>
    <hyperlink ref="S1898" r:id="rId3650" xr:uid="{93A9CB3A-1A3D-4CEA-A921-4988E5708E6F}"/>
    <hyperlink ref="G1899" r:id="rId3651" xr:uid="{CACBCC9B-F926-40BD-B30A-714CC099A80B}"/>
    <hyperlink ref="S1899" r:id="rId3652" xr:uid="{E9CA6E23-C32E-4F19-8389-77EBB0F47579}"/>
    <hyperlink ref="G1900" r:id="rId3653" xr:uid="{02A4AA42-86D0-40C6-AFF3-F72ACFD55899}"/>
    <hyperlink ref="S1900" r:id="rId3654" xr:uid="{82E1A28F-DE65-4A6A-9519-9A1D3619DDF1}"/>
    <hyperlink ref="F1901" r:id="rId3655" xr:uid="{DC229DD9-2E0B-4685-8825-C90534AFE4EB}"/>
    <hyperlink ref="S1901" r:id="rId3656" xr:uid="{90C76F8C-91F1-4297-BA4A-20163FB364FB}"/>
    <hyperlink ref="F1902" r:id="rId3657" xr:uid="{BD342573-D67B-4814-96BB-76649DE11462}"/>
    <hyperlink ref="G1902" r:id="rId3658" xr:uid="{35A2A492-B7CD-4F5A-BB54-41013C777B7D}"/>
    <hyperlink ref="F1903" r:id="rId3659" xr:uid="{E5B3DB07-CC14-4B4B-B667-858A0A82CE4B}"/>
    <hyperlink ref="G1903" r:id="rId3660" xr:uid="{5ECE683D-5F74-4189-9A25-DD883E385699}"/>
    <hyperlink ref="G1904" r:id="rId3661" xr:uid="{63F7BDA8-24AF-40B8-818E-3A7A2FEFD983}"/>
    <hyperlink ref="F1905" r:id="rId3662" xr:uid="{0CF4C3F7-C3E5-4541-9961-1C74A1B95E77}"/>
    <hyperlink ref="G1906" r:id="rId3663" xr:uid="{C7DB6C15-D54D-42F3-8C41-96F770987120}"/>
    <hyperlink ref="S1907" r:id="rId3664" xr:uid="{337C1A1B-71D8-4667-9B9F-1AB9320AE318}"/>
    <hyperlink ref="F1908" r:id="rId3665" xr:uid="{E153834F-8959-400B-BA68-B49D908165F4}"/>
    <hyperlink ref="G1908" r:id="rId3666" xr:uid="{373D6045-4364-4E01-B5B4-7F13B2B91697}"/>
    <hyperlink ref="S1908" r:id="rId3667" xr:uid="{0CBEC808-5BB9-4CD5-9CF7-19831AE53558}"/>
    <hyperlink ref="F1909" r:id="rId3668" xr:uid="{BC674604-92B1-42B3-8527-7C262766F69D}"/>
    <hyperlink ref="S1909" r:id="rId3669" xr:uid="{316B4A33-A02A-420E-AC24-AD31782A4126}"/>
    <hyperlink ref="F1910" r:id="rId3670" xr:uid="{00D1959A-CEFD-4195-94AA-CC6ACEC59E99}"/>
    <hyperlink ref="S1910" r:id="rId3671" xr:uid="{380032C8-F5DA-47DC-89DE-E0994B25AE9B}"/>
    <hyperlink ref="F1911" r:id="rId3672" xr:uid="{9E7B1F50-2FE8-4F7B-A358-40345B9001D7}"/>
    <hyperlink ref="S1911" r:id="rId3673" xr:uid="{641E50B3-A410-49F8-B930-A5FC72B39DC6}"/>
    <hyperlink ref="F1912" r:id="rId3674" xr:uid="{CF0FE26B-8DE0-41BD-B4E6-778006594B3C}"/>
    <hyperlink ref="S1912" r:id="rId3675" xr:uid="{AF91135F-94D7-468F-AB74-A185F9BC5A6D}"/>
    <hyperlink ref="G1913" r:id="rId3676" xr:uid="{8C0B9CB8-52B5-4200-93A5-E5FB1EC9BA8B}"/>
    <hyperlink ref="S1913" r:id="rId3677" xr:uid="{3614CBE7-C45B-4C1F-8C2F-672D28B111FC}"/>
    <hyperlink ref="F1914" r:id="rId3678" xr:uid="{E9542871-021A-4C5F-8D9C-970EBE0240E3}"/>
    <hyperlink ref="S1914" r:id="rId3679" xr:uid="{71A3C95F-414D-4870-9F0A-9FF6FD505C45}"/>
    <hyperlink ref="F1915" r:id="rId3680" xr:uid="{2E03E098-3F89-44CF-B6F8-10A02A2A662B}"/>
    <hyperlink ref="S1915" r:id="rId3681" xr:uid="{99290164-A348-47EE-9752-703759C9158A}"/>
    <hyperlink ref="F1916" r:id="rId3682" xr:uid="{C5CEE2A6-29EA-46F7-A323-880FBEF3447B}"/>
    <hyperlink ref="S1916" r:id="rId3683" xr:uid="{001277C4-224F-4641-8304-2FDC29520DEA}"/>
    <hyperlink ref="F1917" r:id="rId3684" xr:uid="{3E7F9B76-DF95-4D60-94DB-05D8912777D2}"/>
    <hyperlink ref="G1917" r:id="rId3685" xr:uid="{9D49574D-47B3-40DD-876E-F64D792F6C56}"/>
    <hyperlink ref="S1918" r:id="rId3686" xr:uid="{02C8FFC3-11E5-408A-9EBA-9D74CF418146}"/>
    <hyperlink ref="F1919" r:id="rId3687" xr:uid="{4EAB204B-A95F-4D91-8C3D-B8C140A56288}"/>
    <hyperlink ref="G1919" r:id="rId3688" xr:uid="{5BA8FE94-177D-431C-BDE8-483997782F07}"/>
    <hyperlink ref="S1919" r:id="rId3689" xr:uid="{4F322C5F-620F-46FF-816F-C107568917FF}"/>
    <hyperlink ref="F1920" r:id="rId3690" xr:uid="{51D829B6-684D-43A0-A46F-CB0DDD140DB8}"/>
    <hyperlink ref="S1920" r:id="rId3691" xr:uid="{C4330786-E3D3-423A-81C4-B78306C5F3E7}"/>
    <hyperlink ref="F1921" r:id="rId3692" xr:uid="{799E19CF-B734-4D0E-B9CA-5C642954292C}"/>
    <hyperlink ref="G1921" r:id="rId3693" xr:uid="{54B99703-E2B0-4DEC-AAA3-CE65D7886AB4}"/>
    <hyperlink ref="F1922" r:id="rId3694" xr:uid="{DA826E61-0009-4871-8BA5-DEBA6BA91A1E}"/>
    <hyperlink ref="G1922" r:id="rId3695" xr:uid="{F3CA0593-8D2D-47C5-AC85-A104B659A7D9}"/>
    <hyperlink ref="S1922" r:id="rId3696" xr:uid="{21276A68-C6FA-4876-A116-B006B57CD472}"/>
    <hyperlink ref="G1923" r:id="rId3697" xr:uid="{EAEC7B90-2C14-4B4D-A7D6-F2DED4F9720C}"/>
    <hyperlink ref="G1924" r:id="rId3698" xr:uid="{2DBACC12-E130-4515-8DBD-17A9D930A42E}"/>
    <hyperlink ref="S1924" r:id="rId3699" xr:uid="{19E233C0-4F5D-46F5-B512-6148DBE6A82D}"/>
    <hyperlink ref="F1925" r:id="rId3700" xr:uid="{9B2076E0-6CB8-4B8B-B95D-021A8A9004CC}"/>
    <hyperlink ref="F1926" r:id="rId3701" xr:uid="{07305BCF-70E1-41F4-BDBE-4051F0FEEF73}"/>
    <hyperlink ref="S1926" r:id="rId3702" xr:uid="{3AF6465A-E87B-4AE3-9C09-8998132B049D}"/>
    <hyperlink ref="G1927" r:id="rId3703" xr:uid="{D6557622-ED17-4E0B-A567-6FCE8F25ADCB}"/>
    <hyperlink ref="S1927" r:id="rId3704" xr:uid="{D3C15CD2-E8E3-476A-8BD9-BD903A6508EC}"/>
    <hyperlink ref="S1928" r:id="rId3705" xr:uid="{A090FBB6-2D3E-42D4-992B-38D13ADB4F4C}"/>
    <hyperlink ref="F1929" r:id="rId3706" xr:uid="{8E52C8E9-A842-4203-9B1C-E679853A8B83}"/>
    <hyperlink ref="S1929" r:id="rId3707" xr:uid="{7621E3B0-BFA5-4D58-A950-C66E7A087EB6}"/>
    <hyperlink ref="G1930" r:id="rId3708" xr:uid="{3DDE6EFC-8FFD-4059-9DE8-29B1E56E05F3}"/>
    <hyperlink ref="S1930" r:id="rId3709" xr:uid="{6C84529B-2984-46CD-8B18-9BA4B42897B8}"/>
    <hyperlink ref="F1931" r:id="rId3710" xr:uid="{7669DF70-9373-4ECA-8A5B-6A9C6483233C}"/>
    <hyperlink ref="G1931" r:id="rId3711" xr:uid="{5E8917C6-46ED-49FE-8319-237306FECCE4}"/>
    <hyperlink ref="S1931" r:id="rId3712" xr:uid="{8279A59D-20B9-414D-B65C-34A2FD52D7F1}"/>
    <hyperlink ref="F1932" r:id="rId3713" xr:uid="{7917D587-C19A-4B3D-AF1D-D2A746D737AF}"/>
    <hyperlink ref="G1932" r:id="rId3714" xr:uid="{9A292D14-3E4A-4941-9A2E-C7B394C3FB01}"/>
    <hyperlink ref="S1932" r:id="rId3715" xr:uid="{ED912C6B-5DED-43F9-B190-4558245E5B19}"/>
    <hyperlink ref="F1933" r:id="rId3716" xr:uid="{852F92B4-7C75-42C5-A3D0-A8C463DE0413}"/>
    <hyperlink ref="G1933" r:id="rId3717" xr:uid="{886D6D0D-7939-43CC-B083-478AAA382A11}"/>
    <hyperlink ref="S1933" r:id="rId3718" xr:uid="{A7DB1931-85C6-4043-A02E-3B489C75B996}"/>
    <hyperlink ref="F1934" r:id="rId3719" xr:uid="{D3789D46-ABBB-41B9-A054-1099928AE3A5}"/>
    <hyperlink ref="G1934" r:id="rId3720" xr:uid="{02E7F30D-6FF8-47B1-9F39-9F3C03FF49E5}"/>
    <hyperlink ref="S1934" r:id="rId3721" xr:uid="{BCE744CB-B72D-435F-A119-DABE86C1BADD}"/>
    <hyperlink ref="S1935" r:id="rId3722" xr:uid="{DD8D93C3-A063-4B36-8103-1D3F94A8CDA9}"/>
    <hyperlink ref="F1936" r:id="rId3723" xr:uid="{3E17E78E-DC2A-461C-999F-7A741EACFE2E}"/>
    <hyperlink ref="S1936" r:id="rId3724" xr:uid="{BAD637CB-2EE2-404E-AAD3-98A17E85723D}"/>
    <hyperlink ref="F1937" r:id="rId3725" xr:uid="{F994C38F-5371-4ECC-A510-D8CA73BAE5A8}"/>
    <hyperlink ref="G1937" r:id="rId3726" xr:uid="{D4D62AE8-28EE-457A-92DF-B896801BAAEB}"/>
    <hyperlink ref="S1937" r:id="rId3727" xr:uid="{6181CA1C-92E4-4BE5-81FA-66A304A927CE}"/>
    <hyperlink ref="G1938" r:id="rId3728" xr:uid="{D8FC1E36-99D9-4517-B666-3EA71FF00470}"/>
    <hyperlink ref="S1938" r:id="rId3729" xr:uid="{47AE9688-739D-48F6-8A5B-4D2075AFF3E2}"/>
    <hyperlink ref="S1939" r:id="rId3730" xr:uid="{CEC92519-40DF-43C0-9953-3A0C691B19AC}"/>
    <hyperlink ref="F1941" r:id="rId3731" xr:uid="{C18CDCFF-83ED-4CF9-B5AF-D0C9F67D4CF2}"/>
    <hyperlink ref="G1941" r:id="rId3732" xr:uid="{193D2B97-8988-4CB1-8763-D4E5029B7094}"/>
    <hyperlink ref="F1942" r:id="rId3733" xr:uid="{1DB800FD-A725-4B3E-9771-D18232C21E83}"/>
    <hyperlink ref="S1942" r:id="rId3734" xr:uid="{61C0DCEC-8FE1-4AA7-9633-DA99E927F2A9}"/>
    <hyperlink ref="F1943" r:id="rId3735" xr:uid="{3B999DE3-0E19-4758-8E1C-6994E97A73E8}"/>
    <hyperlink ref="S1943" r:id="rId3736" xr:uid="{B0E67CF3-EC2A-4485-BC7C-D9A8F6131F2E}"/>
    <hyperlink ref="F1945" r:id="rId3737" xr:uid="{37DAAE5F-E0A6-4910-A066-D49CD5FA3A6C}"/>
    <hyperlink ref="F1946" r:id="rId3738" xr:uid="{0C29C76B-0D17-40D0-B7A5-FCA92937374B}"/>
    <hyperlink ref="G1946" r:id="rId3739" xr:uid="{088A0CE8-D22B-4315-986B-09E3CD954E64}"/>
    <hyperlink ref="S1946" r:id="rId3740" xr:uid="{87D7EBE8-4EB8-4231-B1E8-817F422553AC}"/>
    <hyperlink ref="F1947" r:id="rId3741" xr:uid="{3012982D-42FD-4B8C-86BC-151DA37F32B1}"/>
    <hyperlink ref="G1947" r:id="rId3742" xr:uid="{D4972307-BDAA-483E-B37A-E40B198F4FBA}"/>
    <hyperlink ref="S1947" r:id="rId3743" xr:uid="{845DEE95-9160-4EF3-AA08-2277D88AA319}"/>
    <hyperlink ref="F1948" r:id="rId3744" xr:uid="{F11D950C-DF87-46BF-ABB8-AB1CCEA55EB8}"/>
    <hyperlink ref="G1948" r:id="rId3745" xr:uid="{B28A468B-B587-4DB4-9660-9DE7ED4FCAF4}"/>
    <hyperlink ref="S1948" r:id="rId3746" xr:uid="{64844B5C-D0AF-4280-B35B-1BE91E9C26EF}"/>
    <hyperlink ref="F1949" r:id="rId3747" xr:uid="{1A2478F2-A206-4949-B07D-7AEC859F16F2}"/>
    <hyperlink ref="F1950" r:id="rId3748" xr:uid="{3E0096EE-FEA6-438D-ACB8-EEE0928DF888}"/>
    <hyperlink ref="S1950" r:id="rId3749" xr:uid="{CD39CF87-636C-4299-A985-72E8A349DF2B}"/>
    <hyperlink ref="F1951" r:id="rId3750" xr:uid="{5D8083F7-E535-48AB-88BB-C4FBA6BFC773}"/>
    <hyperlink ref="S1951" r:id="rId3751" xr:uid="{3D11B7A8-F394-4B24-804B-95A144B85780}"/>
    <hyperlink ref="F1952" r:id="rId3752" xr:uid="{CB6C9531-C58F-4AB9-A368-CD67EEB720B4}"/>
    <hyperlink ref="G1952" r:id="rId3753" xr:uid="{0450D453-9240-4259-8F36-8030956C60FD}"/>
    <hyperlink ref="F1953" r:id="rId3754" xr:uid="{269DA510-64E2-4796-9761-B9B03B1F1DC9}"/>
    <hyperlink ref="S1953" r:id="rId3755" xr:uid="{69CC77AC-4003-4040-AC8F-F417742E5ABD}"/>
    <hyperlink ref="F1954" r:id="rId3756" xr:uid="{2ABA90C6-2464-4C56-8FD2-1BF0FA1598F0}"/>
    <hyperlink ref="S1954" r:id="rId3757" xr:uid="{9F30204E-2D2D-4ECA-B01B-216EBC2CEFFD}"/>
    <hyperlink ref="F1955" r:id="rId3758" xr:uid="{D8DDD3AA-7737-4DF2-885F-84AAEEF43A84}"/>
    <hyperlink ref="G1955" r:id="rId3759" xr:uid="{3A80143F-6DD9-47A5-8A50-9AFF6206F444}"/>
    <hyperlink ref="F1956" r:id="rId3760" xr:uid="{70716A8C-3747-4CC7-A391-B81B5C013F4B}"/>
    <hyperlink ref="S1956" r:id="rId3761" xr:uid="{7BC48AC4-F422-4860-83B4-8D8B383BC13B}"/>
    <hyperlink ref="F1957" r:id="rId3762" xr:uid="{FAF6812D-8CFD-4B35-9CCC-D3C2AA3C1890}"/>
    <hyperlink ref="S1957" r:id="rId3763" xr:uid="{DD28EFB6-B0FC-4EFF-B88A-A9E335076350}"/>
    <hyperlink ref="F1958" r:id="rId3764" xr:uid="{6A472C0B-3079-4F06-A1A6-7C318933DD0E}"/>
    <hyperlink ref="G1958" r:id="rId3765" xr:uid="{4868B54F-FA5C-4729-B765-27D40532C76C}"/>
    <hyperlink ref="S1958" r:id="rId3766" xr:uid="{233E74EE-6965-4507-AE75-A3CD3E8E8F57}"/>
    <hyperlink ref="S1959" r:id="rId3767" xr:uid="{5382B912-7222-4073-A19C-0DA8AEA26FFC}"/>
    <hyperlink ref="F1960" r:id="rId3768" xr:uid="{705D22CD-C2D3-4728-B2BA-4F4BC5D36CF6}"/>
    <hyperlink ref="G1960" r:id="rId3769" xr:uid="{2561EB5E-736F-4348-A695-E4E44B38F3DB}"/>
    <hyperlink ref="S1960" r:id="rId3770" xr:uid="{19541399-E8ED-4796-9CE5-37B087665137}"/>
    <hyperlink ref="F1961" r:id="rId3771" xr:uid="{84F074F9-47C2-4EAA-A5CB-2B410C9A61C7}"/>
    <hyperlink ref="G1961" r:id="rId3772" xr:uid="{A26A85F1-FC35-4928-A6D4-ED9691466006}"/>
    <hyperlink ref="S1961" r:id="rId3773" xr:uid="{7677A8D6-0C02-4D42-9E56-899EE7411B8B}"/>
    <hyperlink ref="F1962" r:id="rId3774" xr:uid="{B156914F-C43E-442D-A868-734DC02416CC}"/>
    <hyperlink ref="G1962" r:id="rId3775" xr:uid="{F18CBD5E-FEDF-4912-9CC4-B518A1E27E79}"/>
    <hyperlink ref="S1962" r:id="rId3776" xr:uid="{741B9226-2AA0-4FA6-9B20-A785AD028975}"/>
    <hyperlink ref="F1963" r:id="rId3777" xr:uid="{E08E6005-563E-4450-A9D2-0B2198F669E3}"/>
    <hyperlink ref="G1963" r:id="rId3778" xr:uid="{E6016823-865D-4E41-B1D5-ACA350ABBEF9}"/>
    <hyperlink ref="S1963" r:id="rId3779" xr:uid="{28ABD768-8727-4382-BDC5-D1BDFDEA2C3D}"/>
    <hyperlink ref="F1964" r:id="rId3780" xr:uid="{0AAB7750-9F8E-4243-AD35-6A7147BC3937}"/>
    <hyperlink ref="G1964" r:id="rId3781" xr:uid="{E3186DB4-524D-45F1-9EE7-D7D6E6F52F95}"/>
    <hyperlink ref="S1964" r:id="rId3782" xr:uid="{5CA9E89A-FA66-4D3C-ADB7-57043BDF2BCE}"/>
    <hyperlink ref="F1965" r:id="rId3783" xr:uid="{96A98660-80FA-4CED-A1BF-78776CF32523}"/>
    <hyperlink ref="G1965" r:id="rId3784" xr:uid="{9E249A38-F036-45C2-AA55-CE3D88E7FFB4}"/>
    <hyperlink ref="S1965" r:id="rId3785" xr:uid="{644FD4F9-2FC5-46A3-BC23-EF50AF780B10}"/>
    <hyperlink ref="F1966" r:id="rId3786" xr:uid="{113633A8-086B-4E24-B911-5DCC637588A5}"/>
    <hyperlink ref="S1966" r:id="rId3787" xr:uid="{3FA1B861-9B4D-4319-87C1-A8A0AB5841C2}"/>
    <hyperlink ref="F1967" r:id="rId3788" xr:uid="{0FB88CA2-7A17-443B-8D45-B49F23DACBAD}"/>
    <hyperlink ref="S1967" r:id="rId3789" xr:uid="{C16FA476-6CF9-4840-AAA6-BA276B634011}"/>
    <hyperlink ref="F1968" r:id="rId3790" xr:uid="{D7523029-A062-4F5D-83EA-0821496AC1FC}"/>
    <hyperlink ref="G1968" r:id="rId3791" xr:uid="{88700DC1-1583-47B3-8631-679637531E5C}"/>
    <hyperlink ref="S1968" r:id="rId3792" xr:uid="{46F9A1A7-0995-4397-A27B-AFE588080714}"/>
    <hyperlink ref="F1969" r:id="rId3793" xr:uid="{2D53158F-8E80-4B69-9C76-3C4B88C6735D}"/>
    <hyperlink ref="S1969" r:id="rId3794" xr:uid="{10AB68FE-855C-4159-A49F-A1E7EE967D7F}"/>
    <hyperlink ref="G1970" r:id="rId3795" xr:uid="{A6D699B3-A6BD-4534-B69C-8FBA5F5C61DE}"/>
    <hyperlink ref="F1971" r:id="rId3796" xr:uid="{6A97BE5A-A7C1-4C7F-9522-BF40DE112D74}"/>
    <hyperlink ref="F1972" r:id="rId3797" xr:uid="{75AE9BE5-DAAD-447E-8EAA-F88278245D60}"/>
    <hyperlink ref="G1972" r:id="rId3798" xr:uid="{0244AA74-F335-4D46-80C8-5B7E6E3AFA7B}"/>
    <hyperlink ref="S1972" r:id="rId3799" xr:uid="{EFA310E5-E159-431B-9FFA-F7BC296AFBC4}"/>
    <hyperlink ref="F1973" r:id="rId3800" xr:uid="{3450FDB1-7F4F-47CF-9AE6-F6BB89714688}"/>
    <hyperlink ref="G1973" r:id="rId3801" xr:uid="{5E4940EF-484A-4591-AD50-DC6F9CA4583D}"/>
    <hyperlink ref="S1973" r:id="rId3802" xr:uid="{0C215242-358E-4219-98EE-704325F4A4B9}"/>
    <hyperlink ref="S1974" r:id="rId3803" xr:uid="{C9DA3143-EF84-4712-9EA5-9251F60305E1}"/>
    <hyperlink ref="F1975" r:id="rId3804" xr:uid="{DF8CA295-D8FB-40D5-B028-52F80064330B}"/>
    <hyperlink ref="S1975" r:id="rId3805" xr:uid="{418F88D7-8612-4733-89F7-E00606931FD1}"/>
    <hyperlink ref="F1976" r:id="rId3806" xr:uid="{47CBB9EF-EF74-4A69-B691-E5C6961A4DD3}"/>
    <hyperlink ref="S1976" r:id="rId3807" xr:uid="{0FBFFDF1-685A-47FC-8044-10BFEF65D5BA}"/>
    <hyperlink ref="F1977" r:id="rId3808" xr:uid="{CA8F2DFD-1631-4FBF-B16A-2642CFD0D818}"/>
    <hyperlink ref="S1977" r:id="rId3809" xr:uid="{2F85A1C5-E00A-4E53-96D6-AFB728812522}"/>
    <hyperlink ref="G1978" r:id="rId3810" xr:uid="{DD54A082-4799-4701-8C57-CB1AB920159D}"/>
    <hyperlink ref="S1978" r:id="rId3811" xr:uid="{3A30BE09-CD6B-4BB5-AD89-5FFCD08C643F}"/>
    <hyperlink ref="F1979" r:id="rId3812" xr:uid="{1E9FFBA6-D916-40B5-A3EE-19992682EEBC}"/>
    <hyperlink ref="G1980" r:id="rId3813" xr:uid="{92BF1E0D-5F51-4B31-B3A1-0DD9820EDA5B}"/>
    <hyperlink ref="S1980" r:id="rId3814" xr:uid="{404F89E1-878D-4B5F-815C-5318212205AE}"/>
    <hyperlink ref="S1981" r:id="rId3815" xr:uid="{5C76358E-B5E0-4021-872A-ACBBEADA53FF}"/>
    <hyperlink ref="F1982" r:id="rId3816" xr:uid="{FA999D16-627E-426C-B1CE-21C420C643B1}"/>
    <hyperlink ref="F1983" r:id="rId3817" xr:uid="{AE8C4EC7-AFBF-43C7-B3D7-8C1E9E30EFC7}"/>
    <hyperlink ref="S1983" r:id="rId3818" xr:uid="{BC9F1861-8F5D-4F88-891B-ABB934273046}"/>
    <hyperlink ref="F1984" r:id="rId3819" xr:uid="{8A437A45-AABB-4BF3-A57F-125EA9513468}"/>
    <hyperlink ref="F1985" r:id="rId3820" xr:uid="{E199AE14-231E-4006-A7F4-1AEE56526FA3}"/>
    <hyperlink ref="S1985" r:id="rId3821" xr:uid="{298DED57-3F59-482D-8389-9AC7188D51C9}"/>
    <hyperlink ref="F1986" r:id="rId3822" xr:uid="{F50B2FA0-AE24-470B-8130-A12142B93FD8}"/>
    <hyperlink ref="F1987" r:id="rId3823" xr:uid="{4F17506E-B534-4405-A81E-5B5338EABD66}"/>
    <hyperlink ref="S1987" r:id="rId3824" xr:uid="{834B8480-4031-4D75-B9EE-4D3BB9E27C46}"/>
    <hyperlink ref="G1988" r:id="rId3825" xr:uid="{82D90618-BE12-4053-9E30-4CB5FE2B3B14}"/>
    <hyperlink ref="S1988" r:id="rId3826" xr:uid="{FD761F59-306F-49E6-B189-8BB924B2B75C}"/>
    <hyperlink ref="F1989" r:id="rId3827" xr:uid="{AAC31EB4-E35A-493F-9205-2BE0D681100F}"/>
    <hyperlink ref="G1989" r:id="rId3828" xr:uid="{2D368075-3814-4584-9F55-534FBE080BC4}"/>
    <hyperlink ref="S1989" r:id="rId3829" xr:uid="{4E6F2A71-E459-407D-89BD-57CD745CDAAC}"/>
    <hyperlink ref="C1990" r:id="rId3830" xr:uid="{E2C4EDF1-7BAB-4500-8116-B86F65B434A9}"/>
    <hyperlink ref="F1990" r:id="rId3831" xr:uid="{028159B6-3B00-4A6F-9369-9A38374ECCF9}"/>
    <hyperlink ref="S1990" r:id="rId3832" xr:uid="{8969DFC2-EF85-48E4-B762-3BD34CDC968C}"/>
    <hyperlink ref="F1991" r:id="rId3833" xr:uid="{345C6BF5-746D-45C0-B63E-B2FA79E0830E}"/>
    <hyperlink ref="G1991" r:id="rId3834" xr:uid="{8361F6B1-50F9-4D5B-A08B-D75BFA38D65F}"/>
    <hyperlink ref="S1991" r:id="rId3835" xr:uid="{2AA63506-9D15-41E6-BFB5-089FE9EED51F}"/>
    <hyperlink ref="F1992" r:id="rId3836" xr:uid="{4464CADD-E607-44B1-BD04-4386F00D8318}"/>
    <hyperlink ref="G1992" r:id="rId3837" xr:uid="{A2156E74-EB75-4110-A67F-4D249AAF2870}"/>
    <hyperlink ref="S1992" r:id="rId3838" xr:uid="{D34B895F-2FF1-498B-919A-0F36556AC8E9}"/>
    <hyperlink ref="F1993" r:id="rId3839" xr:uid="{6756E045-1874-463C-855C-2911BB51AC39}"/>
    <hyperlink ref="S1993" r:id="rId3840" xr:uid="{90FC5A4A-213D-4C6E-A07B-BE35559B38AB}"/>
    <hyperlink ref="F1994" r:id="rId3841" xr:uid="{17FC05C9-940F-4B13-AF54-780A183C1F15}"/>
    <hyperlink ref="G1994" r:id="rId3842" xr:uid="{73E929A7-F0C8-44B9-91B0-C42A7DACE5E0}"/>
    <hyperlink ref="S1994" r:id="rId3843" xr:uid="{D2411BBC-D1C9-468B-9E44-70D672E1D0F1}"/>
    <hyperlink ref="G1995" r:id="rId3844" xr:uid="{DBECACE4-40EE-4551-ADEA-20A7CDDCE332}"/>
    <hyperlink ref="S1995" r:id="rId3845" xr:uid="{4A13AD81-6E27-48DE-9AF0-DFA1A90AB6B9}"/>
    <hyperlink ref="S1996" r:id="rId3846" xr:uid="{AB473BF0-F3D9-4840-8D10-03A8EBD06079}"/>
    <hyperlink ref="F1997" r:id="rId3847" xr:uid="{FE1AEFFF-D0A6-4D9E-A719-86D0AA4BD9AA}"/>
    <hyperlink ref="F1998" r:id="rId3848" xr:uid="{747D1D6E-B17B-4E9F-A966-4F3CC94F887A}"/>
    <hyperlink ref="S1998" r:id="rId3849" xr:uid="{570D4843-6D56-41D2-97BD-BE46C19C1DE2}"/>
    <hyperlink ref="F1999" r:id="rId3850" xr:uid="{01FB4E78-C940-405A-B0DC-8925905B0B8C}"/>
    <hyperlink ref="S1999" r:id="rId3851" xr:uid="{CF52BC53-CD9B-4C47-B7FB-9C9B1A94EE0A}"/>
    <hyperlink ref="G2000" r:id="rId3852" xr:uid="{48953613-8868-49B2-BDA7-5B45725D60D2}"/>
    <hyperlink ref="S2001" r:id="rId3853" xr:uid="{4F50C2F6-D3D5-40ED-8B57-13C5F91F2DDF}"/>
    <hyperlink ref="F2002" r:id="rId3854" xr:uid="{0DBAFDE7-07C0-428B-A4A0-452E8C745259}"/>
    <hyperlink ref="G2002" r:id="rId3855" xr:uid="{FBD4A857-5F39-4FD1-9C71-CE883ECAAA87}"/>
    <hyperlink ref="S2002" r:id="rId3856" xr:uid="{ACDEE7F3-B622-4216-AC3A-99D10C975EA4}"/>
    <hyperlink ref="F2003" r:id="rId3857" xr:uid="{C2E5F2D4-467E-43F4-A1FE-411D32A83960}"/>
    <hyperlink ref="S2003" r:id="rId3858" xr:uid="{64E95714-C92E-4027-A6C3-CAD30EB07272}"/>
    <hyperlink ref="F2004" r:id="rId3859" xr:uid="{AE000517-8A02-43E4-83E6-35D6FDC461DA}"/>
    <hyperlink ref="G2004" r:id="rId3860" xr:uid="{6E1EDA0A-D76A-431B-9EC6-4F216704E502}"/>
    <hyperlink ref="S2004" r:id="rId3861" xr:uid="{B859304D-EFC9-42F1-9573-662DADB0C5A5}"/>
    <hyperlink ref="F2005" r:id="rId3862" xr:uid="{281E90CF-A764-4FFD-80B2-BE8B895F884F}"/>
    <hyperlink ref="S2005" r:id="rId3863" xr:uid="{E660876D-897E-4D5A-931E-8A45B71BD446}"/>
    <hyperlink ref="F2006" r:id="rId3864" xr:uid="{76DF8405-BF34-4170-A8BA-055D68264623}"/>
    <hyperlink ref="G2007" r:id="rId3865" xr:uid="{6020178C-7C88-4708-97F7-DE90C8927AF5}"/>
    <hyperlink ref="S2008" r:id="rId3866" xr:uid="{AAA92CD4-8E8D-4237-B596-DB6BC2391BB6}"/>
    <hyperlink ref="G2009" r:id="rId3867" xr:uid="{489F71E7-879C-4089-B2BA-810826833423}"/>
    <hyperlink ref="S2009" r:id="rId3868" xr:uid="{BEB7FA8D-0B87-4B10-9D5B-89684E662B3D}"/>
    <hyperlink ref="F2010" r:id="rId3869" xr:uid="{449C8A5B-FFCB-4C7D-890E-FE8BA05B6A6C}"/>
    <hyperlink ref="G2010" r:id="rId3870" xr:uid="{16BA7663-DC1F-4248-9EF2-6ED0284E4BE5}"/>
    <hyperlink ref="F2011" r:id="rId3871" xr:uid="{66796BA5-03E4-4A1B-B85C-98DBFB446AA5}"/>
    <hyperlink ref="S2011" r:id="rId3872" xr:uid="{F71D7BB9-4319-4C95-A271-F84DF575904B}"/>
    <hyperlink ref="F2012" r:id="rId3873" xr:uid="{64562AD1-7B12-402E-9542-513AB4AF2303}"/>
    <hyperlink ref="S2012" r:id="rId3874" xr:uid="{8A143371-F759-4E49-A325-5E609C77A094}"/>
    <hyperlink ref="G2013" r:id="rId3875" xr:uid="{BD32BFEE-7179-4D2E-A7D1-6E4AC86B2C66}"/>
    <hyperlink ref="S2013" r:id="rId3876" xr:uid="{6C5EFE34-9224-4AAD-AD35-CFFEFFBF6828}"/>
    <hyperlink ref="F2014" r:id="rId3877" xr:uid="{C6F8F793-81A4-4FF9-8FB2-64218BF1A021}"/>
    <hyperlink ref="F2015" r:id="rId3878" xr:uid="{EC8848D8-7A07-4169-9F11-FCFF3918643C}"/>
    <hyperlink ref="G2015" r:id="rId3879" xr:uid="{CF44C472-429E-4516-95B2-FDB700613963}"/>
    <hyperlink ref="S2015" r:id="rId3880" xr:uid="{D17E88EC-95D3-44A1-BB50-C80CC05AF752}"/>
    <hyperlink ref="F2016" r:id="rId3881" xr:uid="{971FFFD7-3024-4701-92B0-2BCBF0DCA467}"/>
    <hyperlink ref="G2016" r:id="rId3882" xr:uid="{61673768-3D7E-44C9-A769-3A6B7B48C122}"/>
    <hyperlink ref="S2016" r:id="rId3883" xr:uid="{0BCA3C58-9707-4948-B8A8-82DF625A3197}"/>
    <hyperlink ref="F2017" r:id="rId3884" xr:uid="{B17B3DC1-5834-496E-A482-8841966BF0B8}"/>
    <hyperlink ref="G2017" r:id="rId3885" xr:uid="{32488177-E18D-4088-8867-5177B2038936}"/>
    <hyperlink ref="S2017" r:id="rId3886" xr:uid="{1CFDFE4B-BD55-4243-9BFA-A608DEA81E5D}"/>
    <hyperlink ref="C2018" r:id="rId3887" xr:uid="{9729CECD-9F62-43D3-BB3E-09699DD1B652}"/>
    <hyperlink ref="F2018" r:id="rId3888" xr:uid="{B664B278-44F4-4469-B28B-B97E76334E37}"/>
    <hyperlink ref="G2018" r:id="rId3889" xr:uid="{D82ABBB6-DB4D-41CA-BE5C-0865FB0349C0}"/>
    <hyperlink ref="S2018" r:id="rId3890" xr:uid="{AF51B243-6752-4E44-82B9-CA0BF676461E}"/>
    <hyperlink ref="F2019" r:id="rId3891" xr:uid="{B07BD248-1704-4579-9DF2-618906E8AF78}"/>
    <hyperlink ref="G2019" r:id="rId3892" xr:uid="{CE03BC34-31B2-4800-8779-86EDD2CAF6C2}"/>
    <hyperlink ref="S2019" r:id="rId3893" xr:uid="{BA5BBB5A-2E94-4B17-B2D8-4157655CAE6C}"/>
    <hyperlink ref="F2020" r:id="rId3894" xr:uid="{8B89C7ED-2272-4109-B23F-9A1260381C2D}"/>
    <hyperlink ref="S2020" r:id="rId3895" xr:uid="{BDA3A926-EE82-42AD-B416-35D3CC663E9A}"/>
    <hyperlink ref="F2021" r:id="rId3896" xr:uid="{CB552E3A-7F81-4733-A627-C6FC06929BA0}"/>
    <hyperlink ref="S2021" r:id="rId3897" xr:uid="{1A69AA68-7A78-4263-9F2D-9CF9023B426A}"/>
    <hyperlink ref="F2022" r:id="rId3898" xr:uid="{74548DAF-5131-4AF9-89BB-68F7DFC38ABE}"/>
    <hyperlink ref="F2023" r:id="rId3899" xr:uid="{D4884873-53ED-4B40-8CAB-00E8457FEE2D}"/>
    <hyperlink ref="S2023" r:id="rId3900" xr:uid="{C4F45EBC-1ED1-4AA5-AF7B-DE650701C704}"/>
    <hyperlink ref="F2024" r:id="rId3901" xr:uid="{1AF97698-C1AF-4F4E-94C6-65B6C4068A85}"/>
    <hyperlink ref="S2024" r:id="rId3902" xr:uid="{38A5E34F-B612-423A-8A32-6431BC290218}"/>
    <hyperlink ref="F2025" r:id="rId3903" xr:uid="{2A3399C7-57AE-487A-87B0-F14F952C8E87}"/>
    <hyperlink ref="S2025" r:id="rId3904" xr:uid="{237F5A21-7DC2-4F58-BB98-8F8C057BF93E}"/>
    <hyperlink ref="F2026" r:id="rId3905" xr:uid="{CE660824-56EA-41E0-B5D3-808BF7911C78}"/>
    <hyperlink ref="G2026" r:id="rId3906" xr:uid="{72205928-77E8-4E7F-9BDD-DC807F0504C3}"/>
    <hyperlink ref="S2026" r:id="rId3907" xr:uid="{A84D74EB-4A32-4B9C-B265-BC8EB148E705}"/>
    <hyperlink ref="S2027" r:id="rId3908" xr:uid="{857039ED-87FE-4911-95BD-858BFF5B0C73}"/>
    <hyperlink ref="S2028" r:id="rId3909" xr:uid="{F4863EEF-5D8C-47FB-9291-F527204D4A36}"/>
    <hyperlink ref="F2029" r:id="rId3910" xr:uid="{4F5AA483-09BA-4312-8FD3-3362BE5B2B63}"/>
    <hyperlink ref="S2029" r:id="rId3911" xr:uid="{FC675CAA-322E-4971-AFAB-45E369771D5B}"/>
    <hyperlink ref="F2030" r:id="rId3912" xr:uid="{B5C6D76E-8961-42A3-AFE1-9C29AF5BDC1A}"/>
    <hyperlink ref="F2031" r:id="rId3913" xr:uid="{CF3C893A-9628-431D-9B1D-14F2BEEDAC0A}"/>
    <hyperlink ref="G2031" r:id="rId3914" xr:uid="{45CAE689-0958-4AE8-BF92-FCE96F616232}"/>
    <hyperlink ref="F2032" r:id="rId3915" xr:uid="{32175D05-FFD3-47E8-A98B-9D304890168B}"/>
    <hyperlink ref="S2032" r:id="rId3916" xr:uid="{0F604673-32AF-4B2E-ABFB-A2C8448267A2}"/>
    <hyperlink ref="S2033" r:id="rId3917" xr:uid="{967DC1B6-38EA-46A3-AABA-D764EA1C3375}"/>
    <hyperlink ref="G2034" r:id="rId3918" xr:uid="{514F3461-0CB3-45DE-8716-5132AC663CAF}"/>
    <hyperlink ref="S2034" r:id="rId3919" xr:uid="{94825C29-1F79-44AC-A2A7-77FADEE287FE}"/>
    <hyperlink ref="F2036" r:id="rId3920" xr:uid="{EC4743BC-DA60-49C9-B7B1-2872978E77DC}"/>
    <hyperlink ref="G2036" r:id="rId3921" xr:uid="{CF8C8E6A-5ECA-4340-9E6F-3B6EDCBAB7DC}"/>
    <hyperlink ref="G2037" r:id="rId3922" xr:uid="{D55B91DA-6126-4A2C-BE42-774D53E2E76A}"/>
    <hyperlink ref="S2037" r:id="rId3923" xr:uid="{08C587F2-BF86-4A51-A7A6-722F322F8356}"/>
    <hyperlink ref="G2038" r:id="rId3924" xr:uid="{4CA70CBB-CBBD-4B70-A6CE-063A96076D32}"/>
    <hyperlink ref="F2039" r:id="rId3925" xr:uid="{F0B91C13-8F62-41E5-A3FC-F071108B0A47}"/>
    <hyperlink ref="S2039" r:id="rId3926" xr:uid="{4C2970E3-1548-485B-B417-C425CE1233E5}"/>
    <hyperlink ref="F2040" r:id="rId3927" xr:uid="{74097947-DB03-481B-A9E9-08E13ACEDA2A}"/>
    <hyperlink ref="S2040" r:id="rId3928" xr:uid="{AAAA0353-A8A4-49CA-BB37-E04EADBE6AC5}"/>
    <hyperlink ref="S2041" r:id="rId3929" xr:uid="{1EC7C33C-C61A-442C-AA77-FEA0849B3E3D}"/>
    <hyperlink ref="F2042" r:id="rId3930" xr:uid="{BDB65DD8-BC7F-42F3-8A40-D49648C5C8B5}"/>
    <hyperlink ref="S2042" r:id="rId3931" xr:uid="{44460D06-68E3-4D88-A50F-E1356868F48B}"/>
    <hyperlink ref="F2043" r:id="rId3932" xr:uid="{DC878BED-F996-40DD-A372-EA3624976873}"/>
    <hyperlink ref="S2043" r:id="rId3933" xr:uid="{D14165EF-D5D0-4056-8CC8-2960B5F847EE}"/>
    <hyperlink ref="F2044" r:id="rId3934" xr:uid="{8098CEE3-E94E-4B60-9754-EE86157B42F9}"/>
    <hyperlink ref="S2044" r:id="rId3935" xr:uid="{0236A48F-F5E9-474C-B16B-F04569059E48}"/>
    <hyperlink ref="F2045" r:id="rId3936" xr:uid="{2EB55DEF-132E-4A98-8863-2F34D330C8FB}"/>
    <hyperlink ref="S2045" r:id="rId3937" xr:uid="{969D857B-DBB6-4806-AC3A-5D397BA82EDF}"/>
    <hyperlink ref="F2046" r:id="rId3938" location=".YDRpAaFDrt4.twitter" xr:uid="{A986FA48-0CD0-40D7-8C51-3ED1FCF3C727}"/>
    <hyperlink ref="S2046" r:id="rId3939" xr:uid="{37BD05F5-D54F-452E-86EE-A17FDBE04BBD}"/>
    <hyperlink ref="G2047" r:id="rId3940" xr:uid="{30CC5996-D1B0-4708-BDBB-2E5EE54D095A}"/>
    <hyperlink ref="S2047" r:id="rId3941" xr:uid="{C0977884-5BA0-48A9-81DF-F588F3112A46}"/>
    <hyperlink ref="F2048" r:id="rId3942" xr:uid="{ECC8453E-D7A2-425C-BD1A-688FD4913039}"/>
    <hyperlink ref="S2048" r:id="rId3943" xr:uid="{46679E6F-486E-4CF7-BC95-A361C4D57BF8}"/>
    <hyperlink ref="G2049" r:id="rId3944" xr:uid="{E9015F65-51B5-46C0-9A2B-D09429BECF85}"/>
    <hyperlink ref="S2049" r:id="rId3945" xr:uid="{DC79011A-3EC6-42E0-9389-4F378B052DB7}"/>
    <hyperlink ref="S2050" r:id="rId3946" xr:uid="{AAAD1607-7CDD-4B51-B125-8EC5FEC992B5}"/>
    <hyperlink ref="F2051" r:id="rId3947" xr:uid="{16321ADB-801D-4D4E-A8F5-0BC0A57C5096}"/>
    <hyperlink ref="S2051" r:id="rId3948" xr:uid="{40C4246F-D7B8-431F-A936-E8DA4C725642}"/>
    <hyperlink ref="G2052" r:id="rId3949" xr:uid="{6A839BEB-AA18-459E-B2E1-BBEB54A31D14}"/>
    <hyperlink ref="F2053" r:id="rId3950" xr:uid="{18F6520A-D6E3-4C67-B6AD-44394C009C4E}"/>
    <hyperlink ref="S2053" r:id="rId3951" xr:uid="{DEAAEF1D-9101-4F7C-98FA-C65FF2786BE9}"/>
    <hyperlink ref="F2054" r:id="rId3952" xr:uid="{9E6976F3-1EE7-42E1-B620-97DCDA63E3EC}"/>
    <hyperlink ref="S2055" r:id="rId3953" xr:uid="{A6463FD0-1765-4C25-8E3F-A097234F8B8E}"/>
    <hyperlink ref="F2056" r:id="rId3954" xr:uid="{98570167-8EB6-4ADC-A146-8F11EBDF00B3}"/>
    <hyperlink ref="S2056" r:id="rId3955" xr:uid="{5F2248B0-3518-4496-B355-A8EF058DB6FC}"/>
    <hyperlink ref="F2057" r:id="rId3956" xr:uid="{6ADFC1B4-F212-4256-8828-503E707FEEA6}"/>
    <hyperlink ref="S2057" r:id="rId3957" xr:uid="{47B03515-FECE-4972-8F21-01BD7306692D}"/>
    <hyperlink ref="F2058" r:id="rId3958" xr:uid="{D86BF4F5-B366-41D6-B252-01170462A77F}"/>
    <hyperlink ref="S2058" r:id="rId3959" xr:uid="{3A307663-E5A9-4FDB-9248-C67AFCCF6628}"/>
    <hyperlink ref="F2059" r:id="rId3960" xr:uid="{4DE6C919-465C-4310-B954-9E4B33EF2075}"/>
    <hyperlink ref="S2059" r:id="rId3961" xr:uid="{F1B8C7F2-02F3-4745-AB46-003948EC3EF3}"/>
    <hyperlink ref="F2060" r:id="rId3962" xr:uid="{A704122F-B08B-4CA6-8D24-1E6FDD6A5F7D}"/>
    <hyperlink ref="S2060" r:id="rId3963" xr:uid="{6E23FEB4-FD55-4C64-8FBD-EE3FE24D4BFE}"/>
    <hyperlink ref="F2061" r:id="rId3964" xr:uid="{8B786DCC-AB3B-4815-997B-DCA81BF77FDF}"/>
    <hyperlink ref="F2062" r:id="rId3965" xr:uid="{57356D60-8EDB-45F2-A04D-CB0455990243}"/>
    <hyperlink ref="F2063" r:id="rId3966" xr:uid="{23272500-2F29-4C30-9E52-EB12BACDB7F3}"/>
    <hyperlink ref="G2063" r:id="rId3967" xr:uid="{8A1000BC-7220-4EFE-9D0D-CC1B931A5680}"/>
    <hyperlink ref="S2063" r:id="rId3968" xr:uid="{3545315C-0DA9-416B-9A26-1CC676289815}"/>
    <hyperlink ref="F2064" r:id="rId3969" xr:uid="{90B657A4-9D0A-4633-825B-BEC6C8084AEA}"/>
    <hyperlink ref="S2064" r:id="rId3970" xr:uid="{9B89ABC8-08E4-49CE-9965-FCB967EF649C}"/>
    <hyperlink ref="F2065" r:id="rId3971" xr:uid="{5AFAA446-3587-4D48-8237-34AAA8CC0DFE}"/>
    <hyperlink ref="G2065" r:id="rId3972" xr:uid="{EC69B09B-587D-48A7-9F38-6AD160F66ECA}"/>
    <hyperlink ref="S2065" r:id="rId3973" xr:uid="{951EDCE2-D977-4FD9-8566-CAEE6302512B}"/>
    <hyperlink ref="G2066" r:id="rId3974" xr:uid="{A186DD2C-AC7E-481C-AC60-70B4A5F6CBC0}"/>
    <hyperlink ref="S2066" r:id="rId3975" xr:uid="{484E96FE-15E4-422F-B011-97FFDFDF1B70}"/>
    <hyperlink ref="S2067" r:id="rId3976" xr:uid="{A28836E5-BA68-4A9D-A33B-55E97A03CBE5}"/>
    <hyperlink ref="S2068" r:id="rId3977" xr:uid="{900FED5F-04C2-415B-8E64-E3B4A2631581}"/>
    <hyperlink ref="F2069" r:id="rId3978" xr:uid="{7EAA303B-D492-43FD-BA50-9006315F9D6B}"/>
    <hyperlink ref="G2070" r:id="rId3979" xr:uid="{E9CF0F5E-C542-4DB1-9AA3-F5EF3ED6B39B}"/>
    <hyperlink ref="S2070" r:id="rId3980" xr:uid="{A9DF36C8-F2AE-448D-B9C1-AAA792C73D1A}"/>
    <hyperlink ref="C2071" r:id="rId3981" xr:uid="{5722A9C8-D8D7-4166-8F3B-976D53D4C051}"/>
    <hyperlink ref="S2071" r:id="rId3982" xr:uid="{CEDD4CF6-3A06-41D2-A9B8-37A1361DA7FD}"/>
    <hyperlink ref="F2072" r:id="rId3983" xr:uid="{0D3B2997-5CE9-4907-8B66-5265691DC911}"/>
    <hyperlink ref="G2072" r:id="rId3984" xr:uid="{30410DF2-66AE-42FA-9F59-91B3A3AA7956}"/>
    <hyperlink ref="S2072" r:id="rId3985" xr:uid="{DDD9ADB8-B9C1-4807-B4B5-F119B7E1393D}"/>
    <hyperlink ref="F2073" r:id="rId3986" xr:uid="{D7564FE6-0151-46DD-91C8-1D2811DE20CF}"/>
    <hyperlink ref="G2073" r:id="rId3987" xr:uid="{D3B09FA3-AEAC-443F-9F58-EA45519CFC69}"/>
    <hyperlink ref="S2073" r:id="rId3988" xr:uid="{2D19E371-45F7-444D-B2BB-97F5505E12FC}"/>
    <hyperlink ref="S2074" r:id="rId3989" xr:uid="{A4BAE388-96EC-478F-8F01-7BDE2DDE2AB1}"/>
    <hyperlink ref="F2075" r:id="rId3990" xr:uid="{01D39139-3347-4DEC-B70E-91230781BC03}"/>
    <hyperlink ref="S2075" r:id="rId3991" xr:uid="{0084A8FD-B4B3-483E-9FCC-5B8F0391AE02}"/>
    <hyperlink ref="F2076" r:id="rId3992" xr:uid="{04AFE873-9BE9-450C-A2D8-301B3C3F6037}"/>
    <hyperlink ref="G2076" r:id="rId3993" xr:uid="{E65B04DB-A5A4-4091-83FD-4AFD8C2EAD0A}"/>
    <hyperlink ref="S2076" r:id="rId3994" xr:uid="{DDF8943A-AED5-4373-A350-D9593F175D7B}"/>
    <hyperlink ref="F2077" r:id="rId3995" xr:uid="{8611BE42-7D81-445B-AE73-FBEE9A073AE9}"/>
    <hyperlink ref="S2078" r:id="rId3996" xr:uid="{780D61DC-C704-4F90-87ED-05501DC2CA00}"/>
    <hyperlink ref="F2079" r:id="rId3997" xr:uid="{A47B26C2-03FE-4A67-878E-ADA70337CB28}"/>
    <hyperlink ref="S2079" r:id="rId3998" xr:uid="{16F39740-13D0-4A6C-9ABE-C092B0A3E5E5}"/>
    <hyperlink ref="F2080" r:id="rId3999" xr:uid="{F6BA109F-CB82-4FFB-A188-AEC671C9B8E9}"/>
    <hyperlink ref="S2080" r:id="rId4000" xr:uid="{230B2FDB-6B9F-4FD9-A069-F0EA34639BE5}"/>
    <hyperlink ref="F2081" r:id="rId4001" xr:uid="{1362F138-56B4-4732-ADDA-33196205DBE5}"/>
    <hyperlink ref="G2081" r:id="rId4002" xr:uid="{B9EB682D-9BCF-419F-99C4-1E97E27AAB84}"/>
    <hyperlink ref="S2081" r:id="rId4003" xr:uid="{2F6739AF-ECAE-4649-B9B4-0BB34476F2EB}"/>
    <hyperlink ref="G2082" r:id="rId4004" xr:uid="{A544089B-B6D7-416C-A96F-8222910F8569}"/>
    <hyperlink ref="G2083" r:id="rId4005" xr:uid="{1A38E361-30A7-44FC-9DC9-B74E406547FD}"/>
    <hyperlink ref="S2083" r:id="rId4006" xr:uid="{A08C784A-C652-4EE6-BEE7-217429213DBE}"/>
    <hyperlink ref="F2084" r:id="rId4007" xr:uid="{B5F19128-D086-46C4-ACF9-001D3B61645F}"/>
    <hyperlink ref="F2085" r:id="rId4008" xr:uid="{CF0E63E0-A851-430B-A61B-79A959ECA293}"/>
    <hyperlink ref="G2085" r:id="rId4009" xr:uid="{F6510F49-533F-4699-8941-CF365AD64B2C}"/>
    <hyperlink ref="S2085" r:id="rId4010" xr:uid="{E9BBB016-50DE-4563-A144-DF7FB8B11301}"/>
    <hyperlink ref="F2086" r:id="rId4011" xr:uid="{BD965FF2-6670-4947-9917-589F881FAEE8}"/>
    <hyperlink ref="G2086" r:id="rId4012" xr:uid="{8DE9FA7B-F787-4C09-A86C-152F2D48BCB4}"/>
    <hyperlink ref="S2086" r:id="rId4013" xr:uid="{71CC134E-2AC3-4CD3-A311-3BD64B5E6993}"/>
    <hyperlink ref="F2087" r:id="rId4014" xr:uid="{56336F10-C9D2-4890-8C6B-911A3672CE09}"/>
    <hyperlink ref="G2087" r:id="rId4015" xr:uid="{41778848-BCED-4213-8B9F-54BB4A5F547C}"/>
    <hyperlink ref="S2087" r:id="rId4016" xr:uid="{F66D86CF-56FB-43C7-8560-6736B6977244}"/>
    <hyperlink ref="F2088" r:id="rId4017" xr:uid="{A7CA192C-A82A-4FFC-9CE7-30A08B04B7BD}"/>
    <hyperlink ref="S2088" r:id="rId4018" xr:uid="{E0D6927D-A2BA-4D40-91CD-CA1E3B437A39}"/>
    <hyperlink ref="F2089" r:id="rId4019" xr:uid="{74F04D06-1EA1-4B42-A313-3BC10E326463}"/>
    <hyperlink ref="S2089" r:id="rId4020" xr:uid="{A474D668-69B2-46CE-95DD-7F4C569D7994}"/>
    <hyperlink ref="F2090" r:id="rId4021" xr:uid="{E902001F-E667-41F4-8E77-EDA6C52AEDFA}"/>
    <hyperlink ref="S2091" r:id="rId4022" xr:uid="{40B4F1CE-4D9C-44A8-B662-149F94C335F1}"/>
    <hyperlink ref="G2092" r:id="rId4023" xr:uid="{1B0B9284-56C8-4DCF-A098-DB3CF8DCF4CE}"/>
    <hyperlink ref="S2092" r:id="rId4024" xr:uid="{BC7807C7-A363-48BE-B946-7EC0FCFD2AB1}"/>
    <hyperlink ref="F2093" r:id="rId4025" xr:uid="{C2627496-B41F-4AB2-9D1B-6EA619854F2C}"/>
    <hyperlink ref="F2094" r:id="rId4026" xr:uid="{F74371F3-F4F8-4CA1-9220-10AEF99E1E7B}"/>
    <hyperlink ref="G2094" r:id="rId4027" xr:uid="{7656A335-5568-4446-87E8-ABEB9D279530}"/>
    <hyperlink ref="S2094" r:id="rId4028" xr:uid="{247EA75C-F3FA-448E-8C1D-E1B2DC3047CA}"/>
    <hyperlink ref="F2095" r:id="rId4029" xr:uid="{F51659AF-6738-47BD-AED9-12A24100EC82}"/>
    <hyperlink ref="S2095" r:id="rId4030" xr:uid="{1E37D0D8-66E3-4C7B-BEC8-0B671B86C33C}"/>
    <hyperlink ref="F2096" r:id="rId4031" xr:uid="{2F524F2A-D7D3-49D3-AE1B-43CCAD3F72E8}"/>
    <hyperlink ref="F2097" r:id="rId4032" xr:uid="{B4CEF7EA-4486-47A0-A82D-0CEAFE240226}"/>
    <hyperlink ref="G2097" r:id="rId4033" xr:uid="{12EC0EB3-A76F-43CB-9C90-1809D96EE074}"/>
    <hyperlink ref="F2098" r:id="rId4034" xr:uid="{5160EDE3-1240-4608-B74D-04BB80F2064D}"/>
    <hyperlink ref="F2099" r:id="rId4035" xr:uid="{694C26D3-1892-430B-801F-59A4FC05F729}"/>
    <hyperlink ref="S2099" r:id="rId4036" xr:uid="{F35A61D0-75E4-4CBB-B3FA-CC8451260852}"/>
    <hyperlink ref="F2100" r:id="rId4037" xr:uid="{6BFD3D60-7FBE-4C2B-AC60-32EDFA8904F9}"/>
    <hyperlink ref="S2100" r:id="rId4038" xr:uid="{68965799-B28A-4597-A7CA-14E21DDA18F6}"/>
    <hyperlink ref="S2101" r:id="rId4039" xr:uid="{BF630B7B-F1B6-48DC-8FEA-B1C57D02190A}"/>
    <hyperlink ref="F2102" r:id="rId4040" xr:uid="{E5C077BD-8C95-4006-BBB2-A7946D69550E}"/>
    <hyperlink ref="F2103" r:id="rId4041" xr:uid="{05BF12E2-568C-4B5A-A4CA-97071324F53D}"/>
    <hyperlink ref="F2104" r:id="rId4042" xr:uid="{2F1FB05E-4E17-495D-906B-F234159D02DA}"/>
    <hyperlink ref="S2104" r:id="rId4043" xr:uid="{09A15C9C-3876-4B2D-BF86-797D7DEA31E0}"/>
    <hyperlink ref="S2105" r:id="rId4044" xr:uid="{B4F219F6-A13A-40CA-AAD1-5F11BCBD4695}"/>
    <hyperlink ref="F2106" r:id="rId4045" xr:uid="{DCB5B13E-F9A2-4BB0-B67C-E4861FDEA5AA}"/>
    <hyperlink ref="G2106" r:id="rId4046" xr:uid="{2B25CB57-61A7-4E1A-BB66-F8EAB9136951}"/>
    <hyperlink ref="S2106" r:id="rId4047" xr:uid="{9FBA0257-E96B-491F-86C1-05700C5A9570}"/>
    <hyperlink ref="F2107" r:id="rId4048" xr:uid="{530D80A5-B82B-4B0B-9704-C1DC31D2E044}"/>
    <hyperlink ref="G2107" r:id="rId4049" xr:uid="{27F87C8A-A7FA-4922-A0AB-52687ECEBB21}"/>
    <hyperlink ref="S2107" r:id="rId4050" xr:uid="{EE19AD80-F12C-4A5C-892A-3A99E0E86D0B}"/>
    <hyperlink ref="S2108" r:id="rId4051" xr:uid="{C9394028-39FC-4746-9747-F8FABA32C0A8}"/>
    <hyperlink ref="G2110" r:id="rId4052" xr:uid="{13000345-2EE1-4027-AC5D-23E301F92FF1}"/>
    <hyperlink ref="S2110" r:id="rId4053" xr:uid="{6F221F7C-7AB1-406C-A0E3-4F1E47BB8963}"/>
    <hyperlink ref="F2111" r:id="rId4054" xr:uid="{969080E3-5070-4697-991E-A896E45B3D6D}"/>
    <hyperlink ref="F2113" r:id="rId4055" xr:uid="{71A3CE99-9CC5-4889-BCD1-5AEE745CAE93}"/>
    <hyperlink ref="G2113" r:id="rId4056" xr:uid="{5375A7B9-1D21-4359-8BC8-2597682A421A}"/>
    <hyperlink ref="G2114" r:id="rId4057" xr:uid="{6E957A77-E76A-4B3F-BA38-10E5755D0CC8}"/>
    <hyperlink ref="S2114" r:id="rId4058" xr:uid="{E309621B-09A5-4558-8B2E-A4D76FC28754}"/>
    <hyperlink ref="F2115" r:id="rId4059" location="ftag=CAD590a51e" xr:uid="{731CF124-A54F-411D-98B6-BD91D61527C3}"/>
    <hyperlink ref="G2115" r:id="rId4060" xr:uid="{B12B9BC3-E30D-4A57-B27B-1429865225D9}"/>
    <hyperlink ref="F2116" r:id="rId4061" xr:uid="{D7007088-3EF3-407A-B041-A6937F0A4A83}"/>
    <hyperlink ref="G2116" r:id="rId4062" xr:uid="{FF26A2B0-1AF4-4F34-A581-186FC56D1743}"/>
    <hyperlink ref="S2116" r:id="rId4063" xr:uid="{B55312A3-22D7-400B-9608-283A68196EFE}"/>
    <hyperlink ref="G2117" r:id="rId4064" xr:uid="{31A19BDB-4D9F-4D87-B33C-B04827F2D017}"/>
    <hyperlink ref="S2117" r:id="rId4065" xr:uid="{B49F5D4E-A562-44E4-9552-F2C8C47AC403}"/>
    <hyperlink ref="F2118" r:id="rId4066" xr:uid="{EC8FA914-6173-4557-B024-21FACBEB0D81}"/>
    <hyperlink ref="G2118" r:id="rId4067" xr:uid="{FA83DB85-D794-4226-AF7B-735657A260A3}"/>
    <hyperlink ref="S2118" r:id="rId4068" xr:uid="{480608DA-C9AA-4FC6-96B1-D3375527C611}"/>
    <hyperlink ref="F2119" r:id="rId4069" xr:uid="{1F4DF4A5-4F0C-4090-81FC-674DC91F6274}"/>
    <hyperlink ref="G2119" r:id="rId4070" xr:uid="{D861656B-045C-45E9-89CB-6AE502430D90}"/>
    <hyperlink ref="F2120" r:id="rId4071" xr:uid="{9A47374B-E7AF-4E7B-80B4-9D12B95FA713}"/>
    <hyperlink ref="G2120" r:id="rId4072" xr:uid="{EA57A3CF-BDCC-4CDA-B1D5-F590B318E8E7}"/>
    <hyperlink ref="S2120" r:id="rId4073" xr:uid="{F0ADB7C0-8987-499B-8465-FA292E994D6C}"/>
    <hyperlink ref="F2121" r:id="rId4074" xr:uid="{DB31DACD-E79E-4C09-BAB4-43099F8448A2}"/>
    <hyperlink ref="S2121" r:id="rId4075" xr:uid="{22674F22-F521-455F-A401-59EA0450105D}"/>
    <hyperlink ref="F2122" r:id="rId4076" xr:uid="{2ECF1F45-072A-4237-817B-ADA0E147F296}"/>
    <hyperlink ref="F2123" r:id="rId4077" xr:uid="{5B47EBDC-E7EF-4170-92D1-20F82C568CAA}"/>
    <hyperlink ref="G2123" r:id="rId4078" xr:uid="{9808ECA2-D5AD-4BF5-97EE-5365C881B10F}"/>
    <hyperlink ref="S2123" r:id="rId4079" xr:uid="{08D3B544-1FAD-431B-B365-0E5726C680A6}"/>
    <hyperlink ref="F2124" r:id="rId4080" xr:uid="{BF1355D8-2161-4EAD-8A46-E991FDA3E8CE}"/>
    <hyperlink ref="G2124" r:id="rId4081" xr:uid="{F55938BA-A7D4-4546-9B64-D3F8DFE2CE65}"/>
    <hyperlink ref="S2124" r:id="rId4082" xr:uid="{7FAD5703-C3F9-4930-B93B-C333C5001F78}"/>
    <hyperlink ref="G2125" r:id="rId4083" xr:uid="{420DCC77-B4C9-460F-BC7A-F6AE540AAA53}"/>
    <hyperlink ref="G2126" r:id="rId4084" xr:uid="{6A0E24C3-485D-41E7-8F55-1E15DFD69F4B}"/>
    <hyperlink ref="S2126" r:id="rId4085" xr:uid="{CAE42161-F1ED-49C1-9C09-E955ADCB86D6}"/>
    <hyperlink ref="F2127" r:id="rId4086" xr:uid="{4B271E37-4C37-43B5-AC41-F63C39417495}"/>
    <hyperlink ref="G2128" r:id="rId4087" xr:uid="{8A6C6D00-9565-43A7-8C8A-E4A5628FF501}"/>
    <hyperlink ref="S2128" r:id="rId4088" xr:uid="{78C95A0E-AB9D-4F50-B548-72F752690BC9}"/>
    <hyperlink ref="S2129" r:id="rId4089" xr:uid="{6B7654BA-AD00-4B60-842F-2C1D3C685501}"/>
    <hyperlink ref="F2130" r:id="rId4090" xr:uid="{AB20C923-0663-45E7-928D-2754B1F23652}"/>
    <hyperlink ref="G2130" r:id="rId4091" xr:uid="{068D25EB-928E-4E39-BFFE-6820738D6E86}"/>
    <hyperlink ref="S2130" r:id="rId4092" xr:uid="{E2F04ABE-3368-4C11-B782-B16AA78C4183}"/>
    <hyperlink ref="S2131" r:id="rId4093" xr:uid="{88D18582-9EFA-4136-88D2-A1C124687A85}"/>
    <hyperlink ref="G2132" r:id="rId4094" xr:uid="{159F5F17-E639-4D0B-A51C-FD0FF6B2A2F3}"/>
    <hyperlink ref="S2132" r:id="rId4095" xr:uid="{C2AB7289-9CAF-4D2A-A2E0-FAF16E0D572A}"/>
    <hyperlink ref="F2133" r:id="rId4096" location=".YDRaBc2gQf8.twitter" xr:uid="{720D8E02-BBDA-4637-85FC-128F67A6C69D}"/>
    <hyperlink ref="S2133" r:id="rId4097" xr:uid="{132059B2-4F35-41FE-8D30-61666EB156EB}"/>
    <hyperlink ref="F2134" r:id="rId4098" xr:uid="{E4943089-03F2-40E9-82A8-9EF38CB901A9}"/>
    <hyperlink ref="S2134" r:id="rId4099" xr:uid="{F7D68A8A-90E0-418A-86A5-72EF83E71B9A}"/>
    <hyperlink ref="F2135" r:id="rId4100" xr:uid="{96D8CD11-84C5-430D-BCC6-FF163A63295F}"/>
    <hyperlink ref="G2135" r:id="rId4101" xr:uid="{F10E0F1A-CB6F-4E08-85E9-2594B0586134}"/>
    <hyperlink ref="S2135" r:id="rId4102" xr:uid="{11F5A4EC-089F-429B-AC6A-ACFCA489B563}"/>
    <hyperlink ref="G2137" r:id="rId4103" xr:uid="{8517F018-0D89-47BF-BCFD-412AFE64FA97}"/>
    <hyperlink ref="F2138" r:id="rId4104" xr:uid="{AF4F1862-5F30-4AA6-8161-73439B194A89}"/>
    <hyperlink ref="S2138" r:id="rId4105" xr:uid="{19D421E1-2A72-4139-9411-06C79B08EE58}"/>
    <hyperlink ref="G2139" r:id="rId4106" xr:uid="{EAE0CF0B-DA70-452D-BA04-750264279C09}"/>
    <hyperlink ref="S2139" r:id="rId4107" xr:uid="{306C5E76-8D96-4BD0-982B-57EE75D98139}"/>
    <hyperlink ref="F2140" r:id="rId4108" xr:uid="{8DA7EE37-899A-4ECF-A33A-4BCCBD0861E0}"/>
    <hyperlink ref="S2140" r:id="rId4109" xr:uid="{24758270-8335-4534-A047-9DC8F7543432}"/>
    <hyperlink ref="F2141" r:id="rId4110" xr:uid="{888D27DE-D56E-4C77-AEF0-288998D83859}"/>
    <hyperlink ref="S2141" r:id="rId4111" xr:uid="{9400BE61-4252-40E3-9E96-2E9DE828B177}"/>
    <hyperlink ref="F2142" r:id="rId4112" xr:uid="{1BCC4B61-CA61-4678-AA51-D60BA9E5673C}"/>
    <hyperlink ref="S2142" r:id="rId4113" xr:uid="{B3BE6C83-CC11-42FF-9F63-36AA7F64023D}"/>
    <hyperlink ref="F2143" r:id="rId4114" xr:uid="{E767A0A0-51E5-4DD3-829D-3F6BC8342534}"/>
    <hyperlink ref="G2143" r:id="rId4115" xr:uid="{1E5817F0-892B-496D-B150-7828E61C6973}"/>
    <hyperlink ref="S2143" r:id="rId4116" xr:uid="{1797E6F8-46AB-4FE9-8A52-CAC481411301}"/>
    <hyperlink ref="G2144" r:id="rId4117" xr:uid="{EBA42F26-8423-4A30-86D0-197E6DB0C825}"/>
    <hyperlink ref="S2144" r:id="rId4118" xr:uid="{0E92AD8C-4823-4652-BB41-2D5A57364FB6}"/>
    <hyperlink ref="F2145" r:id="rId4119" xr:uid="{7431FEB5-2718-48B6-8CD8-01F268F5FE94}"/>
    <hyperlink ref="S2145" r:id="rId4120" xr:uid="{6D6E5495-52D3-4BC4-ABFE-2E5B744CADD0}"/>
    <hyperlink ref="S2146" r:id="rId4121" xr:uid="{656010D0-6E04-4C20-8497-919DF871097E}"/>
    <hyperlink ref="F2147" r:id="rId4122" xr:uid="{05816E3C-9108-4B26-8DA1-263FF8AA2C4D}"/>
    <hyperlink ref="S2147" r:id="rId4123" xr:uid="{6D91AB2D-2948-4038-B28C-D72E695F3C70}"/>
    <hyperlink ref="F2148" r:id="rId4124" xr:uid="{8967DEA9-E23D-4239-8161-0B40AEC774B2}"/>
    <hyperlink ref="G2148" r:id="rId4125" xr:uid="{8EEEC248-F362-472C-8371-D55C98B5AB0C}"/>
    <hyperlink ref="S2148" r:id="rId4126" xr:uid="{CC90C931-607B-4F4A-8EDA-E93F48F4F52D}"/>
    <hyperlink ref="F2149" r:id="rId4127" xr:uid="{6399EC65-988E-40AA-9E8A-CD38173487E9}"/>
    <hyperlink ref="S2149" r:id="rId4128" xr:uid="{C464CD3C-8083-4478-ACAB-F120573F9264}"/>
    <hyperlink ref="F2151" r:id="rId4129" xr:uid="{DA02DD6B-E10C-4B05-9F2C-71BF9F8A1FC2}"/>
    <hyperlink ref="G2151" r:id="rId4130" xr:uid="{F67D861D-8EED-4603-8922-5816138D08C4}"/>
    <hyperlink ref="S2151" r:id="rId4131" xr:uid="{21944B9A-5ED4-4E3F-A5A4-07D4ADCE913E}"/>
    <hyperlink ref="F2152" r:id="rId4132" xr:uid="{49B45419-A08F-49D6-93E9-3382D0A2CC2C}"/>
    <hyperlink ref="F2153" r:id="rId4133" xr:uid="{2911CCD0-D175-4C8F-A99E-5D7D7A0F99AA}"/>
    <hyperlink ref="S2153" r:id="rId4134" xr:uid="{E7406007-B412-4E02-B149-F5F975636348}"/>
    <hyperlink ref="F2154" r:id="rId4135" xr:uid="{8AAE7C5B-32F5-4A63-8C2B-67ED77DAFF09}"/>
    <hyperlink ref="S2154" r:id="rId4136" xr:uid="{A20BC72D-40C4-433D-969B-64056748A6F3}"/>
    <hyperlink ref="F2155" r:id="rId4137" xr:uid="{AEB70C1C-62E8-4B7C-8340-AACEAF002665}"/>
    <hyperlink ref="G2155" r:id="rId4138" xr:uid="{3728FB32-78E7-46FC-BA4C-E2DCE3829CAC}"/>
    <hyperlink ref="S2155" r:id="rId4139" xr:uid="{DF332D3C-B3CD-4F7A-A2BF-0422355B9D23}"/>
    <hyperlink ref="F2156" r:id="rId4140" xr:uid="{1B5C617D-113D-4A6D-B744-B0A5D56CF10F}"/>
    <hyperlink ref="S2156" r:id="rId4141" xr:uid="{44A805D8-3CB1-4AF3-884F-01CC5ED5C2D1}"/>
    <hyperlink ref="C2157" r:id="rId4142" xr:uid="{35128DB0-BF30-4348-8C71-C1559C252F10}"/>
    <hyperlink ref="F2157" r:id="rId4143" xr:uid="{8D43EAC7-8A65-406A-A832-DA96633E7286}"/>
    <hyperlink ref="G2157" r:id="rId4144" xr:uid="{062799AA-B79B-4A7C-9490-9E2BF9422EC8}"/>
    <hyperlink ref="S2157" r:id="rId4145" xr:uid="{C8B412C8-5B3A-4078-848D-980501647B9E}"/>
    <hyperlink ref="F2158" r:id="rId4146" xr:uid="{0321C174-6BFA-41D9-A901-FEC2B94AF76C}"/>
    <hyperlink ref="F2159" r:id="rId4147" xr:uid="{070839F4-DD0E-4D59-BF2C-1C4B19D6E52F}"/>
    <hyperlink ref="G2159" r:id="rId4148" xr:uid="{2152D1DE-5340-4AF6-9005-0C11A222752A}"/>
    <hyperlink ref="S2159" r:id="rId4149" xr:uid="{6EC655D2-D33E-416E-B881-093C16512EDB}"/>
    <hyperlink ref="G2160" r:id="rId4150" xr:uid="{9CF31B3E-7771-4817-A9DE-AECB6F8B2E48}"/>
    <hyperlink ref="S2160" r:id="rId4151" xr:uid="{66C89836-8011-4468-AE96-4F3C778FA9ED}"/>
    <hyperlink ref="F2161" r:id="rId4152" xr:uid="{4FFDA2BE-5F1F-4008-A302-9CC4DDC7BA9E}"/>
    <hyperlink ref="G2161" r:id="rId4153" xr:uid="{6FEB2E64-C617-40FD-973D-B70487713C74}"/>
    <hyperlink ref="S2161" r:id="rId4154" xr:uid="{F8AB123E-70B0-4594-AD2A-4BDFF958B263}"/>
    <hyperlink ref="F2162" r:id="rId4155" xr:uid="{9C5378D0-45AA-4511-9036-C0A2E1F75B84}"/>
    <hyperlink ref="S2162" r:id="rId4156" xr:uid="{D3CE93C9-049D-41BB-8ABE-B47268785402}"/>
    <hyperlink ref="F2163" r:id="rId4157" xr:uid="{B4C8E99B-AE3E-4F65-BB64-4113E4374FDB}"/>
    <hyperlink ref="G2163" r:id="rId4158" xr:uid="{B66D30AE-5E22-4A3E-ADDF-5BD697392B82}"/>
    <hyperlink ref="S2163" r:id="rId4159" xr:uid="{8652C12B-8B82-4D0B-B8BF-C0E0AB01D8DD}"/>
    <hyperlink ref="F2164" r:id="rId4160" xr:uid="{BACA65C4-F0DB-429C-B585-4B16D1EA5EBD}"/>
    <hyperlink ref="G2164" r:id="rId4161" xr:uid="{C7F9FF68-54CB-4810-A4AA-37CB05FB767D}"/>
    <hyperlink ref="F2165" r:id="rId4162" xr:uid="{21BA1003-84C2-4FC0-A99F-AF6D3BF2F52D}"/>
    <hyperlink ref="F2166" r:id="rId4163" xr:uid="{823812DE-6A7C-4167-94E1-CA16623600C9}"/>
    <hyperlink ref="G2166" r:id="rId4164" xr:uid="{E2F09AF7-7CBE-4BFA-A222-316AC039D8FC}"/>
    <hyperlink ref="F2167" r:id="rId4165" xr:uid="{83B186DA-48D1-4F9B-A53F-D744ACAE253F}"/>
    <hyperlink ref="G2167" r:id="rId4166" xr:uid="{73A69501-0CEE-409C-9FDA-A3E1D028C22A}"/>
    <hyperlink ref="S2167" r:id="rId4167" xr:uid="{0F8A9514-E567-4DDC-B3E0-3DDD4FCD2FBA}"/>
    <hyperlink ref="S2168" r:id="rId4168" xr:uid="{09A924A3-6216-4A2E-A161-DBF364308C2E}"/>
    <hyperlink ref="S2169" r:id="rId4169" xr:uid="{8EADA1D9-D369-4EB7-84D1-47C3E8159318}"/>
    <hyperlink ref="F2170" r:id="rId4170" xr:uid="{45EE55BD-BBB8-47BF-96CF-9AA24EBA3D7A}"/>
    <hyperlink ref="G2170" r:id="rId4171" xr:uid="{A62756F0-8AC5-4F7F-AF3A-79CDB5AF7098}"/>
    <hyperlink ref="S2170" r:id="rId4172" xr:uid="{1196BA09-4579-48C0-9990-3C39BE95F69C}"/>
    <hyperlink ref="F2171" r:id="rId4173" xr:uid="{3C31913F-28F5-4927-B329-21E0E15153CA}"/>
    <hyperlink ref="S2171" r:id="rId4174" xr:uid="{D1B01F47-2006-49CC-8595-A8060B555F85}"/>
    <hyperlink ref="F2172" r:id="rId4175" xr:uid="{F5A484A4-9A34-4CBB-86AE-AA2A005F790E}"/>
    <hyperlink ref="S2172" r:id="rId4176" xr:uid="{833A0EA3-F193-42FD-AE7F-731BFB1C569B}"/>
    <hyperlink ref="G2173" r:id="rId4177" xr:uid="{EDD93C0D-59F4-4965-ABC1-E326199031CD}"/>
    <hyperlink ref="S2173" r:id="rId4178" xr:uid="{401F5455-AD47-4D22-BBB3-DA73E4FF4302}"/>
    <hyperlink ref="F2174" r:id="rId4179" xr:uid="{A29F37E7-ACDF-4329-8BC7-DAFBCAD6825C}"/>
    <hyperlink ref="F2175" r:id="rId4180" xr:uid="{DA0C1F32-36FE-4F0B-B286-72D5330042FA}"/>
    <hyperlink ref="G2175" r:id="rId4181" xr:uid="{4CC5C055-21F8-4F06-9F9D-74D24AF90B6D}"/>
    <hyperlink ref="S2175" r:id="rId4182" xr:uid="{8D596EAB-AF95-4472-968E-A3A8D581AC8D}"/>
    <hyperlink ref="F2176" r:id="rId4183" xr:uid="{A60E06BC-AEEC-4CC7-B058-BFF03B91A975}"/>
    <hyperlink ref="S2176" r:id="rId4184" xr:uid="{564EEA96-8AFD-4121-B4C2-B7CFF5E22C02}"/>
    <hyperlink ref="G2177" r:id="rId4185" xr:uid="{FE1563B8-F11D-4645-951E-ED170E3F3EB2}"/>
    <hyperlink ref="F2178" r:id="rId4186" xr:uid="{8FE0438F-CEA5-48F5-90EE-C7C6D5A0181C}"/>
    <hyperlink ref="G2178" r:id="rId4187" xr:uid="{35C1813D-4D29-4FF0-BAFF-22AC0DCED480}"/>
    <hyperlink ref="F2179" r:id="rId4188" xr:uid="{91F45C7F-4B73-4268-9DFD-A4483C525A76}"/>
    <hyperlink ref="S2179" r:id="rId4189" xr:uid="{D26747AE-7F85-46F2-B387-250E314A8F18}"/>
    <hyperlink ref="F2180" r:id="rId4190" xr:uid="{760008F5-C59B-4C1E-AA7F-35164780ECF2}"/>
    <hyperlink ref="G2180" r:id="rId4191" xr:uid="{2818AE51-33E7-4C26-97C1-17174B66D08C}"/>
    <hyperlink ref="F2181" r:id="rId4192" xr:uid="{C4DAF89A-CF51-4FC9-8A10-401CFCA950C0}"/>
    <hyperlink ref="G2181" r:id="rId4193" xr:uid="{AD4B76DC-0C77-4D1E-9439-0C2D88090615}"/>
    <hyperlink ref="F2182" r:id="rId4194" xr:uid="{2E883D50-F355-4707-BA2B-210FD0C4ADC6}"/>
    <hyperlink ref="S2182" r:id="rId4195" xr:uid="{B459CE19-B35B-4CCE-82D0-DFD399EC5589}"/>
    <hyperlink ref="F2183" r:id="rId4196" xr:uid="{3BD2054F-8236-4EB1-AE57-D9F28DB6CB71}"/>
    <hyperlink ref="S2183" r:id="rId4197" xr:uid="{C426D9CA-E3E2-43E4-825D-E53578323463}"/>
    <hyperlink ref="F2184" r:id="rId4198" xr:uid="{574CE164-13BF-4A93-B20C-F04D376BB580}"/>
    <hyperlink ref="G2184" r:id="rId4199" xr:uid="{BFD28B04-CC46-4308-9B2E-F6322D136A31}"/>
    <hyperlink ref="S2184" r:id="rId4200" xr:uid="{F651BFDC-A61F-4212-8108-40D54F65F177}"/>
    <hyperlink ref="F2185" r:id="rId4201" xr:uid="{FF20FA4D-C0FD-442E-90FA-81B3070C8B82}"/>
    <hyperlink ref="S2185" r:id="rId4202" xr:uid="{FBC525A5-4E5B-478C-97AF-4BF93A10563C}"/>
    <hyperlink ref="F2186" r:id="rId4203" xr:uid="{91ADD925-6E9C-47F0-AD5A-98B2443D904C}"/>
    <hyperlink ref="G2186" r:id="rId4204" xr:uid="{F3BC21C6-BA68-4484-A9C1-0346FAC424AB}"/>
    <hyperlink ref="F2187" r:id="rId4205" xr:uid="{2E81B1A1-975B-401E-9311-15440F97BE5D}"/>
    <hyperlink ref="G2187" r:id="rId4206" xr:uid="{18E29793-8A7D-43B9-8D57-8C5958FA8BAC}"/>
    <hyperlink ref="S2187" r:id="rId4207" xr:uid="{E4F9B5F0-5759-45B0-A3D6-0E1CAF95D5FA}"/>
    <hyperlink ref="F2188" r:id="rId4208" xr:uid="{BA8E16DE-F680-4098-BB82-5B2A961BDDCE}"/>
    <hyperlink ref="G2188" r:id="rId4209" xr:uid="{66937D18-A0E7-4A2E-8F02-7BD73BCEA85D}"/>
    <hyperlink ref="S2188" r:id="rId4210" xr:uid="{2C6E2D46-E679-447A-9F48-8AE047D8C2A0}"/>
    <hyperlink ref="F2189" r:id="rId4211" xr:uid="{0B69AB62-E618-45F6-B0F3-B2CEC68954C3}"/>
    <hyperlink ref="S2189" r:id="rId4212" xr:uid="{ED4078AD-2E51-4FDD-B013-B607A8D658A4}"/>
    <hyperlink ref="F2190" r:id="rId4213" xr:uid="{728CF6CB-382A-442F-A54A-1ABB97B72973}"/>
    <hyperlink ref="G2190" r:id="rId4214" xr:uid="{E105881E-BC5A-46EF-BFFA-56255C50AEDE}"/>
    <hyperlink ref="S2190" r:id="rId4215" xr:uid="{1FE1FC93-44B0-48A6-A20C-4BD4F831E8EC}"/>
    <hyperlink ref="G2191" r:id="rId4216" xr:uid="{702BCBC9-F967-488B-B242-6FE48AC0BFD7}"/>
    <hyperlink ref="F2192" r:id="rId4217" xr:uid="{82C4C4C5-0104-44CE-856B-7A89A7DE4734}"/>
    <hyperlink ref="G2192" r:id="rId4218" xr:uid="{59DF74AF-1BFA-44F7-A0F5-71625D7B4699}"/>
    <hyperlink ref="S2192" r:id="rId4219" xr:uid="{C6994A08-1DCF-4B86-9CCD-DDBBAD5BF954}"/>
    <hyperlink ref="C2193" r:id="rId4220" xr:uid="{557CDC77-260F-4FB5-8268-0077F7F4C541}"/>
    <hyperlink ref="F2193" r:id="rId4221" xr:uid="{D88365C2-93B4-405E-8826-4BCD23C2EEDC}"/>
    <hyperlink ref="S2193" r:id="rId4222" xr:uid="{87149BB0-3352-4FDC-AB2E-71313F4121FC}"/>
    <hyperlink ref="F2194" r:id="rId4223" xr:uid="{0A507635-3F21-40E9-A63E-3434175EBEBD}"/>
    <hyperlink ref="G2194" r:id="rId4224" xr:uid="{DA5CB0B9-2AF1-458C-B8BE-ECB8A64DB124}"/>
    <hyperlink ref="S2194" r:id="rId4225" xr:uid="{3AEBB311-2348-4968-AFF4-5AEB6BE10162}"/>
    <hyperlink ref="F2195" r:id="rId4226" xr:uid="{ED02CC44-5303-4FDC-82B8-CA0E1D4C40F0}"/>
    <hyperlink ref="G2195" r:id="rId4227" xr:uid="{46CDB691-DDE3-451E-99D7-34E6B203AB55}"/>
    <hyperlink ref="S2195" r:id="rId4228" xr:uid="{2BA01F0E-D3AA-43C6-AC7D-F9855BB82578}"/>
    <hyperlink ref="G2196" r:id="rId4229" xr:uid="{F88820DE-EC2D-46D8-9779-A0021D21F2DC}"/>
    <hyperlink ref="S2196" r:id="rId4230" xr:uid="{A552C6B3-5C90-4502-A146-F0EDB5B1FBB8}"/>
    <hyperlink ref="F2197" r:id="rId4231" xr:uid="{46EC8AC0-A7EE-4784-A335-3865600E6CB5}"/>
    <hyperlink ref="S2197" r:id="rId4232" xr:uid="{DEFA735B-8048-453C-BE2C-CB955EEDB2B6}"/>
    <hyperlink ref="F2198" r:id="rId4233" xr:uid="{624D5D26-DC3C-46F4-9864-A242178B25CA}"/>
    <hyperlink ref="S2198" r:id="rId4234" xr:uid="{4C2EF8EF-E4B4-446E-9235-5AD0773935DC}"/>
    <hyperlink ref="S2199" r:id="rId4235" xr:uid="{0FF92555-B7C1-4440-BE35-32B0C7A5164C}"/>
    <hyperlink ref="F2200" r:id="rId4236" xr:uid="{47C303A8-BFBE-4737-833C-7A6A3217392D}"/>
    <hyperlink ref="S2200" r:id="rId4237" xr:uid="{2C3C0D92-41BA-4B4A-980B-0CE4548B30F5}"/>
    <hyperlink ref="F2201" r:id="rId4238" xr:uid="{CE9AC7D7-4B77-4827-AD4A-3B9CB8D845E0}"/>
    <hyperlink ref="S2201" r:id="rId4239" xr:uid="{780597CB-ECBC-4AC4-9100-A8EFD4DE9883}"/>
    <hyperlink ref="G2202" r:id="rId4240" xr:uid="{34727E77-590C-420E-B7FC-FBF6DD41B6F0}"/>
    <hyperlink ref="S2202" r:id="rId4241" xr:uid="{16A1B202-63C7-41E2-8029-4197E4BB67A0}"/>
    <hyperlink ref="S2203" r:id="rId4242" xr:uid="{9C65B74A-5A10-46D8-8626-B746B3C5826C}"/>
    <hyperlink ref="F2204" r:id="rId4243" xr:uid="{22D5D14E-728B-47BE-B594-540B56837DFB}"/>
    <hyperlink ref="G2204" r:id="rId4244" xr:uid="{B9FAA221-996C-47E6-81B0-96ADF7DCBDB7}"/>
    <hyperlink ref="F2205" r:id="rId4245" xr:uid="{75FFC1AC-2876-4195-AA09-6C14C038A0AD}"/>
    <hyperlink ref="G2205" r:id="rId4246" xr:uid="{74785386-85EA-48AC-9B2D-0B6C561ACBE8}"/>
    <hyperlink ref="F2206" r:id="rId4247" xr:uid="{568EB921-BECF-4682-B538-F17C7B6B4DF6}"/>
    <hyperlink ref="G2206" r:id="rId4248" xr:uid="{5D48533E-F16D-4E63-AD67-93340DCE00F9}"/>
    <hyperlink ref="F2207" r:id="rId4249" xr:uid="{D3259E73-CD47-47BB-A6C7-C9A6412C7D2D}"/>
    <hyperlink ref="G2207" r:id="rId4250" xr:uid="{18B3095F-CB30-4817-9EC9-2AAAA1D7ABAD}"/>
    <hyperlink ref="F2208" r:id="rId4251" xr:uid="{8417F1A3-B14E-415E-97FE-CF81F7A72BD8}"/>
    <hyperlink ref="G2208" r:id="rId4252" xr:uid="{02440213-2F95-4128-BE60-F168FE4D1F9E}"/>
    <hyperlink ref="F2209" r:id="rId4253" xr:uid="{B4B50588-4159-4BEF-A84E-47590A3179D1}"/>
    <hyperlink ref="G2209" r:id="rId4254" xr:uid="{B2B63E96-55A1-43C1-A1CD-E8AE42AD3385}"/>
    <hyperlink ref="S2209" r:id="rId4255" xr:uid="{5A7C0293-6EBE-4BEA-8BB7-1D4EA519A3B4}"/>
    <hyperlink ref="F2210" r:id="rId4256" xr:uid="{C0E8EA56-759A-4713-B6D0-203D7DC67CFD}"/>
    <hyperlink ref="G2210" r:id="rId4257" xr:uid="{AA7957A3-C454-4D3B-B5E8-72ABCA5A9F06}"/>
    <hyperlink ref="G2211" r:id="rId4258" xr:uid="{77897BB1-825D-4A9C-9406-CAAC049EE9CF}"/>
    <hyperlink ref="S2211" r:id="rId4259" xr:uid="{318703B2-7DBC-4C59-9ACC-26447A296FAD}"/>
    <hyperlink ref="F2212" r:id="rId4260" xr:uid="{99659E80-6729-475E-B440-DCCBC3A51687}"/>
    <hyperlink ref="G2212" r:id="rId4261" xr:uid="{87FEDD20-7271-4AE5-94BC-B3609A54F5A7}"/>
    <hyperlink ref="F2213" r:id="rId4262" xr:uid="{7B6947F0-4319-4AA3-87B0-2B296DC920EF}"/>
    <hyperlink ref="G2213" r:id="rId4263" xr:uid="{20EC5269-CA0F-423A-9758-7908CB253947}"/>
    <hyperlink ref="S2213" r:id="rId4264" xr:uid="{6A20DC52-D1A0-490E-A217-7156D52B93BF}"/>
    <hyperlink ref="F2214" r:id="rId4265" xr:uid="{0850E024-894B-491D-BC8A-61E657A00E32}"/>
    <hyperlink ref="S2214" r:id="rId4266" xr:uid="{1941AD4A-7FAD-48F8-A7E8-56F71F1B1B59}"/>
    <hyperlink ref="F2215" r:id="rId4267" xr:uid="{EC52800F-DB33-45E2-BE57-58FBB51ACC93}"/>
    <hyperlink ref="F2216" r:id="rId4268" xr:uid="{D319DF6C-7813-4E29-AC69-597F3215E8E5}"/>
    <hyperlink ref="G2216" r:id="rId4269" xr:uid="{F987BBE5-6553-437E-9BD1-3D570EE00DB6}"/>
    <hyperlink ref="F2217" r:id="rId4270" xr:uid="{4CB82F04-9E8F-4AC5-8EE9-AFE476150CDB}"/>
    <hyperlink ref="S2217" r:id="rId4271" xr:uid="{2E48D21A-F4E9-4824-98A5-BAE8D506E36F}"/>
    <hyperlink ref="F2218" r:id="rId4272" xr:uid="{B264095C-C549-4EFC-B7D9-8380A844DE96}"/>
    <hyperlink ref="G2218" r:id="rId4273" xr:uid="{D7EE1024-CF2F-4700-A6D1-5529AB780A24}"/>
    <hyperlink ref="F2219" r:id="rId4274" xr:uid="{949E02A9-640C-4370-957B-DB5B4263AB3E}"/>
    <hyperlink ref="G2219" r:id="rId4275" xr:uid="{65FCB502-375B-4B81-96B3-9A9B3544D1A5}"/>
    <hyperlink ref="S2219" r:id="rId4276" xr:uid="{B5B9200D-9080-4B9F-9D1C-8E30549FAE2E}"/>
  </hyperlinks>
  <pageMargins left="0.7" right="0.7" top="0.75" bottom="0.75" header="0.3" footer="0.3"/>
  <tableParts count="1">
    <tablePart r:id="rId4277"/>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8CFB0-EA46-430C-80FC-5EE0BC51D0E3}">
  <sheetPr codeName="XLSTAT_20210223_194050_1">
    <tabColor rgb="FF007800"/>
  </sheetPr>
  <dimension ref="B1:M8987"/>
  <sheetViews>
    <sheetView zoomScaleNormal="100" workbookViewId="0">
      <selection activeCell="E30" sqref="E30"/>
    </sheetView>
  </sheetViews>
  <sheetFormatPr baseColWidth="10" defaultRowHeight="13.2"/>
  <cols>
    <col min="1" max="1" width="6.21875" customWidth="1"/>
    <col min="3" max="3" width="13.6640625" customWidth="1"/>
    <col min="4" max="4" width="14.5546875" bestFit="1" customWidth="1"/>
    <col min="5" max="5" width="11.77734375" bestFit="1" customWidth="1"/>
    <col min="6" max="6" width="14.5546875" bestFit="1" customWidth="1"/>
  </cols>
  <sheetData>
    <row r="1" spans="2:13">
      <c r="B1" s="18" t="s">
        <v>8742</v>
      </c>
      <c r="C1" s="17"/>
      <c r="D1" s="17"/>
      <c r="E1" s="17"/>
      <c r="F1" s="17"/>
      <c r="G1" s="17"/>
      <c r="H1" s="17"/>
      <c r="I1" s="17"/>
      <c r="J1" s="17"/>
      <c r="K1" s="17"/>
      <c r="L1" s="16"/>
      <c r="M1" s="16"/>
    </row>
    <row r="2" spans="2:13">
      <c r="B2" s="17"/>
      <c r="C2" s="17"/>
      <c r="D2" s="17"/>
      <c r="E2" s="17"/>
      <c r="F2" s="17"/>
      <c r="G2" s="17"/>
      <c r="H2" s="17"/>
      <c r="I2" s="17"/>
      <c r="J2" s="17"/>
      <c r="K2" s="17"/>
      <c r="L2" s="16"/>
      <c r="M2" s="16"/>
    </row>
    <row r="3" spans="2:13">
      <c r="B3" t="s">
        <v>11022</v>
      </c>
    </row>
    <row r="4" spans="2:13">
      <c r="B4" t="s">
        <v>8743</v>
      </c>
    </row>
    <row r="5" spans="2:13">
      <c r="B5" t="s">
        <v>8744</v>
      </c>
    </row>
    <row r="6" spans="2:13">
      <c r="B6" t="s">
        <v>8745</v>
      </c>
    </row>
    <row r="7" spans="2:13">
      <c r="B7" t="s">
        <v>8746</v>
      </c>
    </row>
    <row r="8" spans="2:13">
      <c r="B8" t="s">
        <v>8747</v>
      </c>
    </row>
    <row r="9" spans="2:13">
      <c r="B9" t="s">
        <v>8748</v>
      </c>
    </row>
    <row r="10" spans="2:13">
      <c r="B10" t="s">
        <v>8749</v>
      </c>
    </row>
    <row r="11" spans="2:13">
      <c r="B11" t="s">
        <v>8750</v>
      </c>
    </row>
    <row r="12" spans="2:13">
      <c r="B12" t="s">
        <v>8751</v>
      </c>
    </row>
    <row r="13" spans="2:13">
      <c r="B13" t="s">
        <v>11021</v>
      </c>
    </row>
    <row r="14" spans="2:13" ht="34.200000000000003" customHeight="1"/>
    <row r="15" spans="2:13" ht="16.2" customHeight="1">
      <c r="B15" s="20"/>
    </row>
    <row r="18" spans="2:9">
      <c r="B18" t="s">
        <v>8752</v>
      </c>
    </row>
    <row r="19" spans="2:9" ht="13.8" thickBot="1"/>
    <row r="20" spans="2:9">
      <c r="B20" s="22" t="s">
        <v>8753</v>
      </c>
      <c r="C20" s="23" t="s">
        <v>8754</v>
      </c>
      <c r="D20" s="23" t="s">
        <v>8755</v>
      </c>
      <c r="E20" s="23" t="s">
        <v>8756</v>
      </c>
      <c r="F20" s="23" t="s">
        <v>8757</v>
      </c>
      <c r="G20" s="23" t="s">
        <v>8758</v>
      </c>
      <c r="H20" s="23" t="s">
        <v>7</v>
      </c>
      <c r="I20" s="23" t="s">
        <v>8759</v>
      </c>
    </row>
    <row r="21" spans="2:9">
      <c r="B21" s="24" t="s">
        <v>8760</v>
      </c>
      <c r="C21" s="26">
        <v>2218</v>
      </c>
      <c r="D21" s="26">
        <v>0</v>
      </c>
      <c r="E21" s="26">
        <v>2218</v>
      </c>
      <c r="F21" s="28">
        <v>0</v>
      </c>
      <c r="G21" s="28">
        <v>206817</v>
      </c>
      <c r="H21" s="28">
        <v>7427.6627592425666</v>
      </c>
      <c r="I21" s="28">
        <v>21723.822565324037</v>
      </c>
    </row>
    <row r="22" spans="2:9" ht="13.8" thickBot="1">
      <c r="B22" s="25" t="s">
        <v>8761</v>
      </c>
      <c r="C22" s="27">
        <v>2218</v>
      </c>
      <c r="D22" s="27">
        <v>0</v>
      </c>
      <c r="E22" s="27">
        <v>2218</v>
      </c>
      <c r="F22" s="29">
        <v>0</v>
      </c>
      <c r="G22" s="29">
        <v>17419</v>
      </c>
      <c r="H22" s="29">
        <v>572.45807033363246</v>
      </c>
      <c r="I22" s="29">
        <v>1463.0812791226415</v>
      </c>
    </row>
    <row r="25" spans="2:9">
      <c r="B25" s="19" t="s">
        <v>8762</v>
      </c>
    </row>
    <row r="26" spans="2:9" ht="13.8" thickBot="1"/>
    <row r="27" spans="2:9">
      <c r="B27" s="22" t="s">
        <v>8763</v>
      </c>
      <c r="C27" s="23" t="s">
        <v>8764</v>
      </c>
      <c r="D27" s="23" t="s">
        <v>8765</v>
      </c>
    </row>
    <row r="28" spans="2:9">
      <c r="B28" s="24" t="s">
        <v>8766</v>
      </c>
      <c r="C28" s="28">
        <v>474065073.67900717</v>
      </c>
      <c r="D28" s="28">
        <v>114430654.36971386</v>
      </c>
    </row>
    <row r="29" spans="2:9">
      <c r="B29" t="s">
        <v>8767</v>
      </c>
      <c r="C29" s="30">
        <v>-1.7976931348623099E+308</v>
      </c>
      <c r="D29" s="30">
        <v>359634419.30928695</v>
      </c>
    </row>
    <row r="30" spans="2:9" ht="13.8" thickBot="1">
      <c r="B30" s="25" t="s">
        <v>8768</v>
      </c>
      <c r="C30" s="29">
        <v>474065073.67900079</v>
      </c>
      <c r="D30" s="29">
        <v>474065073.67900079</v>
      </c>
    </row>
    <row r="51" spans="2:6">
      <c r="F51" t="s">
        <v>8769</v>
      </c>
    </row>
    <row r="54" spans="2:6">
      <c r="B54" s="19" t="s">
        <v>8770</v>
      </c>
    </row>
    <row r="56" spans="2:6">
      <c r="B56" t="s">
        <v>8771</v>
      </c>
    </row>
    <row r="57" spans="2:6" ht="13.8" thickBot="1"/>
    <row r="58" spans="2:6">
      <c r="B58" s="23" t="s">
        <v>8772</v>
      </c>
      <c r="C58" s="23" t="s">
        <v>8773</v>
      </c>
      <c r="D58" s="23" t="s">
        <v>8774</v>
      </c>
      <c r="E58" s="23" t="s">
        <v>8775</v>
      </c>
      <c r="F58" s="23" t="s">
        <v>8776</v>
      </c>
    </row>
    <row r="59" spans="2:6">
      <c r="B59" s="34">
        <v>1</v>
      </c>
      <c r="C59" s="34">
        <v>1</v>
      </c>
      <c r="D59" s="34">
        <v>474065073.67900717</v>
      </c>
      <c r="E59" s="34">
        <v>474065073.67900717</v>
      </c>
      <c r="F59" s="34">
        <v>49.474214757685054</v>
      </c>
    </row>
    <row r="60" spans="2:6">
      <c r="B60" s="32">
        <v>2</v>
      </c>
      <c r="C60" s="32">
        <v>1</v>
      </c>
      <c r="D60" s="32">
        <v>474065073.67900717</v>
      </c>
      <c r="E60" s="32">
        <v>474065073.67900717</v>
      </c>
      <c r="F60" s="32">
        <v>49.474214757685054</v>
      </c>
    </row>
    <row r="61" spans="2:6">
      <c r="B61" s="32">
        <v>3</v>
      </c>
      <c r="C61" s="32">
        <v>1</v>
      </c>
      <c r="D61" s="32">
        <v>474065073.67900717</v>
      </c>
      <c r="E61" s="32">
        <v>474065073.67900717</v>
      </c>
      <c r="F61" s="32">
        <v>49.474214757685054</v>
      </c>
    </row>
    <row r="62" spans="2:6">
      <c r="B62" s="32">
        <v>4</v>
      </c>
      <c r="C62" s="32">
        <v>1</v>
      </c>
      <c r="D62" s="32">
        <v>474065073.67900717</v>
      </c>
      <c r="E62" s="32">
        <v>474065073.67900717</v>
      </c>
      <c r="F62" s="32">
        <v>49.474214757685054</v>
      </c>
    </row>
    <row r="63" spans="2:6">
      <c r="B63" s="32">
        <v>5</v>
      </c>
      <c r="C63" s="32">
        <v>1</v>
      </c>
      <c r="D63" s="32">
        <v>474065073.67900717</v>
      </c>
      <c r="E63" s="32">
        <v>474065073.67900717</v>
      </c>
      <c r="F63" s="32">
        <v>49.474214757685054</v>
      </c>
    </row>
    <row r="64" spans="2:6">
      <c r="B64" s="32">
        <v>6</v>
      </c>
      <c r="C64" s="32">
        <v>1</v>
      </c>
      <c r="D64" s="32">
        <v>474065073.67900717</v>
      </c>
      <c r="E64" s="32">
        <v>474065073.67900717</v>
      </c>
      <c r="F64" s="32">
        <v>49.474214757685054</v>
      </c>
    </row>
    <row r="65" spans="2:6">
      <c r="B65" s="32">
        <v>7</v>
      </c>
      <c r="C65" s="32">
        <v>1</v>
      </c>
      <c r="D65" s="32">
        <v>474065073.67900717</v>
      </c>
      <c r="E65" s="32">
        <v>474065073.67900717</v>
      </c>
      <c r="F65" s="32">
        <v>49.474214757685054</v>
      </c>
    </row>
    <row r="66" spans="2:6">
      <c r="B66" s="32">
        <v>8</v>
      </c>
      <c r="C66" s="32">
        <v>1</v>
      </c>
      <c r="D66" s="32">
        <v>474065073.67900717</v>
      </c>
      <c r="E66" s="32">
        <v>474065073.67900717</v>
      </c>
      <c r="F66" s="32">
        <v>49.474214757685054</v>
      </c>
    </row>
    <row r="67" spans="2:6">
      <c r="B67" s="32">
        <v>9</v>
      </c>
      <c r="C67" s="32">
        <v>1</v>
      </c>
      <c r="D67" s="32">
        <v>474065073.67900717</v>
      </c>
      <c r="E67" s="32">
        <v>474065073.67900717</v>
      </c>
      <c r="F67" s="32">
        <v>49.474214757685054</v>
      </c>
    </row>
    <row r="68" spans="2:6" ht="13.8" thickBot="1">
      <c r="B68" s="33">
        <v>10</v>
      </c>
      <c r="C68" s="33">
        <v>1</v>
      </c>
      <c r="D68" s="33">
        <v>474065073.67900717</v>
      </c>
      <c r="E68" s="33">
        <v>474065073.67900717</v>
      </c>
      <c r="F68" s="33">
        <v>49.474214757685054</v>
      </c>
    </row>
    <row r="71" spans="2:6">
      <c r="B71" t="s">
        <v>8777</v>
      </c>
    </row>
    <row r="72" spans="2:6" ht="13.8" thickBot="1"/>
    <row r="73" spans="2:6">
      <c r="B73" s="22" t="s">
        <v>8773</v>
      </c>
      <c r="C73" s="23" t="s">
        <v>8778</v>
      </c>
      <c r="D73" s="23" t="s">
        <v>8779</v>
      </c>
      <c r="E73" s="23" t="s">
        <v>8776</v>
      </c>
      <c r="F73" s="23" t="s">
        <v>8780</v>
      </c>
    </row>
    <row r="74" spans="2:6">
      <c r="B74" s="24">
        <v>0</v>
      </c>
      <c r="C74" s="35">
        <v>474065073.67900717</v>
      </c>
      <c r="D74" s="31">
        <v>1051002268346.3447</v>
      </c>
      <c r="E74" s="35">
        <v>49.474214757685054</v>
      </c>
      <c r="F74" s="35">
        <v>1</v>
      </c>
    </row>
    <row r="75" spans="2:6" ht="13.8" thickBot="1">
      <c r="B75" s="25">
        <v>1</v>
      </c>
      <c r="C75" s="36">
        <v>474065073.67900717</v>
      </c>
      <c r="D75" s="33">
        <v>1051002268346.3447</v>
      </c>
      <c r="E75" s="36">
        <v>49.474214757685054</v>
      </c>
      <c r="F75" s="36">
        <v>1</v>
      </c>
    </row>
    <row r="78" spans="2:6">
      <c r="B78" t="s">
        <v>8781</v>
      </c>
    </row>
    <row r="79" spans="2:6" ht="13.8" thickBot="1"/>
    <row r="80" spans="2:6">
      <c r="B80" s="22"/>
      <c r="C80" s="23" t="s">
        <v>8782</v>
      </c>
    </row>
    <row r="81" spans="2:6">
      <c r="B81" s="24" t="s">
        <v>8766</v>
      </c>
      <c r="C81" s="28">
        <v>474065073.67900717</v>
      </c>
    </row>
    <row r="82" spans="2:6">
      <c r="B82" t="s">
        <v>8767</v>
      </c>
      <c r="C82" s="30"/>
    </row>
    <row r="83" spans="2:6" ht="13.8" thickBot="1">
      <c r="B83" s="25" t="s">
        <v>8768</v>
      </c>
      <c r="C83" s="29">
        <v>474065073.67900079</v>
      </c>
    </row>
    <row r="86" spans="2:6">
      <c r="B86" t="s">
        <v>8783</v>
      </c>
    </row>
    <row r="87" spans="2:6" ht="13.8" thickBot="1"/>
    <row r="88" spans="2:6">
      <c r="B88" s="22" t="s">
        <v>8784</v>
      </c>
      <c r="C88" s="23" t="s">
        <v>8760</v>
      </c>
      <c r="D88" s="23" t="s">
        <v>8761</v>
      </c>
    </row>
    <row r="89" spans="2:6" ht="13.8" thickBot="1">
      <c r="B89" s="38">
        <v>1</v>
      </c>
      <c r="C89" s="39">
        <v>7427.6627592425666</v>
      </c>
      <c r="D89" s="39">
        <v>572.45807033363246</v>
      </c>
    </row>
    <row r="92" spans="2:6">
      <c r="B92" t="s">
        <v>8785</v>
      </c>
    </row>
    <row r="93" spans="2:6" ht="13.8" thickBot="1"/>
    <row r="94" spans="2:6">
      <c r="B94" s="22" t="s">
        <v>8784</v>
      </c>
      <c r="C94" s="23" t="s">
        <v>8760</v>
      </c>
      <c r="D94" s="23" t="s">
        <v>8761</v>
      </c>
      <c r="E94" s="23" t="s">
        <v>8786</v>
      </c>
      <c r="F94" s="23" t="s">
        <v>8778</v>
      </c>
    </row>
    <row r="95" spans="2:6" ht="13.8" thickBot="1">
      <c r="B95" s="38">
        <v>1</v>
      </c>
      <c r="C95" s="39">
        <v>7427.6627592425666</v>
      </c>
      <c r="D95" s="39">
        <v>572.45807033363246</v>
      </c>
      <c r="E95" s="39">
        <v>2218</v>
      </c>
      <c r="F95" s="39">
        <v>474065073.67900717</v>
      </c>
    </row>
    <row r="98" spans="2:4">
      <c r="B98" t="s">
        <v>8787</v>
      </c>
    </row>
    <row r="99" spans="2:4" ht="13.8" thickBot="1"/>
    <row r="100" spans="2:4">
      <c r="B100" s="22"/>
      <c r="C100" s="23" t="s">
        <v>8764</v>
      </c>
    </row>
    <row r="101" spans="2:4" ht="13.8" thickBot="1">
      <c r="B101" s="38">
        <v>1</v>
      </c>
      <c r="C101" s="40">
        <v>0</v>
      </c>
    </row>
    <row r="104" spans="2:4">
      <c r="B104" t="s">
        <v>8788</v>
      </c>
    </row>
    <row r="105" spans="2:4" ht="13.8" thickBot="1"/>
    <row r="106" spans="2:4">
      <c r="B106" s="22" t="s">
        <v>8784</v>
      </c>
      <c r="C106" s="23" t="s">
        <v>8760</v>
      </c>
      <c r="D106" s="23" t="s">
        <v>8761</v>
      </c>
    </row>
    <row r="107" spans="2:4" ht="13.8" thickBot="1">
      <c r="B107" s="38" t="s">
        <v>8789</v>
      </c>
      <c r="C107" s="39">
        <v>7489</v>
      </c>
      <c r="D107" s="39">
        <v>555</v>
      </c>
    </row>
    <row r="110" spans="2:4">
      <c r="B110" t="s">
        <v>8790</v>
      </c>
    </row>
    <row r="111" spans="2:4" ht="13.8" thickBot="1"/>
    <row r="112" spans="2:4">
      <c r="B112" s="22"/>
      <c r="C112" s="23" t="s">
        <v>8789</v>
      </c>
    </row>
    <row r="113" spans="2:3" ht="13.8" thickBot="1">
      <c r="B113" s="38" t="s">
        <v>8789</v>
      </c>
      <c r="C113" s="40">
        <v>0</v>
      </c>
    </row>
    <row r="116" spans="2:3">
      <c r="B116" t="s">
        <v>8791</v>
      </c>
    </row>
    <row r="117" spans="2:3" ht="13.8" thickBot="1"/>
    <row r="118" spans="2:3">
      <c r="B118" s="22" t="s">
        <v>8784</v>
      </c>
      <c r="C118" s="23">
        <v>1</v>
      </c>
    </row>
    <row r="119" spans="2:3">
      <c r="B119" s="24" t="s">
        <v>8792</v>
      </c>
      <c r="C119" s="26">
        <v>2218</v>
      </c>
    </row>
    <row r="120" spans="2:3">
      <c r="B120" t="s">
        <v>8786</v>
      </c>
      <c r="C120" s="41">
        <v>2218</v>
      </c>
    </row>
    <row r="121" spans="2:3">
      <c r="B121" t="s">
        <v>8778</v>
      </c>
      <c r="C121" s="30">
        <v>474065073.67900717</v>
      </c>
    </row>
    <row r="122" spans="2:3">
      <c r="B122" t="s">
        <v>8793</v>
      </c>
      <c r="C122" s="30">
        <v>63.773359042074979</v>
      </c>
    </row>
    <row r="123" spans="2:3">
      <c r="B123" t="s">
        <v>8794</v>
      </c>
      <c r="C123" s="30">
        <v>10647.794556268622</v>
      </c>
    </row>
    <row r="124" spans="2:3">
      <c r="B124" s="42" t="s">
        <v>8795</v>
      </c>
      <c r="C124" s="43">
        <v>199536.51884838621</v>
      </c>
    </row>
    <row r="125" spans="2:3">
      <c r="B125" s="24"/>
      <c r="C125" s="37" t="s">
        <v>8796</v>
      </c>
    </row>
    <row r="126" spans="2:3">
      <c r="C126" s="21" t="s">
        <v>8797</v>
      </c>
    </row>
    <row r="127" spans="2:3">
      <c r="C127" s="21" t="s">
        <v>8798</v>
      </c>
    </row>
    <row r="128" spans="2:3">
      <c r="C128" s="21" t="s">
        <v>8799</v>
      </c>
    </row>
    <row r="129" spans="3:3">
      <c r="C129" s="21" t="s">
        <v>8800</v>
      </c>
    </row>
    <row r="130" spans="3:3">
      <c r="C130" s="21" t="s">
        <v>8801</v>
      </c>
    </row>
    <row r="131" spans="3:3">
      <c r="C131" s="21" t="s">
        <v>8802</v>
      </c>
    </row>
    <row r="132" spans="3:3">
      <c r="C132" s="21" t="s">
        <v>8803</v>
      </c>
    </row>
    <row r="133" spans="3:3">
      <c r="C133" s="21" t="s">
        <v>8804</v>
      </c>
    </row>
    <row r="134" spans="3:3">
      <c r="C134" s="21" t="s">
        <v>8805</v>
      </c>
    </row>
    <row r="135" spans="3:3">
      <c r="C135" s="21" t="s">
        <v>8806</v>
      </c>
    </row>
    <row r="136" spans="3:3">
      <c r="C136" s="21" t="s">
        <v>8807</v>
      </c>
    </row>
    <row r="137" spans="3:3">
      <c r="C137" s="21" t="s">
        <v>8808</v>
      </c>
    </row>
    <row r="138" spans="3:3">
      <c r="C138" s="21" t="s">
        <v>8809</v>
      </c>
    </row>
    <row r="139" spans="3:3">
      <c r="C139" s="21" t="s">
        <v>8810</v>
      </c>
    </row>
    <row r="140" spans="3:3">
      <c r="C140" s="21" t="s">
        <v>8811</v>
      </c>
    </row>
    <row r="141" spans="3:3">
      <c r="C141" s="21" t="s">
        <v>8812</v>
      </c>
    </row>
    <row r="142" spans="3:3">
      <c r="C142" s="21" t="s">
        <v>8813</v>
      </c>
    </row>
    <row r="143" spans="3:3">
      <c r="C143" s="21" t="s">
        <v>8814</v>
      </c>
    </row>
    <row r="144" spans="3:3">
      <c r="C144" s="21" t="s">
        <v>8815</v>
      </c>
    </row>
    <row r="145" spans="3:3">
      <c r="C145" s="21" t="s">
        <v>8816</v>
      </c>
    </row>
    <row r="146" spans="3:3">
      <c r="C146" s="21" t="s">
        <v>8817</v>
      </c>
    </row>
    <row r="147" spans="3:3">
      <c r="C147" s="21" t="s">
        <v>8818</v>
      </c>
    </row>
    <row r="148" spans="3:3">
      <c r="C148" s="21" t="s">
        <v>8819</v>
      </c>
    </row>
    <row r="149" spans="3:3">
      <c r="C149" s="21" t="s">
        <v>8820</v>
      </c>
    </row>
    <row r="150" spans="3:3">
      <c r="C150" s="21" t="s">
        <v>8821</v>
      </c>
    </row>
    <row r="151" spans="3:3">
      <c r="C151" s="21" t="s">
        <v>8822</v>
      </c>
    </row>
    <row r="152" spans="3:3">
      <c r="C152" s="21" t="s">
        <v>8823</v>
      </c>
    </row>
    <row r="153" spans="3:3">
      <c r="C153" s="21" t="s">
        <v>8824</v>
      </c>
    </row>
    <row r="154" spans="3:3">
      <c r="C154" s="21" t="s">
        <v>8825</v>
      </c>
    </row>
    <row r="155" spans="3:3">
      <c r="C155" s="21" t="s">
        <v>8826</v>
      </c>
    </row>
    <row r="156" spans="3:3">
      <c r="C156" s="21" t="s">
        <v>8827</v>
      </c>
    </row>
    <row r="157" spans="3:3">
      <c r="C157" s="21" t="s">
        <v>8828</v>
      </c>
    </row>
    <row r="158" spans="3:3">
      <c r="C158" s="21" t="s">
        <v>8829</v>
      </c>
    </row>
    <row r="159" spans="3:3">
      <c r="C159" s="21" t="s">
        <v>8830</v>
      </c>
    </row>
    <row r="160" spans="3:3">
      <c r="C160" s="21" t="s">
        <v>8831</v>
      </c>
    </row>
    <row r="161" spans="3:3">
      <c r="C161" s="21" t="s">
        <v>8832</v>
      </c>
    </row>
    <row r="162" spans="3:3">
      <c r="C162" s="21" t="s">
        <v>8833</v>
      </c>
    </row>
    <row r="163" spans="3:3">
      <c r="C163" s="21" t="s">
        <v>8834</v>
      </c>
    </row>
    <row r="164" spans="3:3">
      <c r="C164" s="21" t="s">
        <v>8835</v>
      </c>
    </row>
    <row r="165" spans="3:3">
      <c r="C165" s="21" t="s">
        <v>8836</v>
      </c>
    </row>
    <row r="166" spans="3:3">
      <c r="C166" s="21" t="s">
        <v>8837</v>
      </c>
    </row>
    <row r="167" spans="3:3">
      <c r="C167" s="21" t="s">
        <v>8838</v>
      </c>
    </row>
    <row r="168" spans="3:3">
      <c r="C168" s="21" t="s">
        <v>8839</v>
      </c>
    </row>
    <row r="169" spans="3:3">
      <c r="C169" s="21" t="s">
        <v>8840</v>
      </c>
    </row>
    <row r="170" spans="3:3">
      <c r="C170" s="21" t="s">
        <v>8841</v>
      </c>
    </row>
    <row r="171" spans="3:3">
      <c r="C171" s="21" t="s">
        <v>8842</v>
      </c>
    </row>
    <row r="172" spans="3:3">
      <c r="C172" s="21" t="s">
        <v>8843</v>
      </c>
    </row>
    <row r="173" spans="3:3">
      <c r="C173" s="21" t="s">
        <v>8844</v>
      </c>
    </row>
    <row r="174" spans="3:3">
      <c r="C174" s="21" t="s">
        <v>8845</v>
      </c>
    </row>
    <row r="175" spans="3:3">
      <c r="C175" s="21" t="s">
        <v>8846</v>
      </c>
    </row>
    <row r="176" spans="3:3">
      <c r="C176" s="21" t="s">
        <v>8847</v>
      </c>
    </row>
    <row r="177" spans="3:3">
      <c r="C177" s="21" t="s">
        <v>8848</v>
      </c>
    </row>
    <row r="178" spans="3:3">
      <c r="C178" s="21" t="s">
        <v>8849</v>
      </c>
    </row>
    <row r="179" spans="3:3">
      <c r="C179" s="21" t="s">
        <v>8850</v>
      </c>
    </row>
    <row r="180" spans="3:3">
      <c r="C180" s="21" t="s">
        <v>8851</v>
      </c>
    </row>
    <row r="181" spans="3:3">
      <c r="C181" s="21" t="s">
        <v>8852</v>
      </c>
    </row>
    <row r="182" spans="3:3">
      <c r="C182" s="21" t="s">
        <v>8853</v>
      </c>
    </row>
    <row r="183" spans="3:3">
      <c r="C183" s="21" t="s">
        <v>8854</v>
      </c>
    </row>
    <row r="184" spans="3:3">
      <c r="C184" s="21" t="s">
        <v>8855</v>
      </c>
    </row>
    <row r="185" spans="3:3">
      <c r="C185" s="21" t="s">
        <v>8856</v>
      </c>
    </row>
    <row r="186" spans="3:3">
      <c r="C186" s="21" t="s">
        <v>8857</v>
      </c>
    </row>
    <row r="187" spans="3:3">
      <c r="C187" s="21" t="s">
        <v>8858</v>
      </c>
    </row>
    <row r="188" spans="3:3">
      <c r="C188" s="21" t="s">
        <v>8859</v>
      </c>
    </row>
    <row r="189" spans="3:3">
      <c r="C189" s="21" t="s">
        <v>8860</v>
      </c>
    </row>
    <row r="190" spans="3:3">
      <c r="C190" s="21" t="s">
        <v>8861</v>
      </c>
    </row>
    <row r="191" spans="3:3">
      <c r="C191" s="21" t="s">
        <v>8862</v>
      </c>
    </row>
    <row r="192" spans="3:3">
      <c r="C192" s="21" t="s">
        <v>8863</v>
      </c>
    </row>
    <row r="193" spans="3:3">
      <c r="C193" s="21" t="s">
        <v>8864</v>
      </c>
    </row>
    <row r="194" spans="3:3">
      <c r="C194" s="21" t="s">
        <v>8865</v>
      </c>
    </row>
    <row r="195" spans="3:3">
      <c r="C195" s="21" t="s">
        <v>8866</v>
      </c>
    </row>
    <row r="196" spans="3:3">
      <c r="C196" s="21" t="s">
        <v>8867</v>
      </c>
    </row>
    <row r="197" spans="3:3">
      <c r="C197" s="21" t="s">
        <v>8868</v>
      </c>
    </row>
    <row r="198" spans="3:3">
      <c r="C198" s="21" t="s">
        <v>8869</v>
      </c>
    </row>
    <row r="199" spans="3:3">
      <c r="C199" s="21" t="s">
        <v>8870</v>
      </c>
    </row>
    <row r="200" spans="3:3">
      <c r="C200" s="21" t="s">
        <v>8871</v>
      </c>
    </row>
    <row r="201" spans="3:3">
      <c r="C201" s="21" t="s">
        <v>8872</v>
      </c>
    </row>
    <row r="202" spans="3:3">
      <c r="C202" s="21" t="s">
        <v>8873</v>
      </c>
    </row>
    <row r="203" spans="3:3">
      <c r="C203" s="21" t="s">
        <v>8874</v>
      </c>
    </row>
    <row r="204" spans="3:3">
      <c r="C204" s="21" t="s">
        <v>8875</v>
      </c>
    </row>
    <row r="205" spans="3:3">
      <c r="C205" s="21" t="s">
        <v>8876</v>
      </c>
    </row>
    <row r="206" spans="3:3">
      <c r="C206" s="21" t="s">
        <v>8877</v>
      </c>
    </row>
    <row r="207" spans="3:3">
      <c r="C207" s="21" t="s">
        <v>8878</v>
      </c>
    </row>
    <row r="208" spans="3:3">
      <c r="C208" s="21" t="s">
        <v>8879</v>
      </c>
    </row>
    <row r="209" spans="3:3">
      <c r="C209" s="21" t="s">
        <v>8880</v>
      </c>
    </row>
    <row r="210" spans="3:3">
      <c r="C210" s="21" t="s">
        <v>8881</v>
      </c>
    </row>
    <row r="211" spans="3:3">
      <c r="C211" s="21" t="s">
        <v>8882</v>
      </c>
    </row>
    <row r="212" spans="3:3">
      <c r="C212" s="21" t="s">
        <v>8883</v>
      </c>
    </row>
    <row r="213" spans="3:3">
      <c r="C213" s="21" t="s">
        <v>8884</v>
      </c>
    </row>
    <row r="214" spans="3:3">
      <c r="C214" s="21" t="s">
        <v>8885</v>
      </c>
    </row>
    <row r="215" spans="3:3">
      <c r="C215" s="21" t="s">
        <v>8886</v>
      </c>
    </row>
    <row r="216" spans="3:3">
      <c r="C216" s="21" t="s">
        <v>8887</v>
      </c>
    </row>
    <row r="217" spans="3:3">
      <c r="C217" s="21" t="s">
        <v>8888</v>
      </c>
    </row>
    <row r="218" spans="3:3">
      <c r="C218" s="21" t="s">
        <v>8889</v>
      </c>
    </row>
    <row r="219" spans="3:3">
      <c r="C219" s="21" t="s">
        <v>8890</v>
      </c>
    </row>
    <row r="220" spans="3:3">
      <c r="C220" s="21" t="s">
        <v>8891</v>
      </c>
    </row>
    <row r="221" spans="3:3">
      <c r="C221" s="21" t="s">
        <v>8892</v>
      </c>
    </row>
    <row r="222" spans="3:3">
      <c r="C222" s="21" t="s">
        <v>8893</v>
      </c>
    </row>
    <row r="223" spans="3:3">
      <c r="C223" s="21" t="s">
        <v>8894</v>
      </c>
    </row>
    <row r="224" spans="3:3">
      <c r="C224" s="21" t="s">
        <v>8895</v>
      </c>
    </row>
    <row r="225" spans="3:3">
      <c r="C225" s="21" t="s">
        <v>8896</v>
      </c>
    </row>
    <row r="226" spans="3:3">
      <c r="C226" s="21" t="s">
        <v>8897</v>
      </c>
    </row>
    <row r="227" spans="3:3">
      <c r="C227" s="21" t="s">
        <v>8898</v>
      </c>
    </row>
    <row r="228" spans="3:3">
      <c r="C228" s="21" t="s">
        <v>8899</v>
      </c>
    </row>
    <row r="229" spans="3:3">
      <c r="C229" s="21" t="s">
        <v>8900</v>
      </c>
    </row>
    <row r="230" spans="3:3">
      <c r="C230" s="21" t="s">
        <v>8901</v>
      </c>
    </row>
    <row r="231" spans="3:3">
      <c r="C231" s="21" t="s">
        <v>8902</v>
      </c>
    </row>
    <row r="232" spans="3:3">
      <c r="C232" s="21" t="s">
        <v>8903</v>
      </c>
    </row>
    <row r="233" spans="3:3">
      <c r="C233" s="21" t="s">
        <v>8904</v>
      </c>
    </row>
    <row r="234" spans="3:3">
      <c r="C234" s="21" t="s">
        <v>8905</v>
      </c>
    </row>
    <row r="235" spans="3:3">
      <c r="C235" s="21" t="s">
        <v>8906</v>
      </c>
    </row>
    <row r="236" spans="3:3">
      <c r="C236" s="21" t="s">
        <v>8907</v>
      </c>
    </row>
    <row r="237" spans="3:3">
      <c r="C237" s="21" t="s">
        <v>8908</v>
      </c>
    </row>
    <row r="238" spans="3:3">
      <c r="C238" s="21" t="s">
        <v>8909</v>
      </c>
    </row>
    <row r="239" spans="3:3">
      <c r="C239" s="21" t="s">
        <v>8910</v>
      </c>
    </row>
    <row r="240" spans="3:3">
      <c r="C240" s="21" t="s">
        <v>8911</v>
      </c>
    </row>
    <row r="241" spans="3:3">
      <c r="C241" s="21" t="s">
        <v>8912</v>
      </c>
    </row>
    <row r="242" spans="3:3">
      <c r="C242" s="21" t="s">
        <v>8913</v>
      </c>
    </row>
    <row r="243" spans="3:3">
      <c r="C243" s="21" t="s">
        <v>8914</v>
      </c>
    </row>
    <row r="244" spans="3:3">
      <c r="C244" s="21" t="s">
        <v>8915</v>
      </c>
    </row>
    <row r="245" spans="3:3">
      <c r="C245" s="21" t="s">
        <v>8916</v>
      </c>
    </row>
    <row r="246" spans="3:3">
      <c r="C246" s="21" t="s">
        <v>8917</v>
      </c>
    </row>
    <row r="247" spans="3:3">
      <c r="C247" s="21" t="s">
        <v>8918</v>
      </c>
    </row>
    <row r="248" spans="3:3">
      <c r="C248" s="21" t="s">
        <v>8919</v>
      </c>
    </row>
    <row r="249" spans="3:3">
      <c r="C249" s="21" t="s">
        <v>8920</v>
      </c>
    </row>
    <row r="250" spans="3:3">
      <c r="C250" s="21" t="s">
        <v>8921</v>
      </c>
    </row>
    <row r="251" spans="3:3">
      <c r="C251" s="21" t="s">
        <v>8922</v>
      </c>
    </row>
    <row r="252" spans="3:3">
      <c r="C252" s="21" t="s">
        <v>8923</v>
      </c>
    </row>
    <row r="253" spans="3:3">
      <c r="C253" s="21" t="s">
        <v>8924</v>
      </c>
    </row>
    <row r="254" spans="3:3">
      <c r="C254" s="21" t="s">
        <v>8925</v>
      </c>
    </row>
    <row r="255" spans="3:3">
      <c r="C255" s="21" t="s">
        <v>8926</v>
      </c>
    </row>
    <row r="256" spans="3:3">
      <c r="C256" s="21" t="s">
        <v>8927</v>
      </c>
    </row>
    <row r="257" spans="3:3">
      <c r="C257" s="21" t="s">
        <v>8928</v>
      </c>
    </row>
    <row r="258" spans="3:3">
      <c r="C258" s="21" t="s">
        <v>8929</v>
      </c>
    </row>
    <row r="259" spans="3:3">
      <c r="C259" s="21" t="s">
        <v>8930</v>
      </c>
    </row>
    <row r="260" spans="3:3">
      <c r="C260" s="21" t="s">
        <v>8931</v>
      </c>
    </row>
    <row r="261" spans="3:3">
      <c r="C261" s="21" t="s">
        <v>8932</v>
      </c>
    </row>
    <row r="262" spans="3:3">
      <c r="C262" s="21" t="s">
        <v>8933</v>
      </c>
    </row>
    <row r="263" spans="3:3">
      <c r="C263" s="21" t="s">
        <v>8934</v>
      </c>
    </row>
    <row r="264" spans="3:3">
      <c r="C264" s="21" t="s">
        <v>8935</v>
      </c>
    </row>
    <row r="265" spans="3:3">
      <c r="C265" s="21" t="s">
        <v>8936</v>
      </c>
    </row>
    <row r="266" spans="3:3">
      <c r="C266" s="21" t="s">
        <v>8937</v>
      </c>
    </row>
    <row r="267" spans="3:3">
      <c r="C267" s="21" t="s">
        <v>8938</v>
      </c>
    </row>
    <row r="268" spans="3:3">
      <c r="C268" s="21" t="s">
        <v>8939</v>
      </c>
    </row>
    <row r="269" spans="3:3">
      <c r="C269" s="21" t="s">
        <v>8940</v>
      </c>
    </row>
    <row r="270" spans="3:3">
      <c r="C270" s="21" t="s">
        <v>8941</v>
      </c>
    </row>
    <row r="271" spans="3:3">
      <c r="C271" s="21" t="s">
        <v>8942</v>
      </c>
    </row>
    <row r="272" spans="3:3">
      <c r="C272" s="21" t="s">
        <v>8943</v>
      </c>
    </row>
    <row r="273" spans="3:3">
      <c r="C273" s="21" t="s">
        <v>8944</v>
      </c>
    </row>
    <row r="274" spans="3:3">
      <c r="C274" s="21" t="s">
        <v>8945</v>
      </c>
    </row>
    <row r="275" spans="3:3">
      <c r="C275" s="21" t="s">
        <v>8946</v>
      </c>
    </row>
    <row r="276" spans="3:3">
      <c r="C276" s="21" t="s">
        <v>8947</v>
      </c>
    </row>
    <row r="277" spans="3:3">
      <c r="C277" s="21" t="s">
        <v>8948</v>
      </c>
    </row>
    <row r="278" spans="3:3">
      <c r="C278" s="21" t="s">
        <v>8949</v>
      </c>
    </row>
    <row r="279" spans="3:3">
      <c r="C279" s="21" t="s">
        <v>8950</v>
      </c>
    </row>
    <row r="280" spans="3:3">
      <c r="C280" s="21" t="s">
        <v>8951</v>
      </c>
    </row>
    <row r="281" spans="3:3">
      <c r="C281" s="21" t="s">
        <v>8952</v>
      </c>
    </row>
    <row r="282" spans="3:3">
      <c r="C282" s="21" t="s">
        <v>8953</v>
      </c>
    </row>
    <row r="283" spans="3:3">
      <c r="C283" s="21" t="s">
        <v>8954</v>
      </c>
    </row>
    <row r="284" spans="3:3">
      <c r="C284" s="21" t="s">
        <v>8955</v>
      </c>
    </row>
    <row r="285" spans="3:3">
      <c r="C285" s="21" t="s">
        <v>8956</v>
      </c>
    </row>
    <row r="286" spans="3:3">
      <c r="C286" s="21" t="s">
        <v>8957</v>
      </c>
    </row>
    <row r="287" spans="3:3">
      <c r="C287" s="21" t="s">
        <v>8958</v>
      </c>
    </row>
    <row r="288" spans="3:3">
      <c r="C288" s="21" t="s">
        <v>8959</v>
      </c>
    </row>
    <row r="289" spans="3:3">
      <c r="C289" s="21" t="s">
        <v>8960</v>
      </c>
    </row>
    <row r="290" spans="3:3">
      <c r="C290" s="21" t="s">
        <v>8961</v>
      </c>
    </row>
    <row r="291" spans="3:3">
      <c r="C291" s="21" t="s">
        <v>8962</v>
      </c>
    </row>
    <row r="292" spans="3:3">
      <c r="C292" s="21" t="s">
        <v>8963</v>
      </c>
    </row>
    <row r="293" spans="3:3">
      <c r="C293" s="21" t="s">
        <v>8964</v>
      </c>
    </row>
    <row r="294" spans="3:3">
      <c r="C294" s="21" t="s">
        <v>8965</v>
      </c>
    </row>
    <row r="295" spans="3:3">
      <c r="C295" s="21" t="s">
        <v>8966</v>
      </c>
    </row>
    <row r="296" spans="3:3">
      <c r="C296" s="21" t="s">
        <v>8967</v>
      </c>
    </row>
    <row r="297" spans="3:3">
      <c r="C297" s="21" t="s">
        <v>8968</v>
      </c>
    </row>
    <row r="298" spans="3:3">
      <c r="C298" s="21" t="s">
        <v>8969</v>
      </c>
    </row>
    <row r="299" spans="3:3">
      <c r="C299" s="21" t="s">
        <v>8970</v>
      </c>
    </row>
    <row r="300" spans="3:3">
      <c r="C300" s="21" t="s">
        <v>8971</v>
      </c>
    </row>
    <row r="301" spans="3:3">
      <c r="C301" s="21" t="s">
        <v>8972</v>
      </c>
    </row>
    <row r="302" spans="3:3">
      <c r="C302" s="21" t="s">
        <v>8973</v>
      </c>
    </row>
    <row r="303" spans="3:3">
      <c r="C303" s="21" t="s">
        <v>8974</v>
      </c>
    </row>
    <row r="304" spans="3:3">
      <c r="C304" s="21" t="s">
        <v>8975</v>
      </c>
    </row>
    <row r="305" spans="3:3">
      <c r="C305" s="21" t="s">
        <v>8976</v>
      </c>
    </row>
    <row r="306" spans="3:3">
      <c r="C306" s="21" t="s">
        <v>8977</v>
      </c>
    </row>
    <row r="307" spans="3:3">
      <c r="C307" s="21" t="s">
        <v>8978</v>
      </c>
    </row>
    <row r="308" spans="3:3">
      <c r="C308" s="21" t="s">
        <v>8979</v>
      </c>
    </row>
    <row r="309" spans="3:3">
      <c r="C309" s="21" t="s">
        <v>8980</v>
      </c>
    </row>
    <row r="310" spans="3:3">
      <c r="C310" s="21" t="s">
        <v>8981</v>
      </c>
    </row>
    <row r="311" spans="3:3">
      <c r="C311" s="21" t="s">
        <v>8982</v>
      </c>
    </row>
    <row r="312" spans="3:3">
      <c r="C312" s="21" t="s">
        <v>8983</v>
      </c>
    </row>
    <row r="313" spans="3:3">
      <c r="C313" s="21" t="s">
        <v>8984</v>
      </c>
    </row>
    <row r="314" spans="3:3">
      <c r="C314" s="21" t="s">
        <v>8985</v>
      </c>
    </row>
    <row r="315" spans="3:3">
      <c r="C315" s="21" t="s">
        <v>8986</v>
      </c>
    </row>
    <row r="316" spans="3:3">
      <c r="C316" s="21" t="s">
        <v>8987</v>
      </c>
    </row>
    <row r="317" spans="3:3">
      <c r="C317" s="21" t="s">
        <v>8988</v>
      </c>
    </row>
    <row r="318" spans="3:3">
      <c r="C318" s="21" t="s">
        <v>8989</v>
      </c>
    </row>
    <row r="319" spans="3:3">
      <c r="C319" s="21" t="s">
        <v>8990</v>
      </c>
    </row>
    <row r="320" spans="3:3">
      <c r="C320" s="21" t="s">
        <v>8991</v>
      </c>
    </row>
    <row r="321" spans="3:3">
      <c r="C321" s="21" t="s">
        <v>8992</v>
      </c>
    </row>
    <row r="322" spans="3:3">
      <c r="C322" s="21" t="s">
        <v>8993</v>
      </c>
    </row>
    <row r="323" spans="3:3">
      <c r="C323" s="21" t="s">
        <v>8994</v>
      </c>
    </row>
    <row r="324" spans="3:3">
      <c r="C324" s="21" t="s">
        <v>8995</v>
      </c>
    </row>
    <row r="325" spans="3:3">
      <c r="C325" s="21" t="s">
        <v>8996</v>
      </c>
    </row>
    <row r="326" spans="3:3">
      <c r="C326" s="21" t="s">
        <v>8997</v>
      </c>
    </row>
    <row r="327" spans="3:3">
      <c r="C327" s="21" t="s">
        <v>8998</v>
      </c>
    </row>
    <row r="328" spans="3:3">
      <c r="C328" s="21" t="s">
        <v>8999</v>
      </c>
    </row>
    <row r="329" spans="3:3">
      <c r="C329" s="21" t="s">
        <v>9000</v>
      </c>
    </row>
    <row r="330" spans="3:3">
      <c r="C330" s="21" t="s">
        <v>9001</v>
      </c>
    </row>
    <row r="331" spans="3:3">
      <c r="C331" s="21" t="s">
        <v>9002</v>
      </c>
    </row>
    <row r="332" spans="3:3">
      <c r="C332" s="21" t="s">
        <v>9003</v>
      </c>
    </row>
    <row r="333" spans="3:3">
      <c r="C333" s="21" t="s">
        <v>9004</v>
      </c>
    </row>
    <row r="334" spans="3:3">
      <c r="C334" s="21" t="s">
        <v>9005</v>
      </c>
    </row>
    <row r="335" spans="3:3">
      <c r="C335" s="21" t="s">
        <v>9006</v>
      </c>
    </row>
    <row r="336" spans="3:3">
      <c r="C336" s="21" t="s">
        <v>9007</v>
      </c>
    </row>
    <row r="337" spans="3:3">
      <c r="C337" s="21" t="s">
        <v>9008</v>
      </c>
    </row>
    <row r="338" spans="3:3">
      <c r="C338" s="21" t="s">
        <v>9009</v>
      </c>
    </row>
    <row r="339" spans="3:3">
      <c r="C339" s="21" t="s">
        <v>9010</v>
      </c>
    </row>
    <row r="340" spans="3:3">
      <c r="C340" s="21" t="s">
        <v>9011</v>
      </c>
    </row>
    <row r="341" spans="3:3">
      <c r="C341" s="21" t="s">
        <v>9012</v>
      </c>
    </row>
    <row r="342" spans="3:3">
      <c r="C342" s="21" t="s">
        <v>9013</v>
      </c>
    </row>
    <row r="343" spans="3:3">
      <c r="C343" s="21" t="s">
        <v>9014</v>
      </c>
    </row>
    <row r="344" spans="3:3">
      <c r="C344" s="21" t="s">
        <v>9015</v>
      </c>
    </row>
    <row r="345" spans="3:3">
      <c r="C345" s="21" t="s">
        <v>9016</v>
      </c>
    </row>
    <row r="346" spans="3:3">
      <c r="C346" s="21" t="s">
        <v>9017</v>
      </c>
    </row>
    <row r="347" spans="3:3">
      <c r="C347" s="21" t="s">
        <v>9018</v>
      </c>
    </row>
    <row r="348" spans="3:3">
      <c r="C348" s="21" t="s">
        <v>9019</v>
      </c>
    </row>
    <row r="349" spans="3:3">
      <c r="C349" s="21" t="s">
        <v>9020</v>
      </c>
    </row>
    <row r="350" spans="3:3">
      <c r="C350" s="21" t="s">
        <v>9021</v>
      </c>
    </row>
    <row r="351" spans="3:3">
      <c r="C351" s="21" t="s">
        <v>9022</v>
      </c>
    </row>
    <row r="352" spans="3:3">
      <c r="C352" s="21" t="s">
        <v>9023</v>
      </c>
    </row>
    <row r="353" spans="3:3">
      <c r="C353" s="21" t="s">
        <v>9024</v>
      </c>
    </row>
    <row r="354" spans="3:3">
      <c r="C354" s="21" t="s">
        <v>9025</v>
      </c>
    </row>
    <row r="355" spans="3:3">
      <c r="C355" s="21" t="s">
        <v>9026</v>
      </c>
    </row>
    <row r="356" spans="3:3">
      <c r="C356" s="21" t="s">
        <v>9027</v>
      </c>
    </row>
    <row r="357" spans="3:3">
      <c r="C357" s="21" t="s">
        <v>9028</v>
      </c>
    </row>
    <row r="358" spans="3:3">
      <c r="C358" s="21" t="s">
        <v>9029</v>
      </c>
    </row>
    <row r="359" spans="3:3">
      <c r="C359" s="21" t="s">
        <v>9030</v>
      </c>
    </row>
    <row r="360" spans="3:3">
      <c r="C360" s="21" t="s">
        <v>9031</v>
      </c>
    </row>
    <row r="361" spans="3:3">
      <c r="C361" s="21" t="s">
        <v>9032</v>
      </c>
    </row>
    <row r="362" spans="3:3">
      <c r="C362" s="21" t="s">
        <v>9033</v>
      </c>
    </row>
    <row r="363" spans="3:3">
      <c r="C363" s="21" t="s">
        <v>9034</v>
      </c>
    </row>
    <row r="364" spans="3:3">
      <c r="C364" s="21" t="s">
        <v>9035</v>
      </c>
    </row>
    <row r="365" spans="3:3">
      <c r="C365" s="21" t="s">
        <v>9036</v>
      </c>
    </row>
    <row r="366" spans="3:3">
      <c r="C366" s="21" t="s">
        <v>9037</v>
      </c>
    </row>
    <row r="367" spans="3:3">
      <c r="C367" s="21" t="s">
        <v>9038</v>
      </c>
    </row>
    <row r="368" spans="3:3">
      <c r="C368" s="21" t="s">
        <v>9039</v>
      </c>
    </row>
    <row r="369" spans="3:3">
      <c r="C369" s="21" t="s">
        <v>9040</v>
      </c>
    </row>
    <row r="370" spans="3:3">
      <c r="C370" s="21" t="s">
        <v>9041</v>
      </c>
    </row>
    <row r="371" spans="3:3">
      <c r="C371" s="21" t="s">
        <v>9042</v>
      </c>
    </row>
    <row r="372" spans="3:3">
      <c r="C372" s="21" t="s">
        <v>9043</v>
      </c>
    </row>
    <row r="373" spans="3:3">
      <c r="C373" s="21" t="s">
        <v>9044</v>
      </c>
    </row>
    <row r="374" spans="3:3">
      <c r="C374" s="21" t="s">
        <v>9045</v>
      </c>
    </row>
    <row r="375" spans="3:3">
      <c r="C375" s="21" t="s">
        <v>9046</v>
      </c>
    </row>
    <row r="376" spans="3:3">
      <c r="C376" s="21" t="s">
        <v>9047</v>
      </c>
    </row>
    <row r="377" spans="3:3">
      <c r="C377" s="21" t="s">
        <v>9048</v>
      </c>
    </row>
    <row r="378" spans="3:3">
      <c r="C378" s="21" t="s">
        <v>9049</v>
      </c>
    </row>
    <row r="379" spans="3:3">
      <c r="C379" s="21" t="s">
        <v>9050</v>
      </c>
    </row>
    <row r="380" spans="3:3">
      <c r="C380" s="21" t="s">
        <v>9051</v>
      </c>
    </row>
    <row r="381" spans="3:3">
      <c r="C381" s="21" t="s">
        <v>9052</v>
      </c>
    </row>
    <row r="382" spans="3:3">
      <c r="C382" s="21" t="s">
        <v>9053</v>
      </c>
    </row>
    <row r="383" spans="3:3">
      <c r="C383" s="21" t="s">
        <v>9054</v>
      </c>
    </row>
    <row r="384" spans="3:3">
      <c r="C384" s="21" t="s">
        <v>9055</v>
      </c>
    </row>
    <row r="385" spans="3:3">
      <c r="C385" s="21" t="s">
        <v>9056</v>
      </c>
    </row>
    <row r="386" spans="3:3">
      <c r="C386" s="21" t="s">
        <v>9057</v>
      </c>
    </row>
    <row r="387" spans="3:3">
      <c r="C387" s="21" t="s">
        <v>9058</v>
      </c>
    </row>
    <row r="388" spans="3:3">
      <c r="C388" s="21" t="s">
        <v>9059</v>
      </c>
    </row>
    <row r="389" spans="3:3">
      <c r="C389" s="21" t="s">
        <v>9060</v>
      </c>
    </row>
    <row r="390" spans="3:3">
      <c r="C390" s="21" t="s">
        <v>9061</v>
      </c>
    </row>
    <row r="391" spans="3:3">
      <c r="C391" s="21" t="s">
        <v>9062</v>
      </c>
    </row>
    <row r="392" spans="3:3">
      <c r="C392" s="21" t="s">
        <v>9063</v>
      </c>
    </row>
    <row r="393" spans="3:3">
      <c r="C393" s="21" t="s">
        <v>9064</v>
      </c>
    </row>
    <row r="394" spans="3:3">
      <c r="C394" s="21" t="s">
        <v>9065</v>
      </c>
    </row>
    <row r="395" spans="3:3">
      <c r="C395" s="21" t="s">
        <v>9066</v>
      </c>
    </row>
    <row r="396" spans="3:3">
      <c r="C396" s="21" t="s">
        <v>9067</v>
      </c>
    </row>
    <row r="397" spans="3:3">
      <c r="C397" s="21" t="s">
        <v>9068</v>
      </c>
    </row>
    <row r="398" spans="3:3">
      <c r="C398" s="21" t="s">
        <v>9069</v>
      </c>
    </row>
    <row r="399" spans="3:3">
      <c r="C399" s="21" t="s">
        <v>9070</v>
      </c>
    </row>
    <row r="400" spans="3:3">
      <c r="C400" s="21" t="s">
        <v>9071</v>
      </c>
    </row>
    <row r="401" spans="3:3">
      <c r="C401" s="21" t="s">
        <v>9072</v>
      </c>
    </row>
    <row r="402" spans="3:3">
      <c r="C402" s="21" t="s">
        <v>9073</v>
      </c>
    </row>
    <row r="403" spans="3:3">
      <c r="C403" s="21" t="s">
        <v>9074</v>
      </c>
    </row>
    <row r="404" spans="3:3">
      <c r="C404" s="21" t="s">
        <v>9075</v>
      </c>
    </row>
    <row r="405" spans="3:3">
      <c r="C405" s="21" t="s">
        <v>9076</v>
      </c>
    </row>
    <row r="406" spans="3:3">
      <c r="C406" s="21" t="s">
        <v>9077</v>
      </c>
    </row>
    <row r="407" spans="3:3">
      <c r="C407" s="21" t="s">
        <v>9078</v>
      </c>
    </row>
    <row r="408" spans="3:3">
      <c r="C408" s="21" t="s">
        <v>9079</v>
      </c>
    </row>
    <row r="409" spans="3:3">
      <c r="C409" s="21" t="s">
        <v>9080</v>
      </c>
    </row>
    <row r="410" spans="3:3">
      <c r="C410" s="21" t="s">
        <v>9081</v>
      </c>
    </row>
    <row r="411" spans="3:3">
      <c r="C411" s="21" t="s">
        <v>9082</v>
      </c>
    </row>
    <row r="412" spans="3:3">
      <c r="C412" s="21" t="s">
        <v>9083</v>
      </c>
    </row>
    <row r="413" spans="3:3">
      <c r="C413" s="21" t="s">
        <v>9084</v>
      </c>
    </row>
    <row r="414" spans="3:3">
      <c r="C414" s="21" t="s">
        <v>9085</v>
      </c>
    </row>
    <row r="415" spans="3:3">
      <c r="C415" s="21" t="s">
        <v>9086</v>
      </c>
    </row>
    <row r="416" spans="3:3">
      <c r="C416" s="21" t="s">
        <v>9087</v>
      </c>
    </row>
    <row r="417" spans="3:3">
      <c r="C417" s="21" t="s">
        <v>9088</v>
      </c>
    </row>
    <row r="418" spans="3:3">
      <c r="C418" s="21" t="s">
        <v>9089</v>
      </c>
    </row>
    <row r="419" spans="3:3">
      <c r="C419" s="21" t="s">
        <v>9090</v>
      </c>
    </row>
    <row r="420" spans="3:3">
      <c r="C420" s="21" t="s">
        <v>9091</v>
      </c>
    </row>
    <row r="421" spans="3:3">
      <c r="C421" s="21" t="s">
        <v>9092</v>
      </c>
    </row>
    <row r="422" spans="3:3">
      <c r="C422" s="21" t="s">
        <v>9093</v>
      </c>
    </row>
    <row r="423" spans="3:3">
      <c r="C423" s="21" t="s">
        <v>9094</v>
      </c>
    </row>
    <row r="424" spans="3:3">
      <c r="C424" s="21" t="s">
        <v>9095</v>
      </c>
    </row>
    <row r="425" spans="3:3">
      <c r="C425" s="21" t="s">
        <v>9096</v>
      </c>
    </row>
    <row r="426" spans="3:3">
      <c r="C426" s="21" t="s">
        <v>9097</v>
      </c>
    </row>
    <row r="427" spans="3:3">
      <c r="C427" s="21" t="s">
        <v>9098</v>
      </c>
    </row>
    <row r="428" spans="3:3">
      <c r="C428" s="21" t="s">
        <v>9099</v>
      </c>
    </row>
    <row r="429" spans="3:3">
      <c r="C429" s="21" t="s">
        <v>9100</v>
      </c>
    </row>
    <row r="430" spans="3:3">
      <c r="C430" s="21" t="s">
        <v>9101</v>
      </c>
    </row>
    <row r="431" spans="3:3">
      <c r="C431" s="21" t="s">
        <v>9102</v>
      </c>
    </row>
    <row r="432" spans="3:3">
      <c r="C432" s="21" t="s">
        <v>9103</v>
      </c>
    </row>
    <row r="433" spans="3:3">
      <c r="C433" s="21" t="s">
        <v>9104</v>
      </c>
    </row>
    <row r="434" spans="3:3">
      <c r="C434" s="21" t="s">
        <v>9105</v>
      </c>
    </row>
    <row r="435" spans="3:3">
      <c r="C435" s="21" t="s">
        <v>9106</v>
      </c>
    </row>
    <row r="436" spans="3:3">
      <c r="C436" s="21" t="s">
        <v>9107</v>
      </c>
    </row>
    <row r="437" spans="3:3">
      <c r="C437" s="21" t="s">
        <v>9108</v>
      </c>
    </row>
    <row r="438" spans="3:3">
      <c r="C438" s="21" t="s">
        <v>9109</v>
      </c>
    </row>
    <row r="439" spans="3:3">
      <c r="C439" s="21" t="s">
        <v>9110</v>
      </c>
    </row>
    <row r="440" spans="3:3">
      <c r="C440" s="21" t="s">
        <v>9111</v>
      </c>
    </row>
    <row r="441" spans="3:3">
      <c r="C441" s="21" t="s">
        <v>9112</v>
      </c>
    </row>
    <row r="442" spans="3:3">
      <c r="C442" s="21" t="s">
        <v>9113</v>
      </c>
    </row>
    <row r="443" spans="3:3">
      <c r="C443" s="21" t="s">
        <v>9114</v>
      </c>
    </row>
    <row r="444" spans="3:3">
      <c r="C444" s="21" t="s">
        <v>9115</v>
      </c>
    </row>
    <row r="445" spans="3:3">
      <c r="C445" s="21" t="s">
        <v>9116</v>
      </c>
    </row>
    <row r="446" spans="3:3">
      <c r="C446" s="21" t="s">
        <v>9117</v>
      </c>
    </row>
    <row r="447" spans="3:3">
      <c r="C447" s="21" t="s">
        <v>9118</v>
      </c>
    </row>
    <row r="448" spans="3:3">
      <c r="C448" s="21" t="s">
        <v>9119</v>
      </c>
    </row>
    <row r="449" spans="3:3">
      <c r="C449" s="21" t="s">
        <v>9120</v>
      </c>
    </row>
    <row r="450" spans="3:3">
      <c r="C450" s="21" t="s">
        <v>9121</v>
      </c>
    </row>
    <row r="451" spans="3:3">
      <c r="C451" s="21" t="s">
        <v>9122</v>
      </c>
    </row>
    <row r="452" spans="3:3">
      <c r="C452" s="21" t="s">
        <v>9123</v>
      </c>
    </row>
    <row r="453" spans="3:3">
      <c r="C453" s="21" t="s">
        <v>9124</v>
      </c>
    </row>
    <row r="454" spans="3:3">
      <c r="C454" s="21" t="s">
        <v>9125</v>
      </c>
    </row>
    <row r="455" spans="3:3">
      <c r="C455" s="21" t="s">
        <v>9126</v>
      </c>
    </row>
    <row r="456" spans="3:3">
      <c r="C456" s="21" t="s">
        <v>9127</v>
      </c>
    </row>
    <row r="457" spans="3:3">
      <c r="C457" s="21" t="s">
        <v>9128</v>
      </c>
    </row>
    <row r="458" spans="3:3">
      <c r="C458" s="21" t="s">
        <v>9129</v>
      </c>
    </row>
    <row r="459" spans="3:3">
      <c r="C459" s="21" t="s">
        <v>9130</v>
      </c>
    </row>
    <row r="460" spans="3:3">
      <c r="C460" s="21" t="s">
        <v>9131</v>
      </c>
    </row>
    <row r="461" spans="3:3">
      <c r="C461" s="21" t="s">
        <v>9132</v>
      </c>
    </row>
    <row r="462" spans="3:3">
      <c r="C462" s="21" t="s">
        <v>9133</v>
      </c>
    </row>
    <row r="463" spans="3:3">
      <c r="C463" s="21" t="s">
        <v>9134</v>
      </c>
    </row>
    <row r="464" spans="3:3">
      <c r="C464" s="21" t="s">
        <v>9135</v>
      </c>
    </row>
    <row r="465" spans="3:3">
      <c r="C465" s="21" t="s">
        <v>9136</v>
      </c>
    </row>
    <row r="466" spans="3:3">
      <c r="C466" s="21" t="s">
        <v>9137</v>
      </c>
    </row>
    <row r="467" spans="3:3">
      <c r="C467" s="21" t="s">
        <v>9138</v>
      </c>
    </row>
    <row r="468" spans="3:3">
      <c r="C468" s="21" t="s">
        <v>9139</v>
      </c>
    </row>
    <row r="469" spans="3:3">
      <c r="C469" s="21" t="s">
        <v>9140</v>
      </c>
    </row>
    <row r="470" spans="3:3">
      <c r="C470" s="21" t="s">
        <v>9141</v>
      </c>
    </row>
    <row r="471" spans="3:3">
      <c r="C471" s="21" t="s">
        <v>9142</v>
      </c>
    </row>
    <row r="472" spans="3:3">
      <c r="C472" s="21" t="s">
        <v>9143</v>
      </c>
    </row>
    <row r="473" spans="3:3">
      <c r="C473" s="21" t="s">
        <v>9144</v>
      </c>
    </row>
    <row r="474" spans="3:3">
      <c r="C474" s="21" t="s">
        <v>9145</v>
      </c>
    </row>
    <row r="475" spans="3:3">
      <c r="C475" s="21" t="s">
        <v>9146</v>
      </c>
    </row>
    <row r="476" spans="3:3">
      <c r="C476" s="21" t="s">
        <v>9147</v>
      </c>
    </row>
    <row r="477" spans="3:3">
      <c r="C477" s="21" t="s">
        <v>9148</v>
      </c>
    </row>
    <row r="478" spans="3:3">
      <c r="C478" s="21" t="s">
        <v>9149</v>
      </c>
    </row>
    <row r="479" spans="3:3">
      <c r="C479" s="21" t="s">
        <v>9150</v>
      </c>
    </row>
    <row r="480" spans="3:3">
      <c r="C480" s="21" t="s">
        <v>9151</v>
      </c>
    </row>
    <row r="481" spans="3:3">
      <c r="C481" s="21" t="s">
        <v>9152</v>
      </c>
    </row>
    <row r="482" spans="3:3">
      <c r="C482" s="21" t="s">
        <v>9153</v>
      </c>
    </row>
    <row r="483" spans="3:3">
      <c r="C483" s="21" t="s">
        <v>9154</v>
      </c>
    </row>
    <row r="484" spans="3:3">
      <c r="C484" s="21" t="s">
        <v>9155</v>
      </c>
    </row>
    <row r="485" spans="3:3">
      <c r="C485" s="21" t="s">
        <v>9156</v>
      </c>
    </row>
    <row r="486" spans="3:3">
      <c r="C486" s="21" t="s">
        <v>9157</v>
      </c>
    </row>
    <row r="487" spans="3:3">
      <c r="C487" s="21" t="s">
        <v>9158</v>
      </c>
    </row>
    <row r="488" spans="3:3">
      <c r="C488" s="21" t="s">
        <v>9159</v>
      </c>
    </row>
    <row r="489" spans="3:3">
      <c r="C489" s="21" t="s">
        <v>9160</v>
      </c>
    </row>
    <row r="490" spans="3:3">
      <c r="C490" s="21" t="s">
        <v>9161</v>
      </c>
    </row>
    <row r="491" spans="3:3">
      <c r="C491" s="21" t="s">
        <v>9162</v>
      </c>
    </row>
    <row r="492" spans="3:3">
      <c r="C492" s="21" t="s">
        <v>9163</v>
      </c>
    </row>
    <row r="493" spans="3:3">
      <c r="C493" s="21" t="s">
        <v>9164</v>
      </c>
    </row>
    <row r="494" spans="3:3">
      <c r="C494" s="21" t="s">
        <v>9165</v>
      </c>
    </row>
    <row r="495" spans="3:3">
      <c r="C495" s="21" t="s">
        <v>9166</v>
      </c>
    </row>
    <row r="496" spans="3:3">
      <c r="C496" s="21" t="s">
        <v>9167</v>
      </c>
    </row>
    <row r="497" spans="3:3">
      <c r="C497" s="21" t="s">
        <v>9168</v>
      </c>
    </row>
    <row r="498" spans="3:3">
      <c r="C498" s="21" t="s">
        <v>9169</v>
      </c>
    </row>
    <row r="499" spans="3:3">
      <c r="C499" s="21" t="s">
        <v>9170</v>
      </c>
    </row>
    <row r="500" spans="3:3">
      <c r="C500" s="21" t="s">
        <v>9171</v>
      </c>
    </row>
    <row r="501" spans="3:3">
      <c r="C501" s="21" t="s">
        <v>9172</v>
      </c>
    </row>
    <row r="502" spans="3:3">
      <c r="C502" s="21" t="s">
        <v>9173</v>
      </c>
    </row>
    <row r="503" spans="3:3">
      <c r="C503" s="21" t="s">
        <v>9174</v>
      </c>
    </row>
    <row r="504" spans="3:3">
      <c r="C504" s="21" t="s">
        <v>9175</v>
      </c>
    </row>
    <row r="505" spans="3:3">
      <c r="C505" s="21" t="s">
        <v>9176</v>
      </c>
    </row>
    <row r="506" spans="3:3">
      <c r="C506" s="21" t="s">
        <v>9177</v>
      </c>
    </row>
    <row r="507" spans="3:3">
      <c r="C507" s="21" t="s">
        <v>9178</v>
      </c>
    </row>
    <row r="508" spans="3:3">
      <c r="C508" s="21" t="s">
        <v>9179</v>
      </c>
    </row>
    <row r="509" spans="3:3">
      <c r="C509" s="21" t="s">
        <v>9180</v>
      </c>
    </row>
    <row r="510" spans="3:3">
      <c r="C510" s="21" t="s">
        <v>9181</v>
      </c>
    </row>
    <row r="511" spans="3:3">
      <c r="C511" s="21" t="s">
        <v>9182</v>
      </c>
    </row>
    <row r="512" spans="3:3">
      <c r="C512" s="21" t="s">
        <v>9183</v>
      </c>
    </row>
    <row r="513" spans="3:3">
      <c r="C513" s="21" t="s">
        <v>9184</v>
      </c>
    </row>
    <row r="514" spans="3:3">
      <c r="C514" s="21" t="s">
        <v>9185</v>
      </c>
    </row>
    <row r="515" spans="3:3">
      <c r="C515" s="21" t="s">
        <v>9186</v>
      </c>
    </row>
    <row r="516" spans="3:3">
      <c r="C516" s="21" t="s">
        <v>9187</v>
      </c>
    </row>
    <row r="517" spans="3:3">
      <c r="C517" s="21" t="s">
        <v>9188</v>
      </c>
    </row>
    <row r="518" spans="3:3">
      <c r="C518" s="21" t="s">
        <v>9189</v>
      </c>
    </row>
    <row r="519" spans="3:3">
      <c r="C519" s="21" t="s">
        <v>9190</v>
      </c>
    </row>
    <row r="520" spans="3:3">
      <c r="C520" s="21" t="s">
        <v>9191</v>
      </c>
    </row>
    <row r="521" spans="3:3">
      <c r="C521" s="21" t="s">
        <v>9192</v>
      </c>
    </row>
    <row r="522" spans="3:3">
      <c r="C522" s="21" t="s">
        <v>9193</v>
      </c>
    </row>
    <row r="523" spans="3:3">
      <c r="C523" s="21" t="s">
        <v>9194</v>
      </c>
    </row>
    <row r="524" spans="3:3">
      <c r="C524" s="21" t="s">
        <v>9195</v>
      </c>
    </row>
    <row r="525" spans="3:3">
      <c r="C525" s="21" t="s">
        <v>9196</v>
      </c>
    </row>
    <row r="526" spans="3:3">
      <c r="C526" s="21" t="s">
        <v>9197</v>
      </c>
    </row>
    <row r="527" spans="3:3">
      <c r="C527" s="21" t="s">
        <v>9198</v>
      </c>
    </row>
    <row r="528" spans="3:3">
      <c r="C528" s="21" t="s">
        <v>9199</v>
      </c>
    </row>
    <row r="529" spans="3:3">
      <c r="C529" s="21" t="s">
        <v>9200</v>
      </c>
    </row>
    <row r="530" spans="3:3">
      <c r="C530" s="21" t="s">
        <v>9201</v>
      </c>
    </row>
    <row r="531" spans="3:3">
      <c r="C531" s="21" t="s">
        <v>9202</v>
      </c>
    </row>
    <row r="532" spans="3:3">
      <c r="C532" s="21" t="s">
        <v>9203</v>
      </c>
    </row>
    <row r="533" spans="3:3">
      <c r="C533" s="21" t="s">
        <v>9204</v>
      </c>
    </row>
    <row r="534" spans="3:3">
      <c r="C534" s="21" t="s">
        <v>9205</v>
      </c>
    </row>
    <row r="535" spans="3:3">
      <c r="C535" s="21" t="s">
        <v>9206</v>
      </c>
    </row>
    <row r="536" spans="3:3">
      <c r="C536" s="21" t="s">
        <v>9207</v>
      </c>
    </row>
    <row r="537" spans="3:3">
      <c r="C537" s="21" t="s">
        <v>9208</v>
      </c>
    </row>
    <row r="538" spans="3:3">
      <c r="C538" s="21" t="s">
        <v>9209</v>
      </c>
    </row>
    <row r="539" spans="3:3">
      <c r="C539" s="21" t="s">
        <v>9210</v>
      </c>
    </row>
    <row r="540" spans="3:3">
      <c r="C540" s="21" t="s">
        <v>9211</v>
      </c>
    </row>
    <row r="541" spans="3:3">
      <c r="C541" s="21" t="s">
        <v>9212</v>
      </c>
    </row>
    <row r="542" spans="3:3">
      <c r="C542" s="21" t="s">
        <v>9213</v>
      </c>
    </row>
    <row r="543" spans="3:3">
      <c r="C543" s="21" t="s">
        <v>9214</v>
      </c>
    </row>
    <row r="544" spans="3:3">
      <c r="C544" s="21" t="s">
        <v>9215</v>
      </c>
    </row>
    <row r="545" spans="3:3">
      <c r="C545" s="21" t="s">
        <v>9216</v>
      </c>
    </row>
    <row r="546" spans="3:3">
      <c r="C546" s="21" t="s">
        <v>9217</v>
      </c>
    </row>
    <row r="547" spans="3:3">
      <c r="C547" s="21" t="s">
        <v>9218</v>
      </c>
    </row>
    <row r="548" spans="3:3">
      <c r="C548" s="21" t="s">
        <v>9219</v>
      </c>
    </row>
    <row r="549" spans="3:3">
      <c r="C549" s="21" t="s">
        <v>9220</v>
      </c>
    </row>
    <row r="550" spans="3:3">
      <c r="C550" s="21" t="s">
        <v>9221</v>
      </c>
    </row>
    <row r="551" spans="3:3">
      <c r="C551" s="21" t="s">
        <v>9222</v>
      </c>
    </row>
    <row r="552" spans="3:3">
      <c r="C552" s="21" t="s">
        <v>9223</v>
      </c>
    </row>
    <row r="553" spans="3:3">
      <c r="C553" s="21" t="s">
        <v>9224</v>
      </c>
    </row>
    <row r="554" spans="3:3">
      <c r="C554" s="21" t="s">
        <v>9225</v>
      </c>
    </row>
    <row r="555" spans="3:3">
      <c r="C555" s="21" t="s">
        <v>9226</v>
      </c>
    </row>
    <row r="556" spans="3:3">
      <c r="C556" s="21" t="s">
        <v>9227</v>
      </c>
    </row>
    <row r="557" spans="3:3">
      <c r="C557" s="21" t="s">
        <v>9228</v>
      </c>
    </row>
    <row r="558" spans="3:3">
      <c r="C558" s="21" t="s">
        <v>9229</v>
      </c>
    </row>
    <row r="559" spans="3:3">
      <c r="C559" s="21" t="s">
        <v>9230</v>
      </c>
    </row>
    <row r="560" spans="3:3">
      <c r="C560" s="21" t="s">
        <v>9231</v>
      </c>
    </row>
    <row r="561" spans="3:3">
      <c r="C561" s="21" t="s">
        <v>9232</v>
      </c>
    </row>
    <row r="562" spans="3:3">
      <c r="C562" s="21" t="s">
        <v>9233</v>
      </c>
    </row>
    <row r="563" spans="3:3">
      <c r="C563" s="21" t="s">
        <v>9234</v>
      </c>
    </row>
    <row r="564" spans="3:3">
      <c r="C564" s="21" t="s">
        <v>9235</v>
      </c>
    </row>
    <row r="565" spans="3:3">
      <c r="C565" s="21" t="s">
        <v>9236</v>
      </c>
    </row>
    <row r="566" spans="3:3">
      <c r="C566" s="21" t="s">
        <v>9237</v>
      </c>
    </row>
    <row r="567" spans="3:3">
      <c r="C567" s="21" t="s">
        <v>9238</v>
      </c>
    </row>
    <row r="568" spans="3:3">
      <c r="C568" s="21" t="s">
        <v>9239</v>
      </c>
    </row>
    <row r="569" spans="3:3">
      <c r="C569" s="21" t="s">
        <v>9240</v>
      </c>
    </row>
    <row r="570" spans="3:3">
      <c r="C570" s="21" t="s">
        <v>9241</v>
      </c>
    </row>
    <row r="571" spans="3:3">
      <c r="C571" s="21" t="s">
        <v>9242</v>
      </c>
    </row>
    <row r="572" spans="3:3">
      <c r="C572" s="21" t="s">
        <v>9243</v>
      </c>
    </row>
    <row r="573" spans="3:3">
      <c r="C573" s="21" t="s">
        <v>9244</v>
      </c>
    </row>
    <row r="574" spans="3:3">
      <c r="C574" s="21" t="s">
        <v>9245</v>
      </c>
    </row>
    <row r="575" spans="3:3">
      <c r="C575" s="21" t="s">
        <v>9246</v>
      </c>
    </row>
    <row r="576" spans="3:3">
      <c r="C576" s="21" t="s">
        <v>9247</v>
      </c>
    </row>
    <row r="577" spans="3:3">
      <c r="C577" s="21" t="s">
        <v>9248</v>
      </c>
    </row>
    <row r="578" spans="3:3">
      <c r="C578" s="21" t="s">
        <v>9249</v>
      </c>
    </row>
    <row r="579" spans="3:3">
      <c r="C579" s="21" t="s">
        <v>9250</v>
      </c>
    </row>
    <row r="580" spans="3:3">
      <c r="C580" s="21" t="s">
        <v>9251</v>
      </c>
    </row>
    <row r="581" spans="3:3">
      <c r="C581" s="21" t="s">
        <v>9252</v>
      </c>
    </row>
    <row r="582" spans="3:3">
      <c r="C582" s="21" t="s">
        <v>9253</v>
      </c>
    </row>
    <row r="583" spans="3:3">
      <c r="C583" s="21" t="s">
        <v>9254</v>
      </c>
    </row>
    <row r="584" spans="3:3">
      <c r="C584" s="21" t="s">
        <v>9255</v>
      </c>
    </row>
    <row r="585" spans="3:3">
      <c r="C585" s="21" t="s">
        <v>9256</v>
      </c>
    </row>
    <row r="586" spans="3:3">
      <c r="C586" s="21" t="s">
        <v>9257</v>
      </c>
    </row>
    <row r="587" spans="3:3">
      <c r="C587" s="21" t="s">
        <v>9258</v>
      </c>
    </row>
    <row r="588" spans="3:3">
      <c r="C588" s="21" t="s">
        <v>9259</v>
      </c>
    </row>
    <row r="589" spans="3:3">
      <c r="C589" s="21" t="s">
        <v>9260</v>
      </c>
    </row>
    <row r="590" spans="3:3">
      <c r="C590" s="21" t="s">
        <v>9261</v>
      </c>
    </row>
    <row r="591" spans="3:3">
      <c r="C591" s="21" t="s">
        <v>9262</v>
      </c>
    </row>
    <row r="592" spans="3:3">
      <c r="C592" s="21" t="s">
        <v>9263</v>
      </c>
    </row>
    <row r="593" spans="3:3">
      <c r="C593" s="21" t="s">
        <v>9264</v>
      </c>
    </row>
    <row r="594" spans="3:3">
      <c r="C594" s="21" t="s">
        <v>9265</v>
      </c>
    </row>
    <row r="595" spans="3:3">
      <c r="C595" s="21" t="s">
        <v>9266</v>
      </c>
    </row>
    <row r="596" spans="3:3">
      <c r="C596" s="21" t="s">
        <v>9267</v>
      </c>
    </row>
    <row r="597" spans="3:3">
      <c r="C597" s="21" t="s">
        <v>9268</v>
      </c>
    </row>
    <row r="598" spans="3:3">
      <c r="C598" s="21" t="s">
        <v>9269</v>
      </c>
    </row>
    <row r="599" spans="3:3">
      <c r="C599" s="21" t="s">
        <v>9270</v>
      </c>
    </row>
    <row r="600" spans="3:3">
      <c r="C600" s="21" t="s">
        <v>9271</v>
      </c>
    </row>
    <row r="601" spans="3:3">
      <c r="C601" s="21" t="s">
        <v>9272</v>
      </c>
    </row>
    <row r="602" spans="3:3">
      <c r="C602" s="21" t="s">
        <v>9273</v>
      </c>
    </row>
    <row r="603" spans="3:3">
      <c r="C603" s="21" t="s">
        <v>9274</v>
      </c>
    </row>
    <row r="604" spans="3:3">
      <c r="C604" s="21" t="s">
        <v>9275</v>
      </c>
    </row>
    <row r="605" spans="3:3">
      <c r="C605" s="21" t="s">
        <v>9276</v>
      </c>
    </row>
    <row r="606" spans="3:3">
      <c r="C606" s="21" t="s">
        <v>9277</v>
      </c>
    </row>
    <row r="607" spans="3:3">
      <c r="C607" s="21" t="s">
        <v>9278</v>
      </c>
    </row>
    <row r="608" spans="3:3">
      <c r="C608" s="21" t="s">
        <v>9279</v>
      </c>
    </row>
    <row r="609" spans="3:3">
      <c r="C609" s="21" t="s">
        <v>9280</v>
      </c>
    </row>
    <row r="610" spans="3:3">
      <c r="C610" s="21" t="s">
        <v>9281</v>
      </c>
    </row>
    <row r="611" spans="3:3">
      <c r="C611" s="21" t="s">
        <v>9282</v>
      </c>
    </row>
    <row r="612" spans="3:3">
      <c r="C612" s="21" t="s">
        <v>9283</v>
      </c>
    </row>
    <row r="613" spans="3:3">
      <c r="C613" s="21" t="s">
        <v>9284</v>
      </c>
    </row>
    <row r="614" spans="3:3">
      <c r="C614" s="21" t="s">
        <v>9285</v>
      </c>
    </row>
    <row r="615" spans="3:3">
      <c r="C615" s="21" t="s">
        <v>9286</v>
      </c>
    </row>
    <row r="616" spans="3:3">
      <c r="C616" s="21" t="s">
        <v>9287</v>
      </c>
    </row>
    <row r="617" spans="3:3">
      <c r="C617" s="21" t="s">
        <v>9288</v>
      </c>
    </row>
    <row r="618" spans="3:3">
      <c r="C618" s="21" t="s">
        <v>9289</v>
      </c>
    </row>
    <row r="619" spans="3:3">
      <c r="C619" s="21" t="s">
        <v>9290</v>
      </c>
    </row>
    <row r="620" spans="3:3">
      <c r="C620" s="21" t="s">
        <v>9291</v>
      </c>
    </row>
    <row r="621" spans="3:3">
      <c r="C621" s="21" t="s">
        <v>9292</v>
      </c>
    </row>
    <row r="622" spans="3:3">
      <c r="C622" s="21" t="s">
        <v>9293</v>
      </c>
    </row>
    <row r="623" spans="3:3">
      <c r="C623" s="21" t="s">
        <v>9294</v>
      </c>
    </row>
    <row r="624" spans="3:3">
      <c r="C624" s="21" t="s">
        <v>9295</v>
      </c>
    </row>
    <row r="625" spans="3:3">
      <c r="C625" s="21" t="s">
        <v>9296</v>
      </c>
    </row>
    <row r="626" spans="3:3">
      <c r="C626" s="21" t="s">
        <v>9297</v>
      </c>
    </row>
    <row r="627" spans="3:3">
      <c r="C627" s="21" t="s">
        <v>9298</v>
      </c>
    </row>
    <row r="628" spans="3:3">
      <c r="C628" s="21" t="s">
        <v>9299</v>
      </c>
    </row>
    <row r="629" spans="3:3">
      <c r="C629" s="21" t="s">
        <v>9300</v>
      </c>
    </row>
    <row r="630" spans="3:3">
      <c r="C630" s="21" t="s">
        <v>9301</v>
      </c>
    </row>
    <row r="631" spans="3:3">
      <c r="C631" s="21" t="s">
        <v>9302</v>
      </c>
    </row>
    <row r="632" spans="3:3">
      <c r="C632" s="21" t="s">
        <v>9303</v>
      </c>
    </row>
    <row r="633" spans="3:3">
      <c r="C633" s="21" t="s">
        <v>9304</v>
      </c>
    </row>
    <row r="634" spans="3:3">
      <c r="C634" s="21" t="s">
        <v>9305</v>
      </c>
    </row>
    <row r="635" spans="3:3">
      <c r="C635" s="21" t="s">
        <v>9306</v>
      </c>
    </row>
    <row r="636" spans="3:3">
      <c r="C636" s="21" t="s">
        <v>9307</v>
      </c>
    </row>
    <row r="637" spans="3:3">
      <c r="C637" s="21" t="s">
        <v>9308</v>
      </c>
    </row>
    <row r="638" spans="3:3">
      <c r="C638" s="21" t="s">
        <v>9309</v>
      </c>
    </row>
    <row r="639" spans="3:3">
      <c r="C639" s="21" t="s">
        <v>9310</v>
      </c>
    </row>
    <row r="640" spans="3:3">
      <c r="C640" s="21" t="s">
        <v>9311</v>
      </c>
    </row>
    <row r="641" spans="3:3">
      <c r="C641" s="21" t="s">
        <v>9312</v>
      </c>
    </row>
    <row r="642" spans="3:3">
      <c r="C642" s="21" t="s">
        <v>9313</v>
      </c>
    </row>
    <row r="643" spans="3:3">
      <c r="C643" s="21" t="s">
        <v>9314</v>
      </c>
    </row>
    <row r="644" spans="3:3">
      <c r="C644" s="21" t="s">
        <v>9315</v>
      </c>
    </row>
    <row r="645" spans="3:3">
      <c r="C645" s="21" t="s">
        <v>9316</v>
      </c>
    </row>
    <row r="646" spans="3:3">
      <c r="C646" s="21" t="s">
        <v>9317</v>
      </c>
    </row>
    <row r="647" spans="3:3">
      <c r="C647" s="21" t="s">
        <v>9318</v>
      </c>
    </row>
    <row r="648" spans="3:3">
      <c r="C648" s="21" t="s">
        <v>9319</v>
      </c>
    </row>
    <row r="649" spans="3:3">
      <c r="C649" s="21" t="s">
        <v>9320</v>
      </c>
    </row>
    <row r="650" spans="3:3">
      <c r="C650" s="21" t="s">
        <v>9321</v>
      </c>
    </row>
    <row r="651" spans="3:3">
      <c r="C651" s="21" t="s">
        <v>9322</v>
      </c>
    </row>
    <row r="652" spans="3:3">
      <c r="C652" s="21" t="s">
        <v>9323</v>
      </c>
    </row>
    <row r="653" spans="3:3">
      <c r="C653" s="21" t="s">
        <v>9324</v>
      </c>
    </row>
    <row r="654" spans="3:3">
      <c r="C654" s="21" t="s">
        <v>9325</v>
      </c>
    </row>
    <row r="655" spans="3:3">
      <c r="C655" s="21" t="s">
        <v>9326</v>
      </c>
    </row>
    <row r="656" spans="3:3">
      <c r="C656" s="21" t="s">
        <v>9327</v>
      </c>
    </row>
    <row r="657" spans="3:3">
      <c r="C657" s="21" t="s">
        <v>9328</v>
      </c>
    </row>
    <row r="658" spans="3:3">
      <c r="C658" s="21" t="s">
        <v>9329</v>
      </c>
    </row>
    <row r="659" spans="3:3">
      <c r="C659" s="21" t="s">
        <v>9330</v>
      </c>
    </row>
    <row r="660" spans="3:3">
      <c r="C660" s="21" t="s">
        <v>9331</v>
      </c>
    </row>
    <row r="661" spans="3:3">
      <c r="C661" s="21" t="s">
        <v>9332</v>
      </c>
    </row>
    <row r="662" spans="3:3">
      <c r="C662" s="21" t="s">
        <v>9333</v>
      </c>
    </row>
    <row r="663" spans="3:3">
      <c r="C663" s="21" t="s">
        <v>9334</v>
      </c>
    </row>
    <row r="664" spans="3:3">
      <c r="C664" s="21" t="s">
        <v>9335</v>
      </c>
    </row>
    <row r="665" spans="3:3">
      <c r="C665" s="21" t="s">
        <v>9336</v>
      </c>
    </row>
    <row r="666" spans="3:3">
      <c r="C666" s="21" t="s">
        <v>9337</v>
      </c>
    </row>
    <row r="667" spans="3:3">
      <c r="C667" s="21" t="s">
        <v>9338</v>
      </c>
    </row>
    <row r="668" spans="3:3">
      <c r="C668" s="21" t="s">
        <v>9339</v>
      </c>
    </row>
    <row r="669" spans="3:3">
      <c r="C669" s="21" t="s">
        <v>9340</v>
      </c>
    </row>
    <row r="670" spans="3:3">
      <c r="C670" s="21" t="s">
        <v>9341</v>
      </c>
    </row>
    <row r="671" spans="3:3">
      <c r="C671" s="21" t="s">
        <v>9342</v>
      </c>
    </row>
    <row r="672" spans="3:3">
      <c r="C672" s="21" t="s">
        <v>9343</v>
      </c>
    </row>
    <row r="673" spans="3:3">
      <c r="C673" s="21" t="s">
        <v>9344</v>
      </c>
    </row>
    <row r="674" spans="3:3">
      <c r="C674" s="21" t="s">
        <v>9345</v>
      </c>
    </row>
    <row r="675" spans="3:3">
      <c r="C675" s="21" t="s">
        <v>9346</v>
      </c>
    </row>
    <row r="676" spans="3:3">
      <c r="C676" s="21" t="s">
        <v>9347</v>
      </c>
    </row>
    <row r="677" spans="3:3">
      <c r="C677" s="21" t="s">
        <v>9348</v>
      </c>
    </row>
    <row r="678" spans="3:3">
      <c r="C678" s="21" t="s">
        <v>9349</v>
      </c>
    </row>
    <row r="679" spans="3:3">
      <c r="C679" s="21" t="s">
        <v>9350</v>
      </c>
    </row>
    <row r="680" spans="3:3">
      <c r="C680" s="21" t="s">
        <v>9351</v>
      </c>
    </row>
    <row r="681" spans="3:3">
      <c r="C681" s="21" t="s">
        <v>9352</v>
      </c>
    </row>
    <row r="682" spans="3:3">
      <c r="C682" s="21" t="s">
        <v>9353</v>
      </c>
    </row>
    <row r="683" spans="3:3">
      <c r="C683" s="21" t="s">
        <v>9354</v>
      </c>
    </row>
    <row r="684" spans="3:3">
      <c r="C684" s="21" t="s">
        <v>9355</v>
      </c>
    </row>
    <row r="685" spans="3:3">
      <c r="C685" s="21" t="s">
        <v>9356</v>
      </c>
    </row>
    <row r="686" spans="3:3">
      <c r="C686" s="21" t="s">
        <v>9357</v>
      </c>
    </row>
    <row r="687" spans="3:3">
      <c r="C687" s="21" t="s">
        <v>9358</v>
      </c>
    </row>
    <row r="688" spans="3:3">
      <c r="C688" s="21" t="s">
        <v>9359</v>
      </c>
    </row>
    <row r="689" spans="3:3">
      <c r="C689" s="21" t="s">
        <v>9360</v>
      </c>
    </row>
    <row r="690" spans="3:3">
      <c r="C690" s="21" t="s">
        <v>9361</v>
      </c>
    </row>
    <row r="691" spans="3:3">
      <c r="C691" s="21" t="s">
        <v>9362</v>
      </c>
    </row>
    <row r="692" spans="3:3">
      <c r="C692" s="21" t="s">
        <v>9363</v>
      </c>
    </row>
    <row r="693" spans="3:3">
      <c r="C693" s="21" t="s">
        <v>9364</v>
      </c>
    </row>
    <row r="694" spans="3:3">
      <c r="C694" s="21" t="s">
        <v>9365</v>
      </c>
    </row>
    <row r="695" spans="3:3">
      <c r="C695" s="21" t="s">
        <v>9366</v>
      </c>
    </row>
    <row r="696" spans="3:3">
      <c r="C696" s="21" t="s">
        <v>9367</v>
      </c>
    </row>
    <row r="697" spans="3:3">
      <c r="C697" s="21" t="s">
        <v>9368</v>
      </c>
    </row>
    <row r="698" spans="3:3">
      <c r="C698" s="21" t="s">
        <v>9369</v>
      </c>
    </row>
    <row r="699" spans="3:3">
      <c r="C699" s="21" t="s">
        <v>9370</v>
      </c>
    </row>
    <row r="700" spans="3:3">
      <c r="C700" s="21" t="s">
        <v>9371</v>
      </c>
    </row>
    <row r="701" spans="3:3">
      <c r="C701" s="21" t="s">
        <v>9372</v>
      </c>
    </row>
    <row r="702" spans="3:3">
      <c r="C702" s="21" t="s">
        <v>9373</v>
      </c>
    </row>
    <row r="703" spans="3:3">
      <c r="C703" s="21" t="s">
        <v>9374</v>
      </c>
    </row>
    <row r="704" spans="3:3">
      <c r="C704" s="21" t="s">
        <v>9375</v>
      </c>
    </row>
    <row r="705" spans="3:3">
      <c r="C705" s="21" t="s">
        <v>9376</v>
      </c>
    </row>
    <row r="706" spans="3:3">
      <c r="C706" s="21" t="s">
        <v>9377</v>
      </c>
    </row>
    <row r="707" spans="3:3">
      <c r="C707" s="21" t="s">
        <v>9378</v>
      </c>
    </row>
    <row r="708" spans="3:3">
      <c r="C708" s="21" t="s">
        <v>9379</v>
      </c>
    </row>
    <row r="709" spans="3:3">
      <c r="C709" s="21" t="s">
        <v>9380</v>
      </c>
    </row>
    <row r="710" spans="3:3">
      <c r="C710" s="21" t="s">
        <v>9381</v>
      </c>
    </row>
    <row r="711" spans="3:3">
      <c r="C711" s="21" t="s">
        <v>9382</v>
      </c>
    </row>
    <row r="712" spans="3:3">
      <c r="C712" s="21" t="s">
        <v>9383</v>
      </c>
    </row>
    <row r="713" spans="3:3">
      <c r="C713" s="21" t="s">
        <v>9384</v>
      </c>
    </row>
    <row r="714" spans="3:3">
      <c r="C714" s="21" t="s">
        <v>9385</v>
      </c>
    </row>
    <row r="715" spans="3:3">
      <c r="C715" s="21" t="s">
        <v>9386</v>
      </c>
    </row>
    <row r="716" spans="3:3">
      <c r="C716" s="21" t="s">
        <v>9387</v>
      </c>
    </row>
    <row r="717" spans="3:3">
      <c r="C717" s="21" t="s">
        <v>9388</v>
      </c>
    </row>
    <row r="718" spans="3:3">
      <c r="C718" s="21" t="s">
        <v>9389</v>
      </c>
    </row>
    <row r="719" spans="3:3">
      <c r="C719" s="21" t="s">
        <v>9390</v>
      </c>
    </row>
    <row r="720" spans="3:3">
      <c r="C720" s="21" t="s">
        <v>9391</v>
      </c>
    </row>
    <row r="721" spans="3:3">
      <c r="C721" s="21" t="s">
        <v>9392</v>
      </c>
    </row>
    <row r="722" spans="3:3">
      <c r="C722" s="21" t="s">
        <v>9393</v>
      </c>
    </row>
    <row r="723" spans="3:3">
      <c r="C723" s="21" t="s">
        <v>9394</v>
      </c>
    </row>
    <row r="724" spans="3:3">
      <c r="C724" s="21" t="s">
        <v>9395</v>
      </c>
    </row>
    <row r="725" spans="3:3">
      <c r="C725" s="21" t="s">
        <v>9396</v>
      </c>
    </row>
    <row r="726" spans="3:3">
      <c r="C726" s="21" t="s">
        <v>9397</v>
      </c>
    </row>
    <row r="727" spans="3:3">
      <c r="C727" s="21" t="s">
        <v>9398</v>
      </c>
    </row>
    <row r="728" spans="3:3">
      <c r="C728" s="21" t="s">
        <v>9399</v>
      </c>
    </row>
    <row r="729" spans="3:3">
      <c r="C729" s="21" t="s">
        <v>9400</v>
      </c>
    </row>
    <row r="730" spans="3:3">
      <c r="C730" s="21" t="s">
        <v>9401</v>
      </c>
    </row>
    <row r="731" spans="3:3">
      <c r="C731" s="21" t="s">
        <v>9402</v>
      </c>
    </row>
    <row r="732" spans="3:3">
      <c r="C732" s="21" t="s">
        <v>9403</v>
      </c>
    </row>
    <row r="733" spans="3:3">
      <c r="C733" s="21" t="s">
        <v>9404</v>
      </c>
    </row>
    <row r="734" spans="3:3">
      <c r="C734" s="21" t="s">
        <v>9405</v>
      </c>
    </row>
    <row r="735" spans="3:3">
      <c r="C735" s="21" t="s">
        <v>9406</v>
      </c>
    </row>
    <row r="736" spans="3:3">
      <c r="C736" s="21" t="s">
        <v>9407</v>
      </c>
    </row>
    <row r="737" spans="3:3">
      <c r="C737" s="21" t="s">
        <v>9408</v>
      </c>
    </row>
    <row r="738" spans="3:3">
      <c r="C738" s="21" t="s">
        <v>9409</v>
      </c>
    </row>
    <row r="739" spans="3:3">
      <c r="C739" s="21" t="s">
        <v>9410</v>
      </c>
    </row>
    <row r="740" spans="3:3">
      <c r="C740" s="21" t="s">
        <v>9411</v>
      </c>
    </row>
    <row r="741" spans="3:3">
      <c r="C741" s="21" t="s">
        <v>9412</v>
      </c>
    </row>
    <row r="742" spans="3:3">
      <c r="C742" s="21" t="s">
        <v>9413</v>
      </c>
    </row>
    <row r="743" spans="3:3">
      <c r="C743" s="21" t="s">
        <v>9414</v>
      </c>
    </row>
    <row r="744" spans="3:3">
      <c r="C744" s="21" t="s">
        <v>9415</v>
      </c>
    </row>
    <row r="745" spans="3:3">
      <c r="C745" s="21" t="s">
        <v>9416</v>
      </c>
    </row>
    <row r="746" spans="3:3">
      <c r="C746" s="21" t="s">
        <v>9417</v>
      </c>
    </row>
    <row r="747" spans="3:3">
      <c r="C747" s="21" t="s">
        <v>9418</v>
      </c>
    </row>
    <row r="748" spans="3:3">
      <c r="C748" s="21" t="s">
        <v>9419</v>
      </c>
    </row>
    <row r="749" spans="3:3">
      <c r="C749" s="21" t="s">
        <v>9420</v>
      </c>
    </row>
    <row r="750" spans="3:3">
      <c r="C750" s="21" t="s">
        <v>9421</v>
      </c>
    </row>
    <row r="751" spans="3:3">
      <c r="C751" s="21" t="s">
        <v>9422</v>
      </c>
    </row>
    <row r="752" spans="3:3">
      <c r="C752" s="21" t="s">
        <v>9423</v>
      </c>
    </row>
    <row r="753" spans="3:3">
      <c r="C753" s="21" t="s">
        <v>9424</v>
      </c>
    </row>
    <row r="754" spans="3:3">
      <c r="C754" s="21" t="s">
        <v>9425</v>
      </c>
    </row>
    <row r="755" spans="3:3">
      <c r="C755" s="21" t="s">
        <v>9426</v>
      </c>
    </row>
    <row r="756" spans="3:3">
      <c r="C756" s="21" t="s">
        <v>9427</v>
      </c>
    </row>
    <row r="757" spans="3:3">
      <c r="C757" s="21" t="s">
        <v>9428</v>
      </c>
    </row>
    <row r="758" spans="3:3">
      <c r="C758" s="21" t="s">
        <v>9429</v>
      </c>
    </row>
    <row r="759" spans="3:3">
      <c r="C759" s="21" t="s">
        <v>9430</v>
      </c>
    </row>
    <row r="760" spans="3:3">
      <c r="C760" s="21" t="s">
        <v>9431</v>
      </c>
    </row>
    <row r="761" spans="3:3">
      <c r="C761" s="21" t="s">
        <v>9432</v>
      </c>
    </row>
    <row r="762" spans="3:3">
      <c r="C762" s="21" t="s">
        <v>9433</v>
      </c>
    </row>
    <row r="763" spans="3:3">
      <c r="C763" s="21" t="s">
        <v>9434</v>
      </c>
    </row>
    <row r="764" spans="3:3">
      <c r="C764" s="21" t="s">
        <v>9435</v>
      </c>
    </row>
    <row r="765" spans="3:3">
      <c r="C765" s="21" t="s">
        <v>9436</v>
      </c>
    </row>
    <row r="766" spans="3:3">
      <c r="C766" s="21" t="s">
        <v>9437</v>
      </c>
    </row>
    <row r="767" spans="3:3">
      <c r="C767" s="21" t="s">
        <v>9438</v>
      </c>
    </row>
    <row r="768" spans="3:3">
      <c r="C768" s="21" t="s">
        <v>9439</v>
      </c>
    </row>
    <row r="769" spans="3:3">
      <c r="C769" s="21" t="s">
        <v>9440</v>
      </c>
    </row>
    <row r="770" spans="3:3">
      <c r="C770" s="21" t="s">
        <v>9441</v>
      </c>
    </row>
    <row r="771" spans="3:3">
      <c r="C771" s="21" t="s">
        <v>9442</v>
      </c>
    </row>
    <row r="772" spans="3:3">
      <c r="C772" s="21" t="s">
        <v>9443</v>
      </c>
    </row>
    <row r="773" spans="3:3">
      <c r="C773" s="21" t="s">
        <v>9444</v>
      </c>
    </row>
    <row r="774" spans="3:3">
      <c r="C774" s="21" t="s">
        <v>9445</v>
      </c>
    </row>
    <row r="775" spans="3:3">
      <c r="C775" s="21" t="s">
        <v>9446</v>
      </c>
    </row>
    <row r="776" spans="3:3">
      <c r="C776" s="21" t="s">
        <v>9447</v>
      </c>
    </row>
    <row r="777" spans="3:3">
      <c r="C777" s="21" t="s">
        <v>9448</v>
      </c>
    </row>
    <row r="778" spans="3:3">
      <c r="C778" s="21" t="s">
        <v>9449</v>
      </c>
    </row>
    <row r="779" spans="3:3">
      <c r="C779" s="21" t="s">
        <v>9450</v>
      </c>
    </row>
    <row r="780" spans="3:3">
      <c r="C780" s="21" t="s">
        <v>9451</v>
      </c>
    </row>
    <row r="781" spans="3:3">
      <c r="C781" s="21" t="s">
        <v>9452</v>
      </c>
    </row>
    <row r="782" spans="3:3">
      <c r="C782" s="21" t="s">
        <v>9453</v>
      </c>
    </row>
    <row r="783" spans="3:3">
      <c r="C783" s="21" t="s">
        <v>9454</v>
      </c>
    </row>
    <row r="784" spans="3:3">
      <c r="C784" s="21" t="s">
        <v>9455</v>
      </c>
    </row>
    <row r="785" spans="3:3">
      <c r="C785" s="21" t="s">
        <v>9456</v>
      </c>
    </row>
    <row r="786" spans="3:3">
      <c r="C786" s="21" t="s">
        <v>9457</v>
      </c>
    </row>
    <row r="787" spans="3:3">
      <c r="C787" s="21" t="s">
        <v>9458</v>
      </c>
    </row>
    <row r="788" spans="3:3">
      <c r="C788" s="21" t="s">
        <v>9459</v>
      </c>
    </row>
    <row r="789" spans="3:3">
      <c r="C789" s="21" t="s">
        <v>9460</v>
      </c>
    </row>
    <row r="790" spans="3:3">
      <c r="C790" s="21" t="s">
        <v>9461</v>
      </c>
    </row>
    <row r="791" spans="3:3">
      <c r="C791" s="21" t="s">
        <v>9462</v>
      </c>
    </row>
    <row r="792" spans="3:3">
      <c r="C792" s="21" t="s">
        <v>9463</v>
      </c>
    </row>
    <row r="793" spans="3:3">
      <c r="C793" s="21" t="s">
        <v>9464</v>
      </c>
    </row>
    <row r="794" spans="3:3">
      <c r="C794" s="21" t="s">
        <v>9465</v>
      </c>
    </row>
    <row r="795" spans="3:3">
      <c r="C795" s="21" t="s">
        <v>9466</v>
      </c>
    </row>
    <row r="796" spans="3:3">
      <c r="C796" s="21" t="s">
        <v>9467</v>
      </c>
    </row>
    <row r="797" spans="3:3">
      <c r="C797" s="21" t="s">
        <v>9468</v>
      </c>
    </row>
    <row r="798" spans="3:3">
      <c r="C798" s="21" t="s">
        <v>9469</v>
      </c>
    </row>
    <row r="799" spans="3:3">
      <c r="C799" s="21" t="s">
        <v>9470</v>
      </c>
    </row>
    <row r="800" spans="3:3">
      <c r="C800" s="21" t="s">
        <v>9471</v>
      </c>
    </row>
    <row r="801" spans="3:3">
      <c r="C801" s="21" t="s">
        <v>9472</v>
      </c>
    </row>
    <row r="802" spans="3:3">
      <c r="C802" s="21" t="s">
        <v>9473</v>
      </c>
    </row>
    <row r="803" spans="3:3">
      <c r="C803" s="21" t="s">
        <v>9474</v>
      </c>
    </row>
    <row r="804" spans="3:3">
      <c r="C804" s="21" t="s">
        <v>9475</v>
      </c>
    </row>
    <row r="805" spans="3:3">
      <c r="C805" s="21" t="s">
        <v>9476</v>
      </c>
    </row>
    <row r="806" spans="3:3">
      <c r="C806" s="21" t="s">
        <v>9477</v>
      </c>
    </row>
    <row r="807" spans="3:3">
      <c r="C807" s="21" t="s">
        <v>9478</v>
      </c>
    </row>
    <row r="808" spans="3:3">
      <c r="C808" s="21" t="s">
        <v>9479</v>
      </c>
    </row>
    <row r="809" spans="3:3">
      <c r="C809" s="21" t="s">
        <v>9480</v>
      </c>
    </row>
    <row r="810" spans="3:3">
      <c r="C810" s="21" t="s">
        <v>9481</v>
      </c>
    </row>
    <row r="811" spans="3:3">
      <c r="C811" s="21" t="s">
        <v>9482</v>
      </c>
    </row>
    <row r="812" spans="3:3">
      <c r="C812" s="21" t="s">
        <v>9483</v>
      </c>
    </row>
    <row r="813" spans="3:3">
      <c r="C813" s="21" t="s">
        <v>9484</v>
      </c>
    </row>
    <row r="814" spans="3:3">
      <c r="C814" s="21" t="s">
        <v>9485</v>
      </c>
    </row>
    <row r="815" spans="3:3">
      <c r="C815" s="21" t="s">
        <v>9486</v>
      </c>
    </row>
    <row r="816" spans="3:3">
      <c r="C816" s="21" t="s">
        <v>9487</v>
      </c>
    </row>
    <row r="817" spans="3:3">
      <c r="C817" s="21" t="s">
        <v>9488</v>
      </c>
    </row>
    <row r="818" spans="3:3">
      <c r="C818" s="21" t="s">
        <v>9489</v>
      </c>
    </row>
    <row r="819" spans="3:3">
      <c r="C819" s="21" t="s">
        <v>9490</v>
      </c>
    </row>
    <row r="820" spans="3:3">
      <c r="C820" s="21" t="s">
        <v>9491</v>
      </c>
    </row>
    <row r="821" spans="3:3">
      <c r="C821" s="21" t="s">
        <v>9492</v>
      </c>
    </row>
    <row r="822" spans="3:3">
      <c r="C822" s="21" t="s">
        <v>9493</v>
      </c>
    </row>
    <row r="823" spans="3:3">
      <c r="C823" s="21" t="s">
        <v>9494</v>
      </c>
    </row>
    <row r="824" spans="3:3">
      <c r="C824" s="21" t="s">
        <v>9495</v>
      </c>
    </row>
    <row r="825" spans="3:3">
      <c r="C825" s="21" t="s">
        <v>9496</v>
      </c>
    </row>
    <row r="826" spans="3:3">
      <c r="C826" s="21" t="s">
        <v>9497</v>
      </c>
    </row>
    <row r="827" spans="3:3">
      <c r="C827" s="21" t="s">
        <v>9498</v>
      </c>
    </row>
    <row r="828" spans="3:3">
      <c r="C828" s="21" t="s">
        <v>9499</v>
      </c>
    </row>
    <row r="829" spans="3:3">
      <c r="C829" s="21" t="s">
        <v>9500</v>
      </c>
    </row>
    <row r="830" spans="3:3">
      <c r="C830" s="21" t="s">
        <v>9501</v>
      </c>
    </row>
    <row r="831" spans="3:3">
      <c r="C831" s="21" t="s">
        <v>9502</v>
      </c>
    </row>
    <row r="832" spans="3:3">
      <c r="C832" s="21" t="s">
        <v>9503</v>
      </c>
    </row>
    <row r="833" spans="3:3">
      <c r="C833" s="21" t="s">
        <v>9504</v>
      </c>
    </row>
    <row r="834" spans="3:3">
      <c r="C834" s="21" t="s">
        <v>9505</v>
      </c>
    </row>
    <row r="835" spans="3:3">
      <c r="C835" s="21" t="s">
        <v>9506</v>
      </c>
    </row>
    <row r="836" spans="3:3">
      <c r="C836" s="21" t="s">
        <v>9507</v>
      </c>
    </row>
    <row r="837" spans="3:3">
      <c r="C837" s="21" t="s">
        <v>9508</v>
      </c>
    </row>
    <row r="838" spans="3:3">
      <c r="C838" s="21" t="s">
        <v>9509</v>
      </c>
    </row>
    <row r="839" spans="3:3">
      <c r="C839" s="21" t="s">
        <v>9510</v>
      </c>
    </row>
    <row r="840" spans="3:3">
      <c r="C840" s="21" t="s">
        <v>9511</v>
      </c>
    </row>
    <row r="841" spans="3:3">
      <c r="C841" s="21" t="s">
        <v>9512</v>
      </c>
    </row>
    <row r="842" spans="3:3">
      <c r="C842" s="21" t="s">
        <v>9513</v>
      </c>
    </row>
    <row r="843" spans="3:3">
      <c r="C843" s="21" t="s">
        <v>9514</v>
      </c>
    </row>
    <row r="844" spans="3:3">
      <c r="C844" s="21" t="s">
        <v>9515</v>
      </c>
    </row>
    <row r="845" spans="3:3">
      <c r="C845" s="21" t="s">
        <v>9516</v>
      </c>
    </row>
    <row r="846" spans="3:3">
      <c r="C846" s="21" t="s">
        <v>9517</v>
      </c>
    </row>
    <row r="847" spans="3:3">
      <c r="C847" s="21" t="s">
        <v>9518</v>
      </c>
    </row>
    <row r="848" spans="3:3">
      <c r="C848" s="21" t="s">
        <v>9519</v>
      </c>
    </row>
    <row r="849" spans="3:3">
      <c r="C849" s="21" t="s">
        <v>9520</v>
      </c>
    </row>
    <row r="850" spans="3:3">
      <c r="C850" s="21" t="s">
        <v>9521</v>
      </c>
    </row>
    <row r="851" spans="3:3">
      <c r="C851" s="21" t="s">
        <v>9522</v>
      </c>
    </row>
    <row r="852" spans="3:3">
      <c r="C852" s="21" t="s">
        <v>9523</v>
      </c>
    </row>
    <row r="853" spans="3:3">
      <c r="C853" s="21" t="s">
        <v>9524</v>
      </c>
    </row>
    <row r="854" spans="3:3">
      <c r="C854" s="21" t="s">
        <v>9525</v>
      </c>
    </row>
    <row r="855" spans="3:3">
      <c r="C855" s="21" t="s">
        <v>9526</v>
      </c>
    </row>
    <row r="856" spans="3:3">
      <c r="C856" s="21" t="s">
        <v>9527</v>
      </c>
    </row>
    <row r="857" spans="3:3">
      <c r="C857" s="21" t="s">
        <v>9528</v>
      </c>
    </row>
    <row r="858" spans="3:3">
      <c r="C858" s="21" t="s">
        <v>9529</v>
      </c>
    </row>
    <row r="859" spans="3:3">
      <c r="C859" s="21" t="s">
        <v>9530</v>
      </c>
    </row>
    <row r="860" spans="3:3">
      <c r="C860" s="21" t="s">
        <v>9531</v>
      </c>
    </row>
    <row r="861" spans="3:3">
      <c r="C861" s="21" t="s">
        <v>9532</v>
      </c>
    </row>
    <row r="862" spans="3:3">
      <c r="C862" s="21" t="s">
        <v>9533</v>
      </c>
    </row>
    <row r="863" spans="3:3">
      <c r="C863" s="21" t="s">
        <v>9534</v>
      </c>
    </row>
    <row r="864" spans="3:3">
      <c r="C864" s="21" t="s">
        <v>9535</v>
      </c>
    </row>
    <row r="865" spans="3:3">
      <c r="C865" s="21" t="s">
        <v>9536</v>
      </c>
    </row>
    <row r="866" spans="3:3">
      <c r="C866" s="21" t="s">
        <v>9537</v>
      </c>
    </row>
    <row r="867" spans="3:3">
      <c r="C867" s="21" t="s">
        <v>9538</v>
      </c>
    </row>
    <row r="868" spans="3:3">
      <c r="C868" s="21" t="s">
        <v>9539</v>
      </c>
    </row>
    <row r="869" spans="3:3">
      <c r="C869" s="21" t="s">
        <v>9540</v>
      </c>
    </row>
    <row r="870" spans="3:3">
      <c r="C870" s="21" t="s">
        <v>9541</v>
      </c>
    </row>
    <row r="871" spans="3:3">
      <c r="C871" s="21" t="s">
        <v>9542</v>
      </c>
    </row>
    <row r="872" spans="3:3">
      <c r="C872" s="21" t="s">
        <v>9543</v>
      </c>
    </row>
    <row r="873" spans="3:3">
      <c r="C873" s="21" t="s">
        <v>9544</v>
      </c>
    </row>
    <row r="874" spans="3:3">
      <c r="C874" s="21" t="s">
        <v>9545</v>
      </c>
    </row>
    <row r="875" spans="3:3">
      <c r="C875" s="21" t="s">
        <v>9546</v>
      </c>
    </row>
    <row r="876" spans="3:3">
      <c r="C876" s="21" t="s">
        <v>9547</v>
      </c>
    </row>
    <row r="877" spans="3:3">
      <c r="C877" s="21" t="s">
        <v>9548</v>
      </c>
    </row>
    <row r="878" spans="3:3">
      <c r="C878" s="21" t="s">
        <v>9549</v>
      </c>
    </row>
    <row r="879" spans="3:3">
      <c r="C879" s="21" t="s">
        <v>9550</v>
      </c>
    </row>
    <row r="880" spans="3:3">
      <c r="C880" s="21" t="s">
        <v>9551</v>
      </c>
    </row>
    <row r="881" spans="3:3">
      <c r="C881" s="21" t="s">
        <v>9552</v>
      </c>
    </row>
    <row r="882" spans="3:3">
      <c r="C882" s="21" t="s">
        <v>9553</v>
      </c>
    </row>
    <row r="883" spans="3:3">
      <c r="C883" s="21" t="s">
        <v>9554</v>
      </c>
    </row>
    <row r="884" spans="3:3">
      <c r="C884" s="21" t="s">
        <v>9555</v>
      </c>
    </row>
    <row r="885" spans="3:3">
      <c r="C885" s="21" t="s">
        <v>9556</v>
      </c>
    </row>
    <row r="886" spans="3:3">
      <c r="C886" s="21" t="s">
        <v>9557</v>
      </c>
    </row>
    <row r="887" spans="3:3">
      <c r="C887" s="21" t="s">
        <v>9558</v>
      </c>
    </row>
    <row r="888" spans="3:3">
      <c r="C888" s="21" t="s">
        <v>9559</v>
      </c>
    </row>
    <row r="889" spans="3:3">
      <c r="C889" s="21" t="s">
        <v>9560</v>
      </c>
    </row>
    <row r="890" spans="3:3">
      <c r="C890" s="21" t="s">
        <v>9561</v>
      </c>
    </row>
    <row r="891" spans="3:3">
      <c r="C891" s="21" t="s">
        <v>9562</v>
      </c>
    </row>
    <row r="892" spans="3:3">
      <c r="C892" s="21" t="s">
        <v>9563</v>
      </c>
    </row>
    <row r="893" spans="3:3">
      <c r="C893" s="21" t="s">
        <v>9564</v>
      </c>
    </row>
    <row r="894" spans="3:3">
      <c r="C894" s="21" t="s">
        <v>9565</v>
      </c>
    </row>
    <row r="895" spans="3:3">
      <c r="C895" s="21" t="s">
        <v>9566</v>
      </c>
    </row>
    <row r="896" spans="3:3">
      <c r="C896" s="21" t="s">
        <v>9567</v>
      </c>
    </row>
    <row r="897" spans="3:3">
      <c r="C897" s="21" t="s">
        <v>9568</v>
      </c>
    </row>
    <row r="898" spans="3:3">
      <c r="C898" s="21" t="s">
        <v>9569</v>
      </c>
    </row>
    <row r="899" spans="3:3">
      <c r="C899" s="21" t="s">
        <v>9570</v>
      </c>
    </row>
    <row r="900" spans="3:3">
      <c r="C900" s="21" t="s">
        <v>9571</v>
      </c>
    </row>
    <row r="901" spans="3:3">
      <c r="C901" s="21" t="s">
        <v>9572</v>
      </c>
    </row>
    <row r="902" spans="3:3">
      <c r="C902" s="21" t="s">
        <v>9573</v>
      </c>
    </row>
    <row r="903" spans="3:3">
      <c r="C903" s="21" t="s">
        <v>9574</v>
      </c>
    </row>
    <row r="904" spans="3:3">
      <c r="C904" s="21" t="s">
        <v>9575</v>
      </c>
    </row>
    <row r="905" spans="3:3">
      <c r="C905" s="21" t="s">
        <v>9576</v>
      </c>
    </row>
    <row r="906" spans="3:3">
      <c r="C906" s="21" t="s">
        <v>9577</v>
      </c>
    </row>
    <row r="907" spans="3:3">
      <c r="C907" s="21" t="s">
        <v>9578</v>
      </c>
    </row>
    <row r="908" spans="3:3">
      <c r="C908" s="21" t="s">
        <v>9579</v>
      </c>
    </row>
    <row r="909" spans="3:3">
      <c r="C909" s="21" t="s">
        <v>9580</v>
      </c>
    </row>
    <row r="910" spans="3:3">
      <c r="C910" s="21" t="s">
        <v>9581</v>
      </c>
    </row>
    <row r="911" spans="3:3">
      <c r="C911" s="21" t="s">
        <v>9582</v>
      </c>
    </row>
    <row r="912" spans="3:3">
      <c r="C912" s="21" t="s">
        <v>9583</v>
      </c>
    </row>
    <row r="913" spans="3:3">
      <c r="C913" s="21" t="s">
        <v>9584</v>
      </c>
    </row>
    <row r="914" spans="3:3">
      <c r="C914" s="21" t="s">
        <v>9585</v>
      </c>
    </row>
    <row r="915" spans="3:3">
      <c r="C915" s="21" t="s">
        <v>9586</v>
      </c>
    </row>
    <row r="916" spans="3:3">
      <c r="C916" s="21" t="s">
        <v>9587</v>
      </c>
    </row>
    <row r="917" spans="3:3">
      <c r="C917" s="21" t="s">
        <v>9588</v>
      </c>
    </row>
    <row r="918" spans="3:3">
      <c r="C918" s="21" t="s">
        <v>9589</v>
      </c>
    </row>
    <row r="919" spans="3:3">
      <c r="C919" s="21" t="s">
        <v>9590</v>
      </c>
    </row>
    <row r="920" spans="3:3">
      <c r="C920" s="21" t="s">
        <v>9591</v>
      </c>
    </row>
    <row r="921" spans="3:3">
      <c r="C921" s="21" t="s">
        <v>9592</v>
      </c>
    </row>
    <row r="922" spans="3:3">
      <c r="C922" s="21" t="s">
        <v>9593</v>
      </c>
    </row>
    <row r="923" spans="3:3">
      <c r="C923" s="21" t="s">
        <v>9594</v>
      </c>
    </row>
    <row r="924" spans="3:3">
      <c r="C924" s="21" t="s">
        <v>9595</v>
      </c>
    </row>
    <row r="925" spans="3:3">
      <c r="C925" s="21" t="s">
        <v>9596</v>
      </c>
    </row>
    <row r="926" spans="3:3">
      <c r="C926" s="21" t="s">
        <v>9597</v>
      </c>
    </row>
    <row r="927" spans="3:3">
      <c r="C927" s="21" t="s">
        <v>9598</v>
      </c>
    </row>
    <row r="928" spans="3:3">
      <c r="C928" s="21" t="s">
        <v>9599</v>
      </c>
    </row>
    <row r="929" spans="3:3">
      <c r="C929" s="21" t="s">
        <v>9600</v>
      </c>
    </row>
    <row r="930" spans="3:3">
      <c r="C930" s="21" t="s">
        <v>9601</v>
      </c>
    </row>
    <row r="931" spans="3:3">
      <c r="C931" s="21" t="s">
        <v>9602</v>
      </c>
    </row>
    <row r="932" spans="3:3">
      <c r="C932" s="21" t="s">
        <v>9603</v>
      </c>
    </row>
    <row r="933" spans="3:3">
      <c r="C933" s="21" t="s">
        <v>9604</v>
      </c>
    </row>
    <row r="934" spans="3:3">
      <c r="C934" s="21" t="s">
        <v>9605</v>
      </c>
    </row>
    <row r="935" spans="3:3">
      <c r="C935" s="21" t="s">
        <v>9606</v>
      </c>
    </row>
    <row r="936" spans="3:3">
      <c r="C936" s="21" t="s">
        <v>9607</v>
      </c>
    </row>
    <row r="937" spans="3:3">
      <c r="C937" s="21" t="s">
        <v>9608</v>
      </c>
    </row>
    <row r="938" spans="3:3">
      <c r="C938" s="21" t="s">
        <v>9609</v>
      </c>
    </row>
    <row r="939" spans="3:3">
      <c r="C939" s="21" t="s">
        <v>9610</v>
      </c>
    </row>
    <row r="940" spans="3:3">
      <c r="C940" s="21" t="s">
        <v>9611</v>
      </c>
    </row>
    <row r="941" spans="3:3">
      <c r="C941" s="21" t="s">
        <v>9612</v>
      </c>
    </row>
    <row r="942" spans="3:3">
      <c r="C942" s="21" t="s">
        <v>9613</v>
      </c>
    </row>
    <row r="943" spans="3:3">
      <c r="C943" s="21" t="s">
        <v>9614</v>
      </c>
    </row>
    <row r="944" spans="3:3">
      <c r="C944" s="21" t="s">
        <v>9615</v>
      </c>
    </row>
    <row r="945" spans="3:3">
      <c r="C945" s="21" t="s">
        <v>9616</v>
      </c>
    </row>
    <row r="946" spans="3:3">
      <c r="C946" s="21" t="s">
        <v>9617</v>
      </c>
    </row>
    <row r="947" spans="3:3">
      <c r="C947" s="21" t="s">
        <v>9618</v>
      </c>
    </row>
    <row r="948" spans="3:3">
      <c r="C948" s="21" t="s">
        <v>9619</v>
      </c>
    </row>
    <row r="949" spans="3:3">
      <c r="C949" s="21" t="s">
        <v>9620</v>
      </c>
    </row>
    <row r="950" spans="3:3">
      <c r="C950" s="21" t="s">
        <v>9621</v>
      </c>
    </row>
    <row r="951" spans="3:3">
      <c r="C951" s="21" t="s">
        <v>9622</v>
      </c>
    </row>
    <row r="952" spans="3:3">
      <c r="C952" s="21" t="s">
        <v>9623</v>
      </c>
    </row>
    <row r="953" spans="3:3">
      <c r="C953" s="21" t="s">
        <v>9624</v>
      </c>
    </row>
    <row r="954" spans="3:3">
      <c r="C954" s="21" t="s">
        <v>9625</v>
      </c>
    </row>
    <row r="955" spans="3:3">
      <c r="C955" s="21" t="s">
        <v>9626</v>
      </c>
    </row>
    <row r="956" spans="3:3">
      <c r="C956" s="21" t="s">
        <v>9627</v>
      </c>
    </row>
    <row r="957" spans="3:3">
      <c r="C957" s="21" t="s">
        <v>9628</v>
      </c>
    </row>
    <row r="958" spans="3:3">
      <c r="C958" s="21" t="s">
        <v>9629</v>
      </c>
    </row>
    <row r="959" spans="3:3">
      <c r="C959" s="21" t="s">
        <v>9630</v>
      </c>
    </row>
    <row r="960" spans="3:3">
      <c r="C960" s="21" t="s">
        <v>9631</v>
      </c>
    </row>
    <row r="961" spans="3:3">
      <c r="C961" s="21" t="s">
        <v>9632</v>
      </c>
    </row>
    <row r="962" spans="3:3">
      <c r="C962" s="21" t="s">
        <v>9633</v>
      </c>
    </row>
    <row r="963" spans="3:3">
      <c r="C963" s="21" t="s">
        <v>9634</v>
      </c>
    </row>
    <row r="964" spans="3:3">
      <c r="C964" s="21" t="s">
        <v>9635</v>
      </c>
    </row>
    <row r="965" spans="3:3">
      <c r="C965" s="21" t="s">
        <v>9636</v>
      </c>
    </row>
    <row r="966" spans="3:3">
      <c r="C966" s="21" t="s">
        <v>9637</v>
      </c>
    </row>
    <row r="967" spans="3:3">
      <c r="C967" s="21" t="s">
        <v>9638</v>
      </c>
    </row>
    <row r="968" spans="3:3">
      <c r="C968" s="21" t="s">
        <v>9639</v>
      </c>
    </row>
    <row r="969" spans="3:3">
      <c r="C969" s="21" t="s">
        <v>9640</v>
      </c>
    </row>
    <row r="970" spans="3:3">
      <c r="C970" s="21" t="s">
        <v>9641</v>
      </c>
    </row>
    <row r="971" spans="3:3">
      <c r="C971" s="21" t="s">
        <v>9642</v>
      </c>
    </row>
    <row r="972" spans="3:3">
      <c r="C972" s="21" t="s">
        <v>9643</v>
      </c>
    </row>
    <row r="973" spans="3:3">
      <c r="C973" s="21" t="s">
        <v>9644</v>
      </c>
    </row>
    <row r="974" spans="3:3">
      <c r="C974" s="21" t="s">
        <v>9645</v>
      </c>
    </row>
    <row r="975" spans="3:3">
      <c r="C975" s="21" t="s">
        <v>9646</v>
      </c>
    </row>
    <row r="976" spans="3:3">
      <c r="C976" s="21" t="s">
        <v>9647</v>
      </c>
    </row>
    <row r="977" spans="3:3">
      <c r="C977" s="21" t="s">
        <v>9648</v>
      </c>
    </row>
    <row r="978" spans="3:3">
      <c r="C978" s="21" t="s">
        <v>9649</v>
      </c>
    </row>
    <row r="979" spans="3:3">
      <c r="C979" s="21" t="s">
        <v>9650</v>
      </c>
    </row>
    <row r="980" spans="3:3">
      <c r="C980" s="21" t="s">
        <v>9651</v>
      </c>
    </row>
    <row r="981" spans="3:3">
      <c r="C981" s="21" t="s">
        <v>9652</v>
      </c>
    </row>
    <row r="982" spans="3:3">
      <c r="C982" s="21" t="s">
        <v>9653</v>
      </c>
    </row>
    <row r="983" spans="3:3">
      <c r="C983" s="21" t="s">
        <v>9654</v>
      </c>
    </row>
    <row r="984" spans="3:3">
      <c r="C984" s="21" t="s">
        <v>9655</v>
      </c>
    </row>
    <row r="985" spans="3:3">
      <c r="C985" s="21" t="s">
        <v>9656</v>
      </c>
    </row>
    <row r="986" spans="3:3">
      <c r="C986" s="21" t="s">
        <v>9657</v>
      </c>
    </row>
    <row r="987" spans="3:3">
      <c r="C987" s="21" t="s">
        <v>9658</v>
      </c>
    </row>
    <row r="988" spans="3:3">
      <c r="C988" s="21" t="s">
        <v>9659</v>
      </c>
    </row>
    <row r="989" spans="3:3">
      <c r="C989" s="21" t="s">
        <v>9660</v>
      </c>
    </row>
    <row r="990" spans="3:3">
      <c r="C990" s="21" t="s">
        <v>9661</v>
      </c>
    </row>
    <row r="991" spans="3:3">
      <c r="C991" s="21" t="s">
        <v>9662</v>
      </c>
    </row>
    <row r="992" spans="3:3">
      <c r="C992" s="21" t="s">
        <v>9663</v>
      </c>
    </row>
    <row r="993" spans="3:3">
      <c r="C993" s="21" t="s">
        <v>9664</v>
      </c>
    </row>
    <row r="994" spans="3:3">
      <c r="C994" s="21" t="s">
        <v>9665</v>
      </c>
    </row>
    <row r="995" spans="3:3">
      <c r="C995" s="21" t="s">
        <v>9666</v>
      </c>
    </row>
    <row r="996" spans="3:3">
      <c r="C996" s="21" t="s">
        <v>9667</v>
      </c>
    </row>
    <row r="997" spans="3:3">
      <c r="C997" s="21" t="s">
        <v>9668</v>
      </c>
    </row>
    <row r="998" spans="3:3">
      <c r="C998" s="21" t="s">
        <v>9669</v>
      </c>
    </row>
    <row r="999" spans="3:3">
      <c r="C999" s="21" t="s">
        <v>9670</v>
      </c>
    </row>
    <row r="1000" spans="3:3">
      <c r="C1000" s="21" t="s">
        <v>9671</v>
      </c>
    </row>
    <row r="1001" spans="3:3">
      <c r="C1001" s="21" t="s">
        <v>9672</v>
      </c>
    </row>
    <row r="1002" spans="3:3">
      <c r="C1002" s="21" t="s">
        <v>9673</v>
      </c>
    </row>
    <row r="1003" spans="3:3">
      <c r="C1003" s="21" t="s">
        <v>9674</v>
      </c>
    </row>
    <row r="1004" spans="3:3">
      <c r="C1004" s="21" t="s">
        <v>9675</v>
      </c>
    </row>
    <row r="1005" spans="3:3">
      <c r="C1005" s="21" t="s">
        <v>9676</v>
      </c>
    </row>
    <row r="1006" spans="3:3">
      <c r="C1006" s="21" t="s">
        <v>9677</v>
      </c>
    </row>
    <row r="1007" spans="3:3">
      <c r="C1007" s="21" t="s">
        <v>9678</v>
      </c>
    </row>
    <row r="1008" spans="3:3">
      <c r="C1008" s="21" t="s">
        <v>9679</v>
      </c>
    </row>
    <row r="1009" spans="3:3">
      <c r="C1009" s="21" t="s">
        <v>9680</v>
      </c>
    </row>
    <row r="1010" spans="3:3">
      <c r="C1010" s="21" t="s">
        <v>9681</v>
      </c>
    </row>
    <row r="1011" spans="3:3">
      <c r="C1011" s="21" t="s">
        <v>9682</v>
      </c>
    </row>
    <row r="1012" spans="3:3">
      <c r="C1012" s="21" t="s">
        <v>9683</v>
      </c>
    </row>
    <row r="1013" spans="3:3">
      <c r="C1013" s="21" t="s">
        <v>9684</v>
      </c>
    </row>
    <row r="1014" spans="3:3">
      <c r="C1014" s="21" t="s">
        <v>9685</v>
      </c>
    </row>
    <row r="1015" spans="3:3">
      <c r="C1015" s="21" t="s">
        <v>9686</v>
      </c>
    </row>
    <row r="1016" spans="3:3">
      <c r="C1016" s="21" t="s">
        <v>9687</v>
      </c>
    </row>
    <row r="1017" spans="3:3">
      <c r="C1017" s="21" t="s">
        <v>9688</v>
      </c>
    </row>
    <row r="1018" spans="3:3">
      <c r="C1018" s="21" t="s">
        <v>9689</v>
      </c>
    </row>
    <row r="1019" spans="3:3">
      <c r="C1019" s="21" t="s">
        <v>9690</v>
      </c>
    </row>
    <row r="1020" spans="3:3">
      <c r="C1020" s="21" t="s">
        <v>9691</v>
      </c>
    </row>
    <row r="1021" spans="3:3">
      <c r="C1021" s="21" t="s">
        <v>9692</v>
      </c>
    </row>
    <row r="1022" spans="3:3">
      <c r="C1022" s="21" t="s">
        <v>9693</v>
      </c>
    </row>
    <row r="1023" spans="3:3">
      <c r="C1023" s="21" t="s">
        <v>9694</v>
      </c>
    </row>
    <row r="1024" spans="3:3">
      <c r="C1024" s="21" t="s">
        <v>9695</v>
      </c>
    </row>
    <row r="1025" spans="3:3">
      <c r="C1025" s="21" t="s">
        <v>9696</v>
      </c>
    </row>
    <row r="1026" spans="3:3">
      <c r="C1026" s="21" t="s">
        <v>9697</v>
      </c>
    </row>
    <row r="1027" spans="3:3">
      <c r="C1027" s="21" t="s">
        <v>9698</v>
      </c>
    </row>
    <row r="1028" spans="3:3">
      <c r="C1028" s="21" t="s">
        <v>9699</v>
      </c>
    </row>
    <row r="1029" spans="3:3">
      <c r="C1029" s="21" t="s">
        <v>9700</v>
      </c>
    </row>
    <row r="1030" spans="3:3">
      <c r="C1030" s="21" t="s">
        <v>9701</v>
      </c>
    </row>
    <row r="1031" spans="3:3">
      <c r="C1031" s="21" t="s">
        <v>9702</v>
      </c>
    </row>
    <row r="1032" spans="3:3">
      <c r="C1032" s="21" t="s">
        <v>9703</v>
      </c>
    </row>
    <row r="1033" spans="3:3">
      <c r="C1033" s="21" t="s">
        <v>9704</v>
      </c>
    </row>
    <row r="1034" spans="3:3">
      <c r="C1034" s="21" t="s">
        <v>9705</v>
      </c>
    </row>
    <row r="1035" spans="3:3">
      <c r="C1035" s="21" t="s">
        <v>9706</v>
      </c>
    </row>
    <row r="1036" spans="3:3">
      <c r="C1036" s="21" t="s">
        <v>9707</v>
      </c>
    </row>
    <row r="1037" spans="3:3">
      <c r="C1037" s="21" t="s">
        <v>9708</v>
      </c>
    </row>
    <row r="1038" spans="3:3">
      <c r="C1038" s="21" t="s">
        <v>9709</v>
      </c>
    </row>
    <row r="1039" spans="3:3">
      <c r="C1039" s="21" t="s">
        <v>9710</v>
      </c>
    </row>
    <row r="1040" spans="3:3">
      <c r="C1040" s="21" t="s">
        <v>9711</v>
      </c>
    </row>
    <row r="1041" spans="3:3">
      <c r="C1041" s="21" t="s">
        <v>9712</v>
      </c>
    </row>
    <row r="1042" spans="3:3">
      <c r="C1042" s="21" t="s">
        <v>9713</v>
      </c>
    </row>
    <row r="1043" spans="3:3">
      <c r="C1043" s="21" t="s">
        <v>9714</v>
      </c>
    </row>
    <row r="1044" spans="3:3">
      <c r="C1044" s="21" t="s">
        <v>9715</v>
      </c>
    </row>
    <row r="1045" spans="3:3">
      <c r="C1045" s="21" t="s">
        <v>9716</v>
      </c>
    </row>
    <row r="1046" spans="3:3">
      <c r="C1046" s="21" t="s">
        <v>9717</v>
      </c>
    </row>
    <row r="1047" spans="3:3">
      <c r="C1047" s="21" t="s">
        <v>9718</v>
      </c>
    </row>
    <row r="1048" spans="3:3">
      <c r="C1048" s="21" t="s">
        <v>9719</v>
      </c>
    </row>
    <row r="1049" spans="3:3">
      <c r="C1049" s="21" t="s">
        <v>9720</v>
      </c>
    </row>
    <row r="1050" spans="3:3">
      <c r="C1050" s="21" t="s">
        <v>9721</v>
      </c>
    </row>
    <row r="1051" spans="3:3">
      <c r="C1051" s="21" t="s">
        <v>9722</v>
      </c>
    </row>
    <row r="1052" spans="3:3">
      <c r="C1052" s="21" t="s">
        <v>9723</v>
      </c>
    </row>
    <row r="1053" spans="3:3">
      <c r="C1053" s="21" t="s">
        <v>9724</v>
      </c>
    </row>
    <row r="1054" spans="3:3">
      <c r="C1054" s="21" t="s">
        <v>9725</v>
      </c>
    </row>
    <row r="1055" spans="3:3">
      <c r="C1055" s="21" t="s">
        <v>9726</v>
      </c>
    </row>
    <row r="1056" spans="3:3">
      <c r="C1056" s="21" t="s">
        <v>9727</v>
      </c>
    </row>
    <row r="1057" spans="3:3">
      <c r="C1057" s="21" t="s">
        <v>9728</v>
      </c>
    </row>
    <row r="1058" spans="3:3">
      <c r="C1058" s="21" t="s">
        <v>9729</v>
      </c>
    </row>
    <row r="1059" spans="3:3">
      <c r="C1059" s="21" t="s">
        <v>9730</v>
      </c>
    </row>
    <row r="1060" spans="3:3">
      <c r="C1060" s="21" t="s">
        <v>9731</v>
      </c>
    </row>
    <row r="1061" spans="3:3">
      <c r="C1061" s="21" t="s">
        <v>9732</v>
      </c>
    </row>
    <row r="1062" spans="3:3">
      <c r="C1062" s="21" t="s">
        <v>9733</v>
      </c>
    </row>
    <row r="1063" spans="3:3">
      <c r="C1063" s="21" t="s">
        <v>9734</v>
      </c>
    </row>
    <row r="1064" spans="3:3">
      <c r="C1064" s="21" t="s">
        <v>9735</v>
      </c>
    </row>
    <row r="1065" spans="3:3">
      <c r="C1065" s="21" t="s">
        <v>9736</v>
      </c>
    </row>
    <row r="1066" spans="3:3">
      <c r="C1066" s="21" t="s">
        <v>9737</v>
      </c>
    </row>
    <row r="1067" spans="3:3">
      <c r="C1067" s="21" t="s">
        <v>9738</v>
      </c>
    </row>
    <row r="1068" spans="3:3">
      <c r="C1068" s="21" t="s">
        <v>9739</v>
      </c>
    </row>
    <row r="1069" spans="3:3">
      <c r="C1069" s="21" t="s">
        <v>9740</v>
      </c>
    </row>
    <row r="1070" spans="3:3">
      <c r="C1070" s="21" t="s">
        <v>9741</v>
      </c>
    </row>
    <row r="1071" spans="3:3">
      <c r="C1071" s="21" t="s">
        <v>9742</v>
      </c>
    </row>
    <row r="1072" spans="3:3">
      <c r="C1072" s="21" t="s">
        <v>9743</v>
      </c>
    </row>
    <row r="1073" spans="3:3">
      <c r="C1073" s="21" t="s">
        <v>9744</v>
      </c>
    </row>
    <row r="1074" spans="3:3">
      <c r="C1074" s="21" t="s">
        <v>9745</v>
      </c>
    </row>
    <row r="1075" spans="3:3">
      <c r="C1075" s="21" t="s">
        <v>9746</v>
      </c>
    </row>
    <row r="1076" spans="3:3">
      <c r="C1076" s="21" t="s">
        <v>9747</v>
      </c>
    </row>
    <row r="1077" spans="3:3">
      <c r="C1077" s="21" t="s">
        <v>9748</v>
      </c>
    </row>
    <row r="1078" spans="3:3">
      <c r="C1078" s="21" t="s">
        <v>9749</v>
      </c>
    </row>
    <row r="1079" spans="3:3">
      <c r="C1079" s="21" t="s">
        <v>9750</v>
      </c>
    </row>
    <row r="1080" spans="3:3">
      <c r="C1080" s="21" t="s">
        <v>9751</v>
      </c>
    </row>
    <row r="1081" spans="3:3">
      <c r="C1081" s="21" t="s">
        <v>9752</v>
      </c>
    </row>
    <row r="1082" spans="3:3">
      <c r="C1082" s="21" t="s">
        <v>9753</v>
      </c>
    </row>
    <row r="1083" spans="3:3">
      <c r="C1083" s="21" t="s">
        <v>9754</v>
      </c>
    </row>
    <row r="1084" spans="3:3">
      <c r="C1084" s="21" t="s">
        <v>9755</v>
      </c>
    </row>
    <row r="1085" spans="3:3">
      <c r="C1085" s="21" t="s">
        <v>9756</v>
      </c>
    </row>
    <row r="1086" spans="3:3">
      <c r="C1086" s="21" t="s">
        <v>9757</v>
      </c>
    </row>
    <row r="1087" spans="3:3">
      <c r="C1087" s="21" t="s">
        <v>9758</v>
      </c>
    </row>
    <row r="1088" spans="3:3">
      <c r="C1088" s="21" t="s">
        <v>9759</v>
      </c>
    </row>
    <row r="1089" spans="3:3">
      <c r="C1089" s="21" t="s">
        <v>9760</v>
      </c>
    </row>
    <row r="1090" spans="3:3">
      <c r="C1090" s="21" t="s">
        <v>9761</v>
      </c>
    </row>
    <row r="1091" spans="3:3">
      <c r="C1091" s="21" t="s">
        <v>9762</v>
      </c>
    </row>
    <row r="1092" spans="3:3">
      <c r="C1092" s="21" t="s">
        <v>9763</v>
      </c>
    </row>
    <row r="1093" spans="3:3">
      <c r="C1093" s="21" t="s">
        <v>9764</v>
      </c>
    </row>
    <row r="1094" spans="3:3">
      <c r="C1094" s="21" t="s">
        <v>9765</v>
      </c>
    </row>
    <row r="1095" spans="3:3">
      <c r="C1095" s="21" t="s">
        <v>9766</v>
      </c>
    </row>
    <row r="1096" spans="3:3">
      <c r="C1096" s="21" t="s">
        <v>9767</v>
      </c>
    </row>
    <row r="1097" spans="3:3">
      <c r="C1097" s="21" t="s">
        <v>9768</v>
      </c>
    </row>
    <row r="1098" spans="3:3">
      <c r="C1098" s="21" t="s">
        <v>9769</v>
      </c>
    </row>
    <row r="1099" spans="3:3">
      <c r="C1099" s="21" t="s">
        <v>9770</v>
      </c>
    </row>
    <row r="1100" spans="3:3">
      <c r="C1100" s="21" t="s">
        <v>9771</v>
      </c>
    </row>
    <row r="1101" spans="3:3">
      <c r="C1101" s="21" t="s">
        <v>9772</v>
      </c>
    </row>
    <row r="1102" spans="3:3">
      <c r="C1102" s="21" t="s">
        <v>9773</v>
      </c>
    </row>
    <row r="1103" spans="3:3">
      <c r="C1103" s="21" t="s">
        <v>9774</v>
      </c>
    </row>
    <row r="1104" spans="3:3">
      <c r="C1104" s="21" t="s">
        <v>9775</v>
      </c>
    </row>
    <row r="1105" spans="3:3">
      <c r="C1105" s="21" t="s">
        <v>9776</v>
      </c>
    </row>
    <row r="1106" spans="3:3">
      <c r="C1106" s="21" t="s">
        <v>9777</v>
      </c>
    </row>
    <row r="1107" spans="3:3">
      <c r="C1107" s="21" t="s">
        <v>9778</v>
      </c>
    </row>
    <row r="1108" spans="3:3">
      <c r="C1108" s="21" t="s">
        <v>9779</v>
      </c>
    </row>
    <row r="1109" spans="3:3">
      <c r="C1109" s="21" t="s">
        <v>9780</v>
      </c>
    </row>
    <row r="1110" spans="3:3">
      <c r="C1110" s="21" t="s">
        <v>9781</v>
      </c>
    </row>
    <row r="1111" spans="3:3">
      <c r="C1111" s="21" t="s">
        <v>9782</v>
      </c>
    </row>
    <row r="1112" spans="3:3">
      <c r="C1112" s="21" t="s">
        <v>9783</v>
      </c>
    </row>
    <row r="1113" spans="3:3">
      <c r="C1113" s="21" t="s">
        <v>9784</v>
      </c>
    </row>
    <row r="1114" spans="3:3">
      <c r="C1114" s="21" t="s">
        <v>9785</v>
      </c>
    </row>
    <row r="1115" spans="3:3">
      <c r="C1115" s="21" t="s">
        <v>9786</v>
      </c>
    </row>
    <row r="1116" spans="3:3">
      <c r="C1116" s="21" t="s">
        <v>9787</v>
      </c>
    </row>
    <row r="1117" spans="3:3">
      <c r="C1117" s="21" t="s">
        <v>9788</v>
      </c>
    </row>
    <row r="1118" spans="3:3">
      <c r="C1118" s="21" t="s">
        <v>9789</v>
      </c>
    </row>
    <row r="1119" spans="3:3">
      <c r="C1119" s="21" t="s">
        <v>9790</v>
      </c>
    </row>
    <row r="1120" spans="3:3">
      <c r="C1120" s="21" t="s">
        <v>9791</v>
      </c>
    </row>
    <row r="1121" spans="3:3">
      <c r="C1121" s="21" t="s">
        <v>9792</v>
      </c>
    </row>
    <row r="1122" spans="3:3">
      <c r="C1122" s="21" t="s">
        <v>9793</v>
      </c>
    </row>
    <row r="1123" spans="3:3">
      <c r="C1123" s="21" t="s">
        <v>9794</v>
      </c>
    </row>
    <row r="1124" spans="3:3">
      <c r="C1124" s="21" t="s">
        <v>9795</v>
      </c>
    </row>
    <row r="1125" spans="3:3">
      <c r="C1125" s="21" t="s">
        <v>9796</v>
      </c>
    </row>
    <row r="1126" spans="3:3">
      <c r="C1126" s="21" t="s">
        <v>9797</v>
      </c>
    </row>
    <row r="1127" spans="3:3">
      <c r="C1127" s="21" t="s">
        <v>9798</v>
      </c>
    </row>
    <row r="1128" spans="3:3">
      <c r="C1128" s="21" t="s">
        <v>9799</v>
      </c>
    </row>
    <row r="1129" spans="3:3">
      <c r="C1129" s="21" t="s">
        <v>9800</v>
      </c>
    </row>
    <row r="1130" spans="3:3">
      <c r="C1130" s="21" t="s">
        <v>9801</v>
      </c>
    </row>
    <row r="1131" spans="3:3">
      <c r="C1131" s="21" t="s">
        <v>9802</v>
      </c>
    </row>
    <row r="1132" spans="3:3">
      <c r="C1132" s="21" t="s">
        <v>9803</v>
      </c>
    </row>
    <row r="1133" spans="3:3">
      <c r="C1133" s="21" t="s">
        <v>9804</v>
      </c>
    </row>
    <row r="1134" spans="3:3">
      <c r="C1134" s="21" t="s">
        <v>9805</v>
      </c>
    </row>
    <row r="1135" spans="3:3">
      <c r="C1135" s="21" t="s">
        <v>9806</v>
      </c>
    </row>
    <row r="1136" spans="3:3">
      <c r="C1136" s="21" t="s">
        <v>9807</v>
      </c>
    </row>
    <row r="1137" spans="3:3">
      <c r="C1137" s="21" t="s">
        <v>9808</v>
      </c>
    </row>
    <row r="1138" spans="3:3">
      <c r="C1138" s="21" t="s">
        <v>9809</v>
      </c>
    </row>
    <row r="1139" spans="3:3">
      <c r="C1139" s="21" t="s">
        <v>9810</v>
      </c>
    </row>
    <row r="1140" spans="3:3">
      <c r="C1140" s="21" t="s">
        <v>9811</v>
      </c>
    </row>
    <row r="1141" spans="3:3">
      <c r="C1141" s="21" t="s">
        <v>9812</v>
      </c>
    </row>
    <row r="1142" spans="3:3">
      <c r="C1142" s="21" t="s">
        <v>9813</v>
      </c>
    </row>
    <row r="1143" spans="3:3">
      <c r="C1143" s="21" t="s">
        <v>9814</v>
      </c>
    </row>
    <row r="1144" spans="3:3">
      <c r="C1144" s="21" t="s">
        <v>9815</v>
      </c>
    </row>
    <row r="1145" spans="3:3">
      <c r="C1145" s="21" t="s">
        <v>9816</v>
      </c>
    </row>
    <row r="1146" spans="3:3">
      <c r="C1146" s="21" t="s">
        <v>9817</v>
      </c>
    </row>
    <row r="1147" spans="3:3">
      <c r="C1147" s="21" t="s">
        <v>9818</v>
      </c>
    </row>
    <row r="1148" spans="3:3">
      <c r="C1148" s="21" t="s">
        <v>9819</v>
      </c>
    </row>
    <row r="1149" spans="3:3">
      <c r="C1149" s="21" t="s">
        <v>9820</v>
      </c>
    </row>
    <row r="1150" spans="3:3">
      <c r="C1150" s="21" t="s">
        <v>9821</v>
      </c>
    </row>
    <row r="1151" spans="3:3">
      <c r="C1151" s="21" t="s">
        <v>9822</v>
      </c>
    </row>
    <row r="1152" spans="3:3">
      <c r="C1152" s="21" t="s">
        <v>9823</v>
      </c>
    </row>
    <row r="1153" spans="3:3">
      <c r="C1153" s="21" t="s">
        <v>9824</v>
      </c>
    </row>
    <row r="1154" spans="3:3">
      <c r="C1154" s="21" t="s">
        <v>9825</v>
      </c>
    </row>
    <row r="1155" spans="3:3">
      <c r="C1155" s="21" t="s">
        <v>9826</v>
      </c>
    </row>
    <row r="1156" spans="3:3">
      <c r="C1156" s="21" t="s">
        <v>9827</v>
      </c>
    </row>
    <row r="1157" spans="3:3">
      <c r="C1157" s="21" t="s">
        <v>9828</v>
      </c>
    </row>
    <row r="1158" spans="3:3">
      <c r="C1158" s="21" t="s">
        <v>9829</v>
      </c>
    </row>
    <row r="1159" spans="3:3">
      <c r="C1159" s="21" t="s">
        <v>9830</v>
      </c>
    </row>
    <row r="1160" spans="3:3">
      <c r="C1160" s="21" t="s">
        <v>9831</v>
      </c>
    </row>
    <row r="1161" spans="3:3">
      <c r="C1161" s="21" t="s">
        <v>9832</v>
      </c>
    </row>
    <row r="1162" spans="3:3">
      <c r="C1162" s="21" t="s">
        <v>9833</v>
      </c>
    </row>
    <row r="1163" spans="3:3">
      <c r="C1163" s="21" t="s">
        <v>9834</v>
      </c>
    </row>
    <row r="1164" spans="3:3">
      <c r="C1164" s="21" t="s">
        <v>9835</v>
      </c>
    </row>
    <row r="1165" spans="3:3">
      <c r="C1165" s="21" t="s">
        <v>9836</v>
      </c>
    </row>
    <row r="1166" spans="3:3">
      <c r="C1166" s="21" t="s">
        <v>9837</v>
      </c>
    </row>
    <row r="1167" spans="3:3">
      <c r="C1167" s="21" t="s">
        <v>9838</v>
      </c>
    </row>
    <row r="1168" spans="3:3">
      <c r="C1168" s="21" t="s">
        <v>9839</v>
      </c>
    </row>
    <row r="1169" spans="3:3">
      <c r="C1169" s="21" t="s">
        <v>9840</v>
      </c>
    </row>
    <row r="1170" spans="3:3">
      <c r="C1170" s="21" t="s">
        <v>9841</v>
      </c>
    </row>
    <row r="1171" spans="3:3">
      <c r="C1171" s="21" t="s">
        <v>9842</v>
      </c>
    </row>
    <row r="1172" spans="3:3">
      <c r="C1172" s="21" t="s">
        <v>9843</v>
      </c>
    </row>
    <row r="1173" spans="3:3">
      <c r="C1173" s="21" t="s">
        <v>9844</v>
      </c>
    </row>
    <row r="1174" spans="3:3">
      <c r="C1174" s="21" t="s">
        <v>9845</v>
      </c>
    </row>
    <row r="1175" spans="3:3">
      <c r="C1175" s="21" t="s">
        <v>9846</v>
      </c>
    </row>
    <row r="1176" spans="3:3">
      <c r="C1176" s="21" t="s">
        <v>9847</v>
      </c>
    </row>
    <row r="1177" spans="3:3">
      <c r="C1177" s="21" t="s">
        <v>9848</v>
      </c>
    </row>
    <row r="1178" spans="3:3">
      <c r="C1178" s="21" t="s">
        <v>9849</v>
      </c>
    </row>
    <row r="1179" spans="3:3">
      <c r="C1179" s="21" t="s">
        <v>9850</v>
      </c>
    </row>
    <row r="1180" spans="3:3">
      <c r="C1180" s="21" t="s">
        <v>9851</v>
      </c>
    </row>
    <row r="1181" spans="3:3">
      <c r="C1181" s="21" t="s">
        <v>9852</v>
      </c>
    </row>
    <row r="1182" spans="3:3">
      <c r="C1182" s="21" t="s">
        <v>9853</v>
      </c>
    </row>
    <row r="1183" spans="3:3">
      <c r="C1183" s="21" t="s">
        <v>9854</v>
      </c>
    </row>
    <row r="1184" spans="3:3">
      <c r="C1184" s="21" t="s">
        <v>9855</v>
      </c>
    </row>
    <row r="1185" spans="3:3">
      <c r="C1185" s="21" t="s">
        <v>9856</v>
      </c>
    </row>
    <row r="1186" spans="3:3">
      <c r="C1186" s="21" t="s">
        <v>9857</v>
      </c>
    </row>
    <row r="1187" spans="3:3">
      <c r="C1187" s="21" t="s">
        <v>9858</v>
      </c>
    </row>
    <row r="1188" spans="3:3">
      <c r="C1188" s="21" t="s">
        <v>9859</v>
      </c>
    </row>
    <row r="1189" spans="3:3">
      <c r="C1189" s="21" t="s">
        <v>9860</v>
      </c>
    </row>
    <row r="1190" spans="3:3">
      <c r="C1190" s="21" t="s">
        <v>9861</v>
      </c>
    </row>
    <row r="1191" spans="3:3">
      <c r="C1191" s="21" t="s">
        <v>9862</v>
      </c>
    </row>
    <row r="1192" spans="3:3">
      <c r="C1192" s="21" t="s">
        <v>9863</v>
      </c>
    </row>
    <row r="1193" spans="3:3">
      <c r="C1193" s="21" t="s">
        <v>9864</v>
      </c>
    </row>
    <row r="1194" spans="3:3">
      <c r="C1194" s="21" t="s">
        <v>9865</v>
      </c>
    </row>
    <row r="1195" spans="3:3">
      <c r="C1195" s="21" t="s">
        <v>9866</v>
      </c>
    </row>
    <row r="1196" spans="3:3">
      <c r="C1196" s="21" t="s">
        <v>9867</v>
      </c>
    </row>
    <row r="1197" spans="3:3">
      <c r="C1197" s="21" t="s">
        <v>9868</v>
      </c>
    </row>
    <row r="1198" spans="3:3">
      <c r="C1198" s="21" t="s">
        <v>9869</v>
      </c>
    </row>
    <row r="1199" spans="3:3">
      <c r="C1199" s="21" t="s">
        <v>9870</v>
      </c>
    </row>
    <row r="1200" spans="3:3">
      <c r="C1200" s="21" t="s">
        <v>9871</v>
      </c>
    </row>
    <row r="1201" spans="3:3">
      <c r="C1201" s="21" t="s">
        <v>9872</v>
      </c>
    </row>
    <row r="1202" spans="3:3">
      <c r="C1202" s="21" t="s">
        <v>9873</v>
      </c>
    </row>
    <row r="1203" spans="3:3">
      <c r="C1203" s="21" t="s">
        <v>9874</v>
      </c>
    </row>
    <row r="1204" spans="3:3">
      <c r="C1204" s="21" t="s">
        <v>9875</v>
      </c>
    </row>
    <row r="1205" spans="3:3">
      <c r="C1205" s="21" t="s">
        <v>9876</v>
      </c>
    </row>
    <row r="1206" spans="3:3">
      <c r="C1206" s="21" t="s">
        <v>9877</v>
      </c>
    </row>
    <row r="1207" spans="3:3">
      <c r="C1207" s="21" t="s">
        <v>9878</v>
      </c>
    </row>
    <row r="1208" spans="3:3">
      <c r="C1208" s="21" t="s">
        <v>9879</v>
      </c>
    </row>
    <row r="1209" spans="3:3">
      <c r="C1209" s="21" t="s">
        <v>9880</v>
      </c>
    </row>
    <row r="1210" spans="3:3">
      <c r="C1210" s="21" t="s">
        <v>9881</v>
      </c>
    </row>
    <row r="1211" spans="3:3">
      <c r="C1211" s="21" t="s">
        <v>9882</v>
      </c>
    </row>
    <row r="1212" spans="3:3">
      <c r="C1212" s="21" t="s">
        <v>9883</v>
      </c>
    </row>
    <row r="1213" spans="3:3">
      <c r="C1213" s="21" t="s">
        <v>9884</v>
      </c>
    </row>
    <row r="1214" spans="3:3">
      <c r="C1214" s="21" t="s">
        <v>9885</v>
      </c>
    </row>
    <row r="1215" spans="3:3">
      <c r="C1215" s="21" t="s">
        <v>9886</v>
      </c>
    </row>
    <row r="1216" spans="3:3">
      <c r="C1216" s="21" t="s">
        <v>9887</v>
      </c>
    </row>
    <row r="1217" spans="3:3">
      <c r="C1217" s="21" t="s">
        <v>9888</v>
      </c>
    </row>
    <row r="1218" spans="3:3">
      <c r="C1218" s="21" t="s">
        <v>9889</v>
      </c>
    </row>
    <row r="1219" spans="3:3">
      <c r="C1219" s="21" t="s">
        <v>9890</v>
      </c>
    </row>
    <row r="1220" spans="3:3">
      <c r="C1220" s="21" t="s">
        <v>9891</v>
      </c>
    </row>
    <row r="1221" spans="3:3">
      <c r="C1221" s="21" t="s">
        <v>9892</v>
      </c>
    </row>
    <row r="1222" spans="3:3">
      <c r="C1222" s="21" t="s">
        <v>9893</v>
      </c>
    </row>
    <row r="1223" spans="3:3">
      <c r="C1223" s="21" t="s">
        <v>9894</v>
      </c>
    </row>
    <row r="1224" spans="3:3">
      <c r="C1224" s="21" t="s">
        <v>9895</v>
      </c>
    </row>
    <row r="1225" spans="3:3">
      <c r="C1225" s="21" t="s">
        <v>9896</v>
      </c>
    </row>
    <row r="1226" spans="3:3">
      <c r="C1226" s="21" t="s">
        <v>9897</v>
      </c>
    </row>
    <row r="1227" spans="3:3">
      <c r="C1227" s="21" t="s">
        <v>9898</v>
      </c>
    </row>
    <row r="1228" spans="3:3">
      <c r="C1228" s="21" t="s">
        <v>9899</v>
      </c>
    </row>
    <row r="1229" spans="3:3">
      <c r="C1229" s="21" t="s">
        <v>9900</v>
      </c>
    </row>
    <row r="1230" spans="3:3">
      <c r="C1230" s="21" t="s">
        <v>9901</v>
      </c>
    </row>
    <row r="1231" spans="3:3">
      <c r="C1231" s="21" t="s">
        <v>9902</v>
      </c>
    </row>
    <row r="1232" spans="3:3">
      <c r="C1232" s="21" t="s">
        <v>9903</v>
      </c>
    </row>
    <row r="1233" spans="3:3">
      <c r="C1233" s="21" t="s">
        <v>9904</v>
      </c>
    </row>
    <row r="1234" spans="3:3">
      <c r="C1234" s="21" t="s">
        <v>9905</v>
      </c>
    </row>
    <row r="1235" spans="3:3">
      <c r="C1235" s="21" t="s">
        <v>9906</v>
      </c>
    </row>
    <row r="1236" spans="3:3">
      <c r="C1236" s="21" t="s">
        <v>9907</v>
      </c>
    </row>
    <row r="1237" spans="3:3">
      <c r="C1237" s="21" t="s">
        <v>9908</v>
      </c>
    </row>
    <row r="1238" spans="3:3">
      <c r="C1238" s="21" t="s">
        <v>9909</v>
      </c>
    </row>
    <row r="1239" spans="3:3">
      <c r="C1239" s="21" t="s">
        <v>9910</v>
      </c>
    </row>
    <row r="1240" spans="3:3">
      <c r="C1240" s="21" t="s">
        <v>9911</v>
      </c>
    </row>
    <row r="1241" spans="3:3">
      <c r="C1241" s="21" t="s">
        <v>9912</v>
      </c>
    </row>
    <row r="1242" spans="3:3">
      <c r="C1242" s="21" t="s">
        <v>9913</v>
      </c>
    </row>
    <row r="1243" spans="3:3">
      <c r="C1243" s="21" t="s">
        <v>9914</v>
      </c>
    </row>
    <row r="1244" spans="3:3">
      <c r="C1244" s="21" t="s">
        <v>9915</v>
      </c>
    </row>
    <row r="1245" spans="3:3">
      <c r="C1245" s="21" t="s">
        <v>9916</v>
      </c>
    </row>
    <row r="1246" spans="3:3">
      <c r="C1246" s="21" t="s">
        <v>9917</v>
      </c>
    </row>
    <row r="1247" spans="3:3">
      <c r="C1247" s="21" t="s">
        <v>9918</v>
      </c>
    </row>
    <row r="1248" spans="3:3">
      <c r="C1248" s="21" t="s">
        <v>9919</v>
      </c>
    </row>
    <row r="1249" spans="3:3">
      <c r="C1249" s="21" t="s">
        <v>9920</v>
      </c>
    </row>
    <row r="1250" spans="3:3">
      <c r="C1250" s="21" t="s">
        <v>9921</v>
      </c>
    </row>
    <row r="1251" spans="3:3">
      <c r="C1251" s="21" t="s">
        <v>9922</v>
      </c>
    </row>
    <row r="1252" spans="3:3">
      <c r="C1252" s="21" t="s">
        <v>9923</v>
      </c>
    </row>
    <row r="1253" spans="3:3">
      <c r="C1253" s="21" t="s">
        <v>9924</v>
      </c>
    </row>
    <row r="1254" spans="3:3">
      <c r="C1254" s="21" t="s">
        <v>9925</v>
      </c>
    </row>
    <row r="1255" spans="3:3">
      <c r="C1255" s="21" t="s">
        <v>9926</v>
      </c>
    </row>
    <row r="1256" spans="3:3">
      <c r="C1256" s="21" t="s">
        <v>9927</v>
      </c>
    </row>
    <row r="1257" spans="3:3">
      <c r="C1257" s="21" t="s">
        <v>9928</v>
      </c>
    </row>
    <row r="1258" spans="3:3">
      <c r="C1258" s="21" t="s">
        <v>9929</v>
      </c>
    </row>
    <row r="1259" spans="3:3">
      <c r="C1259" s="21" t="s">
        <v>9930</v>
      </c>
    </row>
    <row r="1260" spans="3:3">
      <c r="C1260" s="21" t="s">
        <v>9931</v>
      </c>
    </row>
    <row r="1261" spans="3:3">
      <c r="C1261" s="21" t="s">
        <v>9932</v>
      </c>
    </row>
    <row r="1262" spans="3:3">
      <c r="C1262" s="21" t="s">
        <v>9933</v>
      </c>
    </row>
    <row r="1263" spans="3:3">
      <c r="C1263" s="21" t="s">
        <v>9934</v>
      </c>
    </row>
    <row r="1264" spans="3:3">
      <c r="C1264" s="21" t="s">
        <v>9935</v>
      </c>
    </row>
    <row r="1265" spans="3:3">
      <c r="C1265" s="21" t="s">
        <v>9936</v>
      </c>
    </row>
    <row r="1266" spans="3:3">
      <c r="C1266" s="21" t="s">
        <v>9937</v>
      </c>
    </row>
    <row r="1267" spans="3:3">
      <c r="C1267" s="21" t="s">
        <v>9938</v>
      </c>
    </row>
    <row r="1268" spans="3:3">
      <c r="C1268" s="21" t="s">
        <v>9939</v>
      </c>
    </row>
    <row r="1269" spans="3:3">
      <c r="C1269" s="21" t="s">
        <v>9940</v>
      </c>
    </row>
    <row r="1270" spans="3:3">
      <c r="C1270" s="21" t="s">
        <v>9941</v>
      </c>
    </row>
    <row r="1271" spans="3:3">
      <c r="C1271" s="21" t="s">
        <v>9942</v>
      </c>
    </row>
    <row r="1272" spans="3:3">
      <c r="C1272" s="21" t="s">
        <v>9943</v>
      </c>
    </row>
    <row r="1273" spans="3:3">
      <c r="C1273" s="21" t="s">
        <v>9944</v>
      </c>
    </row>
    <row r="1274" spans="3:3">
      <c r="C1274" s="21" t="s">
        <v>9945</v>
      </c>
    </row>
    <row r="1275" spans="3:3">
      <c r="C1275" s="21" t="s">
        <v>9946</v>
      </c>
    </row>
    <row r="1276" spans="3:3">
      <c r="C1276" s="21" t="s">
        <v>9947</v>
      </c>
    </row>
    <row r="1277" spans="3:3">
      <c r="C1277" s="21" t="s">
        <v>9948</v>
      </c>
    </row>
    <row r="1278" spans="3:3">
      <c r="C1278" s="21" t="s">
        <v>9949</v>
      </c>
    </row>
    <row r="1279" spans="3:3">
      <c r="C1279" s="21" t="s">
        <v>9950</v>
      </c>
    </row>
    <row r="1280" spans="3:3">
      <c r="C1280" s="21" t="s">
        <v>9951</v>
      </c>
    </row>
    <row r="1281" spans="3:3">
      <c r="C1281" s="21" t="s">
        <v>9952</v>
      </c>
    </row>
    <row r="1282" spans="3:3">
      <c r="C1282" s="21" t="s">
        <v>9953</v>
      </c>
    </row>
    <row r="1283" spans="3:3">
      <c r="C1283" s="21" t="s">
        <v>9954</v>
      </c>
    </row>
    <row r="1284" spans="3:3">
      <c r="C1284" s="21" t="s">
        <v>9955</v>
      </c>
    </row>
    <row r="1285" spans="3:3">
      <c r="C1285" s="21" t="s">
        <v>9956</v>
      </c>
    </row>
    <row r="1286" spans="3:3">
      <c r="C1286" s="21" t="s">
        <v>9957</v>
      </c>
    </row>
    <row r="1287" spans="3:3">
      <c r="C1287" s="21" t="s">
        <v>9958</v>
      </c>
    </row>
    <row r="1288" spans="3:3">
      <c r="C1288" s="21" t="s">
        <v>9959</v>
      </c>
    </row>
    <row r="1289" spans="3:3">
      <c r="C1289" s="21" t="s">
        <v>9960</v>
      </c>
    </row>
    <row r="1290" spans="3:3">
      <c r="C1290" s="21" t="s">
        <v>9961</v>
      </c>
    </row>
    <row r="1291" spans="3:3">
      <c r="C1291" s="21" t="s">
        <v>9962</v>
      </c>
    </row>
    <row r="1292" spans="3:3">
      <c r="C1292" s="21" t="s">
        <v>9963</v>
      </c>
    </row>
    <row r="1293" spans="3:3">
      <c r="C1293" s="21" t="s">
        <v>9964</v>
      </c>
    </row>
    <row r="1294" spans="3:3">
      <c r="C1294" s="21" t="s">
        <v>9965</v>
      </c>
    </row>
    <row r="1295" spans="3:3">
      <c r="C1295" s="21" t="s">
        <v>9966</v>
      </c>
    </row>
    <row r="1296" spans="3:3">
      <c r="C1296" s="21" t="s">
        <v>9967</v>
      </c>
    </row>
    <row r="1297" spans="3:3">
      <c r="C1297" s="21" t="s">
        <v>9968</v>
      </c>
    </row>
    <row r="1298" spans="3:3">
      <c r="C1298" s="21" t="s">
        <v>9969</v>
      </c>
    </row>
    <row r="1299" spans="3:3">
      <c r="C1299" s="21" t="s">
        <v>9970</v>
      </c>
    </row>
    <row r="1300" spans="3:3">
      <c r="C1300" s="21" t="s">
        <v>9971</v>
      </c>
    </row>
    <row r="1301" spans="3:3">
      <c r="C1301" s="21" t="s">
        <v>9972</v>
      </c>
    </row>
    <row r="1302" spans="3:3">
      <c r="C1302" s="21" t="s">
        <v>9973</v>
      </c>
    </row>
    <row r="1303" spans="3:3">
      <c r="C1303" s="21" t="s">
        <v>9974</v>
      </c>
    </row>
    <row r="1304" spans="3:3">
      <c r="C1304" s="21" t="s">
        <v>9975</v>
      </c>
    </row>
    <row r="1305" spans="3:3">
      <c r="C1305" s="21" t="s">
        <v>9976</v>
      </c>
    </row>
    <row r="1306" spans="3:3">
      <c r="C1306" s="21" t="s">
        <v>9977</v>
      </c>
    </row>
    <row r="1307" spans="3:3">
      <c r="C1307" s="21" t="s">
        <v>9978</v>
      </c>
    </row>
    <row r="1308" spans="3:3">
      <c r="C1308" s="21" t="s">
        <v>9979</v>
      </c>
    </row>
    <row r="1309" spans="3:3">
      <c r="C1309" s="21" t="s">
        <v>9980</v>
      </c>
    </row>
    <row r="1310" spans="3:3">
      <c r="C1310" s="21" t="s">
        <v>9981</v>
      </c>
    </row>
    <row r="1311" spans="3:3">
      <c r="C1311" s="21" t="s">
        <v>9982</v>
      </c>
    </row>
    <row r="1312" spans="3:3">
      <c r="C1312" s="21" t="s">
        <v>9983</v>
      </c>
    </row>
    <row r="1313" spans="3:3">
      <c r="C1313" s="21" t="s">
        <v>9984</v>
      </c>
    </row>
    <row r="1314" spans="3:3">
      <c r="C1314" s="21" t="s">
        <v>9985</v>
      </c>
    </row>
    <row r="1315" spans="3:3">
      <c r="C1315" s="21" t="s">
        <v>9986</v>
      </c>
    </row>
    <row r="1316" spans="3:3">
      <c r="C1316" s="21" t="s">
        <v>9987</v>
      </c>
    </row>
    <row r="1317" spans="3:3">
      <c r="C1317" s="21" t="s">
        <v>9988</v>
      </c>
    </row>
    <row r="1318" spans="3:3">
      <c r="C1318" s="21" t="s">
        <v>9989</v>
      </c>
    </row>
    <row r="1319" spans="3:3">
      <c r="C1319" s="21" t="s">
        <v>9990</v>
      </c>
    </row>
    <row r="1320" spans="3:3">
      <c r="C1320" s="21" t="s">
        <v>9991</v>
      </c>
    </row>
    <row r="1321" spans="3:3">
      <c r="C1321" s="21" t="s">
        <v>9992</v>
      </c>
    </row>
    <row r="1322" spans="3:3">
      <c r="C1322" s="21" t="s">
        <v>9993</v>
      </c>
    </row>
    <row r="1323" spans="3:3">
      <c r="C1323" s="21" t="s">
        <v>9994</v>
      </c>
    </row>
    <row r="1324" spans="3:3">
      <c r="C1324" s="21" t="s">
        <v>9995</v>
      </c>
    </row>
    <row r="1325" spans="3:3">
      <c r="C1325" s="21" t="s">
        <v>9996</v>
      </c>
    </row>
    <row r="1326" spans="3:3">
      <c r="C1326" s="21" t="s">
        <v>9997</v>
      </c>
    </row>
    <row r="1327" spans="3:3">
      <c r="C1327" s="21" t="s">
        <v>9998</v>
      </c>
    </row>
    <row r="1328" spans="3:3">
      <c r="C1328" s="21" t="s">
        <v>9999</v>
      </c>
    </row>
    <row r="1329" spans="3:3">
      <c r="C1329" s="21" t="s">
        <v>10000</v>
      </c>
    </row>
    <row r="1330" spans="3:3">
      <c r="C1330" s="21" t="s">
        <v>10001</v>
      </c>
    </row>
    <row r="1331" spans="3:3">
      <c r="C1331" s="21" t="s">
        <v>10002</v>
      </c>
    </row>
    <row r="1332" spans="3:3">
      <c r="C1332" s="21" t="s">
        <v>10003</v>
      </c>
    </row>
    <row r="1333" spans="3:3">
      <c r="C1333" s="21" t="s">
        <v>10004</v>
      </c>
    </row>
    <row r="1334" spans="3:3">
      <c r="C1334" s="21" t="s">
        <v>10005</v>
      </c>
    </row>
    <row r="1335" spans="3:3">
      <c r="C1335" s="21" t="s">
        <v>10006</v>
      </c>
    </row>
    <row r="1336" spans="3:3">
      <c r="C1336" s="21" t="s">
        <v>10007</v>
      </c>
    </row>
    <row r="1337" spans="3:3">
      <c r="C1337" s="21" t="s">
        <v>10008</v>
      </c>
    </row>
    <row r="1338" spans="3:3">
      <c r="C1338" s="21" t="s">
        <v>10009</v>
      </c>
    </row>
    <row r="1339" spans="3:3">
      <c r="C1339" s="21" t="s">
        <v>10010</v>
      </c>
    </row>
    <row r="1340" spans="3:3">
      <c r="C1340" s="21" t="s">
        <v>10011</v>
      </c>
    </row>
    <row r="1341" spans="3:3">
      <c r="C1341" s="21" t="s">
        <v>10012</v>
      </c>
    </row>
    <row r="1342" spans="3:3">
      <c r="C1342" s="21" t="s">
        <v>10013</v>
      </c>
    </row>
    <row r="1343" spans="3:3">
      <c r="C1343" s="21" t="s">
        <v>10014</v>
      </c>
    </row>
    <row r="1344" spans="3:3">
      <c r="C1344" s="21" t="s">
        <v>10015</v>
      </c>
    </row>
    <row r="1345" spans="3:3">
      <c r="C1345" s="21" t="s">
        <v>10016</v>
      </c>
    </row>
    <row r="1346" spans="3:3">
      <c r="C1346" s="21" t="s">
        <v>10017</v>
      </c>
    </row>
    <row r="1347" spans="3:3">
      <c r="C1347" s="21" t="s">
        <v>10018</v>
      </c>
    </row>
    <row r="1348" spans="3:3">
      <c r="C1348" s="21" t="s">
        <v>10019</v>
      </c>
    </row>
    <row r="1349" spans="3:3">
      <c r="C1349" s="21" t="s">
        <v>10020</v>
      </c>
    </row>
    <row r="1350" spans="3:3">
      <c r="C1350" s="21" t="s">
        <v>10021</v>
      </c>
    </row>
    <row r="1351" spans="3:3">
      <c r="C1351" s="21" t="s">
        <v>10022</v>
      </c>
    </row>
    <row r="1352" spans="3:3">
      <c r="C1352" s="21" t="s">
        <v>10023</v>
      </c>
    </row>
    <row r="1353" spans="3:3">
      <c r="C1353" s="21" t="s">
        <v>10024</v>
      </c>
    </row>
    <row r="1354" spans="3:3">
      <c r="C1354" s="21" t="s">
        <v>10025</v>
      </c>
    </row>
    <row r="1355" spans="3:3">
      <c r="C1355" s="21" t="s">
        <v>10026</v>
      </c>
    </row>
    <row r="1356" spans="3:3">
      <c r="C1356" s="21" t="s">
        <v>10027</v>
      </c>
    </row>
    <row r="1357" spans="3:3">
      <c r="C1357" s="21" t="s">
        <v>10028</v>
      </c>
    </row>
    <row r="1358" spans="3:3">
      <c r="C1358" s="21" t="s">
        <v>10029</v>
      </c>
    </row>
    <row r="1359" spans="3:3">
      <c r="C1359" s="21" t="s">
        <v>10030</v>
      </c>
    </row>
    <row r="1360" spans="3:3">
      <c r="C1360" s="21" t="s">
        <v>10031</v>
      </c>
    </row>
    <row r="1361" spans="3:3">
      <c r="C1361" s="21" t="s">
        <v>10032</v>
      </c>
    </row>
    <row r="1362" spans="3:3">
      <c r="C1362" s="21" t="s">
        <v>10033</v>
      </c>
    </row>
    <row r="1363" spans="3:3">
      <c r="C1363" s="21" t="s">
        <v>10034</v>
      </c>
    </row>
    <row r="1364" spans="3:3">
      <c r="C1364" s="21" t="s">
        <v>10035</v>
      </c>
    </row>
    <row r="1365" spans="3:3">
      <c r="C1365" s="21" t="s">
        <v>10036</v>
      </c>
    </row>
    <row r="1366" spans="3:3">
      <c r="C1366" s="21" t="s">
        <v>10037</v>
      </c>
    </row>
    <row r="1367" spans="3:3">
      <c r="C1367" s="21" t="s">
        <v>10038</v>
      </c>
    </row>
    <row r="1368" spans="3:3">
      <c r="C1368" s="21" t="s">
        <v>10039</v>
      </c>
    </row>
    <row r="1369" spans="3:3">
      <c r="C1369" s="21" t="s">
        <v>10040</v>
      </c>
    </row>
    <row r="1370" spans="3:3">
      <c r="C1370" s="21" t="s">
        <v>10041</v>
      </c>
    </row>
    <row r="1371" spans="3:3">
      <c r="C1371" s="21" t="s">
        <v>10042</v>
      </c>
    </row>
    <row r="1372" spans="3:3">
      <c r="C1372" s="21" t="s">
        <v>10043</v>
      </c>
    </row>
    <row r="1373" spans="3:3">
      <c r="C1373" s="21" t="s">
        <v>10044</v>
      </c>
    </row>
    <row r="1374" spans="3:3">
      <c r="C1374" s="21" t="s">
        <v>10045</v>
      </c>
    </row>
    <row r="1375" spans="3:3">
      <c r="C1375" s="21" t="s">
        <v>10046</v>
      </c>
    </row>
    <row r="1376" spans="3:3">
      <c r="C1376" s="21" t="s">
        <v>10047</v>
      </c>
    </row>
    <row r="1377" spans="3:3">
      <c r="C1377" s="21" t="s">
        <v>10048</v>
      </c>
    </row>
    <row r="1378" spans="3:3">
      <c r="C1378" s="21" t="s">
        <v>10049</v>
      </c>
    </row>
    <row r="1379" spans="3:3">
      <c r="C1379" s="21" t="s">
        <v>10050</v>
      </c>
    </row>
    <row r="1380" spans="3:3">
      <c r="C1380" s="21" t="s">
        <v>10051</v>
      </c>
    </row>
    <row r="1381" spans="3:3">
      <c r="C1381" s="21" t="s">
        <v>10052</v>
      </c>
    </row>
    <row r="1382" spans="3:3">
      <c r="C1382" s="21" t="s">
        <v>10053</v>
      </c>
    </row>
    <row r="1383" spans="3:3">
      <c r="C1383" s="21" t="s">
        <v>10054</v>
      </c>
    </row>
    <row r="1384" spans="3:3">
      <c r="C1384" s="21" t="s">
        <v>10055</v>
      </c>
    </row>
    <row r="1385" spans="3:3">
      <c r="C1385" s="21" t="s">
        <v>10056</v>
      </c>
    </row>
    <row r="1386" spans="3:3">
      <c r="C1386" s="21" t="s">
        <v>10057</v>
      </c>
    </row>
    <row r="1387" spans="3:3">
      <c r="C1387" s="21" t="s">
        <v>10058</v>
      </c>
    </row>
    <row r="1388" spans="3:3">
      <c r="C1388" s="21" t="s">
        <v>10059</v>
      </c>
    </row>
    <row r="1389" spans="3:3">
      <c r="C1389" s="21" t="s">
        <v>10060</v>
      </c>
    </row>
    <row r="1390" spans="3:3">
      <c r="C1390" s="21" t="s">
        <v>10061</v>
      </c>
    </row>
    <row r="1391" spans="3:3">
      <c r="C1391" s="21" t="s">
        <v>10062</v>
      </c>
    </row>
    <row r="1392" spans="3:3">
      <c r="C1392" s="21" t="s">
        <v>10063</v>
      </c>
    </row>
    <row r="1393" spans="3:3">
      <c r="C1393" s="21" t="s">
        <v>10064</v>
      </c>
    </row>
    <row r="1394" spans="3:3">
      <c r="C1394" s="21" t="s">
        <v>10065</v>
      </c>
    </row>
    <row r="1395" spans="3:3">
      <c r="C1395" s="21" t="s">
        <v>10066</v>
      </c>
    </row>
    <row r="1396" spans="3:3">
      <c r="C1396" s="21" t="s">
        <v>10067</v>
      </c>
    </row>
    <row r="1397" spans="3:3">
      <c r="C1397" s="21" t="s">
        <v>10068</v>
      </c>
    </row>
    <row r="1398" spans="3:3">
      <c r="C1398" s="21" t="s">
        <v>10069</v>
      </c>
    </row>
    <row r="1399" spans="3:3">
      <c r="C1399" s="21" t="s">
        <v>10070</v>
      </c>
    </row>
    <row r="1400" spans="3:3">
      <c r="C1400" s="21" t="s">
        <v>10071</v>
      </c>
    </row>
    <row r="1401" spans="3:3">
      <c r="C1401" s="21" t="s">
        <v>10072</v>
      </c>
    </row>
    <row r="1402" spans="3:3">
      <c r="C1402" s="21" t="s">
        <v>10073</v>
      </c>
    </row>
    <row r="1403" spans="3:3">
      <c r="C1403" s="21" t="s">
        <v>10074</v>
      </c>
    </row>
    <row r="1404" spans="3:3">
      <c r="C1404" s="21" t="s">
        <v>10075</v>
      </c>
    </row>
    <row r="1405" spans="3:3">
      <c r="C1405" s="21" t="s">
        <v>10076</v>
      </c>
    </row>
    <row r="1406" spans="3:3">
      <c r="C1406" s="21" t="s">
        <v>10077</v>
      </c>
    </row>
    <row r="1407" spans="3:3">
      <c r="C1407" s="21" t="s">
        <v>10078</v>
      </c>
    </row>
    <row r="1408" spans="3:3">
      <c r="C1408" s="21" t="s">
        <v>10079</v>
      </c>
    </row>
    <row r="1409" spans="3:3">
      <c r="C1409" s="21" t="s">
        <v>10080</v>
      </c>
    </row>
    <row r="1410" spans="3:3">
      <c r="C1410" s="21" t="s">
        <v>10081</v>
      </c>
    </row>
    <row r="1411" spans="3:3">
      <c r="C1411" s="21" t="s">
        <v>10082</v>
      </c>
    </row>
    <row r="1412" spans="3:3">
      <c r="C1412" s="21" t="s">
        <v>10083</v>
      </c>
    </row>
    <row r="1413" spans="3:3">
      <c r="C1413" s="21" t="s">
        <v>10084</v>
      </c>
    </row>
    <row r="1414" spans="3:3">
      <c r="C1414" s="21" t="s">
        <v>10085</v>
      </c>
    </row>
    <row r="1415" spans="3:3">
      <c r="C1415" s="21" t="s">
        <v>10086</v>
      </c>
    </row>
    <row r="1416" spans="3:3">
      <c r="C1416" s="21" t="s">
        <v>10087</v>
      </c>
    </row>
    <row r="1417" spans="3:3">
      <c r="C1417" s="21" t="s">
        <v>10088</v>
      </c>
    </row>
    <row r="1418" spans="3:3">
      <c r="C1418" s="21" t="s">
        <v>10089</v>
      </c>
    </row>
    <row r="1419" spans="3:3">
      <c r="C1419" s="21" t="s">
        <v>10090</v>
      </c>
    </row>
    <row r="1420" spans="3:3">
      <c r="C1420" s="21" t="s">
        <v>10091</v>
      </c>
    </row>
    <row r="1421" spans="3:3">
      <c r="C1421" s="21" t="s">
        <v>10092</v>
      </c>
    </row>
    <row r="1422" spans="3:3">
      <c r="C1422" s="21" t="s">
        <v>10093</v>
      </c>
    </row>
    <row r="1423" spans="3:3">
      <c r="C1423" s="21" t="s">
        <v>10094</v>
      </c>
    </row>
    <row r="1424" spans="3:3">
      <c r="C1424" s="21" t="s">
        <v>10095</v>
      </c>
    </row>
    <row r="1425" spans="3:3">
      <c r="C1425" s="21" t="s">
        <v>10096</v>
      </c>
    </row>
    <row r="1426" spans="3:3">
      <c r="C1426" s="21" t="s">
        <v>10097</v>
      </c>
    </row>
    <row r="1427" spans="3:3">
      <c r="C1427" s="21" t="s">
        <v>10098</v>
      </c>
    </row>
    <row r="1428" spans="3:3">
      <c r="C1428" s="21" t="s">
        <v>10099</v>
      </c>
    </row>
    <row r="1429" spans="3:3">
      <c r="C1429" s="21" t="s">
        <v>10100</v>
      </c>
    </row>
    <row r="1430" spans="3:3">
      <c r="C1430" s="21" t="s">
        <v>10101</v>
      </c>
    </row>
    <row r="1431" spans="3:3">
      <c r="C1431" s="21" t="s">
        <v>10102</v>
      </c>
    </row>
    <row r="1432" spans="3:3">
      <c r="C1432" s="21" t="s">
        <v>10103</v>
      </c>
    </row>
    <row r="1433" spans="3:3">
      <c r="C1433" s="21" t="s">
        <v>10104</v>
      </c>
    </row>
    <row r="1434" spans="3:3">
      <c r="C1434" s="21" t="s">
        <v>10105</v>
      </c>
    </row>
    <row r="1435" spans="3:3">
      <c r="C1435" s="21" t="s">
        <v>10106</v>
      </c>
    </row>
    <row r="1436" spans="3:3">
      <c r="C1436" s="21" t="s">
        <v>10107</v>
      </c>
    </row>
    <row r="1437" spans="3:3">
      <c r="C1437" s="21" t="s">
        <v>10108</v>
      </c>
    </row>
    <row r="1438" spans="3:3">
      <c r="C1438" s="21" t="s">
        <v>10109</v>
      </c>
    </row>
    <row r="1439" spans="3:3">
      <c r="C1439" s="21" t="s">
        <v>10110</v>
      </c>
    </row>
    <row r="1440" spans="3:3">
      <c r="C1440" s="21" t="s">
        <v>10111</v>
      </c>
    </row>
    <row r="1441" spans="3:3">
      <c r="C1441" s="21" t="s">
        <v>10112</v>
      </c>
    </row>
    <row r="1442" spans="3:3">
      <c r="C1442" s="21" t="s">
        <v>10113</v>
      </c>
    </row>
    <row r="1443" spans="3:3">
      <c r="C1443" s="21" t="s">
        <v>10114</v>
      </c>
    </row>
    <row r="1444" spans="3:3">
      <c r="C1444" s="21" t="s">
        <v>10115</v>
      </c>
    </row>
    <row r="1445" spans="3:3">
      <c r="C1445" s="21" t="s">
        <v>10116</v>
      </c>
    </row>
    <row r="1446" spans="3:3">
      <c r="C1446" s="21" t="s">
        <v>10117</v>
      </c>
    </row>
    <row r="1447" spans="3:3">
      <c r="C1447" s="21" t="s">
        <v>10118</v>
      </c>
    </row>
    <row r="1448" spans="3:3">
      <c r="C1448" s="21" t="s">
        <v>10119</v>
      </c>
    </row>
    <row r="1449" spans="3:3">
      <c r="C1449" s="21" t="s">
        <v>10120</v>
      </c>
    </row>
    <row r="1450" spans="3:3">
      <c r="C1450" s="21" t="s">
        <v>10121</v>
      </c>
    </row>
    <row r="1451" spans="3:3">
      <c r="C1451" s="21" t="s">
        <v>10122</v>
      </c>
    </row>
    <row r="1452" spans="3:3">
      <c r="C1452" s="21" t="s">
        <v>10123</v>
      </c>
    </row>
    <row r="1453" spans="3:3">
      <c r="C1453" s="21" t="s">
        <v>10124</v>
      </c>
    </row>
    <row r="1454" spans="3:3">
      <c r="C1454" s="21" t="s">
        <v>10125</v>
      </c>
    </row>
    <row r="1455" spans="3:3">
      <c r="C1455" s="21" t="s">
        <v>10126</v>
      </c>
    </row>
    <row r="1456" spans="3:3">
      <c r="C1456" s="21" t="s">
        <v>10127</v>
      </c>
    </row>
    <row r="1457" spans="3:3">
      <c r="C1457" s="21" t="s">
        <v>10128</v>
      </c>
    </row>
    <row r="1458" spans="3:3">
      <c r="C1458" s="21" t="s">
        <v>10129</v>
      </c>
    </row>
    <row r="1459" spans="3:3">
      <c r="C1459" s="21" t="s">
        <v>10130</v>
      </c>
    </row>
    <row r="1460" spans="3:3">
      <c r="C1460" s="21" t="s">
        <v>10131</v>
      </c>
    </row>
    <row r="1461" spans="3:3">
      <c r="C1461" s="21" t="s">
        <v>10132</v>
      </c>
    </row>
    <row r="1462" spans="3:3">
      <c r="C1462" s="21" t="s">
        <v>10133</v>
      </c>
    </row>
    <row r="1463" spans="3:3">
      <c r="C1463" s="21" t="s">
        <v>10134</v>
      </c>
    </row>
    <row r="1464" spans="3:3">
      <c r="C1464" s="21" t="s">
        <v>10135</v>
      </c>
    </row>
    <row r="1465" spans="3:3">
      <c r="C1465" s="21" t="s">
        <v>10136</v>
      </c>
    </row>
    <row r="1466" spans="3:3">
      <c r="C1466" s="21" t="s">
        <v>10137</v>
      </c>
    </row>
    <row r="1467" spans="3:3">
      <c r="C1467" s="21" t="s">
        <v>10138</v>
      </c>
    </row>
    <row r="1468" spans="3:3">
      <c r="C1468" s="21" t="s">
        <v>10139</v>
      </c>
    </row>
    <row r="1469" spans="3:3">
      <c r="C1469" s="21" t="s">
        <v>10140</v>
      </c>
    </row>
    <row r="1470" spans="3:3">
      <c r="C1470" s="21" t="s">
        <v>10141</v>
      </c>
    </row>
    <row r="1471" spans="3:3">
      <c r="C1471" s="21" t="s">
        <v>10142</v>
      </c>
    </row>
    <row r="1472" spans="3:3">
      <c r="C1472" s="21" t="s">
        <v>10143</v>
      </c>
    </row>
    <row r="1473" spans="3:3">
      <c r="C1473" s="21" t="s">
        <v>10144</v>
      </c>
    </row>
    <row r="1474" spans="3:3">
      <c r="C1474" s="21" t="s">
        <v>10145</v>
      </c>
    </row>
    <row r="1475" spans="3:3">
      <c r="C1475" s="21" t="s">
        <v>10146</v>
      </c>
    </row>
    <row r="1476" spans="3:3">
      <c r="C1476" s="21" t="s">
        <v>10147</v>
      </c>
    </row>
    <row r="1477" spans="3:3">
      <c r="C1477" s="21" t="s">
        <v>10148</v>
      </c>
    </row>
    <row r="1478" spans="3:3">
      <c r="C1478" s="21" t="s">
        <v>10149</v>
      </c>
    </row>
    <row r="1479" spans="3:3">
      <c r="C1479" s="21" t="s">
        <v>10150</v>
      </c>
    </row>
    <row r="1480" spans="3:3">
      <c r="C1480" s="21" t="s">
        <v>10151</v>
      </c>
    </row>
    <row r="1481" spans="3:3">
      <c r="C1481" s="21" t="s">
        <v>10152</v>
      </c>
    </row>
    <row r="1482" spans="3:3">
      <c r="C1482" s="21" t="s">
        <v>10153</v>
      </c>
    </row>
    <row r="1483" spans="3:3">
      <c r="C1483" s="21" t="s">
        <v>10154</v>
      </c>
    </row>
    <row r="1484" spans="3:3">
      <c r="C1484" s="21" t="s">
        <v>10155</v>
      </c>
    </row>
    <row r="1485" spans="3:3">
      <c r="C1485" s="21" t="s">
        <v>10156</v>
      </c>
    </row>
    <row r="1486" spans="3:3">
      <c r="C1486" s="21" t="s">
        <v>10157</v>
      </c>
    </row>
    <row r="1487" spans="3:3">
      <c r="C1487" s="21" t="s">
        <v>10158</v>
      </c>
    </row>
    <row r="1488" spans="3:3">
      <c r="C1488" s="21" t="s">
        <v>10159</v>
      </c>
    </row>
    <row r="1489" spans="3:3">
      <c r="C1489" s="21" t="s">
        <v>10160</v>
      </c>
    </row>
    <row r="1490" spans="3:3">
      <c r="C1490" s="21" t="s">
        <v>10161</v>
      </c>
    </row>
    <row r="1491" spans="3:3">
      <c r="C1491" s="21" t="s">
        <v>10162</v>
      </c>
    </row>
    <row r="1492" spans="3:3">
      <c r="C1492" s="21" t="s">
        <v>10163</v>
      </c>
    </row>
    <row r="1493" spans="3:3">
      <c r="C1493" s="21" t="s">
        <v>10164</v>
      </c>
    </row>
    <row r="1494" spans="3:3">
      <c r="C1494" s="21" t="s">
        <v>10165</v>
      </c>
    </row>
    <row r="1495" spans="3:3">
      <c r="C1495" s="21" t="s">
        <v>10166</v>
      </c>
    </row>
    <row r="1496" spans="3:3">
      <c r="C1496" s="21" t="s">
        <v>10167</v>
      </c>
    </row>
    <row r="1497" spans="3:3">
      <c r="C1497" s="21" t="s">
        <v>10168</v>
      </c>
    </row>
    <row r="1498" spans="3:3">
      <c r="C1498" s="21" t="s">
        <v>10169</v>
      </c>
    </row>
    <row r="1499" spans="3:3">
      <c r="C1499" s="21" t="s">
        <v>10170</v>
      </c>
    </row>
    <row r="1500" spans="3:3">
      <c r="C1500" s="21" t="s">
        <v>10171</v>
      </c>
    </row>
    <row r="1501" spans="3:3">
      <c r="C1501" s="21" t="s">
        <v>10172</v>
      </c>
    </row>
    <row r="1502" spans="3:3">
      <c r="C1502" s="21" t="s">
        <v>10173</v>
      </c>
    </row>
    <row r="1503" spans="3:3">
      <c r="C1503" s="21" t="s">
        <v>10174</v>
      </c>
    </row>
    <row r="1504" spans="3:3">
      <c r="C1504" s="21" t="s">
        <v>10175</v>
      </c>
    </row>
    <row r="1505" spans="3:3">
      <c r="C1505" s="21" t="s">
        <v>10176</v>
      </c>
    </row>
    <row r="1506" spans="3:3">
      <c r="C1506" s="21" t="s">
        <v>10177</v>
      </c>
    </row>
    <row r="1507" spans="3:3">
      <c r="C1507" s="21" t="s">
        <v>10178</v>
      </c>
    </row>
    <row r="1508" spans="3:3">
      <c r="C1508" s="21" t="s">
        <v>10179</v>
      </c>
    </row>
    <row r="1509" spans="3:3">
      <c r="C1509" s="21" t="s">
        <v>10180</v>
      </c>
    </row>
    <row r="1510" spans="3:3">
      <c r="C1510" s="21" t="s">
        <v>10181</v>
      </c>
    </row>
    <row r="1511" spans="3:3">
      <c r="C1511" s="21" t="s">
        <v>10182</v>
      </c>
    </row>
    <row r="1512" spans="3:3">
      <c r="C1512" s="21" t="s">
        <v>10183</v>
      </c>
    </row>
    <row r="1513" spans="3:3">
      <c r="C1513" s="21" t="s">
        <v>10184</v>
      </c>
    </row>
    <row r="1514" spans="3:3">
      <c r="C1514" s="21" t="s">
        <v>10185</v>
      </c>
    </row>
    <row r="1515" spans="3:3">
      <c r="C1515" s="21" t="s">
        <v>10186</v>
      </c>
    </row>
    <row r="1516" spans="3:3">
      <c r="C1516" s="21" t="s">
        <v>10187</v>
      </c>
    </row>
    <row r="1517" spans="3:3">
      <c r="C1517" s="21" t="s">
        <v>10188</v>
      </c>
    </row>
    <row r="1518" spans="3:3">
      <c r="C1518" s="21" t="s">
        <v>10189</v>
      </c>
    </row>
    <row r="1519" spans="3:3">
      <c r="C1519" s="21" t="s">
        <v>10190</v>
      </c>
    </row>
    <row r="1520" spans="3:3">
      <c r="C1520" s="21" t="s">
        <v>10191</v>
      </c>
    </row>
    <row r="1521" spans="3:3">
      <c r="C1521" s="21" t="s">
        <v>10192</v>
      </c>
    </row>
    <row r="1522" spans="3:3">
      <c r="C1522" s="21" t="s">
        <v>10193</v>
      </c>
    </row>
    <row r="1523" spans="3:3">
      <c r="C1523" s="21" t="s">
        <v>10194</v>
      </c>
    </row>
    <row r="1524" spans="3:3">
      <c r="C1524" s="21" t="s">
        <v>10195</v>
      </c>
    </row>
    <row r="1525" spans="3:3">
      <c r="C1525" s="21" t="s">
        <v>10196</v>
      </c>
    </row>
    <row r="1526" spans="3:3">
      <c r="C1526" s="21" t="s">
        <v>10197</v>
      </c>
    </row>
    <row r="1527" spans="3:3">
      <c r="C1527" s="21" t="s">
        <v>10198</v>
      </c>
    </row>
    <row r="1528" spans="3:3">
      <c r="C1528" s="21" t="s">
        <v>10199</v>
      </c>
    </row>
    <row r="1529" spans="3:3">
      <c r="C1529" s="21" t="s">
        <v>10200</v>
      </c>
    </row>
    <row r="1530" spans="3:3">
      <c r="C1530" s="21" t="s">
        <v>10201</v>
      </c>
    </row>
    <row r="1531" spans="3:3">
      <c r="C1531" s="21" t="s">
        <v>10202</v>
      </c>
    </row>
    <row r="1532" spans="3:3">
      <c r="C1532" s="21" t="s">
        <v>10203</v>
      </c>
    </row>
    <row r="1533" spans="3:3">
      <c r="C1533" s="21" t="s">
        <v>10204</v>
      </c>
    </row>
    <row r="1534" spans="3:3">
      <c r="C1534" s="21" t="s">
        <v>10205</v>
      </c>
    </row>
    <row r="1535" spans="3:3">
      <c r="C1535" s="21" t="s">
        <v>10206</v>
      </c>
    </row>
    <row r="1536" spans="3:3">
      <c r="C1536" s="21" t="s">
        <v>10207</v>
      </c>
    </row>
    <row r="1537" spans="3:3">
      <c r="C1537" s="21" t="s">
        <v>10208</v>
      </c>
    </row>
    <row r="1538" spans="3:3">
      <c r="C1538" s="21" t="s">
        <v>10209</v>
      </c>
    </row>
    <row r="1539" spans="3:3">
      <c r="C1539" s="21" t="s">
        <v>10210</v>
      </c>
    </row>
    <row r="1540" spans="3:3">
      <c r="C1540" s="21" t="s">
        <v>10211</v>
      </c>
    </row>
    <row r="1541" spans="3:3">
      <c r="C1541" s="21" t="s">
        <v>10212</v>
      </c>
    </row>
    <row r="1542" spans="3:3">
      <c r="C1542" s="21" t="s">
        <v>10213</v>
      </c>
    </row>
    <row r="1543" spans="3:3">
      <c r="C1543" s="21" t="s">
        <v>10214</v>
      </c>
    </row>
    <row r="1544" spans="3:3">
      <c r="C1544" s="21" t="s">
        <v>10215</v>
      </c>
    </row>
    <row r="1545" spans="3:3">
      <c r="C1545" s="21" t="s">
        <v>10216</v>
      </c>
    </row>
    <row r="1546" spans="3:3">
      <c r="C1546" s="21" t="s">
        <v>10217</v>
      </c>
    </row>
    <row r="1547" spans="3:3">
      <c r="C1547" s="21" t="s">
        <v>10218</v>
      </c>
    </row>
    <row r="1548" spans="3:3">
      <c r="C1548" s="21" t="s">
        <v>10219</v>
      </c>
    </row>
    <row r="1549" spans="3:3">
      <c r="C1549" s="21" t="s">
        <v>10220</v>
      </c>
    </row>
    <row r="1550" spans="3:3">
      <c r="C1550" s="21" t="s">
        <v>10221</v>
      </c>
    </row>
    <row r="1551" spans="3:3">
      <c r="C1551" s="21" t="s">
        <v>10222</v>
      </c>
    </row>
    <row r="1552" spans="3:3">
      <c r="C1552" s="21" t="s">
        <v>10223</v>
      </c>
    </row>
    <row r="1553" spans="3:3">
      <c r="C1553" s="21" t="s">
        <v>10224</v>
      </c>
    </row>
    <row r="1554" spans="3:3">
      <c r="C1554" s="21" t="s">
        <v>10225</v>
      </c>
    </row>
    <row r="1555" spans="3:3">
      <c r="C1555" s="21" t="s">
        <v>10226</v>
      </c>
    </row>
    <row r="1556" spans="3:3">
      <c r="C1556" s="21" t="s">
        <v>10227</v>
      </c>
    </row>
    <row r="1557" spans="3:3">
      <c r="C1557" s="21" t="s">
        <v>10228</v>
      </c>
    </row>
    <row r="1558" spans="3:3">
      <c r="C1558" s="21" t="s">
        <v>10229</v>
      </c>
    </row>
    <row r="1559" spans="3:3">
      <c r="C1559" s="21" t="s">
        <v>10230</v>
      </c>
    </row>
    <row r="1560" spans="3:3">
      <c r="C1560" s="21" t="s">
        <v>10231</v>
      </c>
    </row>
    <row r="1561" spans="3:3">
      <c r="C1561" s="21" t="s">
        <v>10232</v>
      </c>
    </row>
    <row r="1562" spans="3:3">
      <c r="C1562" s="21" t="s">
        <v>10233</v>
      </c>
    </row>
    <row r="1563" spans="3:3">
      <c r="C1563" s="21" t="s">
        <v>10234</v>
      </c>
    </row>
    <row r="1564" spans="3:3">
      <c r="C1564" s="21" t="s">
        <v>10235</v>
      </c>
    </row>
    <row r="1565" spans="3:3">
      <c r="C1565" s="21" t="s">
        <v>10236</v>
      </c>
    </row>
    <row r="1566" spans="3:3">
      <c r="C1566" s="21" t="s">
        <v>10237</v>
      </c>
    </row>
    <row r="1567" spans="3:3">
      <c r="C1567" s="21" t="s">
        <v>10238</v>
      </c>
    </row>
    <row r="1568" spans="3:3">
      <c r="C1568" s="21" t="s">
        <v>10239</v>
      </c>
    </row>
    <row r="1569" spans="3:3">
      <c r="C1569" s="21" t="s">
        <v>10240</v>
      </c>
    </row>
    <row r="1570" spans="3:3">
      <c r="C1570" s="21" t="s">
        <v>10241</v>
      </c>
    </row>
    <row r="1571" spans="3:3">
      <c r="C1571" s="21" t="s">
        <v>10242</v>
      </c>
    </row>
    <row r="1572" spans="3:3">
      <c r="C1572" s="21" t="s">
        <v>10243</v>
      </c>
    </row>
    <row r="1573" spans="3:3">
      <c r="C1573" s="21" t="s">
        <v>10244</v>
      </c>
    </row>
    <row r="1574" spans="3:3">
      <c r="C1574" s="21" t="s">
        <v>10245</v>
      </c>
    </row>
    <row r="1575" spans="3:3">
      <c r="C1575" s="21" t="s">
        <v>10246</v>
      </c>
    </row>
    <row r="1576" spans="3:3">
      <c r="C1576" s="21" t="s">
        <v>10247</v>
      </c>
    </row>
    <row r="1577" spans="3:3">
      <c r="C1577" s="21" t="s">
        <v>10248</v>
      </c>
    </row>
    <row r="1578" spans="3:3">
      <c r="C1578" s="21" t="s">
        <v>10249</v>
      </c>
    </row>
    <row r="1579" spans="3:3">
      <c r="C1579" s="21" t="s">
        <v>10250</v>
      </c>
    </row>
    <row r="1580" spans="3:3">
      <c r="C1580" s="21" t="s">
        <v>10251</v>
      </c>
    </row>
    <row r="1581" spans="3:3">
      <c r="C1581" s="21" t="s">
        <v>10252</v>
      </c>
    </row>
    <row r="1582" spans="3:3">
      <c r="C1582" s="21" t="s">
        <v>10253</v>
      </c>
    </row>
    <row r="1583" spans="3:3">
      <c r="C1583" s="21" t="s">
        <v>10254</v>
      </c>
    </row>
    <row r="1584" spans="3:3">
      <c r="C1584" s="21" t="s">
        <v>10255</v>
      </c>
    </row>
    <row r="1585" spans="3:3">
      <c r="C1585" s="21" t="s">
        <v>10256</v>
      </c>
    </row>
    <row r="1586" spans="3:3">
      <c r="C1586" s="21" t="s">
        <v>10257</v>
      </c>
    </row>
    <row r="1587" spans="3:3">
      <c r="C1587" s="21" t="s">
        <v>10258</v>
      </c>
    </row>
    <row r="1588" spans="3:3">
      <c r="C1588" s="21" t="s">
        <v>10259</v>
      </c>
    </row>
    <row r="1589" spans="3:3">
      <c r="C1589" s="21" t="s">
        <v>10260</v>
      </c>
    </row>
    <row r="1590" spans="3:3">
      <c r="C1590" s="21" t="s">
        <v>10261</v>
      </c>
    </row>
    <row r="1591" spans="3:3">
      <c r="C1591" s="21" t="s">
        <v>10262</v>
      </c>
    </row>
    <row r="1592" spans="3:3">
      <c r="C1592" s="21" t="s">
        <v>10263</v>
      </c>
    </row>
    <row r="1593" spans="3:3">
      <c r="C1593" s="21" t="s">
        <v>10264</v>
      </c>
    </row>
    <row r="1594" spans="3:3">
      <c r="C1594" s="21" t="s">
        <v>10265</v>
      </c>
    </row>
    <row r="1595" spans="3:3">
      <c r="C1595" s="21" t="s">
        <v>10266</v>
      </c>
    </row>
    <row r="1596" spans="3:3">
      <c r="C1596" s="21" t="s">
        <v>10267</v>
      </c>
    </row>
    <row r="1597" spans="3:3">
      <c r="C1597" s="21" t="s">
        <v>10268</v>
      </c>
    </row>
    <row r="1598" spans="3:3">
      <c r="C1598" s="21" t="s">
        <v>10269</v>
      </c>
    </row>
    <row r="1599" spans="3:3">
      <c r="C1599" s="21" t="s">
        <v>10270</v>
      </c>
    </row>
    <row r="1600" spans="3:3">
      <c r="C1600" s="21" t="s">
        <v>10271</v>
      </c>
    </row>
    <row r="1601" spans="3:3">
      <c r="C1601" s="21" t="s">
        <v>10272</v>
      </c>
    </row>
    <row r="1602" spans="3:3">
      <c r="C1602" s="21" t="s">
        <v>10273</v>
      </c>
    </row>
    <row r="1603" spans="3:3">
      <c r="C1603" s="21" t="s">
        <v>10274</v>
      </c>
    </row>
    <row r="1604" spans="3:3">
      <c r="C1604" s="21" t="s">
        <v>10275</v>
      </c>
    </row>
    <row r="1605" spans="3:3">
      <c r="C1605" s="21" t="s">
        <v>10276</v>
      </c>
    </row>
    <row r="1606" spans="3:3">
      <c r="C1606" s="21" t="s">
        <v>10277</v>
      </c>
    </row>
    <row r="1607" spans="3:3">
      <c r="C1607" s="21" t="s">
        <v>10278</v>
      </c>
    </row>
    <row r="1608" spans="3:3">
      <c r="C1608" s="21" t="s">
        <v>10279</v>
      </c>
    </row>
    <row r="1609" spans="3:3">
      <c r="C1609" s="21" t="s">
        <v>10280</v>
      </c>
    </row>
    <row r="1610" spans="3:3">
      <c r="C1610" s="21" t="s">
        <v>10281</v>
      </c>
    </row>
    <row r="1611" spans="3:3">
      <c r="C1611" s="21" t="s">
        <v>10282</v>
      </c>
    </row>
    <row r="1612" spans="3:3">
      <c r="C1612" s="21" t="s">
        <v>10283</v>
      </c>
    </row>
    <row r="1613" spans="3:3">
      <c r="C1613" s="21" t="s">
        <v>10284</v>
      </c>
    </row>
    <row r="1614" spans="3:3">
      <c r="C1614" s="21" t="s">
        <v>10285</v>
      </c>
    </row>
    <row r="1615" spans="3:3">
      <c r="C1615" s="21" t="s">
        <v>10286</v>
      </c>
    </row>
    <row r="1616" spans="3:3">
      <c r="C1616" s="21" t="s">
        <v>10287</v>
      </c>
    </row>
    <row r="1617" spans="3:3">
      <c r="C1617" s="21" t="s">
        <v>10288</v>
      </c>
    </row>
    <row r="1618" spans="3:3">
      <c r="C1618" s="21" t="s">
        <v>10289</v>
      </c>
    </row>
    <row r="1619" spans="3:3">
      <c r="C1619" s="21" t="s">
        <v>10290</v>
      </c>
    </row>
    <row r="1620" spans="3:3">
      <c r="C1620" s="21" t="s">
        <v>10291</v>
      </c>
    </row>
    <row r="1621" spans="3:3">
      <c r="C1621" s="21" t="s">
        <v>10292</v>
      </c>
    </row>
    <row r="1622" spans="3:3">
      <c r="C1622" s="21" t="s">
        <v>10293</v>
      </c>
    </row>
    <row r="1623" spans="3:3">
      <c r="C1623" s="21" t="s">
        <v>10294</v>
      </c>
    </row>
    <row r="1624" spans="3:3">
      <c r="C1624" s="21" t="s">
        <v>10295</v>
      </c>
    </row>
    <row r="1625" spans="3:3">
      <c r="C1625" s="21" t="s">
        <v>10296</v>
      </c>
    </row>
    <row r="1626" spans="3:3">
      <c r="C1626" s="21" t="s">
        <v>10297</v>
      </c>
    </row>
    <row r="1627" spans="3:3">
      <c r="C1627" s="21" t="s">
        <v>10298</v>
      </c>
    </row>
    <row r="1628" spans="3:3">
      <c r="C1628" s="21" t="s">
        <v>10299</v>
      </c>
    </row>
    <row r="1629" spans="3:3">
      <c r="C1629" s="21" t="s">
        <v>10300</v>
      </c>
    </row>
    <row r="1630" spans="3:3">
      <c r="C1630" s="21" t="s">
        <v>10301</v>
      </c>
    </row>
    <row r="1631" spans="3:3">
      <c r="C1631" s="21" t="s">
        <v>10302</v>
      </c>
    </row>
    <row r="1632" spans="3:3">
      <c r="C1632" s="21" t="s">
        <v>10303</v>
      </c>
    </row>
    <row r="1633" spans="3:3">
      <c r="C1633" s="21" t="s">
        <v>10304</v>
      </c>
    </row>
    <row r="1634" spans="3:3">
      <c r="C1634" s="21" t="s">
        <v>10305</v>
      </c>
    </row>
    <row r="1635" spans="3:3">
      <c r="C1635" s="21" t="s">
        <v>10306</v>
      </c>
    </row>
    <row r="1636" spans="3:3">
      <c r="C1636" s="21" t="s">
        <v>10307</v>
      </c>
    </row>
    <row r="1637" spans="3:3">
      <c r="C1637" s="21" t="s">
        <v>10308</v>
      </c>
    </row>
    <row r="1638" spans="3:3">
      <c r="C1638" s="21" t="s">
        <v>10309</v>
      </c>
    </row>
    <row r="1639" spans="3:3">
      <c r="C1639" s="21" t="s">
        <v>10310</v>
      </c>
    </row>
    <row r="1640" spans="3:3">
      <c r="C1640" s="21" t="s">
        <v>10311</v>
      </c>
    </row>
    <row r="1641" spans="3:3">
      <c r="C1641" s="21" t="s">
        <v>10312</v>
      </c>
    </row>
    <row r="1642" spans="3:3">
      <c r="C1642" s="21" t="s">
        <v>10313</v>
      </c>
    </row>
    <row r="1643" spans="3:3">
      <c r="C1643" s="21" t="s">
        <v>10314</v>
      </c>
    </row>
    <row r="1644" spans="3:3">
      <c r="C1644" s="21" t="s">
        <v>10315</v>
      </c>
    </row>
    <row r="1645" spans="3:3">
      <c r="C1645" s="21" t="s">
        <v>10316</v>
      </c>
    </row>
    <row r="1646" spans="3:3">
      <c r="C1646" s="21" t="s">
        <v>10317</v>
      </c>
    </row>
    <row r="1647" spans="3:3">
      <c r="C1647" s="21" t="s">
        <v>10318</v>
      </c>
    </row>
    <row r="1648" spans="3:3">
      <c r="C1648" s="21" t="s">
        <v>10319</v>
      </c>
    </row>
    <row r="1649" spans="3:3">
      <c r="C1649" s="21" t="s">
        <v>10320</v>
      </c>
    </row>
    <row r="1650" spans="3:3">
      <c r="C1650" s="21" t="s">
        <v>10321</v>
      </c>
    </row>
    <row r="1651" spans="3:3">
      <c r="C1651" s="21" t="s">
        <v>10322</v>
      </c>
    </row>
    <row r="1652" spans="3:3">
      <c r="C1652" s="21" t="s">
        <v>10323</v>
      </c>
    </row>
    <row r="1653" spans="3:3">
      <c r="C1653" s="21" t="s">
        <v>10324</v>
      </c>
    </row>
    <row r="1654" spans="3:3">
      <c r="C1654" s="21" t="s">
        <v>10325</v>
      </c>
    </row>
    <row r="1655" spans="3:3">
      <c r="C1655" s="21" t="s">
        <v>10326</v>
      </c>
    </row>
    <row r="1656" spans="3:3">
      <c r="C1656" s="21" t="s">
        <v>10327</v>
      </c>
    </row>
    <row r="1657" spans="3:3">
      <c r="C1657" s="21" t="s">
        <v>10328</v>
      </c>
    </row>
    <row r="1658" spans="3:3">
      <c r="C1658" s="21" t="s">
        <v>10329</v>
      </c>
    </row>
    <row r="1659" spans="3:3">
      <c r="C1659" s="21" t="s">
        <v>10330</v>
      </c>
    </row>
    <row r="1660" spans="3:3">
      <c r="C1660" s="21" t="s">
        <v>10331</v>
      </c>
    </row>
    <row r="1661" spans="3:3">
      <c r="C1661" s="21" t="s">
        <v>10332</v>
      </c>
    </row>
    <row r="1662" spans="3:3">
      <c r="C1662" s="21" t="s">
        <v>10333</v>
      </c>
    </row>
    <row r="1663" spans="3:3">
      <c r="C1663" s="21" t="s">
        <v>10334</v>
      </c>
    </row>
    <row r="1664" spans="3:3">
      <c r="C1664" s="21" t="s">
        <v>10335</v>
      </c>
    </row>
    <row r="1665" spans="3:3">
      <c r="C1665" s="21" t="s">
        <v>10336</v>
      </c>
    </row>
    <row r="1666" spans="3:3">
      <c r="C1666" s="21" t="s">
        <v>10337</v>
      </c>
    </row>
    <row r="1667" spans="3:3">
      <c r="C1667" s="21" t="s">
        <v>10338</v>
      </c>
    </row>
    <row r="1668" spans="3:3">
      <c r="C1668" s="21" t="s">
        <v>10339</v>
      </c>
    </row>
    <row r="1669" spans="3:3">
      <c r="C1669" s="21" t="s">
        <v>10340</v>
      </c>
    </row>
    <row r="1670" spans="3:3">
      <c r="C1670" s="21" t="s">
        <v>10341</v>
      </c>
    </row>
    <row r="1671" spans="3:3">
      <c r="C1671" s="21" t="s">
        <v>10342</v>
      </c>
    </row>
    <row r="1672" spans="3:3">
      <c r="C1672" s="21" t="s">
        <v>10343</v>
      </c>
    </row>
    <row r="1673" spans="3:3">
      <c r="C1673" s="21" t="s">
        <v>10344</v>
      </c>
    </row>
    <row r="1674" spans="3:3">
      <c r="C1674" s="21" t="s">
        <v>10345</v>
      </c>
    </row>
    <row r="1675" spans="3:3">
      <c r="C1675" s="21" t="s">
        <v>10346</v>
      </c>
    </row>
    <row r="1676" spans="3:3">
      <c r="C1676" s="21" t="s">
        <v>10347</v>
      </c>
    </row>
    <row r="1677" spans="3:3">
      <c r="C1677" s="21" t="s">
        <v>10348</v>
      </c>
    </row>
    <row r="1678" spans="3:3">
      <c r="C1678" s="21" t="s">
        <v>10349</v>
      </c>
    </row>
    <row r="1679" spans="3:3">
      <c r="C1679" s="21" t="s">
        <v>10350</v>
      </c>
    </row>
    <row r="1680" spans="3:3">
      <c r="C1680" s="21" t="s">
        <v>10351</v>
      </c>
    </row>
    <row r="1681" spans="3:3">
      <c r="C1681" s="21" t="s">
        <v>10352</v>
      </c>
    </row>
    <row r="1682" spans="3:3">
      <c r="C1682" s="21" t="s">
        <v>10353</v>
      </c>
    </row>
    <row r="1683" spans="3:3">
      <c r="C1683" s="21" t="s">
        <v>10354</v>
      </c>
    </row>
    <row r="1684" spans="3:3">
      <c r="C1684" s="21" t="s">
        <v>10355</v>
      </c>
    </row>
    <row r="1685" spans="3:3">
      <c r="C1685" s="21" t="s">
        <v>10356</v>
      </c>
    </row>
    <row r="1686" spans="3:3">
      <c r="C1686" s="21" t="s">
        <v>10357</v>
      </c>
    </row>
    <row r="1687" spans="3:3">
      <c r="C1687" s="21" t="s">
        <v>10358</v>
      </c>
    </row>
    <row r="1688" spans="3:3">
      <c r="C1688" s="21" t="s">
        <v>10359</v>
      </c>
    </row>
    <row r="1689" spans="3:3">
      <c r="C1689" s="21" t="s">
        <v>10360</v>
      </c>
    </row>
    <row r="1690" spans="3:3">
      <c r="C1690" s="21" t="s">
        <v>10361</v>
      </c>
    </row>
    <row r="1691" spans="3:3">
      <c r="C1691" s="21" t="s">
        <v>10362</v>
      </c>
    </row>
    <row r="1692" spans="3:3">
      <c r="C1692" s="21" t="s">
        <v>10363</v>
      </c>
    </row>
    <row r="1693" spans="3:3">
      <c r="C1693" s="21" t="s">
        <v>10364</v>
      </c>
    </row>
    <row r="1694" spans="3:3">
      <c r="C1694" s="21" t="s">
        <v>10365</v>
      </c>
    </row>
    <row r="1695" spans="3:3">
      <c r="C1695" s="21" t="s">
        <v>10366</v>
      </c>
    </row>
    <row r="1696" spans="3:3">
      <c r="C1696" s="21" t="s">
        <v>10367</v>
      </c>
    </row>
    <row r="1697" spans="3:3">
      <c r="C1697" s="21" t="s">
        <v>10368</v>
      </c>
    </row>
    <row r="1698" spans="3:3">
      <c r="C1698" s="21" t="s">
        <v>10369</v>
      </c>
    </row>
    <row r="1699" spans="3:3">
      <c r="C1699" s="21" t="s">
        <v>10370</v>
      </c>
    </row>
    <row r="1700" spans="3:3">
      <c r="C1700" s="21" t="s">
        <v>10371</v>
      </c>
    </row>
    <row r="1701" spans="3:3">
      <c r="C1701" s="21" t="s">
        <v>10372</v>
      </c>
    </row>
    <row r="1702" spans="3:3">
      <c r="C1702" s="21" t="s">
        <v>10373</v>
      </c>
    </row>
    <row r="1703" spans="3:3">
      <c r="C1703" s="21" t="s">
        <v>10374</v>
      </c>
    </row>
    <row r="1704" spans="3:3">
      <c r="C1704" s="21" t="s">
        <v>10375</v>
      </c>
    </row>
    <row r="1705" spans="3:3">
      <c r="C1705" s="21" t="s">
        <v>10376</v>
      </c>
    </row>
    <row r="1706" spans="3:3">
      <c r="C1706" s="21" t="s">
        <v>10377</v>
      </c>
    </row>
    <row r="1707" spans="3:3">
      <c r="C1707" s="21" t="s">
        <v>10378</v>
      </c>
    </row>
    <row r="1708" spans="3:3">
      <c r="C1708" s="21" t="s">
        <v>10379</v>
      </c>
    </row>
    <row r="1709" spans="3:3">
      <c r="C1709" s="21" t="s">
        <v>10380</v>
      </c>
    </row>
    <row r="1710" spans="3:3">
      <c r="C1710" s="21" t="s">
        <v>10381</v>
      </c>
    </row>
    <row r="1711" spans="3:3">
      <c r="C1711" s="21" t="s">
        <v>10382</v>
      </c>
    </row>
    <row r="1712" spans="3:3">
      <c r="C1712" s="21" t="s">
        <v>10383</v>
      </c>
    </row>
    <row r="1713" spans="3:3">
      <c r="C1713" s="21" t="s">
        <v>10384</v>
      </c>
    </row>
    <row r="1714" spans="3:3">
      <c r="C1714" s="21" t="s">
        <v>10385</v>
      </c>
    </row>
    <row r="1715" spans="3:3">
      <c r="C1715" s="21" t="s">
        <v>10386</v>
      </c>
    </row>
    <row r="1716" spans="3:3">
      <c r="C1716" s="21" t="s">
        <v>10387</v>
      </c>
    </row>
    <row r="1717" spans="3:3">
      <c r="C1717" s="21" t="s">
        <v>10388</v>
      </c>
    </row>
    <row r="1718" spans="3:3">
      <c r="C1718" s="21" t="s">
        <v>10389</v>
      </c>
    </row>
    <row r="1719" spans="3:3">
      <c r="C1719" s="21" t="s">
        <v>10390</v>
      </c>
    </row>
    <row r="1720" spans="3:3">
      <c r="C1720" s="21" t="s">
        <v>10391</v>
      </c>
    </row>
    <row r="1721" spans="3:3">
      <c r="C1721" s="21" t="s">
        <v>10392</v>
      </c>
    </row>
    <row r="1722" spans="3:3">
      <c r="C1722" s="21" t="s">
        <v>10393</v>
      </c>
    </row>
    <row r="1723" spans="3:3">
      <c r="C1723" s="21" t="s">
        <v>10394</v>
      </c>
    </row>
    <row r="1724" spans="3:3">
      <c r="C1724" s="21" t="s">
        <v>10395</v>
      </c>
    </row>
    <row r="1725" spans="3:3">
      <c r="C1725" s="21" t="s">
        <v>10396</v>
      </c>
    </row>
    <row r="1726" spans="3:3">
      <c r="C1726" s="21" t="s">
        <v>10397</v>
      </c>
    </row>
    <row r="1727" spans="3:3">
      <c r="C1727" s="21" t="s">
        <v>10398</v>
      </c>
    </row>
    <row r="1728" spans="3:3">
      <c r="C1728" s="21" t="s">
        <v>10399</v>
      </c>
    </row>
    <row r="1729" spans="3:3">
      <c r="C1729" s="21" t="s">
        <v>10400</v>
      </c>
    </row>
    <row r="1730" spans="3:3">
      <c r="C1730" s="21" t="s">
        <v>10401</v>
      </c>
    </row>
    <row r="1731" spans="3:3">
      <c r="C1731" s="21" t="s">
        <v>10402</v>
      </c>
    </row>
    <row r="1732" spans="3:3">
      <c r="C1732" s="21" t="s">
        <v>10403</v>
      </c>
    </row>
    <row r="1733" spans="3:3">
      <c r="C1733" s="21" t="s">
        <v>10404</v>
      </c>
    </row>
    <row r="1734" spans="3:3">
      <c r="C1734" s="21" t="s">
        <v>10405</v>
      </c>
    </row>
    <row r="1735" spans="3:3">
      <c r="C1735" s="21" t="s">
        <v>10406</v>
      </c>
    </row>
    <row r="1736" spans="3:3">
      <c r="C1736" s="21" t="s">
        <v>10407</v>
      </c>
    </row>
    <row r="1737" spans="3:3">
      <c r="C1737" s="21" t="s">
        <v>10408</v>
      </c>
    </row>
    <row r="1738" spans="3:3">
      <c r="C1738" s="21" t="s">
        <v>10409</v>
      </c>
    </row>
    <row r="1739" spans="3:3">
      <c r="C1739" s="21" t="s">
        <v>10410</v>
      </c>
    </row>
    <row r="1740" spans="3:3">
      <c r="C1740" s="21" t="s">
        <v>10411</v>
      </c>
    </row>
    <row r="1741" spans="3:3">
      <c r="C1741" s="21" t="s">
        <v>10412</v>
      </c>
    </row>
    <row r="1742" spans="3:3">
      <c r="C1742" s="21" t="s">
        <v>10413</v>
      </c>
    </row>
    <row r="1743" spans="3:3">
      <c r="C1743" s="21" t="s">
        <v>10414</v>
      </c>
    </row>
    <row r="1744" spans="3:3">
      <c r="C1744" s="21" t="s">
        <v>10415</v>
      </c>
    </row>
    <row r="1745" spans="3:3">
      <c r="C1745" s="21" t="s">
        <v>10416</v>
      </c>
    </row>
    <row r="1746" spans="3:3">
      <c r="C1746" s="21" t="s">
        <v>10417</v>
      </c>
    </row>
    <row r="1747" spans="3:3">
      <c r="C1747" s="21" t="s">
        <v>10418</v>
      </c>
    </row>
    <row r="1748" spans="3:3">
      <c r="C1748" s="21" t="s">
        <v>10419</v>
      </c>
    </row>
    <row r="1749" spans="3:3">
      <c r="C1749" s="21" t="s">
        <v>10420</v>
      </c>
    </row>
    <row r="1750" spans="3:3">
      <c r="C1750" s="21" t="s">
        <v>10421</v>
      </c>
    </row>
    <row r="1751" spans="3:3">
      <c r="C1751" s="21" t="s">
        <v>10422</v>
      </c>
    </row>
    <row r="1752" spans="3:3">
      <c r="C1752" s="21" t="s">
        <v>10423</v>
      </c>
    </row>
    <row r="1753" spans="3:3">
      <c r="C1753" s="21" t="s">
        <v>10424</v>
      </c>
    </row>
    <row r="1754" spans="3:3">
      <c r="C1754" s="21" t="s">
        <v>10425</v>
      </c>
    </row>
    <row r="1755" spans="3:3">
      <c r="C1755" s="21" t="s">
        <v>10426</v>
      </c>
    </row>
    <row r="1756" spans="3:3">
      <c r="C1756" s="21" t="s">
        <v>10427</v>
      </c>
    </row>
    <row r="1757" spans="3:3">
      <c r="C1757" s="21" t="s">
        <v>10428</v>
      </c>
    </row>
    <row r="1758" spans="3:3">
      <c r="C1758" s="21" t="s">
        <v>10429</v>
      </c>
    </row>
    <row r="1759" spans="3:3">
      <c r="C1759" s="21" t="s">
        <v>10430</v>
      </c>
    </row>
    <row r="1760" spans="3:3">
      <c r="C1760" s="21" t="s">
        <v>10431</v>
      </c>
    </row>
    <row r="1761" spans="3:3">
      <c r="C1761" s="21" t="s">
        <v>10432</v>
      </c>
    </row>
    <row r="1762" spans="3:3">
      <c r="C1762" s="21" t="s">
        <v>10433</v>
      </c>
    </row>
    <row r="1763" spans="3:3">
      <c r="C1763" s="21" t="s">
        <v>10434</v>
      </c>
    </row>
    <row r="1764" spans="3:3">
      <c r="C1764" s="21" t="s">
        <v>10435</v>
      </c>
    </row>
    <row r="1765" spans="3:3">
      <c r="C1765" s="21" t="s">
        <v>10436</v>
      </c>
    </row>
    <row r="1766" spans="3:3">
      <c r="C1766" s="21" t="s">
        <v>10437</v>
      </c>
    </row>
    <row r="1767" spans="3:3">
      <c r="C1767" s="21" t="s">
        <v>10438</v>
      </c>
    </row>
    <row r="1768" spans="3:3">
      <c r="C1768" s="21" t="s">
        <v>10439</v>
      </c>
    </row>
    <row r="1769" spans="3:3">
      <c r="C1769" s="21" t="s">
        <v>10440</v>
      </c>
    </row>
    <row r="1770" spans="3:3">
      <c r="C1770" s="21" t="s">
        <v>10441</v>
      </c>
    </row>
    <row r="1771" spans="3:3">
      <c r="C1771" s="21" t="s">
        <v>10442</v>
      </c>
    </row>
    <row r="1772" spans="3:3">
      <c r="C1772" s="21" t="s">
        <v>10443</v>
      </c>
    </row>
    <row r="1773" spans="3:3">
      <c r="C1773" s="21" t="s">
        <v>10444</v>
      </c>
    </row>
    <row r="1774" spans="3:3">
      <c r="C1774" s="21" t="s">
        <v>10445</v>
      </c>
    </row>
    <row r="1775" spans="3:3">
      <c r="C1775" s="21" t="s">
        <v>10446</v>
      </c>
    </row>
    <row r="1776" spans="3:3">
      <c r="C1776" s="21" t="s">
        <v>10447</v>
      </c>
    </row>
    <row r="1777" spans="3:3">
      <c r="C1777" s="21" t="s">
        <v>10448</v>
      </c>
    </row>
    <row r="1778" spans="3:3">
      <c r="C1778" s="21" t="s">
        <v>10449</v>
      </c>
    </row>
    <row r="1779" spans="3:3">
      <c r="C1779" s="21" t="s">
        <v>10450</v>
      </c>
    </row>
    <row r="1780" spans="3:3">
      <c r="C1780" s="21" t="s">
        <v>10451</v>
      </c>
    </row>
    <row r="1781" spans="3:3">
      <c r="C1781" s="21" t="s">
        <v>10452</v>
      </c>
    </row>
    <row r="1782" spans="3:3">
      <c r="C1782" s="21" t="s">
        <v>10453</v>
      </c>
    </row>
    <row r="1783" spans="3:3">
      <c r="C1783" s="21" t="s">
        <v>10454</v>
      </c>
    </row>
    <row r="1784" spans="3:3">
      <c r="C1784" s="21" t="s">
        <v>10455</v>
      </c>
    </row>
    <row r="1785" spans="3:3">
      <c r="C1785" s="21" t="s">
        <v>10456</v>
      </c>
    </row>
    <row r="1786" spans="3:3">
      <c r="C1786" s="21" t="s">
        <v>10457</v>
      </c>
    </row>
    <row r="1787" spans="3:3">
      <c r="C1787" s="21" t="s">
        <v>10458</v>
      </c>
    </row>
    <row r="1788" spans="3:3">
      <c r="C1788" s="21" t="s">
        <v>10459</v>
      </c>
    </row>
    <row r="1789" spans="3:3">
      <c r="C1789" s="21" t="s">
        <v>10460</v>
      </c>
    </row>
    <row r="1790" spans="3:3">
      <c r="C1790" s="21" t="s">
        <v>10461</v>
      </c>
    </row>
    <row r="1791" spans="3:3">
      <c r="C1791" s="21" t="s">
        <v>10462</v>
      </c>
    </row>
    <row r="1792" spans="3:3">
      <c r="C1792" s="21" t="s">
        <v>10463</v>
      </c>
    </row>
    <row r="1793" spans="3:3">
      <c r="C1793" s="21" t="s">
        <v>10464</v>
      </c>
    </row>
    <row r="1794" spans="3:3">
      <c r="C1794" s="21" t="s">
        <v>10465</v>
      </c>
    </row>
    <row r="1795" spans="3:3">
      <c r="C1795" s="21" t="s">
        <v>10466</v>
      </c>
    </row>
    <row r="1796" spans="3:3">
      <c r="C1796" s="21" t="s">
        <v>10467</v>
      </c>
    </row>
    <row r="1797" spans="3:3">
      <c r="C1797" s="21" t="s">
        <v>10468</v>
      </c>
    </row>
    <row r="1798" spans="3:3">
      <c r="C1798" s="21" t="s">
        <v>10469</v>
      </c>
    </row>
    <row r="1799" spans="3:3">
      <c r="C1799" s="21" t="s">
        <v>10470</v>
      </c>
    </row>
    <row r="1800" spans="3:3">
      <c r="C1800" s="21" t="s">
        <v>10471</v>
      </c>
    </row>
    <row r="1801" spans="3:3">
      <c r="C1801" s="21" t="s">
        <v>10472</v>
      </c>
    </row>
    <row r="1802" spans="3:3">
      <c r="C1802" s="21" t="s">
        <v>10473</v>
      </c>
    </row>
    <row r="1803" spans="3:3">
      <c r="C1803" s="21" t="s">
        <v>10474</v>
      </c>
    </row>
    <row r="1804" spans="3:3">
      <c r="C1804" s="21" t="s">
        <v>10475</v>
      </c>
    </row>
    <row r="1805" spans="3:3">
      <c r="C1805" s="21" t="s">
        <v>10476</v>
      </c>
    </row>
    <row r="1806" spans="3:3">
      <c r="C1806" s="21" t="s">
        <v>10477</v>
      </c>
    </row>
    <row r="1807" spans="3:3">
      <c r="C1807" s="21" t="s">
        <v>10478</v>
      </c>
    </row>
    <row r="1808" spans="3:3">
      <c r="C1808" s="21" t="s">
        <v>10479</v>
      </c>
    </row>
    <row r="1809" spans="3:3">
      <c r="C1809" s="21" t="s">
        <v>10480</v>
      </c>
    </row>
    <row r="1810" spans="3:3">
      <c r="C1810" s="21" t="s">
        <v>10481</v>
      </c>
    </row>
    <row r="1811" spans="3:3">
      <c r="C1811" s="21" t="s">
        <v>10482</v>
      </c>
    </row>
    <row r="1812" spans="3:3">
      <c r="C1812" s="21" t="s">
        <v>10483</v>
      </c>
    </row>
    <row r="1813" spans="3:3">
      <c r="C1813" s="21" t="s">
        <v>10484</v>
      </c>
    </row>
    <row r="1814" spans="3:3">
      <c r="C1814" s="21" t="s">
        <v>10485</v>
      </c>
    </row>
    <row r="1815" spans="3:3">
      <c r="C1815" s="21" t="s">
        <v>10486</v>
      </c>
    </row>
    <row r="1816" spans="3:3">
      <c r="C1816" s="21" t="s">
        <v>10487</v>
      </c>
    </row>
    <row r="1817" spans="3:3">
      <c r="C1817" s="21" t="s">
        <v>10488</v>
      </c>
    </row>
    <row r="1818" spans="3:3">
      <c r="C1818" s="21" t="s">
        <v>10489</v>
      </c>
    </row>
    <row r="1819" spans="3:3">
      <c r="C1819" s="21" t="s">
        <v>10490</v>
      </c>
    </row>
    <row r="1820" spans="3:3">
      <c r="C1820" s="21" t="s">
        <v>10491</v>
      </c>
    </row>
    <row r="1821" spans="3:3">
      <c r="C1821" s="21" t="s">
        <v>10492</v>
      </c>
    </row>
    <row r="1822" spans="3:3">
      <c r="C1822" s="21" t="s">
        <v>10493</v>
      </c>
    </row>
    <row r="1823" spans="3:3">
      <c r="C1823" s="21" t="s">
        <v>10494</v>
      </c>
    </row>
    <row r="1824" spans="3:3">
      <c r="C1824" s="21" t="s">
        <v>10495</v>
      </c>
    </row>
    <row r="1825" spans="3:3">
      <c r="C1825" s="21" t="s">
        <v>10496</v>
      </c>
    </row>
    <row r="1826" spans="3:3">
      <c r="C1826" s="21" t="s">
        <v>10497</v>
      </c>
    </row>
    <row r="1827" spans="3:3">
      <c r="C1827" s="21" t="s">
        <v>10498</v>
      </c>
    </row>
    <row r="1828" spans="3:3">
      <c r="C1828" s="21" t="s">
        <v>10499</v>
      </c>
    </row>
    <row r="1829" spans="3:3">
      <c r="C1829" s="21" t="s">
        <v>10500</v>
      </c>
    </row>
    <row r="1830" spans="3:3">
      <c r="C1830" s="21" t="s">
        <v>10501</v>
      </c>
    </row>
    <row r="1831" spans="3:3">
      <c r="C1831" s="21" t="s">
        <v>10502</v>
      </c>
    </row>
    <row r="1832" spans="3:3">
      <c r="C1832" s="21" t="s">
        <v>10503</v>
      </c>
    </row>
    <row r="1833" spans="3:3">
      <c r="C1833" s="21" t="s">
        <v>10504</v>
      </c>
    </row>
    <row r="1834" spans="3:3">
      <c r="C1834" s="21" t="s">
        <v>10505</v>
      </c>
    </row>
    <row r="1835" spans="3:3">
      <c r="C1835" s="21" t="s">
        <v>10506</v>
      </c>
    </row>
    <row r="1836" spans="3:3">
      <c r="C1836" s="21" t="s">
        <v>10507</v>
      </c>
    </row>
    <row r="1837" spans="3:3">
      <c r="C1837" s="21" t="s">
        <v>10508</v>
      </c>
    </row>
    <row r="1838" spans="3:3">
      <c r="C1838" s="21" t="s">
        <v>10509</v>
      </c>
    </row>
    <row r="1839" spans="3:3">
      <c r="C1839" s="21" t="s">
        <v>10510</v>
      </c>
    </row>
    <row r="1840" spans="3:3">
      <c r="C1840" s="21" t="s">
        <v>10511</v>
      </c>
    </row>
    <row r="1841" spans="3:3">
      <c r="C1841" s="21" t="s">
        <v>10512</v>
      </c>
    </row>
    <row r="1842" spans="3:3">
      <c r="C1842" s="21" t="s">
        <v>10513</v>
      </c>
    </row>
    <row r="1843" spans="3:3">
      <c r="C1843" s="21" t="s">
        <v>10514</v>
      </c>
    </row>
    <row r="1844" spans="3:3">
      <c r="C1844" s="21" t="s">
        <v>10515</v>
      </c>
    </row>
    <row r="1845" spans="3:3">
      <c r="C1845" s="21" t="s">
        <v>10516</v>
      </c>
    </row>
    <row r="1846" spans="3:3">
      <c r="C1846" s="21" t="s">
        <v>10517</v>
      </c>
    </row>
    <row r="1847" spans="3:3">
      <c r="C1847" s="21" t="s">
        <v>10518</v>
      </c>
    </row>
    <row r="1848" spans="3:3">
      <c r="C1848" s="21" t="s">
        <v>10519</v>
      </c>
    </row>
    <row r="1849" spans="3:3">
      <c r="C1849" s="21" t="s">
        <v>10520</v>
      </c>
    </row>
    <row r="1850" spans="3:3">
      <c r="C1850" s="21" t="s">
        <v>10521</v>
      </c>
    </row>
    <row r="1851" spans="3:3">
      <c r="C1851" s="21" t="s">
        <v>10522</v>
      </c>
    </row>
    <row r="1852" spans="3:3">
      <c r="C1852" s="21" t="s">
        <v>10523</v>
      </c>
    </row>
    <row r="1853" spans="3:3">
      <c r="C1853" s="21" t="s">
        <v>10524</v>
      </c>
    </row>
    <row r="1854" spans="3:3">
      <c r="C1854" s="21" t="s">
        <v>10525</v>
      </c>
    </row>
    <row r="1855" spans="3:3">
      <c r="C1855" s="21" t="s">
        <v>10526</v>
      </c>
    </row>
    <row r="1856" spans="3:3">
      <c r="C1856" s="21" t="s">
        <v>10527</v>
      </c>
    </row>
    <row r="1857" spans="3:3">
      <c r="C1857" s="21" t="s">
        <v>10528</v>
      </c>
    </row>
    <row r="1858" spans="3:3">
      <c r="C1858" s="21" t="s">
        <v>10529</v>
      </c>
    </row>
    <row r="1859" spans="3:3">
      <c r="C1859" s="21" t="s">
        <v>10530</v>
      </c>
    </row>
    <row r="1860" spans="3:3">
      <c r="C1860" s="21" t="s">
        <v>10531</v>
      </c>
    </row>
    <row r="1861" spans="3:3">
      <c r="C1861" s="21" t="s">
        <v>10532</v>
      </c>
    </row>
    <row r="1862" spans="3:3">
      <c r="C1862" s="21" t="s">
        <v>10533</v>
      </c>
    </row>
    <row r="1863" spans="3:3">
      <c r="C1863" s="21" t="s">
        <v>10534</v>
      </c>
    </row>
    <row r="1864" spans="3:3">
      <c r="C1864" s="21" t="s">
        <v>10535</v>
      </c>
    </row>
    <row r="1865" spans="3:3">
      <c r="C1865" s="21" t="s">
        <v>10536</v>
      </c>
    </row>
    <row r="1866" spans="3:3">
      <c r="C1866" s="21" t="s">
        <v>10537</v>
      </c>
    </row>
    <row r="1867" spans="3:3">
      <c r="C1867" s="21" t="s">
        <v>10538</v>
      </c>
    </row>
    <row r="1868" spans="3:3">
      <c r="C1868" s="21" t="s">
        <v>10539</v>
      </c>
    </row>
    <row r="1869" spans="3:3">
      <c r="C1869" s="21" t="s">
        <v>10540</v>
      </c>
    </row>
    <row r="1870" spans="3:3">
      <c r="C1870" s="21" t="s">
        <v>10541</v>
      </c>
    </row>
    <row r="1871" spans="3:3">
      <c r="C1871" s="21" t="s">
        <v>10542</v>
      </c>
    </row>
    <row r="1872" spans="3:3">
      <c r="C1872" s="21" t="s">
        <v>10543</v>
      </c>
    </row>
    <row r="1873" spans="3:3">
      <c r="C1873" s="21" t="s">
        <v>10544</v>
      </c>
    </row>
    <row r="1874" spans="3:3">
      <c r="C1874" s="21" t="s">
        <v>10545</v>
      </c>
    </row>
    <row r="1875" spans="3:3">
      <c r="C1875" s="21" t="s">
        <v>10546</v>
      </c>
    </row>
    <row r="1876" spans="3:3">
      <c r="C1876" s="21" t="s">
        <v>10547</v>
      </c>
    </row>
    <row r="1877" spans="3:3">
      <c r="C1877" s="21" t="s">
        <v>10548</v>
      </c>
    </row>
    <row r="1878" spans="3:3">
      <c r="C1878" s="21" t="s">
        <v>10549</v>
      </c>
    </row>
    <row r="1879" spans="3:3">
      <c r="C1879" s="21" t="s">
        <v>10550</v>
      </c>
    </row>
    <row r="1880" spans="3:3">
      <c r="C1880" s="21" t="s">
        <v>10551</v>
      </c>
    </row>
    <row r="1881" spans="3:3">
      <c r="C1881" s="21" t="s">
        <v>10552</v>
      </c>
    </row>
    <row r="1882" spans="3:3">
      <c r="C1882" s="21" t="s">
        <v>10553</v>
      </c>
    </row>
    <row r="1883" spans="3:3">
      <c r="C1883" s="21" t="s">
        <v>10554</v>
      </c>
    </row>
    <row r="1884" spans="3:3">
      <c r="C1884" s="21" t="s">
        <v>10555</v>
      </c>
    </row>
    <row r="1885" spans="3:3">
      <c r="C1885" s="21" t="s">
        <v>10556</v>
      </c>
    </row>
    <row r="1886" spans="3:3">
      <c r="C1886" s="21" t="s">
        <v>10557</v>
      </c>
    </row>
    <row r="1887" spans="3:3">
      <c r="C1887" s="21" t="s">
        <v>10558</v>
      </c>
    </row>
    <row r="1888" spans="3:3">
      <c r="C1888" s="21" t="s">
        <v>10559</v>
      </c>
    </row>
    <row r="1889" spans="3:3">
      <c r="C1889" s="21" t="s">
        <v>10560</v>
      </c>
    </row>
    <row r="1890" spans="3:3">
      <c r="C1890" s="21" t="s">
        <v>10561</v>
      </c>
    </row>
    <row r="1891" spans="3:3">
      <c r="C1891" s="21" t="s">
        <v>10562</v>
      </c>
    </row>
    <row r="1892" spans="3:3">
      <c r="C1892" s="21" t="s">
        <v>10563</v>
      </c>
    </row>
    <row r="1893" spans="3:3">
      <c r="C1893" s="21" t="s">
        <v>10564</v>
      </c>
    </row>
    <row r="1894" spans="3:3">
      <c r="C1894" s="21" t="s">
        <v>10565</v>
      </c>
    </row>
    <row r="1895" spans="3:3">
      <c r="C1895" s="21" t="s">
        <v>10566</v>
      </c>
    </row>
    <row r="1896" spans="3:3">
      <c r="C1896" s="21" t="s">
        <v>10567</v>
      </c>
    </row>
    <row r="1897" spans="3:3">
      <c r="C1897" s="21" t="s">
        <v>10568</v>
      </c>
    </row>
    <row r="1898" spans="3:3">
      <c r="C1898" s="21" t="s">
        <v>10569</v>
      </c>
    </row>
    <row r="1899" spans="3:3">
      <c r="C1899" s="21" t="s">
        <v>10570</v>
      </c>
    </row>
    <row r="1900" spans="3:3">
      <c r="C1900" s="21" t="s">
        <v>10571</v>
      </c>
    </row>
    <row r="1901" spans="3:3">
      <c r="C1901" s="21" t="s">
        <v>10572</v>
      </c>
    </row>
    <row r="1902" spans="3:3">
      <c r="C1902" s="21" t="s">
        <v>10573</v>
      </c>
    </row>
    <row r="1903" spans="3:3">
      <c r="C1903" s="21" t="s">
        <v>10574</v>
      </c>
    </row>
    <row r="1904" spans="3:3">
      <c r="C1904" s="21" t="s">
        <v>10575</v>
      </c>
    </row>
    <row r="1905" spans="3:3">
      <c r="C1905" s="21" t="s">
        <v>10576</v>
      </c>
    </row>
    <row r="1906" spans="3:3">
      <c r="C1906" s="21" t="s">
        <v>10577</v>
      </c>
    </row>
    <row r="1907" spans="3:3">
      <c r="C1907" s="21" t="s">
        <v>10578</v>
      </c>
    </row>
    <row r="1908" spans="3:3">
      <c r="C1908" s="21" t="s">
        <v>10579</v>
      </c>
    </row>
    <row r="1909" spans="3:3">
      <c r="C1909" s="21" t="s">
        <v>10580</v>
      </c>
    </row>
    <row r="1910" spans="3:3">
      <c r="C1910" s="21" t="s">
        <v>10581</v>
      </c>
    </row>
    <row r="1911" spans="3:3">
      <c r="C1911" s="21" t="s">
        <v>10582</v>
      </c>
    </row>
    <row r="1912" spans="3:3">
      <c r="C1912" s="21" t="s">
        <v>10583</v>
      </c>
    </row>
    <row r="1913" spans="3:3">
      <c r="C1913" s="21" t="s">
        <v>10584</v>
      </c>
    </row>
    <row r="1914" spans="3:3">
      <c r="C1914" s="21" t="s">
        <v>10585</v>
      </c>
    </row>
    <row r="1915" spans="3:3">
      <c r="C1915" s="21" t="s">
        <v>10586</v>
      </c>
    </row>
    <row r="1916" spans="3:3">
      <c r="C1916" s="21" t="s">
        <v>10587</v>
      </c>
    </row>
    <row r="1917" spans="3:3">
      <c r="C1917" s="21" t="s">
        <v>10588</v>
      </c>
    </row>
    <row r="1918" spans="3:3">
      <c r="C1918" s="21" t="s">
        <v>10589</v>
      </c>
    </row>
    <row r="1919" spans="3:3">
      <c r="C1919" s="21" t="s">
        <v>10590</v>
      </c>
    </row>
    <row r="1920" spans="3:3">
      <c r="C1920" s="21" t="s">
        <v>10591</v>
      </c>
    </row>
    <row r="1921" spans="3:3">
      <c r="C1921" s="21" t="s">
        <v>10592</v>
      </c>
    </row>
    <row r="1922" spans="3:3">
      <c r="C1922" s="21" t="s">
        <v>10593</v>
      </c>
    </row>
    <row r="1923" spans="3:3">
      <c r="C1923" s="21" t="s">
        <v>10594</v>
      </c>
    </row>
    <row r="1924" spans="3:3">
      <c r="C1924" s="21" t="s">
        <v>10595</v>
      </c>
    </row>
    <row r="1925" spans="3:3">
      <c r="C1925" s="21" t="s">
        <v>10596</v>
      </c>
    </row>
    <row r="1926" spans="3:3">
      <c r="C1926" s="21" t="s">
        <v>10597</v>
      </c>
    </row>
    <row r="1927" spans="3:3">
      <c r="C1927" s="21" t="s">
        <v>10598</v>
      </c>
    </row>
    <row r="1928" spans="3:3">
      <c r="C1928" s="21" t="s">
        <v>10599</v>
      </c>
    </row>
    <row r="1929" spans="3:3">
      <c r="C1929" s="21" t="s">
        <v>10600</v>
      </c>
    </row>
    <row r="1930" spans="3:3">
      <c r="C1930" s="21" t="s">
        <v>10601</v>
      </c>
    </row>
    <row r="1931" spans="3:3">
      <c r="C1931" s="21" t="s">
        <v>10602</v>
      </c>
    </row>
    <row r="1932" spans="3:3">
      <c r="C1932" s="21" t="s">
        <v>10603</v>
      </c>
    </row>
    <row r="1933" spans="3:3">
      <c r="C1933" s="21" t="s">
        <v>10604</v>
      </c>
    </row>
    <row r="1934" spans="3:3">
      <c r="C1934" s="21" t="s">
        <v>10605</v>
      </c>
    </row>
    <row r="1935" spans="3:3">
      <c r="C1935" s="21" t="s">
        <v>10606</v>
      </c>
    </row>
    <row r="1936" spans="3:3">
      <c r="C1936" s="21" t="s">
        <v>10607</v>
      </c>
    </row>
    <row r="1937" spans="3:3">
      <c r="C1937" s="21" t="s">
        <v>10608</v>
      </c>
    </row>
    <row r="1938" spans="3:3">
      <c r="C1938" s="21" t="s">
        <v>10609</v>
      </c>
    </row>
    <row r="1939" spans="3:3">
      <c r="C1939" s="21" t="s">
        <v>10610</v>
      </c>
    </row>
    <row r="1940" spans="3:3">
      <c r="C1940" s="21" t="s">
        <v>10611</v>
      </c>
    </row>
    <row r="1941" spans="3:3">
      <c r="C1941" s="21" t="s">
        <v>10612</v>
      </c>
    </row>
    <row r="1942" spans="3:3">
      <c r="C1942" s="21" t="s">
        <v>10613</v>
      </c>
    </row>
    <row r="1943" spans="3:3">
      <c r="C1943" s="21" t="s">
        <v>10614</v>
      </c>
    </row>
    <row r="1944" spans="3:3">
      <c r="C1944" s="21" t="s">
        <v>10615</v>
      </c>
    </row>
    <row r="1945" spans="3:3">
      <c r="C1945" s="21" t="s">
        <v>10616</v>
      </c>
    </row>
    <row r="1946" spans="3:3">
      <c r="C1946" s="21" t="s">
        <v>10617</v>
      </c>
    </row>
    <row r="1947" spans="3:3">
      <c r="C1947" s="21" t="s">
        <v>10618</v>
      </c>
    </row>
    <row r="1948" spans="3:3">
      <c r="C1948" s="21" t="s">
        <v>10619</v>
      </c>
    </row>
    <row r="1949" spans="3:3">
      <c r="C1949" s="21" t="s">
        <v>10620</v>
      </c>
    </row>
    <row r="1950" spans="3:3">
      <c r="C1950" s="21" t="s">
        <v>10621</v>
      </c>
    </row>
    <row r="1951" spans="3:3">
      <c r="C1951" s="21" t="s">
        <v>10622</v>
      </c>
    </row>
    <row r="1952" spans="3:3">
      <c r="C1952" s="21" t="s">
        <v>10623</v>
      </c>
    </row>
    <row r="1953" spans="3:3">
      <c r="C1953" s="21" t="s">
        <v>10624</v>
      </c>
    </row>
    <row r="1954" spans="3:3">
      <c r="C1954" s="21" t="s">
        <v>10625</v>
      </c>
    </row>
    <row r="1955" spans="3:3">
      <c r="C1955" s="21" t="s">
        <v>10626</v>
      </c>
    </row>
    <row r="1956" spans="3:3">
      <c r="C1956" s="21" t="s">
        <v>10627</v>
      </c>
    </row>
    <row r="1957" spans="3:3">
      <c r="C1957" s="21" t="s">
        <v>10628</v>
      </c>
    </row>
    <row r="1958" spans="3:3">
      <c r="C1958" s="21" t="s">
        <v>10629</v>
      </c>
    </row>
    <row r="1959" spans="3:3">
      <c r="C1959" s="21" t="s">
        <v>10630</v>
      </c>
    </row>
    <row r="1960" spans="3:3">
      <c r="C1960" s="21" t="s">
        <v>10631</v>
      </c>
    </row>
    <row r="1961" spans="3:3">
      <c r="C1961" s="21" t="s">
        <v>10632</v>
      </c>
    </row>
    <row r="1962" spans="3:3">
      <c r="C1962" s="21" t="s">
        <v>10633</v>
      </c>
    </row>
    <row r="1963" spans="3:3">
      <c r="C1963" s="21" t="s">
        <v>10634</v>
      </c>
    </row>
    <row r="1964" spans="3:3">
      <c r="C1964" s="21" t="s">
        <v>10635</v>
      </c>
    </row>
    <row r="1965" spans="3:3">
      <c r="C1965" s="21" t="s">
        <v>10636</v>
      </c>
    </row>
    <row r="1966" spans="3:3">
      <c r="C1966" s="21" t="s">
        <v>10637</v>
      </c>
    </row>
    <row r="1967" spans="3:3">
      <c r="C1967" s="21" t="s">
        <v>10638</v>
      </c>
    </row>
    <row r="1968" spans="3:3">
      <c r="C1968" s="21" t="s">
        <v>10639</v>
      </c>
    </row>
    <row r="1969" spans="3:3">
      <c r="C1969" s="21" t="s">
        <v>10640</v>
      </c>
    </row>
    <row r="1970" spans="3:3">
      <c r="C1970" s="21" t="s">
        <v>10641</v>
      </c>
    </row>
    <row r="1971" spans="3:3">
      <c r="C1971" s="21" t="s">
        <v>10642</v>
      </c>
    </row>
    <row r="1972" spans="3:3">
      <c r="C1972" s="21" t="s">
        <v>10643</v>
      </c>
    </row>
    <row r="1973" spans="3:3">
      <c r="C1973" s="21" t="s">
        <v>10644</v>
      </c>
    </row>
    <row r="1974" spans="3:3">
      <c r="C1974" s="21" t="s">
        <v>10645</v>
      </c>
    </row>
    <row r="1975" spans="3:3">
      <c r="C1975" s="21" t="s">
        <v>10646</v>
      </c>
    </row>
    <row r="1976" spans="3:3">
      <c r="C1976" s="21" t="s">
        <v>10647</v>
      </c>
    </row>
    <row r="1977" spans="3:3">
      <c r="C1977" s="21" t="s">
        <v>10648</v>
      </c>
    </row>
    <row r="1978" spans="3:3">
      <c r="C1978" s="21" t="s">
        <v>10649</v>
      </c>
    </row>
    <row r="1979" spans="3:3">
      <c r="C1979" s="21" t="s">
        <v>10650</v>
      </c>
    </row>
    <row r="1980" spans="3:3">
      <c r="C1980" s="21" t="s">
        <v>10651</v>
      </c>
    </row>
    <row r="1981" spans="3:3">
      <c r="C1981" s="21" t="s">
        <v>10652</v>
      </c>
    </row>
    <row r="1982" spans="3:3">
      <c r="C1982" s="21" t="s">
        <v>10653</v>
      </c>
    </row>
    <row r="1983" spans="3:3">
      <c r="C1983" s="21" t="s">
        <v>10654</v>
      </c>
    </row>
    <row r="1984" spans="3:3">
      <c r="C1984" s="21" t="s">
        <v>10655</v>
      </c>
    </row>
    <row r="1985" spans="3:3">
      <c r="C1985" s="21" t="s">
        <v>10656</v>
      </c>
    </row>
    <row r="1986" spans="3:3">
      <c r="C1986" s="21" t="s">
        <v>10657</v>
      </c>
    </row>
    <row r="1987" spans="3:3">
      <c r="C1987" s="21" t="s">
        <v>10658</v>
      </c>
    </row>
    <row r="1988" spans="3:3">
      <c r="C1988" s="21" t="s">
        <v>10659</v>
      </c>
    </row>
    <row r="1989" spans="3:3">
      <c r="C1989" s="21" t="s">
        <v>10660</v>
      </c>
    </row>
    <row r="1990" spans="3:3">
      <c r="C1990" s="21" t="s">
        <v>10661</v>
      </c>
    </row>
    <row r="1991" spans="3:3">
      <c r="C1991" s="21" t="s">
        <v>10662</v>
      </c>
    </row>
    <row r="1992" spans="3:3">
      <c r="C1992" s="21" t="s">
        <v>10663</v>
      </c>
    </row>
    <row r="1993" spans="3:3">
      <c r="C1993" s="21" t="s">
        <v>10664</v>
      </c>
    </row>
    <row r="1994" spans="3:3">
      <c r="C1994" s="21" t="s">
        <v>10665</v>
      </c>
    </row>
    <row r="1995" spans="3:3">
      <c r="C1995" s="21" t="s">
        <v>10666</v>
      </c>
    </row>
    <row r="1996" spans="3:3">
      <c r="C1996" s="21" t="s">
        <v>10667</v>
      </c>
    </row>
    <row r="1997" spans="3:3">
      <c r="C1997" s="21" t="s">
        <v>10668</v>
      </c>
    </row>
    <row r="1998" spans="3:3">
      <c r="C1998" s="21" t="s">
        <v>10669</v>
      </c>
    </row>
    <row r="1999" spans="3:3">
      <c r="C1999" s="21" t="s">
        <v>10670</v>
      </c>
    </row>
    <row r="2000" spans="3:3">
      <c r="C2000" s="21" t="s">
        <v>10671</v>
      </c>
    </row>
    <row r="2001" spans="3:3">
      <c r="C2001" s="21" t="s">
        <v>10672</v>
      </c>
    </row>
    <row r="2002" spans="3:3">
      <c r="C2002" s="21" t="s">
        <v>10673</v>
      </c>
    </row>
    <row r="2003" spans="3:3">
      <c r="C2003" s="21" t="s">
        <v>10674</v>
      </c>
    </row>
    <row r="2004" spans="3:3">
      <c r="C2004" s="21" t="s">
        <v>10675</v>
      </c>
    </row>
    <row r="2005" spans="3:3">
      <c r="C2005" s="21" t="s">
        <v>10676</v>
      </c>
    </row>
    <row r="2006" spans="3:3">
      <c r="C2006" s="21" t="s">
        <v>10677</v>
      </c>
    </row>
    <row r="2007" spans="3:3">
      <c r="C2007" s="21" t="s">
        <v>10678</v>
      </c>
    </row>
    <row r="2008" spans="3:3">
      <c r="C2008" s="21" t="s">
        <v>10679</v>
      </c>
    </row>
    <row r="2009" spans="3:3">
      <c r="C2009" s="21" t="s">
        <v>10680</v>
      </c>
    </row>
    <row r="2010" spans="3:3">
      <c r="C2010" s="21" t="s">
        <v>10681</v>
      </c>
    </row>
    <row r="2011" spans="3:3">
      <c r="C2011" s="21" t="s">
        <v>10682</v>
      </c>
    </row>
    <row r="2012" spans="3:3">
      <c r="C2012" s="21" t="s">
        <v>10683</v>
      </c>
    </row>
    <row r="2013" spans="3:3">
      <c r="C2013" s="21" t="s">
        <v>10684</v>
      </c>
    </row>
    <row r="2014" spans="3:3">
      <c r="C2014" s="21" t="s">
        <v>10685</v>
      </c>
    </row>
    <row r="2015" spans="3:3">
      <c r="C2015" s="21" t="s">
        <v>10686</v>
      </c>
    </row>
    <row r="2016" spans="3:3">
      <c r="C2016" s="21" t="s">
        <v>10687</v>
      </c>
    </row>
    <row r="2017" spans="3:3">
      <c r="C2017" s="21" t="s">
        <v>10688</v>
      </c>
    </row>
    <row r="2018" spans="3:3">
      <c r="C2018" s="21" t="s">
        <v>10689</v>
      </c>
    </row>
    <row r="2019" spans="3:3">
      <c r="C2019" s="21" t="s">
        <v>10690</v>
      </c>
    </row>
    <row r="2020" spans="3:3">
      <c r="C2020" s="21" t="s">
        <v>10691</v>
      </c>
    </row>
    <row r="2021" spans="3:3">
      <c r="C2021" s="21" t="s">
        <v>10692</v>
      </c>
    </row>
    <row r="2022" spans="3:3">
      <c r="C2022" s="21" t="s">
        <v>10693</v>
      </c>
    </row>
    <row r="2023" spans="3:3">
      <c r="C2023" s="21" t="s">
        <v>10694</v>
      </c>
    </row>
    <row r="2024" spans="3:3">
      <c r="C2024" s="21" t="s">
        <v>10695</v>
      </c>
    </row>
    <row r="2025" spans="3:3">
      <c r="C2025" s="21" t="s">
        <v>10696</v>
      </c>
    </row>
    <row r="2026" spans="3:3">
      <c r="C2026" s="21" t="s">
        <v>10697</v>
      </c>
    </row>
    <row r="2027" spans="3:3">
      <c r="C2027" s="21" t="s">
        <v>10698</v>
      </c>
    </row>
    <row r="2028" spans="3:3">
      <c r="C2028" s="21" t="s">
        <v>10699</v>
      </c>
    </row>
    <row r="2029" spans="3:3">
      <c r="C2029" s="21" t="s">
        <v>10700</v>
      </c>
    </row>
    <row r="2030" spans="3:3">
      <c r="C2030" s="21" t="s">
        <v>10701</v>
      </c>
    </row>
    <row r="2031" spans="3:3">
      <c r="C2031" s="21" t="s">
        <v>10702</v>
      </c>
    </row>
    <row r="2032" spans="3:3">
      <c r="C2032" s="21" t="s">
        <v>10703</v>
      </c>
    </row>
    <row r="2033" spans="3:3">
      <c r="C2033" s="21" t="s">
        <v>10704</v>
      </c>
    </row>
    <row r="2034" spans="3:3">
      <c r="C2034" s="21" t="s">
        <v>10705</v>
      </c>
    </row>
    <row r="2035" spans="3:3">
      <c r="C2035" s="21" t="s">
        <v>10706</v>
      </c>
    </row>
    <row r="2036" spans="3:3">
      <c r="C2036" s="21" t="s">
        <v>10707</v>
      </c>
    </row>
    <row r="2037" spans="3:3">
      <c r="C2037" s="21" t="s">
        <v>10708</v>
      </c>
    </row>
    <row r="2038" spans="3:3">
      <c r="C2038" s="21" t="s">
        <v>10709</v>
      </c>
    </row>
    <row r="2039" spans="3:3">
      <c r="C2039" s="21" t="s">
        <v>10710</v>
      </c>
    </row>
    <row r="2040" spans="3:3">
      <c r="C2040" s="21" t="s">
        <v>10711</v>
      </c>
    </row>
    <row r="2041" spans="3:3">
      <c r="C2041" s="21" t="s">
        <v>10712</v>
      </c>
    </row>
    <row r="2042" spans="3:3">
      <c r="C2042" s="21" t="s">
        <v>10713</v>
      </c>
    </row>
    <row r="2043" spans="3:3">
      <c r="C2043" s="21" t="s">
        <v>10714</v>
      </c>
    </row>
    <row r="2044" spans="3:3">
      <c r="C2044" s="21" t="s">
        <v>10715</v>
      </c>
    </row>
    <row r="2045" spans="3:3">
      <c r="C2045" s="21" t="s">
        <v>10716</v>
      </c>
    </row>
    <row r="2046" spans="3:3">
      <c r="C2046" s="21" t="s">
        <v>10717</v>
      </c>
    </row>
    <row r="2047" spans="3:3">
      <c r="C2047" s="21" t="s">
        <v>10718</v>
      </c>
    </row>
    <row r="2048" spans="3:3">
      <c r="C2048" s="21" t="s">
        <v>10719</v>
      </c>
    </row>
    <row r="2049" spans="3:3">
      <c r="C2049" s="21" t="s">
        <v>10720</v>
      </c>
    </row>
    <row r="2050" spans="3:3">
      <c r="C2050" s="21" t="s">
        <v>10721</v>
      </c>
    </row>
    <row r="2051" spans="3:3">
      <c r="C2051" s="21" t="s">
        <v>10722</v>
      </c>
    </row>
    <row r="2052" spans="3:3">
      <c r="C2052" s="21" t="s">
        <v>10723</v>
      </c>
    </row>
    <row r="2053" spans="3:3">
      <c r="C2053" s="21" t="s">
        <v>10724</v>
      </c>
    </row>
    <row r="2054" spans="3:3">
      <c r="C2054" s="21" t="s">
        <v>10725</v>
      </c>
    </row>
    <row r="2055" spans="3:3">
      <c r="C2055" s="21" t="s">
        <v>10726</v>
      </c>
    </row>
    <row r="2056" spans="3:3">
      <c r="C2056" s="21" t="s">
        <v>10727</v>
      </c>
    </row>
    <row r="2057" spans="3:3">
      <c r="C2057" s="21" t="s">
        <v>10728</v>
      </c>
    </row>
    <row r="2058" spans="3:3">
      <c r="C2058" s="21" t="s">
        <v>10729</v>
      </c>
    </row>
    <row r="2059" spans="3:3">
      <c r="C2059" s="21" t="s">
        <v>10730</v>
      </c>
    </row>
    <row r="2060" spans="3:3">
      <c r="C2060" s="21" t="s">
        <v>10731</v>
      </c>
    </row>
    <row r="2061" spans="3:3">
      <c r="C2061" s="21" t="s">
        <v>10732</v>
      </c>
    </row>
    <row r="2062" spans="3:3">
      <c r="C2062" s="21" t="s">
        <v>10733</v>
      </c>
    </row>
    <row r="2063" spans="3:3">
      <c r="C2063" s="21" t="s">
        <v>10734</v>
      </c>
    </row>
    <row r="2064" spans="3:3">
      <c r="C2064" s="21" t="s">
        <v>10735</v>
      </c>
    </row>
    <row r="2065" spans="3:3">
      <c r="C2065" s="21" t="s">
        <v>10736</v>
      </c>
    </row>
    <row r="2066" spans="3:3">
      <c r="C2066" s="21" t="s">
        <v>10737</v>
      </c>
    </row>
    <row r="2067" spans="3:3">
      <c r="C2067" s="21" t="s">
        <v>10738</v>
      </c>
    </row>
    <row r="2068" spans="3:3">
      <c r="C2068" s="21" t="s">
        <v>10739</v>
      </c>
    </row>
    <row r="2069" spans="3:3">
      <c r="C2069" s="21" t="s">
        <v>10740</v>
      </c>
    </row>
    <row r="2070" spans="3:3">
      <c r="C2070" s="21" t="s">
        <v>10741</v>
      </c>
    </row>
    <row r="2071" spans="3:3">
      <c r="C2071" s="21" t="s">
        <v>10742</v>
      </c>
    </row>
    <row r="2072" spans="3:3">
      <c r="C2072" s="21" t="s">
        <v>10743</v>
      </c>
    </row>
    <row r="2073" spans="3:3">
      <c r="C2073" s="21" t="s">
        <v>10744</v>
      </c>
    </row>
    <row r="2074" spans="3:3">
      <c r="C2074" s="21" t="s">
        <v>10745</v>
      </c>
    </row>
    <row r="2075" spans="3:3">
      <c r="C2075" s="21" t="s">
        <v>10746</v>
      </c>
    </row>
    <row r="2076" spans="3:3">
      <c r="C2076" s="21" t="s">
        <v>10747</v>
      </c>
    </row>
    <row r="2077" spans="3:3">
      <c r="C2077" s="21" t="s">
        <v>10748</v>
      </c>
    </row>
    <row r="2078" spans="3:3">
      <c r="C2078" s="21" t="s">
        <v>10749</v>
      </c>
    </row>
    <row r="2079" spans="3:3">
      <c r="C2079" s="21" t="s">
        <v>10750</v>
      </c>
    </row>
    <row r="2080" spans="3:3">
      <c r="C2080" s="21" t="s">
        <v>10751</v>
      </c>
    </row>
    <row r="2081" spans="3:3">
      <c r="C2081" s="21" t="s">
        <v>10752</v>
      </c>
    </row>
    <row r="2082" spans="3:3">
      <c r="C2082" s="21" t="s">
        <v>10753</v>
      </c>
    </row>
    <row r="2083" spans="3:3">
      <c r="C2083" s="21" t="s">
        <v>10754</v>
      </c>
    </row>
    <row r="2084" spans="3:3">
      <c r="C2084" s="21" t="s">
        <v>10755</v>
      </c>
    </row>
    <row r="2085" spans="3:3">
      <c r="C2085" s="21" t="s">
        <v>10756</v>
      </c>
    </row>
    <row r="2086" spans="3:3">
      <c r="C2086" s="21" t="s">
        <v>10757</v>
      </c>
    </row>
    <row r="2087" spans="3:3">
      <c r="C2087" s="21" t="s">
        <v>10758</v>
      </c>
    </row>
    <row r="2088" spans="3:3">
      <c r="C2088" s="21" t="s">
        <v>10759</v>
      </c>
    </row>
    <row r="2089" spans="3:3">
      <c r="C2089" s="21" t="s">
        <v>10760</v>
      </c>
    </row>
    <row r="2090" spans="3:3">
      <c r="C2090" s="21" t="s">
        <v>10761</v>
      </c>
    </row>
    <row r="2091" spans="3:3">
      <c r="C2091" s="21" t="s">
        <v>10762</v>
      </c>
    </row>
    <row r="2092" spans="3:3">
      <c r="C2092" s="21" t="s">
        <v>10763</v>
      </c>
    </row>
    <row r="2093" spans="3:3">
      <c r="C2093" s="21" t="s">
        <v>10764</v>
      </c>
    </row>
    <row r="2094" spans="3:3">
      <c r="C2094" s="21" t="s">
        <v>10765</v>
      </c>
    </row>
    <row r="2095" spans="3:3">
      <c r="C2095" s="21" t="s">
        <v>10766</v>
      </c>
    </row>
    <row r="2096" spans="3:3">
      <c r="C2096" s="21" t="s">
        <v>10767</v>
      </c>
    </row>
    <row r="2097" spans="3:3">
      <c r="C2097" s="21" t="s">
        <v>10768</v>
      </c>
    </row>
    <row r="2098" spans="3:3">
      <c r="C2098" s="21" t="s">
        <v>10769</v>
      </c>
    </row>
    <row r="2099" spans="3:3">
      <c r="C2099" s="21" t="s">
        <v>10770</v>
      </c>
    </row>
    <row r="2100" spans="3:3">
      <c r="C2100" s="21" t="s">
        <v>10771</v>
      </c>
    </row>
    <row r="2101" spans="3:3">
      <c r="C2101" s="21" t="s">
        <v>10772</v>
      </c>
    </row>
    <row r="2102" spans="3:3">
      <c r="C2102" s="21" t="s">
        <v>10773</v>
      </c>
    </row>
    <row r="2103" spans="3:3">
      <c r="C2103" s="21" t="s">
        <v>10774</v>
      </c>
    </row>
    <row r="2104" spans="3:3">
      <c r="C2104" s="21" t="s">
        <v>10775</v>
      </c>
    </row>
    <row r="2105" spans="3:3">
      <c r="C2105" s="21" t="s">
        <v>10776</v>
      </c>
    </row>
    <row r="2106" spans="3:3">
      <c r="C2106" s="21" t="s">
        <v>10777</v>
      </c>
    </row>
    <row r="2107" spans="3:3">
      <c r="C2107" s="21" t="s">
        <v>10778</v>
      </c>
    </row>
    <row r="2108" spans="3:3">
      <c r="C2108" s="21" t="s">
        <v>10779</v>
      </c>
    </row>
    <row r="2109" spans="3:3">
      <c r="C2109" s="21" t="s">
        <v>10780</v>
      </c>
    </row>
    <row r="2110" spans="3:3">
      <c r="C2110" s="21" t="s">
        <v>10781</v>
      </c>
    </row>
    <row r="2111" spans="3:3">
      <c r="C2111" s="21" t="s">
        <v>10782</v>
      </c>
    </row>
    <row r="2112" spans="3:3">
      <c r="C2112" s="21" t="s">
        <v>10783</v>
      </c>
    </row>
    <row r="2113" spans="3:3">
      <c r="C2113" s="21" t="s">
        <v>10784</v>
      </c>
    </row>
    <row r="2114" spans="3:3">
      <c r="C2114" s="21" t="s">
        <v>10785</v>
      </c>
    </row>
    <row r="2115" spans="3:3">
      <c r="C2115" s="21" t="s">
        <v>10786</v>
      </c>
    </row>
    <row r="2116" spans="3:3">
      <c r="C2116" s="21" t="s">
        <v>10787</v>
      </c>
    </row>
    <row r="2117" spans="3:3">
      <c r="C2117" s="21" t="s">
        <v>10788</v>
      </c>
    </row>
    <row r="2118" spans="3:3">
      <c r="C2118" s="21" t="s">
        <v>10789</v>
      </c>
    </row>
    <row r="2119" spans="3:3">
      <c r="C2119" s="21" t="s">
        <v>10790</v>
      </c>
    </row>
    <row r="2120" spans="3:3">
      <c r="C2120" s="21" t="s">
        <v>10791</v>
      </c>
    </row>
    <row r="2121" spans="3:3">
      <c r="C2121" s="21" t="s">
        <v>10792</v>
      </c>
    </row>
    <row r="2122" spans="3:3">
      <c r="C2122" s="21" t="s">
        <v>10793</v>
      </c>
    </row>
    <row r="2123" spans="3:3">
      <c r="C2123" s="21" t="s">
        <v>10794</v>
      </c>
    </row>
    <row r="2124" spans="3:3">
      <c r="C2124" s="21" t="s">
        <v>10795</v>
      </c>
    </row>
    <row r="2125" spans="3:3">
      <c r="C2125" s="21" t="s">
        <v>10796</v>
      </c>
    </row>
    <row r="2126" spans="3:3">
      <c r="C2126" s="21" t="s">
        <v>10797</v>
      </c>
    </row>
    <row r="2127" spans="3:3">
      <c r="C2127" s="21" t="s">
        <v>10798</v>
      </c>
    </row>
    <row r="2128" spans="3:3">
      <c r="C2128" s="21" t="s">
        <v>10799</v>
      </c>
    </row>
    <row r="2129" spans="3:3">
      <c r="C2129" s="21" t="s">
        <v>10800</v>
      </c>
    </row>
    <row r="2130" spans="3:3">
      <c r="C2130" s="21" t="s">
        <v>10801</v>
      </c>
    </row>
    <row r="2131" spans="3:3">
      <c r="C2131" s="21" t="s">
        <v>10802</v>
      </c>
    </row>
    <row r="2132" spans="3:3">
      <c r="C2132" s="21" t="s">
        <v>10803</v>
      </c>
    </row>
    <row r="2133" spans="3:3">
      <c r="C2133" s="21" t="s">
        <v>10804</v>
      </c>
    </row>
    <row r="2134" spans="3:3">
      <c r="C2134" s="21" t="s">
        <v>10805</v>
      </c>
    </row>
    <row r="2135" spans="3:3">
      <c r="C2135" s="21" t="s">
        <v>10806</v>
      </c>
    </row>
    <row r="2136" spans="3:3">
      <c r="C2136" s="21" t="s">
        <v>10807</v>
      </c>
    </row>
    <row r="2137" spans="3:3">
      <c r="C2137" s="21" t="s">
        <v>10808</v>
      </c>
    </row>
    <row r="2138" spans="3:3">
      <c r="C2138" s="21" t="s">
        <v>10809</v>
      </c>
    </row>
    <row r="2139" spans="3:3">
      <c r="C2139" s="21" t="s">
        <v>10810</v>
      </c>
    </row>
    <row r="2140" spans="3:3">
      <c r="C2140" s="21" t="s">
        <v>10811</v>
      </c>
    </row>
    <row r="2141" spans="3:3">
      <c r="C2141" s="21" t="s">
        <v>10812</v>
      </c>
    </row>
    <row r="2142" spans="3:3">
      <c r="C2142" s="21" t="s">
        <v>10813</v>
      </c>
    </row>
    <row r="2143" spans="3:3">
      <c r="C2143" s="21" t="s">
        <v>10814</v>
      </c>
    </row>
    <row r="2144" spans="3:3">
      <c r="C2144" s="21" t="s">
        <v>10815</v>
      </c>
    </row>
    <row r="2145" spans="3:3">
      <c r="C2145" s="21" t="s">
        <v>10816</v>
      </c>
    </row>
    <row r="2146" spans="3:3">
      <c r="C2146" s="21" t="s">
        <v>10817</v>
      </c>
    </row>
    <row r="2147" spans="3:3">
      <c r="C2147" s="21" t="s">
        <v>10818</v>
      </c>
    </row>
    <row r="2148" spans="3:3">
      <c r="C2148" s="21" t="s">
        <v>10819</v>
      </c>
    </row>
    <row r="2149" spans="3:3">
      <c r="C2149" s="21" t="s">
        <v>10820</v>
      </c>
    </row>
    <row r="2150" spans="3:3">
      <c r="C2150" s="21" t="s">
        <v>10821</v>
      </c>
    </row>
    <row r="2151" spans="3:3">
      <c r="C2151" s="21" t="s">
        <v>10822</v>
      </c>
    </row>
    <row r="2152" spans="3:3">
      <c r="C2152" s="21" t="s">
        <v>10823</v>
      </c>
    </row>
    <row r="2153" spans="3:3">
      <c r="C2153" s="21" t="s">
        <v>10824</v>
      </c>
    </row>
    <row r="2154" spans="3:3">
      <c r="C2154" s="21" t="s">
        <v>10825</v>
      </c>
    </row>
    <row r="2155" spans="3:3">
      <c r="C2155" s="21" t="s">
        <v>10826</v>
      </c>
    </row>
    <row r="2156" spans="3:3">
      <c r="C2156" s="21" t="s">
        <v>10827</v>
      </c>
    </row>
    <row r="2157" spans="3:3">
      <c r="C2157" s="21" t="s">
        <v>10828</v>
      </c>
    </row>
    <row r="2158" spans="3:3">
      <c r="C2158" s="21" t="s">
        <v>10829</v>
      </c>
    </row>
    <row r="2159" spans="3:3">
      <c r="C2159" s="21" t="s">
        <v>10830</v>
      </c>
    </row>
    <row r="2160" spans="3:3">
      <c r="C2160" s="21" t="s">
        <v>10831</v>
      </c>
    </row>
    <row r="2161" spans="3:3">
      <c r="C2161" s="21" t="s">
        <v>10832</v>
      </c>
    </row>
    <row r="2162" spans="3:3">
      <c r="C2162" s="21" t="s">
        <v>10833</v>
      </c>
    </row>
    <row r="2163" spans="3:3">
      <c r="C2163" s="21" t="s">
        <v>10834</v>
      </c>
    </row>
    <row r="2164" spans="3:3">
      <c r="C2164" s="21" t="s">
        <v>10835</v>
      </c>
    </row>
    <row r="2165" spans="3:3">
      <c r="C2165" s="21" t="s">
        <v>10836</v>
      </c>
    </row>
    <row r="2166" spans="3:3">
      <c r="C2166" s="21" t="s">
        <v>10837</v>
      </c>
    </row>
    <row r="2167" spans="3:3">
      <c r="C2167" s="21" t="s">
        <v>10838</v>
      </c>
    </row>
    <row r="2168" spans="3:3">
      <c r="C2168" s="21" t="s">
        <v>10839</v>
      </c>
    </row>
    <row r="2169" spans="3:3">
      <c r="C2169" s="21" t="s">
        <v>10840</v>
      </c>
    </row>
    <row r="2170" spans="3:3">
      <c r="C2170" s="21" t="s">
        <v>10841</v>
      </c>
    </row>
    <row r="2171" spans="3:3">
      <c r="C2171" s="21" t="s">
        <v>10842</v>
      </c>
    </row>
    <row r="2172" spans="3:3">
      <c r="C2172" s="21" t="s">
        <v>10843</v>
      </c>
    </row>
    <row r="2173" spans="3:3">
      <c r="C2173" s="21" t="s">
        <v>10844</v>
      </c>
    </row>
    <row r="2174" spans="3:3">
      <c r="C2174" s="21" t="s">
        <v>10845</v>
      </c>
    </row>
    <row r="2175" spans="3:3">
      <c r="C2175" s="21" t="s">
        <v>10846</v>
      </c>
    </row>
    <row r="2176" spans="3:3">
      <c r="C2176" s="21" t="s">
        <v>10847</v>
      </c>
    </row>
    <row r="2177" spans="3:3">
      <c r="C2177" s="21" t="s">
        <v>10848</v>
      </c>
    </row>
    <row r="2178" spans="3:3">
      <c r="C2178" s="21" t="s">
        <v>10849</v>
      </c>
    </row>
    <row r="2179" spans="3:3">
      <c r="C2179" s="21" t="s">
        <v>10850</v>
      </c>
    </row>
    <row r="2180" spans="3:3">
      <c r="C2180" s="21" t="s">
        <v>10851</v>
      </c>
    </row>
    <row r="2181" spans="3:3">
      <c r="C2181" s="21" t="s">
        <v>10852</v>
      </c>
    </row>
    <row r="2182" spans="3:3">
      <c r="C2182" s="21" t="s">
        <v>10853</v>
      </c>
    </row>
    <row r="2183" spans="3:3">
      <c r="C2183" s="21" t="s">
        <v>10854</v>
      </c>
    </row>
    <row r="2184" spans="3:3">
      <c r="C2184" s="21" t="s">
        <v>10855</v>
      </c>
    </row>
    <row r="2185" spans="3:3">
      <c r="C2185" s="21" t="s">
        <v>10856</v>
      </c>
    </row>
    <row r="2186" spans="3:3">
      <c r="C2186" s="21" t="s">
        <v>10857</v>
      </c>
    </row>
    <row r="2187" spans="3:3">
      <c r="C2187" s="21" t="s">
        <v>10858</v>
      </c>
    </row>
    <row r="2188" spans="3:3">
      <c r="C2188" s="21" t="s">
        <v>10859</v>
      </c>
    </row>
    <row r="2189" spans="3:3">
      <c r="C2189" s="21" t="s">
        <v>10860</v>
      </c>
    </row>
    <row r="2190" spans="3:3">
      <c r="C2190" s="21" t="s">
        <v>10861</v>
      </c>
    </row>
    <row r="2191" spans="3:3">
      <c r="C2191" s="21" t="s">
        <v>10862</v>
      </c>
    </row>
    <row r="2192" spans="3:3">
      <c r="C2192" s="21" t="s">
        <v>10863</v>
      </c>
    </row>
    <row r="2193" spans="3:3">
      <c r="C2193" s="21" t="s">
        <v>10864</v>
      </c>
    </row>
    <row r="2194" spans="3:3">
      <c r="C2194" s="21" t="s">
        <v>10865</v>
      </c>
    </row>
    <row r="2195" spans="3:3">
      <c r="C2195" s="21" t="s">
        <v>10866</v>
      </c>
    </row>
    <row r="2196" spans="3:3">
      <c r="C2196" s="21" t="s">
        <v>10867</v>
      </c>
    </row>
    <row r="2197" spans="3:3">
      <c r="C2197" s="21" t="s">
        <v>10868</v>
      </c>
    </row>
    <row r="2198" spans="3:3">
      <c r="C2198" s="21" t="s">
        <v>10869</v>
      </c>
    </row>
    <row r="2199" spans="3:3">
      <c r="C2199" s="21" t="s">
        <v>10870</v>
      </c>
    </row>
    <row r="2200" spans="3:3">
      <c r="C2200" s="21" t="s">
        <v>10871</v>
      </c>
    </row>
    <row r="2201" spans="3:3">
      <c r="C2201" s="21" t="s">
        <v>10872</v>
      </c>
    </row>
    <row r="2202" spans="3:3">
      <c r="C2202" s="21" t="s">
        <v>10873</v>
      </c>
    </row>
    <row r="2203" spans="3:3">
      <c r="C2203" s="21" t="s">
        <v>10874</v>
      </c>
    </row>
    <row r="2204" spans="3:3">
      <c r="C2204" s="21" t="s">
        <v>10875</v>
      </c>
    </row>
    <row r="2205" spans="3:3">
      <c r="C2205" s="21" t="s">
        <v>10876</v>
      </c>
    </row>
    <row r="2206" spans="3:3">
      <c r="C2206" s="21" t="s">
        <v>10877</v>
      </c>
    </row>
    <row r="2207" spans="3:3">
      <c r="C2207" s="21" t="s">
        <v>10878</v>
      </c>
    </row>
    <row r="2208" spans="3:3">
      <c r="C2208" s="21" t="s">
        <v>10879</v>
      </c>
    </row>
    <row r="2209" spans="3:3">
      <c r="C2209" s="21" t="s">
        <v>10880</v>
      </c>
    </row>
    <row r="2210" spans="3:3">
      <c r="C2210" s="21" t="s">
        <v>10881</v>
      </c>
    </row>
    <row r="2211" spans="3:3">
      <c r="C2211" s="21" t="s">
        <v>10882</v>
      </c>
    </row>
    <row r="2212" spans="3:3">
      <c r="C2212" s="21" t="s">
        <v>10883</v>
      </c>
    </row>
    <row r="2213" spans="3:3">
      <c r="C2213" s="21" t="s">
        <v>10884</v>
      </c>
    </row>
    <row r="2214" spans="3:3">
      <c r="C2214" s="21" t="s">
        <v>10885</v>
      </c>
    </row>
    <row r="2215" spans="3:3">
      <c r="C2215" s="21" t="s">
        <v>10886</v>
      </c>
    </row>
    <row r="2216" spans="3:3">
      <c r="C2216" s="21" t="s">
        <v>10887</v>
      </c>
    </row>
    <row r="2217" spans="3:3">
      <c r="C2217" s="21" t="s">
        <v>10888</v>
      </c>
    </row>
    <row r="2218" spans="3:3">
      <c r="C2218" s="21" t="s">
        <v>10889</v>
      </c>
    </row>
    <row r="2219" spans="3:3">
      <c r="C2219" s="21" t="s">
        <v>10890</v>
      </c>
    </row>
    <row r="2220" spans="3:3">
      <c r="C2220" s="21" t="s">
        <v>10891</v>
      </c>
    </row>
    <row r="2221" spans="3:3">
      <c r="C2221" s="21" t="s">
        <v>10892</v>
      </c>
    </row>
    <row r="2222" spans="3:3">
      <c r="C2222" s="21" t="s">
        <v>10893</v>
      </c>
    </row>
    <row r="2223" spans="3:3">
      <c r="C2223" s="21" t="s">
        <v>10894</v>
      </c>
    </row>
    <row r="2224" spans="3:3">
      <c r="C2224" s="21" t="s">
        <v>10895</v>
      </c>
    </row>
    <row r="2225" spans="3:3">
      <c r="C2225" s="21" t="s">
        <v>10896</v>
      </c>
    </row>
    <row r="2226" spans="3:3">
      <c r="C2226" s="21" t="s">
        <v>10897</v>
      </c>
    </row>
    <row r="2227" spans="3:3">
      <c r="C2227" s="21" t="s">
        <v>10898</v>
      </c>
    </row>
    <row r="2228" spans="3:3">
      <c r="C2228" s="21" t="s">
        <v>10899</v>
      </c>
    </row>
    <row r="2229" spans="3:3">
      <c r="C2229" s="21" t="s">
        <v>10900</v>
      </c>
    </row>
    <row r="2230" spans="3:3">
      <c r="C2230" s="21" t="s">
        <v>10901</v>
      </c>
    </row>
    <row r="2231" spans="3:3">
      <c r="C2231" s="21" t="s">
        <v>10902</v>
      </c>
    </row>
    <row r="2232" spans="3:3">
      <c r="C2232" s="21" t="s">
        <v>10903</v>
      </c>
    </row>
    <row r="2233" spans="3:3">
      <c r="C2233" s="21" t="s">
        <v>10904</v>
      </c>
    </row>
    <row r="2234" spans="3:3">
      <c r="C2234" s="21" t="s">
        <v>10905</v>
      </c>
    </row>
    <row r="2235" spans="3:3">
      <c r="C2235" s="21" t="s">
        <v>10906</v>
      </c>
    </row>
    <row r="2236" spans="3:3">
      <c r="C2236" s="21" t="s">
        <v>10907</v>
      </c>
    </row>
    <row r="2237" spans="3:3">
      <c r="C2237" s="21" t="s">
        <v>10908</v>
      </c>
    </row>
    <row r="2238" spans="3:3">
      <c r="C2238" s="21" t="s">
        <v>10909</v>
      </c>
    </row>
    <row r="2239" spans="3:3">
      <c r="C2239" s="21" t="s">
        <v>10910</v>
      </c>
    </row>
    <row r="2240" spans="3:3">
      <c r="C2240" s="21" t="s">
        <v>10911</v>
      </c>
    </row>
    <row r="2241" spans="3:3">
      <c r="C2241" s="21" t="s">
        <v>10912</v>
      </c>
    </row>
    <row r="2242" spans="3:3">
      <c r="C2242" s="21" t="s">
        <v>10913</v>
      </c>
    </row>
    <row r="2243" spans="3:3">
      <c r="C2243" s="21" t="s">
        <v>10914</v>
      </c>
    </row>
    <row r="2244" spans="3:3">
      <c r="C2244" s="21" t="s">
        <v>10915</v>
      </c>
    </row>
    <row r="2245" spans="3:3">
      <c r="C2245" s="21" t="s">
        <v>10916</v>
      </c>
    </row>
    <row r="2246" spans="3:3">
      <c r="C2246" s="21" t="s">
        <v>10917</v>
      </c>
    </row>
    <row r="2247" spans="3:3">
      <c r="C2247" s="21" t="s">
        <v>10918</v>
      </c>
    </row>
    <row r="2248" spans="3:3">
      <c r="C2248" s="21" t="s">
        <v>10919</v>
      </c>
    </row>
    <row r="2249" spans="3:3">
      <c r="C2249" s="21" t="s">
        <v>10920</v>
      </c>
    </row>
    <row r="2250" spans="3:3">
      <c r="C2250" s="21" t="s">
        <v>10921</v>
      </c>
    </row>
    <row r="2251" spans="3:3">
      <c r="C2251" s="21" t="s">
        <v>10922</v>
      </c>
    </row>
    <row r="2252" spans="3:3">
      <c r="C2252" s="21" t="s">
        <v>10923</v>
      </c>
    </row>
    <row r="2253" spans="3:3">
      <c r="C2253" s="21" t="s">
        <v>10924</v>
      </c>
    </row>
    <row r="2254" spans="3:3">
      <c r="C2254" s="21" t="s">
        <v>10925</v>
      </c>
    </row>
    <row r="2255" spans="3:3">
      <c r="C2255" s="21" t="s">
        <v>10926</v>
      </c>
    </row>
    <row r="2256" spans="3:3">
      <c r="C2256" s="21" t="s">
        <v>10927</v>
      </c>
    </row>
    <row r="2257" spans="3:3">
      <c r="C2257" s="21" t="s">
        <v>10928</v>
      </c>
    </row>
    <row r="2258" spans="3:3">
      <c r="C2258" s="21" t="s">
        <v>10929</v>
      </c>
    </row>
    <row r="2259" spans="3:3">
      <c r="C2259" s="21" t="s">
        <v>10930</v>
      </c>
    </row>
    <row r="2260" spans="3:3">
      <c r="C2260" s="21" t="s">
        <v>10931</v>
      </c>
    </row>
    <row r="2261" spans="3:3">
      <c r="C2261" s="21" t="s">
        <v>10932</v>
      </c>
    </row>
    <row r="2262" spans="3:3">
      <c r="C2262" s="21" t="s">
        <v>10933</v>
      </c>
    </row>
    <row r="2263" spans="3:3">
      <c r="C2263" s="21" t="s">
        <v>10934</v>
      </c>
    </row>
    <row r="2264" spans="3:3">
      <c r="C2264" s="21" t="s">
        <v>10935</v>
      </c>
    </row>
    <row r="2265" spans="3:3">
      <c r="C2265" s="21" t="s">
        <v>10936</v>
      </c>
    </row>
    <row r="2266" spans="3:3">
      <c r="C2266" s="21" t="s">
        <v>10937</v>
      </c>
    </row>
    <row r="2267" spans="3:3">
      <c r="C2267" s="21" t="s">
        <v>10938</v>
      </c>
    </row>
    <row r="2268" spans="3:3">
      <c r="C2268" s="21" t="s">
        <v>10939</v>
      </c>
    </row>
    <row r="2269" spans="3:3">
      <c r="C2269" s="21" t="s">
        <v>10940</v>
      </c>
    </row>
    <row r="2270" spans="3:3">
      <c r="C2270" s="21" t="s">
        <v>10941</v>
      </c>
    </row>
    <row r="2271" spans="3:3">
      <c r="C2271" s="21" t="s">
        <v>10942</v>
      </c>
    </row>
    <row r="2272" spans="3:3">
      <c r="C2272" s="21" t="s">
        <v>10943</v>
      </c>
    </row>
    <row r="2273" spans="3:3">
      <c r="C2273" s="21" t="s">
        <v>10944</v>
      </c>
    </row>
    <row r="2274" spans="3:3">
      <c r="C2274" s="21" t="s">
        <v>10945</v>
      </c>
    </row>
    <row r="2275" spans="3:3">
      <c r="C2275" s="21" t="s">
        <v>10946</v>
      </c>
    </row>
    <row r="2276" spans="3:3">
      <c r="C2276" s="21" t="s">
        <v>10947</v>
      </c>
    </row>
    <row r="2277" spans="3:3">
      <c r="C2277" s="21" t="s">
        <v>10948</v>
      </c>
    </row>
    <row r="2278" spans="3:3">
      <c r="C2278" s="21" t="s">
        <v>10949</v>
      </c>
    </row>
    <row r="2279" spans="3:3">
      <c r="C2279" s="21" t="s">
        <v>10950</v>
      </c>
    </row>
    <row r="2280" spans="3:3">
      <c r="C2280" s="21" t="s">
        <v>10951</v>
      </c>
    </row>
    <row r="2281" spans="3:3">
      <c r="C2281" s="21" t="s">
        <v>10952</v>
      </c>
    </row>
    <row r="2282" spans="3:3">
      <c r="C2282" s="21" t="s">
        <v>10953</v>
      </c>
    </row>
    <row r="2283" spans="3:3">
      <c r="C2283" s="21" t="s">
        <v>10954</v>
      </c>
    </row>
    <row r="2284" spans="3:3">
      <c r="C2284" s="21" t="s">
        <v>10955</v>
      </c>
    </row>
    <row r="2285" spans="3:3">
      <c r="C2285" s="21" t="s">
        <v>10956</v>
      </c>
    </row>
    <row r="2286" spans="3:3">
      <c r="C2286" s="21" t="s">
        <v>10957</v>
      </c>
    </row>
    <row r="2287" spans="3:3">
      <c r="C2287" s="21" t="s">
        <v>10958</v>
      </c>
    </row>
    <row r="2288" spans="3:3">
      <c r="C2288" s="21" t="s">
        <v>10959</v>
      </c>
    </row>
    <row r="2289" spans="3:3">
      <c r="C2289" s="21" t="s">
        <v>10960</v>
      </c>
    </row>
    <row r="2290" spans="3:3">
      <c r="C2290" s="21" t="s">
        <v>10961</v>
      </c>
    </row>
    <row r="2291" spans="3:3">
      <c r="C2291" s="21" t="s">
        <v>10962</v>
      </c>
    </row>
    <row r="2292" spans="3:3">
      <c r="C2292" s="21" t="s">
        <v>10963</v>
      </c>
    </row>
    <row r="2293" spans="3:3">
      <c r="C2293" s="21" t="s">
        <v>10964</v>
      </c>
    </row>
    <row r="2294" spans="3:3">
      <c r="C2294" s="21" t="s">
        <v>10965</v>
      </c>
    </row>
    <row r="2295" spans="3:3">
      <c r="C2295" s="21" t="s">
        <v>10966</v>
      </c>
    </row>
    <row r="2296" spans="3:3">
      <c r="C2296" s="21" t="s">
        <v>10967</v>
      </c>
    </row>
    <row r="2297" spans="3:3">
      <c r="C2297" s="21" t="s">
        <v>10968</v>
      </c>
    </row>
    <row r="2298" spans="3:3">
      <c r="C2298" s="21" t="s">
        <v>10969</v>
      </c>
    </row>
    <row r="2299" spans="3:3">
      <c r="C2299" s="21" t="s">
        <v>10970</v>
      </c>
    </row>
    <row r="2300" spans="3:3">
      <c r="C2300" s="21" t="s">
        <v>10971</v>
      </c>
    </row>
    <row r="2301" spans="3:3">
      <c r="C2301" s="21" t="s">
        <v>10972</v>
      </c>
    </row>
    <row r="2302" spans="3:3">
      <c r="C2302" s="21" t="s">
        <v>10973</v>
      </c>
    </row>
    <row r="2303" spans="3:3">
      <c r="C2303" s="21" t="s">
        <v>10974</v>
      </c>
    </row>
    <row r="2304" spans="3:3">
      <c r="C2304" s="21" t="s">
        <v>10975</v>
      </c>
    </row>
    <row r="2305" spans="3:3">
      <c r="C2305" s="21" t="s">
        <v>10976</v>
      </c>
    </row>
    <row r="2306" spans="3:3">
      <c r="C2306" s="21" t="s">
        <v>10977</v>
      </c>
    </row>
    <row r="2307" spans="3:3">
      <c r="C2307" s="21" t="s">
        <v>10978</v>
      </c>
    </row>
    <row r="2308" spans="3:3">
      <c r="C2308" s="21" t="s">
        <v>10979</v>
      </c>
    </row>
    <row r="2309" spans="3:3">
      <c r="C2309" s="21" t="s">
        <v>10980</v>
      </c>
    </row>
    <row r="2310" spans="3:3">
      <c r="C2310" s="21" t="s">
        <v>10981</v>
      </c>
    </row>
    <row r="2311" spans="3:3">
      <c r="C2311" s="21" t="s">
        <v>10982</v>
      </c>
    </row>
    <row r="2312" spans="3:3">
      <c r="C2312" s="21" t="s">
        <v>10983</v>
      </c>
    </row>
    <row r="2313" spans="3:3">
      <c r="C2313" s="21" t="s">
        <v>10984</v>
      </c>
    </row>
    <row r="2314" spans="3:3">
      <c r="C2314" s="21" t="s">
        <v>10985</v>
      </c>
    </row>
    <row r="2315" spans="3:3">
      <c r="C2315" s="21" t="s">
        <v>10986</v>
      </c>
    </row>
    <row r="2316" spans="3:3">
      <c r="C2316" s="21" t="s">
        <v>10987</v>
      </c>
    </row>
    <row r="2317" spans="3:3">
      <c r="C2317" s="21" t="s">
        <v>10988</v>
      </c>
    </row>
    <row r="2318" spans="3:3">
      <c r="C2318" s="21" t="s">
        <v>10989</v>
      </c>
    </row>
    <row r="2319" spans="3:3">
      <c r="C2319" s="21" t="s">
        <v>10990</v>
      </c>
    </row>
    <row r="2320" spans="3:3">
      <c r="C2320" s="21" t="s">
        <v>10991</v>
      </c>
    </row>
    <row r="2321" spans="3:3">
      <c r="C2321" s="21" t="s">
        <v>10992</v>
      </c>
    </row>
    <row r="2322" spans="3:3">
      <c r="C2322" s="21" t="s">
        <v>10993</v>
      </c>
    </row>
    <row r="2323" spans="3:3">
      <c r="C2323" s="21" t="s">
        <v>10994</v>
      </c>
    </row>
    <row r="2324" spans="3:3">
      <c r="C2324" s="21" t="s">
        <v>10995</v>
      </c>
    </row>
    <row r="2325" spans="3:3">
      <c r="C2325" s="21" t="s">
        <v>10996</v>
      </c>
    </row>
    <row r="2326" spans="3:3">
      <c r="C2326" s="21" t="s">
        <v>10997</v>
      </c>
    </row>
    <row r="2327" spans="3:3">
      <c r="C2327" s="21" t="s">
        <v>10998</v>
      </c>
    </row>
    <row r="2328" spans="3:3">
      <c r="C2328" s="21" t="s">
        <v>10999</v>
      </c>
    </row>
    <row r="2329" spans="3:3">
      <c r="C2329" s="21" t="s">
        <v>11000</v>
      </c>
    </row>
    <row r="2330" spans="3:3">
      <c r="C2330" s="21" t="s">
        <v>11001</v>
      </c>
    </row>
    <row r="2331" spans="3:3">
      <c r="C2331" s="21" t="s">
        <v>11002</v>
      </c>
    </row>
    <row r="2332" spans="3:3">
      <c r="C2332" s="21" t="s">
        <v>11003</v>
      </c>
    </row>
    <row r="2333" spans="3:3">
      <c r="C2333" s="21" t="s">
        <v>11004</v>
      </c>
    </row>
    <row r="2334" spans="3:3">
      <c r="C2334" s="21" t="s">
        <v>11005</v>
      </c>
    </row>
    <row r="2335" spans="3:3">
      <c r="C2335" s="21" t="s">
        <v>11006</v>
      </c>
    </row>
    <row r="2336" spans="3:3">
      <c r="C2336" s="21" t="s">
        <v>11007</v>
      </c>
    </row>
    <row r="2337" spans="2:4">
      <c r="C2337" s="21" t="s">
        <v>11008</v>
      </c>
    </row>
    <row r="2338" spans="2:4">
      <c r="C2338" s="21" t="s">
        <v>11009</v>
      </c>
    </row>
    <row r="2339" spans="2:4">
      <c r="C2339" s="21" t="s">
        <v>11010</v>
      </c>
    </row>
    <row r="2340" spans="2:4">
      <c r="C2340" s="21" t="s">
        <v>11011</v>
      </c>
    </row>
    <row r="2341" spans="2:4">
      <c r="C2341" s="21" t="s">
        <v>11012</v>
      </c>
    </row>
    <row r="2342" spans="2:4" ht="13.8" thickBot="1">
      <c r="B2342" s="25"/>
      <c r="C2342" s="44" t="s">
        <v>11013</v>
      </c>
    </row>
    <row r="2345" spans="2:4">
      <c r="B2345" t="s">
        <v>11014</v>
      </c>
    </row>
    <row r="2346" spans="2:4" ht="13.8" thickBot="1"/>
    <row r="2347" spans="2:4">
      <c r="B2347" s="22" t="s">
        <v>11015</v>
      </c>
      <c r="C2347" s="23" t="s">
        <v>8784</v>
      </c>
      <c r="D2347" s="23" t="s">
        <v>11016</v>
      </c>
    </row>
    <row r="2348" spans="2:4">
      <c r="B2348" s="24" t="s">
        <v>8796</v>
      </c>
      <c r="C2348" s="45">
        <v>1</v>
      </c>
      <c r="D2348" s="28">
        <v>6786.187725095846</v>
      </c>
    </row>
    <row r="2349" spans="2:4">
      <c r="B2349" t="s">
        <v>8797</v>
      </c>
      <c r="C2349" s="46">
        <v>1</v>
      </c>
      <c r="D2349" s="30">
        <v>7400.7586395438248</v>
      </c>
    </row>
    <row r="2350" spans="2:4">
      <c r="B2350" t="s">
        <v>8798</v>
      </c>
      <c r="C2350" s="46">
        <v>1</v>
      </c>
      <c r="D2350" s="30">
        <v>1858.2095631893617</v>
      </c>
    </row>
    <row r="2351" spans="2:4">
      <c r="B2351" t="s">
        <v>8799</v>
      </c>
      <c r="C2351" s="46">
        <v>1</v>
      </c>
      <c r="D2351" s="30">
        <v>6350.8859360701572</v>
      </c>
    </row>
    <row r="2352" spans="2:4">
      <c r="B2352" t="s">
        <v>8800</v>
      </c>
      <c r="C2352" s="46">
        <v>1</v>
      </c>
      <c r="D2352" s="30">
        <v>7171.5961138021521</v>
      </c>
    </row>
    <row r="2353" spans="2:4">
      <c r="B2353" t="s">
        <v>8801</v>
      </c>
      <c r="C2353" s="46">
        <v>1</v>
      </c>
      <c r="D2353" s="30">
        <v>6277.1832922582253</v>
      </c>
    </row>
    <row r="2354" spans="2:4">
      <c r="B2354" t="s">
        <v>8802</v>
      </c>
      <c r="C2354" s="46">
        <v>1</v>
      </c>
      <c r="D2354" s="30">
        <v>4265.535140520069</v>
      </c>
    </row>
    <row r="2355" spans="2:4">
      <c r="B2355" t="s">
        <v>8803</v>
      </c>
      <c r="C2355" s="46">
        <v>1</v>
      </c>
      <c r="D2355" s="30">
        <v>7250.0614794089834</v>
      </c>
    </row>
    <row r="2356" spans="2:4">
      <c r="B2356" t="s">
        <v>8804</v>
      </c>
      <c r="C2356" s="46">
        <v>1</v>
      </c>
      <c r="D2356" s="30">
        <v>99996.310700452232</v>
      </c>
    </row>
    <row r="2357" spans="2:4">
      <c r="B2357" t="s">
        <v>8805</v>
      </c>
      <c r="C2357" s="46">
        <v>1</v>
      </c>
      <c r="D2357" s="30">
        <v>2435.183225651771</v>
      </c>
    </row>
    <row r="2358" spans="2:4">
      <c r="B2358" t="s">
        <v>8806</v>
      </c>
      <c r="C2358" s="46">
        <v>1</v>
      </c>
      <c r="D2358" s="30">
        <v>3165.0000767564261</v>
      </c>
    </row>
    <row r="2359" spans="2:4">
      <c r="B2359" t="s">
        <v>8807</v>
      </c>
      <c r="C2359" s="46">
        <v>1</v>
      </c>
      <c r="D2359" s="30">
        <v>6614.4813494966074</v>
      </c>
    </row>
    <row r="2360" spans="2:4">
      <c r="B2360" t="s">
        <v>8808</v>
      </c>
      <c r="C2360" s="46">
        <v>1</v>
      </c>
      <c r="D2360" s="30">
        <v>6964.7421478831093</v>
      </c>
    </row>
    <row r="2361" spans="2:4">
      <c r="B2361" t="s">
        <v>8809</v>
      </c>
      <c r="C2361" s="46">
        <v>1</v>
      </c>
      <c r="D2361" s="30">
        <v>42110.115782433364</v>
      </c>
    </row>
    <row r="2362" spans="2:4">
      <c r="B2362" t="s">
        <v>8810</v>
      </c>
      <c r="C2362" s="46">
        <v>1</v>
      </c>
      <c r="D2362" s="30">
        <v>3111.5338100174381</v>
      </c>
    </row>
    <row r="2363" spans="2:4">
      <c r="B2363" t="s">
        <v>8811</v>
      </c>
      <c r="C2363" s="46">
        <v>1</v>
      </c>
      <c r="D2363" s="30">
        <v>7384.5402293781135</v>
      </c>
    </row>
    <row r="2364" spans="2:4">
      <c r="B2364" t="s">
        <v>8812</v>
      </c>
      <c r="C2364" s="46">
        <v>1</v>
      </c>
      <c r="D2364" s="30">
        <v>2521.6057123677065</v>
      </c>
    </row>
    <row r="2365" spans="2:4">
      <c r="B2365" t="s">
        <v>8813</v>
      </c>
      <c r="C2365" s="46">
        <v>1</v>
      </c>
      <c r="D2365" s="30">
        <v>7171.5961138021521</v>
      </c>
    </row>
    <row r="2366" spans="2:4">
      <c r="B2366" t="s">
        <v>8814</v>
      </c>
      <c r="C2366" s="46">
        <v>1</v>
      </c>
      <c r="D2366" s="30">
        <v>7414.4232917448471</v>
      </c>
    </row>
    <row r="2367" spans="2:4">
      <c r="B2367" t="s">
        <v>8815</v>
      </c>
      <c r="C2367" s="46">
        <v>1</v>
      </c>
      <c r="D2367" s="30">
        <v>7878.7797710456543</v>
      </c>
    </row>
    <row r="2368" spans="2:4">
      <c r="B2368" t="s">
        <v>8816</v>
      </c>
      <c r="C2368" s="46">
        <v>1</v>
      </c>
      <c r="D2368" s="30">
        <v>6951.535990580709</v>
      </c>
    </row>
    <row r="2369" spans="2:4">
      <c r="B2369" t="s">
        <v>8817</v>
      </c>
      <c r="C2369" s="46">
        <v>1</v>
      </c>
      <c r="D2369" s="30">
        <v>5604.5390433945622</v>
      </c>
    </row>
    <row r="2370" spans="2:4">
      <c r="B2370" t="s">
        <v>8818</v>
      </c>
      <c r="C2370" s="46">
        <v>1</v>
      </c>
      <c r="D2370" s="30">
        <v>7171.5961138021521</v>
      </c>
    </row>
    <row r="2371" spans="2:4">
      <c r="B2371" t="s">
        <v>8819</v>
      </c>
      <c r="C2371" s="46">
        <v>1</v>
      </c>
      <c r="D2371" s="30">
        <v>3763.9477928394222</v>
      </c>
    </row>
    <row r="2372" spans="2:4">
      <c r="B2372" t="s">
        <v>8820</v>
      </c>
      <c r="C2372" s="46">
        <v>1</v>
      </c>
      <c r="D2372" s="30">
        <v>7431.7434326002049</v>
      </c>
    </row>
    <row r="2373" spans="2:4">
      <c r="B2373" t="s">
        <v>8821</v>
      </c>
      <c r="C2373" s="46">
        <v>1</v>
      </c>
      <c r="D2373" s="30">
        <v>5571.9703453222401</v>
      </c>
    </row>
    <row r="2374" spans="2:4">
      <c r="B2374" t="s">
        <v>8822</v>
      </c>
      <c r="C2374" s="46">
        <v>1</v>
      </c>
      <c r="D2374" s="30">
        <v>7277.0566962440071</v>
      </c>
    </row>
    <row r="2375" spans="2:4">
      <c r="B2375" t="s">
        <v>8823</v>
      </c>
      <c r="C2375" s="46">
        <v>1</v>
      </c>
      <c r="D2375" s="30">
        <v>42110.115782433364</v>
      </c>
    </row>
    <row r="2376" spans="2:4">
      <c r="B2376" t="s">
        <v>8824</v>
      </c>
      <c r="C2376" s="46">
        <v>1</v>
      </c>
      <c r="D2376" s="30">
        <v>7171.5961138021521</v>
      </c>
    </row>
    <row r="2377" spans="2:4">
      <c r="B2377" t="s">
        <v>8825</v>
      </c>
      <c r="C2377" s="46">
        <v>1</v>
      </c>
      <c r="D2377" s="30">
        <v>5353.0550029481083</v>
      </c>
    </row>
    <row r="2378" spans="2:4">
      <c r="B2378" t="s">
        <v>8826</v>
      </c>
      <c r="C2378" s="46">
        <v>1</v>
      </c>
      <c r="D2378" s="30">
        <v>6991.1395758363924</v>
      </c>
    </row>
    <row r="2379" spans="2:4">
      <c r="B2379" t="s">
        <v>8827</v>
      </c>
      <c r="C2379" s="46">
        <v>1</v>
      </c>
      <c r="D2379" s="30">
        <v>1643.8367172976655</v>
      </c>
    </row>
    <row r="2380" spans="2:4">
      <c r="B2380" t="s">
        <v>8828</v>
      </c>
      <c r="C2380" s="46">
        <v>1</v>
      </c>
      <c r="D2380" s="30">
        <v>7440.7167247290527</v>
      </c>
    </row>
    <row r="2381" spans="2:4">
      <c r="B2381" t="s">
        <v>8829</v>
      </c>
      <c r="C2381" s="46">
        <v>1</v>
      </c>
      <c r="D2381" s="30">
        <v>5956.2415383482421</v>
      </c>
    </row>
    <row r="2382" spans="2:4">
      <c r="B2382" t="s">
        <v>8830</v>
      </c>
      <c r="C2382" s="46">
        <v>1</v>
      </c>
      <c r="D2382" s="30">
        <v>6347.5293054766162</v>
      </c>
    </row>
    <row r="2383" spans="2:4">
      <c r="B2383" t="s">
        <v>8831</v>
      </c>
      <c r="C2383" s="46">
        <v>1</v>
      </c>
      <c r="D2383" s="30">
        <v>2352.0950404257674</v>
      </c>
    </row>
    <row r="2384" spans="2:4">
      <c r="B2384" t="s">
        <v>8832</v>
      </c>
      <c r="C2384" s="46">
        <v>1</v>
      </c>
      <c r="D2384" s="30">
        <v>20542.332200926601</v>
      </c>
    </row>
    <row r="2385" spans="2:4">
      <c r="B2385" t="s">
        <v>8833</v>
      </c>
      <c r="C2385" s="46">
        <v>1</v>
      </c>
      <c r="D2385" s="30">
        <v>6627.6765939588422</v>
      </c>
    </row>
    <row r="2386" spans="2:4">
      <c r="B2386" t="s">
        <v>8834</v>
      </c>
      <c r="C2386" s="46">
        <v>1</v>
      </c>
      <c r="D2386" s="30">
        <v>7447.6959965006654</v>
      </c>
    </row>
    <row r="2387" spans="2:4">
      <c r="B2387" t="s">
        <v>8835</v>
      </c>
      <c r="C2387" s="46">
        <v>1</v>
      </c>
      <c r="D2387" s="30">
        <v>4319.3117680400246</v>
      </c>
    </row>
    <row r="2388" spans="2:4">
      <c r="B2388" t="s">
        <v>8836</v>
      </c>
      <c r="C2388" s="46">
        <v>1</v>
      </c>
      <c r="D2388" s="30">
        <v>7282.3388322842166</v>
      </c>
    </row>
    <row r="2389" spans="2:4">
      <c r="B2389" t="s">
        <v>8837</v>
      </c>
      <c r="C2389" s="46">
        <v>1</v>
      </c>
      <c r="D2389" s="30">
        <v>7371.9231491441342</v>
      </c>
    </row>
    <row r="2390" spans="2:4">
      <c r="B2390" t="s">
        <v>8838</v>
      </c>
      <c r="C2390" s="46">
        <v>1</v>
      </c>
      <c r="D2390" s="30">
        <v>42110.115782433364</v>
      </c>
    </row>
    <row r="2391" spans="2:4">
      <c r="B2391" t="s">
        <v>8839</v>
      </c>
      <c r="C2391" s="46">
        <v>1</v>
      </c>
      <c r="D2391" s="30">
        <v>6927.9239779076706</v>
      </c>
    </row>
    <row r="2392" spans="2:4">
      <c r="B2392" t="s">
        <v>8840</v>
      </c>
      <c r="C2392" s="46">
        <v>1</v>
      </c>
      <c r="D2392" s="30">
        <v>5568.9789876311997</v>
      </c>
    </row>
    <row r="2393" spans="2:4">
      <c r="B2393" t="s">
        <v>8841</v>
      </c>
      <c r="C2393" s="46">
        <v>1</v>
      </c>
      <c r="D2393" s="30">
        <v>11649.980863842131</v>
      </c>
    </row>
    <row r="2394" spans="2:4">
      <c r="B2394" t="s">
        <v>8842</v>
      </c>
      <c r="C2394" s="46">
        <v>1</v>
      </c>
      <c r="D2394" s="30">
        <v>5761.3740211956438</v>
      </c>
    </row>
    <row r="2395" spans="2:4">
      <c r="B2395" t="s">
        <v>8843</v>
      </c>
      <c r="C2395" s="46">
        <v>1</v>
      </c>
      <c r="D2395" s="30">
        <v>28085.11553963249</v>
      </c>
    </row>
    <row r="2396" spans="2:4">
      <c r="B2396" t="s">
        <v>8844</v>
      </c>
      <c r="C2396" s="46">
        <v>1</v>
      </c>
      <c r="D2396" s="30">
        <v>6095.7418260720578</v>
      </c>
    </row>
    <row r="2397" spans="2:4">
      <c r="B2397" t="s">
        <v>8845</v>
      </c>
      <c r="C2397" s="46">
        <v>1</v>
      </c>
      <c r="D2397" s="30">
        <v>6968.2764423450699</v>
      </c>
    </row>
    <row r="2398" spans="2:4">
      <c r="B2398" t="s">
        <v>8846</v>
      </c>
      <c r="C2398" s="46">
        <v>1</v>
      </c>
      <c r="D2398" s="30">
        <v>3508.2314319079214</v>
      </c>
    </row>
    <row r="2399" spans="2:4">
      <c r="B2399" t="s">
        <v>8847</v>
      </c>
      <c r="C2399" s="46">
        <v>1</v>
      </c>
      <c r="D2399" s="30">
        <v>6835.8616343431386</v>
      </c>
    </row>
    <row r="2400" spans="2:4">
      <c r="B2400" t="s">
        <v>8848</v>
      </c>
      <c r="C2400" s="46">
        <v>1</v>
      </c>
      <c r="D2400" s="30">
        <v>481.66528720460849</v>
      </c>
    </row>
    <row r="2401" spans="2:4">
      <c r="B2401" t="s">
        <v>8849</v>
      </c>
      <c r="C2401" s="46">
        <v>1</v>
      </c>
      <c r="D2401" s="30">
        <v>1796.5607931109168</v>
      </c>
    </row>
    <row r="2402" spans="2:4">
      <c r="B2402" t="s">
        <v>8850</v>
      </c>
      <c r="C2402" s="46">
        <v>1</v>
      </c>
      <c r="D2402" s="30">
        <v>6467.3023490730884</v>
      </c>
    </row>
    <row r="2403" spans="2:4">
      <c r="B2403" t="s">
        <v>8851</v>
      </c>
      <c r="C2403" s="46">
        <v>1</v>
      </c>
      <c r="D2403" s="30">
        <v>7296.1778983314862</v>
      </c>
    </row>
    <row r="2404" spans="2:4">
      <c r="B2404" t="s">
        <v>8852</v>
      </c>
      <c r="C2404" s="46">
        <v>1</v>
      </c>
      <c r="D2404" s="30">
        <v>7132.1695245546671</v>
      </c>
    </row>
    <row r="2405" spans="2:4">
      <c r="B2405" t="s">
        <v>8853</v>
      </c>
      <c r="C2405" s="46">
        <v>1</v>
      </c>
      <c r="D2405" s="30">
        <v>7448.6930385008163</v>
      </c>
    </row>
    <row r="2406" spans="2:4">
      <c r="B2406" t="s">
        <v>8854</v>
      </c>
      <c r="C2406" s="46">
        <v>1</v>
      </c>
      <c r="D2406" s="30">
        <v>5449.5003554712421</v>
      </c>
    </row>
    <row r="2407" spans="2:4">
      <c r="B2407" t="s">
        <v>8855</v>
      </c>
      <c r="C2407" s="46">
        <v>1</v>
      </c>
      <c r="D2407" s="30">
        <v>7376.8305272887301</v>
      </c>
    </row>
    <row r="2408" spans="2:4">
      <c r="B2408" t="s">
        <v>8856</v>
      </c>
      <c r="C2408" s="46">
        <v>1</v>
      </c>
      <c r="D2408" s="30">
        <v>7373.7621154769295</v>
      </c>
    </row>
    <row r="2409" spans="2:4">
      <c r="B2409" t="s">
        <v>8857</v>
      </c>
      <c r="C2409" s="46">
        <v>1</v>
      </c>
      <c r="D2409" s="30">
        <v>42110.115782433364</v>
      </c>
    </row>
    <row r="2410" spans="2:4">
      <c r="B2410" t="s">
        <v>8858</v>
      </c>
      <c r="C2410" s="46">
        <v>1</v>
      </c>
      <c r="D2410" s="30">
        <v>7416.7880895451635</v>
      </c>
    </row>
    <row r="2411" spans="2:4">
      <c r="B2411" t="s">
        <v>8859</v>
      </c>
      <c r="C2411" s="46">
        <v>1</v>
      </c>
      <c r="D2411" s="30">
        <v>7392.6282203525798</v>
      </c>
    </row>
    <row r="2412" spans="2:4">
      <c r="B2412" t="s">
        <v>8860</v>
      </c>
      <c r="C2412" s="46">
        <v>1</v>
      </c>
      <c r="D2412" s="30">
        <v>6897.4595301522604</v>
      </c>
    </row>
    <row r="2413" spans="2:4">
      <c r="B2413" t="s">
        <v>8861</v>
      </c>
      <c r="C2413" s="46">
        <v>1</v>
      </c>
      <c r="D2413" s="30">
        <v>4690.3126013424562</v>
      </c>
    </row>
    <row r="2414" spans="2:4">
      <c r="B2414" t="s">
        <v>8862</v>
      </c>
      <c r="C2414" s="46">
        <v>1</v>
      </c>
      <c r="D2414" s="30">
        <v>6625.0348814998051</v>
      </c>
    </row>
    <row r="2415" spans="2:4">
      <c r="B2415" t="s">
        <v>8863</v>
      </c>
      <c r="C2415" s="46">
        <v>1</v>
      </c>
      <c r="D2415" s="30">
        <v>7448.6930385008163</v>
      </c>
    </row>
    <row r="2416" spans="2:4">
      <c r="B2416" t="s">
        <v>8864</v>
      </c>
      <c r="C2416" s="46">
        <v>1</v>
      </c>
      <c r="D2416" s="30">
        <v>6976.6969630852573</v>
      </c>
    </row>
    <row r="2417" spans="2:4">
      <c r="B2417" t="s">
        <v>8865</v>
      </c>
      <c r="C2417" s="46">
        <v>1</v>
      </c>
      <c r="D2417" s="30">
        <v>6095.6727884424872</v>
      </c>
    </row>
    <row r="2418" spans="2:4">
      <c r="B2418" t="s">
        <v>8866</v>
      </c>
      <c r="C2418" s="46">
        <v>1</v>
      </c>
      <c r="D2418" s="30">
        <v>7435.5011937090167</v>
      </c>
    </row>
    <row r="2419" spans="2:4">
      <c r="B2419" t="s">
        <v>8867</v>
      </c>
      <c r="C2419" s="46">
        <v>1</v>
      </c>
      <c r="D2419" s="30">
        <v>6569.8695538617139</v>
      </c>
    </row>
    <row r="2420" spans="2:4">
      <c r="B2420" t="s">
        <v>8868</v>
      </c>
      <c r="C2420" s="46">
        <v>1</v>
      </c>
      <c r="D2420" s="30">
        <v>7221.3934950718021</v>
      </c>
    </row>
    <row r="2421" spans="2:4">
      <c r="B2421" t="s">
        <v>8869</v>
      </c>
      <c r="C2421" s="46">
        <v>1</v>
      </c>
      <c r="D2421" s="30">
        <v>7076.7734630461991</v>
      </c>
    </row>
    <row r="2422" spans="2:4">
      <c r="B2422" t="s">
        <v>8870</v>
      </c>
      <c r="C2422" s="46">
        <v>1</v>
      </c>
      <c r="D2422" s="30">
        <v>7426.9608567653122</v>
      </c>
    </row>
    <row r="2423" spans="2:4">
      <c r="B2423" t="s">
        <v>8871</v>
      </c>
      <c r="C2423" s="46">
        <v>1</v>
      </c>
      <c r="D2423" s="30">
        <v>6548.7775410439026</v>
      </c>
    </row>
    <row r="2424" spans="2:4">
      <c r="B2424" t="s">
        <v>8872</v>
      </c>
      <c r="C2424" s="46">
        <v>1</v>
      </c>
      <c r="D2424" s="30">
        <v>42110.115782433364</v>
      </c>
    </row>
    <row r="2425" spans="2:4">
      <c r="B2425" t="s">
        <v>8873</v>
      </c>
      <c r="C2425" s="46">
        <v>1</v>
      </c>
      <c r="D2425" s="30">
        <v>434.50722358432182</v>
      </c>
    </row>
    <row r="2426" spans="2:4">
      <c r="B2426" t="s">
        <v>8874</v>
      </c>
      <c r="C2426" s="46">
        <v>1</v>
      </c>
      <c r="D2426" s="30">
        <v>7449.6900812939193</v>
      </c>
    </row>
    <row r="2427" spans="2:4">
      <c r="B2427" t="s">
        <v>8875</v>
      </c>
      <c r="C2427" s="46">
        <v>1</v>
      </c>
      <c r="D2427" s="30">
        <v>7130.678659245119</v>
      </c>
    </row>
    <row r="2428" spans="2:4">
      <c r="B2428" t="s">
        <v>8876</v>
      </c>
      <c r="C2428" s="46">
        <v>1</v>
      </c>
      <c r="D2428" s="30">
        <v>7387.8749397362517</v>
      </c>
    </row>
    <row r="2429" spans="2:4">
      <c r="B2429" t="s">
        <v>8877</v>
      </c>
      <c r="C2429" s="46">
        <v>1</v>
      </c>
      <c r="D2429" s="30">
        <v>7027.9051806978696</v>
      </c>
    </row>
    <row r="2430" spans="2:4">
      <c r="B2430" t="s">
        <v>8878</v>
      </c>
      <c r="C2430" s="46">
        <v>1</v>
      </c>
      <c r="D2430" s="30">
        <v>5604.5390433945622</v>
      </c>
    </row>
    <row r="2431" spans="2:4">
      <c r="B2431" t="s">
        <v>8879</v>
      </c>
      <c r="C2431" s="46">
        <v>1</v>
      </c>
      <c r="D2431" s="30">
        <v>4861.5177084900097</v>
      </c>
    </row>
    <row r="2432" spans="2:4">
      <c r="B2432" t="s">
        <v>8880</v>
      </c>
      <c r="C2432" s="46">
        <v>1</v>
      </c>
      <c r="D2432" s="30">
        <v>7295.6091427993606</v>
      </c>
    </row>
    <row r="2433" spans="2:4">
      <c r="B2433" t="s">
        <v>8881</v>
      </c>
      <c r="C2433" s="46">
        <v>1</v>
      </c>
      <c r="D2433" s="30">
        <v>5966.2956630163972</v>
      </c>
    </row>
    <row r="2434" spans="2:4">
      <c r="B2434" t="s">
        <v>8882</v>
      </c>
      <c r="C2434" s="46">
        <v>1</v>
      </c>
      <c r="D2434" s="30">
        <v>5956.2415383482421</v>
      </c>
    </row>
    <row r="2435" spans="2:4">
      <c r="B2435" t="s">
        <v>8883</v>
      </c>
      <c r="C2435" s="46">
        <v>1</v>
      </c>
      <c r="D2435" s="30">
        <v>42110.115782433364</v>
      </c>
    </row>
    <row r="2436" spans="2:4">
      <c r="B2436" t="s">
        <v>8884</v>
      </c>
      <c r="C2436" s="46">
        <v>1</v>
      </c>
      <c r="D2436" s="30">
        <v>6691.44351628819</v>
      </c>
    </row>
    <row r="2437" spans="2:4">
      <c r="B2437" t="s">
        <v>8885</v>
      </c>
      <c r="C2437" s="46">
        <v>1</v>
      </c>
      <c r="D2437" s="30">
        <v>4128.6071775085084</v>
      </c>
    </row>
    <row r="2438" spans="2:4">
      <c r="B2438" t="s">
        <v>8886</v>
      </c>
      <c r="C2438" s="46">
        <v>1</v>
      </c>
      <c r="D2438" s="30">
        <v>6931.1671479779052</v>
      </c>
    </row>
    <row r="2439" spans="2:4">
      <c r="B2439" t="s">
        <v>8887</v>
      </c>
      <c r="C2439" s="46">
        <v>1</v>
      </c>
      <c r="D2439" s="30">
        <v>7305.8119171043872</v>
      </c>
    </row>
    <row r="2440" spans="2:4">
      <c r="B2440" t="s">
        <v>8888</v>
      </c>
      <c r="C2440" s="46">
        <v>1</v>
      </c>
      <c r="D2440" s="30">
        <v>7440.7167247290527</v>
      </c>
    </row>
    <row r="2441" spans="2:4">
      <c r="B2441" t="s">
        <v>8889</v>
      </c>
      <c r="C2441" s="46">
        <v>1</v>
      </c>
      <c r="D2441" s="30">
        <v>6294.802732332374</v>
      </c>
    </row>
    <row r="2442" spans="2:4">
      <c r="B2442" t="s">
        <v>8890</v>
      </c>
      <c r="C2442" s="46">
        <v>1</v>
      </c>
      <c r="D2442" s="30">
        <v>6995.4727408012195</v>
      </c>
    </row>
    <row r="2443" spans="2:4">
      <c r="B2443" t="s">
        <v>8891</v>
      </c>
      <c r="C2443" s="46">
        <v>1</v>
      </c>
      <c r="D2443" s="30">
        <v>7264.5473941012488</v>
      </c>
    </row>
    <row r="2444" spans="2:4">
      <c r="B2444" t="s">
        <v>8892</v>
      </c>
      <c r="C2444" s="46">
        <v>1</v>
      </c>
      <c r="D2444" s="30">
        <v>7442.5572350112479</v>
      </c>
    </row>
    <row r="2445" spans="2:4">
      <c r="B2445" t="s">
        <v>8893</v>
      </c>
      <c r="C2445" s="46">
        <v>1</v>
      </c>
      <c r="D2445" s="30">
        <v>6526.3294400581244</v>
      </c>
    </row>
    <row r="2446" spans="2:4">
      <c r="B2446" t="s">
        <v>8894</v>
      </c>
      <c r="C2446" s="46">
        <v>1</v>
      </c>
      <c r="D2446" s="30">
        <v>2435.183225651771</v>
      </c>
    </row>
    <row r="2447" spans="2:4">
      <c r="B2447" t="s">
        <v>8895</v>
      </c>
      <c r="C2447" s="46">
        <v>1</v>
      </c>
      <c r="D2447" s="30">
        <v>3111.5338100174381</v>
      </c>
    </row>
    <row r="2448" spans="2:4">
      <c r="B2448" t="s">
        <v>8896</v>
      </c>
      <c r="C2448" s="46">
        <v>1</v>
      </c>
      <c r="D2448" s="30">
        <v>7446.3925270033196</v>
      </c>
    </row>
    <row r="2449" spans="2:4">
      <c r="B2449" t="s">
        <v>8897</v>
      </c>
      <c r="C2449" s="46">
        <v>1</v>
      </c>
      <c r="D2449" s="30">
        <v>42110.115782433364</v>
      </c>
    </row>
    <row r="2450" spans="2:4">
      <c r="B2450" t="s">
        <v>8898</v>
      </c>
      <c r="C2450" s="46">
        <v>1</v>
      </c>
      <c r="D2450" s="30">
        <v>7321.0782208254286</v>
      </c>
    </row>
    <row r="2451" spans="2:4">
      <c r="B2451" t="s">
        <v>8899</v>
      </c>
      <c r="C2451" s="46">
        <v>1</v>
      </c>
      <c r="D2451" s="30">
        <v>4161.5451333668534</v>
      </c>
    </row>
    <row r="2452" spans="2:4">
      <c r="B2452" t="s">
        <v>8900</v>
      </c>
      <c r="C2452" s="46">
        <v>1</v>
      </c>
      <c r="D2452" s="30">
        <v>7372.7651129087462</v>
      </c>
    </row>
    <row r="2453" spans="2:4">
      <c r="B2453" t="s">
        <v>8901</v>
      </c>
      <c r="C2453" s="46">
        <v>1</v>
      </c>
      <c r="D2453" s="30">
        <v>7264.5473941012488</v>
      </c>
    </row>
    <row r="2454" spans="2:4">
      <c r="B2454" t="s">
        <v>8902</v>
      </c>
      <c r="C2454" s="46">
        <v>1</v>
      </c>
      <c r="D2454" s="30">
        <v>6698.8258319907845</v>
      </c>
    </row>
    <row r="2455" spans="2:4">
      <c r="B2455" t="s">
        <v>8903</v>
      </c>
      <c r="C2455" s="46">
        <v>1</v>
      </c>
      <c r="D2455" s="30">
        <v>5239.8176947433894</v>
      </c>
    </row>
    <row r="2456" spans="2:4">
      <c r="B2456" t="s">
        <v>8904</v>
      </c>
      <c r="C2456" s="46">
        <v>1</v>
      </c>
      <c r="D2456" s="30">
        <v>6450.9351496915215</v>
      </c>
    </row>
    <row r="2457" spans="2:4">
      <c r="B2457" t="s">
        <v>8905</v>
      </c>
      <c r="C2457" s="46">
        <v>1</v>
      </c>
      <c r="D2457" s="30">
        <v>5845.9459601047593</v>
      </c>
    </row>
    <row r="2458" spans="2:4">
      <c r="B2458" t="s">
        <v>8906</v>
      </c>
      <c r="C2458" s="46">
        <v>1</v>
      </c>
      <c r="D2458" s="30">
        <v>42110.115782433364</v>
      </c>
    </row>
    <row r="2459" spans="2:4">
      <c r="B2459" t="s">
        <v>8907</v>
      </c>
      <c r="C2459" s="46">
        <v>1</v>
      </c>
      <c r="D2459" s="30">
        <v>2317.2504175402341</v>
      </c>
    </row>
    <row r="2460" spans="2:4">
      <c r="B2460" t="s">
        <v>8908</v>
      </c>
      <c r="C2460" s="46">
        <v>1</v>
      </c>
      <c r="D2460" s="30">
        <v>6686.2774052510722</v>
      </c>
    </row>
    <row r="2461" spans="2:4">
      <c r="B2461" t="s">
        <v>8909</v>
      </c>
      <c r="C2461" s="46">
        <v>1</v>
      </c>
      <c r="D2461" s="30">
        <v>110994.01769689027</v>
      </c>
    </row>
    <row r="2462" spans="2:4">
      <c r="B2462" t="s">
        <v>8910</v>
      </c>
      <c r="C2462" s="46">
        <v>1</v>
      </c>
      <c r="D2462" s="30">
        <v>7374.9140939703575</v>
      </c>
    </row>
    <row r="2463" spans="2:4">
      <c r="B2463" t="s">
        <v>8911</v>
      </c>
      <c r="C2463" s="46">
        <v>1</v>
      </c>
      <c r="D2463" s="30">
        <v>3677.6720491878632</v>
      </c>
    </row>
    <row r="2464" spans="2:4">
      <c r="B2464" t="s">
        <v>8912</v>
      </c>
      <c r="C2464" s="46">
        <v>1</v>
      </c>
      <c r="D2464" s="30">
        <v>7146.2081564403024</v>
      </c>
    </row>
    <row r="2465" spans="2:4">
      <c r="B2465" t="s">
        <v>8913</v>
      </c>
      <c r="C2465" s="46">
        <v>1</v>
      </c>
      <c r="D2465" s="30">
        <v>7282.3388322842166</v>
      </c>
    </row>
    <row r="2466" spans="2:4">
      <c r="B2466" t="s">
        <v>8914</v>
      </c>
      <c r="C2466" s="46">
        <v>1</v>
      </c>
      <c r="D2466" s="30">
        <v>5427.9975490959596</v>
      </c>
    </row>
    <row r="2467" spans="2:4">
      <c r="B2467" t="s">
        <v>8915</v>
      </c>
      <c r="C2467" s="46">
        <v>1</v>
      </c>
      <c r="D2467" s="30">
        <v>7878.7797710456543</v>
      </c>
    </row>
    <row r="2468" spans="2:4">
      <c r="B2468" t="s">
        <v>8916</v>
      </c>
      <c r="C2468" s="46">
        <v>1</v>
      </c>
      <c r="D2468" s="30">
        <v>6573.0023145634796</v>
      </c>
    </row>
    <row r="2469" spans="2:4">
      <c r="B2469" t="s">
        <v>8917</v>
      </c>
      <c r="C2469" s="46">
        <v>1</v>
      </c>
      <c r="D2469" s="30">
        <v>3165.0000767564261</v>
      </c>
    </row>
    <row r="2470" spans="2:4">
      <c r="B2470" t="s">
        <v>8918</v>
      </c>
      <c r="C2470" s="46">
        <v>1</v>
      </c>
      <c r="D2470" s="30">
        <v>7224.3791941004429</v>
      </c>
    </row>
    <row r="2471" spans="2:4">
      <c r="B2471" t="s">
        <v>8919</v>
      </c>
      <c r="C2471" s="46">
        <v>1</v>
      </c>
      <c r="D2471" s="30">
        <v>42110.115782433364</v>
      </c>
    </row>
    <row r="2472" spans="2:4">
      <c r="B2472" t="s">
        <v>8920</v>
      </c>
      <c r="C2472" s="46">
        <v>1</v>
      </c>
      <c r="D2472" s="30">
        <v>2444.4469120613371</v>
      </c>
    </row>
    <row r="2473" spans="2:4">
      <c r="B2473" t="s">
        <v>8921</v>
      </c>
      <c r="C2473" s="46">
        <v>1</v>
      </c>
      <c r="D2473" s="30">
        <v>6639.1078650831596</v>
      </c>
    </row>
    <row r="2474" spans="2:4">
      <c r="B2474" t="s">
        <v>8922</v>
      </c>
      <c r="C2474" s="46">
        <v>1</v>
      </c>
      <c r="D2474" s="30">
        <v>6095.7418260720578</v>
      </c>
    </row>
    <row r="2475" spans="2:4">
      <c r="B2475" t="s">
        <v>8923</v>
      </c>
      <c r="C2475" s="46">
        <v>1</v>
      </c>
      <c r="D2475" s="30">
        <v>6477.0101591156636</v>
      </c>
    </row>
    <row r="2476" spans="2:4">
      <c r="B2476" t="s">
        <v>8924</v>
      </c>
      <c r="C2476" s="46">
        <v>1</v>
      </c>
      <c r="D2476" s="30">
        <v>7209.3471230918976</v>
      </c>
    </row>
    <row r="2477" spans="2:4">
      <c r="B2477" t="s">
        <v>8925</v>
      </c>
      <c r="C2477" s="46">
        <v>1</v>
      </c>
      <c r="D2477" s="30">
        <v>6627.6765939588422</v>
      </c>
    </row>
    <row r="2478" spans="2:4">
      <c r="B2478" t="s">
        <v>8926</v>
      </c>
      <c r="C2478" s="46">
        <v>1</v>
      </c>
      <c r="D2478" s="30">
        <v>6817.6548763096507</v>
      </c>
    </row>
    <row r="2479" spans="2:4">
      <c r="B2479" t="s">
        <v>8927</v>
      </c>
      <c r="C2479" s="46">
        <v>1</v>
      </c>
      <c r="D2479" s="30">
        <v>99996.310700452232</v>
      </c>
    </row>
    <row r="2480" spans="2:4">
      <c r="B2480" t="s">
        <v>8928</v>
      </c>
      <c r="C2480" s="46">
        <v>1</v>
      </c>
      <c r="D2480" s="30">
        <v>7200.4549111641363</v>
      </c>
    </row>
    <row r="2481" spans="2:4">
      <c r="B2481" t="s">
        <v>8929</v>
      </c>
      <c r="C2481" s="46">
        <v>1</v>
      </c>
      <c r="D2481" s="30">
        <v>7441.4835856003283</v>
      </c>
    </row>
    <row r="2482" spans="2:4">
      <c r="B2482" t="s">
        <v>8930</v>
      </c>
      <c r="C2482" s="46">
        <v>1</v>
      </c>
      <c r="D2482" s="30">
        <v>4265.535140520069</v>
      </c>
    </row>
    <row r="2483" spans="2:4">
      <c r="B2483" t="s">
        <v>8931</v>
      </c>
      <c r="C2483" s="46">
        <v>1</v>
      </c>
      <c r="D2483" s="30">
        <v>7442.5572350112479</v>
      </c>
    </row>
    <row r="2484" spans="2:4">
      <c r="B2484" t="s">
        <v>8932</v>
      </c>
      <c r="C2484" s="46">
        <v>1</v>
      </c>
      <c r="D2484" s="30">
        <v>7167.480050161078</v>
      </c>
    </row>
    <row r="2485" spans="2:4">
      <c r="B2485" t="s">
        <v>8933</v>
      </c>
      <c r="C2485" s="46">
        <v>1</v>
      </c>
      <c r="D2485" s="30">
        <v>7441.4835856003283</v>
      </c>
    </row>
    <row r="2486" spans="2:4">
      <c r="B2486" t="s">
        <v>8934</v>
      </c>
      <c r="C2486" s="46">
        <v>1</v>
      </c>
      <c r="D2486" s="30">
        <v>42110.115782433364</v>
      </c>
    </row>
    <row r="2487" spans="2:4">
      <c r="B2487" t="s">
        <v>8935</v>
      </c>
      <c r="C2487" s="46">
        <v>1</v>
      </c>
      <c r="D2487" s="30">
        <v>3111.5338100174381</v>
      </c>
    </row>
    <row r="2488" spans="2:4">
      <c r="B2488" t="s">
        <v>8936</v>
      </c>
      <c r="C2488" s="46">
        <v>1</v>
      </c>
      <c r="D2488" s="30">
        <v>6793.6759524976906</v>
      </c>
    </row>
    <row r="2489" spans="2:4">
      <c r="B2489" t="s">
        <v>8937</v>
      </c>
      <c r="C2489" s="46">
        <v>1</v>
      </c>
      <c r="D2489" s="30">
        <v>5610.2319013763399</v>
      </c>
    </row>
    <row r="2490" spans="2:4">
      <c r="B2490" t="s">
        <v>8938</v>
      </c>
      <c r="C2490" s="46">
        <v>1</v>
      </c>
      <c r="D2490" s="30">
        <v>7301.9019701836041</v>
      </c>
    </row>
    <row r="2491" spans="2:4">
      <c r="B2491" t="s">
        <v>8939</v>
      </c>
      <c r="C2491" s="46">
        <v>1</v>
      </c>
      <c r="D2491" s="30">
        <v>6095.7418260720578</v>
      </c>
    </row>
    <row r="2492" spans="2:4">
      <c r="B2492" t="s">
        <v>8940</v>
      </c>
      <c r="C2492" s="46">
        <v>1</v>
      </c>
      <c r="D2492" s="30">
        <v>7422.3098844959241</v>
      </c>
    </row>
    <row r="2493" spans="2:4">
      <c r="B2493" t="s">
        <v>8941</v>
      </c>
      <c r="C2493" s="46">
        <v>1</v>
      </c>
      <c r="D2493" s="30">
        <v>4675.9227178328156</v>
      </c>
    </row>
    <row r="2494" spans="2:4">
      <c r="B2494" t="s">
        <v>8942</v>
      </c>
      <c r="C2494" s="46">
        <v>1</v>
      </c>
      <c r="D2494" s="30">
        <v>6655.1353381163854</v>
      </c>
    </row>
    <row r="2495" spans="2:4">
      <c r="B2495" t="s">
        <v>8943</v>
      </c>
      <c r="C2495" s="46">
        <v>1</v>
      </c>
      <c r="D2495" s="30">
        <v>42110.115782433364</v>
      </c>
    </row>
    <row r="2496" spans="2:4">
      <c r="B2496" t="s">
        <v>8944</v>
      </c>
      <c r="C2496" s="46">
        <v>1</v>
      </c>
      <c r="D2496" s="30">
        <v>4265.535140520069</v>
      </c>
    </row>
    <row r="2497" spans="2:4">
      <c r="B2497" t="s">
        <v>8945</v>
      </c>
      <c r="C2497" s="46">
        <v>1</v>
      </c>
      <c r="D2497" s="30">
        <v>7291.0580140798475</v>
      </c>
    </row>
    <row r="2498" spans="2:4">
      <c r="B2498" t="s">
        <v>8946</v>
      </c>
      <c r="C2498" s="46">
        <v>1</v>
      </c>
      <c r="D2498" s="30">
        <v>7165.3271932367988</v>
      </c>
    </row>
    <row r="2499" spans="2:4">
      <c r="B2499" t="s">
        <v>8947</v>
      </c>
      <c r="C2499" s="46">
        <v>1</v>
      </c>
      <c r="D2499" s="30">
        <v>6343.8425501439579</v>
      </c>
    </row>
    <row r="2500" spans="2:4">
      <c r="B2500" t="s">
        <v>8948</v>
      </c>
      <c r="C2500" s="46">
        <v>1</v>
      </c>
      <c r="D2500" s="30">
        <v>7426.713828969725</v>
      </c>
    </row>
    <row r="2501" spans="2:4">
      <c r="B2501" t="s">
        <v>8949</v>
      </c>
      <c r="C2501" s="46">
        <v>1</v>
      </c>
      <c r="D2501" s="30">
        <v>6648.4066640262445</v>
      </c>
    </row>
    <row r="2502" spans="2:4">
      <c r="B2502" t="s">
        <v>8950</v>
      </c>
      <c r="C2502" s="46">
        <v>1</v>
      </c>
      <c r="D2502" s="30">
        <v>6332.7670935509123</v>
      </c>
    </row>
    <row r="2503" spans="2:4">
      <c r="B2503" t="s">
        <v>8951</v>
      </c>
      <c r="C2503" s="46">
        <v>1</v>
      </c>
      <c r="D2503" s="30">
        <v>28085.11553963249</v>
      </c>
    </row>
    <row r="2504" spans="2:4">
      <c r="B2504" t="s">
        <v>8952</v>
      </c>
      <c r="C2504" s="46">
        <v>1</v>
      </c>
      <c r="D2504" s="30">
        <v>6368.1224361921231</v>
      </c>
    </row>
    <row r="2505" spans="2:4">
      <c r="B2505" t="s">
        <v>8953</v>
      </c>
      <c r="C2505" s="46">
        <v>1</v>
      </c>
      <c r="D2505" s="30">
        <v>7293.0758052056462</v>
      </c>
    </row>
    <row r="2506" spans="2:4">
      <c r="B2506" t="s">
        <v>8954</v>
      </c>
      <c r="C2506" s="46">
        <v>1</v>
      </c>
      <c r="D2506" s="30">
        <v>7277.2137520228907</v>
      </c>
    </row>
    <row r="2507" spans="2:4">
      <c r="B2507" t="s">
        <v>8955</v>
      </c>
      <c r="C2507" s="46">
        <v>1</v>
      </c>
      <c r="D2507" s="30">
        <v>42110.115782433364</v>
      </c>
    </row>
    <row r="2508" spans="2:4">
      <c r="B2508" t="s">
        <v>8956</v>
      </c>
      <c r="C2508" s="46">
        <v>1</v>
      </c>
      <c r="D2508" s="30">
        <v>1544.2396055235683</v>
      </c>
    </row>
    <row r="2509" spans="2:4">
      <c r="B2509" t="s">
        <v>8957</v>
      </c>
      <c r="C2509" s="46">
        <v>1</v>
      </c>
      <c r="D2509" s="30">
        <v>5373.6359968568595</v>
      </c>
    </row>
    <row r="2510" spans="2:4">
      <c r="B2510" t="s">
        <v>8958</v>
      </c>
      <c r="C2510" s="46">
        <v>1</v>
      </c>
      <c r="D2510" s="30">
        <v>2846.9779825013461</v>
      </c>
    </row>
    <row r="2511" spans="2:4">
      <c r="B2511" t="s">
        <v>8959</v>
      </c>
      <c r="C2511" s="46">
        <v>1</v>
      </c>
      <c r="D2511" s="30">
        <v>7277.2137520228907</v>
      </c>
    </row>
    <row r="2512" spans="2:4">
      <c r="B2512" t="s">
        <v>8960</v>
      </c>
      <c r="C2512" s="46">
        <v>1</v>
      </c>
      <c r="D2512" s="30">
        <v>5933.1596513153299</v>
      </c>
    </row>
    <row r="2513" spans="2:4">
      <c r="B2513" t="s">
        <v>8961</v>
      </c>
      <c r="C2513" s="46">
        <v>1</v>
      </c>
      <c r="D2513" s="30">
        <v>3713.2662838645488</v>
      </c>
    </row>
    <row r="2514" spans="2:4">
      <c r="B2514" t="s">
        <v>8962</v>
      </c>
      <c r="C2514" s="46">
        <v>1</v>
      </c>
      <c r="D2514" s="30">
        <v>10288.735396113667</v>
      </c>
    </row>
    <row r="2515" spans="2:4">
      <c r="B2515" t="s">
        <v>8963</v>
      </c>
      <c r="C2515" s="46">
        <v>1</v>
      </c>
      <c r="D2515" s="30">
        <v>6882.6636798460404</v>
      </c>
    </row>
    <row r="2516" spans="2:4">
      <c r="B2516" t="s">
        <v>8964</v>
      </c>
      <c r="C2516" s="46">
        <v>1</v>
      </c>
      <c r="D2516" s="30">
        <v>7312.0275895019295</v>
      </c>
    </row>
    <row r="2517" spans="2:4">
      <c r="B2517" t="s">
        <v>8965</v>
      </c>
      <c r="C2517" s="46">
        <v>1</v>
      </c>
      <c r="D2517" s="30">
        <v>53186.879754203685</v>
      </c>
    </row>
    <row r="2518" spans="2:4">
      <c r="B2518" t="s">
        <v>8966</v>
      </c>
      <c r="C2518" s="46">
        <v>1</v>
      </c>
      <c r="D2518" s="30">
        <v>7200.2459338838598</v>
      </c>
    </row>
    <row r="2519" spans="2:4">
      <c r="B2519" t="s">
        <v>8967</v>
      </c>
      <c r="C2519" s="46">
        <v>1</v>
      </c>
      <c r="D2519" s="30">
        <v>7449.6900812939193</v>
      </c>
    </row>
    <row r="2520" spans="2:4">
      <c r="B2520" t="s">
        <v>8968</v>
      </c>
      <c r="C2520" s="46">
        <v>1</v>
      </c>
      <c r="D2520" s="30">
        <v>7264.7027931928897</v>
      </c>
    </row>
    <row r="2521" spans="2:4">
      <c r="B2521" t="s">
        <v>8969</v>
      </c>
      <c r="C2521" s="46">
        <v>1</v>
      </c>
      <c r="D2521" s="30">
        <v>7070.7930739178037</v>
      </c>
    </row>
    <row r="2522" spans="2:4">
      <c r="B2522" t="s">
        <v>8970</v>
      </c>
      <c r="C2522" s="46">
        <v>1</v>
      </c>
      <c r="D2522" s="30">
        <v>42110.115782433364</v>
      </c>
    </row>
    <row r="2523" spans="2:4">
      <c r="B2523" t="s">
        <v>8971</v>
      </c>
      <c r="C2523" s="46">
        <v>1</v>
      </c>
      <c r="D2523" s="30">
        <v>7449.6900812939193</v>
      </c>
    </row>
    <row r="2524" spans="2:4">
      <c r="B2524" t="s">
        <v>8972</v>
      </c>
      <c r="C2524" s="46">
        <v>1</v>
      </c>
      <c r="D2524" s="30">
        <v>801.20852800325451</v>
      </c>
    </row>
    <row r="2525" spans="2:4">
      <c r="B2525" t="s">
        <v>8973</v>
      </c>
      <c r="C2525" s="46">
        <v>1</v>
      </c>
      <c r="D2525" s="30">
        <v>7152.209522451496</v>
      </c>
    </row>
    <row r="2526" spans="2:4">
      <c r="B2526" t="s">
        <v>8974</v>
      </c>
      <c r="C2526" s="46">
        <v>1</v>
      </c>
      <c r="D2526" s="30">
        <v>7263.2572194141858</v>
      </c>
    </row>
    <row r="2527" spans="2:4">
      <c r="B2527" t="s">
        <v>8975</v>
      </c>
      <c r="C2527" s="46">
        <v>1</v>
      </c>
      <c r="D2527" s="30">
        <v>2878.7809769553955</v>
      </c>
    </row>
    <row r="2528" spans="2:4">
      <c r="B2528" t="s">
        <v>8976</v>
      </c>
      <c r="C2528" s="46">
        <v>1</v>
      </c>
      <c r="D2528" s="30">
        <v>7384.8839631119099</v>
      </c>
    </row>
    <row r="2529" spans="2:4">
      <c r="B2529" t="s">
        <v>8977</v>
      </c>
      <c r="C2529" s="46">
        <v>1</v>
      </c>
      <c r="D2529" s="30">
        <v>7104.2503483808032</v>
      </c>
    </row>
    <row r="2530" spans="2:4">
      <c r="B2530" t="s">
        <v>8978</v>
      </c>
      <c r="C2530" s="46">
        <v>1</v>
      </c>
      <c r="D2530" s="30">
        <v>6905.2821863979798</v>
      </c>
    </row>
    <row r="2531" spans="2:4">
      <c r="B2531" t="s">
        <v>8979</v>
      </c>
      <c r="C2531" s="46">
        <v>1</v>
      </c>
      <c r="D2531" s="30">
        <v>2476.3265160863057</v>
      </c>
    </row>
    <row r="2532" spans="2:4">
      <c r="B2532" t="s">
        <v>8980</v>
      </c>
      <c r="C2532" s="46">
        <v>1</v>
      </c>
      <c r="D2532" s="30">
        <v>3843.6961130639929</v>
      </c>
    </row>
    <row r="2533" spans="2:4">
      <c r="B2533" t="s">
        <v>8981</v>
      </c>
      <c r="C2533" s="46">
        <v>1</v>
      </c>
      <c r="D2533" s="30">
        <v>7146.8573345204713</v>
      </c>
    </row>
    <row r="2534" spans="2:4">
      <c r="B2534" t="s">
        <v>8982</v>
      </c>
      <c r="C2534" s="46">
        <v>1</v>
      </c>
      <c r="D2534" s="30">
        <v>7449.4601521792838</v>
      </c>
    </row>
    <row r="2535" spans="2:4">
      <c r="B2535" t="s">
        <v>8983</v>
      </c>
      <c r="C2535" s="46">
        <v>1</v>
      </c>
      <c r="D2535" s="30">
        <v>42110.115782433364</v>
      </c>
    </row>
    <row r="2536" spans="2:4">
      <c r="B2536" t="s">
        <v>8984</v>
      </c>
      <c r="C2536" s="46">
        <v>1</v>
      </c>
      <c r="D2536" s="30">
        <v>7384.8839631119099</v>
      </c>
    </row>
    <row r="2537" spans="2:4">
      <c r="B2537" t="s">
        <v>8985</v>
      </c>
      <c r="C2537" s="46">
        <v>1</v>
      </c>
      <c r="D2537" s="30">
        <v>7411.8030153011059</v>
      </c>
    </row>
    <row r="2538" spans="2:4">
      <c r="B2538" t="s">
        <v>8986</v>
      </c>
      <c r="C2538" s="46">
        <v>1</v>
      </c>
      <c r="D2538" s="30">
        <v>7365.9412815862343</v>
      </c>
    </row>
    <row r="2539" spans="2:4">
      <c r="B2539" t="s">
        <v>8987</v>
      </c>
      <c r="C2539" s="46">
        <v>1</v>
      </c>
      <c r="D2539" s="30">
        <v>6998.3823793579413</v>
      </c>
    </row>
    <row r="2540" spans="2:4">
      <c r="B2540" t="s">
        <v>8988</v>
      </c>
      <c r="C2540" s="46">
        <v>1</v>
      </c>
      <c r="D2540" s="30">
        <v>7427.9487281638339</v>
      </c>
    </row>
    <row r="2541" spans="2:4">
      <c r="B2541" t="s">
        <v>8989</v>
      </c>
      <c r="C2541" s="46">
        <v>1</v>
      </c>
      <c r="D2541" s="30">
        <v>6800.7989526816027</v>
      </c>
    </row>
    <row r="2542" spans="2:4">
      <c r="B2542" t="s">
        <v>8990</v>
      </c>
      <c r="C2542" s="46">
        <v>1</v>
      </c>
      <c r="D2542" s="30">
        <v>6491.2149468932184</v>
      </c>
    </row>
    <row r="2543" spans="2:4">
      <c r="B2543" t="s">
        <v>8991</v>
      </c>
      <c r="C2543" s="46">
        <v>1</v>
      </c>
      <c r="D2543" s="30">
        <v>6409.3441912548915</v>
      </c>
    </row>
    <row r="2544" spans="2:4">
      <c r="B2544" t="s">
        <v>8992</v>
      </c>
      <c r="C2544" s="46">
        <v>1</v>
      </c>
      <c r="D2544" s="30">
        <v>28085.11553963249</v>
      </c>
    </row>
    <row r="2545" spans="2:4">
      <c r="B2545" t="s">
        <v>8993</v>
      </c>
      <c r="C2545" s="46">
        <v>1</v>
      </c>
      <c r="D2545" s="30">
        <v>7222.0695388892318</v>
      </c>
    </row>
    <row r="2546" spans="2:4">
      <c r="B2546" t="s">
        <v>8994</v>
      </c>
      <c r="C2546" s="46">
        <v>1</v>
      </c>
      <c r="D2546" s="30">
        <v>12728.0795079647</v>
      </c>
    </row>
    <row r="2547" spans="2:4">
      <c r="B2547" t="s">
        <v>8995</v>
      </c>
      <c r="C2547" s="46">
        <v>1</v>
      </c>
      <c r="D2547" s="30">
        <v>6314.8486876207417</v>
      </c>
    </row>
    <row r="2548" spans="2:4">
      <c r="B2548" t="s">
        <v>8996</v>
      </c>
      <c r="C2548" s="46">
        <v>1</v>
      </c>
      <c r="D2548" s="30">
        <v>6314.8486876207417</v>
      </c>
    </row>
    <row r="2549" spans="2:4">
      <c r="B2549" t="s">
        <v>8997</v>
      </c>
      <c r="C2549" s="46">
        <v>1</v>
      </c>
      <c r="D2549" s="30">
        <v>7293.6153205656119</v>
      </c>
    </row>
    <row r="2550" spans="2:4">
      <c r="B2550" t="s">
        <v>8998</v>
      </c>
      <c r="C2550" s="46">
        <v>1</v>
      </c>
      <c r="D2550" s="30">
        <v>7270.1567932102407</v>
      </c>
    </row>
    <row r="2551" spans="2:4">
      <c r="B2551" t="s">
        <v>8999</v>
      </c>
      <c r="C2551" s="46">
        <v>1</v>
      </c>
      <c r="D2551" s="30">
        <v>142345.42920852394</v>
      </c>
    </row>
    <row r="2552" spans="2:4">
      <c r="B2552" t="s">
        <v>9000</v>
      </c>
      <c r="C2552" s="46">
        <v>1</v>
      </c>
      <c r="D2552" s="30">
        <v>6872.6319432672626</v>
      </c>
    </row>
    <row r="2553" spans="2:4">
      <c r="B2553" t="s">
        <v>9001</v>
      </c>
      <c r="C2553" s="46">
        <v>1</v>
      </c>
      <c r="D2553" s="30">
        <v>7449.6900812939193</v>
      </c>
    </row>
    <row r="2554" spans="2:4">
      <c r="B2554" t="s">
        <v>9002</v>
      </c>
      <c r="C2554" s="46">
        <v>1</v>
      </c>
      <c r="D2554" s="30">
        <v>5985.7168706940756</v>
      </c>
    </row>
    <row r="2555" spans="2:4">
      <c r="B2555" t="s">
        <v>9003</v>
      </c>
      <c r="C2555" s="46">
        <v>1</v>
      </c>
      <c r="D2555" s="30">
        <v>919.50496925417485</v>
      </c>
    </row>
    <row r="2556" spans="2:4">
      <c r="B2556" t="s">
        <v>9004</v>
      </c>
      <c r="C2556" s="46">
        <v>1</v>
      </c>
      <c r="D2556" s="30">
        <v>6988.2183892556868</v>
      </c>
    </row>
    <row r="2557" spans="2:4">
      <c r="B2557" t="s">
        <v>9005</v>
      </c>
      <c r="C2557" s="46">
        <v>1</v>
      </c>
      <c r="D2557" s="30">
        <v>66165.437511097974</v>
      </c>
    </row>
    <row r="2558" spans="2:4">
      <c r="B2558" t="s">
        <v>9006</v>
      </c>
      <c r="C2558" s="46">
        <v>1</v>
      </c>
      <c r="D2558" s="30">
        <v>3688.0366717509864</v>
      </c>
    </row>
    <row r="2559" spans="2:4">
      <c r="B2559" t="s">
        <v>9007</v>
      </c>
      <c r="C2559" s="46">
        <v>1</v>
      </c>
      <c r="D2559" s="30">
        <v>48647.486618122828</v>
      </c>
    </row>
    <row r="2560" spans="2:4">
      <c r="B2560" t="s">
        <v>9008</v>
      </c>
      <c r="C2560" s="46">
        <v>1</v>
      </c>
      <c r="D2560" s="30">
        <v>7337.8705369458066</v>
      </c>
    </row>
    <row r="2561" spans="2:4">
      <c r="B2561" t="s">
        <v>9009</v>
      </c>
      <c r="C2561" s="46">
        <v>1</v>
      </c>
      <c r="D2561" s="30">
        <v>7368.009700498752</v>
      </c>
    </row>
    <row r="2562" spans="2:4">
      <c r="B2562" t="s">
        <v>9010</v>
      </c>
      <c r="C2562" s="46">
        <v>1</v>
      </c>
      <c r="D2562" s="30">
        <v>6627.6765939588422</v>
      </c>
    </row>
    <row r="2563" spans="2:4">
      <c r="B2563" t="s">
        <v>9011</v>
      </c>
      <c r="C2563" s="46">
        <v>1</v>
      </c>
      <c r="D2563" s="30">
        <v>1380.4560101855793</v>
      </c>
    </row>
    <row r="2564" spans="2:4">
      <c r="B2564" t="s">
        <v>9012</v>
      </c>
      <c r="C2564" s="46">
        <v>1</v>
      </c>
      <c r="D2564" s="30">
        <v>2526.5990925741867</v>
      </c>
    </row>
    <row r="2565" spans="2:4">
      <c r="B2565" t="s">
        <v>9013</v>
      </c>
      <c r="C2565" s="46">
        <v>1</v>
      </c>
      <c r="D2565" s="30">
        <v>7435.8788994953511</v>
      </c>
    </row>
    <row r="2566" spans="2:4">
      <c r="B2566" t="s">
        <v>9014</v>
      </c>
      <c r="C2566" s="46">
        <v>1</v>
      </c>
      <c r="D2566" s="30">
        <v>481.66528720460849</v>
      </c>
    </row>
    <row r="2567" spans="2:4">
      <c r="B2567" t="s">
        <v>9015</v>
      </c>
      <c r="C2567" s="46">
        <v>1</v>
      </c>
      <c r="D2567" s="30">
        <v>99996.310700452232</v>
      </c>
    </row>
    <row r="2568" spans="2:4">
      <c r="B2568" t="s">
        <v>9016</v>
      </c>
      <c r="C2568" s="46">
        <v>1</v>
      </c>
      <c r="D2568" s="30">
        <v>7449.6900812939193</v>
      </c>
    </row>
    <row r="2569" spans="2:4">
      <c r="B2569" t="s">
        <v>9017</v>
      </c>
      <c r="C2569" s="46">
        <v>1</v>
      </c>
      <c r="D2569" s="30">
        <v>6886.0837061919001</v>
      </c>
    </row>
    <row r="2570" spans="2:4">
      <c r="B2570" t="s">
        <v>9018</v>
      </c>
      <c r="C2570" s="46">
        <v>1</v>
      </c>
      <c r="D2570" s="30">
        <v>6653.0040103951169</v>
      </c>
    </row>
    <row r="2571" spans="2:4">
      <c r="B2571" t="s">
        <v>9019</v>
      </c>
      <c r="C2571" s="46">
        <v>1</v>
      </c>
      <c r="D2571" s="30">
        <v>4554.4029929318831</v>
      </c>
    </row>
    <row r="2572" spans="2:4">
      <c r="B2572" t="s">
        <v>9020</v>
      </c>
      <c r="C2572" s="46">
        <v>1</v>
      </c>
      <c r="D2572" s="30">
        <v>7435.7315544652511</v>
      </c>
    </row>
    <row r="2573" spans="2:4">
      <c r="B2573" t="s">
        <v>9021</v>
      </c>
      <c r="C2573" s="46">
        <v>1</v>
      </c>
      <c r="D2573" s="30">
        <v>2600.1466671241992</v>
      </c>
    </row>
    <row r="2574" spans="2:4">
      <c r="B2574" t="s">
        <v>9022</v>
      </c>
      <c r="C2574" s="46">
        <v>1</v>
      </c>
      <c r="D2574" s="30">
        <v>5973.1577820223401</v>
      </c>
    </row>
    <row r="2575" spans="2:4">
      <c r="B2575" t="s">
        <v>9023</v>
      </c>
      <c r="C2575" s="46">
        <v>1</v>
      </c>
      <c r="D2575" s="30">
        <v>7210.8242889356479</v>
      </c>
    </row>
    <row r="2576" spans="2:4">
      <c r="B2576" t="s">
        <v>9024</v>
      </c>
      <c r="C2576" s="46">
        <v>1</v>
      </c>
      <c r="D2576" s="30">
        <v>7393.7795586664042</v>
      </c>
    </row>
    <row r="2577" spans="2:4">
      <c r="B2577" t="s">
        <v>9025</v>
      </c>
      <c r="C2577" s="46">
        <v>1</v>
      </c>
      <c r="D2577" s="30">
        <v>7312.9223781941728</v>
      </c>
    </row>
    <row r="2578" spans="2:4">
      <c r="B2578" t="s">
        <v>9026</v>
      </c>
      <c r="C2578" s="46">
        <v>1</v>
      </c>
      <c r="D2578" s="30">
        <v>6997.9761307685239</v>
      </c>
    </row>
    <row r="2579" spans="2:4">
      <c r="B2579" t="s">
        <v>9027</v>
      </c>
      <c r="C2579" s="46">
        <v>1</v>
      </c>
      <c r="D2579" s="30">
        <v>6853.362379070064</v>
      </c>
    </row>
    <row r="2580" spans="2:4">
      <c r="B2580" t="s">
        <v>9028</v>
      </c>
      <c r="C2580" s="46">
        <v>1</v>
      </c>
      <c r="D2580" s="30">
        <v>6593.1869649068867</v>
      </c>
    </row>
    <row r="2581" spans="2:4">
      <c r="B2581" t="s">
        <v>9029</v>
      </c>
      <c r="C2581" s="46">
        <v>1</v>
      </c>
      <c r="D2581" s="30">
        <v>2528.5750136161755</v>
      </c>
    </row>
    <row r="2582" spans="2:4">
      <c r="B2582" t="s">
        <v>9030</v>
      </c>
      <c r="C2582" s="46">
        <v>1</v>
      </c>
      <c r="D2582" s="30">
        <v>6124.0101067062624</v>
      </c>
    </row>
    <row r="2583" spans="2:4">
      <c r="B2583" t="s">
        <v>9031</v>
      </c>
      <c r="C2583" s="46">
        <v>1</v>
      </c>
      <c r="D2583" s="30">
        <v>5129.2601985760066</v>
      </c>
    </row>
    <row r="2584" spans="2:4">
      <c r="B2584" t="s">
        <v>9032</v>
      </c>
      <c r="C2584" s="46">
        <v>1</v>
      </c>
      <c r="D2584" s="30">
        <v>5129.2601985760066</v>
      </c>
    </row>
    <row r="2585" spans="2:4">
      <c r="B2585" t="s">
        <v>9033</v>
      </c>
      <c r="C2585" s="46">
        <v>1</v>
      </c>
      <c r="D2585" s="30">
        <v>7396.7705884871557</v>
      </c>
    </row>
    <row r="2586" spans="2:4">
      <c r="B2586" t="s">
        <v>9034</v>
      </c>
      <c r="C2586" s="46">
        <v>1</v>
      </c>
      <c r="D2586" s="30">
        <v>6955.3611047976165</v>
      </c>
    </row>
    <row r="2587" spans="2:4">
      <c r="B2587" t="s">
        <v>9035</v>
      </c>
      <c r="C2587" s="46">
        <v>1</v>
      </c>
      <c r="D2587" s="30">
        <v>6752.8858167280769</v>
      </c>
    </row>
    <row r="2588" spans="2:4">
      <c r="B2588" t="s">
        <v>9036</v>
      </c>
      <c r="C2588" s="46">
        <v>1</v>
      </c>
      <c r="D2588" s="30">
        <v>5129.2601985760066</v>
      </c>
    </row>
    <row r="2589" spans="2:4">
      <c r="B2589" t="s">
        <v>9037</v>
      </c>
      <c r="C2589" s="46">
        <v>1</v>
      </c>
      <c r="D2589" s="30">
        <v>6802.456422592466</v>
      </c>
    </row>
    <row r="2590" spans="2:4">
      <c r="B2590" t="s">
        <v>9038</v>
      </c>
      <c r="C2590" s="46">
        <v>1</v>
      </c>
      <c r="D2590" s="30">
        <v>3165.0000767564261</v>
      </c>
    </row>
    <row r="2591" spans="2:4">
      <c r="B2591" t="s">
        <v>9039</v>
      </c>
      <c r="C2591" s="46">
        <v>1</v>
      </c>
      <c r="D2591" s="30">
        <v>6457.5963150047901</v>
      </c>
    </row>
    <row r="2592" spans="2:4">
      <c r="B2592" t="s">
        <v>9040</v>
      </c>
      <c r="C2592" s="46">
        <v>1</v>
      </c>
      <c r="D2592" s="30">
        <v>7878.7797710456543</v>
      </c>
    </row>
    <row r="2593" spans="2:4">
      <c r="B2593" t="s">
        <v>9041</v>
      </c>
      <c r="C2593" s="46">
        <v>1</v>
      </c>
      <c r="D2593" s="30">
        <v>7414.7169196161067</v>
      </c>
    </row>
    <row r="2594" spans="2:4">
      <c r="B2594" t="s">
        <v>9042</v>
      </c>
      <c r="C2594" s="46">
        <v>1</v>
      </c>
      <c r="D2594" s="30">
        <v>28085.11553963249</v>
      </c>
    </row>
    <row r="2595" spans="2:4">
      <c r="B2595" t="s">
        <v>9043</v>
      </c>
      <c r="C2595" s="46">
        <v>1</v>
      </c>
      <c r="D2595" s="30">
        <v>7314.014324320412</v>
      </c>
    </row>
    <row r="2596" spans="2:4">
      <c r="B2596" t="s">
        <v>9044</v>
      </c>
      <c r="C2596" s="46">
        <v>1</v>
      </c>
      <c r="D2596" s="30">
        <v>7362.8726779077288</v>
      </c>
    </row>
    <row r="2597" spans="2:4">
      <c r="B2597" t="s">
        <v>9045</v>
      </c>
      <c r="C2597" s="46">
        <v>1</v>
      </c>
      <c r="D2597" s="30">
        <v>11040.626534892961</v>
      </c>
    </row>
    <row r="2598" spans="2:4">
      <c r="B2598" t="s">
        <v>9046</v>
      </c>
      <c r="C2598" s="46">
        <v>1</v>
      </c>
      <c r="D2598" s="30">
        <v>7442.5572350112479</v>
      </c>
    </row>
    <row r="2599" spans="2:4">
      <c r="B2599" t="s">
        <v>9047</v>
      </c>
      <c r="C2599" s="46">
        <v>1</v>
      </c>
      <c r="D2599" s="30">
        <v>7179.5656441974133</v>
      </c>
    </row>
    <row r="2600" spans="2:4">
      <c r="B2600" t="s">
        <v>9048</v>
      </c>
      <c r="C2600" s="46">
        <v>1</v>
      </c>
      <c r="D2600" s="30">
        <v>7396.7705884871557</v>
      </c>
    </row>
    <row r="2601" spans="2:4">
      <c r="B2601" t="s">
        <v>9049</v>
      </c>
      <c r="C2601" s="46">
        <v>1</v>
      </c>
      <c r="D2601" s="30">
        <v>7437.7256201816954</v>
      </c>
    </row>
    <row r="2602" spans="2:4">
      <c r="B2602" t="s">
        <v>9050</v>
      </c>
      <c r="C2602" s="46">
        <v>1</v>
      </c>
      <c r="D2602" s="30">
        <v>6617.1496501273277</v>
      </c>
    </row>
    <row r="2603" spans="2:4">
      <c r="B2603" t="s">
        <v>9051</v>
      </c>
      <c r="C2603" s="46">
        <v>1</v>
      </c>
      <c r="D2603" s="30">
        <v>2415.4508880602443</v>
      </c>
    </row>
    <row r="2604" spans="2:4">
      <c r="B2604" t="s">
        <v>9052</v>
      </c>
      <c r="C2604" s="46">
        <v>1</v>
      </c>
      <c r="D2604" s="30">
        <v>1711.5766859459065</v>
      </c>
    </row>
    <row r="2605" spans="2:4">
      <c r="B2605" t="s">
        <v>9053</v>
      </c>
      <c r="C2605" s="46">
        <v>1</v>
      </c>
      <c r="D2605" s="30">
        <v>6952.6467048044769</v>
      </c>
    </row>
    <row r="2606" spans="2:4">
      <c r="B2606" t="s">
        <v>9054</v>
      </c>
      <c r="C2606" s="46">
        <v>1</v>
      </c>
      <c r="D2606" s="30">
        <v>2317.2504175402341</v>
      </c>
    </row>
    <row r="2607" spans="2:4">
      <c r="B2607" t="s">
        <v>9055</v>
      </c>
      <c r="C2607" s="46">
        <v>1</v>
      </c>
      <c r="D2607" s="30">
        <v>4142.1199669256093</v>
      </c>
    </row>
    <row r="2608" spans="2:4">
      <c r="B2608" t="s">
        <v>9056</v>
      </c>
      <c r="C2608" s="46">
        <v>1</v>
      </c>
      <c r="D2608" s="30">
        <v>6719.0083930695264</v>
      </c>
    </row>
    <row r="2609" spans="2:4">
      <c r="B2609" t="s">
        <v>9057</v>
      </c>
      <c r="C2609" s="46">
        <v>1</v>
      </c>
      <c r="D2609" s="30">
        <v>7441.7137611696089</v>
      </c>
    </row>
    <row r="2610" spans="2:4">
      <c r="B2610" t="s">
        <v>9058</v>
      </c>
      <c r="C2610" s="46">
        <v>1</v>
      </c>
      <c r="D2610" s="30">
        <v>7191.0375119026112</v>
      </c>
    </row>
    <row r="2611" spans="2:4">
      <c r="B2611" t="s">
        <v>9059</v>
      </c>
      <c r="C2611" s="46">
        <v>1</v>
      </c>
      <c r="D2611" s="30">
        <v>7130.4089510126678</v>
      </c>
    </row>
    <row r="2612" spans="2:4">
      <c r="B2612" t="s">
        <v>9060</v>
      </c>
      <c r="C2612" s="46">
        <v>1</v>
      </c>
      <c r="D2612" s="30">
        <v>6374.1822402238449</v>
      </c>
    </row>
    <row r="2613" spans="2:4">
      <c r="B2613" t="s">
        <v>9061</v>
      </c>
      <c r="C2613" s="46">
        <v>1</v>
      </c>
      <c r="D2613" s="30">
        <v>7336.3428010258622</v>
      </c>
    </row>
    <row r="2614" spans="2:4">
      <c r="B2614" t="s">
        <v>9062</v>
      </c>
      <c r="C2614" s="46">
        <v>1</v>
      </c>
      <c r="D2614" s="30">
        <v>6834.345016010021</v>
      </c>
    </row>
    <row r="2615" spans="2:4">
      <c r="B2615" t="s">
        <v>9063</v>
      </c>
      <c r="C2615" s="46">
        <v>1</v>
      </c>
      <c r="D2615" s="30">
        <v>6634.3873891038047</v>
      </c>
    </row>
    <row r="2616" spans="2:4">
      <c r="B2616" t="s">
        <v>9064</v>
      </c>
      <c r="C2616" s="46">
        <v>1</v>
      </c>
      <c r="D2616" s="30">
        <v>7339.0232439185775</v>
      </c>
    </row>
    <row r="2617" spans="2:4">
      <c r="B2617" t="s">
        <v>9065</v>
      </c>
      <c r="C2617" s="46">
        <v>1</v>
      </c>
      <c r="D2617" s="30">
        <v>455.85092779867023</v>
      </c>
    </row>
    <row r="2618" spans="2:4">
      <c r="B2618" t="s">
        <v>9066</v>
      </c>
      <c r="C2618" s="46">
        <v>1</v>
      </c>
      <c r="D2618" s="30">
        <v>7448.6930385008163</v>
      </c>
    </row>
    <row r="2619" spans="2:4">
      <c r="B2619" t="s">
        <v>9067</v>
      </c>
      <c r="C2619" s="46">
        <v>1</v>
      </c>
      <c r="D2619" s="30">
        <v>7448.6162517389666</v>
      </c>
    </row>
    <row r="2620" spans="2:4">
      <c r="B2620" t="s">
        <v>9068</v>
      </c>
      <c r="C2620" s="46">
        <v>1</v>
      </c>
      <c r="D2620" s="30">
        <v>6381.8117531250073</v>
      </c>
    </row>
    <row r="2621" spans="2:4">
      <c r="B2621" t="s">
        <v>9069</v>
      </c>
      <c r="C2621" s="46">
        <v>1</v>
      </c>
      <c r="D2621" s="30">
        <v>6671.9919054446609</v>
      </c>
    </row>
    <row r="2622" spans="2:4">
      <c r="B2622" t="s">
        <v>9070</v>
      </c>
      <c r="C2622" s="46">
        <v>1</v>
      </c>
      <c r="D2622" s="30">
        <v>6518.0118467574575</v>
      </c>
    </row>
    <row r="2623" spans="2:4">
      <c r="B2623" t="s">
        <v>9071</v>
      </c>
      <c r="C2623" s="46">
        <v>1</v>
      </c>
      <c r="D2623" s="30">
        <v>4282.9576539875052</v>
      </c>
    </row>
    <row r="2624" spans="2:4">
      <c r="B2624" t="s">
        <v>9072</v>
      </c>
      <c r="C2624" s="46">
        <v>1</v>
      </c>
      <c r="D2624" s="30">
        <v>7422.7702051410643</v>
      </c>
    </row>
    <row r="2625" spans="2:4">
      <c r="B2625" t="s">
        <v>9073</v>
      </c>
      <c r="C2625" s="46">
        <v>1</v>
      </c>
      <c r="D2625" s="30">
        <v>16397.246971962639</v>
      </c>
    </row>
    <row r="2626" spans="2:4">
      <c r="B2626" t="s">
        <v>9074</v>
      </c>
      <c r="C2626" s="46">
        <v>1</v>
      </c>
      <c r="D2626" s="30">
        <v>6468.8648281486221</v>
      </c>
    </row>
    <row r="2627" spans="2:4">
      <c r="B2627" t="s">
        <v>9075</v>
      </c>
      <c r="C2627" s="46">
        <v>1</v>
      </c>
      <c r="D2627" s="30">
        <v>6708.2032394209473</v>
      </c>
    </row>
    <row r="2628" spans="2:4">
      <c r="B2628" t="s">
        <v>9076</v>
      </c>
      <c r="C2628" s="46">
        <v>1</v>
      </c>
      <c r="D2628" s="30">
        <v>7344.8493718800473</v>
      </c>
    </row>
    <row r="2629" spans="2:4">
      <c r="B2629" t="s">
        <v>9077</v>
      </c>
      <c r="C2629" s="46">
        <v>1</v>
      </c>
      <c r="D2629" s="30">
        <v>6753.1578424282443</v>
      </c>
    </row>
    <row r="2630" spans="2:4">
      <c r="B2630" t="s">
        <v>9078</v>
      </c>
      <c r="C2630" s="46">
        <v>1</v>
      </c>
      <c r="D2630" s="30">
        <v>7392.6282203525798</v>
      </c>
    </row>
    <row r="2631" spans="2:4">
      <c r="B2631" t="s">
        <v>9079</v>
      </c>
      <c r="C2631" s="46">
        <v>1</v>
      </c>
      <c r="D2631" s="30">
        <v>7348.6050274360687</v>
      </c>
    </row>
    <row r="2632" spans="2:4">
      <c r="B2632" t="s">
        <v>9080</v>
      </c>
      <c r="C2632" s="46">
        <v>1</v>
      </c>
      <c r="D2632" s="30">
        <v>7392.2238100774384</v>
      </c>
    </row>
    <row r="2633" spans="2:4">
      <c r="B2633" t="s">
        <v>9081</v>
      </c>
      <c r="C2633" s="46">
        <v>1</v>
      </c>
      <c r="D2633" s="30">
        <v>7432.5100084085161</v>
      </c>
    </row>
    <row r="2634" spans="2:4">
      <c r="B2634" t="s">
        <v>9082</v>
      </c>
      <c r="C2634" s="46">
        <v>1</v>
      </c>
      <c r="D2634" s="30">
        <v>6764.2551213717816</v>
      </c>
    </row>
    <row r="2635" spans="2:4">
      <c r="B2635" t="s">
        <v>9083</v>
      </c>
      <c r="C2635" s="46">
        <v>1</v>
      </c>
      <c r="D2635" s="30">
        <v>7053.1080390608895</v>
      </c>
    </row>
    <row r="2636" spans="2:4">
      <c r="B2636" t="s">
        <v>9084</v>
      </c>
      <c r="C2636" s="46">
        <v>1</v>
      </c>
      <c r="D2636" s="30">
        <v>3932.929833774318</v>
      </c>
    </row>
    <row r="2637" spans="2:4">
      <c r="B2637" t="s">
        <v>9085</v>
      </c>
      <c r="C2637" s="46">
        <v>1</v>
      </c>
      <c r="D2637" s="30">
        <v>6461.9804860715549</v>
      </c>
    </row>
    <row r="2638" spans="2:4">
      <c r="B2638" t="s">
        <v>9086</v>
      </c>
      <c r="C2638" s="46">
        <v>1</v>
      </c>
      <c r="D2638" s="30">
        <v>2444.4469120613371</v>
      </c>
    </row>
    <row r="2639" spans="2:4">
      <c r="B2639" t="s">
        <v>9087</v>
      </c>
      <c r="C2639" s="46">
        <v>1</v>
      </c>
      <c r="D2639" s="30">
        <v>7344.008020309454</v>
      </c>
    </row>
    <row r="2640" spans="2:4">
      <c r="B2640" t="s">
        <v>9088</v>
      </c>
      <c r="C2640" s="46">
        <v>1</v>
      </c>
      <c r="D2640" s="30">
        <v>7344.008020309454</v>
      </c>
    </row>
    <row r="2641" spans="2:4">
      <c r="B2641" t="s">
        <v>9089</v>
      </c>
      <c r="C2641" s="46">
        <v>1</v>
      </c>
      <c r="D2641" s="30">
        <v>6405.3560131651002</v>
      </c>
    </row>
    <row r="2642" spans="2:4">
      <c r="B2642" t="s">
        <v>9090</v>
      </c>
      <c r="C2642" s="46">
        <v>1</v>
      </c>
      <c r="D2642" s="30">
        <v>99996.310700452232</v>
      </c>
    </row>
    <row r="2643" spans="2:4">
      <c r="B2643" t="s">
        <v>9091</v>
      </c>
      <c r="C2643" s="46">
        <v>1</v>
      </c>
      <c r="D2643" s="30">
        <v>4265.535140520069</v>
      </c>
    </row>
    <row r="2644" spans="2:4">
      <c r="B2644" t="s">
        <v>9092</v>
      </c>
      <c r="C2644" s="46">
        <v>1</v>
      </c>
      <c r="D2644" s="30">
        <v>4999.6104853533379</v>
      </c>
    </row>
    <row r="2645" spans="2:4">
      <c r="B2645" t="s">
        <v>9093</v>
      </c>
      <c r="C2645" s="46">
        <v>1</v>
      </c>
      <c r="D2645" s="30">
        <v>4421.0865455572493</v>
      </c>
    </row>
    <row r="2646" spans="2:4">
      <c r="B2646" t="s">
        <v>9094</v>
      </c>
      <c r="C2646" s="46">
        <v>1</v>
      </c>
      <c r="D2646" s="30">
        <v>7130.3586499453932</v>
      </c>
    </row>
    <row r="2647" spans="2:4">
      <c r="B2647" t="s">
        <v>9095</v>
      </c>
      <c r="C2647" s="46">
        <v>1</v>
      </c>
      <c r="D2647" s="30">
        <v>7393.856914918887</v>
      </c>
    </row>
    <row r="2648" spans="2:4">
      <c r="B2648" t="s">
        <v>9096</v>
      </c>
      <c r="C2648" s="46">
        <v>1</v>
      </c>
      <c r="D2648" s="30">
        <v>7172.2257457938022</v>
      </c>
    </row>
    <row r="2649" spans="2:4">
      <c r="B2649" t="s">
        <v>9097</v>
      </c>
      <c r="C2649" s="46">
        <v>1</v>
      </c>
      <c r="D2649" s="30">
        <v>7184.2729776964479</v>
      </c>
    </row>
    <row r="2650" spans="2:4">
      <c r="B2650" t="s">
        <v>9098</v>
      </c>
      <c r="C2650" s="46">
        <v>1</v>
      </c>
      <c r="D2650" s="30">
        <v>5911.92877572613</v>
      </c>
    </row>
    <row r="2651" spans="2:4">
      <c r="B2651" t="s">
        <v>9099</v>
      </c>
      <c r="C2651" s="46">
        <v>1</v>
      </c>
      <c r="D2651" s="30">
        <v>2526.5990925741867</v>
      </c>
    </row>
    <row r="2652" spans="2:4">
      <c r="B2652" t="s">
        <v>9100</v>
      </c>
      <c r="C2652" s="46">
        <v>1</v>
      </c>
      <c r="D2652" s="30">
        <v>1781.0840317257203</v>
      </c>
    </row>
    <row r="2653" spans="2:4">
      <c r="B2653" t="s">
        <v>9101</v>
      </c>
      <c r="C2653" s="46">
        <v>1</v>
      </c>
      <c r="D2653" s="30">
        <v>2270.181371348272</v>
      </c>
    </row>
    <row r="2654" spans="2:4">
      <c r="B2654" t="s">
        <v>9102</v>
      </c>
      <c r="C2654" s="46">
        <v>1</v>
      </c>
      <c r="D2654" s="30">
        <v>7277.1351558487913</v>
      </c>
    </row>
    <row r="2655" spans="2:4">
      <c r="B2655" t="s">
        <v>9103</v>
      </c>
      <c r="C2655" s="46">
        <v>1</v>
      </c>
      <c r="D2655" s="30">
        <v>6315.2983854898603</v>
      </c>
    </row>
    <row r="2656" spans="2:4">
      <c r="B2656" t="s">
        <v>9104</v>
      </c>
      <c r="C2656" s="46">
        <v>1</v>
      </c>
      <c r="D2656" s="30">
        <v>7442.4806536717051</v>
      </c>
    </row>
    <row r="2657" spans="2:4">
      <c r="B2657" t="s">
        <v>9105</v>
      </c>
      <c r="C2657" s="46">
        <v>1</v>
      </c>
      <c r="D2657" s="30">
        <v>6728.4640800341695</v>
      </c>
    </row>
    <row r="2658" spans="2:4">
      <c r="B2658" t="s">
        <v>9106</v>
      </c>
      <c r="C2658" s="46">
        <v>1</v>
      </c>
      <c r="D2658" s="30">
        <v>6981.2034999869984</v>
      </c>
    </row>
    <row r="2659" spans="2:4">
      <c r="B2659" t="s">
        <v>9107</v>
      </c>
      <c r="C2659" s="46">
        <v>1</v>
      </c>
      <c r="D2659" s="30">
        <v>6677.9018180457579</v>
      </c>
    </row>
    <row r="2660" spans="2:4">
      <c r="B2660" t="s">
        <v>9108</v>
      </c>
      <c r="C2660" s="46">
        <v>1</v>
      </c>
      <c r="D2660" s="30">
        <v>6677.9018180457579</v>
      </c>
    </row>
    <row r="2661" spans="2:4">
      <c r="B2661" t="s">
        <v>9109</v>
      </c>
      <c r="C2661" s="46">
        <v>1</v>
      </c>
      <c r="D2661" s="30">
        <v>6677.9018180457579</v>
      </c>
    </row>
    <row r="2662" spans="2:4">
      <c r="B2662" t="s">
        <v>9110</v>
      </c>
      <c r="C2662" s="46">
        <v>1</v>
      </c>
      <c r="D2662" s="30">
        <v>6526.7468828431829</v>
      </c>
    </row>
    <row r="2663" spans="2:4">
      <c r="B2663" t="s">
        <v>9111</v>
      </c>
      <c r="C2663" s="46">
        <v>1</v>
      </c>
      <c r="D2663" s="30">
        <v>7230.4939912099526</v>
      </c>
    </row>
    <row r="2664" spans="2:4">
      <c r="B2664" t="s">
        <v>9112</v>
      </c>
      <c r="C2664" s="46">
        <v>1</v>
      </c>
      <c r="D2664" s="30">
        <v>7045.8295446236616</v>
      </c>
    </row>
    <row r="2665" spans="2:4">
      <c r="B2665" t="s">
        <v>9113</v>
      </c>
      <c r="C2665" s="46">
        <v>1</v>
      </c>
      <c r="D2665" s="30">
        <v>1682.8772443354471</v>
      </c>
    </row>
    <row r="2666" spans="2:4">
      <c r="B2666" t="s">
        <v>9114</v>
      </c>
      <c r="C2666" s="46">
        <v>1</v>
      </c>
      <c r="D2666" s="30">
        <v>6221.9194128650861</v>
      </c>
    </row>
    <row r="2667" spans="2:4">
      <c r="B2667" t="s">
        <v>9115</v>
      </c>
      <c r="C2667" s="46">
        <v>1</v>
      </c>
      <c r="D2667" s="30">
        <v>2352.0950404257674</v>
      </c>
    </row>
    <row r="2668" spans="2:4">
      <c r="B2668" t="s">
        <v>9116</v>
      </c>
      <c r="C2668" s="46">
        <v>1</v>
      </c>
      <c r="D2668" s="30">
        <v>2545.7964764635476</v>
      </c>
    </row>
    <row r="2669" spans="2:4">
      <c r="B2669" t="s">
        <v>9117</v>
      </c>
      <c r="C2669" s="46">
        <v>1</v>
      </c>
      <c r="D2669" s="30">
        <v>6461.9804860715549</v>
      </c>
    </row>
    <row r="2670" spans="2:4">
      <c r="B2670" t="s">
        <v>9118</v>
      </c>
      <c r="C2670" s="46">
        <v>1</v>
      </c>
      <c r="D2670" s="30">
        <v>6898.3861671623263</v>
      </c>
    </row>
    <row r="2671" spans="2:4">
      <c r="B2671" t="s">
        <v>9119</v>
      </c>
      <c r="C2671" s="46">
        <v>1</v>
      </c>
      <c r="D2671" s="30">
        <v>6182.5474513441859</v>
      </c>
    </row>
    <row r="2672" spans="2:4">
      <c r="B2672" t="s">
        <v>9120</v>
      </c>
      <c r="C2672" s="46">
        <v>1</v>
      </c>
      <c r="D2672" s="30">
        <v>7408.8119804102953</v>
      </c>
    </row>
    <row r="2673" spans="2:4">
      <c r="B2673" t="s">
        <v>9121</v>
      </c>
      <c r="C2673" s="46">
        <v>1</v>
      </c>
      <c r="D2673" s="30">
        <v>7878.7797710456543</v>
      </c>
    </row>
    <row r="2674" spans="2:4">
      <c r="B2674" t="s">
        <v>9122</v>
      </c>
      <c r="C2674" s="46">
        <v>1</v>
      </c>
      <c r="D2674" s="30">
        <v>6231.3716877390243</v>
      </c>
    </row>
    <row r="2675" spans="2:4">
      <c r="B2675" t="s">
        <v>9123</v>
      </c>
      <c r="C2675" s="46">
        <v>1</v>
      </c>
      <c r="D2675" s="30">
        <v>7286.6362496580859</v>
      </c>
    </row>
    <row r="2676" spans="2:4">
      <c r="B2676" t="s">
        <v>9124</v>
      </c>
      <c r="C2676" s="46">
        <v>1</v>
      </c>
      <c r="D2676" s="30">
        <v>6038.7272421417192</v>
      </c>
    </row>
    <row r="2677" spans="2:4">
      <c r="B2677" t="s">
        <v>9125</v>
      </c>
      <c r="C2677" s="46">
        <v>1</v>
      </c>
      <c r="D2677" s="30">
        <v>7396.0807116636188</v>
      </c>
    </row>
    <row r="2678" spans="2:4">
      <c r="B2678" t="s">
        <v>9126</v>
      </c>
      <c r="C2678" s="46">
        <v>1</v>
      </c>
      <c r="D2678" s="30">
        <v>6890.6567796960153</v>
      </c>
    </row>
    <row r="2679" spans="2:4">
      <c r="B2679" t="s">
        <v>9127</v>
      </c>
      <c r="C2679" s="46">
        <v>1</v>
      </c>
      <c r="D2679" s="30">
        <v>6468.8648281486221</v>
      </c>
    </row>
    <row r="2680" spans="2:4">
      <c r="B2680" t="s">
        <v>9128</v>
      </c>
      <c r="C2680" s="46">
        <v>1</v>
      </c>
      <c r="D2680" s="30">
        <v>7344.3090132851885</v>
      </c>
    </row>
    <row r="2681" spans="2:4">
      <c r="B2681" t="s">
        <v>9129</v>
      </c>
      <c r="C2681" s="46">
        <v>1</v>
      </c>
      <c r="D2681" s="30">
        <v>4999.6104853533379</v>
      </c>
    </row>
    <row r="2682" spans="2:4">
      <c r="B2682" t="s">
        <v>9130</v>
      </c>
      <c r="C2682" s="46">
        <v>1</v>
      </c>
      <c r="D2682" s="30">
        <v>5320.0552486188462</v>
      </c>
    </row>
    <row r="2683" spans="2:4">
      <c r="B2683" t="s">
        <v>9131</v>
      </c>
      <c r="C2683" s="46">
        <v>1</v>
      </c>
      <c r="D2683" s="30">
        <v>6239.8797891090717</v>
      </c>
    </row>
    <row r="2684" spans="2:4">
      <c r="B2684" t="s">
        <v>9132</v>
      </c>
      <c r="C2684" s="46">
        <v>1</v>
      </c>
      <c r="D2684" s="30">
        <v>7054.9266050051074</v>
      </c>
    </row>
    <row r="2685" spans="2:4">
      <c r="B2685" t="s">
        <v>9133</v>
      </c>
      <c r="C2685" s="46">
        <v>1</v>
      </c>
      <c r="D2685" s="30">
        <v>7038.6142062795479</v>
      </c>
    </row>
    <row r="2686" spans="2:4">
      <c r="B2686" t="s">
        <v>9134</v>
      </c>
      <c r="C2686" s="46">
        <v>1</v>
      </c>
      <c r="D2686" s="30">
        <v>6095.7418260720578</v>
      </c>
    </row>
    <row r="2687" spans="2:4">
      <c r="B2687" t="s">
        <v>9135</v>
      </c>
      <c r="C2687" s="46">
        <v>1</v>
      </c>
      <c r="D2687" s="30">
        <v>2476.3265160863057</v>
      </c>
    </row>
    <row r="2688" spans="2:4">
      <c r="B2688" t="s">
        <v>9136</v>
      </c>
      <c r="C2688" s="46">
        <v>1</v>
      </c>
      <c r="D2688" s="30">
        <v>7005.0926564953188</v>
      </c>
    </row>
    <row r="2689" spans="2:4">
      <c r="B2689" t="s">
        <v>9137</v>
      </c>
      <c r="C2689" s="46">
        <v>1</v>
      </c>
      <c r="D2689" s="30">
        <v>2514.8281994408999</v>
      </c>
    </row>
    <row r="2690" spans="2:4">
      <c r="B2690" t="s">
        <v>9138</v>
      </c>
      <c r="C2690" s="46">
        <v>1</v>
      </c>
      <c r="D2690" s="30">
        <v>7349.9897792772808</v>
      </c>
    </row>
    <row r="2691" spans="2:4">
      <c r="B2691" t="s">
        <v>9139</v>
      </c>
      <c r="C2691" s="46">
        <v>1</v>
      </c>
      <c r="D2691" s="30">
        <v>7427.6115090472258</v>
      </c>
    </row>
    <row r="2692" spans="2:4">
      <c r="B2692" t="s">
        <v>9140</v>
      </c>
      <c r="C2692" s="46">
        <v>1</v>
      </c>
      <c r="D2692" s="30">
        <v>6671.0672111471631</v>
      </c>
    </row>
    <row r="2693" spans="2:4">
      <c r="B2693" t="s">
        <v>9141</v>
      </c>
      <c r="C2693" s="46">
        <v>1</v>
      </c>
      <c r="D2693" s="30">
        <v>5269.0693703538673</v>
      </c>
    </row>
    <row r="2694" spans="2:4">
      <c r="B2694" t="s">
        <v>9142</v>
      </c>
      <c r="C2694" s="46">
        <v>1</v>
      </c>
      <c r="D2694" s="30">
        <v>5453.511272981259</v>
      </c>
    </row>
    <row r="2695" spans="2:4">
      <c r="B2695" t="s">
        <v>9143</v>
      </c>
      <c r="C2695" s="46">
        <v>1</v>
      </c>
      <c r="D2695" s="30">
        <v>7085.3120899454907</v>
      </c>
    </row>
    <row r="2696" spans="2:4">
      <c r="B2696" t="s">
        <v>9144</v>
      </c>
      <c r="C2696" s="46">
        <v>1</v>
      </c>
      <c r="D2696" s="30">
        <v>2476.3265160863057</v>
      </c>
    </row>
    <row r="2697" spans="2:4">
      <c r="B2697" t="s">
        <v>9145</v>
      </c>
      <c r="C2697" s="46">
        <v>1</v>
      </c>
      <c r="D2697" s="30">
        <v>6488.9902526118967</v>
      </c>
    </row>
    <row r="2698" spans="2:4">
      <c r="B2698" t="s">
        <v>9146</v>
      </c>
      <c r="C2698" s="46">
        <v>1</v>
      </c>
      <c r="D2698" s="30">
        <v>7365.7087381564479</v>
      </c>
    </row>
    <row r="2699" spans="2:4">
      <c r="B2699" t="s">
        <v>9147</v>
      </c>
      <c r="C2699" s="46">
        <v>1</v>
      </c>
      <c r="D2699" s="30">
        <v>5078.0331745959893</v>
      </c>
    </row>
    <row r="2700" spans="2:4">
      <c r="B2700" t="s">
        <v>9148</v>
      </c>
      <c r="C2700" s="46">
        <v>1</v>
      </c>
      <c r="D2700" s="30">
        <v>7370.8485722627629</v>
      </c>
    </row>
    <row r="2701" spans="2:4">
      <c r="B2701" t="s">
        <v>9149</v>
      </c>
      <c r="C2701" s="46">
        <v>1</v>
      </c>
      <c r="D2701" s="30">
        <v>2476.3265160863057</v>
      </c>
    </row>
    <row r="2702" spans="2:4">
      <c r="B2702" t="s">
        <v>9150</v>
      </c>
      <c r="C2702" s="46">
        <v>1</v>
      </c>
      <c r="D2702" s="30">
        <v>7413.6949080810091</v>
      </c>
    </row>
    <row r="2703" spans="2:4">
      <c r="B2703" t="s">
        <v>9151</v>
      </c>
      <c r="C2703" s="46">
        <v>1</v>
      </c>
      <c r="D2703" s="30">
        <v>7415.451600170456</v>
      </c>
    </row>
    <row r="2704" spans="2:4">
      <c r="B2704" t="s">
        <v>9152</v>
      </c>
      <c r="C2704" s="46">
        <v>1</v>
      </c>
      <c r="D2704" s="30">
        <v>7332.9635418107446</v>
      </c>
    </row>
    <row r="2705" spans="2:4">
      <c r="B2705" t="s">
        <v>9153</v>
      </c>
      <c r="C2705" s="46">
        <v>1</v>
      </c>
      <c r="D2705" s="30">
        <v>7412.3390887290798</v>
      </c>
    </row>
    <row r="2706" spans="2:4">
      <c r="B2706" t="s">
        <v>9154</v>
      </c>
      <c r="C2706" s="46">
        <v>1</v>
      </c>
      <c r="D2706" s="30">
        <v>7371.9231491441342</v>
      </c>
    </row>
    <row r="2707" spans="2:4">
      <c r="B2707" t="s">
        <v>9155</v>
      </c>
      <c r="C2707" s="46">
        <v>1</v>
      </c>
      <c r="D2707" s="30">
        <v>2476.3265160863057</v>
      </c>
    </row>
    <row r="2708" spans="2:4">
      <c r="B2708" t="s">
        <v>9156</v>
      </c>
      <c r="C2708" s="46">
        <v>1</v>
      </c>
      <c r="D2708" s="30">
        <v>7312.9223781941728</v>
      </c>
    </row>
    <row r="2709" spans="2:4">
      <c r="B2709" t="s">
        <v>9157</v>
      </c>
      <c r="C2709" s="46">
        <v>1</v>
      </c>
      <c r="D2709" s="30">
        <v>7268.8465252596889</v>
      </c>
    </row>
    <row r="2710" spans="2:4">
      <c r="B2710" t="s">
        <v>9158</v>
      </c>
      <c r="C2710" s="46">
        <v>1</v>
      </c>
      <c r="D2710" s="30">
        <v>5604.5390433945622</v>
      </c>
    </row>
    <row r="2711" spans="2:4">
      <c r="B2711" t="s">
        <v>9159</v>
      </c>
      <c r="C2711" s="46">
        <v>1</v>
      </c>
      <c r="D2711" s="30">
        <v>6481.9214012624479</v>
      </c>
    </row>
    <row r="2712" spans="2:4">
      <c r="B2712" t="s">
        <v>9160</v>
      </c>
      <c r="C2712" s="46">
        <v>1</v>
      </c>
      <c r="D2712" s="30">
        <v>7445.7019148804948</v>
      </c>
    </row>
    <row r="2713" spans="2:4">
      <c r="B2713" t="s">
        <v>9161</v>
      </c>
      <c r="C2713" s="46">
        <v>1</v>
      </c>
      <c r="D2713" s="30">
        <v>7400.3742378395455</v>
      </c>
    </row>
    <row r="2714" spans="2:4">
      <c r="B2714" t="s">
        <v>9162</v>
      </c>
      <c r="C2714" s="46">
        <v>1</v>
      </c>
      <c r="D2714" s="30">
        <v>6758.3448338659528</v>
      </c>
    </row>
    <row r="2715" spans="2:4">
      <c r="B2715" t="s">
        <v>9163</v>
      </c>
      <c r="C2715" s="46">
        <v>1</v>
      </c>
      <c r="D2715" s="30">
        <v>7012.8216847293725</v>
      </c>
    </row>
    <row r="2716" spans="2:4">
      <c r="B2716" t="s">
        <v>9164</v>
      </c>
      <c r="C2716" s="46">
        <v>1</v>
      </c>
      <c r="D2716" s="30">
        <v>2352.0950404257674</v>
      </c>
    </row>
    <row r="2717" spans="2:4">
      <c r="B2717" t="s">
        <v>9165</v>
      </c>
      <c r="C2717" s="46">
        <v>1</v>
      </c>
      <c r="D2717" s="30">
        <v>7407.8149703912441</v>
      </c>
    </row>
    <row r="2718" spans="2:4">
      <c r="B2718" t="s">
        <v>9166</v>
      </c>
      <c r="C2718" s="46">
        <v>1</v>
      </c>
      <c r="D2718" s="30">
        <v>7337.5606540876151</v>
      </c>
    </row>
    <row r="2719" spans="2:4">
      <c r="B2719" t="s">
        <v>9167</v>
      </c>
      <c r="C2719" s="46">
        <v>1</v>
      </c>
      <c r="D2719" s="30">
        <v>3688.0366717509864</v>
      </c>
    </row>
    <row r="2720" spans="2:4">
      <c r="B2720" t="s">
        <v>9168</v>
      </c>
      <c r="C2720" s="46">
        <v>1</v>
      </c>
      <c r="D2720" s="30">
        <v>6586.0124067486076</v>
      </c>
    </row>
    <row r="2721" spans="2:4">
      <c r="B2721" t="s">
        <v>9169</v>
      </c>
      <c r="C2721" s="46">
        <v>1</v>
      </c>
      <c r="D2721" s="30">
        <v>6668.341499114139</v>
      </c>
    </row>
    <row r="2722" spans="2:4">
      <c r="B2722" t="s">
        <v>9170</v>
      </c>
      <c r="C2722" s="46">
        <v>1</v>
      </c>
      <c r="D2722" s="30">
        <v>7448.6930385008163</v>
      </c>
    </row>
    <row r="2723" spans="2:4">
      <c r="B2723" t="s">
        <v>9171</v>
      </c>
      <c r="C2723" s="46">
        <v>1</v>
      </c>
      <c r="D2723" s="30">
        <v>5788.0568287522456</v>
      </c>
    </row>
    <row r="2724" spans="2:4">
      <c r="B2724" t="s">
        <v>9172</v>
      </c>
      <c r="C2724" s="46">
        <v>1</v>
      </c>
      <c r="D2724" s="30">
        <v>7054.9266050051074</v>
      </c>
    </row>
    <row r="2725" spans="2:4">
      <c r="B2725" t="s">
        <v>9173</v>
      </c>
      <c r="C2725" s="46">
        <v>1</v>
      </c>
      <c r="D2725" s="30">
        <v>6906.428519846897</v>
      </c>
    </row>
    <row r="2726" spans="2:4">
      <c r="B2726" t="s">
        <v>9174</v>
      </c>
      <c r="C2726" s="46">
        <v>1</v>
      </c>
      <c r="D2726" s="30">
        <v>2476.3265160863057</v>
      </c>
    </row>
    <row r="2727" spans="2:4">
      <c r="B2727" t="s">
        <v>9175</v>
      </c>
      <c r="C2727" s="46">
        <v>1</v>
      </c>
      <c r="D2727" s="30">
        <v>7424.5335490483758</v>
      </c>
    </row>
    <row r="2728" spans="2:4">
      <c r="B2728" t="s">
        <v>9176</v>
      </c>
      <c r="C2728" s="46">
        <v>1</v>
      </c>
      <c r="D2728" s="30">
        <v>7009.4245189180292</v>
      </c>
    </row>
    <row r="2729" spans="2:4">
      <c r="B2729" t="s">
        <v>9177</v>
      </c>
      <c r="C2729" s="46">
        <v>1</v>
      </c>
      <c r="D2729" s="30">
        <v>18276.145095522603</v>
      </c>
    </row>
    <row r="2730" spans="2:4">
      <c r="B2730" t="s">
        <v>9178</v>
      </c>
      <c r="C2730" s="46">
        <v>1</v>
      </c>
      <c r="D2730" s="30">
        <v>7053.1080390608895</v>
      </c>
    </row>
    <row r="2731" spans="2:4">
      <c r="B2731" t="s">
        <v>9179</v>
      </c>
      <c r="C2731" s="46">
        <v>1</v>
      </c>
      <c r="D2731" s="30">
        <v>6772.8987354217543</v>
      </c>
    </row>
    <row r="2732" spans="2:4">
      <c r="B2732" t="s">
        <v>9180</v>
      </c>
      <c r="C2732" s="46">
        <v>1</v>
      </c>
      <c r="D2732" s="30">
        <v>15643.299909583051</v>
      </c>
    </row>
    <row r="2733" spans="2:4">
      <c r="B2733" t="s">
        <v>9181</v>
      </c>
      <c r="C2733" s="46">
        <v>1</v>
      </c>
      <c r="D2733" s="30">
        <v>5528.5135382882827</v>
      </c>
    </row>
    <row r="2734" spans="2:4">
      <c r="B2734" t="s">
        <v>9182</v>
      </c>
      <c r="C2734" s="46">
        <v>1</v>
      </c>
      <c r="D2734" s="30">
        <v>1796.5607931109168</v>
      </c>
    </row>
    <row r="2735" spans="2:4">
      <c r="B2735" t="s">
        <v>9183</v>
      </c>
      <c r="C2735" s="46">
        <v>1</v>
      </c>
      <c r="D2735" s="30">
        <v>99996.310700452232</v>
      </c>
    </row>
    <row r="2736" spans="2:4">
      <c r="B2736" t="s">
        <v>9184</v>
      </c>
      <c r="C2736" s="46">
        <v>1</v>
      </c>
      <c r="D2736" s="30">
        <v>7416.7880895451635</v>
      </c>
    </row>
    <row r="2737" spans="2:4">
      <c r="B2737" t="s">
        <v>9185</v>
      </c>
      <c r="C2737" s="46">
        <v>1</v>
      </c>
      <c r="D2737" s="30">
        <v>7292.9992996253141</v>
      </c>
    </row>
    <row r="2738" spans="2:4">
      <c r="B2738" t="s">
        <v>9186</v>
      </c>
      <c r="C2738" s="46">
        <v>1</v>
      </c>
      <c r="D2738" s="30">
        <v>7297.6031281191626</v>
      </c>
    </row>
    <row r="2739" spans="2:4">
      <c r="B2739" t="s">
        <v>9187</v>
      </c>
      <c r="C2739" s="46">
        <v>1</v>
      </c>
      <c r="D2739" s="30">
        <v>7378.7471404863327</v>
      </c>
    </row>
    <row r="2740" spans="2:4">
      <c r="B2740" t="s">
        <v>9188</v>
      </c>
      <c r="C2740" s="46">
        <v>1</v>
      </c>
      <c r="D2740" s="30">
        <v>6280.5512732248853</v>
      </c>
    </row>
    <row r="2741" spans="2:4">
      <c r="B2741" t="s">
        <v>9189</v>
      </c>
      <c r="C2741" s="46">
        <v>1</v>
      </c>
      <c r="D2741" s="30">
        <v>7435.5011937090167</v>
      </c>
    </row>
    <row r="2742" spans="2:4">
      <c r="B2742" t="s">
        <v>9190</v>
      </c>
      <c r="C2742" s="46">
        <v>1</v>
      </c>
      <c r="D2742" s="30">
        <v>7211.9782545636708</v>
      </c>
    </row>
    <row r="2743" spans="2:4">
      <c r="B2743" t="s">
        <v>9191</v>
      </c>
      <c r="C2743" s="46">
        <v>1</v>
      </c>
      <c r="D2743" s="30">
        <v>7449.5366617694872</v>
      </c>
    </row>
    <row r="2744" spans="2:4">
      <c r="B2744" t="s">
        <v>9192</v>
      </c>
      <c r="C2744" s="46">
        <v>1</v>
      </c>
      <c r="D2744" s="30">
        <v>4554.4029929318831</v>
      </c>
    </row>
    <row r="2745" spans="2:4">
      <c r="B2745" t="s">
        <v>9193</v>
      </c>
      <c r="C2745" s="46">
        <v>1</v>
      </c>
      <c r="D2745" s="30">
        <v>7344.6967179738058</v>
      </c>
    </row>
    <row r="2746" spans="2:4">
      <c r="B2746" t="s">
        <v>9194</v>
      </c>
      <c r="C2746" s="46">
        <v>1</v>
      </c>
      <c r="D2746" s="30">
        <v>6540.2628778296203</v>
      </c>
    </row>
    <row r="2747" spans="2:4">
      <c r="B2747" t="s">
        <v>9195</v>
      </c>
      <c r="C2747" s="46">
        <v>1</v>
      </c>
      <c r="D2747" s="30">
        <v>7332.8829122709112</v>
      </c>
    </row>
    <row r="2748" spans="2:4">
      <c r="B2748" t="s">
        <v>9196</v>
      </c>
      <c r="C2748" s="46">
        <v>1</v>
      </c>
      <c r="D2748" s="30">
        <v>7423.7672272134441</v>
      </c>
    </row>
    <row r="2749" spans="2:4">
      <c r="B2749" t="s">
        <v>9197</v>
      </c>
      <c r="C2749" s="46">
        <v>1</v>
      </c>
      <c r="D2749" s="30">
        <v>7287.1043173317657</v>
      </c>
    </row>
    <row r="2750" spans="2:4">
      <c r="B2750" t="s">
        <v>9198</v>
      </c>
      <c r="C2750" s="46">
        <v>1</v>
      </c>
      <c r="D2750" s="30">
        <v>6280.2923481477874</v>
      </c>
    </row>
    <row r="2751" spans="2:4">
      <c r="B2751" t="s">
        <v>9199</v>
      </c>
      <c r="C2751" s="46">
        <v>1</v>
      </c>
      <c r="D2751" s="30">
        <v>7350.3105623664114</v>
      </c>
    </row>
    <row r="2752" spans="2:4">
      <c r="B2752" t="s">
        <v>9200</v>
      </c>
      <c r="C2752" s="46">
        <v>1</v>
      </c>
      <c r="D2752" s="30">
        <v>6280.2923481477874</v>
      </c>
    </row>
    <row r="2753" spans="2:4">
      <c r="B2753" t="s">
        <v>9201</v>
      </c>
      <c r="C2753" s="46">
        <v>1</v>
      </c>
      <c r="D2753" s="30">
        <v>6280.2923481477874</v>
      </c>
    </row>
    <row r="2754" spans="2:4">
      <c r="B2754" t="s">
        <v>9202</v>
      </c>
      <c r="C2754" s="46">
        <v>1</v>
      </c>
      <c r="D2754" s="30">
        <v>5516.2084630459576</v>
      </c>
    </row>
    <row r="2755" spans="2:4">
      <c r="B2755" t="s">
        <v>9203</v>
      </c>
      <c r="C2755" s="46">
        <v>1</v>
      </c>
      <c r="D2755" s="30">
        <v>6280.2923481477874</v>
      </c>
    </row>
    <row r="2756" spans="2:4">
      <c r="B2756" t="s">
        <v>9204</v>
      </c>
      <c r="C2756" s="46">
        <v>1</v>
      </c>
      <c r="D2756" s="30">
        <v>6280.2923481477874</v>
      </c>
    </row>
    <row r="2757" spans="2:4">
      <c r="B2757" t="s">
        <v>9205</v>
      </c>
      <c r="C2757" s="46">
        <v>1</v>
      </c>
      <c r="D2757" s="30">
        <v>6280.2923481477874</v>
      </c>
    </row>
    <row r="2758" spans="2:4">
      <c r="B2758" t="s">
        <v>9206</v>
      </c>
      <c r="C2758" s="46">
        <v>1</v>
      </c>
      <c r="D2758" s="30">
        <v>6280.2923481477874</v>
      </c>
    </row>
    <row r="2759" spans="2:4">
      <c r="B2759" t="s">
        <v>9207</v>
      </c>
      <c r="C2759" s="46">
        <v>1</v>
      </c>
      <c r="D2759" s="30">
        <v>6280.2923481477874</v>
      </c>
    </row>
    <row r="2760" spans="2:4">
      <c r="B2760" t="s">
        <v>9208</v>
      </c>
      <c r="C2760" s="46">
        <v>1</v>
      </c>
      <c r="D2760" s="30">
        <v>6280.2923481477874</v>
      </c>
    </row>
    <row r="2761" spans="2:4">
      <c r="B2761" t="s">
        <v>9209</v>
      </c>
      <c r="C2761" s="46">
        <v>1</v>
      </c>
      <c r="D2761" s="30">
        <v>7326.9038779196499</v>
      </c>
    </row>
    <row r="2762" spans="2:4">
      <c r="B2762" t="s">
        <v>9210</v>
      </c>
      <c r="C2762" s="46">
        <v>1</v>
      </c>
      <c r="D2762" s="30">
        <v>6280.2923481477874</v>
      </c>
    </row>
    <row r="2763" spans="2:4">
      <c r="B2763" t="s">
        <v>9211</v>
      </c>
      <c r="C2763" s="46">
        <v>1</v>
      </c>
      <c r="D2763" s="30">
        <v>7115.2469923251774</v>
      </c>
    </row>
    <row r="2764" spans="2:4">
      <c r="B2764" t="s">
        <v>9212</v>
      </c>
      <c r="C2764" s="46">
        <v>1</v>
      </c>
      <c r="D2764" s="30">
        <v>7427.7553235094065</v>
      </c>
    </row>
    <row r="2765" spans="2:4">
      <c r="B2765" t="s">
        <v>9213</v>
      </c>
      <c r="C2765" s="46">
        <v>1</v>
      </c>
      <c r="D2765" s="30">
        <v>6737.2659619362375</v>
      </c>
    </row>
    <row r="2766" spans="2:4">
      <c r="B2766" t="s">
        <v>9214</v>
      </c>
      <c r="C2766" s="46">
        <v>1</v>
      </c>
      <c r="D2766" s="30">
        <v>2476.3265160863057</v>
      </c>
    </row>
    <row r="2767" spans="2:4">
      <c r="B2767" t="s">
        <v>9215</v>
      </c>
      <c r="C2767" s="46">
        <v>1</v>
      </c>
      <c r="D2767" s="30">
        <v>6525.8198375141565</v>
      </c>
    </row>
    <row r="2768" spans="2:4">
      <c r="B2768" t="s">
        <v>9216</v>
      </c>
      <c r="C2768" s="46">
        <v>1</v>
      </c>
      <c r="D2768" s="30">
        <v>6808.4354542273804</v>
      </c>
    </row>
    <row r="2769" spans="2:4">
      <c r="B2769" t="s">
        <v>9217</v>
      </c>
      <c r="C2769" s="46">
        <v>1</v>
      </c>
      <c r="D2769" s="30">
        <v>7216.6149474747017</v>
      </c>
    </row>
    <row r="2770" spans="2:4">
      <c r="B2770" t="s">
        <v>9218</v>
      </c>
      <c r="C2770" s="46">
        <v>1</v>
      </c>
      <c r="D2770" s="30">
        <v>5966.2956630163972</v>
      </c>
    </row>
    <row r="2771" spans="2:4">
      <c r="B2771" t="s">
        <v>9219</v>
      </c>
      <c r="C2771" s="46">
        <v>1</v>
      </c>
      <c r="D2771" s="30">
        <v>7333.4183855865876</v>
      </c>
    </row>
    <row r="2772" spans="2:4">
      <c r="B2772" t="s">
        <v>9220</v>
      </c>
      <c r="C2772" s="46">
        <v>1</v>
      </c>
      <c r="D2772" s="30">
        <v>5966.2956630163972</v>
      </c>
    </row>
    <row r="2773" spans="2:4">
      <c r="B2773" t="s">
        <v>9221</v>
      </c>
      <c r="C2773" s="46">
        <v>1</v>
      </c>
      <c r="D2773" s="30">
        <v>6848.2966024493862</v>
      </c>
    </row>
    <row r="2774" spans="2:4">
      <c r="B2774" t="s">
        <v>9222</v>
      </c>
      <c r="C2774" s="46">
        <v>1</v>
      </c>
      <c r="D2774" s="30">
        <v>2976.5698531897033</v>
      </c>
    </row>
    <row r="2775" spans="2:4">
      <c r="B2775" t="s">
        <v>9223</v>
      </c>
      <c r="C2775" s="46">
        <v>1</v>
      </c>
      <c r="D2775" s="30">
        <v>7117.7206962393138</v>
      </c>
    </row>
    <row r="2776" spans="2:4">
      <c r="B2776" t="s">
        <v>9224</v>
      </c>
      <c r="C2776" s="46">
        <v>1</v>
      </c>
      <c r="D2776" s="30">
        <v>7444.7048752611126</v>
      </c>
    </row>
    <row r="2777" spans="2:4">
      <c r="B2777" t="s">
        <v>9225</v>
      </c>
      <c r="C2777" s="46">
        <v>1</v>
      </c>
      <c r="D2777" s="30">
        <v>4462.3447604248076</v>
      </c>
    </row>
    <row r="2778" spans="2:4">
      <c r="B2778" t="s">
        <v>9226</v>
      </c>
      <c r="C2778" s="46">
        <v>1</v>
      </c>
      <c r="D2778" s="30">
        <v>7176.9575339058338</v>
      </c>
    </row>
    <row r="2779" spans="2:4">
      <c r="B2779" t="s">
        <v>9227</v>
      </c>
      <c r="C2779" s="46">
        <v>1</v>
      </c>
      <c r="D2779" s="30">
        <v>6962.1552131972112</v>
      </c>
    </row>
    <row r="2780" spans="2:4">
      <c r="B2780" t="s">
        <v>9228</v>
      </c>
      <c r="C2780" s="46">
        <v>1</v>
      </c>
      <c r="D2780" s="30">
        <v>7437.4953211874481</v>
      </c>
    </row>
    <row r="2781" spans="2:4">
      <c r="B2781" t="s">
        <v>9229</v>
      </c>
      <c r="C2781" s="46">
        <v>1</v>
      </c>
      <c r="D2781" s="30">
        <v>2476.3265160863057</v>
      </c>
    </row>
    <row r="2782" spans="2:4">
      <c r="B2782" t="s">
        <v>9230</v>
      </c>
      <c r="C2782" s="46">
        <v>1</v>
      </c>
      <c r="D2782" s="30">
        <v>7190.0114169366143</v>
      </c>
    </row>
    <row r="2783" spans="2:4">
      <c r="B2783" t="s">
        <v>9231</v>
      </c>
      <c r="C2783" s="46">
        <v>1</v>
      </c>
      <c r="D2783" s="30">
        <v>5094.8051601826219</v>
      </c>
    </row>
    <row r="2784" spans="2:4">
      <c r="B2784" t="s">
        <v>9232</v>
      </c>
      <c r="C2784" s="46">
        <v>1</v>
      </c>
      <c r="D2784" s="30">
        <v>7065.9251563077505</v>
      </c>
    </row>
    <row r="2785" spans="2:4">
      <c r="B2785" t="s">
        <v>9233</v>
      </c>
      <c r="C2785" s="46">
        <v>1</v>
      </c>
      <c r="D2785" s="30">
        <v>6137.9359791141605</v>
      </c>
    </row>
    <row r="2786" spans="2:4">
      <c r="B2786" t="s">
        <v>9234</v>
      </c>
      <c r="C2786" s="46">
        <v>1</v>
      </c>
      <c r="D2786" s="30">
        <v>7442.5572350112479</v>
      </c>
    </row>
    <row r="2787" spans="2:4">
      <c r="B2787" t="s">
        <v>9235</v>
      </c>
      <c r="C2787" s="46">
        <v>1</v>
      </c>
      <c r="D2787" s="30">
        <v>6216.0711517336704</v>
      </c>
    </row>
    <row r="2788" spans="2:4">
      <c r="B2788" t="s">
        <v>9236</v>
      </c>
      <c r="C2788" s="46">
        <v>1</v>
      </c>
      <c r="D2788" s="30">
        <v>6956.378739773324</v>
      </c>
    </row>
    <row r="2789" spans="2:4">
      <c r="B2789" t="s">
        <v>9237</v>
      </c>
      <c r="C2789" s="46">
        <v>1</v>
      </c>
      <c r="D2789" s="30">
        <v>5017.4963695652432</v>
      </c>
    </row>
    <row r="2790" spans="2:4">
      <c r="B2790" t="s">
        <v>9238</v>
      </c>
      <c r="C2790" s="46">
        <v>1</v>
      </c>
      <c r="D2790" s="30">
        <v>7404.7467034907086</v>
      </c>
    </row>
    <row r="2791" spans="2:4">
      <c r="B2791" t="s">
        <v>9239</v>
      </c>
      <c r="C2791" s="46">
        <v>1</v>
      </c>
      <c r="D2791" s="30">
        <v>28085.11553963249</v>
      </c>
    </row>
    <row r="2792" spans="2:4">
      <c r="B2792" t="s">
        <v>9240</v>
      </c>
      <c r="C2792" s="46">
        <v>1</v>
      </c>
      <c r="D2792" s="30">
        <v>5239.8176947433894</v>
      </c>
    </row>
    <row r="2793" spans="2:4">
      <c r="B2793" t="s">
        <v>9241</v>
      </c>
      <c r="C2793" s="46">
        <v>1</v>
      </c>
      <c r="D2793" s="30">
        <v>5239.8176947433894</v>
      </c>
    </row>
    <row r="2794" spans="2:4">
      <c r="B2794" t="s">
        <v>9242</v>
      </c>
      <c r="C2794" s="46">
        <v>1</v>
      </c>
      <c r="D2794" s="30">
        <v>465.5567353021454</v>
      </c>
    </row>
    <row r="2795" spans="2:4">
      <c r="B2795" t="s">
        <v>9243</v>
      </c>
      <c r="C2795" s="46">
        <v>1</v>
      </c>
      <c r="D2795" s="30">
        <v>7449.6900812939193</v>
      </c>
    </row>
    <row r="2796" spans="2:4">
      <c r="B2796" t="s">
        <v>9244</v>
      </c>
      <c r="C2796" s="46">
        <v>1</v>
      </c>
      <c r="D2796" s="30">
        <v>5051.5234298152873</v>
      </c>
    </row>
    <row r="2797" spans="2:4">
      <c r="B2797" t="s">
        <v>9245</v>
      </c>
      <c r="C2797" s="46">
        <v>1</v>
      </c>
      <c r="D2797" s="30">
        <v>7446.6989552937857</v>
      </c>
    </row>
    <row r="2798" spans="2:4">
      <c r="B2798" t="s">
        <v>9246</v>
      </c>
      <c r="C2798" s="46">
        <v>1</v>
      </c>
      <c r="D2798" s="30">
        <v>5388.0932280120378</v>
      </c>
    </row>
    <row r="2799" spans="2:4">
      <c r="B2799" t="s">
        <v>9247</v>
      </c>
      <c r="C2799" s="46">
        <v>1</v>
      </c>
      <c r="D2799" s="30">
        <v>15583.991848120852</v>
      </c>
    </row>
    <row r="2800" spans="2:4">
      <c r="B2800" t="s">
        <v>9248</v>
      </c>
      <c r="C2800" s="46">
        <v>1</v>
      </c>
      <c r="D2800" s="30">
        <v>6212.3593754517788</v>
      </c>
    </row>
    <row r="2801" spans="2:4">
      <c r="B2801" t="s">
        <v>9249</v>
      </c>
      <c r="C2801" s="46">
        <v>1</v>
      </c>
      <c r="D2801" s="30">
        <v>71571.186076068916</v>
      </c>
    </row>
    <row r="2802" spans="2:4">
      <c r="B2802" t="s">
        <v>9250</v>
      </c>
      <c r="C2802" s="46">
        <v>1</v>
      </c>
      <c r="D2802" s="30">
        <v>7229.1111511036816</v>
      </c>
    </row>
    <row r="2803" spans="2:4">
      <c r="B2803" t="s">
        <v>9251</v>
      </c>
      <c r="C2803" s="46">
        <v>1</v>
      </c>
      <c r="D2803" s="30">
        <v>6586.3062348026615</v>
      </c>
    </row>
    <row r="2804" spans="2:4">
      <c r="B2804" t="s">
        <v>9252</v>
      </c>
      <c r="C2804" s="46">
        <v>1</v>
      </c>
      <c r="D2804" s="30">
        <v>7146.2081564403024</v>
      </c>
    </row>
    <row r="2805" spans="2:4">
      <c r="B2805" t="s">
        <v>9253</v>
      </c>
      <c r="C2805" s="46">
        <v>1</v>
      </c>
      <c r="D2805" s="30">
        <v>93334.416306093233</v>
      </c>
    </row>
    <row r="2806" spans="2:4">
      <c r="B2806" t="s">
        <v>9254</v>
      </c>
      <c r="C2806" s="46">
        <v>1</v>
      </c>
      <c r="D2806" s="30">
        <v>4265.535140520069</v>
      </c>
    </row>
    <row r="2807" spans="2:4">
      <c r="B2807" t="s">
        <v>9255</v>
      </c>
      <c r="C2807" s="46">
        <v>1</v>
      </c>
      <c r="D2807" s="30">
        <v>5292.5357558192882</v>
      </c>
    </row>
    <row r="2808" spans="2:4">
      <c r="B2808" t="s">
        <v>9256</v>
      </c>
      <c r="C2808" s="46">
        <v>1</v>
      </c>
      <c r="D2808" s="30">
        <v>6567.9226518794439</v>
      </c>
    </row>
    <row r="2809" spans="2:4">
      <c r="B2809" t="s">
        <v>9257</v>
      </c>
      <c r="C2809" s="46">
        <v>1</v>
      </c>
      <c r="D2809" s="30">
        <v>7444.7048752611126</v>
      </c>
    </row>
    <row r="2810" spans="2:4">
      <c r="B2810" t="s">
        <v>9258</v>
      </c>
      <c r="C2810" s="46">
        <v>1</v>
      </c>
      <c r="D2810" s="30">
        <v>5028.7501694508428</v>
      </c>
    </row>
    <row r="2811" spans="2:4">
      <c r="B2811" t="s">
        <v>9259</v>
      </c>
      <c r="C2811" s="46">
        <v>1</v>
      </c>
      <c r="D2811" s="30">
        <v>7002.6549469774163</v>
      </c>
    </row>
    <row r="2812" spans="2:4">
      <c r="B2812" t="s">
        <v>9260</v>
      </c>
      <c r="C2812" s="46">
        <v>1</v>
      </c>
      <c r="D2812" s="30">
        <v>7409.7318015194678</v>
      </c>
    </row>
    <row r="2813" spans="2:4">
      <c r="B2813" t="s">
        <v>9261</v>
      </c>
      <c r="C2813" s="46">
        <v>1</v>
      </c>
      <c r="D2813" s="30">
        <v>1318.7394884654218</v>
      </c>
    </row>
    <row r="2814" spans="2:4">
      <c r="B2814" t="s">
        <v>9262</v>
      </c>
      <c r="C2814" s="46">
        <v>1</v>
      </c>
      <c r="D2814" s="30">
        <v>7132.6722055938289</v>
      </c>
    </row>
    <row r="2815" spans="2:4">
      <c r="B2815" t="s">
        <v>9263</v>
      </c>
      <c r="C2815" s="46">
        <v>1</v>
      </c>
      <c r="D2815" s="30">
        <v>7405.8209527719246</v>
      </c>
    </row>
    <row r="2816" spans="2:4">
      <c r="B2816" t="s">
        <v>9264</v>
      </c>
      <c r="C2816" s="46">
        <v>1</v>
      </c>
      <c r="D2816" s="30">
        <v>7290.2381001035801</v>
      </c>
    </row>
    <row r="2817" spans="2:4">
      <c r="B2817" t="s">
        <v>9265</v>
      </c>
      <c r="C2817" s="46">
        <v>1</v>
      </c>
      <c r="D2817" s="30">
        <v>4828.8487781185204</v>
      </c>
    </row>
    <row r="2818" spans="2:4">
      <c r="B2818" t="s">
        <v>9266</v>
      </c>
      <c r="C2818" s="46">
        <v>1</v>
      </c>
      <c r="D2818" s="30">
        <v>5388.0932280120378</v>
      </c>
    </row>
    <row r="2819" spans="2:4">
      <c r="B2819" t="s">
        <v>9267</v>
      </c>
      <c r="C2819" s="46">
        <v>1</v>
      </c>
      <c r="D2819" s="30">
        <v>7239.1173004237698</v>
      </c>
    </row>
    <row r="2820" spans="2:4">
      <c r="B2820" t="s">
        <v>9268</v>
      </c>
      <c r="C2820" s="46">
        <v>1</v>
      </c>
      <c r="D2820" s="30">
        <v>6955.8385922212892</v>
      </c>
    </row>
    <row r="2821" spans="2:4">
      <c r="B2821" t="s">
        <v>9269</v>
      </c>
      <c r="C2821" s="46">
        <v>1</v>
      </c>
      <c r="D2821" s="30">
        <v>7441.5601772007321</v>
      </c>
    </row>
    <row r="2822" spans="2:4">
      <c r="B2822" t="s">
        <v>9270</v>
      </c>
      <c r="C2822" s="46">
        <v>1</v>
      </c>
      <c r="D2822" s="30">
        <v>15583.991848120852</v>
      </c>
    </row>
    <row r="2823" spans="2:4">
      <c r="B2823" t="s">
        <v>9271</v>
      </c>
      <c r="C2823" s="46">
        <v>1</v>
      </c>
      <c r="D2823" s="30">
        <v>142345.42920852394</v>
      </c>
    </row>
    <row r="2824" spans="2:4">
      <c r="B2824" t="s">
        <v>9272</v>
      </c>
      <c r="C2824" s="46">
        <v>1</v>
      </c>
      <c r="D2824" s="30">
        <v>5449.5003554712421</v>
      </c>
    </row>
    <row r="2825" spans="2:4">
      <c r="B2825" t="s">
        <v>9273</v>
      </c>
      <c r="C2825" s="46">
        <v>1</v>
      </c>
      <c r="D2825" s="30">
        <v>6976.6969630852573</v>
      </c>
    </row>
    <row r="2826" spans="2:4">
      <c r="B2826" t="s">
        <v>9274</v>
      </c>
      <c r="C2826" s="46">
        <v>1</v>
      </c>
      <c r="D2826" s="30">
        <v>48647.486618122828</v>
      </c>
    </row>
    <row r="2827" spans="2:4">
      <c r="B2827" t="s">
        <v>9275</v>
      </c>
      <c r="C2827" s="46">
        <v>1</v>
      </c>
      <c r="D2827" s="30">
        <v>3275.0961437753058</v>
      </c>
    </row>
    <row r="2828" spans="2:4">
      <c r="B2828" t="s">
        <v>9276</v>
      </c>
      <c r="C2828" s="46">
        <v>1</v>
      </c>
      <c r="D2828" s="30">
        <v>7414.7940574355825</v>
      </c>
    </row>
    <row r="2829" spans="2:4">
      <c r="B2829" t="s">
        <v>9277</v>
      </c>
      <c r="C2829" s="46">
        <v>1</v>
      </c>
      <c r="D2829" s="30">
        <v>6669.2766793974852</v>
      </c>
    </row>
    <row r="2830" spans="2:4">
      <c r="B2830" t="s">
        <v>9278</v>
      </c>
      <c r="C2830" s="46">
        <v>1</v>
      </c>
      <c r="D2830" s="30">
        <v>2444.4469120613371</v>
      </c>
    </row>
    <row r="2831" spans="2:4">
      <c r="B2831" t="s">
        <v>9279</v>
      </c>
      <c r="C2831" s="46">
        <v>1</v>
      </c>
      <c r="D2831" s="30">
        <v>92603.763785178235</v>
      </c>
    </row>
    <row r="2832" spans="2:4">
      <c r="B2832" t="s">
        <v>9280</v>
      </c>
      <c r="C2832" s="46">
        <v>1</v>
      </c>
      <c r="D2832" s="30">
        <v>6498.5242239384161</v>
      </c>
    </row>
    <row r="2833" spans="2:4">
      <c r="B2833" t="s">
        <v>9281</v>
      </c>
      <c r="C2833" s="46">
        <v>1</v>
      </c>
      <c r="D2833" s="30">
        <v>2970.6837646577715</v>
      </c>
    </row>
    <row r="2834" spans="2:4">
      <c r="B2834" t="s">
        <v>9282</v>
      </c>
      <c r="C2834" s="46">
        <v>1</v>
      </c>
      <c r="D2834" s="30">
        <v>6046.668094788839</v>
      </c>
    </row>
    <row r="2835" spans="2:4">
      <c r="B2835" t="s">
        <v>9283</v>
      </c>
      <c r="C2835" s="46">
        <v>1</v>
      </c>
      <c r="D2835" s="30">
        <v>6486.4893129950888</v>
      </c>
    </row>
    <row r="2836" spans="2:4">
      <c r="B2836" t="s">
        <v>9284</v>
      </c>
      <c r="C2836" s="46">
        <v>1</v>
      </c>
      <c r="D2836" s="30">
        <v>1468.0955354462751</v>
      </c>
    </row>
    <row r="2837" spans="2:4">
      <c r="B2837" t="s">
        <v>9285</v>
      </c>
      <c r="C2837" s="46">
        <v>1</v>
      </c>
      <c r="D2837" s="30">
        <v>7239.1173004237698</v>
      </c>
    </row>
    <row r="2838" spans="2:4">
      <c r="B2838" t="s">
        <v>9286</v>
      </c>
      <c r="C2838" s="46">
        <v>1</v>
      </c>
      <c r="D2838" s="30">
        <v>7277.819092107623</v>
      </c>
    </row>
    <row r="2839" spans="2:4">
      <c r="B2839" t="s">
        <v>9287</v>
      </c>
      <c r="C2839" s="46">
        <v>1</v>
      </c>
      <c r="D2839" s="30">
        <v>6778.4297638143826</v>
      </c>
    </row>
    <row r="2840" spans="2:4">
      <c r="B2840" t="s">
        <v>9288</v>
      </c>
      <c r="C2840" s="46">
        <v>1</v>
      </c>
      <c r="D2840" s="30">
        <v>60916.493063599475</v>
      </c>
    </row>
    <row r="2841" spans="2:4">
      <c r="B2841" t="s">
        <v>9289</v>
      </c>
      <c r="C2841" s="46">
        <v>1</v>
      </c>
      <c r="D2841" s="30">
        <v>6853.0481952282162</v>
      </c>
    </row>
    <row r="2842" spans="2:4">
      <c r="B2842" t="s">
        <v>9290</v>
      </c>
      <c r="C2842" s="46">
        <v>1</v>
      </c>
      <c r="D2842" s="30">
        <v>173162.01765796318</v>
      </c>
    </row>
    <row r="2843" spans="2:4">
      <c r="B2843" t="s">
        <v>9291</v>
      </c>
      <c r="C2843" s="46">
        <v>1</v>
      </c>
      <c r="D2843" s="30">
        <v>7449.4601521792838</v>
      </c>
    </row>
    <row r="2844" spans="2:4">
      <c r="B2844" t="s">
        <v>9292</v>
      </c>
      <c r="C2844" s="46">
        <v>1</v>
      </c>
      <c r="D2844" s="30">
        <v>7372.7651129087462</v>
      </c>
    </row>
    <row r="2845" spans="2:4">
      <c r="B2845" t="s">
        <v>9293</v>
      </c>
      <c r="C2845" s="46">
        <v>1</v>
      </c>
      <c r="D2845" s="30">
        <v>7334.9721054644897</v>
      </c>
    </row>
    <row r="2846" spans="2:4">
      <c r="B2846" t="s">
        <v>9294</v>
      </c>
      <c r="C2846" s="46">
        <v>1</v>
      </c>
      <c r="D2846" s="30">
        <v>5076.9268933714484</v>
      </c>
    </row>
    <row r="2847" spans="2:4">
      <c r="B2847" t="s">
        <v>9295</v>
      </c>
      <c r="C2847" s="46">
        <v>1</v>
      </c>
      <c r="D2847" s="30">
        <v>5518.3142233197368</v>
      </c>
    </row>
    <row r="2848" spans="2:4">
      <c r="B2848" t="s">
        <v>9296</v>
      </c>
      <c r="C2848" s="46">
        <v>1</v>
      </c>
      <c r="D2848" s="30">
        <v>1240.7146489993042</v>
      </c>
    </row>
    <row r="2849" spans="2:4">
      <c r="B2849" t="s">
        <v>9297</v>
      </c>
      <c r="C2849" s="46">
        <v>1</v>
      </c>
      <c r="D2849" s="30">
        <v>2435.183225651771</v>
      </c>
    </row>
    <row r="2850" spans="2:4">
      <c r="B2850" t="s">
        <v>9298</v>
      </c>
      <c r="C2850" s="46">
        <v>1</v>
      </c>
      <c r="D2850" s="30">
        <v>15583.991848120852</v>
      </c>
    </row>
    <row r="2851" spans="2:4">
      <c r="B2851" t="s">
        <v>9299</v>
      </c>
      <c r="C2851" s="46">
        <v>1</v>
      </c>
      <c r="D2851" s="30">
        <v>6663.1508161501733</v>
      </c>
    </row>
    <row r="2852" spans="2:4">
      <c r="B2852" t="s">
        <v>9300</v>
      </c>
      <c r="C2852" s="46">
        <v>1</v>
      </c>
      <c r="D2852" s="30">
        <v>7160.263559562989</v>
      </c>
    </row>
    <row r="2853" spans="2:4">
      <c r="B2853" t="s">
        <v>9301</v>
      </c>
      <c r="C2853" s="46">
        <v>1</v>
      </c>
      <c r="D2853" s="30">
        <v>6709.1299321964652</v>
      </c>
    </row>
    <row r="2854" spans="2:4">
      <c r="B2854" t="s">
        <v>9302</v>
      </c>
      <c r="C2854" s="46">
        <v>1</v>
      </c>
      <c r="D2854" s="30">
        <v>7441.7137611696089</v>
      </c>
    </row>
    <row r="2855" spans="2:4">
      <c r="B2855" t="s">
        <v>9303</v>
      </c>
      <c r="C2855" s="46">
        <v>1</v>
      </c>
      <c r="D2855" s="30">
        <v>11649.980863842131</v>
      </c>
    </row>
    <row r="2856" spans="2:4">
      <c r="B2856" t="s">
        <v>9304</v>
      </c>
      <c r="C2856" s="46">
        <v>1</v>
      </c>
      <c r="D2856" s="30">
        <v>7422.3098844959241</v>
      </c>
    </row>
    <row r="2857" spans="2:4">
      <c r="B2857" t="s">
        <v>9305</v>
      </c>
      <c r="C2857" s="46">
        <v>1</v>
      </c>
      <c r="D2857" s="30">
        <v>6869.3580499111449</v>
      </c>
    </row>
    <row r="2858" spans="2:4">
      <c r="B2858" t="s">
        <v>9306</v>
      </c>
      <c r="C2858" s="46">
        <v>1</v>
      </c>
      <c r="D2858" s="30">
        <v>6720.2302555009437</v>
      </c>
    </row>
    <row r="2859" spans="2:4">
      <c r="B2859" t="s">
        <v>9307</v>
      </c>
      <c r="C2859" s="46">
        <v>1</v>
      </c>
      <c r="D2859" s="30">
        <v>6494.413827573374</v>
      </c>
    </row>
    <row r="2860" spans="2:4">
      <c r="B2860" t="s">
        <v>9308</v>
      </c>
      <c r="C2860" s="46">
        <v>1</v>
      </c>
      <c r="D2860" s="30">
        <v>2483.5705375151251</v>
      </c>
    </row>
    <row r="2861" spans="2:4">
      <c r="B2861" t="s">
        <v>9309</v>
      </c>
      <c r="C2861" s="46">
        <v>1</v>
      </c>
      <c r="D2861" s="30">
        <v>7403.8269383798197</v>
      </c>
    </row>
    <row r="2862" spans="2:4">
      <c r="B2862" t="s">
        <v>9310</v>
      </c>
      <c r="C2862" s="46">
        <v>1</v>
      </c>
      <c r="D2862" s="30">
        <v>3563.8510273327329</v>
      </c>
    </row>
    <row r="2863" spans="2:4">
      <c r="B2863" t="s">
        <v>9311</v>
      </c>
      <c r="C2863" s="46">
        <v>1</v>
      </c>
      <c r="D2863" s="30">
        <v>7313.1610619217554</v>
      </c>
    </row>
    <row r="2864" spans="2:4">
      <c r="B2864" t="s">
        <v>9312</v>
      </c>
      <c r="C2864" s="46">
        <v>1</v>
      </c>
      <c r="D2864" s="30">
        <v>5876.1458430834164</v>
      </c>
    </row>
    <row r="2865" spans="2:4">
      <c r="B2865" t="s">
        <v>9313</v>
      </c>
      <c r="C2865" s="46">
        <v>1</v>
      </c>
      <c r="D2865" s="30">
        <v>7446.6989552937857</v>
      </c>
    </row>
    <row r="2866" spans="2:4">
      <c r="B2866" t="s">
        <v>9314</v>
      </c>
      <c r="C2866" s="46">
        <v>1</v>
      </c>
      <c r="D2866" s="30">
        <v>7427.9487281638339</v>
      </c>
    </row>
    <row r="2867" spans="2:4">
      <c r="B2867" t="s">
        <v>9315</v>
      </c>
      <c r="C2867" s="46">
        <v>1</v>
      </c>
      <c r="D2867" s="30">
        <v>6240.3435232680113</v>
      </c>
    </row>
    <row r="2868" spans="2:4">
      <c r="B2868" t="s">
        <v>9316</v>
      </c>
      <c r="C2868" s="46">
        <v>1</v>
      </c>
      <c r="D2868" s="30">
        <v>7427.9487281638339</v>
      </c>
    </row>
    <row r="2869" spans="2:4">
      <c r="B2869" t="s">
        <v>9317</v>
      </c>
      <c r="C2869" s="46">
        <v>1</v>
      </c>
      <c r="D2869" s="30">
        <v>7413.6949080810091</v>
      </c>
    </row>
    <row r="2870" spans="2:4">
      <c r="B2870" t="s">
        <v>9318</v>
      </c>
      <c r="C2870" s="46">
        <v>1</v>
      </c>
      <c r="D2870" s="30">
        <v>7016.0039996053156</v>
      </c>
    </row>
    <row r="2871" spans="2:4">
      <c r="B2871" t="s">
        <v>9319</v>
      </c>
      <c r="C2871" s="46">
        <v>1</v>
      </c>
      <c r="D2871" s="30">
        <v>7190.992971550394</v>
      </c>
    </row>
    <row r="2872" spans="2:4">
      <c r="B2872" t="s">
        <v>9320</v>
      </c>
      <c r="C2872" s="46">
        <v>1</v>
      </c>
      <c r="D2872" s="30">
        <v>3917.1025294437686</v>
      </c>
    </row>
    <row r="2873" spans="2:4">
      <c r="B2873" t="s">
        <v>9321</v>
      </c>
      <c r="C2873" s="46">
        <v>1</v>
      </c>
      <c r="D2873" s="30">
        <v>15583.991848120852</v>
      </c>
    </row>
    <row r="2874" spans="2:4">
      <c r="B2874" t="s">
        <v>9322</v>
      </c>
      <c r="C2874" s="46">
        <v>1</v>
      </c>
      <c r="D2874" s="30">
        <v>5840.1807188236262</v>
      </c>
    </row>
    <row r="2875" spans="2:4">
      <c r="B2875" t="s">
        <v>9323</v>
      </c>
      <c r="C2875" s="46">
        <v>1</v>
      </c>
      <c r="D2875" s="30">
        <v>7239.1173004237698</v>
      </c>
    </row>
    <row r="2876" spans="2:4">
      <c r="B2876" t="s">
        <v>9324</v>
      </c>
      <c r="C2876" s="46">
        <v>1</v>
      </c>
      <c r="D2876" s="30">
        <v>7417.4774840355803</v>
      </c>
    </row>
    <row r="2877" spans="2:4">
      <c r="B2877" t="s">
        <v>9325</v>
      </c>
      <c r="C2877" s="46">
        <v>1</v>
      </c>
      <c r="D2877" s="30">
        <v>6913.8249971284213</v>
      </c>
    </row>
    <row r="2878" spans="2:4">
      <c r="B2878" t="s">
        <v>9326</v>
      </c>
      <c r="C2878" s="46">
        <v>1</v>
      </c>
      <c r="D2878" s="30">
        <v>6059.6686619733237</v>
      </c>
    </row>
    <row r="2879" spans="2:4">
      <c r="B2879" t="s">
        <v>9327</v>
      </c>
      <c r="C2879" s="46">
        <v>1</v>
      </c>
      <c r="D2879" s="30">
        <v>6354.2341896490707</v>
      </c>
    </row>
    <row r="2880" spans="2:4">
      <c r="B2880" t="s">
        <v>9328</v>
      </c>
      <c r="C2880" s="46">
        <v>1</v>
      </c>
      <c r="D2880" s="30">
        <v>6800.0472902421188</v>
      </c>
    </row>
    <row r="2881" spans="2:4">
      <c r="B2881" t="s">
        <v>9329</v>
      </c>
      <c r="C2881" s="46">
        <v>1</v>
      </c>
      <c r="D2881" s="30">
        <v>465.5567353021454</v>
      </c>
    </row>
    <row r="2882" spans="2:4">
      <c r="B2882" t="s">
        <v>9330</v>
      </c>
      <c r="C2882" s="46">
        <v>1</v>
      </c>
      <c r="D2882" s="30">
        <v>7260.3272509334802</v>
      </c>
    </row>
    <row r="2883" spans="2:4">
      <c r="B2883" t="s">
        <v>9331</v>
      </c>
      <c r="C2883" s="46">
        <v>1</v>
      </c>
      <c r="D2883" s="30">
        <v>48647.486618122828</v>
      </c>
    </row>
    <row r="2884" spans="2:4">
      <c r="B2884" t="s">
        <v>9332</v>
      </c>
      <c r="C2884" s="46">
        <v>1</v>
      </c>
      <c r="D2884" s="30">
        <v>6567.8769251351032</v>
      </c>
    </row>
    <row r="2885" spans="2:4">
      <c r="B2885" t="s">
        <v>9333</v>
      </c>
      <c r="C2885" s="46">
        <v>1</v>
      </c>
      <c r="D2885" s="30">
        <v>4001.9819162178551</v>
      </c>
    </row>
    <row r="2886" spans="2:4">
      <c r="B2886" t="s">
        <v>9334</v>
      </c>
      <c r="C2886" s="46">
        <v>1</v>
      </c>
      <c r="D2886" s="30">
        <v>6314.8486876207417</v>
      </c>
    </row>
    <row r="2887" spans="2:4">
      <c r="B2887" t="s">
        <v>9335</v>
      </c>
      <c r="C2887" s="46">
        <v>1</v>
      </c>
      <c r="D2887" s="30">
        <v>6413.4437647179184</v>
      </c>
    </row>
    <row r="2888" spans="2:4">
      <c r="B2888" t="s">
        <v>9336</v>
      </c>
      <c r="C2888" s="46">
        <v>1</v>
      </c>
      <c r="D2888" s="30">
        <v>6570.2138183868701</v>
      </c>
    </row>
    <row r="2889" spans="2:4">
      <c r="B2889" t="s">
        <v>9337</v>
      </c>
      <c r="C2889" s="46">
        <v>1</v>
      </c>
      <c r="D2889" s="30">
        <v>6872.6319432672626</v>
      </c>
    </row>
    <row r="2890" spans="2:4">
      <c r="B2890" t="s">
        <v>9338</v>
      </c>
      <c r="C2890" s="46">
        <v>1</v>
      </c>
      <c r="D2890" s="30">
        <v>7412.8000285415128</v>
      </c>
    </row>
    <row r="2891" spans="2:4">
      <c r="B2891" t="s">
        <v>9339</v>
      </c>
      <c r="C2891" s="46">
        <v>1</v>
      </c>
      <c r="D2891" s="30">
        <v>7128.3708568566744</v>
      </c>
    </row>
    <row r="2892" spans="2:4">
      <c r="B2892" t="s">
        <v>9340</v>
      </c>
      <c r="C2892" s="46">
        <v>1</v>
      </c>
      <c r="D2892" s="30">
        <v>23009.820082301005</v>
      </c>
    </row>
    <row r="2893" spans="2:4">
      <c r="B2893" t="s">
        <v>9341</v>
      </c>
      <c r="C2893" s="46">
        <v>1</v>
      </c>
      <c r="D2893" s="30">
        <v>2482.6167201009862</v>
      </c>
    </row>
    <row r="2894" spans="2:4">
      <c r="B2894" t="s">
        <v>9342</v>
      </c>
      <c r="C2894" s="46">
        <v>1</v>
      </c>
      <c r="D2894" s="30">
        <v>603.74633602008612</v>
      </c>
    </row>
    <row r="2895" spans="2:4">
      <c r="B2895" t="s">
        <v>9343</v>
      </c>
      <c r="C2895" s="46">
        <v>1</v>
      </c>
      <c r="D2895" s="30">
        <v>6841.7729110312266</v>
      </c>
    </row>
    <row r="2896" spans="2:4">
      <c r="B2896" t="s">
        <v>9344</v>
      </c>
      <c r="C2896" s="46">
        <v>1</v>
      </c>
      <c r="D2896" s="30">
        <v>6398.7714153291781</v>
      </c>
    </row>
    <row r="2897" spans="2:4">
      <c r="B2897" t="s">
        <v>9345</v>
      </c>
      <c r="C2897" s="46">
        <v>1</v>
      </c>
      <c r="D2897" s="30">
        <v>5899.1326779038409</v>
      </c>
    </row>
    <row r="2898" spans="2:4">
      <c r="B2898" t="s">
        <v>9346</v>
      </c>
      <c r="C2898" s="46">
        <v>1</v>
      </c>
      <c r="D2898" s="30">
        <v>1608.7401294717995</v>
      </c>
    </row>
    <row r="2899" spans="2:4">
      <c r="B2899" t="s">
        <v>9347</v>
      </c>
      <c r="C2899" s="46">
        <v>1</v>
      </c>
      <c r="D2899" s="30">
        <v>16242.508458630993</v>
      </c>
    </row>
    <row r="2900" spans="2:4">
      <c r="B2900" t="s">
        <v>9348</v>
      </c>
      <c r="C2900" s="46">
        <v>1</v>
      </c>
      <c r="D2900" s="30">
        <v>5985.7168706940756</v>
      </c>
    </row>
    <row r="2901" spans="2:4">
      <c r="B2901" t="s">
        <v>9349</v>
      </c>
      <c r="C2901" s="46">
        <v>1</v>
      </c>
      <c r="D2901" s="30">
        <v>7411.6727319849042</v>
      </c>
    </row>
    <row r="2902" spans="2:4">
      <c r="B2902" t="s">
        <v>9350</v>
      </c>
      <c r="C2902" s="46">
        <v>1</v>
      </c>
      <c r="D2902" s="30">
        <v>2526.5990925741867</v>
      </c>
    </row>
    <row r="2903" spans="2:4">
      <c r="B2903" t="s">
        <v>9351</v>
      </c>
      <c r="C2903" s="46">
        <v>1</v>
      </c>
      <c r="D2903" s="30">
        <v>7401.8329272175361</v>
      </c>
    </row>
    <row r="2904" spans="2:4">
      <c r="B2904" t="s">
        <v>9352</v>
      </c>
      <c r="C2904" s="46">
        <v>1</v>
      </c>
      <c r="D2904" s="30">
        <v>6516.1245863421045</v>
      </c>
    </row>
    <row r="2905" spans="2:4">
      <c r="B2905" t="s">
        <v>9353</v>
      </c>
      <c r="C2905" s="46">
        <v>1</v>
      </c>
      <c r="D2905" s="30">
        <v>7376.7531280501898</v>
      </c>
    </row>
    <row r="2906" spans="2:4">
      <c r="B2906" t="s">
        <v>9354</v>
      </c>
      <c r="C2906" s="46">
        <v>1</v>
      </c>
      <c r="D2906" s="30">
        <v>7425.2881478899899</v>
      </c>
    </row>
    <row r="2907" spans="2:4">
      <c r="B2907" t="s">
        <v>9355</v>
      </c>
      <c r="C2907" s="46">
        <v>1</v>
      </c>
      <c r="D2907" s="30">
        <v>7262.429289790336</v>
      </c>
    </row>
    <row r="2908" spans="2:4">
      <c r="B2908" t="s">
        <v>9356</v>
      </c>
      <c r="C2908" s="46">
        <v>1</v>
      </c>
      <c r="D2908" s="30">
        <v>7448.6930385008163</v>
      </c>
    </row>
    <row r="2909" spans="2:4">
      <c r="B2909" t="s">
        <v>9357</v>
      </c>
      <c r="C2909" s="46">
        <v>1</v>
      </c>
      <c r="D2909" s="30">
        <v>7354.3279073744416</v>
      </c>
    </row>
    <row r="2910" spans="2:4">
      <c r="B2910" t="s">
        <v>9358</v>
      </c>
      <c r="C2910" s="46">
        <v>1</v>
      </c>
      <c r="D2910" s="30">
        <v>7435.5011937090167</v>
      </c>
    </row>
    <row r="2911" spans="2:4">
      <c r="B2911" t="s">
        <v>9359</v>
      </c>
      <c r="C2911" s="46">
        <v>1</v>
      </c>
      <c r="D2911" s="30">
        <v>7070.7930739178037</v>
      </c>
    </row>
    <row r="2912" spans="2:4">
      <c r="B2912" t="s">
        <v>9360</v>
      </c>
      <c r="C2912" s="46">
        <v>1</v>
      </c>
      <c r="D2912" s="30">
        <v>7878.7797710456543</v>
      </c>
    </row>
    <row r="2913" spans="2:4">
      <c r="B2913" t="s">
        <v>9361</v>
      </c>
      <c r="C2913" s="46">
        <v>1</v>
      </c>
      <c r="D2913" s="30">
        <v>7216.6149474747017</v>
      </c>
    </row>
    <row r="2914" spans="2:4">
      <c r="B2914" t="s">
        <v>9362</v>
      </c>
      <c r="C2914" s="46">
        <v>1</v>
      </c>
      <c r="D2914" s="30">
        <v>6901.4457378264005</v>
      </c>
    </row>
    <row r="2915" spans="2:4">
      <c r="B2915" t="s">
        <v>9363</v>
      </c>
      <c r="C2915" s="46">
        <v>1</v>
      </c>
      <c r="D2915" s="30">
        <v>3514.832905718245</v>
      </c>
    </row>
    <row r="2916" spans="2:4">
      <c r="B2916" t="s">
        <v>9364</v>
      </c>
      <c r="C2916" s="46">
        <v>1</v>
      </c>
      <c r="D2916" s="30">
        <v>7304.0520853488933</v>
      </c>
    </row>
    <row r="2917" spans="2:4">
      <c r="B2917" t="s">
        <v>9365</v>
      </c>
      <c r="C2917" s="46">
        <v>1</v>
      </c>
      <c r="D2917" s="30">
        <v>28085.11553963249</v>
      </c>
    </row>
    <row r="2918" spans="2:4">
      <c r="B2918" t="s">
        <v>9366</v>
      </c>
      <c r="C2918" s="46">
        <v>1</v>
      </c>
      <c r="D2918" s="30">
        <v>91299.45957296979</v>
      </c>
    </row>
    <row r="2919" spans="2:4">
      <c r="B2919" t="s">
        <v>9367</v>
      </c>
      <c r="C2919" s="46">
        <v>1</v>
      </c>
      <c r="D2919" s="30">
        <v>7017.3364444364834</v>
      </c>
    </row>
    <row r="2920" spans="2:4">
      <c r="B2920" t="s">
        <v>9368</v>
      </c>
      <c r="C2920" s="46">
        <v>1</v>
      </c>
      <c r="D2920" s="30">
        <v>7314.9880571789554</v>
      </c>
    </row>
    <row r="2921" spans="2:4">
      <c r="B2921" t="s">
        <v>9369</v>
      </c>
      <c r="C2921" s="46">
        <v>1</v>
      </c>
      <c r="D2921" s="30">
        <v>7224.3791941004429</v>
      </c>
    </row>
    <row r="2922" spans="2:4">
      <c r="B2922" t="s">
        <v>9370</v>
      </c>
      <c r="C2922" s="46">
        <v>1</v>
      </c>
      <c r="D2922" s="30">
        <v>6605.666969478345</v>
      </c>
    </row>
    <row r="2923" spans="2:4">
      <c r="B2923" t="s">
        <v>9371</v>
      </c>
      <c r="C2923" s="46">
        <v>1</v>
      </c>
      <c r="D2923" s="30">
        <v>5292.5357558192882</v>
      </c>
    </row>
    <row r="2924" spans="2:4">
      <c r="B2924" t="s">
        <v>9372</v>
      </c>
      <c r="C2924" s="46">
        <v>1</v>
      </c>
      <c r="D2924" s="30">
        <v>7083.6700240598184</v>
      </c>
    </row>
    <row r="2925" spans="2:4">
      <c r="B2925" t="s">
        <v>9373</v>
      </c>
      <c r="C2925" s="46">
        <v>1</v>
      </c>
      <c r="D2925" s="30">
        <v>5978.5620275185865</v>
      </c>
    </row>
    <row r="2926" spans="2:4">
      <c r="B2926" t="s">
        <v>9374</v>
      </c>
      <c r="C2926" s="46">
        <v>1</v>
      </c>
      <c r="D2926" s="30">
        <v>6472.3547401019623</v>
      </c>
    </row>
    <row r="2927" spans="2:4">
      <c r="B2927" t="s">
        <v>9375</v>
      </c>
      <c r="C2927" s="46">
        <v>1</v>
      </c>
      <c r="D2927" s="30">
        <v>7252.2914899133057</v>
      </c>
    </row>
    <row r="2928" spans="2:4">
      <c r="B2928" t="s">
        <v>9376</v>
      </c>
      <c r="C2928" s="46">
        <v>1</v>
      </c>
      <c r="D2928" s="30">
        <v>7412.7228699718962</v>
      </c>
    </row>
    <row r="2929" spans="2:4">
      <c r="B2929" t="s">
        <v>9377</v>
      </c>
      <c r="C2929" s="46">
        <v>1</v>
      </c>
      <c r="D2929" s="30">
        <v>7118.4547995923504</v>
      </c>
    </row>
    <row r="2930" spans="2:4">
      <c r="B2930" t="s">
        <v>9378</v>
      </c>
      <c r="C2930" s="46">
        <v>1</v>
      </c>
      <c r="D2930" s="30">
        <v>2543.730415956109</v>
      </c>
    </row>
    <row r="2931" spans="2:4">
      <c r="B2931" t="s">
        <v>9379</v>
      </c>
      <c r="C2931" s="46">
        <v>1</v>
      </c>
      <c r="D2931" s="30">
        <v>7179.6973186103123</v>
      </c>
    </row>
    <row r="2932" spans="2:4">
      <c r="B2932" t="s">
        <v>9380</v>
      </c>
      <c r="C2932" s="46">
        <v>1</v>
      </c>
      <c r="D2932" s="30">
        <v>7118.9962294866</v>
      </c>
    </row>
    <row r="2933" spans="2:4">
      <c r="B2933" t="s">
        <v>9381</v>
      </c>
      <c r="C2933" s="46">
        <v>1</v>
      </c>
      <c r="D2933" s="30">
        <v>7006.4369295667157</v>
      </c>
    </row>
    <row r="2934" spans="2:4">
      <c r="B2934" t="s">
        <v>9382</v>
      </c>
      <c r="C2934" s="46">
        <v>1</v>
      </c>
      <c r="D2934" s="30">
        <v>2543.730415956109</v>
      </c>
    </row>
    <row r="2935" spans="2:4">
      <c r="B2935" t="s">
        <v>9383</v>
      </c>
      <c r="C2935" s="46">
        <v>1</v>
      </c>
      <c r="D2935" s="30">
        <v>6757.9525299827556</v>
      </c>
    </row>
    <row r="2936" spans="2:4">
      <c r="B2936" t="s">
        <v>9384</v>
      </c>
      <c r="C2936" s="46">
        <v>1</v>
      </c>
      <c r="D2936" s="30">
        <v>2531.8718971784683</v>
      </c>
    </row>
    <row r="2937" spans="2:4">
      <c r="B2937" t="s">
        <v>9385</v>
      </c>
      <c r="C2937" s="46">
        <v>1</v>
      </c>
      <c r="D2937" s="30">
        <v>28085.11553963249</v>
      </c>
    </row>
    <row r="2938" spans="2:4">
      <c r="B2938" t="s">
        <v>9386</v>
      </c>
      <c r="C2938" s="46">
        <v>1</v>
      </c>
      <c r="D2938" s="30">
        <v>5769.5048659657114</v>
      </c>
    </row>
    <row r="2939" spans="2:4">
      <c r="B2939" t="s">
        <v>9387</v>
      </c>
      <c r="C2939" s="46">
        <v>1</v>
      </c>
      <c r="D2939" s="30">
        <v>2543.730415956109</v>
      </c>
    </row>
    <row r="2940" spans="2:4">
      <c r="B2940" t="s">
        <v>9388</v>
      </c>
      <c r="C2940" s="46">
        <v>1</v>
      </c>
      <c r="D2940" s="30">
        <v>2543.730415956109</v>
      </c>
    </row>
    <row r="2941" spans="2:4">
      <c r="B2941" t="s">
        <v>9389</v>
      </c>
      <c r="C2941" s="46">
        <v>1</v>
      </c>
      <c r="D2941" s="30">
        <v>7442.5572350112479</v>
      </c>
    </row>
    <row r="2942" spans="2:4">
      <c r="B2942" t="s">
        <v>9390</v>
      </c>
      <c r="C2942" s="46">
        <v>1</v>
      </c>
      <c r="D2942" s="30">
        <v>7449.5366617694872</v>
      </c>
    </row>
    <row r="2943" spans="2:4">
      <c r="B2943" t="s">
        <v>9391</v>
      </c>
      <c r="C2943" s="46">
        <v>1</v>
      </c>
      <c r="D2943" s="30">
        <v>99996.310700452232</v>
      </c>
    </row>
    <row r="2944" spans="2:4">
      <c r="B2944" t="s">
        <v>9392</v>
      </c>
      <c r="C2944" s="46">
        <v>1</v>
      </c>
      <c r="D2944" s="30">
        <v>7126.8133192410032</v>
      </c>
    </row>
    <row r="2945" spans="2:4">
      <c r="B2945" t="s">
        <v>9393</v>
      </c>
      <c r="C2945" s="46">
        <v>1</v>
      </c>
      <c r="D2945" s="30">
        <v>2543.730415956109</v>
      </c>
    </row>
    <row r="2946" spans="2:4">
      <c r="B2946" t="s">
        <v>9394</v>
      </c>
      <c r="C2946" s="46">
        <v>1</v>
      </c>
      <c r="D2946" s="30">
        <v>7075.6828694038422</v>
      </c>
    </row>
    <row r="2947" spans="2:4">
      <c r="B2947" t="s">
        <v>9395</v>
      </c>
      <c r="C2947" s="46">
        <v>1</v>
      </c>
      <c r="D2947" s="30">
        <v>2490.3183490381662</v>
      </c>
    </row>
    <row r="2948" spans="2:4">
      <c r="B2948" t="s">
        <v>9396</v>
      </c>
      <c r="C2948" s="46">
        <v>1</v>
      </c>
      <c r="D2948" s="30">
        <v>2543.730415956109</v>
      </c>
    </row>
    <row r="2949" spans="2:4">
      <c r="B2949" t="s">
        <v>9397</v>
      </c>
      <c r="C2949" s="46">
        <v>1</v>
      </c>
      <c r="D2949" s="30">
        <v>5797.5242855156057</v>
      </c>
    </row>
    <row r="2950" spans="2:4">
      <c r="B2950" t="s">
        <v>9398</v>
      </c>
      <c r="C2950" s="46">
        <v>1</v>
      </c>
      <c r="D2950" s="30">
        <v>6767.60388280392</v>
      </c>
    </row>
    <row r="2951" spans="2:4">
      <c r="B2951" t="s">
        <v>9399</v>
      </c>
      <c r="C2951" s="46">
        <v>1</v>
      </c>
      <c r="D2951" s="30">
        <v>6381.4982970792016</v>
      </c>
    </row>
    <row r="2952" spans="2:4">
      <c r="B2952" t="s">
        <v>9400</v>
      </c>
      <c r="C2952" s="46">
        <v>1</v>
      </c>
      <c r="D2952" s="30">
        <v>7212.3162946087359</v>
      </c>
    </row>
    <row r="2953" spans="2:4">
      <c r="B2953" t="s">
        <v>9401</v>
      </c>
      <c r="C2953" s="46">
        <v>1</v>
      </c>
      <c r="D2953" s="30">
        <v>7005.0926564953188</v>
      </c>
    </row>
    <row r="2954" spans="2:4">
      <c r="B2954" t="s">
        <v>9402</v>
      </c>
      <c r="C2954" s="46">
        <v>1</v>
      </c>
      <c r="D2954" s="30">
        <v>7191.0375119026112</v>
      </c>
    </row>
    <row r="2955" spans="2:4">
      <c r="B2955" t="s">
        <v>9403</v>
      </c>
      <c r="C2955" s="46">
        <v>1</v>
      </c>
      <c r="D2955" s="30">
        <v>7448.6930385008163</v>
      </c>
    </row>
    <row r="2956" spans="2:4">
      <c r="B2956" t="s">
        <v>9404</v>
      </c>
      <c r="C2956" s="46">
        <v>1</v>
      </c>
      <c r="D2956" s="30">
        <v>2949.8402122102161</v>
      </c>
    </row>
    <row r="2957" spans="2:4">
      <c r="B2957" t="s">
        <v>9405</v>
      </c>
      <c r="C2957" s="46">
        <v>1</v>
      </c>
      <c r="D2957" s="30">
        <v>2543.730415956109</v>
      </c>
    </row>
    <row r="2958" spans="2:4">
      <c r="B2958" t="s">
        <v>9406</v>
      </c>
      <c r="C2958" s="46">
        <v>1</v>
      </c>
      <c r="D2958" s="30">
        <v>6723.9902895327832</v>
      </c>
    </row>
    <row r="2959" spans="2:4">
      <c r="B2959" t="s">
        <v>9407</v>
      </c>
      <c r="C2959" s="46">
        <v>1</v>
      </c>
      <c r="D2959" s="30">
        <v>7447.6959965006654</v>
      </c>
    </row>
    <row r="2960" spans="2:4">
      <c r="B2960" t="s">
        <v>9408</v>
      </c>
      <c r="C2960" s="46">
        <v>1</v>
      </c>
      <c r="D2960" s="30">
        <v>4448.071847784694</v>
      </c>
    </row>
    <row r="2961" spans="2:4">
      <c r="B2961" t="s">
        <v>9409</v>
      </c>
      <c r="C2961" s="46">
        <v>1</v>
      </c>
      <c r="D2961" s="30">
        <v>2543.730415956109</v>
      </c>
    </row>
    <row r="2962" spans="2:4">
      <c r="B2962" t="s">
        <v>9410</v>
      </c>
      <c r="C2962" s="46">
        <v>1</v>
      </c>
      <c r="D2962" s="30">
        <v>7438.6457645518385</v>
      </c>
    </row>
    <row r="2963" spans="2:4">
      <c r="B2963" t="s">
        <v>9411</v>
      </c>
      <c r="C2963" s="46">
        <v>1</v>
      </c>
      <c r="D2963" s="30">
        <v>4696.7626503681704</v>
      </c>
    </row>
    <row r="2964" spans="2:4">
      <c r="B2964" t="s">
        <v>9412</v>
      </c>
      <c r="C2964" s="46">
        <v>1</v>
      </c>
      <c r="D2964" s="30">
        <v>3686.8427360724304</v>
      </c>
    </row>
    <row r="2965" spans="2:4">
      <c r="B2965" t="s">
        <v>9413</v>
      </c>
      <c r="C2965" s="46">
        <v>1</v>
      </c>
      <c r="D2965" s="30">
        <v>7371.8455627303056</v>
      </c>
    </row>
    <row r="2966" spans="2:4">
      <c r="B2966" t="s">
        <v>9414</v>
      </c>
      <c r="C2966" s="46">
        <v>1</v>
      </c>
      <c r="D2966" s="30">
        <v>7002.3961596943336</v>
      </c>
    </row>
    <row r="2967" spans="2:4">
      <c r="B2967" t="s">
        <v>9415</v>
      </c>
      <c r="C2967" s="46">
        <v>1</v>
      </c>
      <c r="D2967" s="30">
        <v>4282.9576539875052</v>
      </c>
    </row>
    <row r="2968" spans="2:4">
      <c r="B2968" t="s">
        <v>9416</v>
      </c>
      <c r="C2968" s="46">
        <v>1</v>
      </c>
      <c r="D2968" s="30">
        <v>7135.7452551926481</v>
      </c>
    </row>
    <row r="2969" spans="2:4">
      <c r="B2969" t="s">
        <v>9417</v>
      </c>
      <c r="C2969" s="46">
        <v>1</v>
      </c>
      <c r="D2969" s="30">
        <v>6518.0118467574575</v>
      </c>
    </row>
    <row r="2970" spans="2:4">
      <c r="B2970" t="s">
        <v>9418</v>
      </c>
      <c r="C2970" s="46">
        <v>1</v>
      </c>
      <c r="D2970" s="30">
        <v>6731.8786950894573</v>
      </c>
    </row>
    <row r="2971" spans="2:4">
      <c r="B2971" t="s">
        <v>9419</v>
      </c>
      <c r="C2971" s="46">
        <v>1</v>
      </c>
      <c r="D2971" s="30">
        <v>6126.4668181853631</v>
      </c>
    </row>
    <row r="2972" spans="2:4">
      <c r="B2972" t="s">
        <v>9420</v>
      </c>
      <c r="C2972" s="46">
        <v>1</v>
      </c>
      <c r="D2972" s="30">
        <v>6571.469827463432</v>
      </c>
    </row>
    <row r="2973" spans="2:4">
      <c r="B2973" t="s">
        <v>9421</v>
      </c>
      <c r="C2973" s="46">
        <v>1</v>
      </c>
      <c r="D2973" s="30">
        <v>6702.7612709532114</v>
      </c>
    </row>
    <row r="2974" spans="2:4">
      <c r="B2974" t="s">
        <v>9422</v>
      </c>
      <c r="C2974" s="46">
        <v>1</v>
      </c>
      <c r="D2974" s="30">
        <v>6744.8504612526376</v>
      </c>
    </row>
    <row r="2975" spans="2:4">
      <c r="B2975" t="s">
        <v>9423</v>
      </c>
      <c r="C2975" s="46">
        <v>1</v>
      </c>
      <c r="D2975" s="30">
        <v>7428.8344175429902</v>
      </c>
    </row>
    <row r="2976" spans="2:4">
      <c r="B2976" t="s">
        <v>9424</v>
      </c>
      <c r="C2976" s="46">
        <v>1</v>
      </c>
      <c r="D2976" s="30">
        <v>6758.4189882519513</v>
      </c>
    </row>
    <row r="2977" spans="2:4">
      <c r="B2977" t="s">
        <v>9425</v>
      </c>
      <c r="C2977" s="46">
        <v>1</v>
      </c>
      <c r="D2977" s="30">
        <v>7216.6149474747017</v>
      </c>
    </row>
    <row r="2978" spans="2:4">
      <c r="B2978" t="s">
        <v>9426</v>
      </c>
      <c r="C2978" s="46">
        <v>1</v>
      </c>
      <c r="D2978" s="30">
        <v>3111.5338100174381</v>
      </c>
    </row>
    <row r="2979" spans="2:4">
      <c r="B2979" t="s">
        <v>9427</v>
      </c>
      <c r="C2979" s="46">
        <v>1</v>
      </c>
      <c r="D2979" s="30">
        <v>7449.3837760425749</v>
      </c>
    </row>
    <row r="2980" spans="2:4">
      <c r="B2980" t="s">
        <v>9428</v>
      </c>
      <c r="C2980" s="46">
        <v>1</v>
      </c>
      <c r="D2980" s="30">
        <v>6976.6969630852573</v>
      </c>
    </row>
    <row r="2981" spans="2:4">
      <c r="B2981" t="s">
        <v>9429</v>
      </c>
      <c r="C2981" s="46">
        <v>1</v>
      </c>
      <c r="D2981" s="30">
        <v>6814.3311756437724</v>
      </c>
    </row>
    <row r="2982" spans="2:4">
      <c r="B2982" t="s">
        <v>9430</v>
      </c>
      <c r="C2982" s="46">
        <v>1</v>
      </c>
      <c r="D2982" s="30">
        <v>7432.7404618696837</v>
      </c>
    </row>
    <row r="2983" spans="2:4">
      <c r="B2983" t="s">
        <v>9431</v>
      </c>
      <c r="C2983" s="46">
        <v>1</v>
      </c>
      <c r="D2983" s="30">
        <v>2846.9779825013461</v>
      </c>
    </row>
    <row r="2984" spans="2:4">
      <c r="B2984" t="s">
        <v>9432</v>
      </c>
      <c r="C2984" s="46">
        <v>1</v>
      </c>
      <c r="D2984" s="30">
        <v>2543.730415956109</v>
      </c>
    </row>
    <row r="2985" spans="2:4">
      <c r="B2985" t="s">
        <v>9433</v>
      </c>
      <c r="C2985" s="46">
        <v>1</v>
      </c>
      <c r="D2985" s="30">
        <v>7125.2594815723432</v>
      </c>
    </row>
    <row r="2986" spans="2:4">
      <c r="B2986" t="s">
        <v>9434</v>
      </c>
      <c r="C2986" s="46">
        <v>1</v>
      </c>
      <c r="D2986" s="30">
        <v>2444.4469120613371</v>
      </c>
    </row>
    <row r="2987" spans="2:4">
      <c r="B2987" t="s">
        <v>9435</v>
      </c>
      <c r="C2987" s="46">
        <v>1</v>
      </c>
      <c r="D2987" s="30">
        <v>2435.183225651771</v>
      </c>
    </row>
    <row r="2988" spans="2:4">
      <c r="B2988" t="s">
        <v>9436</v>
      </c>
      <c r="C2988" s="46">
        <v>1</v>
      </c>
      <c r="D2988" s="30">
        <v>3238.7544032553287</v>
      </c>
    </row>
    <row r="2989" spans="2:4">
      <c r="B2989" t="s">
        <v>9437</v>
      </c>
      <c r="C2989" s="46">
        <v>1</v>
      </c>
      <c r="D2989" s="30">
        <v>6497.9976730595508</v>
      </c>
    </row>
    <row r="2990" spans="2:4">
      <c r="B2990" t="s">
        <v>9438</v>
      </c>
      <c r="C2990" s="46">
        <v>1</v>
      </c>
      <c r="D2990" s="30">
        <v>2543.730415956109</v>
      </c>
    </row>
    <row r="2991" spans="2:4">
      <c r="B2991" t="s">
        <v>9439</v>
      </c>
      <c r="C2991" s="46">
        <v>1</v>
      </c>
      <c r="D2991" s="30">
        <v>5465.88213624727</v>
      </c>
    </row>
    <row r="2992" spans="2:4">
      <c r="B2992" t="s">
        <v>9440</v>
      </c>
      <c r="C2992" s="46">
        <v>1</v>
      </c>
      <c r="D2992" s="30">
        <v>7109.7466414440942</v>
      </c>
    </row>
    <row r="2993" spans="2:4">
      <c r="B2993" t="s">
        <v>9441</v>
      </c>
      <c r="C2993" s="46">
        <v>1</v>
      </c>
      <c r="D2993" s="30">
        <v>6449.159430190989</v>
      </c>
    </row>
    <row r="2994" spans="2:4">
      <c r="B2994" t="s">
        <v>9442</v>
      </c>
      <c r="C2994" s="46">
        <v>1</v>
      </c>
      <c r="D2994" s="30">
        <v>6280.2923481477874</v>
      </c>
    </row>
    <row r="2995" spans="2:4">
      <c r="B2995" t="s">
        <v>9443</v>
      </c>
      <c r="C2995" s="46">
        <v>1</v>
      </c>
      <c r="D2995" s="30">
        <v>6280.2923481477874</v>
      </c>
    </row>
    <row r="2996" spans="2:4">
      <c r="B2996" t="s">
        <v>9444</v>
      </c>
      <c r="C2996" s="46">
        <v>1</v>
      </c>
      <c r="D2996" s="30">
        <v>6280.2923481477874</v>
      </c>
    </row>
    <row r="2997" spans="2:4">
      <c r="B2997" t="s">
        <v>9445</v>
      </c>
      <c r="C2997" s="46">
        <v>1</v>
      </c>
      <c r="D2997" s="30">
        <v>6280.2923481477874</v>
      </c>
    </row>
    <row r="2998" spans="2:4">
      <c r="B2998" t="s">
        <v>9446</v>
      </c>
      <c r="C2998" s="46">
        <v>1</v>
      </c>
      <c r="D2998" s="30">
        <v>7181.118378230035</v>
      </c>
    </row>
    <row r="2999" spans="2:4">
      <c r="B2999" t="s">
        <v>9447</v>
      </c>
      <c r="C2999" s="46">
        <v>1</v>
      </c>
      <c r="D2999" s="30">
        <v>2543.730415956109</v>
      </c>
    </row>
    <row r="3000" spans="2:4">
      <c r="B3000" t="s">
        <v>9448</v>
      </c>
      <c r="C3000" s="46">
        <v>1</v>
      </c>
      <c r="D3000" s="30">
        <v>7258.272784056815</v>
      </c>
    </row>
    <row r="3001" spans="2:4">
      <c r="B3001" t="s">
        <v>9449</v>
      </c>
      <c r="C3001" s="46">
        <v>1</v>
      </c>
      <c r="D3001" s="30">
        <v>7283.1951742172878</v>
      </c>
    </row>
    <row r="3002" spans="2:4">
      <c r="B3002" t="s">
        <v>9450</v>
      </c>
      <c r="C3002" s="46">
        <v>1</v>
      </c>
      <c r="D3002" s="30">
        <v>3238.7544032553287</v>
      </c>
    </row>
    <row r="3003" spans="2:4">
      <c r="B3003" t="s">
        <v>9451</v>
      </c>
      <c r="C3003" s="46">
        <v>1</v>
      </c>
      <c r="D3003" s="30">
        <v>7402.2068844358209</v>
      </c>
    </row>
    <row r="3004" spans="2:4">
      <c r="B3004" t="s">
        <v>9452</v>
      </c>
      <c r="C3004" s="46">
        <v>1</v>
      </c>
      <c r="D3004" s="30">
        <v>7260.3272509334802</v>
      </c>
    </row>
    <row r="3005" spans="2:4">
      <c r="B3005" t="s">
        <v>9453</v>
      </c>
      <c r="C3005" s="46">
        <v>1</v>
      </c>
      <c r="D3005" s="30">
        <v>6211.1183015783754</v>
      </c>
    </row>
    <row r="3006" spans="2:4">
      <c r="B3006" t="s">
        <v>9454</v>
      </c>
      <c r="C3006" s="46">
        <v>1</v>
      </c>
      <c r="D3006" s="30">
        <v>7102.1290961070845</v>
      </c>
    </row>
    <row r="3007" spans="2:4">
      <c r="B3007" t="s">
        <v>9455</v>
      </c>
      <c r="C3007" s="46">
        <v>1</v>
      </c>
      <c r="D3007" s="30">
        <v>6039.353058560192</v>
      </c>
    </row>
    <row r="3008" spans="2:4">
      <c r="B3008" t="s">
        <v>9456</v>
      </c>
      <c r="C3008" s="46">
        <v>1</v>
      </c>
      <c r="D3008" s="30">
        <v>7151.6474832602198</v>
      </c>
    </row>
    <row r="3009" spans="2:4">
      <c r="B3009" t="s">
        <v>9457</v>
      </c>
      <c r="C3009" s="46">
        <v>1</v>
      </c>
      <c r="D3009" s="30">
        <v>7364.9443065279029</v>
      </c>
    </row>
    <row r="3010" spans="2:4">
      <c r="B3010" t="s">
        <v>9458</v>
      </c>
      <c r="C3010" s="46">
        <v>1</v>
      </c>
      <c r="D3010" s="30">
        <v>28085.11553963249</v>
      </c>
    </row>
    <row r="3011" spans="2:4">
      <c r="B3011" t="s">
        <v>9459</v>
      </c>
      <c r="C3011" s="46">
        <v>1</v>
      </c>
      <c r="D3011" s="30">
        <v>2543.730415956109</v>
      </c>
    </row>
    <row r="3012" spans="2:4">
      <c r="B3012" t="s">
        <v>9460</v>
      </c>
      <c r="C3012" s="46">
        <v>1</v>
      </c>
      <c r="D3012" s="30">
        <v>5401.9822074779067</v>
      </c>
    </row>
    <row r="3013" spans="2:4">
      <c r="B3013" t="s">
        <v>9461</v>
      </c>
      <c r="C3013" s="46">
        <v>1</v>
      </c>
      <c r="D3013" s="30">
        <v>6822.2203174155738</v>
      </c>
    </row>
    <row r="3014" spans="2:4">
      <c r="B3014" t="s">
        <v>9462</v>
      </c>
      <c r="C3014" s="46">
        <v>1</v>
      </c>
      <c r="D3014" s="30">
        <v>11649.980863842131</v>
      </c>
    </row>
    <row r="3015" spans="2:4">
      <c r="B3015" t="s">
        <v>9463</v>
      </c>
      <c r="C3015" s="46">
        <v>1</v>
      </c>
      <c r="D3015" s="30">
        <v>6855.6103761913382</v>
      </c>
    </row>
    <row r="3016" spans="2:4">
      <c r="B3016" t="s">
        <v>9464</v>
      </c>
      <c r="C3016" s="46">
        <v>1</v>
      </c>
      <c r="D3016" s="30">
        <v>2543.730415956109</v>
      </c>
    </row>
    <row r="3017" spans="2:4">
      <c r="B3017" t="s">
        <v>9465</v>
      </c>
      <c r="C3017" s="46">
        <v>1</v>
      </c>
      <c r="D3017" s="30">
        <v>7344.008020309454</v>
      </c>
    </row>
    <row r="3018" spans="2:4">
      <c r="B3018" t="s">
        <v>9466</v>
      </c>
      <c r="C3018" s="46">
        <v>1</v>
      </c>
      <c r="D3018" s="30">
        <v>3238.7544032553287</v>
      </c>
    </row>
    <row r="3019" spans="2:4">
      <c r="B3019" t="s">
        <v>9467</v>
      </c>
      <c r="C3019" s="46">
        <v>1</v>
      </c>
      <c r="D3019" s="30">
        <v>5941.9858530724796</v>
      </c>
    </row>
    <row r="3020" spans="2:4">
      <c r="B3020" t="s">
        <v>9468</v>
      </c>
      <c r="C3020" s="46">
        <v>1</v>
      </c>
      <c r="D3020" s="30">
        <v>7419.7020577401745</v>
      </c>
    </row>
    <row r="3021" spans="2:4">
      <c r="B3021" t="s">
        <v>9469</v>
      </c>
      <c r="C3021" s="46">
        <v>1</v>
      </c>
      <c r="D3021" s="30">
        <v>173162.01765796318</v>
      </c>
    </row>
    <row r="3022" spans="2:4">
      <c r="B3022" t="s">
        <v>9470</v>
      </c>
      <c r="C3022" s="46">
        <v>1</v>
      </c>
      <c r="D3022" s="30">
        <v>7408.8119804102953</v>
      </c>
    </row>
    <row r="3023" spans="2:4">
      <c r="B3023" t="s">
        <v>9471</v>
      </c>
      <c r="C3023" s="46">
        <v>1</v>
      </c>
      <c r="D3023" s="30">
        <v>7426.7582982350959</v>
      </c>
    </row>
    <row r="3024" spans="2:4">
      <c r="B3024" t="s">
        <v>9472</v>
      </c>
      <c r="C3024" s="46">
        <v>1</v>
      </c>
      <c r="D3024" s="30">
        <v>7449.5366617694872</v>
      </c>
    </row>
    <row r="3025" spans="2:4">
      <c r="B3025" t="s">
        <v>9473</v>
      </c>
      <c r="C3025" s="46">
        <v>1</v>
      </c>
      <c r="D3025" s="30">
        <v>7438.6457645518385</v>
      </c>
    </row>
    <row r="3026" spans="2:4">
      <c r="B3026" t="s">
        <v>9474</v>
      </c>
      <c r="C3026" s="46">
        <v>1</v>
      </c>
      <c r="D3026" s="30">
        <v>7413.6949080810091</v>
      </c>
    </row>
    <row r="3027" spans="2:4">
      <c r="B3027" t="s">
        <v>9475</v>
      </c>
      <c r="C3027" s="46">
        <v>1</v>
      </c>
      <c r="D3027" s="30">
        <v>2543.730415956109</v>
      </c>
    </row>
    <row r="3028" spans="2:4">
      <c r="B3028" t="s">
        <v>9476</v>
      </c>
      <c r="C3028" s="46">
        <v>1</v>
      </c>
      <c r="D3028" s="30">
        <v>6835.5138276132038</v>
      </c>
    </row>
    <row r="3029" spans="2:4">
      <c r="B3029" t="s">
        <v>9477</v>
      </c>
      <c r="C3029" s="46">
        <v>1</v>
      </c>
      <c r="D3029" s="30">
        <v>6995.4727408012195</v>
      </c>
    </row>
    <row r="3030" spans="2:4">
      <c r="B3030" t="s">
        <v>9478</v>
      </c>
      <c r="C3030" s="46">
        <v>1</v>
      </c>
      <c r="D3030" s="30">
        <v>3116.8079493854602</v>
      </c>
    </row>
    <row r="3031" spans="2:4">
      <c r="B3031" t="s">
        <v>9479</v>
      </c>
      <c r="C3031" s="46">
        <v>1</v>
      </c>
      <c r="D3031" s="30">
        <v>7371.9231491441342</v>
      </c>
    </row>
    <row r="3032" spans="2:4">
      <c r="B3032" t="s">
        <v>9480</v>
      </c>
      <c r="C3032" s="46">
        <v>1</v>
      </c>
      <c r="D3032" s="30">
        <v>465.5567353021454</v>
      </c>
    </row>
    <row r="3033" spans="2:4">
      <c r="B3033" t="s">
        <v>9481</v>
      </c>
      <c r="C3033" s="46">
        <v>1</v>
      </c>
      <c r="D3033" s="30">
        <v>3238.7544032553287</v>
      </c>
    </row>
    <row r="3034" spans="2:4">
      <c r="B3034" t="s">
        <v>9482</v>
      </c>
      <c r="C3034" s="46">
        <v>1</v>
      </c>
      <c r="D3034" s="30">
        <v>2543.730415956109</v>
      </c>
    </row>
    <row r="3035" spans="2:4">
      <c r="B3035" t="s">
        <v>9483</v>
      </c>
      <c r="C3035" s="46">
        <v>1</v>
      </c>
      <c r="D3035" s="30">
        <v>3721.0318617509515</v>
      </c>
    </row>
    <row r="3036" spans="2:4">
      <c r="B3036" t="s">
        <v>9484</v>
      </c>
      <c r="C3036" s="46">
        <v>1</v>
      </c>
      <c r="D3036" s="30">
        <v>1877.5556267378226</v>
      </c>
    </row>
    <row r="3037" spans="2:4">
      <c r="B3037" t="s">
        <v>9485</v>
      </c>
      <c r="C3037" s="46">
        <v>1</v>
      </c>
      <c r="D3037" s="30">
        <v>5412.8605995349681</v>
      </c>
    </row>
    <row r="3038" spans="2:4">
      <c r="B3038" t="s">
        <v>9486</v>
      </c>
      <c r="C3038" s="46">
        <v>1</v>
      </c>
      <c r="D3038" s="30">
        <v>5397.1916852480745</v>
      </c>
    </row>
    <row r="3039" spans="2:4">
      <c r="B3039" t="s">
        <v>9487</v>
      </c>
      <c r="C3039" s="46">
        <v>1</v>
      </c>
      <c r="D3039" s="30">
        <v>5981.0290481695247</v>
      </c>
    </row>
    <row r="3040" spans="2:4">
      <c r="B3040" t="s">
        <v>9488</v>
      </c>
      <c r="C3040" s="46">
        <v>1</v>
      </c>
      <c r="D3040" s="30">
        <v>6681.282722951536</v>
      </c>
    </row>
    <row r="3041" spans="2:4">
      <c r="B3041" t="s">
        <v>9489</v>
      </c>
      <c r="C3041" s="46">
        <v>1</v>
      </c>
      <c r="D3041" s="30">
        <v>5821.0944916741355</v>
      </c>
    </row>
    <row r="3042" spans="2:4">
      <c r="B3042" t="s">
        <v>9490</v>
      </c>
      <c r="C3042" s="46">
        <v>1</v>
      </c>
      <c r="D3042" s="30">
        <v>7448.6930385008163</v>
      </c>
    </row>
    <row r="3043" spans="2:4">
      <c r="B3043" t="s">
        <v>9491</v>
      </c>
      <c r="C3043" s="46">
        <v>1</v>
      </c>
      <c r="D3043" s="30">
        <v>7444.7048752611126</v>
      </c>
    </row>
    <row r="3044" spans="2:4">
      <c r="B3044" t="s">
        <v>9492</v>
      </c>
      <c r="C3044" s="46">
        <v>1</v>
      </c>
      <c r="D3044" s="30">
        <v>7318.0874098967261</v>
      </c>
    </row>
    <row r="3045" spans="2:4">
      <c r="B3045" t="s">
        <v>9493</v>
      </c>
      <c r="C3045" s="46">
        <v>1</v>
      </c>
      <c r="D3045" s="30">
        <v>5526.8247329130045</v>
      </c>
    </row>
    <row r="3046" spans="2:4">
      <c r="B3046" t="s">
        <v>9494</v>
      </c>
      <c r="C3046" s="46">
        <v>1</v>
      </c>
      <c r="D3046" s="30">
        <v>7024.0292789065061</v>
      </c>
    </row>
    <row r="3047" spans="2:4">
      <c r="B3047" t="s">
        <v>9495</v>
      </c>
      <c r="C3047" s="46">
        <v>1</v>
      </c>
      <c r="D3047" s="30">
        <v>5154.2443064380359</v>
      </c>
    </row>
    <row r="3048" spans="2:4">
      <c r="B3048" t="s">
        <v>9496</v>
      </c>
      <c r="C3048" s="46">
        <v>1</v>
      </c>
      <c r="D3048" s="30">
        <v>2521.6057123677065</v>
      </c>
    </row>
    <row r="3049" spans="2:4">
      <c r="B3049" t="s">
        <v>9497</v>
      </c>
      <c r="C3049" s="46">
        <v>1</v>
      </c>
      <c r="D3049" s="30">
        <v>6627.6765939588422</v>
      </c>
    </row>
    <row r="3050" spans="2:4">
      <c r="B3050" t="s">
        <v>9498</v>
      </c>
      <c r="C3050" s="46">
        <v>1</v>
      </c>
      <c r="D3050" s="30">
        <v>5889.1063947588655</v>
      </c>
    </row>
    <row r="3051" spans="2:4">
      <c r="B3051" t="s">
        <v>9499</v>
      </c>
      <c r="C3051" s="46">
        <v>1</v>
      </c>
      <c r="D3051" s="30">
        <v>3884.3728842739592</v>
      </c>
    </row>
    <row r="3052" spans="2:4">
      <c r="B3052" t="s">
        <v>9500</v>
      </c>
      <c r="C3052" s="46">
        <v>1</v>
      </c>
      <c r="D3052" s="30">
        <v>7313.0245312836105</v>
      </c>
    </row>
    <row r="3053" spans="2:4">
      <c r="B3053" t="s">
        <v>9501</v>
      </c>
      <c r="C3053" s="46">
        <v>1</v>
      </c>
      <c r="D3053" s="30">
        <v>4241.9247012612404</v>
      </c>
    </row>
    <row r="3054" spans="2:4">
      <c r="B3054" t="s">
        <v>9502</v>
      </c>
      <c r="C3054" s="46">
        <v>1</v>
      </c>
      <c r="D3054" s="30">
        <v>481.66528720460849</v>
      </c>
    </row>
    <row r="3055" spans="2:4">
      <c r="B3055" t="s">
        <v>9503</v>
      </c>
      <c r="C3055" s="46">
        <v>1</v>
      </c>
      <c r="D3055" s="30">
        <v>5449.5003554712421</v>
      </c>
    </row>
    <row r="3056" spans="2:4">
      <c r="B3056" t="s">
        <v>9504</v>
      </c>
      <c r="C3056" s="46">
        <v>1</v>
      </c>
      <c r="D3056" s="30">
        <v>7435.8788994953511</v>
      </c>
    </row>
    <row r="3057" spans="2:4">
      <c r="B3057" t="s">
        <v>9505</v>
      </c>
      <c r="C3057" s="46">
        <v>1</v>
      </c>
      <c r="D3057" s="30">
        <v>931.15261763038302</v>
      </c>
    </row>
    <row r="3058" spans="2:4">
      <c r="B3058" t="s">
        <v>9506</v>
      </c>
      <c r="C3058" s="46">
        <v>1</v>
      </c>
      <c r="D3058" s="30">
        <v>1796.5607931109168</v>
      </c>
    </row>
    <row r="3059" spans="2:4">
      <c r="B3059" t="s">
        <v>9507</v>
      </c>
      <c r="C3059" s="46">
        <v>1</v>
      </c>
      <c r="D3059" s="30">
        <v>2726.6120510022506</v>
      </c>
    </row>
    <row r="3060" spans="2:4">
      <c r="B3060" t="s">
        <v>9508</v>
      </c>
      <c r="C3060" s="46">
        <v>1</v>
      </c>
      <c r="D3060" s="30">
        <v>6219.4268588435725</v>
      </c>
    </row>
    <row r="3061" spans="2:4">
      <c r="B3061" t="s">
        <v>9509</v>
      </c>
      <c r="C3061" s="46">
        <v>1</v>
      </c>
      <c r="D3061" s="30">
        <v>6516.1245863421045</v>
      </c>
    </row>
    <row r="3062" spans="2:4">
      <c r="B3062" t="s">
        <v>9510</v>
      </c>
      <c r="C3062" s="46">
        <v>1</v>
      </c>
      <c r="D3062" s="30">
        <v>99996.310700452232</v>
      </c>
    </row>
    <row r="3063" spans="2:4">
      <c r="B3063" t="s">
        <v>9511</v>
      </c>
      <c r="C3063" s="46">
        <v>1</v>
      </c>
      <c r="D3063" s="30">
        <v>7415.791073088596</v>
      </c>
    </row>
    <row r="3064" spans="2:4">
      <c r="B3064" t="s">
        <v>9512</v>
      </c>
      <c r="C3064" s="46">
        <v>1</v>
      </c>
      <c r="D3064" s="30">
        <v>6112.7803219932957</v>
      </c>
    </row>
    <row r="3065" spans="2:4">
      <c r="B3065" t="s">
        <v>9513</v>
      </c>
      <c r="C3065" s="46">
        <v>1</v>
      </c>
      <c r="D3065" s="30">
        <v>6694.9323658326011</v>
      </c>
    </row>
    <row r="3066" spans="2:4">
      <c r="B3066" t="s">
        <v>9514</v>
      </c>
      <c r="C3066" s="46">
        <v>1</v>
      </c>
      <c r="D3066" s="30">
        <v>7370.8485722627629</v>
      </c>
    </row>
    <row r="3067" spans="2:4">
      <c r="B3067" t="s">
        <v>9515</v>
      </c>
      <c r="C3067" s="46">
        <v>1</v>
      </c>
      <c r="D3067" s="30">
        <v>7238.9384610055431</v>
      </c>
    </row>
    <row r="3068" spans="2:4">
      <c r="B3068" t="s">
        <v>9516</v>
      </c>
      <c r="C3068" s="46">
        <v>1</v>
      </c>
      <c r="D3068" s="30">
        <v>7435.5011937090167</v>
      </c>
    </row>
    <row r="3069" spans="2:4">
      <c r="B3069" t="s">
        <v>9517</v>
      </c>
      <c r="C3069" s="46">
        <v>1</v>
      </c>
      <c r="D3069" s="30">
        <v>7435.5011937090167</v>
      </c>
    </row>
    <row r="3070" spans="2:4">
      <c r="B3070" t="s">
        <v>9518</v>
      </c>
      <c r="C3070" s="46">
        <v>1</v>
      </c>
      <c r="D3070" s="30">
        <v>6806.4424395820333</v>
      </c>
    </row>
    <row r="3071" spans="2:4">
      <c r="B3071" t="s">
        <v>9519</v>
      </c>
      <c r="C3071" s="46">
        <v>1</v>
      </c>
      <c r="D3071" s="30">
        <v>5465.88213624727</v>
      </c>
    </row>
    <row r="3072" spans="2:4">
      <c r="B3072" t="s">
        <v>9520</v>
      </c>
      <c r="C3072" s="46">
        <v>1</v>
      </c>
      <c r="D3072" s="30">
        <v>1269.7416917531623</v>
      </c>
    </row>
    <row r="3073" spans="2:4">
      <c r="B3073" t="s">
        <v>9521</v>
      </c>
      <c r="C3073" s="46">
        <v>1</v>
      </c>
      <c r="D3073" s="30">
        <v>7364.9443065279029</v>
      </c>
    </row>
    <row r="3074" spans="2:4">
      <c r="B3074" t="s">
        <v>9522</v>
      </c>
      <c r="C3074" s="46">
        <v>1</v>
      </c>
      <c r="D3074" s="30">
        <v>7231.1406096497994</v>
      </c>
    </row>
    <row r="3075" spans="2:4">
      <c r="B3075" t="s">
        <v>9523</v>
      </c>
      <c r="C3075" s="46">
        <v>1</v>
      </c>
      <c r="D3075" s="30">
        <v>486.47176024377075</v>
      </c>
    </row>
    <row r="3076" spans="2:4">
      <c r="B3076" t="s">
        <v>9524</v>
      </c>
      <c r="C3076" s="46">
        <v>1</v>
      </c>
      <c r="D3076" s="30">
        <v>6822.137358864682</v>
      </c>
    </row>
    <row r="3077" spans="2:4">
      <c r="B3077" t="s">
        <v>9525</v>
      </c>
      <c r="C3077" s="46">
        <v>1</v>
      </c>
      <c r="D3077" s="30">
        <v>6124.0101067062624</v>
      </c>
    </row>
    <row r="3078" spans="2:4">
      <c r="B3078" t="s">
        <v>9526</v>
      </c>
      <c r="C3078" s="46">
        <v>1</v>
      </c>
      <c r="D3078" s="30">
        <v>4114.1833835258576</v>
      </c>
    </row>
    <row r="3079" spans="2:4">
      <c r="B3079" t="s">
        <v>9527</v>
      </c>
      <c r="C3079" s="46">
        <v>1</v>
      </c>
      <c r="D3079" s="30">
        <v>7191.0765013812525</v>
      </c>
    </row>
    <row r="3080" spans="2:4">
      <c r="B3080" t="s">
        <v>9528</v>
      </c>
      <c r="C3080" s="46">
        <v>1</v>
      </c>
      <c r="D3080" s="30">
        <v>48647.486618122828</v>
      </c>
    </row>
    <row r="3081" spans="2:4">
      <c r="B3081" t="s">
        <v>9529</v>
      </c>
      <c r="C3081" s="46">
        <v>1</v>
      </c>
      <c r="D3081" s="30">
        <v>91299.45957296979</v>
      </c>
    </row>
    <row r="3082" spans="2:4">
      <c r="B3082" t="s">
        <v>9530</v>
      </c>
      <c r="C3082" s="46">
        <v>1</v>
      </c>
      <c r="D3082" s="30">
        <v>91299.45957296979</v>
      </c>
    </row>
    <row r="3083" spans="2:4">
      <c r="B3083" t="s">
        <v>9531</v>
      </c>
      <c r="C3083" s="46">
        <v>1</v>
      </c>
      <c r="D3083" s="30">
        <v>91299.45957296979</v>
      </c>
    </row>
    <row r="3084" spans="2:4">
      <c r="B3084" t="s">
        <v>9532</v>
      </c>
      <c r="C3084" s="46">
        <v>1</v>
      </c>
      <c r="D3084" s="30">
        <v>11649.980863842131</v>
      </c>
    </row>
    <row r="3085" spans="2:4">
      <c r="B3085" t="s">
        <v>9533</v>
      </c>
      <c r="C3085" s="46">
        <v>1</v>
      </c>
      <c r="D3085" s="30">
        <v>5985.7168706940756</v>
      </c>
    </row>
    <row r="3086" spans="2:4">
      <c r="B3086" t="s">
        <v>9534</v>
      </c>
      <c r="C3086" s="46">
        <v>1</v>
      </c>
      <c r="D3086" s="30">
        <v>5966.2956630163972</v>
      </c>
    </row>
    <row r="3087" spans="2:4">
      <c r="B3087" t="s">
        <v>9535</v>
      </c>
      <c r="C3087" s="46">
        <v>1</v>
      </c>
      <c r="D3087" s="30">
        <v>6390.220779323764</v>
      </c>
    </row>
    <row r="3088" spans="2:4">
      <c r="B3088" t="s">
        <v>9536</v>
      </c>
      <c r="C3088" s="46">
        <v>1</v>
      </c>
      <c r="D3088" s="30">
        <v>5549.4621982364561</v>
      </c>
    </row>
    <row r="3089" spans="2:4">
      <c r="B3089" t="s">
        <v>9537</v>
      </c>
      <c r="C3089" s="46">
        <v>1</v>
      </c>
      <c r="D3089" s="30">
        <v>7439.4894518187302</v>
      </c>
    </row>
    <row r="3090" spans="2:4">
      <c r="B3090" t="s">
        <v>9538</v>
      </c>
      <c r="C3090" s="46">
        <v>1</v>
      </c>
      <c r="D3090" s="30">
        <v>3970.9888160862724</v>
      </c>
    </row>
    <row r="3091" spans="2:4">
      <c r="B3091" t="s">
        <v>9539</v>
      </c>
      <c r="C3091" s="46">
        <v>1</v>
      </c>
      <c r="D3091" s="30">
        <v>7413.5660002620561</v>
      </c>
    </row>
    <row r="3092" spans="2:4">
      <c r="B3092" t="s">
        <v>9540</v>
      </c>
      <c r="C3092" s="46">
        <v>1</v>
      </c>
      <c r="D3092" s="30">
        <v>3497.7861121069891</v>
      </c>
    </row>
    <row r="3093" spans="2:4">
      <c r="B3093" t="s">
        <v>9541</v>
      </c>
      <c r="C3093" s="46">
        <v>1</v>
      </c>
      <c r="D3093" s="30">
        <v>7408.8119804102953</v>
      </c>
    </row>
    <row r="3094" spans="2:4">
      <c r="B3094" t="s">
        <v>9542</v>
      </c>
      <c r="C3094" s="46">
        <v>1</v>
      </c>
      <c r="D3094" s="30">
        <v>3301.3122297167497</v>
      </c>
    </row>
    <row r="3095" spans="2:4">
      <c r="B3095" t="s">
        <v>9543</v>
      </c>
      <c r="C3095" s="46">
        <v>1</v>
      </c>
      <c r="D3095" s="30">
        <v>7404.4865392323763</v>
      </c>
    </row>
    <row r="3096" spans="2:4">
      <c r="B3096" t="s">
        <v>9544</v>
      </c>
      <c r="C3096" s="46">
        <v>1</v>
      </c>
      <c r="D3096" s="30">
        <v>5449.5003554712421</v>
      </c>
    </row>
    <row r="3097" spans="2:4">
      <c r="B3097" t="s">
        <v>9545</v>
      </c>
      <c r="C3097" s="46">
        <v>1</v>
      </c>
      <c r="D3097" s="30">
        <v>2976.5698531897033</v>
      </c>
    </row>
    <row r="3098" spans="2:4">
      <c r="B3098" t="s">
        <v>9546</v>
      </c>
      <c r="C3098" s="46">
        <v>1</v>
      </c>
      <c r="D3098" s="30">
        <v>2104.5348375880958</v>
      </c>
    </row>
    <row r="3099" spans="2:4">
      <c r="B3099" t="s">
        <v>9547</v>
      </c>
      <c r="C3099" s="46">
        <v>1</v>
      </c>
      <c r="D3099" s="30">
        <v>2464.0821057404519</v>
      </c>
    </row>
    <row r="3100" spans="2:4">
      <c r="B3100" t="s">
        <v>9548</v>
      </c>
      <c r="C3100" s="46">
        <v>1</v>
      </c>
      <c r="D3100" s="30">
        <v>5373.6359968568595</v>
      </c>
    </row>
    <row r="3101" spans="2:4">
      <c r="B3101" t="s">
        <v>9549</v>
      </c>
      <c r="C3101" s="46">
        <v>1</v>
      </c>
      <c r="D3101" s="30">
        <v>6902.616805371169</v>
      </c>
    </row>
    <row r="3102" spans="2:4">
      <c r="B3102" t="s">
        <v>9550</v>
      </c>
      <c r="C3102" s="46">
        <v>1</v>
      </c>
      <c r="D3102" s="30">
        <v>1872.4103125555164</v>
      </c>
    </row>
    <row r="3103" spans="2:4">
      <c r="B3103" t="s">
        <v>9551</v>
      </c>
      <c r="C3103" s="46">
        <v>1</v>
      </c>
      <c r="D3103" s="30">
        <v>7015.6497294323808</v>
      </c>
    </row>
    <row r="3104" spans="2:4">
      <c r="B3104" t="s">
        <v>9552</v>
      </c>
      <c r="C3104" s="46">
        <v>1</v>
      </c>
      <c r="D3104" s="30">
        <v>7297.6031281191626</v>
      </c>
    </row>
    <row r="3105" spans="2:4">
      <c r="B3105" t="s">
        <v>9553</v>
      </c>
      <c r="C3105" s="46">
        <v>1</v>
      </c>
      <c r="D3105" s="30">
        <v>7364.9443065279029</v>
      </c>
    </row>
    <row r="3106" spans="2:4">
      <c r="B3106" t="s">
        <v>9554</v>
      </c>
      <c r="C3106" s="46">
        <v>1</v>
      </c>
      <c r="D3106" s="30">
        <v>5239.8176947433894</v>
      </c>
    </row>
    <row r="3107" spans="2:4">
      <c r="B3107" t="s">
        <v>9555</v>
      </c>
      <c r="C3107" s="46">
        <v>1</v>
      </c>
      <c r="D3107" s="30">
        <v>4400.3796934120146</v>
      </c>
    </row>
    <row r="3108" spans="2:4">
      <c r="B3108" t="s">
        <v>9556</v>
      </c>
      <c r="C3108" s="46">
        <v>1</v>
      </c>
      <c r="D3108" s="30">
        <v>7339.8644856709925</v>
      </c>
    </row>
    <row r="3109" spans="2:4">
      <c r="B3109" t="s">
        <v>9557</v>
      </c>
      <c r="C3109" s="46">
        <v>1</v>
      </c>
      <c r="D3109" s="30">
        <v>9890.9605817524862</v>
      </c>
    </row>
    <row r="3110" spans="2:4">
      <c r="B3110" t="s">
        <v>9558</v>
      </c>
      <c r="C3110" s="46">
        <v>1</v>
      </c>
      <c r="D3110" s="30">
        <v>7322.9118900810126</v>
      </c>
    </row>
    <row r="3111" spans="2:4">
      <c r="B3111" t="s">
        <v>9559</v>
      </c>
      <c r="C3111" s="46">
        <v>1</v>
      </c>
      <c r="D3111" s="30">
        <v>6603.5745767051249</v>
      </c>
    </row>
    <row r="3112" spans="2:4">
      <c r="B3112" t="s">
        <v>9560</v>
      </c>
      <c r="C3112" s="46">
        <v>1</v>
      </c>
      <c r="D3112" s="30">
        <v>77723.587127722989</v>
      </c>
    </row>
    <row r="3113" spans="2:4">
      <c r="B3113" t="s">
        <v>9561</v>
      </c>
      <c r="C3113" s="46">
        <v>1</v>
      </c>
      <c r="D3113" s="30">
        <v>62728.534251672383</v>
      </c>
    </row>
    <row r="3114" spans="2:4">
      <c r="B3114" t="s">
        <v>9562</v>
      </c>
      <c r="C3114" s="46">
        <v>1</v>
      </c>
      <c r="D3114" s="30">
        <v>7258.272784056815</v>
      </c>
    </row>
    <row r="3115" spans="2:4">
      <c r="B3115" t="s">
        <v>9563</v>
      </c>
      <c r="C3115" s="46">
        <v>1</v>
      </c>
      <c r="D3115" s="30">
        <v>628.709095676429</v>
      </c>
    </row>
    <row r="3116" spans="2:4">
      <c r="B3116" t="s">
        <v>9564</v>
      </c>
      <c r="C3116" s="46">
        <v>1</v>
      </c>
      <c r="D3116" s="30">
        <v>6010.7938266384699</v>
      </c>
    </row>
    <row r="3117" spans="2:4">
      <c r="B3117" t="s">
        <v>9565</v>
      </c>
      <c r="C3117" s="46">
        <v>1</v>
      </c>
      <c r="D3117" s="30">
        <v>7485.5303278588462</v>
      </c>
    </row>
    <row r="3118" spans="2:4">
      <c r="B3118" t="s">
        <v>9566</v>
      </c>
      <c r="C3118" s="46">
        <v>1</v>
      </c>
      <c r="D3118" s="30">
        <v>7229.2843664918264</v>
      </c>
    </row>
    <row r="3119" spans="2:4">
      <c r="B3119" t="s">
        <v>9567</v>
      </c>
      <c r="C3119" s="46">
        <v>1</v>
      </c>
      <c r="D3119" s="30">
        <v>9890.9605817524862</v>
      </c>
    </row>
    <row r="3120" spans="2:4">
      <c r="B3120" t="s">
        <v>9568</v>
      </c>
      <c r="C3120" s="46">
        <v>1</v>
      </c>
      <c r="D3120" s="30">
        <v>7337.8705369458066</v>
      </c>
    </row>
    <row r="3121" spans="2:4">
      <c r="B3121" t="s">
        <v>9569</v>
      </c>
      <c r="C3121" s="46">
        <v>1</v>
      </c>
      <c r="D3121" s="30">
        <v>4265.535140520069</v>
      </c>
    </row>
    <row r="3122" spans="2:4">
      <c r="B3122" t="s">
        <v>9570</v>
      </c>
      <c r="C3122" s="46">
        <v>1</v>
      </c>
      <c r="D3122" s="30">
        <v>6603.5745767051249</v>
      </c>
    </row>
    <row r="3123" spans="2:4">
      <c r="B3123" t="s">
        <v>9571</v>
      </c>
      <c r="C3123" s="46">
        <v>1</v>
      </c>
      <c r="D3123" s="30">
        <v>7433.7374919372314</v>
      </c>
    </row>
    <row r="3124" spans="2:4">
      <c r="B3124" t="s">
        <v>9572</v>
      </c>
      <c r="C3124" s="46">
        <v>1</v>
      </c>
      <c r="D3124" s="30">
        <v>7422.3098844959241</v>
      </c>
    </row>
    <row r="3125" spans="2:4">
      <c r="B3125" t="s">
        <v>9573</v>
      </c>
      <c r="C3125" s="46">
        <v>1</v>
      </c>
      <c r="D3125" s="30">
        <v>11649.980863842131</v>
      </c>
    </row>
    <row r="3126" spans="2:4">
      <c r="B3126" t="s">
        <v>9574</v>
      </c>
      <c r="C3126" s="46">
        <v>1</v>
      </c>
      <c r="D3126" s="30">
        <v>1072.8304240982636</v>
      </c>
    </row>
    <row r="3127" spans="2:4">
      <c r="B3127" t="s">
        <v>9575</v>
      </c>
      <c r="C3127" s="46">
        <v>1</v>
      </c>
      <c r="D3127" s="30">
        <v>1922.484951432165</v>
      </c>
    </row>
    <row r="3128" spans="2:4">
      <c r="B3128" t="s">
        <v>9576</v>
      </c>
      <c r="C3128" s="46">
        <v>1</v>
      </c>
      <c r="D3128" s="30">
        <v>28085.11553963249</v>
      </c>
    </row>
    <row r="3129" spans="2:4">
      <c r="B3129" t="s">
        <v>9577</v>
      </c>
      <c r="C3129" s="46">
        <v>1</v>
      </c>
      <c r="D3129" s="30">
        <v>6059.6686619733237</v>
      </c>
    </row>
    <row r="3130" spans="2:4">
      <c r="B3130" t="s">
        <v>9578</v>
      </c>
      <c r="C3130" s="46">
        <v>1</v>
      </c>
      <c r="D3130" s="30">
        <v>7158.7928046593979</v>
      </c>
    </row>
    <row r="3131" spans="2:4">
      <c r="B3131" t="s">
        <v>9579</v>
      </c>
      <c r="C3131" s="46">
        <v>1</v>
      </c>
      <c r="D3131" s="30">
        <v>99996.310700452232</v>
      </c>
    </row>
    <row r="3132" spans="2:4">
      <c r="B3132" t="s">
        <v>9580</v>
      </c>
      <c r="C3132" s="46">
        <v>1</v>
      </c>
      <c r="D3132" s="30">
        <v>7210.8242889356479</v>
      </c>
    </row>
    <row r="3133" spans="2:4">
      <c r="B3133" t="s">
        <v>9581</v>
      </c>
      <c r="C3133" s="46">
        <v>1</v>
      </c>
      <c r="D3133" s="30">
        <v>6975.7815408271799</v>
      </c>
    </row>
    <row r="3134" spans="2:4">
      <c r="B3134" t="s">
        <v>9582</v>
      </c>
      <c r="C3134" s="46">
        <v>1</v>
      </c>
      <c r="D3134" s="30">
        <v>6034.2328751207733</v>
      </c>
    </row>
    <row r="3135" spans="2:4">
      <c r="B3135" t="s">
        <v>9583</v>
      </c>
      <c r="C3135" s="46">
        <v>1</v>
      </c>
      <c r="D3135" s="30">
        <v>6561.7276321354493</v>
      </c>
    </row>
    <row r="3136" spans="2:4">
      <c r="B3136" t="s">
        <v>9584</v>
      </c>
      <c r="C3136" s="46">
        <v>1</v>
      </c>
      <c r="D3136" s="30">
        <v>7123.0628618354212</v>
      </c>
    </row>
    <row r="3137" spans="2:4">
      <c r="B3137" t="s">
        <v>9585</v>
      </c>
      <c r="C3137" s="46">
        <v>1</v>
      </c>
      <c r="D3137" s="30">
        <v>7442.6339499238402</v>
      </c>
    </row>
    <row r="3138" spans="2:4">
      <c r="B3138" t="s">
        <v>9586</v>
      </c>
      <c r="C3138" s="46">
        <v>1</v>
      </c>
      <c r="D3138" s="30">
        <v>5235.9500345684737</v>
      </c>
    </row>
    <row r="3139" spans="2:4">
      <c r="B3139" t="s">
        <v>9587</v>
      </c>
      <c r="C3139" s="46">
        <v>1</v>
      </c>
      <c r="D3139" s="30">
        <v>6338.5660329618777</v>
      </c>
    </row>
    <row r="3140" spans="2:4">
      <c r="B3140" t="s">
        <v>9588</v>
      </c>
      <c r="C3140" s="46">
        <v>1</v>
      </c>
      <c r="D3140" s="30">
        <v>7430.2865776249701</v>
      </c>
    </row>
    <row r="3141" spans="2:4">
      <c r="B3141" t="s">
        <v>9589</v>
      </c>
      <c r="C3141" s="46">
        <v>1</v>
      </c>
      <c r="D3141" s="30">
        <v>7393.856914918887</v>
      </c>
    </row>
    <row r="3142" spans="2:4">
      <c r="B3142" t="s">
        <v>9590</v>
      </c>
      <c r="C3142" s="46">
        <v>1</v>
      </c>
      <c r="D3142" s="30">
        <v>7449.6133048090715</v>
      </c>
    </row>
    <row r="3143" spans="2:4">
      <c r="B3143" t="s">
        <v>9591</v>
      </c>
      <c r="C3143" s="46">
        <v>1</v>
      </c>
      <c r="D3143" s="30">
        <v>4570.7663596340535</v>
      </c>
    </row>
    <row r="3144" spans="2:4">
      <c r="B3144" t="s">
        <v>9592</v>
      </c>
      <c r="C3144" s="46">
        <v>1</v>
      </c>
      <c r="D3144" s="30">
        <v>7182.7972370537846</v>
      </c>
    </row>
    <row r="3145" spans="2:4">
      <c r="B3145" t="s">
        <v>9593</v>
      </c>
      <c r="C3145" s="46">
        <v>1</v>
      </c>
      <c r="D3145" s="30">
        <v>2970.6837646577715</v>
      </c>
    </row>
    <row r="3146" spans="2:4">
      <c r="B3146" t="s">
        <v>9594</v>
      </c>
      <c r="C3146" s="46">
        <v>1</v>
      </c>
      <c r="D3146" s="30">
        <v>7380.8960056725864</v>
      </c>
    </row>
    <row r="3147" spans="2:4">
      <c r="B3147" t="s">
        <v>9595</v>
      </c>
      <c r="C3147" s="46">
        <v>1</v>
      </c>
      <c r="D3147" s="30">
        <v>2352.0950404257674</v>
      </c>
    </row>
    <row r="3148" spans="2:4">
      <c r="B3148" t="s">
        <v>9596</v>
      </c>
      <c r="C3148" s="46">
        <v>1</v>
      </c>
      <c r="D3148" s="30">
        <v>7443.7078364359586</v>
      </c>
    </row>
    <row r="3149" spans="2:4">
      <c r="B3149" t="s">
        <v>9597</v>
      </c>
      <c r="C3149" s="46">
        <v>1</v>
      </c>
      <c r="D3149" s="30">
        <v>7426.4510471584726</v>
      </c>
    </row>
    <row r="3150" spans="2:4">
      <c r="B3150" t="s">
        <v>9598</v>
      </c>
      <c r="C3150" s="46">
        <v>1</v>
      </c>
      <c r="D3150" s="30">
        <v>5673.5981019762303</v>
      </c>
    </row>
    <row r="3151" spans="2:4">
      <c r="B3151" t="s">
        <v>9599</v>
      </c>
      <c r="C3151" s="46">
        <v>1</v>
      </c>
      <c r="D3151" s="30">
        <v>6851.6237730970315</v>
      </c>
    </row>
    <row r="3152" spans="2:4">
      <c r="B3152" t="s">
        <v>9600</v>
      </c>
      <c r="C3152" s="46">
        <v>1</v>
      </c>
      <c r="D3152" s="30">
        <v>7181.9503678603387</v>
      </c>
    </row>
    <row r="3153" spans="2:4">
      <c r="B3153" t="s">
        <v>9601</v>
      </c>
      <c r="C3153" s="46">
        <v>1</v>
      </c>
      <c r="D3153" s="30">
        <v>4348.2225420126897</v>
      </c>
    </row>
    <row r="3154" spans="2:4">
      <c r="B3154" t="s">
        <v>9602</v>
      </c>
      <c r="C3154" s="46">
        <v>1</v>
      </c>
      <c r="D3154" s="30">
        <v>7878.7797710456543</v>
      </c>
    </row>
    <row r="3155" spans="2:4">
      <c r="B3155" t="s">
        <v>9603</v>
      </c>
      <c r="C3155" s="46">
        <v>1</v>
      </c>
      <c r="D3155" s="30">
        <v>6382.4617325294448</v>
      </c>
    </row>
    <row r="3156" spans="2:4">
      <c r="B3156" t="s">
        <v>9604</v>
      </c>
      <c r="C3156" s="46">
        <v>1</v>
      </c>
      <c r="D3156" s="30">
        <v>2931.952398230479</v>
      </c>
    </row>
    <row r="3157" spans="2:4">
      <c r="B3157" t="s">
        <v>9605</v>
      </c>
      <c r="C3157" s="46">
        <v>1</v>
      </c>
      <c r="D3157" s="30">
        <v>6000.0340563977752</v>
      </c>
    </row>
    <row r="3158" spans="2:4">
      <c r="B3158" t="s">
        <v>9606</v>
      </c>
      <c r="C3158" s="46">
        <v>1</v>
      </c>
      <c r="D3158" s="30">
        <v>28085.11553963249</v>
      </c>
    </row>
    <row r="3159" spans="2:4">
      <c r="B3159" t="s">
        <v>9607</v>
      </c>
      <c r="C3159" s="46">
        <v>1</v>
      </c>
      <c r="D3159" s="30">
        <v>6018.0741824515171</v>
      </c>
    </row>
    <row r="3160" spans="2:4">
      <c r="B3160" t="s">
        <v>9608</v>
      </c>
      <c r="C3160" s="46">
        <v>1</v>
      </c>
      <c r="D3160" s="30">
        <v>7449.6900812939193</v>
      </c>
    </row>
    <row r="3161" spans="2:4">
      <c r="B3161" t="s">
        <v>9609</v>
      </c>
      <c r="C3161" s="46">
        <v>1</v>
      </c>
      <c r="D3161" s="30">
        <v>6009.4685994983738</v>
      </c>
    </row>
    <row r="3162" spans="2:4">
      <c r="B3162" t="s">
        <v>9610</v>
      </c>
      <c r="C3162" s="46">
        <v>1</v>
      </c>
      <c r="D3162" s="30">
        <v>7030.8434598761987</v>
      </c>
    </row>
    <row r="3163" spans="2:4">
      <c r="B3163" t="s">
        <v>9611</v>
      </c>
      <c r="C3163" s="46">
        <v>1</v>
      </c>
      <c r="D3163" s="30">
        <v>6798.2336242677256</v>
      </c>
    </row>
    <row r="3164" spans="2:4">
      <c r="B3164" t="s">
        <v>9612</v>
      </c>
      <c r="C3164" s="46">
        <v>1</v>
      </c>
      <c r="D3164" s="30">
        <v>4348.2225420126897</v>
      </c>
    </row>
    <row r="3165" spans="2:4">
      <c r="B3165" t="s">
        <v>9613</v>
      </c>
      <c r="C3165" s="46">
        <v>1</v>
      </c>
      <c r="D3165" s="30">
        <v>6798.0784474616776</v>
      </c>
    </row>
    <row r="3166" spans="2:4">
      <c r="B3166" t="s">
        <v>9614</v>
      </c>
      <c r="C3166" s="46">
        <v>1</v>
      </c>
      <c r="D3166" s="30">
        <v>173162.01765796318</v>
      </c>
    </row>
    <row r="3167" spans="2:4">
      <c r="B3167" t="s">
        <v>9615</v>
      </c>
      <c r="C3167" s="46">
        <v>1</v>
      </c>
      <c r="D3167" s="30">
        <v>2658.7539368449902</v>
      </c>
    </row>
    <row r="3168" spans="2:4">
      <c r="B3168" t="s">
        <v>9616</v>
      </c>
      <c r="C3168" s="46">
        <v>1</v>
      </c>
      <c r="D3168" s="30">
        <v>6737.2659619362375</v>
      </c>
    </row>
    <row r="3169" spans="2:4">
      <c r="B3169" t="s">
        <v>9617</v>
      </c>
      <c r="C3169" s="46">
        <v>1</v>
      </c>
      <c r="D3169" s="30">
        <v>2317.2504175402341</v>
      </c>
    </row>
    <row r="3170" spans="2:4">
      <c r="B3170" t="s">
        <v>9618</v>
      </c>
      <c r="C3170" s="46">
        <v>1</v>
      </c>
      <c r="D3170" s="30">
        <v>6627.0289973467934</v>
      </c>
    </row>
    <row r="3171" spans="2:4">
      <c r="B3171" t="s">
        <v>9619</v>
      </c>
      <c r="C3171" s="46">
        <v>1</v>
      </c>
      <c r="D3171" s="30">
        <v>6672.3273039383903</v>
      </c>
    </row>
    <row r="3172" spans="2:4">
      <c r="B3172" t="s">
        <v>9620</v>
      </c>
      <c r="C3172" s="46">
        <v>1</v>
      </c>
      <c r="D3172" s="30">
        <v>11649.980863842131</v>
      </c>
    </row>
    <row r="3173" spans="2:4">
      <c r="B3173" t="s">
        <v>9621</v>
      </c>
      <c r="C3173" s="46">
        <v>1</v>
      </c>
      <c r="D3173" s="30">
        <v>7435.7315544652511</v>
      </c>
    </row>
    <row r="3174" spans="2:4">
      <c r="B3174" t="s">
        <v>9622</v>
      </c>
      <c r="C3174" s="46">
        <v>1</v>
      </c>
      <c r="D3174" s="30">
        <v>7449.6900812939193</v>
      </c>
    </row>
    <row r="3175" spans="2:4">
      <c r="B3175" t="s">
        <v>9623</v>
      </c>
      <c r="C3175" s="46">
        <v>1</v>
      </c>
      <c r="D3175" s="30">
        <v>7446.3925270033196</v>
      </c>
    </row>
    <row r="3176" spans="2:4">
      <c r="B3176" t="s">
        <v>9624</v>
      </c>
      <c r="C3176" s="46">
        <v>1</v>
      </c>
      <c r="D3176" s="30">
        <v>2931.952398230479</v>
      </c>
    </row>
    <row r="3177" spans="2:4">
      <c r="B3177" t="s">
        <v>9625</v>
      </c>
      <c r="C3177" s="46">
        <v>1</v>
      </c>
      <c r="D3177" s="30">
        <v>7413.6949080810091</v>
      </c>
    </row>
    <row r="3178" spans="2:4">
      <c r="B3178" t="s">
        <v>9626</v>
      </c>
      <c r="C3178" s="46">
        <v>1</v>
      </c>
      <c r="D3178" s="30">
        <v>28085.11553963249</v>
      </c>
    </row>
    <row r="3179" spans="2:4">
      <c r="B3179" t="s">
        <v>9627</v>
      </c>
      <c r="C3179" s="46">
        <v>1</v>
      </c>
      <c r="D3179" s="30">
        <v>465.5567353021454</v>
      </c>
    </row>
    <row r="3180" spans="2:4">
      <c r="B3180" t="s">
        <v>9628</v>
      </c>
      <c r="C3180" s="46">
        <v>1</v>
      </c>
      <c r="D3180" s="30">
        <v>7270.2354648251721</v>
      </c>
    </row>
    <row r="3181" spans="2:4">
      <c r="B3181" t="s">
        <v>9629</v>
      </c>
      <c r="C3181" s="46">
        <v>1</v>
      </c>
      <c r="D3181" s="30">
        <v>7446.6221479697015</v>
      </c>
    </row>
    <row r="3182" spans="2:4">
      <c r="B3182" t="s">
        <v>9630</v>
      </c>
      <c r="C3182" s="46">
        <v>1</v>
      </c>
      <c r="D3182" s="30">
        <v>9791.0615190497883</v>
      </c>
    </row>
    <row r="3183" spans="2:4">
      <c r="B3183" t="s">
        <v>9631</v>
      </c>
      <c r="C3183" s="46">
        <v>1</v>
      </c>
      <c r="D3183" s="30">
        <v>7440.7167247290527</v>
      </c>
    </row>
    <row r="3184" spans="2:4">
      <c r="B3184" t="s">
        <v>9632</v>
      </c>
      <c r="C3184" s="46">
        <v>1</v>
      </c>
      <c r="D3184" s="30">
        <v>7312.1058106251485</v>
      </c>
    </row>
    <row r="3185" spans="2:4">
      <c r="B3185" t="s">
        <v>9633</v>
      </c>
      <c r="C3185" s="46">
        <v>1</v>
      </c>
      <c r="D3185" s="30">
        <v>2878.7809769553955</v>
      </c>
    </row>
    <row r="3186" spans="2:4">
      <c r="B3186" t="s">
        <v>9634</v>
      </c>
      <c r="C3186" s="46">
        <v>1</v>
      </c>
      <c r="D3186" s="30">
        <v>7415.451600170456</v>
      </c>
    </row>
    <row r="3187" spans="2:4">
      <c r="B3187" t="s">
        <v>9635</v>
      </c>
      <c r="C3187" s="46">
        <v>1</v>
      </c>
      <c r="D3187" s="30">
        <v>6010.6043451614578</v>
      </c>
    </row>
    <row r="3188" spans="2:4">
      <c r="B3188" t="s">
        <v>9636</v>
      </c>
      <c r="C3188" s="46">
        <v>1</v>
      </c>
      <c r="D3188" s="30">
        <v>6972.1215184356879</v>
      </c>
    </row>
    <row r="3189" spans="2:4">
      <c r="B3189" t="s">
        <v>9637</v>
      </c>
      <c r="C3189" s="46">
        <v>1</v>
      </c>
      <c r="D3189" s="30">
        <v>5397.1916852480745</v>
      </c>
    </row>
    <row r="3190" spans="2:4">
      <c r="B3190" t="s">
        <v>9638</v>
      </c>
      <c r="C3190" s="46">
        <v>1</v>
      </c>
      <c r="D3190" s="30">
        <v>7427.9487281638339</v>
      </c>
    </row>
    <row r="3191" spans="2:4">
      <c r="B3191" t="s">
        <v>9639</v>
      </c>
      <c r="C3191" s="46">
        <v>1</v>
      </c>
      <c r="D3191" s="30">
        <v>53186.879754203685</v>
      </c>
    </row>
    <row r="3192" spans="2:4">
      <c r="B3192" t="s">
        <v>9640</v>
      </c>
      <c r="C3192" s="46">
        <v>1</v>
      </c>
      <c r="D3192" s="30">
        <v>19001.744053143149</v>
      </c>
    </row>
    <row r="3193" spans="2:4">
      <c r="B3193" t="s">
        <v>9641</v>
      </c>
      <c r="C3193" s="46">
        <v>1</v>
      </c>
      <c r="D3193" s="30">
        <v>20542.332200926601</v>
      </c>
    </row>
    <row r="3194" spans="2:4">
      <c r="B3194" t="s">
        <v>9642</v>
      </c>
      <c r="C3194" s="46">
        <v>1</v>
      </c>
      <c r="D3194" s="30">
        <v>6944.2984720889581</v>
      </c>
    </row>
    <row r="3195" spans="2:4">
      <c r="B3195" t="s">
        <v>9643</v>
      </c>
      <c r="C3195" s="46">
        <v>1</v>
      </c>
      <c r="D3195" s="30">
        <v>6856.3688910712008</v>
      </c>
    </row>
    <row r="3196" spans="2:4">
      <c r="B3196" t="s">
        <v>9644</v>
      </c>
      <c r="C3196" s="46">
        <v>1</v>
      </c>
      <c r="D3196" s="30">
        <v>4773.0376143892854</v>
      </c>
    </row>
    <row r="3197" spans="2:4">
      <c r="B3197" t="s">
        <v>9645</v>
      </c>
      <c r="C3197" s="46">
        <v>1</v>
      </c>
      <c r="D3197" s="30">
        <v>19001.744053143149</v>
      </c>
    </row>
    <row r="3198" spans="2:4">
      <c r="B3198" t="s">
        <v>9646</v>
      </c>
      <c r="C3198" s="46">
        <v>1</v>
      </c>
      <c r="D3198" s="30">
        <v>6095.6727884424872</v>
      </c>
    </row>
    <row r="3199" spans="2:4">
      <c r="B3199" t="s">
        <v>9647</v>
      </c>
      <c r="C3199" s="46">
        <v>1</v>
      </c>
      <c r="D3199" s="30">
        <v>7448.6930385008163</v>
      </c>
    </row>
    <row r="3200" spans="2:4">
      <c r="B3200" t="s">
        <v>9648</v>
      </c>
      <c r="C3200" s="46">
        <v>1</v>
      </c>
      <c r="D3200" s="30">
        <v>1841.1388064030959</v>
      </c>
    </row>
    <row r="3201" spans="2:4">
      <c r="B3201" t="s">
        <v>9649</v>
      </c>
      <c r="C3201" s="46">
        <v>1</v>
      </c>
      <c r="D3201" s="30">
        <v>7243.2406427552796</v>
      </c>
    </row>
    <row r="3202" spans="2:4">
      <c r="B3202" t="s">
        <v>9650</v>
      </c>
      <c r="C3202" s="46">
        <v>1</v>
      </c>
      <c r="D3202" s="30">
        <v>6586.0124067486076</v>
      </c>
    </row>
    <row r="3203" spans="2:4">
      <c r="B3203" t="s">
        <v>9651</v>
      </c>
      <c r="C3203" s="46">
        <v>1</v>
      </c>
      <c r="D3203" s="30">
        <v>7394.8539136221161</v>
      </c>
    </row>
    <row r="3204" spans="2:4">
      <c r="B3204" t="s">
        <v>9652</v>
      </c>
      <c r="C3204" s="46">
        <v>1</v>
      </c>
      <c r="D3204" s="30">
        <v>6818.6513577090336</v>
      </c>
    </row>
    <row r="3205" spans="2:4">
      <c r="B3205" t="s">
        <v>9653</v>
      </c>
      <c r="C3205" s="46">
        <v>1</v>
      </c>
      <c r="D3205" s="30">
        <v>6906.428519846897</v>
      </c>
    </row>
    <row r="3206" spans="2:4">
      <c r="B3206" t="s">
        <v>9654</v>
      </c>
      <c r="C3206" s="46">
        <v>1</v>
      </c>
      <c r="D3206" s="30">
        <v>7092.4590080400503</v>
      </c>
    </row>
    <row r="3207" spans="2:4">
      <c r="B3207" t="s">
        <v>9655</v>
      </c>
      <c r="C3207" s="46">
        <v>1</v>
      </c>
      <c r="D3207" s="30">
        <v>4554.4029929318831</v>
      </c>
    </row>
    <row r="3208" spans="2:4">
      <c r="B3208" t="s">
        <v>9656</v>
      </c>
      <c r="C3208" s="46">
        <v>1</v>
      </c>
      <c r="D3208" s="30">
        <v>7354.9834272044782</v>
      </c>
    </row>
    <row r="3209" spans="2:4">
      <c r="B3209" t="s">
        <v>9657</v>
      </c>
      <c r="C3209" s="46">
        <v>1</v>
      </c>
      <c r="D3209" s="30">
        <v>7406.3907811978379</v>
      </c>
    </row>
    <row r="3210" spans="2:4">
      <c r="B3210" t="s">
        <v>9658</v>
      </c>
      <c r="C3210" s="46">
        <v>1</v>
      </c>
      <c r="D3210" s="30">
        <v>5941.9858530724796</v>
      </c>
    </row>
    <row r="3211" spans="2:4">
      <c r="B3211" t="s">
        <v>9659</v>
      </c>
      <c r="C3211" s="46">
        <v>1</v>
      </c>
      <c r="D3211" s="30">
        <v>5776.1490367775041</v>
      </c>
    </row>
    <row r="3212" spans="2:4">
      <c r="B3212" t="s">
        <v>9660</v>
      </c>
      <c r="C3212" s="46">
        <v>1</v>
      </c>
      <c r="D3212" s="30">
        <v>2526.5990925741867</v>
      </c>
    </row>
    <row r="3213" spans="2:4">
      <c r="B3213" t="s">
        <v>9661</v>
      </c>
      <c r="C3213" s="46">
        <v>1</v>
      </c>
      <c r="D3213" s="30">
        <v>7081.57564428963</v>
      </c>
    </row>
    <row r="3214" spans="2:4">
      <c r="B3214" t="s">
        <v>9662</v>
      </c>
      <c r="C3214" s="46">
        <v>1</v>
      </c>
      <c r="D3214" s="30">
        <v>5843.0878958429421</v>
      </c>
    </row>
    <row r="3215" spans="2:4">
      <c r="B3215" t="s">
        <v>9663</v>
      </c>
      <c r="C3215" s="46">
        <v>1</v>
      </c>
      <c r="D3215" s="30">
        <v>99996.310700452232</v>
      </c>
    </row>
    <row r="3216" spans="2:4">
      <c r="B3216" t="s">
        <v>9664</v>
      </c>
      <c r="C3216" s="46">
        <v>1</v>
      </c>
      <c r="D3216" s="30">
        <v>38886.348630980516</v>
      </c>
    </row>
    <row r="3217" spans="2:4">
      <c r="B3217" t="s">
        <v>9665</v>
      </c>
      <c r="C3217" s="46">
        <v>1</v>
      </c>
      <c r="D3217" s="30">
        <v>7416.7880895451635</v>
      </c>
    </row>
    <row r="3218" spans="2:4">
      <c r="B3218" t="s">
        <v>9666</v>
      </c>
      <c r="C3218" s="46">
        <v>1</v>
      </c>
      <c r="D3218" s="30">
        <v>7359.9594435475892</v>
      </c>
    </row>
    <row r="3219" spans="2:4">
      <c r="B3219" t="s">
        <v>9667</v>
      </c>
      <c r="C3219" s="46">
        <v>1</v>
      </c>
      <c r="D3219" s="30">
        <v>3111.5338100174381</v>
      </c>
    </row>
    <row r="3220" spans="2:4">
      <c r="B3220" t="s">
        <v>9668</v>
      </c>
      <c r="C3220" s="46">
        <v>1</v>
      </c>
      <c r="D3220" s="30">
        <v>7354.3279073744416</v>
      </c>
    </row>
    <row r="3221" spans="2:4">
      <c r="B3221" t="s">
        <v>9669</v>
      </c>
      <c r="C3221" s="46">
        <v>1</v>
      </c>
      <c r="D3221" s="30">
        <v>7207.4327750133834</v>
      </c>
    </row>
    <row r="3222" spans="2:4">
      <c r="B3222" t="s">
        <v>9670</v>
      </c>
      <c r="C3222" s="46">
        <v>1</v>
      </c>
      <c r="D3222" s="30">
        <v>7287.1808046181714</v>
      </c>
    </row>
    <row r="3223" spans="2:4">
      <c r="B3223" t="s">
        <v>9671</v>
      </c>
      <c r="C3223" s="46">
        <v>1</v>
      </c>
      <c r="D3223" s="30">
        <v>7083.2351549584964</v>
      </c>
    </row>
    <row r="3224" spans="2:4">
      <c r="B3224" t="s">
        <v>9672</v>
      </c>
      <c r="C3224" s="46">
        <v>1</v>
      </c>
      <c r="D3224" s="30">
        <v>6756.9993572992671</v>
      </c>
    </row>
    <row r="3225" spans="2:4">
      <c r="B3225" t="s">
        <v>9673</v>
      </c>
      <c r="C3225" s="46">
        <v>1</v>
      </c>
      <c r="D3225" s="30">
        <v>6602.0089457507274</v>
      </c>
    </row>
    <row r="3226" spans="2:4">
      <c r="B3226" t="s">
        <v>9674</v>
      </c>
      <c r="C3226" s="46">
        <v>1</v>
      </c>
      <c r="D3226" s="30">
        <v>7313.1027417435171</v>
      </c>
    </row>
    <row r="3227" spans="2:4">
      <c r="B3227" t="s">
        <v>9675</v>
      </c>
      <c r="C3227" s="46">
        <v>1</v>
      </c>
      <c r="D3227" s="30">
        <v>2476.3265160863057</v>
      </c>
    </row>
    <row r="3228" spans="2:4">
      <c r="B3228" t="s">
        <v>9676</v>
      </c>
      <c r="C3228" s="46">
        <v>1</v>
      </c>
      <c r="D3228" s="30">
        <v>6488.8256197249702</v>
      </c>
    </row>
    <row r="3229" spans="2:4">
      <c r="B3229" t="s">
        <v>9677</v>
      </c>
      <c r="C3229" s="46">
        <v>1</v>
      </c>
      <c r="D3229" s="30">
        <v>4072.9593635711512</v>
      </c>
    </row>
    <row r="3230" spans="2:4">
      <c r="B3230" t="s">
        <v>9678</v>
      </c>
      <c r="C3230" s="46">
        <v>1</v>
      </c>
      <c r="D3230" s="30">
        <v>2476.3265160863057</v>
      </c>
    </row>
    <row r="3231" spans="2:4">
      <c r="B3231" t="s">
        <v>9679</v>
      </c>
      <c r="C3231" s="46">
        <v>1</v>
      </c>
      <c r="D3231" s="30">
        <v>7420.7761634004928</v>
      </c>
    </row>
    <row r="3232" spans="2:4">
      <c r="B3232" t="s">
        <v>9680</v>
      </c>
      <c r="C3232" s="46">
        <v>1</v>
      </c>
      <c r="D3232" s="30">
        <v>2476.3265160863057</v>
      </c>
    </row>
    <row r="3233" spans="2:4">
      <c r="B3233" t="s">
        <v>9681</v>
      </c>
      <c r="C3233" s="46">
        <v>1</v>
      </c>
      <c r="D3233" s="30">
        <v>5032.7501419928785</v>
      </c>
    </row>
    <row r="3234" spans="2:4">
      <c r="B3234" t="s">
        <v>9682</v>
      </c>
      <c r="C3234" s="46">
        <v>1</v>
      </c>
      <c r="D3234" s="30">
        <v>2476.3265160863057</v>
      </c>
    </row>
    <row r="3235" spans="2:4">
      <c r="B3235" t="s">
        <v>9683</v>
      </c>
      <c r="C3235" s="46">
        <v>1</v>
      </c>
      <c r="D3235" s="30">
        <v>4561.7912751744498</v>
      </c>
    </row>
    <row r="3236" spans="2:4">
      <c r="B3236" t="s">
        <v>9684</v>
      </c>
      <c r="C3236" s="46">
        <v>1</v>
      </c>
      <c r="D3236" s="30">
        <v>5134.8969363741571</v>
      </c>
    </row>
    <row r="3237" spans="2:4">
      <c r="B3237" t="s">
        <v>9685</v>
      </c>
      <c r="C3237" s="46">
        <v>1</v>
      </c>
      <c r="D3237" s="30">
        <v>91299.45957296979</v>
      </c>
    </row>
    <row r="3238" spans="2:4">
      <c r="B3238" t="s">
        <v>9686</v>
      </c>
      <c r="C3238" s="46">
        <v>1</v>
      </c>
      <c r="D3238" s="30">
        <v>91299.45957296979</v>
      </c>
    </row>
    <row r="3239" spans="2:4">
      <c r="B3239" t="s">
        <v>9687</v>
      </c>
      <c r="C3239" s="46">
        <v>1</v>
      </c>
      <c r="D3239" s="30">
        <v>6797.311809180479</v>
      </c>
    </row>
    <row r="3240" spans="2:4">
      <c r="B3240" t="s">
        <v>9688</v>
      </c>
      <c r="C3240" s="46">
        <v>1</v>
      </c>
      <c r="D3240" s="30">
        <v>6867.7392410445191</v>
      </c>
    </row>
    <row r="3241" spans="2:4">
      <c r="B3241" t="s">
        <v>9689</v>
      </c>
      <c r="C3241" s="46">
        <v>1</v>
      </c>
      <c r="D3241" s="30">
        <v>7217.6223316600453</v>
      </c>
    </row>
    <row r="3242" spans="2:4">
      <c r="B3242" t="s">
        <v>9690</v>
      </c>
      <c r="C3242" s="46">
        <v>1</v>
      </c>
      <c r="D3242" s="30">
        <v>5532.6716198619797</v>
      </c>
    </row>
    <row r="3243" spans="2:4">
      <c r="B3243" t="s">
        <v>9691</v>
      </c>
      <c r="C3243" s="46">
        <v>1</v>
      </c>
      <c r="D3243" s="30">
        <v>5512.6373153209133</v>
      </c>
    </row>
    <row r="3244" spans="2:4">
      <c r="B3244" t="s">
        <v>9692</v>
      </c>
      <c r="C3244" s="46">
        <v>1</v>
      </c>
      <c r="D3244" s="30">
        <v>7426.713828969725</v>
      </c>
    </row>
    <row r="3245" spans="2:4">
      <c r="B3245" t="s">
        <v>9693</v>
      </c>
      <c r="C3245" s="46">
        <v>1</v>
      </c>
      <c r="D3245" s="30">
        <v>6340.5702624626911</v>
      </c>
    </row>
    <row r="3246" spans="2:4">
      <c r="B3246" t="s">
        <v>9694</v>
      </c>
      <c r="C3246" s="46">
        <v>1</v>
      </c>
      <c r="D3246" s="30">
        <v>5978.5620275185865</v>
      </c>
    </row>
    <row r="3247" spans="2:4">
      <c r="B3247" t="s">
        <v>9695</v>
      </c>
      <c r="C3247" s="46">
        <v>1</v>
      </c>
      <c r="D3247" s="30">
        <v>5978.5620275185865</v>
      </c>
    </row>
    <row r="3248" spans="2:4">
      <c r="B3248" t="s">
        <v>9696</v>
      </c>
      <c r="C3248" s="46">
        <v>1</v>
      </c>
      <c r="D3248" s="30">
        <v>5025.8010719320009</v>
      </c>
    </row>
    <row r="3249" spans="2:4">
      <c r="B3249" t="s">
        <v>9697</v>
      </c>
      <c r="C3249" s="46">
        <v>1</v>
      </c>
      <c r="D3249" s="30">
        <v>7168.0636457177388</v>
      </c>
    </row>
    <row r="3250" spans="2:4">
      <c r="B3250" t="s">
        <v>9698</v>
      </c>
      <c r="C3250" s="46">
        <v>1</v>
      </c>
      <c r="D3250" s="30">
        <v>7049.2568616143508</v>
      </c>
    </row>
    <row r="3251" spans="2:4">
      <c r="B3251" t="s">
        <v>9699</v>
      </c>
      <c r="C3251" s="46">
        <v>1</v>
      </c>
      <c r="D3251" s="30">
        <v>56501.33729422617</v>
      </c>
    </row>
    <row r="3252" spans="2:4">
      <c r="B3252" t="s">
        <v>9700</v>
      </c>
      <c r="C3252" s="46">
        <v>1</v>
      </c>
      <c r="D3252" s="30">
        <v>7061.0203655768437</v>
      </c>
    </row>
    <row r="3253" spans="2:4">
      <c r="B3253" t="s">
        <v>9701</v>
      </c>
      <c r="C3253" s="46">
        <v>1</v>
      </c>
      <c r="D3253" s="30">
        <v>19001.744053143149</v>
      </c>
    </row>
    <row r="3254" spans="2:4">
      <c r="B3254" t="s">
        <v>9702</v>
      </c>
      <c r="C3254" s="46">
        <v>1</v>
      </c>
      <c r="D3254" s="30">
        <v>6621.6080038161317</v>
      </c>
    </row>
    <row r="3255" spans="2:4">
      <c r="B3255" t="s">
        <v>9703</v>
      </c>
      <c r="C3255" s="46">
        <v>1</v>
      </c>
      <c r="D3255" s="30">
        <v>3688.0366717509864</v>
      </c>
    </row>
    <row r="3256" spans="2:4">
      <c r="B3256" t="s">
        <v>9704</v>
      </c>
      <c r="C3256" s="46">
        <v>1</v>
      </c>
      <c r="D3256" s="30">
        <v>7038.674397688158</v>
      </c>
    </row>
    <row r="3257" spans="2:4">
      <c r="B3257" t="s">
        <v>9705</v>
      </c>
      <c r="C3257" s="46">
        <v>1</v>
      </c>
      <c r="D3257" s="30">
        <v>7208.5613529903976</v>
      </c>
    </row>
    <row r="3258" spans="2:4">
      <c r="B3258" t="s">
        <v>9706</v>
      </c>
      <c r="C3258" s="46">
        <v>1</v>
      </c>
      <c r="D3258" s="30">
        <v>6899.3697324454606</v>
      </c>
    </row>
    <row r="3259" spans="2:4">
      <c r="B3259" t="s">
        <v>9707</v>
      </c>
      <c r="C3259" s="46">
        <v>1</v>
      </c>
      <c r="D3259" s="30">
        <v>7446.5454741438471</v>
      </c>
    </row>
    <row r="3260" spans="2:4">
      <c r="B3260" t="s">
        <v>9708</v>
      </c>
      <c r="C3260" s="46">
        <v>1</v>
      </c>
      <c r="D3260" s="30">
        <v>7340.0201975400341</v>
      </c>
    </row>
    <row r="3261" spans="2:4">
      <c r="B3261" t="s">
        <v>9709</v>
      </c>
      <c r="C3261" s="46">
        <v>1</v>
      </c>
      <c r="D3261" s="30">
        <v>7375.5247025725403</v>
      </c>
    </row>
    <row r="3262" spans="2:4">
      <c r="B3262" t="s">
        <v>9710</v>
      </c>
      <c r="C3262" s="46">
        <v>1</v>
      </c>
      <c r="D3262" s="30">
        <v>6362.1096738502592</v>
      </c>
    </row>
    <row r="3263" spans="2:4">
      <c r="B3263" t="s">
        <v>9711</v>
      </c>
      <c r="C3263" s="46">
        <v>1</v>
      </c>
      <c r="D3263" s="30">
        <v>7385.8809545067779</v>
      </c>
    </row>
    <row r="3264" spans="2:4">
      <c r="B3264" t="s">
        <v>9712</v>
      </c>
      <c r="C3264" s="46">
        <v>1</v>
      </c>
      <c r="D3264" s="30">
        <v>6672.1798901685752</v>
      </c>
    </row>
    <row r="3265" spans="2:4">
      <c r="B3265" t="s">
        <v>9713</v>
      </c>
      <c r="C3265" s="46">
        <v>1</v>
      </c>
      <c r="D3265" s="30">
        <v>5292.5357558192882</v>
      </c>
    </row>
    <row r="3266" spans="2:4">
      <c r="B3266" t="s">
        <v>9714</v>
      </c>
      <c r="C3266" s="46">
        <v>1</v>
      </c>
      <c r="D3266" s="30">
        <v>7237.8407301744546</v>
      </c>
    </row>
    <row r="3267" spans="2:4">
      <c r="B3267" t="s">
        <v>9715</v>
      </c>
      <c r="C3267" s="46">
        <v>1</v>
      </c>
      <c r="D3267" s="30">
        <v>7038.6142062795479</v>
      </c>
    </row>
    <row r="3268" spans="2:4">
      <c r="B3268" t="s">
        <v>9716</v>
      </c>
      <c r="C3268" s="46">
        <v>1</v>
      </c>
      <c r="D3268" s="30">
        <v>7151.6474832602198</v>
      </c>
    </row>
    <row r="3269" spans="2:4">
      <c r="B3269" t="s">
        <v>9717</v>
      </c>
      <c r="C3269" s="46">
        <v>1</v>
      </c>
      <c r="D3269" s="30">
        <v>7208.5613529903976</v>
      </c>
    </row>
    <row r="3270" spans="2:4">
      <c r="B3270" t="s">
        <v>9718</v>
      </c>
      <c r="C3270" s="46">
        <v>1</v>
      </c>
      <c r="D3270" s="30">
        <v>7428.7523495833957</v>
      </c>
    </row>
    <row r="3271" spans="2:4">
      <c r="B3271" t="s">
        <v>9719</v>
      </c>
      <c r="C3271" s="46">
        <v>1</v>
      </c>
      <c r="D3271" s="30">
        <v>6497.263630779652</v>
      </c>
    </row>
    <row r="3272" spans="2:4">
      <c r="B3272" t="s">
        <v>9720</v>
      </c>
      <c r="C3272" s="46">
        <v>1</v>
      </c>
      <c r="D3272" s="30">
        <v>1240.7146489993042</v>
      </c>
    </row>
    <row r="3273" spans="2:4">
      <c r="B3273" t="s">
        <v>9721</v>
      </c>
      <c r="C3273" s="46">
        <v>1</v>
      </c>
      <c r="D3273" s="30">
        <v>4265.535140520069</v>
      </c>
    </row>
    <row r="3274" spans="2:4">
      <c r="B3274" t="s">
        <v>9722</v>
      </c>
      <c r="C3274" s="46">
        <v>1</v>
      </c>
      <c r="D3274" s="30">
        <v>7242.1649226735208</v>
      </c>
    </row>
    <row r="3275" spans="2:4">
      <c r="B3275" t="s">
        <v>9723</v>
      </c>
      <c r="C3275" s="46">
        <v>1</v>
      </c>
      <c r="D3275" s="30">
        <v>19001.744053143149</v>
      </c>
    </row>
    <row r="3276" spans="2:4">
      <c r="B3276" t="s">
        <v>9724</v>
      </c>
      <c r="C3276" s="46">
        <v>1</v>
      </c>
      <c r="D3276" s="30">
        <v>2901.267174539315</v>
      </c>
    </row>
    <row r="3277" spans="2:4">
      <c r="B3277" t="s">
        <v>9725</v>
      </c>
      <c r="C3277" s="46">
        <v>1</v>
      </c>
      <c r="D3277" s="30">
        <v>7019.8797836273934</v>
      </c>
    </row>
    <row r="3278" spans="2:4">
      <c r="B3278" t="s">
        <v>9726</v>
      </c>
      <c r="C3278" s="46">
        <v>1</v>
      </c>
      <c r="D3278" s="30">
        <v>7404.7467034907086</v>
      </c>
    </row>
    <row r="3279" spans="2:4">
      <c r="B3279" t="s">
        <v>9727</v>
      </c>
      <c r="C3279" s="46">
        <v>1</v>
      </c>
      <c r="D3279" s="30">
        <v>6340.5702624626911</v>
      </c>
    </row>
    <row r="3280" spans="2:4">
      <c r="B3280" t="s">
        <v>9728</v>
      </c>
      <c r="C3280" s="46">
        <v>1</v>
      </c>
      <c r="D3280" s="30">
        <v>7016.0039996053156</v>
      </c>
    </row>
    <row r="3281" spans="2:4">
      <c r="B3281" t="s">
        <v>9729</v>
      </c>
      <c r="C3281" s="46">
        <v>1</v>
      </c>
      <c r="D3281" s="30">
        <v>2352.0950404257674</v>
      </c>
    </row>
    <row r="3282" spans="2:4">
      <c r="B3282" t="s">
        <v>9730</v>
      </c>
      <c r="C3282" s="46">
        <v>1</v>
      </c>
      <c r="D3282" s="30">
        <v>7250.7453490083199</v>
      </c>
    </row>
    <row r="3283" spans="2:4">
      <c r="B3283" t="s">
        <v>9731</v>
      </c>
      <c r="C3283" s="46">
        <v>1</v>
      </c>
      <c r="D3283" s="30">
        <v>7444.7048752611126</v>
      </c>
    </row>
    <row r="3284" spans="2:4">
      <c r="B3284" t="s">
        <v>9732</v>
      </c>
      <c r="C3284" s="46">
        <v>1</v>
      </c>
      <c r="D3284" s="30">
        <v>7014.8150818711883</v>
      </c>
    </row>
    <row r="3285" spans="2:4">
      <c r="B3285" t="s">
        <v>9733</v>
      </c>
      <c r="C3285" s="46">
        <v>1</v>
      </c>
      <c r="D3285" s="30">
        <v>7282.1982683955748</v>
      </c>
    </row>
    <row r="3286" spans="2:4">
      <c r="B3286" t="s">
        <v>9734</v>
      </c>
      <c r="C3286" s="46">
        <v>1</v>
      </c>
      <c r="D3286" s="30">
        <v>6992.5945746430343</v>
      </c>
    </row>
    <row r="3287" spans="2:4">
      <c r="B3287" t="s">
        <v>9735</v>
      </c>
      <c r="C3287" s="46">
        <v>1</v>
      </c>
      <c r="D3287" s="30">
        <v>7434.7345228025279</v>
      </c>
    </row>
    <row r="3288" spans="2:4">
      <c r="B3288" t="s">
        <v>9736</v>
      </c>
      <c r="C3288" s="46">
        <v>1</v>
      </c>
      <c r="D3288" s="30">
        <v>7364.1737810056529</v>
      </c>
    </row>
    <row r="3289" spans="2:4">
      <c r="B3289" t="s">
        <v>9737</v>
      </c>
      <c r="C3289" s="46">
        <v>1</v>
      </c>
      <c r="D3289" s="30">
        <v>7282.1982683955748</v>
      </c>
    </row>
    <row r="3290" spans="2:4">
      <c r="B3290" t="s">
        <v>9738</v>
      </c>
      <c r="C3290" s="46">
        <v>1</v>
      </c>
      <c r="D3290" s="30">
        <v>7359.8817310147497</v>
      </c>
    </row>
    <row r="3291" spans="2:4">
      <c r="B3291" t="s">
        <v>9739</v>
      </c>
      <c r="C3291" s="46">
        <v>1</v>
      </c>
      <c r="D3291" s="30">
        <v>6899.3697324454606</v>
      </c>
    </row>
    <row r="3292" spans="2:4">
      <c r="B3292" t="s">
        <v>9740</v>
      </c>
      <c r="C3292" s="46">
        <v>1</v>
      </c>
      <c r="D3292" s="30">
        <v>7308.0398307318665</v>
      </c>
    </row>
    <row r="3293" spans="2:4">
      <c r="B3293" t="s">
        <v>9741</v>
      </c>
      <c r="C3293" s="46">
        <v>1</v>
      </c>
      <c r="D3293" s="30">
        <v>99996.310700452232</v>
      </c>
    </row>
    <row r="3294" spans="2:4">
      <c r="B3294" t="s">
        <v>9742</v>
      </c>
      <c r="C3294" s="46">
        <v>1</v>
      </c>
      <c r="D3294" s="30">
        <v>6518.0118467574575</v>
      </c>
    </row>
    <row r="3295" spans="2:4">
      <c r="B3295" t="s">
        <v>9743</v>
      </c>
      <c r="C3295" s="46">
        <v>1</v>
      </c>
      <c r="D3295" s="30">
        <v>3150.8176796413777</v>
      </c>
    </row>
    <row r="3296" spans="2:4">
      <c r="B3296" t="s">
        <v>9744</v>
      </c>
      <c r="C3296" s="46">
        <v>1</v>
      </c>
      <c r="D3296" s="30">
        <v>4505.4393480003937</v>
      </c>
    </row>
    <row r="3297" spans="2:4">
      <c r="B3297" t="s">
        <v>9745</v>
      </c>
      <c r="C3297" s="46">
        <v>1</v>
      </c>
      <c r="D3297" s="30">
        <v>7315.0966064935546</v>
      </c>
    </row>
    <row r="3298" spans="2:4">
      <c r="B3298" t="s">
        <v>9746</v>
      </c>
      <c r="C3298" s="46">
        <v>1</v>
      </c>
      <c r="D3298" s="30">
        <v>19001.744053143149</v>
      </c>
    </row>
    <row r="3299" spans="2:4">
      <c r="B3299" t="s">
        <v>9747</v>
      </c>
      <c r="C3299" s="46">
        <v>1</v>
      </c>
      <c r="D3299" s="30">
        <v>7261.5058204085162</v>
      </c>
    </row>
    <row r="3300" spans="2:4">
      <c r="B3300" t="s">
        <v>9748</v>
      </c>
      <c r="C3300" s="46">
        <v>1</v>
      </c>
      <c r="D3300" s="30">
        <v>6814.3311756437724</v>
      </c>
    </row>
    <row r="3301" spans="2:4">
      <c r="B3301" t="s">
        <v>9749</v>
      </c>
      <c r="C3301" s="46">
        <v>1</v>
      </c>
      <c r="D3301" s="30">
        <v>7283.1951742172878</v>
      </c>
    </row>
    <row r="3302" spans="2:4">
      <c r="B3302" t="s">
        <v>9750</v>
      </c>
      <c r="C3302" s="46">
        <v>1</v>
      </c>
      <c r="D3302" s="30">
        <v>2970.6837646577715</v>
      </c>
    </row>
    <row r="3303" spans="2:4">
      <c r="B3303" t="s">
        <v>9751</v>
      </c>
      <c r="C3303" s="46">
        <v>1</v>
      </c>
      <c r="D3303" s="30">
        <v>6469.1565320444706</v>
      </c>
    </row>
    <row r="3304" spans="2:4">
      <c r="B3304" t="s">
        <v>9752</v>
      </c>
      <c r="C3304" s="46">
        <v>1</v>
      </c>
      <c r="D3304" s="30">
        <v>4511.7597436605183</v>
      </c>
    </row>
    <row r="3305" spans="2:4">
      <c r="B3305" t="s">
        <v>9753</v>
      </c>
      <c r="C3305" s="46">
        <v>1</v>
      </c>
      <c r="D3305" s="30">
        <v>7308.0398307318665</v>
      </c>
    </row>
    <row r="3306" spans="2:4">
      <c r="B3306" t="s">
        <v>9754</v>
      </c>
      <c r="C3306" s="46">
        <v>1</v>
      </c>
      <c r="D3306" s="30">
        <v>28085.11553963249</v>
      </c>
    </row>
    <row r="3307" spans="2:4">
      <c r="B3307" t="s">
        <v>9755</v>
      </c>
      <c r="C3307" s="46">
        <v>1</v>
      </c>
      <c r="D3307" s="30">
        <v>7426.4510471584726</v>
      </c>
    </row>
    <row r="3308" spans="2:4">
      <c r="B3308" t="s">
        <v>9756</v>
      </c>
      <c r="C3308" s="46">
        <v>1</v>
      </c>
      <c r="D3308" s="30">
        <v>4457.3177630681521</v>
      </c>
    </row>
    <row r="3309" spans="2:4">
      <c r="B3309" t="s">
        <v>9757</v>
      </c>
      <c r="C3309" s="46">
        <v>1</v>
      </c>
      <c r="D3309" s="30">
        <v>6586.9760373289746</v>
      </c>
    </row>
    <row r="3310" spans="2:4">
      <c r="B3310" t="s">
        <v>9758</v>
      </c>
      <c r="C3310" s="46">
        <v>1</v>
      </c>
      <c r="D3310" s="30">
        <v>7021.1477396755827</v>
      </c>
    </row>
    <row r="3311" spans="2:4">
      <c r="B3311" t="s">
        <v>9759</v>
      </c>
      <c r="C3311" s="46">
        <v>1</v>
      </c>
      <c r="D3311" s="30">
        <v>7325.979350406742</v>
      </c>
    </row>
    <row r="3312" spans="2:4">
      <c r="B3312" t="s">
        <v>9760</v>
      </c>
      <c r="C3312" s="46">
        <v>1</v>
      </c>
      <c r="D3312" s="30">
        <v>142345.42920852394</v>
      </c>
    </row>
    <row r="3313" spans="2:4">
      <c r="B3313" t="s">
        <v>9761</v>
      </c>
      <c r="C3313" s="46">
        <v>1</v>
      </c>
      <c r="D3313" s="30">
        <v>7425.2881478899899</v>
      </c>
    </row>
    <row r="3314" spans="2:4">
      <c r="B3314" t="s">
        <v>9762</v>
      </c>
      <c r="C3314" s="46">
        <v>1</v>
      </c>
      <c r="D3314" s="30">
        <v>7308.0398307318665</v>
      </c>
    </row>
    <row r="3315" spans="2:4">
      <c r="B3315" t="s">
        <v>9763</v>
      </c>
      <c r="C3315" s="46">
        <v>1</v>
      </c>
      <c r="D3315" s="30">
        <v>7263.1784722139118</v>
      </c>
    </row>
    <row r="3316" spans="2:4">
      <c r="B3316" t="s">
        <v>9764</v>
      </c>
      <c r="C3316" s="46">
        <v>1</v>
      </c>
      <c r="D3316" s="30">
        <v>7009.9943536023193</v>
      </c>
    </row>
    <row r="3317" spans="2:4">
      <c r="B3317" t="s">
        <v>9765</v>
      </c>
      <c r="C3317" s="46">
        <v>1</v>
      </c>
      <c r="D3317" s="30">
        <v>5449.5003554712421</v>
      </c>
    </row>
    <row r="3318" spans="2:4">
      <c r="B3318" t="s">
        <v>9766</v>
      </c>
      <c r="C3318" s="46">
        <v>1</v>
      </c>
      <c r="D3318" s="30">
        <v>7387.3317777906714</v>
      </c>
    </row>
    <row r="3319" spans="2:4">
      <c r="B3319" t="s">
        <v>9767</v>
      </c>
      <c r="C3319" s="46">
        <v>1</v>
      </c>
      <c r="D3319" s="30">
        <v>7348.6050274360687</v>
      </c>
    </row>
    <row r="3320" spans="2:4">
      <c r="B3320" t="s">
        <v>9768</v>
      </c>
      <c r="C3320" s="46">
        <v>1</v>
      </c>
      <c r="D3320" s="30">
        <v>7348.6050274360687</v>
      </c>
    </row>
    <row r="3321" spans="2:4">
      <c r="B3321" t="s">
        <v>9769</v>
      </c>
      <c r="C3321" s="46">
        <v>1</v>
      </c>
      <c r="D3321" s="30">
        <v>6890.6567796960153</v>
      </c>
    </row>
    <row r="3322" spans="2:4">
      <c r="B3322" t="s">
        <v>9770</v>
      </c>
      <c r="C3322" s="46">
        <v>1</v>
      </c>
      <c r="D3322" s="30">
        <v>19001.744053143149</v>
      </c>
    </row>
    <row r="3323" spans="2:4">
      <c r="B3323" t="s">
        <v>9771</v>
      </c>
      <c r="C3323" s="46">
        <v>1</v>
      </c>
      <c r="D3323" s="30">
        <v>7348.6050274360687</v>
      </c>
    </row>
    <row r="3324" spans="2:4">
      <c r="B3324" t="s">
        <v>9772</v>
      </c>
      <c r="C3324" s="46">
        <v>1</v>
      </c>
      <c r="D3324" s="30">
        <v>7348.6050274360687</v>
      </c>
    </row>
    <row r="3325" spans="2:4">
      <c r="B3325" t="s">
        <v>9773</v>
      </c>
      <c r="C3325" s="46">
        <v>1</v>
      </c>
      <c r="D3325" s="30">
        <v>7348.6050274360687</v>
      </c>
    </row>
    <row r="3326" spans="2:4">
      <c r="B3326" t="s">
        <v>9774</v>
      </c>
      <c r="C3326" s="46">
        <v>1</v>
      </c>
      <c r="D3326" s="30">
        <v>7168.8404635177012</v>
      </c>
    </row>
    <row r="3327" spans="2:4">
      <c r="B3327" t="s">
        <v>9775</v>
      </c>
      <c r="C3327" s="46">
        <v>1</v>
      </c>
      <c r="D3327" s="30">
        <v>7348.6050274360687</v>
      </c>
    </row>
    <row r="3328" spans="2:4">
      <c r="B3328" t="s">
        <v>9776</v>
      </c>
      <c r="C3328" s="46">
        <v>1</v>
      </c>
      <c r="D3328" s="30">
        <v>3688.0366717509864</v>
      </c>
    </row>
    <row r="3329" spans="2:4">
      <c r="B3329" t="s">
        <v>9777</v>
      </c>
      <c r="C3329" s="46">
        <v>1</v>
      </c>
      <c r="D3329" s="30">
        <v>6583.9022048026845</v>
      </c>
    </row>
    <row r="3330" spans="2:4">
      <c r="B3330" t="s">
        <v>9778</v>
      </c>
      <c r="C3330" s="46">
        <v>1</v>
      </c>
      <c r="D3330" s="30">
        <v>6346.635259921416</v>
      </c>
    </row>
    <row r="3331" spans="2:4">
      <c r="B3331" t="s">
        <v>9779</v>
      </c>
      <c r="C3331" s="46">
        <v>1</v>
      </c>
      <c r="D3331" s="30">
        <v>2317.2504175402341</v>
      </c>
    </row>
    <row r="3332" spans="2:4">
      <c r="B3332" t="s">
        <v>9780</v>
      </c>
      <c r="C3332" s="46">
        <v>1</v>
      </c>
      <c r="D3332" s="30">
        <v>7404.8239451723075</v>
      </c>
    </row>
    <row r="3333" spans="2:4">
      <c r="B3333" t="s">
        <v>9781</v>
      </c>
      <c r="C3333" s="46">
        <v>1</v>
      </c>
      <c r="D3333" s="30">
        <v>6597.2856721990001</v>
      </c>
    </row>
    <row r="3334" spans="2:4">
      <c r="B3334" t="s">
        <v>9782</v>
      </c>
      <c r="C3334" s="46">
        <v>1</v>
      </c>
      <c r="D3334" s="30">
        <v>1711.5766859459065</v>
      </c>
    </row>
    <row r="3335" spans="2:4">
      <c r="B3335" t="s">
        <v>9783</v>
      </c>
      <c r="C3335" s="46">
        <v>1</v>
      </c>
      <c r="D3335" s="30">
        <v>6890.6567796960153</v>
      </c>
    </row>
    <row r="3336" spans="2:4">
      <c r="B3336" t="s">
        <v>9784</v>
      </c>
      <c r="C3336" s="46">
        <v>1</v>
      </c>
      <c r="D3336" s="30">
        <v>2435.183225651771</v>
      </c>
    </row>
    <row r="3337" spans="2:4">
      <c r="B3337" t="s">
        <v>9785</v>
      </c>
      <c r="C3337" s="46">
        <v>1</v>
      </c>
      <c r="D3337" s="30">
        <v>7431.7434326002049</v>
      </c>
    </row>
    <row r="3338" spans="2:4">
      <c r="B3338" t="s">
        <v>9786</v>
      </c>
      <c r="C3338" s="46">
        <v>1</v>
      </c>
      <c r="D3338" s="30">
        <v>7413.6949080810091</v>
      </c>
    </row>
    <row r="3339" spans="2:4">
      <c r="B3339" t="s">
        <v>9787</v>
      </c>
      <c r="C3339" s="46">
        <v>1</v>
      </c>
      <c r="D3339" s="30">
        <v>6049.5338513475899</v>
      </c>
    </row>
    <row r="3340" spans="2:4">
      <c r="B3340" t="s">
        <v>9788</v>
      </c>
      <c r="C3340" s="46">
        <v>1</v>
      </c>
      <c r="D3340" s="30">
        <v>7380.8960056725864</v>
      </c>
    </row>
    <row r="3341" spans="2:4">
      <c r="B3341" t="s">
        <v>9789</v>
      </c>
      <c r="C3341" s="46">
        <v>1</v>
      </c>
      <c r="D3341" s="30">
        <v>7263.1784722139118</v>
      </c>
    </row>
    <row r="3342" spans="2:4">
      <c r="B3342" t="s">
        <v>9790</v>
      </c>
      <c r="C3342" s="46">
        <v>1</v>
      </c>
      <c r="D3342" s="30">
        <v>7320.611505782862</v>
      </c>
    </row>
    <row r="3343" spans="2:4">
      <c r="B3343" t="s">
        <v>9791</v>
      </c>
      <c r="C3343" s="46">
        <v>1</v>
      </c>
      <c r="D3343" s="30">
        <v>7275.2199514237445</v>
      </c>
    </row>
    <row r="3344" spans="2:4">
      <c r="B3344" t="s">
        <v>9792</v>
      </c>
      <c r="C3344" s="46">
        <v>1</v>
      </c>
      <c r="D3344" s="30">
        <v>7439.7278490435365</v>
      </c>
    </row>
    <row r="3345" spans="2:4">
      <c r="B3345" t="s">
        <v>9793</v>
      </c>
      <c r="C3345" s="46">
        <v>1</v>
      </c>
      <c r="D3345" s="30">
        <v>7251.2157334484127</v>
      </c>
    </row>
    <row r="3346" spans="2:4">
      <c r="B3346" t="s">
        <v>9794</v>
      </c>
      <c r="C3346" s="46">
        <v>1</v>
      </c>
      <c r="D3346" s="30">
        <v>4237.437210562608</v>
      </c>
    </row>
    <row r="3347" spans="2:4">
      <c r="B3347" t="s">
        <v>9795</v>
      </c>
      <c r="C3347" s="46">
        <v>1</v>
      </c>
      <c r="D3347" s="30">
        <v>7275.2199514237445</v>
      </c>
    </row>
    <row r="3348" spans="2:4">
      <c r="B3348" t="s">
        <v>9796</v>
      </c>
      <c r="C3348" s="46">
        <v>1</v>
      </c>
      <c r="D3348" s="30">
        <v>6095.7418260720578</v>
      </c>
    </row>
    <row r="3349" spans="2:4">
      <c r="B3349" t="s">
        <v>9797</v>
      </c>
      <c r="C3349" s="46">
        <v>1</v>
      </c>
      <c r="D3349" s="30">
        <v>4861.5177084900097</v>
      </c>
    </row>
    <row r="3350" spans="2:4">
      <c r="B3350" t="s">
        <v>9798</v>
      </c>
      <c r="C3350" s="46">
        <v>1</v>
      </c>
      <c r="D3350" s="30">
        <v>465.5567353021454</v>
      </c>
    </row>
    <row r="3351" spans="2:4">
      <c r="B3351" t="s">
        <v>9799</v>
      </c>
      <c r="C3351" s="46">
        <v>1</v>
      </c>
      <c r="D3351" s="30">
        <v>6694.099315679191</v>
      </c>
    </row>
    <row r="3352" spans="2:4">
      <c r="B3352" t="s">
        <v>9800</v>
      </c>
      <c r="C3352" s="46">
        <v>1</v>
      </c>
      <c r="D3352" s="30">
        <v>19001.744053143149</v>
      </c>
    </row>
    <row r="3353" spans="2:4">
      <c r="B3353" t="s">
        <v>9801</v>
      </c>
      <c r="C3353" s="46">
        <v>1</v>
      </c>
      <c r="D3353" s="30">
        <v>5697.8783880654128</v>
      </c>
    </row>
    <row r="3354" spans="2:4">
      <c r="B3354" t="s">
        <v>9802</v>
      </c>
      <c r="C3354" s="46">
        <v>1</v>
      </c>
      <c r="D3354" s="30">
        <v>7448.6930385008163</v>
      </c>
    </row>
    <row r="3355" spans="2:4">
      <c r="B3355" t="s">
        <v>9803</v>
      </c>
      <c r="C3355" s="46">
        <v>1</v>
      </c>
      <c r="D3355" s="30">
        <v>2352.0950404257674</v>
      </c>
    </row>
    <row r="3356" spans="2:4">
      <c r="B3356" t="s">
        <v>9804</v>
      </c>
      <c r="C3356" s="46">
        <v>1</v>
      </c>
      <c r="D3356" s="30">
        <v>5573.9310655712425</v>
      </c>
    </row>
    <row r="3357" spans="2:4">
      <c r="B3357" t="s">
        <v>9805</v>
      </c>
      <c r="C3357" s="46">
        <v>1</v>
      </c>
      <c r="D3357" s="30">
        <v>28085.11553963249</v>
      </c>
    </row>
    <row r="3358" spans="2:4">
      <c r="B3358" t="s">
        <v>9806</v>
      </c>
      <c r="C3358" s="46">
        <v>1</v>
      </c>
      <c r="D3358" s="30">
        <v>7317.0904745923763</v>
      </c>
    </row>
    <row r="3359" spans="2:4">
      <c r="B3359" t="s">
        <v>9807</v>
      </c>
      <c r="C3359" s="46">
        <v>1</v>
      </c>
      <c r="D3359" s="30">
        <v>2476.3265160863057</v>
      </c>
    </row>
    <row r="3360" spans="2:4">
      <c r="B3360" t="s">
        <v>9808</v>
      </c>
      <c r="C3360" s="46">
        <v>1</v>
      </c>
      <c r="D3360" s="30">
        <v>5697.8783880654128</v>
      </c>
    </row>
    <row r="3361" spans="2:4">
      <c r="B3361" t="s">
        <v>9809</v>
      </c>
      <c r="C3361" s="46">
        <v>1</v>
      </c>
      <c r="D3361" s="30">
        <v>7357.732708600277</v>
      </c>
    </row>
    <row r="3362" spans="2:4">
      <c r="B3362" t="s">
        <v>9810</v>
      </c>
      <c r="C3362" s="46">
        <v>1</v>
      </c>
      <c r="D3362" s="30">
        <v>1716.7631746577483</v>
      </c>
    </row>
    <row r="3363" spans="2:4">
      <c r="B3363" t="s">
        <v>9811</v>
      </c>
      <c r="C3363" s="46">
        <v>1</v>
      </c>
      <c r="D3363" s="30">
        <v>6461.6639144710907</v>
      </c>
    </row>
    <row r="3364" spans="2:4">
      <c r="B3364" t="s">
        <v>9812</v>
      </c>
      <c r="C3364" s="46">
        <v>1</v>
      </c>
      <c r="D3364" s="30">
        <v>5727.4212550227858</v>
      </c>
    </row>
    <row r="3365" spans="2:4">
      <c r="B3365" t="s">
        <v>9813</v>
      </c>
      <c r="C3365" s="46">
        <v>1</v>
      </c>
      <c r="D3365" s="30">
        <v>7357.732708600277</v>
      </c>
    </row>
    <row r="3366" spans="2:4">
      <c r="B3366" t="s">
        <v>9814</v>
      </c>
      <c r="C3366" s="46">
        <v>1</v>
      </c>
      <c r="D3366" s="30">
        <v>6131.478503449046</v>
      </c>
    </row>
    <row r="3367" spans="2:4">
      <c r="B3367" t="s">
        <v>9815</v>
      </c>
      <c r="C3367" s="46">
        <v>1</v>
      </c>
      <c r="D3367" s="30">
        <v>7120.7803858018569</v>
      </c>
    </row>
    <row r="3368" spans="2:4">
      <c r="B3368" t="s">
        <v>9816</v>
      </c>
      <c r="C3368" s="46">
        <v>1</v>
      </c>
      <c r="D3368" s="30">
        <v>7349.0647234279022</v>
      </c>
    </row>
    <row r="3369" spans="2:4">
      <c r="B3369" t="s">
        <v>9817</v>
      </c>
      <c r="C3369" s="46">
        <v>1</v>
      </c>
      <c r="D3369" s="30">
        <v>7385.101053392963</v>
      </c>
    </row>
    <row r="3370" spans="2:4">
      <c r="B3370" t="s">
        <v>9818</v>
      </c>
      <c r="C3370" s="46">
        <v>1</v>
      </c>
      <c r="D3370" s="30">
        <v>7357.732708600277</v>
      </c>
    </row>
    <row r="3371" spans="2:4">
      <c r="B3371" t="s">
        <v>9819</v>
      </c>
      <c r="C3371" s="46">
        <v>1</v>
      </c>
      <c r="D3371" s="30">
        <v>1796.5607931109168</v>
      </c>
    </row>
    <row r="3372" spans="2:4">
      <c r="B3372" t="s">
        <v>9820</v>
      </c>
      <c r="C3372" s="46">
        <v>1</v>
      </c>
      <c r="D3372" s="30">
        <v>7395.626842709049</v>
      </c>
    </row>
    <row r="3373" spans="2:4">
      <c r="B3373" t="s">
        <v>9821</v>
      </c>
      <c r="C3373" s="46">
        <v>1</v>
      </c>
      <c r="D3373" s="30">
        <v>6910.4908070711481</v>
      </c>
    </row>
    <row r="3374" spans="2:4">
      <c r="B3374" t="s">
        <v>9822</v>
      </c>
      <c r="C3374" s="46">
        <v>1</v>
      </c>
      <c r="D3374" s="30">
        <v>7436.72858692508</v>
      </c>
    </row>
    <row r="3375" spans="2:4">
      <c r="B3375" t="s">
        <v>9823</v>
      </c>
      <c r="C3375" s="46">
        <v>1</v>
      </c>
      <c r="D3375" s="30">
        <v>99996.310700452232</v>
      </c>
    </row>
    <row r="3376" spans="2:4">
      <c r="B3376" t="s">
        <v>9824</v>
      </c>
      <c r="C3376" s="46">
        <v>1</v>
      </c>
      <c r="D3376" s="30">
        <v>38886.348630980516</v>
      </c>
    </row>
    <row r="3377" spans="2:4">
      <c r="B3377" t="s">
        <v>9825</v>
      </c>
      <c r="C3377" s="46">
        <v>1</v>
      </c>
      <c r="D3377" s="30">
        <v>7197.4644112459673</v>
      </c>
    </row>
    <row r="3378" spans="2:4">
      <c r="B3378" t="s">
        <v>9826</v>
      </c>
      <c r="C3378" s="46">
        <v>1</v>
      </c>
      <c r="D3378" s="30">
        <v>7354.3279073744416</v>
      </c>
    </row>
    <row r="3379" spans="2:4">
      <c r="B3379" t="s">
        <v>9827</v>
      </c>
      <c r="C3379" s="46">
        <v>1</v>
      </c>
      <c r="D3379" s="30">
        <v>7448.6930385008163</v>
      </c>
    </row>
    <row r="3380" spans="2:4">
      <c r="B3380" t="s">
        <v>9828</v>
      </c>
      <c r="C3380" s="46">
        <v>1</v>
      </c>
      <c r="D3380" s="30">
        <v>7421.4265885611867</v>
      </c>
    </row>
    <row r="3381" spans="2:4">
      <c r="B3381" t="s">
        <v>9829</v>
      </c>
      <c r="C3381" s="46">
        <v>1</v>
      </c>
      <c r="D3381" s="30">
        <v>7435.5011937090167</v>
      </c>
    </row>
    <row r="3382" spans="2:4">
      <c r="B3382" t="s">
        <v>9830</v>
      </c>
      <c r="C3382" s="46">
        <v>1</v>
      </c>
      <c r="D3382" s="30">
        <v>5956.2415383482421</v>
      </c>
    </row>
    <row r="3383" spans="2:4">
      <c r="B3383" t="s">
        <v>9831</v>
      </c>
      <c r="C3383" s="46">
        <v>1</v>
      </c>
      <c r="D3383" s="30">
        <v>7448.6930385008163</v>
      </c>
    </row>
    <row r="3384" spans="2:4">
      <c r="B3384" t="s">
        <v>9832</v>
      </c>
      <c r="C3384" s="46">
        <v>1</v>
      </c>
      <c r="D3384" s="30">
        <v>6883.2465202836638</v>
      </c>
    </row>
    <row r="3385" spans="2:4">
      <c r="B3385" t="s">
        <v>9833</v>
      </c>
      <c r="C3385" s="46">
        <v>1</v>
      </c>
      <c r="D3385" s="30">
        <v>7438.7226542347762</v>
      </c>
    </row>
    <row r="3386" spans="2:4">
      <c r="B3386" t="s">
        <v>9834</v>
      </c>
      <c r="C3386" s="46">
        <v>1</v>
      </c>
      <c r="D3386" s="30">
        <v>6694.099315679191</v>
      </c>
    </row>
    <row r="3387" spans="2:4">
      <c r="B3387" t="s">
        <v>9835</v>
      </c>
      <c r="C3387" s="46">
        <v>1</v>
      </c>
      <c r="D3387" s="30">
        <v>7110.7931139566363</v>
      </c>
    </row>
    <row r="3388" spans="2:4">
      <c r="B3388" t="s">
        <v>9836</v>
      </c>
      <c r="C3388" s="46">
        <v>1</v>
      </c>
      <c r="D3388" s="30">
        <v>91299.45957296979</v>
      </c>
    </row>
    <row r="3389" spans="2:4">
      <c r="B3389" t="s">
        <v>9837</v>
      </c>
      <c r="C3389" s="46">
        <v>1</v>
      </c>
      <c r="D3389" s="30">
        <v>6461.6639144710907</v>
      </c>
    </row>
    <row r="3390" spans="2:4">
      <c r="B3390" t="s">
        <v>9838</v>
      </c>
      <c r="C3390" s="46">
        <v>1</v>
      </c>
      <c r="D3390" s="30">
        <v>7397.4596855720974</v>
      </c>
    </row>
    <row r="3391" spans="2:4">
      <c r="B3391" t="s">
        <v>9839</v>
      </c>
      <c r="C3391" s="46">
        <v>1</v>
      </c>
      <c r="D3391" s="30">
        <v>7321.9970448520562</v>
      </c>
    </row>
    <row r="3392" spans="2:4">
      <c r="B3392" t="s">
        <v>9840</v>
      </c>
      <c r="C3392" s="46">
        <v>1</v>
      </c>
      <c r="D3392" s="30">
        <v>4456.3519618382625</v>
      </c>
    </row>
    <row r="3393" spans="2:4">
      <c r="B3393" t="s">
        <v>9841</v>
      </c>
      <c r="C3393" s="46">
        <v>1</v>
      </c>
      <c r="D3393" s="30">
        <v>5985.7168706940756</v>
      </c>
    </row>
    <row r="3394" spans="2:4">
      <c r="B3394" t="s">
        <v>9842</v>
      </c>
      <c r="C3394" s="46">
        <v>1</v>
      </c>
      <c r="D3394" s="30">
        <v>28085.11553963249</v>
      </c>
    </row>
    <row r="3395" spans="2:4">
      <c r="B3395" t="s">
        <v>9843</v>
      </c>
      <c r="C3395" s="46">
        <v>1</v>
      </c>
      <c r="D3395" s="30">
        <v>7449.6900812939193</v>
      </c>
    </row>
    <row r="3396" spans="2:4">
      <c r="B3396" t="s">
        <v>9844</v>
      </c>
      <c r="C3396" s="46">
        <v>1</v>
      </c>
      <c r="D3396" s="30">
        <v>7333.4183855865876</v>
      </c>
    </row>
    <row r="3397" spans="2:4">
      <c r="B3397" t="s">
        <v>9845</v>
      </c>
      <c r="C3397" s="46">
        <v>1</v>
      </c>
      <c r="D3397" s="30">
        <v>5094.8596417375584</v>
      </c>
    </row>
    <row r="3398" spans="2:4">
      <c r="B3398" t="s">
        <v>9846</v>
      </c>
      <c r="C3398" s="46">
        <v>1</v>
      </c>
      <c r="D3398" s="30">
        <v>6312.5918783466386</v>
      </c>
    </row>
    <row r="3399" spans="2:4">
      <c r="B3399" t="s">
        <v>9847</v>
      </c>
      <c r="C3399" s="46">
        <v>1</v>
      </c>
      <c r="D3399" s="30">
        <v>919.50496925417485</v>
      </c>
    </row>
    <row r="3400" spans="2:4">
      <c r="B3400" t="s">
        <v>9848</v>
      </c>
      <c r="C3400" s="46">
        <v>1</v>
      </c>
      <c r="D3400" s="30">
        <v>7391.4773791545576</v>
      </c>
    </row>
    <row r="3401" spans="2:4">
      <c r="B3401" t="s">
        <v>9849</v>
      </c>
      <c r="C3401" s="46">
        <v>1</v>
      </c>
      <c r="D3401" s="30">
        <v>7391.4773791545576</v>
      </c>
    </row>
    <row r="3402" spans="2:4">
      <c r="B3402" t="s">
        <v>9850</v>
      </c>
      <c r="C3402" s="46">
        <v>1</v>
      </c>
      <c r="D3402" s="30">
        <v>7391.4773791545576</v>
      </c>
    </row>
    <row r="3403" spans="2:4">
      <c r="B3403" t="s">
        <v>9851</v>
      </c>
      <c r="C3403" s="46">
        <v>1</v>
      </c>
      <c r="D3403" s="30">
        <v>7391.4773791545576</v>
      </c>
    </row>
    <row r="3404" spans="2:4">
      <c r="B3404" t="s">
        <v>9852</v>
      </c>
      <c r="C3404" s="46">
        <v>1</v>
      </c>
      <c r="D3404" s="30">
        <v>7391.4773791545576</v>
      </c>
    </row>
    <row r="3405" spans="2:4">
      <c r="B3405" t="s">
        <v>9853</v>
      </c>
      <c r="C3405" s="46">
        <v>1</v>
      </c>
      <c r="D3405" s="30">
        <v>1072.8304240982636</v>
      </c>
    </row>
    <row r="3406" spans="2:4">
      <c r="B3406" t="s">
        <v>9854</v>
      </c>
      <c r="C3406" s="46">
        <v>1</v>
      </c>
      <c r="D3406" s="30">
        <v>7409.5778245570509</v>
      </c>
    </row>
    <row r="3407" spans="2:4">
      <c r="B3407" t="s">
        <v>9855</v>
      </c>
      <c r="C3407" s="46">
        <v>1</v>
      </c>
      <c r="D3407" s="30">
        <v>628.709095676429</v>
      </c>
    </row>
    <row r="3408" spans="2:4">
      <c r="B3408" t="s">
        <v>9856</v>
      </c>
      <c r="C3408" s="46">
        <v>1</v>
      </c>
      <c r="D3408" s="30">
        <v>7442.5572350112479</v>
      </c>
    </row>
    <row r="3409" spans="2:4">
      <c r="B3409" t="s">
        <v>9857</v>
      </c>
      <c r="C3409" s="46">
        <v>1</v>
      </c>
      <c r="D3409" s="30">
        <v>7387.3317777906714</v>
      </c>
    </row>
    <row r="3410" spans="2:4">
      <c r="B3410" t="s">
        <v>9858</v>
      </c>
      <c r="C3410" s="46">
        <v>1</v>
      </c>
      <c r="D3410" s="30">
        <v>7306.0459563656241</v>
      </c>
    </row>
    <row r="3411" spans="2:4">
      <c r="B3411" t="s">
        <v>9859</v>
      </c>
      <c r="C3411" s="46">
        <v>1</v>
      </c>
      <c r="D3411" s="30">
        <v>6486.4893129950888</v>
      </c>
    </row>
    <row r="3412" spans="2:4">
      <c r="B3412" t="s">
        <v>9860</v>
      </c>
      <c r="C3412" s="46">
        <v>1</v>
      </c>
      <c r="D3412" s="30">
        <v>5292.5357558192882</v>
      </c>
    </row>
    <row r="3413" spans="2:4">
      <c r="B3413" t="s">
        <v>9861</v>
      </c>
      <c r="C3413" s="46">
        <v>1</v>
      </c>
      <c r="D3413" s="30">
        <v>7016.0039996053156</v>
      </c>
    </row>
    <row r="3414" spans="2:4">
      <c r="B3414" t="s">
        <v>9862</v>
      </c>
      <c r="C3414" s="46">
        <v>1</v>
      </c>
      <c r="D3414" s="30">
        <v>6280.2923481477874</v>
      </c>
    </row>
    <row r="3415" spans="2:4">
      <c r="B3415" t="s">
        <v>9863</v>
      </c>
      <c r="C3415" s="46">
        <v>1</v>
      </c>
      <c r="D3415" s="30">
        <v>6280.2923481477874</v>
      </c>
    </row>
    <row r="3416" spans="2:4">
      <c r="B3416" t="s">
        <v>9864</v>
      </c>
      <c r="C3416" s="46">
        <v>1</v>
      </c>
      <c r="D3416" s="30">
        <v>6280.2923481477874</v>
      </c>
    </row>
    <row r="3417" spans="2:4">
      <c r="B3417" t="s">
        <v>9865</v>
      </c>
      <c r="C3417" s="46">
        <v>1</v>
      </c>
      <c r="D3417" s="30">
        <v>6909.6752242115417</v>
      </c>
    </row>
    <row r="3418" spans="2:4">
      <c r="B3418" t="s">
        <v>9866</v>
      </c>
      <c r="C3418" s="46">
        <v>1</v>
      </c>
      <c r="D3418" s="30">
        <v>7050.3749323670918</v>
      </c>
    </row>
    <row r="3419" spans="2:4">
      <c r="B3419" t="s">
        <v>9867</v>
      </c>
      <c r="C3419" s="46">
        <v>1</v>
      </c>
      <c r="D3419" s="30">
        <v>7441.7137611696089</v>
      </c>
    </row>
    <row r="3420" spans="2:4">
      <c r="B3420" t="s">
        <v>9868</v>
      </c>
      <c r="C3420" s="46">
        <v>1</v>
      </c>
      <c r="D3420" s="30">
        <v>7439.8031145974983</v>
      </c>
    </row>
    <row r="3421" spans="2:4">
      <c r="B3421" t="s">
        <v>9869</v>
      </c>
      <c r="C3421" s="46">
        <v>1</v>
      </c>
      <c r="D3421" s="30">
        <v>3763.9477928394222</v>
      </c>
    </row>
    <row r="3422" spans="2:4">
      <c r="B3422" t="s">
        <v>9870</v>
      </c>
      <c r="C3422" s="46">
        <v>1</v>
      </c>
      <c r="D3422" s="30">
        <v>7312.0275895019295</v>
      </c>
    </row>
    <row r="3423" spans="2:4">
      <c r="B3423" t="s">
        <v>9871</v>
      </c>
      <c r="C3423" s="46">
        <v>1</v>
      </c>
      <c r="D3423" s="30">
        <v>7376.9080612733405</v>
      </c>
    </row>
    <row r="3424" spans="2:4">
      <c r="B3424" t="s">
        <v>9872</v>
      </c>
      <c r="C3424" s="46">
        <v>1</v>
      </c>
      <c r="D3424" s="30">
        <v>2317.2504175402341</v>
      </c>
    </row>
    <row r="3425" spans="2:4">
      <c r="B3425" t="s">
        <v>9873</v>
      </c>
      <c r="C3425" s="46">
        <v>1</v>
      </c>
      <c r="D3425" s="30">
        <v>6734.7877342804295</v>
      </c>
    </row>
    <row r="3426" spans="2:4">
      <c r="B3426" t="s">
        <v>9874</v>
      </c>
      <c r="C3426" s="46">
        <v>1</v>
      </c>
      <c r="D3426" s="30">
        <v>4554.4029929318831</v>
      </c>
    </row>
    <row r="3427" spans="2:4">
      <c r="B3427" t="s">
        <v>9875</v>
      </c>
      <c r="C3427" s="46">
        <v>1</v>
      </c>
      <c r="D3427" s="30">
        <v>7335.9544220286043</v>
      </c>
    </row>
    <row r="3428" spans="2:4">
      <c r="B3428" t="s">
        <v>9876</v>
      </c>
      <c r="C3428" s="46">
        <v>1</v>
      </c>
      <c r="D3428" s="30">
        <v>4287.8914325839141</v>
      </c>
    </row>
    <row r="3429" spans="2:4">
      <c r="B3429" t="s">
        <v>9877</v>
      </c>
      <c r="C3429" s="46">
        <v>1</v>
      </c>
      <c r="D3429" s="30">
        <v>6543.2924108077577</v>
      </c>
    </row>
    <row r="3430" spans="2:4">
      <c r="B3430" t="s">
        <v>9878</v>
      </c>
      <c r="C3430" s="46">
        <v>1</v>
      </c>
      <c r="D3430" s="30">
        <v>6711.3959119776982</v>
      </c>
    </row>
    <row r="3431" spans="2:4">
      <c r="B3431" t="s">
        <v>9879</v>
      </c>
      <c r="C3431" s="46">
        <v>1</v>
      </c>
      <c r="D3431" s="30">
        <v>6543.2924108077577</v>
      </c>
    </row>
    <row r="3432" spans="2:4">
      <c r="B3432" t="s">
        <v>9880</v>
      </c>
      <c r="C3432" s="46">
        <v>1</v>
      </c>
      <c r="D3432" s="30">
        <v>4965.5031910503976</v>
      </c>
    </row>
    <row r="3433" spans="2:4">
      <c r="B3433" t="s">
        <v>9881</v>
      </c>
      <c r="C3433" s="46">
        <v>1</v>
      </c>
      <c r="D3433" s="30">
        <v>6543.2924108077577</v>
      </c>
    </row>
    <row r="3434" spans="2:4">
      <c r="B3434" t="s">
        <v>9882</v>
      </c>
      <c r="C3434" s="46">
        <v>1</v>
      </c>
      <c r="D3434" s="30">
        <v>2471.1313245736801</v>
      </c>
    </row>
    <row r="3435" spans="2:4">
      <c r="B3435" t="s">
        <v>9883</v>
      </c>
      <c r="C3435" s="46">
        <v>1</v>
      </c>
      <c r="D3435" s="30">
        <v>6543.2924108077577</v>
      </c>
    </row>
    <row r="3436" spans="2:4">
      <c r="B3436" t="s">
        <v>9884</v>
      </c>
      <c r="C3436" s="46">
        <v>1</v>
      </c>
      <c r="D3436" s="30">
        <v>7392.8599170263842</v>
      </c>
    </row>
    <row r="3437" spans="2:4">
      <c r="B3437" t="s">
        <v>9885</v>
      </c>
      <c r="C3437" s="46">
        <v>1</v>
      </c>
      <c r="D3437" s="30">
        <v>7098.7824114295991</v>
      </c>
    </row>
    <row r="3438" spans="2:4">
      <c r="B3438" t="s">
        <v>9886</v>
      </c>
      <c r="C3438" s="46">
        <v>1</v>
      </c>
      <c r="D3438" s="30">
        <v>7387.3317777906714</v>
      </c>
    </row>
    <row r="3439" spans="2:4">
      <c r="B3439" t="s">
        <v>9887</v>
      </c>
      <c r="C3439" s="46">
        <v>1</v>
      </c>
      <c r="D3439" s="30">
        <v>7367.2557838883968</v>
      </c>
    </row>
    <row r="3440" spans="2:4">
      <c r="B3440" t="s">
        <v>9888</v>
      </c>
      <c r="C3440" s="46">
        <v>1</v>
      </c>
      <c r="D3440" s="30">
        <v>53186.879754203685</v>
      </c>
    </row>
    <row r="3441" spans="2:4">
      <c r="B3441" t="s">
        <v>9889</v>
      </c>
      <c r="C3441" s="46">
        <v>1</v>
      </c>
      <c r="D3441" s="30">
        <v>10916.046398930966</v>
      </c>
    </row>
    <row r="3442" spans="2:4">
      <c r="B3442" t="s">
        <v>9890</v>
      </c>
      <c r="C3442" s="46">
        <v>1</v>
      </c>
      <c r="D3442" s="30">
        <v>7387.3317777906714</v>
      </c>
    </row>
    <row r="3443" spans="2:4">
      <c r="B3443" t="s">
        <v>9891</v>
      </c>
      <c r="C3443" s="46">
        <v>1</v>
      </c>
      <c r="D3443" s="30">
        <v>6870.6693851228529</v>
      </c>
    </row>
    <row r="3444" spans="2:4">
      <c r="B3444" t="s">
        <v>9892</v>
      </c>
      <c r="C3444" s="46">
        <v>1</v>
      </c>
      <c r="D3444" s="30">
        <v>4289.9952640929951</v>
      </c>
    </row>
    <row r="3445" spans="2:4">
      <c r="B3445" t="s">
        <v>9893</v>
      </c>
      <c r="C3445" s="46">
        <v>1</v>
      </c>
      <c r="D3445" s="30">
        <v>7291.2351410251713</v>
      </c>
    </row>
    <row r="3446" spans="2:4">
      <c r="B3446" t="s">
        <v>9894</v>
      </c>
      <c r="C3446" s="46">
        <v>1</v>
      </c>
      <c r="D3446" s="30">
        <v>6316.4950477184721</v>
      </c>
    </row>
    <row r="3447" spans="2:4">
      <c r="B3447" t="s">
        <v>9895</v>
      </c>
      <c r="C3447" s="46">
        <v>1</v>
      </c>
      <c r="D3447" s="30">
        <v>5852.783455928542</v>
      </c>
    </row>
    <row r="3448" spans="2:4">
      <c r="B3448" t="s">
        <v>9896</v>
      </c>
      <c r="C3448" s="46">
        <v>1</v>
      </c>
      <c r="D3448" s="30">
        <v>7289.1766269485406</v>
      </c>
    </row>
    <row r="3449" spans="2:4">
      <c r="B3449" t="s">
        <v>9897</v>
      </c>
      <c r="C3449" s="46">
        <v>1</v>
      </c>
      <c r="D3449" s="30">
        <v>1382.6143685714226</v>
      </c>
    </row>
    <row r="3450" spans="2:4">
      <c r="B3450" t="s">
        <v>9898</v>
      </c>
      <c r="C3450" s="46">
        <v>1</v>
      </c>
      <c r="D3450" s="30">
        <v>7296.3920996971419</v>
      </c>
    </row>
    <row r="3451" spans="2:4">
      <c r="B3451" t="s">
        <v>9899</v>
      </c>
      <c r="C3451" s="46">
        <v>1</v>
      </c>
      <c r="D3451" s="30">
        <v>4999.6104853533379</v>
      </c>
    </row>
    <row r="3452" spans="2:4">
      <c r="B3452" t="s">
        <v>9900</v>
      </c>
      <c r="C3452" s="46">
        <v>1</v>
      </c>
      <c r="D3452" s="30">
        <v>5220.25456919514</v>
      </c>
    </row>
    <row r="3453" spans="2:4">
      <c r="B3453" t="s">
        <v>9901</v>
      </c>
      <c r="C3453" s="46">
        <v>1</v>
      </c>
      <c r="D3453" s="30">
        <v>6885.6099868303227</v>
      </c>
    </row>
    <row r="3454" spans="2:4">
      <c r="B3454" t="s">
        <v>9902</v>
      </c>
      <c r="C3454" s="46">
        <v>1</v>
      </c>
      <c r="D3454" s="30">
        <v>7172.4641440058431</v>
      </c>
    </row>
    <row r="3455" spans="2:4">
      <c r="B3455" t="s">
        <v>9903</v>
      </c>
      <c r="C3455" s="46">
        <v>1</v>
      </c>
      <c r="D3455" s="30">
        <v>2970.6837646577715</v>
      </c>
    </row>
    <row r="3456" spans="2:4">
      <c r="B3456" t="s">
        <v>9904</v>
      </c>
      <c r="C3456" s="46">
        <v>1</v>
      </c>
      <c r="D3456" s="30">
        <v>7098.7824114295991</v>
      </c>
    </row>
    <row r="3457" spans="2:4">
      <c r="B3457" t="s">
        <v>9905</v>
      </c>
      <c r="C3457" s="46">
        <v>1</v>
      </c>
      <c r="D3457" s="30">
        <v>1711.5766859459065</v>
      </c>
    </row>
    <row r="3458" spans="2:4">
      <c r="B3458" t="s">
        <v>9906</v>
      </c>
      <c r="C3458" s="46">
        <v>1</v>
      </c>
      <c r="D3458" s="30">
        <v>6385.5753314514259</v>
      </c>
    </row>
    <row r="3459" spans="2:4">
      <c r="B3459" t="s">
        <v>9907</v>
      </c>
      <c r="C3459" s="46">
        <v>1</v>
      </c>
      <c r="D3459" s="30">
        <v>7209.4264582818296</v>
      </c>
    </row>
    <row r="3460" spans="2:4">
      <c r="B3460" t="s">
        <v>9908</v>
      </c>
      <c r="C3460" s="46">
        <v>1</v>
      </c>
      <c r="D3460" s="30">
        <v>7449.6900812939193</v>
      </c>
    </row>
    <row r="3461" spans="2:4">
      <c r="B3461" t="s">
        <v>9909</v>
      </c>
      <c r="C3461" s="46">
        <v>1</v>
      </c>
      <c r="D3461" s="30">
        <v>3793.947213617831</v>
      </c>
    </row>
    <row r="3462" spans="2:4">
      <c r="B3462" t="s">
        <v>9910</v>
      </c>
      <c r="C3462" s="46">
        <v>1</v>
      </c>
      <c r="D3462" s="30">
        <v>6657.7334112126437</v>
      </c>
    </row>
    <row r="3463" spans="2:4">
      <c r="B3463" t="s">
        <v>9911</v>
      </c>
      <c r="C3463" s="46">
        <v>1</v>
      </c>
      <c r="D3463" s="30">
        <v>7436.72858692508</v>
      </c>
    </row>
    <row r="3464" spans="2:4">
      <c r="B3464" t="s">
        <v>9912</v>
      </c>
      <c r="C3464" s="46">
        <v>1</v>
      </c>
      <c r="D3464" s="30">
        <v>6092.6787092927307</v>
      </c>
    </row>
    <row r="3465" spans="2:4">
      <c r="B3465" t="s">
        <v>9913</v>
      </c>
      <c r="C3465" s="46">
        <v>1</v>
      </c>
      <c r="D3465" s="30">
        <v>2753.9517346429361</v>
      </c>
    </row>
    <row r="3466" spans="2:4">
      <c r="B3466" t="s">
        <v>9914</v>
      </c>
      <c r="C3466" s="46">
        <v>1</v>
      </c>
      <c r="D3466" s="30">
        <v>6897.3766066489061</v>
      </c>
    </row>
    <row r="3467" spans="2:4">
      <c r="B3467" t="s">
        <v>9915</v>
      </c>
      <c r="C3467" s="46">
        <v>1</v>
      </c>
      <c r="D3467" s="30">
        <v>5449.5003554712421</v>
      </c>
    </row>
    <row r="3468" spans="2:4">
      <c r="B3468" t="s">
        <v>9916</v>
      </c>
      <c r="C3468" s="46">
        <v>1</v>
      </c>
      <c r="D3468" s="30">
        <v>7009.9943536023193</v>
      </c>
    </row>
    <row r="3469" spans="2:4">
      <c r="B3469" t="s">
        <v>9917</v>
      </c>
      <c r="C3469" s="46">
        <v>1</v>
      </c>
      <c r="D3469" s="30">
        <v>6461.9804860715549</v>
      </c>
    </row>
    <row r="3470" spans="2:4">
      <c r="B3470" t="s">
        <v>9918</v>
      </c>
      <c r="C3470" s="46">
        <v>1</v>
      </c>
      <c r="D3470" s="30">
        <v>7429.5955451611208</v>
      </c>
    </row>
    <row r="3471" spans="2:4">
      <c r="B3471" t="s">
        <v>9919</v>
      </c>
      <c r="C3471" s="46">
        <v>1</v>
      </c>
      <c r="D3471" s="30">
        <v>465.5567353021454</v>
      </c>
    </row>
    <row r="3472" spans="2:4">
      <c r="B3472" t="s">
        <v>9920</v>
      </c>
      <c r="C3472" s="46">
        <v>1</v>
      </c>
      <c r="D3472" s="30">
        <v>5674.6193318681844</v>
      </c>
    </row>
    <row r="3473" spans="2:4">
      <c r="B3473" t="s">
        <v>9921</v>
      </c>
      <c r="C3473" s="46">
        <v>1</v>
      </c>
      <c r="D3473" s="30">
        <v>7257.5679106849329</v>
      </c>
    </row>
    <row r="3474" spans="2:4">
      <c r="B3474" t="s">
        <v>9922</v>
      </c>
      <c r="C3474" s="46">
        <v>1</v>
      </c>
      <c r="D3474" s="30">
        <v>6791.6824348984719</v>
      </c>
    </row>
    <row r="3475" spans="2:4">
      <c r="B3475" t="s">
        <v>9923</v>
      </c>
      <c r="C3475" s="46">
        <v>1</v>
      </c>
      <c r="D3475" s="30">
        <v>7442.7107984053509</v>
      </c>
    </row>
    <row r="3476" spans="2:4">
      <c r="B3476" t="s">
        <v>9924</v>
      </c>
      <c r="C3476" s="46">
        <v>1</v>
      </c>
      <c r="D3476" s="30">
        <v>3328.1648165065553</v>
      </c>
    </row>
    <row r="3477" spans="2:4">
      <c r="B3477" t="s">
        <v>9925</v>
      </c>
      <c r="C3477" s="46">
        <v>1</v>
      </c>
      <c r="D3477" s="30">
        <v>7084.8280972486164</v>
      </c>
    </row>
    <row r="3478" spans="2:4">
      <c r="B3478" t="s">
        <v>9926</v>
      </c>
      <c r="C3478" s="46">
        <v>1</v>
      </c>
      <c r="D3478" s="30">
        <v>2901.267174539315</v>
      </c>
    </row>
    <row r="3479" spans="2:4">
      <c r="B3479" t="s">
        <v>9927</v>
      </c>
      <c r="C3479" s="46">
        <v>1</v>
      </c>
      <c r="D3479" s="30">
        <v>7442.7107984053509</v>
      </c>
    </row>
    <row r="3480" spans="2:4">
      <c r="B3480" t="s">
        <v>9928</v>
      </c>
      <c r="C3480" s="46">
        <v>1</v>
      </c>
      <c r="D3480" s="30">
        <v>2352.0950404257674</v>
      </c>
    </row>
    <row r="3481" spans="2:4">
      <c r="B3481" t="s">
        <v>9929</v>
      </c>
      <c r="C3481" s="46">
        <v>1</v>
      </c>
      <c r="D3481" s="30">
        <v>7225.3825720676741</v>
      </c>
    </row>
    <row r="3482" spans="2:4">
      <c r="B3482" t="s">
        <v>9930</v>
      </c>
      <c r="C3482" s="46">
        <v>1</v>
      </c>
      <c r="D3482" s="30">
        <v>99996.310700452232</v>
      </c>
    </row>
    <row r="3483" spans="2:4">
      <c r="B3483" t="s">
        <v>9931</v>
      </c>
      <c r="C3483" s="46">
        <v>1</v>
      </c>
      <c r="D3483" s="30">
        <v>7442.7107984053509</v>
      </c>
    </row>
    <row r="3484" spans="2:4">
      <c r="B3484" t="s">
        <v>9932</v>
      </c>
      <c r="C3484" s="46">
        <v>1</v>
      </c>
      <c r="D3484" s="30">
        <v>4662.5086792191878</v>
      </c>
    </row>
    <row r="3485" spans="2:4">
      <c r="B3485" t="s">
        <v>9933</v>
      </c>
      <c r="C3485" s="46">
        <v>1</v>
      </c>
      <c r="D3485" s="30">
        <v>7223.9847147850487</v>
      </c>
    </row>
    <row r="3486" spans="2:4">
      <c r="B3486" t="s">
        <v>9934</v>
      </c>
      <c r="C3486" s="46">
        <v>1</v>
      </c>
      <c r="D3486" s="30">
        <v>6569.8695538617139</v>
      </c>
    </row>
    <row r="3487" spans="2:4">
      <c r="B3487" t="s">
        <v>9935</v>
      </c>
      <c r="C3487" s="46">
        <v>1</v>
      </c>
      <c r="D3487" s="30">
        <v>7442.7107984053509</v>
      </c>
    </row>
    <row r="3488" spans="2:4">
      <c r="B3488" t="s">
        <v>9936</v>
      </c>
      <c r="C3488" s="46">
        <v>1</v>
      </c>
      <c r="D3488" s="30">
        <v>7088.503977127275</v>
      </c>
    </row>
    <row r="3489" spans="2:4">
      <c r="B3489" t="s">
        <v>9937</v>
      </c>
      <c r="C3489" s="46">
        <v>1</v>
      </c>
      <c r="D3489" s="30">
        <v>173162.01765796318</v>
      </c>
    </row>
    <row r="3490" spans="2:4">
      <c r="B3490" t="s">
        <v>9938</v>
      </c>
      <c r="C3490" s="46">
        <v>1</v>
      </c>
      <c r="D3490" s="30">
        <v>7396.6933979020623</v>
      </c>
    </row>
    <row r="3491" spans="2:4">
      <c r="B3491" t="s">
        <v>9939</v>
      </c>
      <c r="C3491" s="46">
        <v>1</v>
      </c>
      <c r="D3491" s="30">
        <v>6883.2465202836638</v>
      </c>
    </row>
    <row r="3492" spans="2:4">
      <c r="B3492" t="s">
        <v>9940</v>
      </c>
      <c r="C3492" s="46">
        <v>1</v>
      </c>
      <c r="D3492" s="30">
        <v>7386.8779467150025</v>
      </c>
    </row>
    <row r="3493" spans="2:4">
      <c r="B3493" t="s">
        <v>9941</v>
      </c>
      <c r="C3493" s="46">
        <v>1</v>
      </c>
      <c r="D3493" s="30">
        <v>7386.8779467150025</v>
      </c>
    </row>
    <row r="3494" spans="2:4">
      <c r="B3494" t="s">
        <v>9942</v>
      </c>
      <c r="C3494" s="46">
        <v>1</v>
      </c>
      <c r="D3494" s="30">
        <v>7323.0720989541951</v>
      </c>
    </row>
    <row r="3495" spans="2:4">
      <c r="B3495" t="s">
        <v>9943</v>
      </c>
      <c r="C3495" s="46">
        <v>1</v>
      </c>
      <c r="D3495" s="30">
        <v>7448.6930385008163</v>
      </c>
    </row>
    <row r="3496" spans="2:4">
      <c r="B3496" t="s">
        <v>9944</v>
      </c>
      <c r="C3496" s="46">
        <v>1</v>
      </c>
      <c r="D3496" s="30">
        <v>7323.0720989541951</v>
      </c>
    </row>
    <row r="3497" spans="2:4">
      <c r="B3497" t="s">
        <v>9945</v>
      </c>
      <c r="C3497" s="46">
        <v>1</v>
      </c>
      <c r="D3497" s="30">
        <v>7449.4601521792838</v>
      </c>
    </row>
    <row r="3498" spans="2:4">
      <c r="B3498" t="s">
        <v>9946</v>
      </c>
      <c r="C3498" s="46">
        <v>1</v>
      </c>
      <c r="D3498" s="30">
        <v>5620.6392774426122</v>
      </c>
    </row>
    <row r="3499" spans="2:4">
      <c r="B3499" t="s">
        <v>9947</v>
      </c>
      <c r="C3499" s="46">
        <v>1</v>
      </c>
      <c r="D3499" s="30">
        <v>7287.0259650652124</v>
      </c>
    </row>
    <row r="3500" spans="2:4">
      <c r="B3500" t="s">
        <v>9948</v>
      </c>
      <c r="C3500" s="46">
        <v>1</v>
      </c>
      <c r="D3500" s="30">
        <v>6570.2138183868701</v>
      </c>
    </row>
    <row r="3501" spans="2:4">
      <c r="B3501" t="s">
        <v>9949</v>
      </c>
      <c r="C3501" s="46">
        <v>1</v>
      </c>
      <c r="D3501" s="30">
        <v>6554.1446990162485</v>
      </c>
    </row>
    <row r="3502" spans="2:4">
      <c r="B3502" t="s">
        <v>9950</v>
      </c>
      <c r="C3502" s="46">
        <v>1</v>
      </c>
      <c r="D3502" s="30">
        <v>7323.0720989541951</v>
      </c>
    </row>
    <row r="3503" spans="2:4">
      <c r="B3503" t="s">
        <v>9951</v>
      </c>
      <c r="C3503" s="46">
        <v>1</v>
      </c>
      <c r="D3503" s="30">
        <v>6471.1897774677782</v>
      </c>
    </row>
    <row r="3504" spans="2:4">
      <c r="B3504" t="s">
        <v>9952</v>
      </c>
      <c r="C3504" s="46">
        <v>1</v>
      </c>
      <c r="D3504" s="30">
        <v>7145.8279450097643</v>
      </c>
    </row>
    <row r="3505" spans="2:4">
      <c r="B3505" t="s">
        <v>9953</v>
      </c>
      <c r="C3505" s="46">
        <v>1</v>
      </c>
      <c r="D3505" s="30">
        <v>7339.8626747170219</v>
      </c>
    </row>
    <row r="3506" spans="2:4">
      <c r="B3506" t="s">
        <v>9954</v>
      </c>
      <c r="C3506" s="46">
        <v>1</v>
      </c>
      <c r="D3506" s="30">
        <v>7449.6900812939193</v>
      </c>
    </row>
    <row r="3507" spans="2:4">
      <c r="B3507" t="s">
        <v>9955</v>
      </c>
      <c r="C3507" s="46">
        <v>1</v>
      </c>
      <c r="D3507" s="30">
        <v>5292.5357558192882</v>
      </c>
    </row>
    <row r="3508" spans="2:4">
      <c r="B3508" t="s">
        <v>9956</v>
      </c>
      <c r="C3508" s="46">
        <v>1</v>
      </c>
      <c r="D3508" s="30">
        <v>6627.6765939588422</v>
      </c>
    </row>
    <row r="3509" spans="2:4">
      <c r="B3509" t="s">
        <v>9957</v>
      </c>
      <c r="C3509" s="46">
        <v>1</v>
      </c>
      <c r="D3509" s="30">
        <v>5540.4431567478468</v>
      </c>
    </row>
    <row r="3510" spans="2:4">
      <c r="B3510" t="s">
        <v>9958</v>
      </c>
      <c r="C3510" s="46">
        <v>1</v>
      </c>
      <c r="D3510" s="30">
        <v>7386.8779467150025</v>
      </c>
    </row>
    <row r="3511" spans="2:4">
      <c r="B3511" t="s">
        <v>9959</v>
      </c>
      <c r="C3511" s="46">
        <v>1</v>
      </c>
      <c r="D3511" s="30">
        <v>7304.8928369091536</v>
      </c>
    </row>
    <row r="3512" spans="2:4">
      <c r="B3512" t="s">
        <v>9960</v>
      </c>
      <c r="C3512" s="46">
        <v>1</v>
      </c>
      <c r="D3512" s="30">
        <v>6788.8416161060468</v>
      </c>
    </row>
    <row r="3513" spans="2:4">
      <c r="B3513" t="s">
        <v>9961</v>
      </c>
      <c r="C3513" s="46">
        <v>1</v>
      </c>
      <c r="D3513" s="30">
        <v>6420.7971467602665</v>
      </c>
    </row>
    <row r="3514" spans="2:4">
      <c r="B3514" t="s">
        <v>9962</v>
      </c>
      <c r="C3514" s="46">
        <v>1</v>
      </c>
      <c r="D3514" s="30">
        <v>6042.9693240511124</v>
      </c>
    </row>
    <row r="3515" spans="2:4">
      <c r="B3515" t="s">
        <v>9963</v>
      </c>
      <c r="C3515" s="46">
        <v>1</v>
      </c>
      <c r="D3515" s="30">
        <v>7379.8990183494416</v>
      </c>
    </row>
    <row r="3516" spans="2:4">
      <c r="B3516" t="s">
        <v>9964</v>
      </c>
      <c r="C3516" s="46">
        <v>1</v>
      </c>
      <c r="D3516" s="30">
        <v>5941.9858530724796</v>
      </c>
    </row>
    <row r="3517" spans="2:4">
      <c r="B3517" t="s">
        <v>9965</v>
      </c>
      <c r="C3517" s="46">
        <v>1</v>
      </c>
      <c r="D3517" s="30">
        <v>7204.417925514279</v>
      </c>
    </row>
    <row r="3518" spans="2:4">
      <c r="B3518" t="s">
        <v>9966</v>
      </c>
      <c r="C3518" s="46">
        <v>1</v>
      </c>
      <c r="D3518" s="30">
        <v>7260.3272509334802</v>
      </c>
    </row>
    <row r="3519" spans="2:4">
      <c r="B3519" t="s">
        <v>9967</v>
      </c>
      <c r="C3519" s="46">
        <v>1</v>
      </c>
      <c r="D3519" s="30">
        <v>6886.0837061919001</v>
      </c>
    </row>
    <row r="3520" spans="2:4">
      <c r="B3520" t="s">
        <v>9968</v>
      </c>
      <c r="C3520" s="46">
        <v>1</v>
      </c>
      <c r="D3520" s="30">
        <v>6010.6043451614578</v>
      </c>
    </row>
    <row r="3521" spans="2:4">
      <c r="B3521" t="s">
        <v>9969</v>
      </c>
      <c r="C3521" s="46">
        <v>1</v>
      </c>
      <c r="D3521" s="30">
        <v>6679.724658263578</v>
      </c>
    </row>
    <row r="3522" spans="2:4">
      <c r="B3522" t="s">
        <v>9970</v>
      </c>
      <c r="C3522" s="46">
        <v>1</v>
      </c>
      <c r="D3522" s="30">
        <v>7193.4770903283152</v>
      </c>
    </row>
    <row r="3523" spans="2:4">
      <c r="B3523" t="s">
        <v>9971</v>
      </c>
      <c r="C3523" s="46">
        <v>1</v>
      </c>
      <c r="D3523" s="30">
        <v>7295.9202592312022</v>
      </c>
    </row>
    <row r="3524" spans="2:4">
      <c r="B3524" t="s">
        <v>9972</v>
      </c>
      <c r="C3524" s="46">
        <v>1</v>
      </c>
      <c r="D3524" s="30">
        <v>7308.0398307318665</v>
      </c>
    </row>
    <row r="3525" spans="2:4">
      <c r="B3525" t="s">
        <v>9973</v>
      </c>
      <c r="C3525" s="46">
        <v>1</v>
      </c>
      <c r="D3525" s="30">
        <v>2476.3265160863057</v>
      </c>
    </row>
    <row r="3526" spans="2:4">
      <c r="B3526" t="s">
        <v>9974</v>
      </c>
      <c r="C3526" s="46">
        <v>1</v>
      </c>
      <c r="D3526" s="30">
        <v>7417.7851068049604</v>
      </c>
    </row>
    <row r="3527" spans="2:4">
      <c r="B3527" t="s">
        <v>9975</v>
      </c>
      <c r="C3527" s="46">
        <v>1</v>
      </c>
      <c r="D3527" s="30">
        <v>5978.2434159786753</v>
      </c>
    </row>
    <row r="3528" spans="2:4">
      <c r="B3528" t="s">
        <v>9976</v>
      </c>
      <c r="C3528" s="46">
        <v>1</v>
      </c>
      <c r="D3528" s="30">
        <v>6892.2282749538863</v>
      </c>
    </row>
    <row r="3529" spans="2:4">
      <c r="B3529" t="s">
        <v>9977</v>
      </c>
      <c r="C3529" s="46">
        <v>1</v>
      </c>
      <c r="D3529" s="30">
        <v>6386.390860813055</v>
      </c>
    </row>
    <row r="3530" spans="2:4">
      <c r="B3530" t="s">
        <v>9978</v>
      </c>
      <c r="C3530" s="46">
        <v>1</v>
      </c>
      <c r="D3530" s="30">
        <v>7242.3037781616085</v>
      </c>
    </row>
    <row r="3531" spans="2:4">
      <c r="B3531" t="s">
        <v>9979</v>
      </c>
      <c r="C3531" s="46">
        <v>1</v>
      </c>
      <c r="D3531" s="30">
        <v>2476.3265160863057</v>
      </c>
    </row>
    <row r="3532" spans="2:4">
      <c r="B3532" t="s">
        <v>9980</v>
      </c>
      <c r="C3532" s="46">
        <v>1</v>
      </c>
      <c r="D3532" s="30">
        <v>5978.2434159786753</v>
      </c>
    </row>
    <row r="3533" spans="2:4">
      <c r="B3533" t="s">
        <v>9981</v>
      </c>
      <c r="C3533" s="46">
        <v>1</v>
      </c>
      <c r="D3533" s="30">
        <v>7291.1704512986025</v>
      </c>
    </row>
    <row r="3534" spans="2:4">
      <c r="B3534" t="s">
        <v>9982</v>
      </c>
      <c r="C3534" s="46">
        <v>1</v>
      </c>
      <c r="D3534" s="30">
        <v>5674.3299659531467</v>
      </c>
    </row>
    <row r="3535" spans="2:4">
      <c r="B3535" t="s">
        <v>9983</v>
      </c>
      <c r="C3535" s="46">
        <v>1</v>
      </c>
      <c r="D3535" s="30">
        <v>7446.6989552937857</v>
      </c>
    </row>
    <row r="3536" spans="2:4">
      <c r="B3536" t="s">
        <v>9984</v>
      </c>
      <c r="C3536" s="46">
        <v>1</v>
      </c>
      <c r="D3536" s="30">
        <v>7068.3971636024862</v>
      </c>
    </row>
    <row r="3537" spans="2:4">
      <c r="B3537" t="s">
        <v>9985</v>
      </c>
      <c r="C3537" s="46">
        <v>1</v>
      </c>
      <c r="D3537" s="30">
        <v>7308.0398307318665</v>
      </c>
    </row>
    <row r="3538" spans="2:4">
      <c r="B3538" t="s">
        <v>9986</v>
      </c>
      <c r="C3538" s="46">
        <v>1</v>
      </c>
      <c r="D3538" s="30">
        <v>91299.45957296979</v>
      </c>
    </row>
    <row r="3539" spans="2:4">
      <c r="B3539" t="s">
        <v>9987</v>
      </c>
      <c r="C3539" s="46">
        <v>1</v>
      </c>
      <c r="D3539" s="30">
        <v>91299.45957296979</v>
      </c>
    </row>
    <row r="3540" spans="2:4">
      <c r="B3540" t="s">
        <v>9988</v>
      </c>
      <c r="C3540" s="46">
        <v>1</v>
      </c>
      <c r="D3540" s="30">
        <v>7417.7851068049604</v>
      </c>
    </row>
    <row r="3541" spans="2:4">
      <c r="B3541" t="s">
        <v>9989</v>
      </c>
      <c r="C3541" s="46">
        <v>1</v>
      </c>
      <c r="D3541" s="30">
        <v>6912.8913338177181</v>
      </c>
    </row>
    <row r="3542" spans="2:4">
      <c r="B3542" t="s">
        <v>9990</v>
      </c>
      <c r="C3542" s="46">
        <v>1</v>
      </c>
      <c r="D3542" s="30">
        <v>7205.1224063673944</v>
      </c>
    </row>
    <row r="3543" spans="2:4">
      <c r="B3543" t="s">
        <v>9991</v>
      </c>
      <c r="C3543" s="46">
        <v>1</v>
      </c>
      <c r="D3543" s="30">
        <v>5978.5620275185865</v>
      </c>
    </row>
    <row r="3544" spans="2:4">
      <c r="B3544" t="s">
        <v>9992</v>
      </c>
      <c r="C3544" s="46">
        <v>1</v>
      </c>
      <c r="D3544" s="30">
        <v>5978.5620275185865</v>
      </c>
    </row>
    <row r="3545" spans="2:4">
      <c r="B3545" t="s">
        <v>9993</v>
      </c>
      <c r="C3545" s="46">
        <v>1</v>
      </c>
      <c r="D3545" s="30">
        <v>7308.0398307318665</v>
      </c>
    </row>
    <row r="3546" spans="2:4">
      <c r="B3546" t="s">
        <v>9994</v>
      </c>
      <c r="C3546" s="46">
        <v>1</v>
      </c>
      <c r="D3546" s="30">
        <v>6655.1353381163854</v>
      </c>
    </row>
    <row r="3547" spans="2:4">
      <c r="B3547" t="s">
        <v>9995</v>
      </c>
      <c r="C3547" s="46">
        <v>1</v>
      </c>
      <c r="D3547" s="30">
        <v>7270.0668014406956</v>
      </c>
    </row>
    <row r="3548" spans="2:4">
      <c r="B3548" t="s">
        <v>9996</v>
      </c>
      <c r="C3548" s="46">
        <v>1</v>
      </c>
      <c r="D3548" s="30">
        <v>7255.3541949365672</v>
      </c>
    </row>
    <row r="3549" spans="2:4">
      <c r="B3549" t="s">
        <v>9997</v>
      </c>
      <c r="C3549" s="46">
        <v>1</v>
      </c>
      <c r="D3549" s="30">
        <v>7221.2303613244867</v>
      </c>
    </row>
    <row r="3550" spans="2:4">
      <c r="B3550" t="s">
        <v>9998</v>
      </c>
      <c r="C3550" s="46">
        <v>1</v>
      </c>
      <c r="D3550" s="30">
        <v>4462.3447604248076</v>
      </c>
    </row>
    <row r="3551" spans="2:4">
      <c r="B3551" t="s">
        <v>9999</v>
      </c>
      <c r="C3551" s="46">
        <v>1</v>
      </c>
      <c r="D3551" s="30">
        <v>28085.11553963249</v>
      </c>
    </row>
    <row r="3552" spans="2:4">
      <c r="B3552" t="s">
        <v>10000</v>
      </c>
      <c r="C3552" s="46">
        <v>1</v>
      </c>
      <c r="D3552" s="30">
        <v>7237.8407301744546</v>
      </c>
    </row>
    <row r="3553" spans="2:4">
      <c r="B3553" t="s">
        <v>10001</v>
      </c>
      <c r="C3553" s="46">
        <v>1</v>
      </c>
      <c r="D3553" s="30">
        <v>671.66337055354632</v>
      </c>
    </row>
    <row r="3554" spans="2:4">
      <c r="B3554" t="s">
        <v>10002</v>
      </c>
      <c r="C3554" s="46">
        <v>1</v>
      </c>
      <c r="D3554" s="30">
        <v>7146.6271310114907</v>
      </c>
    </row>
    <row r="3555" spans="2:4">
      <c r="B3555" t="s">
        <v>10003</v>
      </c>
      <c r="C3555" s="46">
        <v>1</v>
      </c>
      <c r="D3555" s="30">
        <v>7308.0398307318665</v>
      </c>
    </row>
    <row r="3556" spans="2:4">
      <c r="B3556" t="s">
        <v>10004</v>
      </c>
      <c r="C3556" s="46">
        <v>1</v>
      </c>
      <c r="D3556" s="30">
        <v>7410.8060028655509</v>
      </c>
    </row>
    <row r="3557" spans="2:4">
      <c r="B3557" t="s">
        <v>10005</v>
      </c>
      <c r="C3557" s="46">
        <v>1</v>
      </c>
      <c r="D3557" s="30">
        <v>5879.0980672723781</v>
      </c>
    </row>
    <row r="3558" spans="2:4">
      <c r="B3558" t="s">
        <v>10006</v>
      </c>
      <c r="C3558" s="46">
        <v>1</v>
      </c>
      <c r="D3558" s="30">
        <v>6516.1131781339209</v>
      </c>
    </row>
    <row r="3559" spans="2:4">
      <c r="B3559" t="s">
        <v>10007</v>
      </c>
      <c r="C3559" s="46">
        <v>1</v>
      </c>
      <c r="D3559" s="30">
        <v>7385.8809545067779</v>
      </c>
    </row>
    <row r="3560" spans="2:4">
      <c r="B3560" t="s">
        <v>10008</v>
      </c>
      <c r="C3560" s="46">
        <v>1</v>
      </c>
      <c r="D3560" s="30">
        <v>6039.353058560192</v>
      </c>
    </row>
    <row r="3561" spans="2:4">
      <c r="B3561" t="s">
        <v>10009</v>
      </c>
      <c r="C3561" s="46">
        <v>1</v>
      </c>
      <c r="D3561" s="30">
        <v>7278.2106535981475</v>
      </c>
    </row>
    <row r="3562" spans="2:4">
      <c r="B3562" t="s">
        <v>10010</v>
      </c>
      <c r="C3562" s="46">
        <v>1</v>
      </c>
      <c r="D3562" s="30">
        <v>7449.4601521792838</v>
      </c>
    </row>
    <row r="3563" spans="2:4">
      <c r="B3563" t="s">
        <v>10011</v>
      </c>
      <c r="C3563" s="46">
        <v>1</v>
      </c>
      <c r="D3563" s="30">
        <v>7278.2106535981475</v>
      </c>
    </row>
    <row r="3564" spans="2:4">
      <c r="B3564" t="s">
        <v>10012</v>
      </c>
      <c r="C3564" s="46">
        <v>1</v>
      </c>
      <c r="D3564" s="30">
        <v>7365.7087381564479</v>
      </c>
    </row>
    <row r="3565" spans="2:4">
      <c r="B3565" t="s">
        <v>10013</v>
      </c>
      <c r="C3565" s="46">
        <v>1</v>
      </c>
      <c r="D3565" s="30">
        <v>7295.168310706752</v>
      </c>
    </row>
    <row r="3566" spans="2:4">
      <c r="B3566" t="s">
        <v>10014</v>
      </c>
      <c r="C3566" s="46">
        <v>1</v>
      </c>
      <c r="D3566" s="30">
        <v>7260.3272509334802</v>
      </c>
    </row>
    <row r="3567" spans="2:4">
      <c r="B3567" t="s">
        <v>10015</v>
      </c>
      <c r="C3567" s="46">
        <v>1</v>
      </c>
      <c r="D3567" s="30">
        <v>7393.856914918887</v>
      </c>
    </row>
    <row r="3568" spans="2:4">
      <c r="B3568" t="s">
        <v>10016</v>
      </c>
      <c r="C3568" s="46">
        <v>1</v>
      </c>
      <c r="D3568" s="30">
        <v>7278.2106535981475</v>
      </c>
    </row>
    <row r="3569" spans="2:4">
      <c r="B3569" t="s">
        <v>10017</v>
      </c>
      <c r="C3569" s="46">
        <v>1</v>
      </c>
      <c r="D3569" s="30">
        <v>6518.0118467574575</v>
      </c>
    </row>
    <row r="3570" spans="2:4">
      <c r="B3570" t="s">
        <v>10018</v>
      </c>
      <c r="C3570" s="46">
        <v>1</v>
      </c>
      <c r="D3570" s="30">
        <v>3932.929833774318</v>
      </c>
    </row>
    <row r="3571" spans="2:4">
      <c r="B3571" t="s">
        <v>10019</v>
      </c>
      <c r="C3571" s="46">
        <v>1</v>
      </c>
      <c r="D3571" s="30">
        <v>6377.5949260927182</v>
      </c>
    </row>
    <row r="3572" spans="2:4">
      <c r="B3572" t="s">
        <v>10020</v>
      </c>
      <c r="C3572" s="46">
        <v>1</v>
      </c>
      <c r="D3572" s="30">
        <v>7307.1211676135244</v>
      </c>
    </row>
    <row r="3573" spans="2:4">
      <c r="B3573" t="s">
        <v>10021</v>
      </c>
      <c r="C3573" s="46">
        <v>1</v>
      </c>
      <c r="D3573" s="30">
        <v>71571.186076068916</v>
      </c>
    </row>
    <row r="3574" spans="2:4">
      <c r="B3574" t="s">
        <v>10022</v>
      </c>
      <c r="C3574" s="46">
        <v>1</v>
      </c>
      <c r="D3574" s="30">
        <v>1561.3480952390394</v>
      </c>
    </row>
    <row r="3575" spans="2:4">
      <c r="B3575" t="s">
        <v>10023</v>
      </c>
      <c r="C3575" s="46">
        <v>1</v>
      </c>
      <c r="D3575" s="30">
        <v>7324.0690392704437</v>
      </c>
    </row>
    <row r="3576" spans="2:4">
      <c r="B3576" t="s">
        <v>10024</v>
      </c>
      <c r="C3576" s="46">
        <v>1</v>
      </c>
      <c r="D3576" s="30">
        <v>99996.310700452232</v>
      </c>
    </row>
    <row r="3577" spans="2:4">
      <c r="B3577" t="s">
        <v>10025</v>
      </c>
      <c r="C3577" s="46">
        <v>1</v>
      </c>
      <c r="D3577" s="30">
        <v>5449.5003554712421</v>
      </c>
    </row>
    <row r="3578" spans="2:4">
      <c r="B3578" t="s">
        <v>10026</v>
      </c>
      <c r="C3578" s="46">
        <v>1</v>
      </c>
      <c r="D3578" s="30">
        <v>7422.6162292044019</v>
      </c>
    </row>
    <row r="3579" spans="2:4">
      <c r="B3579" t="s">
        <v>10027</v>
      </c>
      <c r="C3579" s="46">
        <v>1</v>
      </c>
      <c r="D3579" s="30">
        <v>7438.7226542347762</v>
      </c>
    </row>
    <row r="3580" spans="2:4">
      <c r="B3580" t="s">
        <v>10028</v>
      </c>
      <c r="C3580" s="46">
        <v>1</v>
      </c>
      <c r="D3580" s="30">
        <v>7446.6989552937857</v>
      </c>
    </row>
    <row r="3581" spans="2:4">
      <c r="B3581" t="s">
        <v>10029</v>
      </c>
      <c r="C3581" s="46">
        <v>1</v>
      </c>
      <c r="D3581" s="30">
        <v>6728.4640800341695</v>
      </c>
    </row>
    <row r="3582" spans="2:4">
      <c r="B3582" t="s">
        <v>10030</v>
      </c>
      <c r="C3582" s="46">
        <v>1</v>
      </c>
      <c r="D3582" s="30">
        <v>3895.4139154180602</v>
      </c>
    </row>
    <row r="3583" spans="2:4">
      <c r="B3583" t="s">
        <v>10031</v>
      </c>
      <c r="C3583" s="46">
        <v>1</v>
      </c>
      <c r="D3583" s="30">
        <v>42559.368450941991</v>
      </c>
    </row>
    <row r="3584" spans="2:4">
      <c r="B3584" t="s">
        <v>10032</v>
      </c>
      <c r="C3584" s="46">
        <v>1</v>
      </c>
      <c r="D3584" s="30">
        <v>6711.5631131537893</v>
      </c>
    </row>
    <row r="3585" spans="2:4">
      <c r="B3585" t="s">
        <v>10033</v>
      </c>
      <c r="C3585" s="46">
        <v>1</v>
      </c>
      <c r="D3585" s="30">
        <v>4770.3765618423058</v>
      </c>
    </row>
    <row r="3586" spans="2:4">
      <c r="B3586" t="s">
        <v>10034</v>
      </c>
      <c r="C3586" s="46">
        <v>1</v>
      </c>
      <c r="D3586" s="30">
        <v>6644.6812026451771</v>
      </c>
    </row>
    <row r="3587" spans="2:4">
      <c r="B3587" t="s">
        <v>10035</v>
      </c>
      <c r="C3587" s="46">
        <v>1</v>
      </c>
      <c r="D3587" s="30">
        <v>7013.0659294086581</v>
      </c>
    </row>
    <row r="3588" spans="2:4">
      <c r="B3588" t="s">
        <v>10036</v>
      </c>
      <c r="C3588" s="46">
        <v>1</v>
      </c>
      <c r="D3588" s="30">
        <v>5985.7168706940756</v>
      </c>
    </row>
    <row r="3589" spans="2:4">
      <c r="B3589" t="s">
        <v>10037</v>
      </c>
      <c r="C3589" s="46">
        <v>1</v>
      </c>
      <c r="D3589" s="30">
        <v>2970.6837646577715</v>
      </c>
    </row>
    <row r="3590" spans="2:4">
      <c r="B3590" t="s">
        <v>10038</v>
      </c>
      <c r="C3590" s="46">
        <v>1</v>
      </c>
      <c r="D3590" s="30">
        <v>2970.6837646577715</v>
      </c>
    </row>
    <row r="3591" spans="2:4">
      <c r="B3591" t="s">
        <v>10039</v>
      </c>
      <c r="C3591" s="46">
        <v>1</v>
      </c>
      <c r="D3591" s="30">
        <v>6760.9417520087973</v>
      </c>
    </row>
    <row r="3592" spans="2:4">
      <c r="B3592" t="s">
        <v>10040</v>
      </c>
      <c r="C3592" s="46">
        <v>1</v>
      </c>
      <c r="D3592" s="30">
        <v>7272.2292569086858</v>
      </c>
    </row>
    <row r="3593" spans="2:4">
      <c r="B3593" t="s">
        <v>10041</v>
      </c>
      <c r="C3593" s="46">
        <v>1</v>
      </c>
      <c r="D3593" s="30">
        <v>465.5567353021454</v>
      </c>
    </row>
    <row r="3594" spans="2:4">
      <c r="B3594" t="s">
        <v>10042</v>
      </c>
      <c r="C3594" s="46">
        <v>1</v>
      </c>
      <c r="D3594" s="30">
        <v>1859.4622082964665</v>
      </c>
    </row>
    <row r="3595" spans="2:4">
      <c r="B3595" t="s">
        <v>10043</v>
      </c>
      <c r="C3595" s="46">
        <v>1</v>
      </c>
      <c r="D3595" s="30">
        <v>7296.6836991990249</v>
      </c>
    </row>
    <row r="3596" spans="2:4">
      <c r="B3596" t="s">
        <v>10044</v>
      </c>
      <c r="C3596" s="46">
        <v>1</v>
      </c>
      <c r="D3596" s="30">
        <v>5435.8898175875556</v>
      </c>
    </row>
    <row r="3597" spans="2:4">
      <c r="B3597" t="s">
        <v>10045</v>
      </c>
      <c r="C3597" s="46">
        <v>1</v>
      </c>
      <c r="D3597" s="30">
        <v>7179.5656441974133</v>
      </c>
    </row>
    <row r="3598" spans="2:4">
      <c r="B3598" t="s">
        <v>10046</v>
      </c>
      <c r="C3598" s="46">
        <v>1</v>
      </c>
      <c r="D3598" s="30">
        <v>6280.2923481477874</v>
      </c>
    </row>
    <row r="3599" spans="2:4">
      <c r="B3599" t="s">
        <v>10047</v>
      </c>
      <c r="C3599" s="46">
        <v>1</v>
      </c>
      <c r="D3599" s="30">
        <v>6280.2923481477874</v>
      </c>
    </row>
    <row r="3600" spans="2:4">
      <c r="B3600" t="s">
        <v>10048</v>
      </c>
      <c r="C3600" s="46">
        <v>1</v>
      </c>
      <c r="D3600" s="30">
        <v>6280.2923481477874</v>
      </c>
    </row>
    <row r="3601" spans="2:4">
      <c r="B3601" t="s">
        <v>10049</v>
      </c>
      <c r="C3601" s="46">
        <v>1</v>
      </c>
      <c r="D3601" s="30">
        <v>6280.2923481477874</v>
      </c>
    </row>
    <row r="3602" spans="2:4">
      <c r="B3602" t="s">
        <v>10050</v>
      </c>
      <c r="C3602" s="46">
        <v>1</v>
      </c>
      <c r="D3602" s="30">
        <v>6280.2923481477874</v>
      </c>
    </row>
    <row r="3603" spans="2:4">
      <c r="B3603" t="s">
        <v>10051</v>
      </c>
      <c r="C3603" s="46">
        <v>1</v>
      </c>
      <c r="D3603" s="30">
        <v>6280.2923481477874</v>
      </c>
    </row>
    <row r="3604" spans="2:4">
      <c r="B3604" t="s">
        <v>10052</v>
      </c>
      <c r="C3604" s="46">
        <v>1</v>
      </c>
      <c r="D3604" s="30">
        <v>6103.8252810891454</v>
      </c>
    </row>
    <row r="3605" spans="2:4">
      <c r="B3605" t="s">
        <v>10053</v>
      </c>
      <c r="C3605" s="46">
        <v>1</v>
      </c>
      <c r="D3605" s="30">
        <v>2543.730415956109</v>
      </c>
    </row>
    <row r="3606" spans="2:4">
      <c r="B3606" t="s">
        <v>10054</v>
      </c>
      <c r="C3606" s="46">
        <v>1</v>
      </c>
      <c r="D3606" s="30">
        <v>7136.9399027017989</v>
      </c>
    </row>
    <row r="3607" spans="2:4">
      <c r="B3607" t="s">
        <v>10055</v>
      </c>
      <c r="C3607" s="46">
        <v>1</v>
      </c>
      <c r="D3607" s="30">
        <v>43069.51367358581</v>
      </c>
    </row>
    <row r="3608" spans="2:4">
      <c r="B3608" t="s">
        <v>10056</v>
      </c>
      <c r="C3608" s="46">
        <v>1</v>
      </c>
      <c r="D3608" s="30">
        <v>7326.0629224049708</v>
      </c>
    </row>
    <row r="3609" spans="2:4">
      <c r="B3609" t="s">
        <v>10057</v>
      </c>
      <c r="C3609" s="46">
        <v>1</v>
      </c>
      <c r="D3609" s="30">
        <v>2543.730415956109</v>
      </c>
    </row>
    <row r="3610" spans="2:4">
      <c r="B3610" t="s">
        <v>10058</v>
      </c>
      <c r="C3610" s="46">
        <v>1</v>
      </c>
      <c r="D3610" s="30">
        <v>7090.8466668307556</v>
      </c>
    </row>
    <row r="3611" spans="2:4">
      <c r="B3611" t="s">
        <v>10059</v>
      </c>
      <c r="C3611" s="46">
        <v>1</v>
      </c>
      <c r="D3611" s="30">
        <v>7433.7374919372314</v>
      </c>
    </row>
    <row r="3612" spans="2:4">
      <c r="B3612" t="s">
        <v>10060</v>
      </c>
      <c r="C3612" s="46">
        <v>1</v>
      </c>
      <c r="D3612" s="30">
        <v>7365.7087381564479</v>
      </c>
    </row>
    <row r="3613" spans="2:4">
      <c r="B3613" t="s">
        <v>10061</v>
      </c>
      <c r="C3613" s="46">
        <v>1</v>
      </c>
      <c r="D3613" s="30">
        <v>5292.5357558192882</v>
      </c>
    </row>
    <row r="3614" spans="2:4">
      <c r="B3614" t="s">
        <v>10062</v>
      </c>
      <c r="C3614" s="46">
        <v>1</v>
      </c>
      <c r="D3614" s="30">
        <v>2543.730415956109</v>
      </c>
    </row>
    <row r="3615" spans="2:4">
      <c r="B3615" t="s">
        <v>10063</v>
      </c>
      <c r="C3615" s="46">
        <v>1</v>
      </c>
      <c r="D3615" s="30">
        <v>1523.6449169763155</v>
      </c>
    </row>
    <row r="3616" spans="2:4">
      <c r="B3616" t="s">
        <v>10064</v>
      </c>
      <c r="C3616" s="46">
        <v>1</v>
      </c>
      <c r="D3616" s="30">
        <v>7229.2843664918264</v>
      </c>
    </row>
    <row r="3617" spans="2:4">
      <c r="B3617" t="s">
        <v>10065</v>
      </c>
      <c r="C3617" s="46">
        <v>1</v>
      </c>
      <c r="D3617" s="30">
        <v>2274.0708337127012</v>
      </c>
    </row>
    <row r="3618" spans="2:4">
      <c r="B3618" t="s">
        <v>10066</v>
      </c>
      <c r="C3618" s="46">
        <v>1</v>
      </c>
      <c r="D3618" s="30">
        <v>2543.730415956109</v>
      </c>
    </row>
    <row r="3619" spans="2:4">
      <c r="B3619" t="s">
        <v>10067</v>
      </c>
      <c r="C3619" s="46">
        <v>1</v>
      </c>
      <c r="D3619" s="30">
        <v>6720.5510886997308</v>
      </c>
    </row>
    <row r="3620" spans="2:4">
      <c r="B3620" t="s">
        <v>10068</v>
      </c>
      <c r="C3620" s="46">
        <v>1</v>
      </c>
      <c r="D3620" s="30">
        <v>7158.7928046593979</v>
      </c>
    </row>
    <row r="3621" spans="2:4">
      <c r="B3621" t="s">
        <v>10069</v>
      </c>
      <c r="C3621" s="46">
        <v>1</v>
      </c>
      <c r="D3621" s="30">
        <v>2543.730415956109</v>
      </c>
    </row>
    <row r="3622" spans="2:4">
      <c r="B3622" t="s">
        <v>10070</v>
      </c>
      <c r="C3622" s="46">
        <v>1</v>
      </c>
      <c r="D3622" s="30">
        <v>2947.4391279260381</v>
      </c>
    </row>
    <row r="3623" spans="2:4">
      <c r="B3623" t="s">
        <v>10071</v>
      </c>
      <c r="C3623" s="46">
        <v>1</v>
      </c>
      <c r="D3623" s="30">
        <v>7400.7586395438248</v>
      </c>
    </row>
    <row r="3624" spans="2:4">
      <c r="B3624" t="s">
        <v>10072</v>
      </c>
      <c r="C3624" s="46">
        <v>1</v>
      </c>
      <c r="D3624" s="30">
        <v>6734.3428466361547</v>
      </c>
    </row>
    <row r="3625" spans="2:4">
      <c r="B3625" t="s">
        <v>10073</v>
      </c>
      <c r="C3625" s="46">
        <v>1</v>
      </c>
      <c r="D3625" s="30">
        <v>7008.9976824092264</v>
      </c>
    </row>
    <row r="3626" spans="2:4">
      <c r="B3626" t="s">
        <v>10074</v>
      </c>
      <c r="C3626" s="46">
        <v>1</v>
      </c>
      <c r="D3626" s="30">
        <v>7301.9019701836041</v>
      </c>
    </row>
    <row r="3627" spans="2:4">
      <c r="B3627" t="s">
        <v>10075</v>
      </c>
      <c r="C3627" s="46">
        <v>1</v>
      </c>
      <c r="D3627" s="30">
        <v>5968.1808167432073</v>
      </c>
    </row>
    <row r="3628" spans="2:4">
      <c r="B3628" t="s">
        <v>10076</v>
      </c>
      <c r="C3628" s="46">
        <v>1</v>
      </c>
      <c r="D3628" s="30">
        <v>2492.5839285694778</v>
      </c>
    </row>
    <row r="3629" spans="2:4">
      <c r="B3629" t="s">
        <v>10077</v>
      </c>
      <c r="C3629" s="46">
        <v>1</v>
      </c>
      <c r="D3629" s="30">
        <v>7165.4864188288066</v>
      </c>
    </row>
    <row r="3630" spans="2:4">
      <c r="B3630" t="s">
        <v>10078</v>
      </c>
      <c r="C3630" s="46">
        <v>1</v>
      </c>
      <c r="D3630" s="30">
        <v>7381.6609529055186</v>
      </c>
    </row>
    <row r="3631" spans="2:4">
      <c r="B3631" t="s">
        <v>10079</v>
      </c>
      <c r="C3631" s="46">
        <v>1</v>
      </c>
      <c r="D3631" s="30">
        <v>6141.2105799003302</v>
      </c>
    </row>
    <row r="3632" spans="2:4">
      <c r="B3632" t="s">
        <v>10080</v>
      </c>
      <c r="C3632" s="46">
        <v>1</v>
      </c>
      <c r="D3632" s="30">
        <v>2543.730415956109</v>
      </c>
    </row>
    <row r="3633" spans="2:4">
      <c r="B3633" t="s">
        <v>10081</v>
      </c>
      <c r="C3633" s="46">
        <v>1</v>
      </c>
      <c r="D3633" s="30">
        <v>7102.528231445066</v>
      </c>
    </row>
    <row r="3634" spans="2:4">
      <c r="B3634" t="s">
        <v>10082</v>
      </c>
      <c r="C3634" s="46">
        <v>1</v>
      </c>
      <c r="D3634" s="30">
        <v>99996.310700452232</v>
      </c>
    </row>
    <row r="3635" spans="2:4">
      <c r="B3635" t="s">
        <v>10083</v>
      </c>
      <c r="C3635" s="46">
        <v>1</v>
      </c>
      <c r="D3635" s="30">
        <v>5524.6201121048034</v>
      </c>
    </row>
    <row r="3636" spans="2:4">
      <c r="B3636" t="s">
        <v>10084</v>
      </c>
      <c r="C3636" s="46">
        <v>1</v>
      </c>
      <c r="D3636" s="30">
        <v>7448.6930385008163</v>
      </c>
    </row>
    <row r="3637" spans="2:4">
      <c r="B3637" t="s">
        <v>10085</v>
      </c>
      <c r="C3637" s="46">
        <v>1</v>
      </c>
      <c r="D3637" s="30">
        <v>7145.8279450097643</v>
      </c>
    </row>
    <row r="3638" spans="2:4">
      <c r="B3638" t="s">
        <v>10086</v>
      </c>
      <c r="C3638" s="46">
        <v>1</v>
      </c>
      <c r="D3638" s="30">
        <v>7016.0039996053156</v>
      </c>
    </row>
    <row r="3639" spans="2:4">
      <c r="B3639" t="s">
        <v>10087</v>
      </c>
      <c r="C3639" s="46">
        <v>1</v>
      </c>
      <c r="D3639" s="30">
        <v>7049.9431043389613</v>
      </c>
    </row>
    <row r="3640" spans="2:4">
      <c r="B3640" t="s">
        <v>10088</v>
      </c>
      <c r="C3640" s="46">
        <v>1</v>
      </c>
      <c r="D3640" s="30">
        <v>7434.7345228025279</v>
      </c>
    </row>
    <row r="3641" spans="2:4">
      <c r="B3641" t="s">
        <v>10089</v>
      </c>
      <c r="C3641" s="46">
        <v>1</v>
      </c>
      <c r="D3641" s="30">
        <v>6141.2105799003302</v>
      </c>
    </row>
    <row r="3642" spans="2:4">
      <c r="B3642" t="s">
        <v>10090</v>
      </c>
      <c r="C3642" s="46">
        <v>1</v>
      </c>
      <c r="D3642" s="30">
        <v>6587.0643868870266</v>
      </c>
    </row>
    <row r="3643" spans="2:4">
      <c r="B3643" t="s">
        <v>10091</v>
      </c>
      <c r="C3643" s="46">
        <v>1</v>
      </c>
      <c r="D3643" s="30">
        <v>2543.730415956109</v>
      </c>
    </row>
    <row r="3644" spans="2:4">
      <c r="B3644" t="s">
        <v>10092</v>
      </c>
      <c r="C3644" s="46">
        <v>1</v>
      </c>
      <c r="D3644" s="30">
        <v>5955.0483285929113</v>
      </c>
    </row>
    <row r="3645" spans="2:4">
      <c r="B3645" t="s">
        <v>10093</v>
      </c>
      <c r="C3645" s="46">
        <v>1</v>
      </c>
      <c r="D3645" s="30">
        <v>6141.2105799003302</v>
      </c>
    </row>
    <row r="3646" spans="2:4">
      <c r="B3646" t="s">
        <v>10094</v>
      </c>
      <c r="C3646" s="46">
        <v>1</v>
      </c>
      <c r="D3646" s="30">
        <v>7433.7374919372314</v>
      </c>
    </row>
    <row r="3647" spans="2:4">
      <c r="B3647" t="s">
        <v>10095</v>
      </c>
      <c r="C3647" s="46">
        <v>1</v>
      </c>
      <c r="D3647" s="30">
        <v>7356.3956892192909</v>
      </c>
    </row>
    <row r="3648" spans="2:4">
      <c r="B3648" t="s">
        <v>10096</v>
      </c>
      <c r="C3648" s="46">
        <v>1</v>
      </c>
      <c r="D3648" s="30">
        <v>6921.2688586639588</v>
      </c>
    </row>
    <row r="3649" spans="2:4">
      <c r="B3649" t="s">
        <v>10097</v>
      </c>
      <c r="C3649" s="46">
        <v>1</v>
      </c>
      <c r="D3649" s="30">
        <v>2543.730415956109</v>
      </c>
    </row>
    <row r="3650" spans="2:4">
      <c r="B3650" t="s">
        <v>10098</v>
      </c>
      <c r="C3650" s="46">
        <v>1</v>
      </c>
      <c r="D3650" s="30">
        <v>1796.5607931109168</v>
      </c>
    </row>
    <row r="3651" spans="2:4">
      <c r="B3651" t="s">
        <v>10099</v>
      </c>
      <c r="C3651" s="46">
        <v>1</v>
      </c>
      <c r="D3651" s="30">
        <v>5449.5003554712421</v>
      </c>
    </row>
    <row r="3652" spans="2:4">
      <c r="B3652" t="s">
        <v>10100</v>
      </c>
      <c r="C3652" s="46">
        <v>1</v>
      </c>
      <c r="D3652" s="30">
        <v>38886.348630980516</v>
      </c>
    </row>
    <row r="3653" spans="2:4">
      <c r="B3653" t="s">
        <v>10101</v>
      </c>
      <c r="C3653" s="46">
        <v>1</v>
      </c>
      <c r="D3653" s="30">
        <v>7416.7880895451635</v>
      </c>
    </row>
    <row r="3654" spans="2:4">
      <c r="B3654" t="s">
        <v>10102</v>
      </c>
      <c r="C3654" s="46">
        <v>1</v>
      </c>
      <c r="D3654" s="30">
        <v>6141.2105799003302</v>
      </c>
    </row>
    <row r="3655" spans="2:4">
      <c r="B3655" t="s">
        <v>10103</v>
      </c>
      <c r="C3655" s="46">
        <v>1</v>
      </c>
      <c r="D3655" s="30">
        <v>4456.3519618382625</v>
      </c>
    </row>
    <row r="3656" spans="2:4">
      <c r="B3656" t="s">
        <v>10104</v>
      </c>
      <c r="C3656" s="46">
        <v>1</v>
      </c>
      <c r="D3656" s="30">
        <v>7435.5011937090167</v>
      </c>
    </row>
    <row r="3657" spans="2:4">
      <c r="B3657" t="s">
        <v>10105</v>
      </c>
      <c r="C3657" s="46">
        <v>1</v>
      </c>
      <c r="D3657" s="30">
        <v>5956.2415383482421</v>
      </c>
    </row>
    <row r="3658" spans="2:4">
      <c r="B3658" t="s">
        <v>10106</v>
      </c>
      <c r="C3658" s="46">
        <v>1</v>
      </c>
      <c r="D3658" s="30">
        <v>3688.0366717509864</v>
      </c>
    </row>
    <row r="3659" spans="2:4">
      <c r="B3659" t="s">
        <v>10107</v>
      </c>
      <c r="C3659" s="46">
        <v>1</v>
      </c>
      <c r="D3659" s="30">
        <v>6141.2105799003302</v>
      </c>
    </row>
    <row r="3660" spans="2:4">
      <c r="B3660" t="s">
        <v>10108</v>
      </c>
      <c r="C3660" s="46">
        <v>1</v>
      </c>
      <c r="D3660" s="30">
        <v>2543.730415956109</v>
      </c>
    </row>
    <row r="3661" spans="2:4">
      <c r="B3661" t="s">
        <v>10109</v>
      </c>
      <c r="C3661" s="46">
        <v>1</v>
      </c>
      <c r="D3661" s="30">
        <v>53186.879754203685</v>
      </c>
    </row>
    <row r="3662" spans="2:4">
      <c r="B3662" t="s">
        <v>10110</v>
      </c>
      <c r="C3662" s="46">
        <v>1</v>
      </c>
      <c r="D3662" s="30">
        <v>6141.2105799003302</v>
      </c>
    </row>
    <row r="3663" spans="2:4">
      <c r="B3663" t="s">
        <v>10111</v>
      </c>
      <c r="C3663" s="46">
        <v>1</v>
      </c>
      <c r="D3663" s="30">
        <v>4072.9593635711512</v>
      </c>
    </row>
    <row r="3664" spans="2:4">
      <c r="B3664" t="s">
        <v>10112</v>
      </c>
      <c r="C3664" s="46">
        <v>1</v>
      </c>
      <c r="D3664" s="30">
        <v>2543.730415956109</v>
      </c>
    </row>
    <row r="3665" spans="2:4">
      <c r="B3665" t="s">
        <v>10113</v>
      </c>
      <c r="C3665" s="46">
        <v>1</v>
      </c>
      <c r="D3665" s="30">
        <v>7116.1633214984422</v>
      </c>
    </row>
    <row r="3666" spans="2:4">
      <c r="B3666" t="s">
        <v>10114</v>
      </c>
      <c r="C3666" s="46">
        <v>1</v>
      </c>
      <c r="D3666" s="30">
        <v>42559.368450941991</v>
      </c>
    </row>
    <row r="3667" spans="2:4">
      <c r="B3667" t="s">
        <v>10115</v>
      </c>
      <c r="C3667" s="46">
        <v>1</v>
      </c>
      <c r="D3667" s="30">
        <v>7448.6930385008163</v>
      </c>
    </row>
    <row r="3668" spans="2:4">
      <c r="B3668" t="s">
        <v>10116</v>
      </c>
      <c r="C3668" s="46">
        <v>1</v>
      </c>
      <c r="D3668" s="30">
        <v>7236.341523613517</v>
      </c>
    </row>
    <row r="3669" spans="2:4">
      <c r="B3669" t="s">
        <v>10117</v>
      </c>
      <c r="C3669" s="46">
        <v>1</v>
      </c>
      <c r="D3669" s="30">
        <v>60916.493063599475</v>
      </c>
    </row>
    <row r="3670" spans="2:4">
      <c r="B3670" t="s">
        <v>10118</v>
      </c>
      <c r="C3670" s="46">
        <v>1</v>
      </c>
      <c r="D3670" s="30">
        <v>2543.730415956109</v>
      </c>
    </row>
    <row r="3671" spans="2:4">
      <c r="B3671" t="s">
        <v>10119</v>
      </c>
      <c r="C3671" s="46">
        <v>1</v>
      </c>
      <c r="D3671" s="30">
        <v>7392.5512570568417</v>
      </c>
    </row>
    <row r="3672" spans="2:4">
      <c r="B3672" t="s">
        <v>10120</v>
      </c>
      <c r="C3672" s="46">
        <v>1</v>
      </c>
      <c r="D3672" s="30">
        <v>91299.45957296979</v>
      </c>
    </row>
    <row r="3673" spans="2:4">
      <c r="B3673" t="s">
        <v>10121</v>
      </c>
      <c r="C3673" s="46">
        <v>1</v>
      </c>
      <c r="D3673" s="30">
        <v>2543.730415956109</v>
      </c>
    </row>
    <row r="3674" spans="2:4">
      <c r="B3674" t="s">
        <v>10122</v>
      </c>
      <c r="C3674" s="46">
        <v>1</v>
      </c>
      <c r="D3674" s="30">
        <v>4766.1326555580436</v>
      </c>
    </row>
    <row r="3675" spans="2:4">
      <c r="B3675" t="s">
        <v>10123</v>
      </c>
      <c r="C3675" s="46">
        <v>1</v>
      </c>
      <c r="D3675" s="30">
        <v>3482.830105471387</v>
      </c>
    </row>
    <row r="3676" spans="2:4">
      <c r="B3676" t="s">
        <v>10124</v>
      </c>
      <c r="C3676" s="46">
        <v>1</v>
      </c>
      <c r="D3676" s="30">
        <v>6827.0160647831935</v>
      </c>
    </row>
    <row r="3677" spans="2:4">
      <c r="B3677" t="s">
        <v>10125</v>
      </c>
      <c r="C3677" s="46">
        <v>1</v>
      </c>
      <c r="D3677" s="30">
        <v>7426.713828969725</v>
      </c>
    </row>
    <row r="3678" spans="2:4">
      <c r="B3678" t="s">
        <v>10126</v>
      </c>
      <c r="C3678" s="46">
        <v>1</v>
      </c>
      <c r="D3678" s="30">
        <v>2317.2504175402341</v>
      </c>
    </row>
    <row r="3679" spans="2:4">
      <c r="B3679" t="s">
        <v>10127</v>
      </c>
      <c r="C3679" s="46">
        <v>1</v>
      </c>
      <c r="D3679" s="30">
        <v>2543.730415956109</v>
      </c>
    </row>
    <row r="3680" spans="2:4">
      <c r="B3680" t="s">
        <v>10128</v>
      </c>
      <c r="C3680" s="46">
        <v>1</v>
      </c>
      <c r="D3680" s="30">
        <v>465.5567353021454</v>
      </c>
    </row>
    <row r="3681" spans="2:4">
      <c r="B3681" t="s">
        <v>10129</v>
      </c>
      <c r="C3681" s="46">
        <v>1</v>
      </c>
      <c r="D3681" s="30">
        <v>6746.4018116187171</v>
      </c>
    </row>
    <row r="3682" spans="2:4">
      <c r="B3682" t="s">
        <v>10130</v>
      </c>
      <c r="C3682" s="46">
        <v>1</v>
      </c>
      <c r="D3682" s="30">
        <v>7418.3374239179611</v>
      </c>
    </row>
    <row r="3683" spans="2:4">
      <c r="B3683" t="s">
        <v>10131</v>
      </c>
      <c r="C3683" s="46">
        <v>1</v>
      </c>
      <c r="D3683" s="30">
        <v>2543.730415956109</v>
      </c>
    </row>
    <row r="3684" spans="2:4">
      <c r="B3684" t="s">
        <v>10132</v>
      </c>
      <c r="C3684" s="46">
        <v>1</v>
      </c>
      <c r="D3684" s="30">
        <v>31058.869821815813</v>
      </c>
    </row>
    <row r="3685" spans="2:4">
      <c r="B3685" t="s">
        <v>10133</v>
      </c>
      <c r="C3685" s="46">
        <v>1</v>
      </c>
      <c r="D3685" s="30">
        <v>5679.9860786596309</v>
      </c>
    </row>
    <row r="3686" spans="2:4">
      <c r="B3686" t="s">
        <v>10134</v>
      </c>
      <c r="C3686" s="46">
        <v>1</v>
      </c>
      <c r="D3686" s="30">
        <v>7143.7476884906164</v>
      </c>
    </row>
    <row r="3687" spans="2:4">
      <c r="B3687" t="s">
        <v>10135</v>
      </c>
      <c r="C3687" s="46">
        <v>1</v>
      </c>
      <c r="D3687" s="30">
        <v>6785.3608303893743</v>
      </c>
    </row>
    <row r="3688" spans="2:4">
      <c r="B3688" t="s">
        <v>10136</v>
      </c>
      <c r="C3688" s="46">
        <v>1</v>
      </c>
      <c r="D3688" s="30">
        <v>6386.390860813055</v>
      </c>
    </row>
    <row r="3689" spans="2:4">
      <c r="B3689" t="s">
        <v>10137</v>
      </c>
      <c r="C3689" s="46">
        <v>1</v>
      </c>
      <c r="D3689" s="30">
        <v>2443.7471647933116</v>
      </c>
    </row>
    <row r="3690" spans="2:4">
      <c r="B3690" t="s">
        <v>10138</v>
      </c>
      <c r="C3690" s="46">
        <v>1</v>
      </c>
      <c r="D3690" s="30">
        <v>2317.2504175402341</v>
      </c>
    </row>
    <row r="3691" spans="2:4">
      <c r="B3691" t="s">
        <v>10139</v>
      </c>
      <c r="C3691" s="46">
        <v>1</v>
      </c>
      <c r="D3691" s="30">
        <v>5000.1245225998027</v>
      </c>
    </row>
    <row r="3692" spans="2:4">
      <c r="B3692" t="s">
        <v>10140</v>
      </c>
      <c r="C3692" s="46">
        <v>1</v>
      </c>
      <c r="D3692" s="30">
        <v>28085.11553963249</v>
      </c>
    </row>
    <row r="3693" spans="2:4">
      <c r="B3693" t="s">
        <v>10141</v>
      </c>
      <c r="C3693" s="46">
        <v>1</v>
      </c>
      <c r="D3693" s="30">
        <v>7298.1488631377797</v>
      </c>
    </row>
    <row r="3694" spans="2:4">
      <c r="B3694" t="s">
        <v>10142</v>
      </c>
      <c r="C3694" s="46">
        <v>1</v>
      </c>
      <c r="D3694" s="30">
        <v>6216.0711517336704</v>
      </c>
    </row>
    <row r="3695" spans="2:4">
      <c r="B3695" t="s">
        <v>10143</v>
      </c>
      <c r="C3695" s="46">
        <v>1</v>
      </c>
      <c r="D3695" s="30">
        <v>6390.220779323764</v>
      </c>
    </row>
    <row r="3696" spans="2:4">
      <c r="B3696" t="s">
        <v>10144</v>
      </c>
      <c r="C3696" s="46">
        <v>1</v>
      </c>
      <c r="D3696" s="30">
        <v>7392.0803120495575</v>
      </c>
    </row>
    <row r="3697" spans="2:4">
      <c r="B3697" t="s">
        <v>10145</v>
      </c>
      <c r="C3697" s="46">
        <v>1</v>
      </c>
      <c r="D3697" s="30">
        <v>5112.9421781110332</v>
      </c>
    </row>
    <row r="3698" spans="2:4">
      <c r="B3698" t="s">
        <v>10146</v>
      </c>
      <c r="C3698" s="46">
        <v>1</v>
      </c>
      <c r="D3698" s="30">
        <v>7180.983538209759</v>
      </c>
    </row>
    <row r="3699" spans="2:4">
      <c r="B3699" t="s">
        <v>10147</v>
      </c>
      <c r="C3699" s="46">
        <v>1</v>
      </c>
      <c r="D3699" s="30">
        <v>4637.8107086605896</v>
      </c>
    </row>
    <row r="3700" spans="2:4">
      <c r="B3700" t="s">
        <v>10148</v>
      </c>
      <c r="C3700" s="46">
        <v>1</v>
      </c>
      <c r="D3700" s="30">
        <v>63.773359042074979</v>
      </c>
    </row>
    <row r="3701" spans="2:4">
      <c r="B3701" t="s">
        <v>10149</v>
      </c>
      <c r="C3701" s="46">
        <v>1</v>
      </c>
      <c r="D3701" s="30">
        <v>3742.8698213261287</v>
      </c>
    </row>
    <row r="3702" spans="2:4">
      <c r="B3702" t="s">
        <v>10150</v>
      </c>
      <c r="C3702" s="46">
        <v>1</v>
      </c>
      <c r="D3702" s="30">
        <v>7217.6223316600453</v>
      </c>
    </row>
    <row r="3703" spans="2:4">
      <c r="B3703" t="s">
        <v>10151</v>
      </c>
      <c r="C3703" s="46">
        <v>1</v>
      </c>
      <c r="D3703" s="30">
        <v>6867.7392410445191</v>
      </c>
    </row>
    <row r="3704" spans="2:4">
      <c r="B3704" t="s">
        <v>10152</v>
      </c>
      <c r="C3704" s="46">
        <v>1</v>
      </c>
      <c r="D3704" s="30">
        <v>53186.879754203685</v>
      </c>
    </row>
    <row r="3705" spans="2:4">
      <c r="B3705" t="s">
        <v>10153</v>
      </c>
      <c r="C3705" s="46">
        <v>1</v>
      </c>
      <c r="D3705" s="30">
        <v>5889.1063947588655</v>
      </c>
    </row>
    <row r="3706" spans="2:4">
      <c r="B3706" t="s">
        <v>10154</v>
      </c>
      <c r="C3706" s="46">
        <v>1</v>
      </c>
      <c r="D3706" s="30">
        <v>7016.0039996053156</v>
      </c>
    </row>
    <row r="3707" spans="2:4">
      <c r="B3707" t="s">
        <v>10155</v>
      </c>
      <c r="C3707" s="46">
        <v>1</v>
      </c>
      <c r="D3707" s="30">
        <v>3688.0366717509864</v>
      </c>
    </row>
    <row r="3708" spans="2:4">
      <c r="B3708" t="s">
        <v>10156</v>
      </c>
      <c r="C3708" s="46">
        <v>1</v>
      </c>
      <c r="D3708" s="30">
        <v>7442.5572350112479</v>
      </c>
    </row>
    <row r="3709" spans="2:4">
      <c r="B3709" t="s">
        <v>10157</v>
      </c>
      <c r="C3709" s="46">
        <v>1</v>
      </c>
      <c r="D3709" s="30">
        <v>3497.7861121069891</v>
      </c>
    </row>
    <row r="3710" spans="2:4">
      <c r="B3710" t="s">
        <v>10158</v>
      </c>
      <c r="C3710" s="46">
        <v>1</v>
      </c>
      <c r="D3710" s="30">
        <v>2488.6714137498529</v>
      </c>
    </row>
    <row r="3711" spans="2:4">
      <c r="B3711" t="s">
        <v>10159</v>
      </c>
      <c r="C3711" s="46">
        <v>1</v>
      </c>
      <c r="D3711" s="30">
        <v>7080.5410256105606</v>
      </c>
    </row>
    <row r="3712" spans="2:4">
      <c r="B3712" t="s">
        <v>10160</v>
      </c>
      <c r="C3712" s="46">
        <v>1</v>
      </c>
      <c r="D3712" s="30">
        <v>7382.1151272432508</v>
      </c>
    </row>
    <row r="3713" spans="2:4">
      <c r="B3713" t="s">
        <v>10161</v>
      </c>
      <c r="C3713" s="46">
        <v>1</v>
      </c>
      <c r="D3713" s="30">
        <v>7209.3471230918976</v>
      </c>
    </row>
    <row r="3714" spans="2:4">
      <c r="B3714" t="s">
        <v>10162</v>
      </c>
      <c r="C3714" s="46">
        <v>1</v>
      </c>
      <c r="D3714" s="30">
        <v>6424.1572739650674</v>
      </c>
    </row>
    <row r="3715" spans="2:4">
      <c r="B3715" t="s">
        <v>10163</v>
      </c>
      <c r="C3715" s="46">
        <v>1</v>
      </c>
      <c r="D3715" s="30">
        <v>99996.310700452232</v>
      </c>
    </row>
    <row r="3716" spans="2:4">
      <c r="B3716" t="s">
        <v>10164</v>
      </c>
      <c r="C3716" s="46">
        <v>1</v>
      </c>
      <c r="D3716" s="30">
        <v>1561.3480952390394</v>
      </c>
    </row>
    <row r="3717" spans="2:4">
      <c r="B3717" t="s">
        <v>10165</v>
      </c>
      <c r="C3717" s="46">
        <v>1</v>
      </c>
      <c r="D3717" s="30">
        <v>5943.2426646865624</v>
      </c>
    </row>
    <row r="3718" spans="2:4">
      <c r="B3718" t="s">
        <v>10166</v>
      </c>
      <c r="C3718" s="46">
        <v>1</v>
      </c>
      <c r="D3718" s="30">
        <v>7433.7374919372314</v>
      </c>
    </row>
    <row r="3719" spans="2:4">
      <c r="B3719" t="s">
        <v>10167</v>
      </c>
      <c r="C3719" s="46">
        <v>1</v>
      </c>
      <c r="D3719" s="30">
        <v>6888.9744241517292</v>
      </c>
    </row>
    <row r="3720" spans="2:4">
      <c r="B3720" t="s">
        <v>10168</v>
      </c>
      <c r="C3720" s="46">
        <v>1</v>
      </c>
      <c r="D3720" s="30">
        <v>2488.6714137498529</v>
      </c>
    </row>
    <row r="3721" spans="2:4">
      <c r="B3721" t="s">
        <v>10169</v>
      </c>
      <c r="C3721" s="46">
        <v>1</v>
      </c>
      <c r="D3721" s="30">
        <v>2488.6714137498529</v>
      </c>
    </row>
    <row r="3722" spans="2:4">
      <c r="B3722" t="s">
        <v>10170</v>
      </c>
      <c r="C3722" s="46">
        <v>1</v>
      </c>
      <c r="D3722" s="30">
        <v>6508.9308652698028</v>
      </c>
    </row>
    <row r="3723" spans="2:4">
      <c r="B3723" t="s">
        <v>10171</v>
      </c>
      <c r="C3723" s="46">
        <v>1</v>
      </c>
      <c r="D3723" s="30">
        <v>2488.6714137498529</v>
      </c>
    </row>
    <row r="3724" spans="2:4">
      <c r="B3724" t="s">
        <v>10172</v>
      </c>
      <c r="C3724" s="46">
        <v>1</v>
      </c>
      <c r="D3724" s="30">
        <v>6881.600407824747</v>
      </c>
    </row>
    <row r="3725" spans="2:4">
      <c r="B3725" t="s">
        <v>10173</v>
      </c>
      <c r="C3725" s="46">
        <v>1</v>
      </c>
      <c r="D3725" s="30">
        <v>2970.6837646577715</v>
      </c>
    </row>
    <row r="3726" spans="2:4">
      <c r="B3726" t="s">
        <v>10174</v>
      </c>
      <c r="C3726" s="46">
        <v>1</v>
      </c>
      <c r="D3726" s="30">
        <v>71571.186076068916</v>
      </c>
    </row>
    <row r="3727" spans="2:4">
      <c r="B3727" t="s">
        <v>10175</v>
      </c>
      <c r="C3727" s="46">
        <v>1</v>
      </c>
      <c r="D3727" s="30">
        <v>2435.183225651771</v>
      </c>
    </row>
    <row r="3728" spans="2:4">
      <c r="B3728" t="s">
        <v>10176</v>
      </c>
      <c r="C3728" s="46">
        <v>1</v>
      </c>
      <c r="D3728" s="30">
        <v>7357.9513582318741</v>
      </c>
    </row>
    <row r="3729" spans="2:4">
      <c r="B3729" t="s">
        <v>10177</v>
      </c>
      <c r="C3729" s="46">
        <v>1</v>
      </c>
      <c r="D3729" s="30">
        <v>2966.7519535744304</v>
      </c>
    </row>
    <row r="3730" spans="2:4">
      <c r="B3730" t="s">
        <v>10178</v>
      </c>
      <c r="C3730" s="46">
        <v>1</v>
      </c>
      <c r="D3730" s="30">
        <v>7042.9662426982477</v>
      </c>
    </row>
    <row r="3731" spans="2:4">
      <c r="B3731" t="s">
        <v>10179</v>
      </c>
      <c r="C3731" s="46">
        <v>1</v>
      </c>
      <c r="D3731" s="30">
        <v>6633.3240378824412</v>
      </c>
    </row>
    <row r="3732" spans="2:4">
      <c r="B3732" t="s">
        <v>10180</v>
      </c>
      <c r="C3732" s="46">
        <v>1</v>
      </c>
      <c r="D3732" s="30">
        <v>7304.0520853488933</v>
      </c>
    </row>
    <row r="3733" spans="2:4">
      <c r="B3733" t="s">
        <v>10181</v>
      </c>
      <c r="C3733" s="46">
        <v>1</v>
      </c>
      <c r="D3733" s="30">
        <v>7175.4546109361554</v>
      </c>
    </row>
    <row r="3734" spans="2:4">
      <c r="B3734" t="s">
        <v>10182</v>
      </c>
      <c r="C3734" s="46">
        <v>1</v>
      </c>
      <c r="D3734" s="30">
        <v>5650.4059950389164</v>
      </c>
    </row>
    <row r="3735" spans="2:4">
      <c r="B3735" t="s">
        <v>10183</v>
      </c>
      <c r="C3735" s="46">
        <v>1</v>
      </c>
      <c r="D3735" s="30">
        <v>6330.5309589059143</v>
      </c>
    </row>
    <row r="3736" spans="2:4">
      <c r="B3736" t="s">
        <v>10184</v>
      </c>
      <c r="C3736" s="46">
        <v>1</v>
      </c>
      <c r="D3736" s="30">
        <v>2915.1973183155174</v>
      </c>
    </row>
    <row r="3737" spans="2:4">
      <c r="B3737" t="s">
        <v>10185</v>
      </c>
      <c r="C3737" s="46">
        <v>1</v>
      </c>
      <c r="D3737" s="30">
        <v>5836.8717024069283</v>
      </c>
    </row>
    <row r="3738" spans="2:4">
      <c r="B3738" t="s">
        <v>10186</v>
      </c>
      <c r="C3738" s="46">
        <v>1</v>
      </c>
      <c r="D3738" s="30">
        <v>7200.2772118027515</v>
      </c>
    </row>
    <row r="3739" spans="2:4">
      <c r="B3739" t="s">
        <v>10187</v>
      </c>
      <c r="C3739" s="46">
        <v>1</v>
      </c>
      <c r="D3739" s="30">
        <v>6880.2023301311274</v>
      </c>
    </row>
    <row r="3740" spans="2:4">
      <c r="B3740" t="s">
        <v>10188</v>
      </c>
      <c r="C3740" s="46">
        <v>1</v>
      </c>
      <c r="D3740" s="30">
        <v>7308.0398307318665</v>
      </c>
    </row>
    <row r="3741" spans="2:4">
      <c r="B3741" t="s">
        <v>10189</v>
      </c>
      <c r="C3741" s="46">
        <v>1</v>
      </c>
      <c r="D3741" s="30">
        <v>7443.7078364359586</v>
      </c>
    </row>
    <row r="3742" spans="2:4">
      <c r="B3742" t="s">
        <v>10190</v>
      </c>
      <c r="C3742" s="46">
        <v>1</v>
      </c>
      <c r="D3742" s="30">
        <v>6619.5510719302911</v>
      </c>
    </row>
    <row r="3743" spans="2:4">
      <c r="B3743" t="s">
        <v>10191</v>
      </c>
      <c r="C3743" s="46">
        <v>1</v>
      </c>
      <c r="D3743" s="30">
        <v>7160.263559562989</v>
      </c>
    </row>
    <row r="3744" spans="2:4">
      <c r="B3744" t="s">
        <v>10192</v>
      </c>
      <c r="C3744" s="46">
        <v>1</v>
      </c>
      <c r="D3744" s="30">
        <v>6235.8858032337248</v>
      </c>
    </row>
    <row r="3745" spans="2:4">
      <c r="B3745" t="s">
        <v>10193</v>
      </c>
      <c r="C3745" s="46">
        <v>1</v>
      </c>
      <c r="D3745" s="30">
        <v>7308.0398307318665</v>
      </c>
    </row>
    <row r="3746" spans="2:4">
      <c r="B3746" t="s">
        <v>10194</v>
      </c>
      <c r="C3746" s="46">
        <v>1</v>
      </c>
      <c r="D3746" s="30">
        <v>7295.0797072974565</v>
      </c>
    </row>
    <row r="3747" spans="2:4">
      <c r="B3747" t="s">
        <v>10195</v>
      </c>
      <c r="C3747" s="46">
        <v>1</v>
      </c>
      <c r="D3747" s="30">
        <v>5726.3745501471831</v>
      </c>
    </row>
    <row r="3748" spans="2:4">
      <c r="B3748" t="s">
        <v>10196</v>
      </c>
      <c r="C3748" s="46">
        <v>1</v>
      </c>
      <c r="D3748" s="30">
        <v>42110.115782433364</v>
      </c>
    </row>
    <row r="3749" spans="2:4">
      <c r="B3749" t="s">
        <v>10197</v>
      </c>
      <c r="C3749" s="46">
        <v>1</v>
      </c>
      <c r="D3749" s="30">
        <v>7308.0398307318665</v>
      </c>
    </row>
    <row r="3750" spans="2:4">
      <c r="B3750" t="s">
        <v>10198</v>
      </c>
      <c r="C3750" s="46">
        <v>1</v>
      </c>
      <c r="D3750" s="30">
        <v>4114.1833835258576</v>
      </c>
    </row>
    <row r="3751" spans="2:4">
      <c r="B3751" t="s">
        <v>10199</v>
      </c>
      <c r="C3751" s="46">
        <v>1</v>
      </c>
      <c r="D3751" s="30">
        <v>4554.4029929318831</v>
      </c>
    </row>
    <row r="3752" spans="2:4">
      <c r="B3752" t="s">
        <v>10200</v>
      </c>
      <c r="C3752" s="46">
        <v>1</v>
      </c>
      <c r="D3752" s="30">
        <v>28085.11553963249</v>
      </c>
    </row>
    <row r="3753" spans="2:4">
      <c r="B3753" t="s">
        <v>10201</v>
      </c>
      <c r="C3753" s="46">
        <v>1</v>
      </c>
      <c r="D3753" s="30">
        <v>7238.3643328070002</v>
      </c>
    </row>
    <row r="3754" spans="2:4">
      <c r="B3754" t="s">
        <v>10202</v>
      </c>
      <c r="C3754" s="46">
        <v>1</v>
      </c>
      <c r="D3754" s="30">
        <v>7407.8149703912441</v>
      </c>
    </row>
    <row r="3755" spans="2:4">
      <c r="B3755" t="s">
        <v>10203</v>
      </c>
      <c r="C3755" s="46">
        <v>1</v>
      </c>
      <c r="D3755" s="30">
        <v>2531.8718971784683</v>
      </c>
    </row>
    <row r="3756" spans="2:4">
      <c r="B3756" t="s">
        <v>10204</v>
      </c>
      <c r="C3756" s="46">
        <v>1</v>
      </c>
      <c r="D3756" s="30">
        <v>7077.7701977948809</v>
      </c>
    </row>
    <row r="3757" spans="2:4">
      <c r="B3757" t="s">
        <v>10205</v>
      </c>
      <c r="C3757" s="46">
        <v>1</v>
      </c>
      <c r="D3757" s="30">
        <v>7308.0398307318665</v>
      </c>
    </row>
    <row r="3758" spans="2:4">
      <c r="B3758" t="s">
        <v>10206</v>
      </c>
      <c r="C3758" s="46">
        <v>1</v>
      </c>
      <c r="D3758" s="30">
        <v>3472.996993789498</v>
      </c>
    </row>
    <row r="3759" spans="2:4">
      <c r="B3759" t="s">
        <v>10207</v>
      </c>
      <c r="C3759" s="46">
        <v>1</v>
      </c>
      <c r="D3759" s="30">
        <v>7437.8347812039228</v>
      </c>
    </row>
    <row r="3760" spans="2:4">
      <c r="B3760" t="s">
        <v>10208</v>
      </c>
      <c r="C3760" s="46">
        <v>1</v>
      </c>
      <c r="D3760" s="30">
        <v>7324.0690392704437</v>
      </c>
    </row>
    <row r="3761" spans="2:4">
      <c r="B3761" t="s">
        <v>10209</v>
      </c>
      <c r="C3761" s="46">
        <v>1</v>
      </c>
      <c r="D3761" s="30">
        <v>7195.3912599645773</v>
      </c>
    </row>
    <row r="3762" spans="2:4">
      <c r="B3762" t="s">
        <v>10210</v>
      </c>
      <c r="C3762" s="46">
        <v>1</v>
      </c>
      <c r="D3762" s="30">
        <v>42110.115782433364</v>
      </c>
    </row>
    <row r="3763" spans="2:4">
      <c r="B3763" t="s">
        <v>10211</v>
      </c>
      <c r="C3763" s="46">
        <v>1</v>
      </c>
      <c r="D3763" s="30">
        <v>3436.2761667747673</v>
      </c>
    </row>
    <row r="3764" spans="2:4">
      <c r="B3764" t="s">
        <v>10212</v>
      </c>
      <c r="C3764" s="46">
        <v>1</v>
      </c>
      <c r="D3764" s="30">
        <v>7449.6900812939193</v>
      </c>
    </row>
    <row r="3765" spans="2:4">
      <c r="B3765" t="s">
        <v>10213</v>
      </c>
      <c r="C3765" s="46">
        <v>1</v>
      </c>
      <c r="D3765" s="30">
        <v>7308.0398307318665</v>
      </c>
    </row>
    <row r="3766" spans="2:4">
      <c r="B3766" t="s">
        <v>10214</v>
      </c>
      <c r="C3766" s="46">
        <v>1</v>
      </c>
      <c r="D3766" s="30">
        <v>6691.8511077815856</v>
      </c>
    </row>
    <row r="3767" spans="2:4">
      <c r="B3767" t="s">
        <v>10215</v>
      </c>
      <c r="C3767" s="46">
        <v>1</v>
      </c>
      <c r="D3767" s="30">
        <v>2976.5698531897033</v>
      </c>
    </row>
    <row r="3768" spans="2:4">
      <c r="B3768" t="s">
        <v>10216</v>
      </c>
      <c r="C3768" s="46">
        <v>1</v>
      </c>
      <c r="D3768" s="30">
        <v>6569.3906206043675</v>
      </c>
    </row>
    <row r="3769" spans="2:4">
      <c r="B3769" t="s">
        <v>10217</v>
      </c>
      <c r="C3769" s="46">
        <v>1</v>
      </c>
      <c r="D3769" s="30">
        <v>7308.0398307318665</v>
      </c>
    </row>
    <row r="3770" spans="2:4">
      <c r="B3770" t="s">
        <v>10218</v>
      </c>
      <c r="C3770" s="46">
        <v>1</v>
      </c>
      <c r="D3770" s="30">
        <v>6691.8511077815856</v>
      </c>
    </row>
    <row r="3771" spans="2:4">
      <c r="B3771" t="s">
        <v>10219</v>
      </c>
      <c r="C3771" s="46">
        <v>1</v>
      </c>
      <c r="D3771" s="30">
        <v>6747.1788046045995</v>
      </c>
    </row>
    <row r="3772" spans="2:4">
      <c r="B3772" t="s">
        <v>10220</v>
      </c>
      <c r="C3772" s="46">
        <v>1</v>
      </c>
      <c r="D3772" s="30">
        <v>42110.115782433364</v>
      </c>
    </row>
    <row r="3773" spans="2:4">
      <c r="B3773" t="s">
        <v>10221</v>
      </c>
      <c r="C3773" s="46">
        <v>1</v>
      </c>
      <c r="D3773" s="30">
        <v>7308.0398307318665</v>
      </c>
    </row>
    <row r="3774" spans="2:4">
      <c r="B3774" t="s">
        <v>10222</v>
      </c>
      <c r="C3774" s="46">
        <v>1</v>
      </c>
      <c r="D3774" s="30">
        <v>7055.938938619408</v>
      </c>
    </row>
    <row r="3775" spans="2:4">
      <c r="B3775" t="s">
        <v>10223</v>
      </c>
      <c r="C3775" s="46">
        <v>1</v>
      </c>
      <c r="D3775" s="30">
        <v>6403.3225345409282</v>
      </c>
    </row>
    <row r="3776" spans="2:4">
      <c r="B3776" t="s">
        <v>10224</v>
      </c>
      <c r="C3776" s="46">
        <v>1</v>
      </c>
      <c r="D3776" s="30">
        <v>7320.611505782862</v>
      </c>
    </row>
    <row r="3777" spans="2:4">
      <c r="B3777" t="s">
        <v>10225</v>
      </c>
      <c r="C3777" s="46">
        <v>1</v>
      </c>
      <c r="D3777" s="30">
        <v>671.66337055354632</v>
      </c>
    </row>
    <row r="3778" spans="2:4">
      <c r="B3778" t="s">
        <v>10226</v>
      </c>
      <c r="C3778" s="46">
        <v>1</v>
      </c>
      <c r="D3778" s="30">
        <v>5568.9789876311997</v>
      </c>
    </row>
    <row r="3779" spans="2:4">
      <c r="B3779" t="s">
        <v>10227</v>
      </c>
      <c r="C3779" s="46">
        <v>1</v>
      </c>
      <c r="D3779" s="30">
        <v>7308.0398307318665</v>
      </c>
    </row>
    <row r="3780" spans="2:4">
      <c r="B3780" t="s">
        <v>10228</v>
      </c>
      <c r="C3780" s="46">
        <v>1</v>
      </c>
      <c r="D3780" s="30">
        <v>7032.6749232450347</v>
      </c>
    </row>
    <row r="3781" spans="2:4">
      <c r="B3781" t="s">
        <v>10229</v>
      </c>
      <c r="C3781" s="46">
        <v>1</v>
      </c>
      <c r="D3781" s="30">
        <v>7308.0398307318665</v>
      </c>
    </row>
    <row r="3782" spans="2:4">
      <c r="B3782" t="s">
        <v>10230</v>
      </c>
      <c r="C3782" s="46">
        <v>1</v>
      </c>
      <c r="D3782" s="30">
        <v>5660.7991803746181</v>
      </c>
    </row>
    <row r="3783" spans="2:4">
      <c r="B3783" t="s">
        <v>10231</v>
      </c>
      <c r="C3783" s="46">
        <v>1</v>
      </c>
      <c r="D3783" s="30">
        <v>7312.7130485609241</v>
      </c>
    </row>
    <row r="3784" spans="2:4">
      <c r="B3784" t="s">
        <v>10232</v>
      </c>
      <c r="C3784" s="46">
        <v>1</v>
      </c>
      <c r="D3784" s="30">
        <v>3090.9919535374097</v>
      </c>
    </row>
    <row r="3785" spans="2:4">
      <c r="B3785" t="s">
        <v>10233</v>
      </c>
      <c r="C3785" s="46">
        <v>1</v>
      </c>
      <c r="D3785" s="30">
        <v>7290.3144572939318</v>
      </c>
    </row>
    <row r="3786" spans="2:4">
      <c r="B3786" t="s">
        <v>10234</v>
      </c>
      <c r="C3786" s="46">
        <v>1</v>
      </c>
      <c r="D3786" s="30">
        <v>6579.191660330428</v>
      </c>
    </row>
    <row r="3787" spans="2:4">
      <c r="B3787" t="s">
        <v>10235</v>
      </c>
      <c r="C3787" s="46">
        <v>1</v>
      </c>
      <c r="D3787" s="30">
        <v>7405.6666244325579</v>
      </c>
    </row>
    <row r="3788" spans="2:4">
      <c r="B3788" t="s">
        <v>10236</v>
      </c>
      <c r="C3788" s="46">
        <v>1</v>
      </c>
      <c r="D3788" s="30">
        <v>7447.6959965006654</v>
      </c>
    </row>
    <row r="3789" spans="2:4">
      <c r="B3789" t="s">
        <v>10237</v>
      </c>
      <c r="C3789" s="46">
        <v>1</v>
      </c>
      <c r="D3789" s="30">
        <v>42110.115782433364</v>
      </c>
    </row>
    <row r="3790" spans="2:4">
      <c r="B3790" t="s">
        <v>10238</v>
      </c>
      <c r="C3790" s="46">
        <v>1</v>
      </c>
      <c r="D3790" s="30">
        <v>99996.310700452232</v>
      </c>
    </row>
    <row r="3791" spans="2:4">
      <c r="B3791" t="s">
        <v>10239</v>
      </c>
      <c r="C3791" s="46">
        <v>1</v>
      </c>
      <c r="D3791" s="30">
        <v>5943.8124859550062</v>
      </c>
    </row>
    <row r="3792" spans="2:4">
      <c r="B3792" t="s">
        <v>10240</v>
      </c>
      <c r="C3792" s="46">
        <v>1</v>
      </c>
      <c r="D3792" s="30">
        <v>7354.3279073744416</v>
      </c>
    </row>
    <row r="3793" spans="2:4">
      <c r="B3793" t="s">
        <v>10241</v>
      </c>
      <c r="C3793" s="46">
        <v>1</v>
      </c>
      <c r="D3793" s="30">
        <v>6694.9323658326011</v>
      </c>
    </row>
    <row r="3794" spans="2:4">
      <c r="B3794" t="s">
        <v>10242</v>
      </c>
      <c r="C3794" s="46">
        <v>1</v>
      </c>
      <c r="D3794" s="30">
        <v>7448.6930385008163</v>
      </c>
    </row>
    <row r="3795" spans="2:4">
      <c r="B3795" t="s">
        <v>10243</v>
      </c>
      <c r="C3795" s="46">
        <v>1</v>
      </c>
      <c r="D3795" s="30">
        <v>7308.0398307318665</v>
      </c>
    </row>
    <row r="3796" spans="2:4">
      <c r="B3796" t="s">
        <v>10244</v>
      </c>
      <c r="C3796" s="46">
        <v>1</v>
      </c>
      <c r="D3796" s="30">
        <v>7392.8524672883168</v>
      </c>
    </row>
    <row r="3797" spans="2:4">
      <c r="B3797" t="s">
        <v>10245</v>
      </c>
      <c r="C3797" s="46">
        <v>1</v>
      </c>
      <c r="D3797" s="30">
        <v>7308.0398307318665</v>
      </c>
    </row>
    <row r="3798" spans="2:4">
      <c r="B3798" t="s">
        <v>10246</v>
      </c>
      <c r="C3798" s="46">
        <v>1</v>
      </c>
      <c r="D3798" s="30">
        <v>7308.0398307318665</v>
      </c>
    </row>
    <row r="3799" spans="2:4">
      <c r="B3799" t="s">
        <v>10247</v>
      </c>
      <c r="C3799" s="46">
        <v>1</v>
      </c>
      <c r="D3799" s="30">
        <v>15643.299909583051</v>
      </c>
    </row>
    <row r="3800" spans="2:4">
      <c r="B3800" t="s">
        <v>10248</v>
      </c>
      <c r="C3800" s="46">
        <v>1</v>
      </c>
      <c r="D3800" s="30">
        <v>2317.2504175402341</v>
      </c>
    </row>
    <row r="3801" spans="2:4">
      <c r="B3801" t="s">
        <v>10249</v>
      </c>
      <c r="C3801" s="46">
        <v>1</v>
      </c>
      <c r="D3801" s="30">
        <v>7308.0398307318665</v>
      </c>
    </row>
    <row r="3802" spans="2:4">
      <c r="B3802" t="s">
        <v>10250</v>
      </c>
      <c r="C3802" s="46">
        <v>1</v>
      </c>
      <c r="D3802" s="30">
        <v>7098.6214078890625</v>
      </c>
    </row>
    <row r="3803" spans="2:4">
      <c r="B3803" t="s">
        <v>10251</v>
      </c>
      <c r="C3803" s="46">
        <v>1</v>
      </c>
      <c r="D3803" s="30">
        <v>7308.0398307318665</v>
      </c>
    </row>
    <row r="3804" spans="2:4">
      <c r="B3804" t="s">
        <v>10252</v>
      </c>
      <c r="C3804" s="46">
        <v>1</v>
      </c>
      <c r="D3804" s="30">
        <v>2576.5033784175539</v>
      </c>
    </row>
    <row r="3805" spans="2:4">
      <c r="B3805" t="s">
        <v>10253</v>
      </c>
      <c r="C3805" s="46">
        <v>1</v>
      </c>
      <c r="D3805" s="30">
        <v>42110.115782433364</v>
      </c>
    </row>
    <row r="3806" spans="2:4">
      <c r="B3806" t="s">
        <v>10254</v>
      </c>
      <c r="C3806" s="46">
        <v>1</v>
      </c>
      <c r="D3806" s="30">
        <v>7308.0398307318665</v>
      </c>
    </row>
    <row r="3807" spans="2:4">
      <c r="B3807" t="s">
        <v>10255</v>
      </c>
      <c r="C3807" s="46">
        <v>1</v>
      </c>
      <c r="D3807" s="30">
        <v>7308.0398307318665</v>
      </c>
    </row>
    <row r="3808" spans="2:4">
      <c r="B3808" t="s">
        <v>10256</v>
      </c>
      <c r="C3808" s="46">
        <v>1</v>
      </c>
      <c r="D3808" s="30">
        <v>91299.45957296979</v>
      </c>
    </row>
    <row r="3809" spans="2:4">
      <c r="B3809" t="s">
        <v>10257</v>
      </c>
      <c r="C3809" s="46">
        <v>1</v>
      </c>
      <c r="D3809" s="30">
        <v>91299.45957296979</v>
      </c>
    </row>
    <row r="3810" spans="2:4">
      <c r="B3810" t="s">
        <v>10258</v>
      </c>
      <c r="C3810" s="46">
        <v>1</v>
      </c>
      <c r="D3810" s="30">
        <v>91299.45957296979</v>
      </c>
    </row>
    <row r="3811" spans="2:4">
      <c r="B3811" t="s">
        <v>10259</v>
      </c>
      <c r="C3811" s="46">
        <v>1</v>
      </c>
      <c r="D3811" s="30">
        <v>91299.45957296979</v>
      </c>
    </row>
    <row r="3812" spans="2:4">
      <c r="B3812" t="s">
        <v>10260</v>
      </c>
      <c r="C3812" s="46">
        <v>1</v>
      </c>
      <c r="D3812" s="30">
        <v>91299.45957296979</v>
      </c>
    </row>
    <row r="3813" spans="2:4">
      <c r="B3813" t="s">
        <v>10261</v>
      </c>
      <c r="C3813" s="46">
        <v>1</v>
      </c>
      <c r="D3813" s="30">
        <v>91299.45957296979</v>
      </c>
    </row>
    <row r="3814" spans="2:4">
      <c r="B3814" t="s">
        <v>10262</v>
      </c>
      <c r="C3814" s="46">
        <v>1</v>
      </c>
      <c r="D3814" s="30">
        <v>91299.45957296979</v>
      </c>
    </row>
    <row r="3815" spans="2:4">
      <c r="B3815" t="s">
        <v>10263</v>
      </c>
      <c r="C3815" s="46">
        <v>1</v>
      </c>
      <c r="D3815" s="30">
        <v>91299.45957296979</v>
      </c>
    </row>
    <row r="3816" spans="2:4">
      <c r="B3816" t="s">
        <v>10264</v>
      </c>
      <c r="C3816" s="46">
        <v>1</v>
      </c>
      <c r="D3816" s="30">
        <v>7308.0398307318665</v>
      </c>
    </row>
    <row r="3817" spans="2:4">
      <c r="B3817" t="s">
        <v>10265</v>
      </c>
      <c r="C3817" s="46">
        <v>1</v>
      </c>
      <c r="D3817" s="30">
        <v>6280.2923481477874</v>
      </c>
    </row>
    <row r="3818" spans="2:4">
      <c r="B3818" t="s">
        <v>10266</v>
      </c>
      <c r="C3818" s="46">
        <v>1</v>
      </c>
      <c r="D3818" s="30">
        <v>10288.735396113667</v>
      </c>
    </row>
    <row r="3819" spans="2:4">
      <c r="B3819" t="s">
        <v>10267</v>
      </c>
      <c r="C3819" s="46">
        <v>1</v>
      </c>
      <c r="D3819" s="30">
        <v>6280.2923481477874</v>
      </c>
    </row>
    <row r="3820" spans="2:4">
      <c r="B3820" t="s">
        <v>10268</v>
      </c>
      <c r="C3820" s="46">
        <v>1</v>
      </c>
      <c r="D3820" s="30">
        <v>7016.0039996053156</v>
      </c>
    </row>
    <row r="3821" spans="2:4">
      <c r="B3821" t="s">
        <v>10269</v>
      </c>
      <c r="C3821" s="46">
        <v>1</v>
      </c>
      <c r="D3821" s="30">
        <v>5978.5620275185865</v>
      </c>
    </row>
    <row r="3822" spans="2:4">
      <c r="B3822" t="s">
        <v>10270</v>
      </c>
      <c r="C3822" s="46">
        <v>1</v>
      </c>
      <c r="D3822" s="30">
        <v>5978.5620275185865</v>
      </c>
    </row>
    <row r="3823" spans="2:4">
      <c r="B3823" t="s">
        <v>10271</v>
      </c>
      <c r="C3823" s="46">
        <v>1</v>
      </c>
      <c r="D3823" s="30">
        <v>7388.871933570199</v>
      </c>
    </row>
    <row r="3824" spans="2:4">
      <c r="B3824" t="s">
        <v>10272</v>
      </c>
      <c r="C3824" s="46">
        <v>1</v>
      </c>
      <c r="D3824" s="30">
        <v>6946.1124980619888</v>
      </c>
    </row>
    <row r="3825" spans="2:4">
      <c r="B3825" t="s">
        <v>10273</v>
      </c>
      <c r="C3825" s="46">
        <v>1</v>
      </c>
      <c r="D3825" s="30">
        <v>7079.7836387385905</v>
      </c>
    </row>
    <row r="3826" spans="2:4">
      <c r="B3826" t="s">
        <v>10274</v>
      </c>
      <c r="C3826" s="46">
        <v>1</v>
      </c>
      <c r="D3826" s="30">
        <v>7409.8089912351725</v>
      </c>
    </row>
    <row r="3827" spans="2:4">
      <c r="B3827" t="s">
        <v>10275</v>
      </c>
      <c r="C3827" s="46">
        <v>1</v>
      </c>
      <c r="D3827" s="30">
        <v>5146.377128698553</v>
      </c>
    </row>
    <row r="3828" spans="2:4">
      <c r="B3828" t="s">
        <v>10276</v>
      </c>
      <c r="C3828" s="46">
        <v>1</v>
      </c>
      <c r="D3828" s="30">
        <v>7308.0398307318665</v>
      </c>
    </row>
    <row r="3829" spans="2:4">
      <c r="B3829" t="s">
        <v>10277</v>
      </c>
      <c r="C3829" s="46">
        <v>1</v>
      </c>
      <c r="D3829" s="30">
        <v>42110.115782433364</v>
      </c>
    </row>
    <row r="3830" spans="2:4">
      <c r="B3830" t="s">
        <v>10278</v>
      </c>
      <c r="C3830" s="46">
        <v>1</v>
      </c>
      <c r="D3830" s="30">
        <v>7336.2558817378713</v>
      </c>
    </row>
    <row r="3831" spans="2:4">
      <c r="B3831" t="s">
        <v>10279</v>
      </c>
      <c r="C3831" s="46">
        <v>1</v>
      </c>
      <c r="D3831" s="30">
        <v>7308.0398307318665</v>
      </c>
    </row>
    <row r="3832" spans="2:4">
      <c r="B3832" t="s">
        <v>10280</v>
      </c>
      <c r="C3832" s="46">
        <v>1</v>
      </c>
      <c r="D3832" s="30">
        <v>7308.0398307318665</v>
      </c>
    </row>
    <row r="3833" spans="2:4">
      <c r="B3833" t="s">
        <v>10281</v>
      </c>
      <c r="C3833" s="46">
        <v>1</v>
      </c>
      <c r="D3833" s="30">
        <v>7217.6899034091548</v>
      </c>
    </row>
    <row r="3834" spans="2:4">
      <c r="B3834" t="s">
        <v>10282</v>
      </c>
      <c r="C3834" s="46">
        <v>1</v>
      </c>
      <c r="D3834" s="30">
        <v>6518.0118467574575</v>
      </c>
    </row>
    <row r="3835" spans="2:4">
      <c r="B3835" t="s">
        <v>10283</v>
      </c>
      <c r="C3835" s="46">
        <v>1</v>
      </c>
      <c r="D3835" s="30">
        <v>7072.8674002374473</v>
      </c>
    </row>
    <row r="3836" spans="2:4">
      <c r="B3836" t="s">
        <v>10284</v>
      </c>
      <c r="C3836" s="46">
        <v>1</v>
      </c>
      <c r="D3836" s="30">
        <v>7290.6103481613691</v>
      </c>
    </row>
    <row r="3837" spans="2:4">
      <c r="B3837" t="s">
        <v>10285</v>
      </c>
      <c r="C3837" s="46">
        <v>1</v>
      </c>
      <c r="D3837" s="30">
        <v>7290.6103481613691</v>
      </c>
    </row>
    <row r="3838" spans="2:4">
      <c r="B3838" t="s">
        <v>10286</v>
      </c>
      <c r="C3838" s="46">
        <v>1</v>
      </c>
      <c r="D3838" s="30">
        <v>7290.6103481613691</v>
      </c>
    </row>
    <row r="3839" spans="2:4">
      <c r="B3839" t="s">
        <v>10287</v>
      </c>
      <c r="C3839" s="46">
        <v>1</v>
      </c>
      <c r="D3839" s="30">
        <v>7435.7315544652511</v>
      </c>
    </row>
    <row r="3840" spans="2:4">
      <c r="B3840" t="s">
        <v>10288</v>
      </c>
      <c r="C3840" s="46">
        <v>1</v>
      </c>
      <c r="D3840" s="30">
        <v>3253.4236376377917</v>
      </c>
    </row>
    <row r="3841" spans="2:4">
      <c r="B3841" t="s">
        <v>10289</v>
      </c>
      <c r="C3841" s="46">
        <v>1</v>
      </c>
      <c r="D3841" s="30">
        <v>42110.115782433364</v>
      </c>
    </row>
    <row r="3842" spans="2:4">
      <c r="B3842" t="s">
        <v>10290</v>
      </c>
      <c r="C3842" s="46">
        <v>1</v>
      </c>
      <c r="D3842" s="30">
        <v>7233.4095983386705</v>
      </c>
    </row>
    <row r="3843" spans="2:4">
      <c r="B3843" t="s">
        <v>10291</v>
      </c>
      <c r="C3843" s="46">
        <v>1</v>
      </c>
      <c r="D3843" s="30">
        <v>7277.5438823319846</v>
      </c>
    </row>
    <row r="3844" spans="2:4">
      <c r="B3844" t="s">
        <v>10292</v>
      </c>
      <c r="C3844" s="46">
        <v>1</v>
      </c>
      <c r="D3844" s="30">
        <v>7277.5438823319846</v>
      </c>
    </row>
    <row r="3845" spans="2:4">
      <c r="B3845" t="s">
        <v>10293</v>
      </c>
      <c r="C3845" s="46">
        <v>1</v>
      </c>
      <c r="D3845" s="30">
        <v>5292.5357558192882</v>
      </c>
    </row>
    <row r="3846" spans="2:4">
      <c r="B3846" t="s">
        <v>10294</v>
      </c>
      <c r="C3846" s="46">
        <v>1</v>
      </c>
      <c r="D3846" s="30">
        <v>7217.4012263086752</v>
      </c>
    </row>
    <row r="3847" spans="2:4">
      <c r="B3847" t="s">
        <v>10295</v>
      </c>
      <c r="C3847" s="46">
        <v>1</v>
      </c>
      <c r="D3847" s="30">
        <v>7140.4065464213318</v>
      </c>
    </row>
    <row r="3848" spans="2:4">
      <c r="B3848" t="s">
        <v>10296</v>
      </c>
      <c r="C3848" s="46">
        <v>1</v>
      </c>
      <c r="D3848" s="30">
        <v>7447.6959965006654</v>
      </c>
    </row>
    <row r="3849" spans="2:4">
      <c r="B3849" t="s">
        <v>10297</v>
      </c>
      <c r="C3849" s="46">
        <v>1</v>
      </c>
      <c r="D3849" s="30">
        <v>4448.071847784694</v>
      </c>
    </row>
    <row r="3850" spans="2:4">
      <c r="B3850" t="s">
        <v>10298</v>
      </c>
      <c r="C3850" s="46">
        <v>1</v>
      </c>
      <c r="D3850" s="30">
        <v>6216.0711517336704</v>
      </c>
    </row>
    <row r="3851" spans="2:4">
      <c r="B3851" t="s">
        <v>10299</v>
      </c>
      <c r="C3851" s="46">
        <v>1</v>
      </c>
      <c r="D3851" s="30">
        <v>7404.6695960532797</v>
      </c>
    </row>
    <row r="3852" spans="2:4">
      <c r="B3852" t="s">
        <v>10300</v>
      </c>
      <c r="C3852" s="46">
        <v>1</v>
      </c>
      <c r="D3852" s="30">
        <v>42110.115782433364</v>
      </c>
    </row>
    <row r="3853" spans="2:4">
      <c r="B3853" t="s">
        <v>10301</v>
      </c>
      <c r="C3853" s="46">
        <v>1</v>
      </c>
      <c r="D3853" s="30">
        <v>7405.8916962034546</v>
      </c>
    </row>
    <row r="3854" spans="2:4">
      <c r="B3854" t="s">
        <v>10302</v>
      </c>
      <c r="C3854" s="46">
        <v>1</v>
      </c>
      <c r="D3854" s="30">
        <v>7176.2703543150947</v>
      </c>
    </row>
    <row r="3855" spans="2:4">
      <c r="B3855" t="s">
        <v>10303</v>
      </c>
      <c r="C3855" s="46">
        <v>1</v>
      </c>
      <c r="D3855" s="30">
        <v>7080.5410256105606</v>
      </c>
    </row>
    <row r="3856" spans="2:4">
      <c r="B3856" t="s">
        <v>10304</v>
      </c>
      <c r="C3856" s="46">
        <v>1</v>
      </c>
      <c r="D3856" s="30">
        <v>3688.0366717509864</v>
      </c>
    </row>
    <row r="3857" spans="2:4">
      <c r="B3857" t="s">
        <v>10305</v>
      </c>
      <c r="C3857" s="46">
        <v>1</v>
      </c>
      <c r="D3857" s="30">
        <v>7304.0520853488933</v>
      </c>
    </row>
    <row r="3858" spans="2:4">
      <c r="B3858" t="s">
        <v>10306</v>
      </c>
      <c r="C3858" s="46">
        <v>1</v>
      </c>
      <c r="D3858" s="30">
        <v>4419.8572009773579</v>
      </c>
    </row>
    <row r="3859" spans="2:4">
      <c r="B3859" t="s">
        <v>10307</v>
      </c>
      <c r="C3859" s="46">
        <v>1</v>
      </c>
      <c r="D3859" s="30">
        <v>7304.0520853488933</v>
      </c>
    </row>
    <row r="3860" spans="2:4">
      <c r="B3860" t="s">
        <v>10308</v>
      </c>
      <c r="C3860" s="46">
        <v>1</v>
      </c>
      <c r="D3860" s="30">
        <v>4419.8572009773579</v>
      </c>
    </row>
    <row r="3861" spans="2:4">
      <c r="B3861" t="s">
        <v>10309</v>
      </c>
      <c r="C3861" s="46">
        <v>1</v>
      </c>
      <c r="D3861" s="30">
        <v>5465.88213624727</v>
      </c>
    </row>
    <row r="3862" spans="2:4">
      <c r="B3862" t="s">
        <v>10310</v>
      </c>
      <c r="C3862" s="46">
        <v>1</v>
      </c>
      <c r="D3862" s="30">
        <v>7408.4247523908598</v>
      </c>
    </row>
    <row r="3863" spans="2:4">
      <c r="B3863" t="s">
        <v>10311</v>
      </c>
      <c r="C3863" s="46">
        <v>1</v>
      </c>
      <c r="D3863" s="30">
        <v>7345.6963672461061</v>
      </c>
    </row>
    <row r="3864" spans="2:4">
      <c r="B3864" t="s">
        <v>10312</v>
      </c>
      <c r="C3864" s="46">
        <v>1</v>
      </c>
      <c r="D3864" s="30">
        <v>7288.1012381273731</v>
      </c>
    </row>
    <row r="3865" spans="2:4">
      <c r="B3865" t="s">
        <v>10313</v>
      </c>
      <c r="C3865" s="46">
        <v>1</v>
      </c>
      <c r="D3865" s="30">
        <v>28085.11553963249</v>
      </c>
    </row>
    <row r="3866" spans="2:4">
      <c r="B3866" t="s">
        <v>10314</v>
      </c>
      <c r="C3866" s="46">
        <v>1</v>
      </c>
      <c r="D3866" s="30">
        <v>7282.1197260195358</v>
      </c>
    </row>
    <row r="3867" spans="2:4">
      <c r="B3867" t="s">
        <v>10315</v>
      </c>
      <c r="C3867" s="46">
        <v>1</v>
      </c>
      <c r="D3867" s="30">
        <v>4903.207666512285</v>
      </c>
    </row>
    <row r="3868" spans="2:4">
      <c r="B3868" t="s">
        <v>10316</v>
      </c>
      <c r="C3868" s="46">
        <v>1</v>
      </c>
      <c r="D3868" s="30">
        <v>7264.9431693046445</v>
      </c>
    </row>
    <row r="3869" spans="2:4">
      <c r="B3869" t="s">
        <v>10317</v>
      </c>
      <c r="C3869" s="46">
        <v>1</v>
      </c>
      <c r="D3869" s="30">
        <v>42110.115782433364</v>
      </c>
    </row>
    <row r="3870" spans="2:4">
      <c r="B3870" t="s">
        <v>10318</v>
      </c>
      <c r="C3870" s="46">
        <v>1</v>
      </c>
      <c r="D3870" s="30">
        <v>2476.3265160863057</v>
      </c>
    </row>
    <row r="3871" spans="2:4">
      <c r="B3871" t="s">
        <v>10319</v>
      </c>
      <c r="C3871" s="46">
        <v>1</v>
      </c>
      <c r="D3871" s="30">
        <v>2476.3265160863057</v>
      </c>
    </row>
    <row r="3872" spans="2:4">
      <c r="B3872" t="s">
        <v>10320</v>
      </c>
      <c r="C3872" s="46">
        <v>1</v>
      </c>
      <c r="D3872" s="30">
        <v>6991.6761921229245</v>
      </c>
    </row>
    <row r="3873" spans="2:4">
      <c r="B3873" t="s">
        <v>10321</v>
      </c>
      <c r="C3873" s="46">
        <v>1</v>
      </c>
      <c r="D3873" s="30">
        <v>3178.7951525738304</v>
      </c>
    </row>
    <row r="3874" spans="2:4">
      <c r="B3874" t="s">
        <v>10322</v>
      </c>
      <c r="C3874" s="46">
        <v>1</v>
      </c>
      <c r="D3874" s="30">
        <v>7419.7791437329488</v>
      </c>
    </row>
    <row r="3875" spans="2:4">
      <c r="B3875" t="s">
        <v>10323</v>
      </c>
      <c r="C3875" s="46">
        <v>1</v>
      </c>
      <c r="D3875" s="30">
        <v>5760.6985806328366</v>
      </c>
    </row>
    <row r="3876" spans="2:4">
      <c r="B3876" t="s">
        <v>10324</v>
      </c>
      <c r="C3876" s="46">
        <v>1</v>
      </c>
      <c r="D3876" s="30">
        <v>7245.5956612807167</v>
      </c>
    </row>
    <row r="3877" spans="2:4">
      <c r="B3877" t="s">
        <v>10325</v>
      </c>
      <c r="C3877" s="46">
        <v>1</v>
      </c>
      <c r="D3877" s="30">
        <v>7253.7548026829681</v>
      </c>
    </row>
    <row r="3878" spans="2:4">
      <c r="B3878" t="s">
        <v>10326</v>
      </c>
      <c r="C3878" s="46">
        <v>1</v>
      </c>
      <c r="D3878" s="30">
        <v>7253.7548026829681</v>
      </c>
    </row>
    <row r="3879" spans="2:4">
      <c r="B3879" t="s">
        <v>10327</v>
      </c>
      <c r="C3879" s="46">
        <v>1</v>
      </c>
      <c r="D3879" s="30">
        <v>7253.7548026829681</v>
      </c>
    </row>
    <row r="3880" spans="2:4">
      <c r="B3880" t="s">
        <v>10328</v>
      </c>
      <c r="C3880" s="46">
        <v>1</v>
      </c>
      <c r="D3880" s="30">
        <v>7253.7548026829681</v>
      </c>
    </row>
    <row r="3881" spans="2:4">
      <c r="B3881" t="s">
        <v>10329</v>
      </c>
      <c r="C3881" s="46">
        <v>1</v>
      </c>
      <c r="D3881" s="30">
        <v>7253.7548026829681</v>
      </c>
    </row>
    <row r="3882" spans="2:4">
      <c r="B3882" t="s">
        <v>10330</v>
      </c>
      <c r="C3882" s="46">
        <v>1</v>
      </c>
      <c r="D3882" s="30">
        <v>7253.7548026829681</v>
      </c>
    </row>
    <row r="3883" spans="2:4">
      <c r="B3883" t="s">
        <v>10331</v>
      </c>
      <c r="C3883" s="46">
        <v>1</v>
      </c>
      <c r="D3883" s="30">
        <v>7385.8035147169521</v>
      </c>
    </row>
    <row r="3884" spans="2:4">
      <c r="B3884" t="s">
        <v>10332</v>
      </c>
      <c r="C3884" s="46">
        <v>1</v>
      </c>
      <c r="D3884" s="30">
        <v>7132.6722055938289</v>
      </c>
    </row>
    <row r="3885" spans="2:4">
      <c r="B3885" t="s">
        <v>10333</v>
      </c>
      <c r="C3885" s="46">
        <v>1</v>
      </c>
      <c r="D3885" s="30">
        <v>42110.115782433364</v>
      </c>
    </row>
    <row r="3886" spans="2:4">
      <c r="B3886" t="s">
        <v>10334</v>
      </c>
      <c r="C3886" s="46">
        <v>1</v>
      </c>
      <c r="D3886" s="30">
        <v>7289.1766269485406</v>
      </c>
    </row>
    <row r="3887" spans="2:4">
      <c r="B3887" t="s">
        <v>10335</v>
      </c>
      <c r="C3887" s="46">
        <v>1</v>
      </c>
      <c r="D3887" s="30">
        <v>7252.9493204938235</v>
      </c>
    </row>
    <row r="3888" spans="2:4">
      <c r="B3888" t="s">
        <v>10336</v>
      </c>
      <c r="C3888" s="46">
        <v>1</v>
      </c>
      <c r="D3888" s="30">
        <v>7222.0695388892318</v>
      </c>
    </row>
    <row r="3889" spans="2:4">
      <c r="B3889" t="s">
        <v>10337</v>
      </c>
      <c r="C3889" s="46">
        <v>1</v>
      </c>
      <c r="D3889" s="30">
        <v>7277.5438823319846</v>
      </c>
    </row>
    <row r="3890" spans="2:4">
      <c r="B3890" t="s">
        <v>10338</v>
      </c>
      <c r="C3890" s="46">
        <v>1</v>
      </c>
      <c r="D3890" s="30">
        <v>7277.5438823319846</v>
      </c>
    </row>
    <row r="3891" spans="2:4">
      <c r="B3891" t="s">
        <v>10339</v>
      </c>
      <c r="C3891" s="46">
        <v>1</v>
      </c>
      <c r="D3891" s="30">
        <v>7250.2977320681102</v>
      </c>
    </row>
    <row r="3892" spans="2:4">
      <c r="B3892" t="s">
        <v>10340</v>
      </c>
      <c r="C3892" s="46">
        <v>1</v>
      </c>
      <c r="D3892" s="30">
        <v>7277.5438823319846</v>
      </c>
    </row>
    <row r="3893" spans="2:4">
      <c r="B3893" t="s">
        <v>10341</v>
      </c>
      <c r="C3893" s="46">
        <v>1</v>
      </c>
      <c r="D3893" s="30">
        <v>2970.6837646577715</v>
      </c>
    </row>
    <row r="3894" spans="2:4">
      <c r="B3894" t="s">
        <v>10342</v>
      </c>
      <c r="C3894" s="46">
        <v>1</v>
      </c>
      <c r="D3894" s="30">
        <v>2970.6837646577715</v>
      </c>
    </row>
    <row r="3895" spans="2:4">
      <c r="B3895" t="s">
        <v>10343</v>
      </c>
      <c r="C3895" s="46">
        <v>1</v>
      </c>
      <c r="D3895" s="30">
        <v>2970.6837646577715</v>
      </c>
    </row>
    <row r="3896" spans="2:4">
      <c r="B3896" t="s">
        <v>10344</v>
      </c>
      <c r="C3896" s="46">
        <v>1</v>
      </c>
      <c r="D3896" s="30">
        <v>2970.6837646577715</v>
      </c>
    </row>
    <row r="3897" spans="2:4">
      <c r="B3897" t="s">
        <v>10345</v>
      </c>
      <c r="C3897" s="46">
        <v>1</v>
      </c>
      <c r="D3897" s="30">
        <v>2970.6837646577715</v>
      </c>
    </row>
    <row r="3898" spans="2:4">
      <c r="B3898" t="s">
        <v>10346</v>
      </c>
      <c r="C3898" s="46">
        <v>1</v>
      </c>
      <c r="D3898" s="30">
        <v>2970.6837646577715</v>
      </c>
    </row>
    <row r="3899" spans="2:4">
      <c r="B3899" t="s">
        <v>10347</v>
      </c>
      <c r="C3899" s="46">
        <v>1</v>
      </c>
      <c r="D3899" s="30">
        <v>2970.6837646577715</v>
      </c>
    </row>
    <row r="3900" spans="2:4">
      <c r="B3900" t="s">
        <v>10348</v>
      </c>
      <c r="C3900" s="46">
        <v>1</v>
      </c>
      <c r="D3900" s="30">
        <v>2970.6837646577715</v>
      </c>
    </row>
    <row r="3901" spans="2:4">
      <c r="B3901" t="s">
        <v>10349</v>
      </c>
      <c r="C3901" s="46">
        <v>1</v>
      </c>
      <c r="D3901" s="30">
        <v>7383.3824018779205</v>
      </c>
    </row>
    <row r="3902" spans="2:4">
      <c r="B3902" t="s">
        <v>10350</v>
      </c>
      <c r="C3902" s="46">
        <v>1</v>
      </c>
      <c r="D3902" s="30">
        <v>465.5567353021454</v>
      </c>
    </row>
    <row r="3903" spans="2:4">
      <c r="B3903" t="s">
        <v>10351</v>
      </c>
      <c r="C3903" s="46">
        <v>1</v>
      </c>
      <c r="D3903" s="30">
        <v>7386.1283534709564</v>
      </c>
    </row>
    <row r="3904" spans="2:4">
      <c r="B3904" t="s">
        <v>10352</v>
      </c>
      <c r="C3904" s="46">
        <v>1</v>
      </c>
      <c r="D3904" s="30">
        <v>6340.5702624626911</v>
      </c>
    </row>
    <row r="3905" spans="2:4">
      <c r="B3905" t="s">
        <v>10353</v>
      </c>
      <c r="C3905" s="46">
        <v>1</v>
      </c>
      <c r="D3905" s="30">
        <v>7074.6839323007771</v>
      </c>
    </row>
    <row r="3906" spans="2:4">
      <c r="B3906" t="s">
        <v>10354</v>
      </c>
      <c r="C3906" s="46">
        <v>1</v>
      </c>
      <c r="D3906" s="30">
        <v>4917.4765900175316</v>
      </c>
    </row>
    <row r="3907" spans="2:4">
      <c r="B3907" t="s">
        <v>10355</v>
      </c>
      <c r="C3907" s="46">
        <v>1</v>
      </c>
      <c r="D3907" s="30">
        <v>42110.115782433364</v>
      </c>
    </row>
    <row r="3908" spans="2:4">
      <c r="B3908" t="s">
        <v>10356</v>
      </c>
      <c r="C3908" s="46">
        <v>1</v>
      </c>
      <c r="D3908" s="30">
        <v>7447.6959965006654</v>
      </c>
    </row>
    <row r="3909" spans="2:4">
      <c r="B3909" t="s">
        <v>10357</v>
      </c>
      <c r="C3909" s="46">
        <v>1</v>
      </c>
      <c r="D3909" s="30">
        <v>7272.2292569086858</v>
      </c>
    </row>
    <row r="3910" spans="2:4">
      <c r="B3910" t="s">
        <v>10358</v>
      </c>
      <c r="C3910" s="46">
        <v>1</v>
      </c>
      <c r="D3910" s="30">
        <v>7253.7548026829681</v>
      </c>
    </row>
    <row r="3911" spans="2:4">
      <c r="B3911" t="s">
        <v>10359</v>
      </c>
      <c r="C3911" s="46">
        <v>1</v>
      </c>
      <c r="D3911" s="30">
        <v>7253.7548026829681</v>
      </c>
    </row>
    <row r="3912" spans="2:4">
      <c r="B3912" t="s">
        <v>10360</v>
      </c>
      <c r="C3912" s="46">
        <v>1</v>
      </c>
      <c r="D3912" s="30">
        <v>7253.7548026829681</v>
      </c>
    </row>
    <row r="3913" spans="2:4">
      <c r="B3913" t="s">
        <v>10361</v>
      </c>
      <c r="C3913" s="46">
        <v>1</v>
      </c>
      <c r="D3913" s="30">
        <v>7253.7548026829681</v>
      </c>
    </row>
    <row r="3914" spans="2:4">
      <c r="B3914" t="s">
        <v>10362</v>
      </c>
      <c r="C3914" s="46">
        <v>1</v>
      </c>
      <c r="D3914" s="30">
        <v>7253.7548026829681</v>
      </c>
    </row>
    <row r="3915" spans="2:4">
      <c r="B3915" t="s">
        <v>10363</v>
      </c>
      <c r="C3915" s="46">
        <v>1</v>
      </c>
      <c r="D3915" s="30">
        <v>7253.7548026829681</v>
      </c>
    </row>
    <row r="3916" spans="2:4">
      <c r="B3916" t="s">
        <v>10364</v>
      </c>
      <c r="C3916" s="46">
        <v>1</v>
      </c>
      <c r="D3916" s="30">
        <v>5388.0932280120378</v>
      </c>
    </row>
    <row r="3917" spans="2:4">
      <c r="B3917" t="s">
        <v>10365</v>
      </c>
      <c r="C3917" s="46">
        <v>1</v>
      </c>
      <c r="D3917" s="30">
        <v>7186.8997914963165</v>
      </c>
    </row>
    <row r="3918" spans="2:4">
      <c r="B3918" t="s">
        <v>10366</v>
      </c>
      <c r="C3918" s="46">
        <v>1</v>
      </c>
      <c r="D3918" s="30">
        <v>7414.7940574355825</v>
      </c>
    </row>
    <row r="3919" spans="2:4">
      <c r="B3919" t="s">
        <v>10367</v>
      </c>
      <c r="C3919" s="46">
        <v>1</v>
      </c>
      <c r="D3919" s="30">
        <v>7388.7945251279489</v>
      </c>
    </row>
    <row r="3920" spans="2:4">
      <c r="B3920" t="s">
        <v>10368</v>
      </c>
      <c r="C3920" s="46">
        <v>1</v>
      </c>
      <c r="D3920" s="30">
        <v>7443.630998247927</v>
      </c>
    </row>
    <row r="3921" spans="2:4">
      <c r="B3921" t="s">
        <v>10369</v>
      </c>
      <c r="C3921" s="46">
        <v>1</v>
      </c>
      <c r="D3921" s="30">
        <v>42110.115782433364</v>
      </c>
    </row>
    <row r="3922" spans="2:4">
      <c r="B3922" t="s">
        <v>10370</v>
      </c>
      <c r="C3922" s="46">
        <v>1</v>
      </c>
      <c r="D3922" s="30">
        <v>1544.2396055235683</v>
      </c>
    </row>
    <row r="3923" spans="2:4">
      <c r="B3923" t="s">
        <v>10371</v>
      </c>
      <c r="C3923" s="46">
        <v>1</v>
      </c>
      <c r="D3923" s="30">
        <v>7087.9623109336144</v>
      </c>
    </row>
    <row r="3924" spans="2:4">
      <c r="B3924" t="s">
        <v>10372</v>
      </c>
      <c r="C3924" s="46">
        <v>1</v>
      </c>
      <c r="D3924" s="30">
        <v>7447.3133461395792</v>
      </c>
    </row>
    <row r="3925" spans="2:4">
      <c r="B3925" t="s">
        <v>10373</v>
      </c>
      <c r="C3925" s="46">
        <v>1</v>
      </c>
      <c r="D3925" s="30">
        <v>7447.3133461395792</v>
      </c>
    </row>
    <row r="3926" spans="2:4">
      <c r="B3926" t="s">
        <v>10374</v>
      </c>
      <c r="C3926" s="46">
        <v>1</v>
      </c>
      <c r="D3926" s="30">
        <v>7447.3133461395792</v>
      </c>
    </row>
    <row r="3927" spans="2:4">
      <c r="B3927" t="s">
        <v>10375</v>
      </c>
      <c r="C3927" s="46">
        <v>1</v>
      </c>
      <c r="D3927" s="30">
        <v>7447.3133461395792</v>
      </c>
    </row>
    <row r="3928" spans="2:4">
      <c r="B3928" t="s">
        <v>10376</v>
      </c>
      <c r="C3928" s="46">
        <v>1</v>
      </c>
      <c r="D3928" s="30">
        <v>540.66087855293563</v>
      </c>
    </row>
    <row r="3929" spans="2:4">
      <c r="B3929" t="s">
        <v>10377</v>
      </c>
      <c r="C3929" s="46">
        <v>1</v>
      </c>
      <c r="D3929" s="30">
        <v>7413.6949080810091</v>
      </c>
    </row>
    <row r="3930" spans="2:4">
      <c r="B3930" t="s">
        <v>10378</v>
      </c>
      <c r="C3930" s="46">
        <v>1</v>
      </c>
      <c r="D3930" s="30">
        <v>6639.097861164897</v>
      </c>
    </row>
    <row r="3931" spans="2:4">
      <c r="B3931" t="s">
        <v>10379</v>
      </c>
      <c r="C3931" s="46">
        <v>1</v>
      </c>
      <c r="D3931" s="30">
        <v>8824.1962837386836</v>
      </c>
    </row>
    <row r="3932" spans="2:4">
      <c r="B3932" t="s">
        <v>10380</v>
      </c>
      <c r="C3932" s="46">
        <v>1</v>
      </c>
      <c r="D3932" s="30">
        <v>7234.7937869444722</v>
      </c>
    </row>
    <row r="3933" spans="2:4">
      <c r="B3933" t="s">
        <v>10381</v>
      </c>
      <c r="C3933" s="46">
        <v>1</v>
      </c>
      <c r="D3933" s="30">
        <v>2352.0950404257674</v>
      </c>
    </row>
    <row r="3934" spans="2:4">
      <c r="B3934" t="s">
        <v>10382</v>
      </c>
      <c r="C3934" s="46">
        <v>1</v>
      </c>
      <c r="D3934" s="30">
        <v>7158.8714429149959</v>
      </c>
    </row>
    <row r="3935" spans="2:4">
      <c r="B3935" t="s">
        <v>10383</v>
      </c>
      <c r="C3935" s="46">
        <v>1</v>
      </c>
      <c r="D3935" s="30">
        <v>7382.8899827635587</v>
      </c>
    </row>
    <row r="3936" spans="2:4">
      <c r="B3936" t="s">
        <v>10384</v>
      </c>
      <c r="C3936" s="46">
        <v>1</v>
      </c>
      <c r="D3936" s="30">
        <v>42110.115782433364</v>
      </c>
    </row>
    <row r="3937" spans="2:4">
      <c r="B3937" t="s">
        <v>10385</v>
      </c>
      <c r="C3937" s="46">
        <v>1</v>
      </c>
      <c r="D3937" s="30">
        <v>7214.777230196346</v>
      </c>
    </row>
    <row r="3938" spans="2:4">
      <c r="B3938" t="s">
        <v>10386</v>
      </c>
      <c r="C3938" s="46">
        <v>1</v>
      </c>
      <c r="D3938" s="30">
        <v>5103.9659166469573</v>
      </c>
    </row>
    <row r="3939" spans="2:4">
      <c r="B3939" t="s">
        <v>10387</v>
      </c>
      <c r="C3939" s="46">
        <v>1</v>
      </c>
      <c r="D3939" s="30">
        <v>7234.7937869444722</v>
      </c>
    </row>
    <row r="3940" spans="2:4">
      <c r="B3940" t="s">
        <v>10388</v>
      </c>
      <c r="C3940" s="46">
        <v>1</v>
      </c>
      <c r="D3940" s="30">
        <v>7234.7937869444722</v>
      </c>
    </row>
    <row r="3941" spans="2:4">
      <c r="B3941" t="s">
        <v>10389</v>
      </c>
      <c r="C3941" s="46">
        <v>1</v>
      </c>
      <c r="D3941" s="30">
        <v>7234.7937869444722</v>
      </c>
    </row>
    <row r="3942" spans="2:4">
      <c r="B3942" t="s">
        <v>10390</v>
      </c>
      <c r="C3942" s="46">
        <v>1</v>
      </c>
      <c r="D3942" s="30">
        <v>7234.7937869444722</v>
      </c>
    </row>
    <row r="3943" spans="2:4">
      <c r="B3943" t="s">
        <v>10391</v>
      </c>
      <c r="C3943" s="46">
        <v>1</v>
      </c>
      <c r="D3943" s="30">
        <v>7234.7937869444722</v>
      </c>
    </row>
    <row r="3944" spans="2:4">
      <c r="B3944" t="s">
        <v>10392</v>
      </c>
      <c r="C3944" s="46">
        <v>1</v>
      </c>
      <c r="D3944" s="30">
        <v>7234.7937869444722</v>
      </c>
    </row>
    <row r="3945" spans="2:4">
      <c r="B3945" t="s">
        <v>10393</v>
      </c>
      <c r="C3945" s="46">
        <v>1</v>
      </c>
      <c r="D3945" s="30">
        <v>7334.3484402588228</v>
      </c>
    </row>
    <row r="3946" spans="2:4">
      <c r="B3946" t="s">
        <v>10394</v>
      </c>
      <c r="C3946" s="46">
        <v>1</v>
      </c>
      <c r="D3946" s="30">
        <v>5154.2443064380359</v>
      </c>
    </row>
    <row r="3947" spans="2:4">
      <c r="B3947" t="s">
        <v>10395</v>
      </c>
      <c r="C3947" s="46">
        <v>1</v>
      </c>
      <c r="D3947" s="30">
        <v>3763.9477928394222</v>
      </c>
    </row>
    <row r="3948" spans="2:4">
      <c r="B3948" t="s">
        <v>10396</v>
      </c>
      <c r="C3948" s="46">
        <v>1</v>
      </c>
      <c r="D3948" s="30">
        <v>5465.88213624727</v>
      </c>
    </row>
    <row r="3949" spans="2:4">
      <c r="B3949" t="s">
        <v>10397</v>
      </c>
      <c r="C3949" s="46">
        <v>1</v>
      </c>
      <c r="D3949" s="30">
        <v>9739.9334303205742</v>
      </c>
    </row>
    <row r="3950" spans="2:4">
      <c r="B3950" t="s">
        <v>10398</v>
      </c>
      <c r="C3950" s="46">
        <v>1</v>
      </c>
      <c r="D3950" s="30">
        <v>42110.115782433364</v>
      </c>
    </row>
    <row r="3951" spans="2:4">
      <c r="B3951" t="s">
        <v>10399</v>
      </c>
      <c r="C3951" s="46">
        <v>1</v>
      </c>
      <c r="D3951" s="30">
        <v>199536.51884838621</v>
      </c>
    </row>
    <row r="3952" spans="2:4">
      <c r="B3952" t="s">
        <v>10400</v>
      </c>
      <c r="C3952" s="46">
        <v>1</v>
      </c>
      <c r="D3952" s="30">
        <v>4765.4493190725552</v>
      </c>
    </row>
    <row r="3953" spans="2:4">
      <c r="B3953" t="s">
        <v>10401</v>
      </c>
      <c r="C3953" s="46">
        <v>1</v>
      </c>
      <c r="D3953" s="30">
        <v>7290.6103481613691</v>
      </c>
    </row>
    <row r="3954" spans="2:4">
      <c r="B3954" t="s">
        <v>10402</v>
      </c>
      <c r="C3954" s="46">
        <v>1</v>
      </c>
      <c r="D3954" s="30">
        <v>7290.6103481613691</v>
      </c>
    </row>
    <row r="3955" spans="2:4">
      <c r="B3955" t="s">
        <v>10403</v>
      </c>
      <c r="C3955" s="46">
        <v>1</v>
      </c>
      <c r="D3955" s="30">
        <v>7290.6103481613691</v>
      </c>
    </row>
    <row r="3956" spans="2:4">
      <c r="B3956" t="s">
        <v>10404</v>
      </c>
      <c r="C3956" s="46">
        <v>1</v>
      </c>
      <c r="D3956" s="30">
        <v>7290.6103481613691</v>
      </c>
    </row>
    <row r="3957" spans="2:4">
      <c r="B3957" t="s">
        <v>10405</v>
      </c>
      <c r="C3957" s="46">
        <v>1</v>
      </c>
      <c r="D3957" s="30">
        <v>7290.6103481613691</v>
      </c>
    </row>
    <row r="3958" spans="2:4">
      <c r="B3958" t="s">
        <v>10406</v>
      </c>
      <c r="C3958" s="46">
        <v>1</v>
      </c>
      <c r="D3958" s="30">
        <v>7290.6103481613691</v>
      </c>
    </row>
    <row r="3959" spans="2:4">
      <c r="B3959" t="s">
        <v>10407</v>
      </c>
      <c r="C3959" s="46">
        <v>1</v>
      </c>
      <c r="D3959" s="30">
        <v>7290.6103481613691</v>
      </c>
    </row>
    <row r="3960" spans="2:4">
      <c r="B3960" t="s">
        <v>10408</v>
      </c>
      <c r="C3960" s="46">
        <v>1</v>
      </c>
      <c r="D3960" s="30">
        <v>7290.6103481613691</v>
      </c>
    </row>
    <row r="3961" spans="2:4">
      <c r="B3961" t="s">
        <v>10409</v>
      </c>
      <c r="C3961" s="46">
        <v>1</v>
      </c>
      <c r="D3961" s="30">
        <v>7123.6209856114401</v>
      </c>
    </row>
    <row r="3962" spans="2:4">
      <c r="B3962" t="s">
        <v>10410</v>
      </c>
      <c r="C3962" s="46">
        <v>1</v>
      </c>
      <c r="D3962" s="30">
        <v>5103.9659166469573</v>
      </c>
    </row>
    <row r="3963" spans="2:4">
      <c r="B3963" t="s">
        <v>10411</v>
      </c>
      <c r="C3963" s="46">
        <v>1</v>
      </c>
      <c r="D3963" s="30">
        <v>7420.5453383744607</v>
      </c>
    </row>
    <row r="3964" spans="2:4">
      <c r="B3964" t="s">
        <v>10412</v>
      </c>
      <c r="C3964" s="46">
        <v>1</v>
      </c>
      <c r="D3964" s="30">
        <v>5985.7168706940756</v>
      </c>
    </row>
    <row r="3965" spans="2:4">
      <c r="B3965" t="s">
        <v>10413</v>
      </c>
      <c r="C3965" s="46">
        <v>1</v>
      </c>
      <c r="D3965" s="30">
        <v>7408.4247523908598</v>
      </c>
    </row>
    <row r="3966" spans="2:4">
      <c r="B3966" t="s">
        <v>10414</v>
      </c>
      <c r="C3966" s="46">
        <v>1</v>
      </c>
      <c r="D3966" s="30">
        <v>5122.303378956246</v>
      </c>
    </row>
    <row r="3967" spans="2:4">
      <c r="B3967" t="s">
        <v>10415</v>
      </c>
      <c r="C3967" s="46">
        <v>1</v>
      </c>
      <c r="D3967" s="30">
        <v>7080.5410256105606</v>
      </c>
    </row>
    <row r="3968" spans="2:4">
      <c r="B3968" t="s">
        <v>10416</v>
      </c>
      <c r="C3968" s="46">
        <v>1</v>
      </c>
      <c r="D3968" s="30">
        <v>6627.6765939588422</v>
      </c>
    </row>
    <row r="3969" spans="2:4">
      <c r="B3969" t="s">
        <v>10417</v>
      </c>
      <c r="C3969" s="46">
        <v>1</v>
      </c>
      <c r="D3969" s="30">
        <v>7022.1140209740142</v>
      </c>
    </row>
    <row r="3970" spans="2:4">
      <c r="B3970" t="s">
        <v>10418</v>
      </c>
      <c r="C3970" s="46">
        <v>1</v>
      </c>
      <c r="D3970" s="30">
        <v>42110.115782433364</v>
      </c>
    </row>
    <row r="3971" spans="2:4">
      <c r="B3971" t="s">
        <v>10419</v>
      </c>
      <c r="C3971" s="46">
        <v>1</v>
      </c>
      <c r="D3971" s="30">
        <v>5292.5357558192882</v>
      </c>
    </row>
    <row r="3972" spans="2:4">
      <c r="B3972" t="s">
        <v>10420</v>
      </c>
      <c r="C3972" s="46">
        <v>1</v>
      </c>
      <c r="D3972" s="30">
        <v>6076.5642492025845</v>
      </c>
    </row>
    <row r="3973" spans="2:4">
      <c r="B3973" t="s">
        <v>10421</v>
      </c>
      <c r="C3973" s="46">
        <v>1</v>
      </c>
      <c r="D3973" s="30">
        <v>7165.5662396324788</v>
      </c>
    </row>
    <row r="3974" spans="2:4">
      <c r="B3974" t="s">
        <v>10422</v>
      </c>
      <c r="C3974" s="46">
        <v>1</v>
      </c>
      <c r="D3974" s="30">
        <v>6649.350713865636</v>
      </c>
    </row>
    <row r="3975" spans="2:4">
      <c r="B3975" t="s">
        <v>10423</v>
      </c>
      <c r="C3975" s="46">
        <v>1</v>
      </c>
      <c r="D3975" s="30">
        <v>4752.446275096715</v>
      </c>
    </row>
    <row r="3976" spans="2:4">
      <c r="B3976" t="s">
        <v>10424</v>
      </c>
      <c r="C3976" s="46">
        <v>1</v>
      </c>
      <c r="D3976" s="30">
        <v>7336.8735638185053</v>
      </c>
    </row>
    <row r="3977" spans="2:4">
      <c r="B3977" t="s">
        <v>10425</v>
      </c>
      <c r="C3977" s="46">
        <v>1</v>
      </c>
      <c r="D3977" s="30">
        <v>2317.2504175402341</v>
      </c>
    </row>
    <row r="3978" spans="2:4">
      <c r="B3978" t="s">
        <v>10426</v>
      </c>
      <c r="C3978" s="46">
        <v>1</v>
      </c>
      <c r="D3978" s="30">
        <v>6633.7452373154119</v>
      </c>
    </row>
    <row r="3979" spans="2:4">
      <c r="B3979" t="s">
        <v>10427</v>
      </c>
      <c r="C3979" s="46">
        <v>1</v>
      </c>
      <c r="D3979" s="30">
        <v>39131.691209377423</v>
      </c>
    </row>
    <row r="3980" spans="2:4">
      <c r="B3980" t="s">
        <v>10428</v>
      </c>
      <c r="C3980" s="46">
        <v>1</v>
      </c>
      <c r="D3980" s="30">
        <v>4957.1073337148136</v>
      </c>
    </row>
    <row r="3981" spans="2:4">
      <c r="B3981" t="s">
        <v>10429</v>
      </c>
      <c r="C3981" s="46">
        <v>1</v>
      </c>
      <c r="D3981" s="30">
        <v>7416.7880895451635</v>
      </c>
    </row>
    <row r="3982" spans="2:4">
      <c r="B3982" t="s">
        <v>10430</v>
      </c>
      <c r="C3982" s="46">
        <v>1</v>
      </c>
      <c r="D3982" s="30">
        <v>3764.2755409116985</v>
      </c>
    </row>
    <row r="3983" spans="2:4">
      <c r="B3983" t="s">
        <v>10431</v>
      </c>
      <c r="C3983" s="46">
        <v>1</v>
      </c>
      <c r="D3983" s="30">
        <v>1796.5607931109168</v>
      </c>
    </row>
    <row r="3984" spans="2:4">
      <c r="B3984" t="s">
        <v>10432</v>
      </c>
      <c r="C3984" s="46">
        <v>1</v>
      </c>
      <c r="D3984" s="30">
        <v>7407.6606835944704</v>
      </c>
    </row>
    <row r="3985" spans="2:4">
      <c r="B3985" t="s">
        <v>10433</v>
      </c>
      <c r="C3985" s="46">
        <v>1</v>
      </c>
      <c r="D3985" s="30">
        <v>6886.0837061919001</v>
      </c>
    </row>
    <row r="3986" spans="2:4">
      <c r="B3986" t="s">
        <v>10434</v>
      </c>
      <c r="C3986" s="46">
        <v>1</v>
      </c>
      <c r="D3986" s="30">
        <v>6532.834459734444</v>
      </c>
    </row>
    <row r="3987" spans="2:4">
      <c r="B3987" t="s">
        <v>10435</v>
      </c>
      <c r="C3987" s="46">
        <v>1</v>
      </c>
      <c r="D3987" s="30">
        <v>3581.4407788129106</v>
      </c>
    </row>
    <row r="3988" spans="2:4">
      <c r="B3988" t="s">
        <v>10436</v>
      </c>
      <c r="C3988" s="46">
        <v>1</v>
      </c>
      <c r="D3988" s="30">
        <v>7449.3075333634642</v>
      </c>
    </row>
    <row r="3989" spans="2:4">
      <c r="B3989" t="s">
        <v>10437</v>
      </c>
      <c r="C3989" s="46">
        <v>1</v>
      </c>
      <c r="D3989" s="30">
        <v>6010.7938266384699</v>
      </c>
    </row>
    <row r="3990" spans="2:4">
      <c r="B3990" t="s">
        <v>10438</v>
      </c>
      <c r="C3990" s="46">
        <v>1</v>
      </c>
      <c r="D3990" s="30">
        <v>6216.4915053068817</v>
      </c>
    </row>
    <row r="3991" spans="2:4">
      <c r="B3991" t="s">
        <v>10439</v>
      </c>
      <c r="C3991" s="46">
        <v>1</v>
      </c>
      <c r="D3991" s="30">
        <v>5103.9659166469573</v>
      </c>
    </row>
    <row r="3992" spans="2:4">
      <c r="B3992" t="s">
        <v>10440</v>
      </c>
      <c r="C3992" s="46">
        <v>1</v>
      </c>
      <c r="D3992" s="30">
        <v>7374.4641994439025</v>
      </c>
    </row>
    <row r="3993" spans="2:4">
      <c r="B3993" t="s">
        <v>10441</v>
      </c>
      <c r="C3993" s="46">
        <v>1</v>
      </c>
      <c r="D3993" s="30">
        <v>7408.4247523908598</v>
      </c>
    </row>
    <row r="3994" spans="2:4">
      <c r="B3994" t="s">
        <v>10442</v>
      </c>
      <c r="C3994" s="46">
        <v>1</v>
      </c>
      <c r="D3994" s="30">
        <v>6794.9328009190922</v>
      </c>
    </row>
    <row r="3995" spans="2:4">
      <c r="B3995" t="s">
        <v>10443</v>
      </c>
      <c r="C3995" s="46">
        <v>1</v>
      </c>
      <c r="D3995" s="30">
        <v>5103.9659166469573</v>
      </c>
    </row>
    <row r="3996" spans="2:4">
      <c r="B3996" t="s">
        <v>10444</v>
      </c>
      <c r="C3996" s="46">
        <v>1</v>
      </c>
      <c r="D3996" s="30">
        <v>7449.4601521792838</v>
      </c>
    </row>
    <row r="3997" spans="2:4">
      <c r="B3997" t="s">
        <v>10445</v>
      </c>
      <c r="C3997" s="46">
        <v>1</v>
      </c>
      <c r="D3997" s="30">
        <v>7426.713828969725</v>
      </c>
    </row>
    <row r="3998" spans="2:4">
      <c r="B3998" t="s">
        <v>10446</v>
      </c>
      <c r="C3998" s="46">
        <v>1</v>
      </c>
      <c r="D3998" s="30">
        <v>6280.2923481477874</v>
      </c>
    </row>
    <row r="3999" spans="2:4">
      <c r="B3999" t="s">
        <v>10447</v>
      </c>
      <c r="C3999" s="46">
        <v>1</v>
      </c>
      <c r="D3999" s="30">
        <v>6280.2923481477874</v>
      </c>
    </row>
    <row r="4000" spans="2:4">
      <c r="B4000" t="s">
        <v>10448</v>
      </c>
      <c r="C4000" s="46">
        <v>1</v>
      </c>
      <c r="D4000" s="30">
        <v>6649.350713865636</v>
      </c>
    </row>
    <row r="4001" spans="2:4">
      <c r="B4001" t="s">
        <v>10449</v>
      </c>
      <c r="C4001" s="46">
        <v>1</v>
      </c>
      <c r="D4001" s="30">
        <v>6280.2923481477874</v>
      </c>
    </row>
    <row r="4002" spans="2:4">
      <c r="B4002" t="s">
        <v>10450</v>
      </c>
      <c r="C4002" s="46">
        <v>1</v>
      </c>
      <c r="D4002" s="30">
        <v>5956.2415383482421</v>
      </c>
    </row>
    <row r="4003" spans="2:4">
      <c r="B4003" t="s">
        <v>10451</v>
      </c>
      <c r="C4003" s="46">
        <v>1</v>
      </c>
      <c r="D4003" s="30">
        <v>7147.097204067496</v>
      </c>
    </row>
    <row r="4004" spans="2:4">
      <c r="B4004" t="s">
        <v>10452</v>
      </c>
      <c r="C4004" s="46">
        <v>1</v>
      </c>
      <c r="D4004" s="30">
        <v>4348.2225420126897</v>
      </c>
    </row>
    <row r="4005" spans="2:4">
      <c r="B4005" t="s">
        <v>10453</v>
      </c>
      <c r="C4005" s="46">
        <v>1</v>
      </c>
      <c r="D4005" s="30">
        <v>7446.6989552937857</v>
      </c>
    </row>
    <row r="4006" spans="2:4">
      <c r="B4006" t="s">
        <v>10454</v>
      </c>
      <c r="C4006" s="46">
        <v>1</v>
      </c>
      <c r="D4006" s="30">
        <v>4861.5177084900097</v>
      </c>
    </row>
    <row r="4007" spans="2:4">
      <c r="B4007" t="s">
        <v>10455</v>
      </c>
      <c r="C4007" s="46">
        <v>1</v>
      </c>
      <c r="D4007" s="30">
        <v>7247.2281812383872</v>
      </c>
    </row>
    <row r="4008" spans="2:4">
      <c r="B4008" t="s">
        <v>10456</v>
      </c>
      <c r="C4008" s="46">
        <v>1</v>
      </c>
      <c r="D4008" s="30">
        <v>7442.5572350112479</v>
      </c>
    </row>
    <row r="4009" spans="2:4">
      <c r="B4009" t="s">
        <v>10457</v>
      </c>
      <c r="C4009" s="46">
        <v>1</v>
      </c>
      <c r="D4009" s="30">
        <v>7303.7606773706966</v>
      </c>
    </row>
    <row r="4010" spans="2:4">
      <c r="B4010" t="s">
        <v>10458</v>
      </c>
      <c r="C4010" s="46">
        <v>1</v>
      </c>
      <c r="D4010" s="30">
        <v>28085.174469074707</v>
      </c>
    </row>
    <row r="4011" spans="2:4">
      <c r="B4011" t="s">
        <v>10459</v>
      </c>
      <c r="C4011" s="46">
        <v>1</v>
      </c>
      <c r="D4011" s="30">
        <v>7239.1173004237698</v>
      </c>
    </row>
    <row r="4012" spans="2:4">
      <c r="B4012" t="s">
        <v>10460</v>
      </c>
      <c r="C4012" s="46">
        <v>1</v>
      </c>
      <c r="D4012" s="30">
        <v>7334.3484402588228</v>
      </c>
    </row>
    <row r="4013" spans="2:4">
      <c r="B4013" t="s">
        <v>10461</v>
      </c>
      <c r="C4013" s="46">
        <v>1</v>
      </c>
      <c r="D4013" s="30">
        <v>2976.5698531897033</v>
      </c>
    </row>
    <row r="4014" spans="2:4">
      <c r="B4014" t="s">
        <v>10462</v>
      </c>
      <c r="C4014" s="46">
        <v>1</v>
      </c>
      <c r="D4014" s="30">
        <v>4348.2225420126897</v>
      </c>
    </row>
    <row r="4015" spans="2:4">
      <c r="B4015" t="s">
        <v>10463</v>
      </c>
      <c r="C4015" s="46">
        <v>1</v>
      </c>
      <c r="D4015" s="30">
        <v>7388.3102231129742</v>
      </c>
    </row>
    <row r="4016" spans="2:4">
      <c r="B4016" t="s">
        <v>10464</v>
      </c>
      <c r="C4016" s="46">
        <v>1</v>
      </c>
      <c r="D4016" s="30">
        <v>7449.6900812939193</v>
      </c>
    </row>
    <row r="4017" spans="2:4">
      <c r="B4017" t="s">
        <v>10465</v>
      </c>
      <c r="C4017" s="46">
        <v>1</v>
      </c>
      <c r="D4017" s="30">
        <v>7438.7226542347762</v>
      </c>
    </row>
    <row r="4018" spans="2:4">
      <c r="B4018" t="s">
        <v>10466</v>
      </c>
      <c r="C4018" s="46">
        <v>1</v>
      </c>
      <c r="D4018" s="30">
        <v>20542.332200926601</v>
      </c>
    </row>
    <row r="4019" spans="2:4">
      <c r="B4019" t="s">
        <v>10467</v>
      </c>
      <c r="C4019" s="46">
        <v>1</v>
      </c>
      <c r="D4019" s="30">
        <v>7205.1224063673944</v>
      </c>
    </row>
    <row r="4020" spans="2:4">
      <c r="B4020" t="s">
        <v>10468</v>
      </c>
      <c r="C4020" s="46">
        <v>1</v>
      </c>
      <c r="D4020" s="30">
        <v>6634.3873891038047</v>
      </c>
    </row>
    <row r="4021" spans="2:4">
      <c r="B4021" t="s">
        <v>10469</v>
      </c>
      <c r="C4021" s="46">
        <v>1</v>
      </c>
      <c r="D4021" s="30">
        <v>6811.8409570005133</v>
      </c>
    </row>
    <row r="4022" spans="2:4">
      <c r="B4022" t="s">
        <v>10470</v>
      </c>
      <c r="C4022" s="46">
        <v>1</v>
      </c>
      <c r="D4022" s="30">
        <v>7092.3460108504687</v>
      </c>
    </row>
    <row r="4023" spans="2:4">
      <c r="B4023" t="s">
        <v>10471</v>
      </c>
      <c r="C4023" s="46">
        <v>1</v>
      </c>
      <c r="D4023" s="30">
        <v>7023.0326060340467</v>
      </c>
    </row>
    <row r="4024" spans="2:4">
      <c r="B4024" t="s">
        <v>10472</v>
      </c>
      <c r="C4024" s="46">
        <v>1</v>
      </c>
      <c r="D4024" s="30">
        <v>7260.1877759928611</v>
      </c>
    </row>
    <row r="4025" spans="2:4">
      <c r="B4025" t="s">
        <v>10473</v>
      </c>
      <c r="C4025" s="46">
        <v>1</v>
      </c>
      <c r="D4025" s="30">
        <v>6490.7070485368477</v>
      </c>
    </row>
    <row r="4026" spans="2:4">
      <c r="B4026" t="s">
        <v>10474</v>
      </c>
      <c r="C4026" s="46">
        <v>1</v>
      </c>
      <c r="D4026" s="30">
        <v>6989.2506870021498</v>
      </c>
    </row>
    <row r="4027" spans="2:4">
      <c r="B4027" t="s">
        <v>10475</v>
      </c>
      <c r="C4027" s="46">
        <v>1</v>
      </c>
      <c r="D4027" s="30">
        <v>6470.5056333591574</v>
      </c>
    </row>
    <row r="4028" spans="2:4">
      <c r="B4028" t="s">
        <v>10476</v>
      </c>
      <c r="C4028" s="46">
        <v>1</v>
      </c>
      <c r="D4028" s="30">
        <v>6470.5056333591574</v>
      </c>
    </row>
    <row r="4029" spans="2:4">
      <c r="B4029" t="s">
        <v>10477</v>
      </c>
      <c r="C4029" s="46">
        <v>1</v>
      </c>
      <c r="D4029" s="30">
        <v>99996.310700452232</v>
      </c>
    </row>
    <row r="4030" spans="2:4">
      <c r="B4030" t="s">
        <v>10478</v>
      </c>
      <c r="C4030" s="46">
        <v>1</v>
      </c>
      <c r="D4030" s="30">
        <v>7208.7100113541737</v>
      </c>
    </row>
    <row r="4031" spans="2:4">
      <c r="B4031" t="s">
        <v>10479</v>
      </c>
      <c r="C4031" s="46">
        <v>1</v>
      </c>
      <c r="D4031" s="30">
        <v>6470.5056333591574</v>
      </c>
    </row>
    <row r="4032" spans="2:4">
      <c r="B4032" t="s">
        <v>10480</v>
      </c>
      <c r="C4032" s="46">
        <v>1</v>
      </c>
      <c r="D4032" s="30">
        <v>6811.8409570005133</v>
      </c>
    </row>
    <row r="4033" spans="2:4">
      <c r="B4033" t="s">
        <v>10481</v>
      </c>
      <c r="C4033" s="46">
        <v>1</v>
      </c>
      <c r="D4033" s="30">
        <v>6649.350713865636</v>
      </c>
    </row>
    <row r="4034" spans="2:4">
      <c r="B4034" t="s">
        <v>10482</v>
      </c>
      <c r="C4034" s="46">
        <v>1</v>
      </c>
      <c r="D4034" s="30">
        <v>4894.7838933229204</v>
      </c>
    </row>
    <row r="4035" spans="2:4">
      <c r="B4035" t="s">
        <v>10483</v>
      </c>
      <c r="C4035" s="46">
        <v>1</v>
      </c>
      <c r="D4035" s="30">
        <v>6811.8409570005133</v>
      </c>
    </row>
    <row r="4036" spans="2:4">
      <c r="B4036" t="s">
        <v>10484</v>
      </c>
      <c r="C4036" s="46">
        <v>1</v>
      </c>
      <c r="D4036" s="30">
        <v>7181.8788446512826</v>
      </c>
    </row>
    <row r="4037" spans="2:4">
      <c r="B4037" t="s">
        <v>10485</v>
      </c>
      <c r="C4037" s="46">
        <v>1</v>
      </c>
      <c r="D4037" s="30">
        <v>6811.8409570005133</v>
      </c>
    </row>
    <row r="4038" spans="2:4">
      <c r="B4038" t="s">
        <v>10486</v>
      </c>
      <c r="C4038" s="46">
        <v>1</v>
      </c>
      <c r="D4038" s="30">
        <v>7038.6142062795479</v>
      </c>
    </row>
    <row r="4039" spans="2:4">
      <c r="B4039" t="s">
        <v>10487</v>
      </c>
      <c r="C4039" s="46">
        <v>1</v>
      </c>
      <c r="D4039" s="30">
        <v>6811.8409570005133</v>
      </c>
    </row>
    <row r="4040" spans="2:4">
      <c r="B4040" t="s">
        <v>10488</v>
      </c>
      <c r="C4040" s="46">
        <v>1</v>
      </c>
      <c r="D4040" s="30">
        <v>7062.8192734924278</v>
      </c>
    </row>
    <row r="4041" spans="2:4">
      <c r="B4041" t="s">
        <v>10489</v>
      </c>
      <c r="C4041" s="46">
        <v>1</v>
      </c>
      <c r="D4041" s="30">
        <v>6811.8409570005133</v>
      </c>
    </row>
    <row r="4042" spans="2:4">
      <c r="B4042" t="s">
        <v>10490</v>
      </c>
      <c r="C4042" s="46">
        <v>1</v>
      </c>
      <c r="D4042" s="30">
        <v>7287.1043173317657</v>
      </c>
    </row>
    <row r="4043" spans="2:4">
      <c r="B4043" t="s">
        <v>10491</v>
      </c>
      <c r="C4043" s="46">
        <v>1</v>
      </c>
      <c r="D4043" s="30">
        <v>6946.2916668171956</v>
      </c>
    </row>
    <row r="4044" spans="2:4">
      <c r="B4044" t="s">
        <v>10492</v>
      </c>
      <c r="C4044" s="46">
        <v>1</v>
      </c>
      <c r="D4044" s="30">
        <v>6811.8409570005133</v>
      </c>
    </row>
    <row r="4045" spans="2:4">
      <c r="B4045" t="s">
        <v>10493</v>
      </c>
      <c r="C4045" s="46">
        <v>1</v>
      </c>
      <c r="D4045" s="30">
        <v>671.66337055354632</v>
      </c>
    </row>
    <row r="4046" spans="2:4">
      <c r="B4046" t="s">
        <v>10494</v>
      </c>
      <c r="C4046" s="46">
        <v>1</v>
      </c>
      <c r="D4046" s="30">
        <v>4861.5177084900097</v>
      </c>
    </row>
    <row r="4047" spans="2:4">
      <c r="B4047" t="s">
        <v>10495</v>
      </c>
      <c r="C4047" s="46">
        <v>1</v>
      </c>
      <c r="D4047" s="30">
        <v>6811.8409570005133</v>
      </c>
    </row>
    <row r="4048" spans="2:4">
      <c r="B4048" t="s">
        <v>10496</v>
      </c>
      <c r="C4048" s="46">
        <v>1</v>
      </c>
      <c r="D4048" s="30">
        <v>6671.4932728344311</v>
      </c>
    </row>
    <row r="4049" spans="2:4">
      <c r="B4049" t="s">
        <v>10497</v>
      </c>
      <c r="C4049" s="46">
        <v>1</v>
      </c>
      <c r="D4049" s="30">
        <v>7394.8539136221161</v>
      </c>
    </row>
    <row r="4050" spans="2:4">
      <c r="B4050" t="s">
        <v>10498</v>
      </c>
      <c r="C4050" s="46">
        <v>1</v>
      </c>
      <c r="D4050" s="30">
        <v>2901.267174539315</v>
      </c>
    </row>
    <row r="4051" spans="2:4">
      <c r="B4051" t="s">
        <v>10499</v>
      </c>
      <c r="C4051" s="46">
        <v>1</v>
      </c>
      <c r="D4051" s="30">
        <v>671.66337055354632</v>
      </c>
    </row>
    <row r="4052" spans="2:4">
      <c r="B4052" t="s">
        <v>10500</v>
      </c>
      <c r="C4052" s="46">
        <v>1</v>
      </c>
      <c r="D4052" s="30">
        <v>10085.228719223531</v>
      </c>
    </row>
    <row r="4053" spans="2:4">
      <c r="B4053" t="s">
        <v>10501</v>
      </c>
      <c r="C4053" s="46">
        <v>1</v>
      </c>
      <c r="D4053" s="30">
        <v>2848.7435765048976</v>
      </c>
    </row>
    <row r="4054" spans="2:4">
      <c r="B4054" t="s">
        <v>10502</v>
      </c>
      <c r="C4054" s="46">
        <v>1</v>
      </c>
      <c r="D4054" s="30">
        <v>7413.6949080810091</v>
      </c>
    </row>
    <row r="4055" spans="2:4">
      <c r="B4055" t="s">
        <v>10503</v>
      </c>
      <c r="C4055" s="46">
        <v>1</v>
      </c>
      <c r="D4055" s="30">
        <v>7449.3075333634642</v>
      </c>
    </row>
    <row r="4056" spans="2:4">
      <c r="B4056" t="s">
        <v>10504</v>
      </c>
      <c r="C4056" s="46">
        <v>1</v>
      </c>
      <c r="D4056" s="30">
        <v>28085.174469074707</v>
      </c>
    </row>
    <row r="4057" spans="2:4">
      <c r="B4057" t="s">
        <v>10505</v>
      </c>
      <c r="C4057" s="46">
        <v>1</v>
      </c>
      <c r="D4057" s="30">
        <v>2901.267174539315</v>
      </c>
    </row>
    <row r="4058" spans="2:4">
      <c r="B4058" t="s">
        <v>10506</v>
      </c>
      <c r="C4058" s="46">
        <v>1</v>
      </c>
      <c r="D4058" s="30">
        <v>5406.5248624428477</v>
      </c>
    </row>
    <row r="4059" spans="2:4">
      <c r="B4059" t="s">
        <v>10507</v>
      </c>
      <c r="C4059" s="46">
        <v>1</v>
      </c>
      <c r="D4059" s="30">
        <v>6039.353058560192</v>
      </c>
    </row>
    <row r="4060" spans="2:4">
      <c r="B4060" t="s">
        <v>10508</v>
      </c>
      <c r="C4060" s="46">
        <v>1</v>
      </c>
      <c r="D4060" s="30">
        <v>6492.7175592831582</v>
      </c>
    </row>
    <row r="4061" spans="2:4">
      <c r="B4061" t="s">
        <v>10509</v>
      </c>
      <c r="C4061" s="46">
        <v>1</v>
      </c>
      <c r="D4061" s="30">
        <v>7449.6133048090715</v>
      </c>
    </row>
    <row r="4062" spans="2:4">
      <c r="B4062" t="s">
        <v>10510</v>
      </c>
      <c r="C4062" s="46">
        <v>1</v>
      </c>
      <c r="D4062" s="30">
        <v>1369.1559232370382</v>
      </c>
    </row>
    <row r="4063" spans="2:4">
      <c r="B4063" t="s">
        <v>10511</v>
      </c>
      <c r="C4063" s="46">
        <v>1</v>
      </c>
      <c r="D4063" s="30">
        <v>3456.4944947026406</v>
      </c>
    </row>
    <row r="4064" spans="2:4">
      <c r="B4064" t="s">
        <v>10512</v>
      </c>
      <c r="C4064" s="46">
        <v>1</v>
      </c>
      <c r="D4064" s="30">
        <v>3404.9437637220735</v>
      </c>
    </row>
    <row r="4065" spans="2:4">
      <c r="B4065" t="s">
        <v>10513</v>
      </c>
      <c r="C4065" s="46">
        <v>1</v>
      </c>
      <c r="D4065" s="30">
        <v>4170.5304712863217</v>
      </c>
    </row>
    <row r="4066" spans="2:4">
      <c r="B4066" t="s">
        <v>10514</v>
      </c>
      <c r="C4066" s="46">
        <v>1</v>
      </c>
      <c r="D4066" s="30">
        <v>5406.5248624428477</v>
      </c>
    </row>
    <row r="4067" spans="2:4">
      <c r="B4067" t="s">
        <v>10515</v>
      </c>
      <c r="C4067" s="46">
        <v>1</v>
      </c>
      <c r="D4067" s="30">
        <v>1369.1559232370382</v>
      </c>
    </row>
    <row r="4068" spans="2:4">
      <c r="B4068" t="s">
        <v>10516</v>
      </c>
      <c r="C4068" s="46">
        <v>1</v>
      </c>
      <c r="D4068" s="30">
        <v>7022.4138587676762</v>
      </c>
    </row>
    <row r="4069" spans="2:4">
      <c r="B4069" t="s">
        <v>10517</v>
      </c>
      <c r="C4069" s="46">
        <v>1</v>
      </c>
      <c r="D4069" s="30">
        <v>4861.5177084900097</v>
      </c>
    </row>
    <row r="4070" spans="2:4">
      <c r="B4070" t="s">
        <v>10518</v>
      </c>
      <c r="C4070" s="46">
        <v>1</v>
      </c>
      <c r="D4070" s="30">
        <v>5154.2443064380359</v>
      </c>
    </row>
    <row r="4071" spans="2:4">
      <c r="B4071" t="s">
        <v>10519</v>
      </c>
      <c r="C4071" s="46">
        <v>1</v>
      </c>
      <c r="D4071" s="30">
        <v>6694.099315679191</v>
      </c>
    </row>
    <row r="4072" spans="2:4">
      <c r="B4072" t="s">
        <v>10520</v>
      </c>
      <c r="C4072" s="46">
        <v>1</v>
      </c>
      <c r="D4072" s="30">
        <v>7226.293757871159</v>
      </c>
    </row>
    <row r="4073" spans="2:4">
      <c r="B4073" t="s">
        <v>10521</v>
      </c>
      <c r="C4073" s="46">
        <v>1</v>
      </c>
      <c r="D4073" s="30">
        <v>5956.2415383482421</v>
      </c>
    </row>
    <row r="4074" spans="2:4">
      <c r="B4074" t="s">
        <v>10522</v>
      </c>
      <c r="C4074" s="46">
        <v>1</v>
      </c>
      <c r="D4074" s="30">
        <v>7336.8735638185053</v>
      </c>
    </row>
    <row r="4075" spans="2:4">
      <c r="B4075" t="s">
        <v>10523</v>
      </c>
      <c r="C4075" s="46">
        <v>1</v>
      </c>
      <c r="D4075" s="30">
        <v>2843.1801161680942</v>
      </c>
    </row>
    <row r="4076" spans="2:4">
      <c r="B4076" t="s">
        <v>10524</v>
      </c>
      <c r="C4076" s="46">
        <v>1</v>
      </c>
      <c r="D4076" s="30">
        <v>7438.7226542347762</v>
      </c>
    </row>
    <row r="4077" spans="2:4">
      <c r="B4077" t="s">
        <v>10525</v>
      </c>
      <c r="C4077" s="46">
        <v>1</v>
      </c>
      <c r="D4077" s="30">
        <v>6991.6761921229245</v>
      </c>
    </row>
    <row r="4078" spans="2:4">
      <c r="B4078" t="s">
        <v>10526</v>
      </c>
      <c r="C4078" s="46">
        <v>1</v>
      </c>
      <c r="D4078" s="30">
        <v>6570.2138183868701</v>
      </c>
    </row>
    <row r="4079" spans="2:4">
      <c r="B4079" t="s">
        <v>10527</v>
      </c>
      <c r="C4079" s="46">
        <v>1</v>
      </c>
      <c r="D4079" s="30">
        <v>99996.310700452232</v>
      </c>
    </row>
    <row r="4080" spans="2:4">
      <c r="B4080" t="s">
        <v>10528</v>
      </c>
      <c r="C4080" s="46">
        <v>1</v>
      </c>
      <c r="D4080" s="30">
        <v>6382.208383055985</v>
      </c>
    </row>
    <row r="4081" spans="2:4">
      <c r="B4081" t="s">
        <v>10529</v>
      </c>
      <c r="C4081" s="46">
        <v>1</v>
      </c>
      <c r="D4081" s="30">
        <v>7407.8944354913092</v>
      </c>
    </row>
    <row r="4082" spans="2:4">
      <c r="B4082" t="s">
        <v>10530</v>
      </c>
      <c r="C4082" s="46">
        <v>1</v>
      </c>
      <c r="D4082" s="30">
        <v>7448.6930385008163</v>
      </c>
    </row>
    <row r="4083" spans="2:4">
      <c r="B4083" t="s">
        <v>10531</v>
      </c>
      <c r="C4083" s="46">
        <v>1</v>
      </c>
      <c r="D4083" s="30">
        <v>5788.0568287522456</v>
      </c>
    </row>
    <row r="4084" spans="2:4">
      <c r="B4084" t="s">
        <v>10532</v>
      </c>
      <c r="C4084" s="46">
        <v>1</v>
      </c>
      <c r="D4084" s="30">
        <v>5292.5357558192882</v>
      </c>
    </row>
    <row r="4085" spans="2:4">
      <c r="B4085" t="s">
        <v>10533</v>
      </c>
      <c r="C4085" s="46">
        <v>1</v>
      </c>
      <c r="D4085" s="30">
        <v>3002.8024381003361</v>
      </c>
    </row>
    <row r="4086" spans="2:4">
      <c r="B4086" t="s">
        <v>10534</v>
      </c>
      <c r="C4086" s="46">
        <v>1</v>
      </c>
      <c r="D4086" s="30">
        <v>7438.7226542347762</v>
      </c>
    </row>
    <row r="4087" spans="2:4">
      <c r="B4087" t="s">
        <v>10535</v>
      </c>
      <c r="C4087" s="46">
        <v>1</v>
      </c>
      <c r="D4087" s="30">
        <v>6370.1892648773592</v>
      </c>
    </row>
    <row r="4088" spans="2:4">
      <c r="B4088" t="s">
        <v>10536</v>
      </c>
      <c r="C4088" s="46">
        <v>1</v>
      </c>
      <c r="D4088" s="30">
        <v>7354.3279073744416</v>
      </c>
    </row>
    <row r="4089" spans="2:4">
      <c r="B4089" t="s">
        <v>10537</v>
      </c>
      <c r="C4089" s="46">
        <v>1</v>
      </c>
      <c r="D4089" s="30">
        <v>3404.9437637220735</v>
      </c>
    </row>
    <row r="4090" spans="2:4">
      <c r="B4090" t="s">
        <v>10538</v>
      </c>
      <c r="C4090" s="46">
        <v>1</v>
      </c>
      <c r="D4090" s="30">
        <v>5449.5003554712421</v>
      </c>
    </row>
    <row r="4091" spans="2:4">
      <c r="B4091" t="s">
        <v>10539</v>
      </c>
      <c r="C4091" s="46">
        <v>1</v>
      </c>
      <c r="D4091" s="30">
        <v>28085.174469074707</v>
      </c>
    </row>
    <row r="4092" spans="2:4">
      <c r="B4092" t="s">
        <v>10540</v>
      </c>
      <c r="C4092" s="46">
        <v>1</v>
      </c>
      <c r="D4092" s="30">
        <v>3404.9437637220735</v>
      </c>
    </row>
    <row r="4093" spans="2:4">
      <c r="B4093" t="s">
        <v>10541</v>
      </c>
      <c r="C4093" s="46">
        <v>1</v>
      </c>
      <c r="D4093" s="30">
        <v>3404.9437637220735</v>
      </c>
    </row>
    <row r="4094" spans="2:4">
      <c r="B4094" t="s">
        <v>10542</v>
      </c>
      <c r="C4094" s="46">
        <v>1</v>
      </c>
      <c r="D4094" s="30">
        <v>3054.9680399019203</v>
      </c>
    </row>
    <row r="4095" spans="2:4">
      <c r="B4095" t="s">
        <v>10543</v>
      </c>
      <c r="C4095" s="46">
        <v>1</v>
      </c>
      <c r="D4095" s="30">
        <v>7438.7226542347762</v>
      </c>
    </row>
    <row r="4096" spans="2:4">
      <c r="B4096" t="s">
        <v>10544</v>
      </c>
      <c r="C4096" s="46">
        <v>1</v>
      </c>
      <c r="D4096" s="30">
        <v>7448.6162517389666</v>
      </c>
    </row>
    <row r="4097" spans="2:4">
      <c r="B4097" t="s">
        <v>10545</v>
      </c>
      <c r="C4097" s="46">
        <v>1</v>
      </c>
      <c r="D4097" s="30">
        <v>6691.8511077815856</v>
      </c>
    </row>
    <row r="4098" spans="2:4">
      <c r="B4098" t="s">
        <v>10546</v>
      </c>
      <c r="C4098" s="46">
        <v>1</v>
      </c>
      <c r="D4098" s="30">
        <v>7399.8389192876857</v>
      </c>
    </row>
    <row r="4099" spans="2:4">
      <c r="B4099" t="s">
        <v>10547</v>
      </c>
      <c r="C4099" s="46">
        <v>1</v>
      </c>
      <c r="D4099" s="30">
        <v>28085.174469074707</v>
      </c>
    </row>
    <row r="4100" spans="2:4">
      <c r="B4100" t="s">
        <v>10548</v>
      </c>
      <c r="C4100" s="46">
        <v>1</v>
      </c>
      <c r="D4100" s="30">
        <v>7356.96853562049</v>
      </c>
    </row>
    <row r="4101" spans="2:4">
      <c r="B4101" t="s">
        <v>10549</v>
      </c>
      <c r="C4101" s="46">
        <v>1</v>
      </c>
      <c r="D4101" s="30">
        <v>42559.368450941991</v>
      </c>
    </row>
    <row r="4102" spans="2:4">
      <c r="B4102" t="s">
        <v>10550</v>
      </c>
      <c r="C4102" s="46">
        <v>1</v>
      </c>
      <c r="D4102" s="30">
        <v>6892.106705583079</v>
      </c>
    </row>
    <row r="4103" spans="2:4">
      <c r="B4103" t="s">
        <v>10551</v>
      </c>
      <c r="C4103" s="46">
        <v>1</v>
      </c>
      <c r="D4103" s="30">
        <v>7405.7437214890842</v>
      </c>
    </row>
    <row r="4104" spans="2:4">
      <c r="B4104" t="s">
        <v>10552</v>
      </c>
      <c r="C4104" s="46">
        <v>1</v>
      </c>
      <c r="D4104" s="30">
        <v>6550.0401604525905</v>
      </c>
    </row>
    <row r="4105" spans="2:4">
      <c r="B4105" t="s">
        <v>10553</v>
      </c>
      <c r="C4105" s="46">
        <v>1</v>
      </c>
      <c r="D4105" s="30">
        <v>7060.8258326472787</v>
      </c>
    </row>
    <row r="4106" spans="2:4">
      <c r="B4106" t="s">
        <v>10554</v>
      </c>
      <c r="C4106" s="46">
        <v>1</v>
      </c>
      <c r="D4106" s="30">
        <v>4861.5177084900097</v>
      </c>
    </row>
    <row r="4107" spans="2:4">
      <c r="B4107" t="s">
        <v>10555</v>
      </c>
      <c r="C4107" s="46">
        <v>1</v>
      </c>
      <c r="D4107" s="30">
        <v>6691.1102719669143</v>
      </c>
    </row>
    <row r="4108" spans="2:4">
      <c r="B4108" t="s">
        <v>10556</v>
      </c>
      <c r="C4108" s="46">
        <v>1</v>
      </c>
      <c r="D4108" s="30">
        <v>671.66337055354632</v>
      </c>
    </row>
    <row r="4109" spans="2:4">
      <c r="B4109" t="s">
        <v>10557</v>
      </c>
      <c r="C4109" s="46">
        <v>1</v>
      </c>
      <c r="D4109" s="30">
        <v>28085.174469074707</v>
      </c>
    </row>
    <row r="4110" spans="2:4">
      <c r="B4110" t="s">
        <v>10558</v>
      </c>
      <c r="C4110" s="46">
        <v>1</v>
      </c>
      <c r="D4110" s="30">
        <v>7444.7048752611126</v>
      </c>
    </row>
    <row r="4111" spans="2:4">
      <c r="B4111" t="s">
        <v>10559</v>
      </c>
      <c r="C4111" s="46">
        <v>1</v>
      </c>
      <c r="D4111" s="30">
        <v>15583.991848120852</v>
      </c>
    </row>
    <row r="4112" spans="2:4">
      <c r="B4112" t="s">
        <v>10560</v>
      </c>
      <c r="C4112" s="46">
        <v>1</v>
      </c>
      <c r="D4112" s="30">
        <v>6280.2923481477874</v>
      </c>
    </row>
    <row r="4113" spans="2:4">
      <c r="B4113" t="s">
        <v>10561</v>
      </c>
      <c r="C4113" s="46">
        <v>1</v>
      </c>
      <c r="D4113" s="30">
        <v>6280.2923481477874</v>
      </c>
    </row>
    <row r="4114" spans="2:4">
      <c r="B4114" t="s">
        <v>10562</v>
      </c>
      <c r="C4114" s="46">
        <v>1</v>
      </c>
      <c r="D4114" s="30">
        <v>6280.2923481477874</v>
      </c>
    </row>
    <row r="4115" spans="2:4">
      <c r="B4115" t="s">
        <v>10563</v>
      </c>
      <c r="C4115" s="46">
        <v>1</v>
      </c>
      <c r="D4115" s="30">
        <v>6280.2923481477874</v>
      </c>
    </row>
    <row r="4116" spans="2:4">
      <c r="B4116" t="s">
        <v>10564</v>
      </c>
      <c r="C4116" s="46">
        <v>1</v>
      </c>
      <c r="D4116" s="30">
        <v>6457.2931768017388</v>
      </c>
    </row>
    <row r="4117" spans="2:4">
      <c r="B4117" t="s">
        <v>10565</v>
      </c>
      <c r="C4117" s="46">
        <v>1</v>
      </c>
      <c r="D4117" s="30">
        <v>6737.4983836463653</v>
      </c>
    </row>
    <row r="4118" spans="2:4">
      <c r="B4118" t="s">
        <v>10566</v>
      </c>
      <c r="C4118" s="46">
        <v>1</v>
      </c>
      <c r="D4118" s="30">
        <v>99996.310700452232</v>
      </c>
    </row>
    <row r="4119" spans="2:4">
      <c r="B4119" t="s">
        <v>10567</v>
      </c>
      <c r="C4119" s="46">
        <v>1</v>
      </c>
      <c r="D4119" s="30">
        <v>6266.8677926387481</v>
      </c>
    </row>
    <row r="4120" spans="2:4">
      <c r="B4120" t="s">
        <v>10568</v>
      </c>
      <c r="C4120" s="46">
        <v>1</v>
      </c>
      <c r="D4120" s="30">
        <v>6914.5769695632362</v>
      </c>
    </row>
    <row r="4121" spans="2:4">
      <c r="B4121" t="s">
        <v>10569</v>
      </c>
      <c r="C4121" s="46">
        <v>1</v>
      </c>
      <c r="D4121" s="30">
        <v>7364.9443065279029</v>
      </c>
    </row>
    <row r="4122" spans="2:4">
      <c r="B4122" t="s">
        <v>10570</v>
      </c>
      <c r="C4122" s="46">
        <v>1</v>
      </c>
      <c r="D4122" s="30">
        <v>6486.4893129950888</v>
      </c>
    </row>
    <row r="4123" spans="2:4">
      <c r="B4123" t="s">
        <v>10571</v>
      </c>
      <c r="C4123" s="46">
        <v>1</v>
      </c>
      <c r="D4123" s="30">
        <v>28085.174469074707</v>
      </c>
    </row>
    <row r="4124" spans="2:4">
      <c r="B4124" t="s">
        <v>10572</v>
      </c>
      <c r="C4124" s="46">
        <v>1</v>
      </c>
      <c r="D4124" s="30">
        <v>7253.2883701247829</v>
      </c>
    </row>
    <row r="4125" spans="2:4">
      <c r="B4125" t="s">
        <v>10573</v>
      </c>
      <c r="C4125" s="46">
        <v>1</v>
      </c>
      <c r="D4125" s="30">
        <v>42559.368450941991</v>
      </c>
    </row>
    <row r="4126" spans="2:4">
      <c r="B4126" t="s">
        <v>10574</v>
      </c>
      <c r="C4126" s="46">
        <v>1</v>
      </c>
      <c r="D4126" s="30">
        <v>7292.0171334485112</v>
      </c>
    </row>
    <row r="4127" spans="2:4">
      <c r="B4127" t="s">
        <v>10575</v>
      </c>
      <c r="C4127" s="46">
        <v>1</v>
      </c>
      <c r="D4127" s="30">
        <v>7301.441933003166</v>
      </c>
    </row>
    <row r="4128" spans="2:4">
      <c r="B4128" t="s">
        <v>10576</v>
      </c>
      <c r="C4128" s="46">
        <v>1</v>
      </c>
      <c r="D4128" s="30">
        <v>7413.6949080810091</v>
      </c>
    </row>
    <row r="4129" spans="2:4">
      <c r="B4129" t="s">
        <v>10577</v>
      </c>
      <c r="C4129" s="46">
        <v>1</v>
      </c>
      <c r="D4129" s="30">
        <v>7102.049688760997</v>
      </c>
    </row>
    <row r="4130" spans="2:4">
      <c r="B4130" t="s">
        <v>10578</v>
      </c>
      <c r="C4130" s="46">
        <v>1</v>
      </c>
      <c r="D4130" s="30">
        <v>6885.4179355886417</v>
      </c>
    </row>
    <row r="4131" spans="2:4">
      <c r="B4131" t="s">
        <v>10579</v>
      </c>
      <c r="C4131" s="46">
        <v>1</v>
      </c>
      <c r="D4131" s="30">
        <v>7378.9020318416315</v>
      </c>
    </row>
    <row r="4132" spans="2:4">
      <c r="B4132" t="s">
        <v>10580</v>
      </c>
      <c r="C4132" s="46">
        <v>1</v>
      </c>
      <c r="D4132" s="30">
        <v>7361.8756947914871</v>
      </c>
    </row>
    <row r="4133" spans="2:4">
      <c r="B4133" t="s">
        <v>10581</v>
      </c>
      <c r="C4133" s="46">
        <v>1</v>
      </c>
      <c r="D4133" s="30">
        <v>7355.9715679569754</v>
      </c>
    </row>
    <row r="4134" spans="2:4">
      <c r="B4134" t="s">
        <v>10582</v>
      </c>
      <c r="C4134" s="46">
        <v>1</v>
      </c>
      <c r="D4134" s="30">
        <v>6076.5642492025845</v>
      </c>
    </row>
    <row r="4135" spans="2:4">
      <c r="B4135" t="s">
        <v>10583</v>
      </c>
      <c r="C4135" s="46">
        <v>1</v>
      </c>
      <c r="D4135" s="30">
        <v>6390.220779323764</v>
      </c>
    </row>
    <row r="4136" spans="2:4">
      <c r="B4136" t="s">
        <v>10584</v>
      </c>
      <c r="C4136" s="46">
        <v>1</v>
      </c>
      <c r="D4136" s="30">
        <v>7355.9715679569754</v>
      </c>
    </row>
    <row r="4137" spans="2:4">
      <c r="B4137" t="s">
        <v>10585</v>
      </c>
      <c r="C4137" s="46">
        <v>1</v>
      </c>
      <c r="D4137" s="30">
        <v>7362.9503588725083</v>
      </c>
    </row>
    <row r="4138" spans="2:4">
      <c r="B4138" t="s">
        <v>10586</v>
      </c>
      <c r="C4138" s="46">
        <v>1</v>
      </c>
      <c r="D4138" s="30">
        <v>7408.4247523908598</v>
      </c>
    </row>
    <row r="4139" spans="2:4">
      <c r="B4139" t="s">
        <v>10587</v>
      </c>
      <c r="C4139" s="46">
        <v>1</v>
      </c>
      <c r="D4139" s="30">
        <v>7355.9715679569754</v>
      </c>
    </row>
    <row r="4140" spans="2:4">
      <c r="B4140" t="s">
        <v>10588</v>
      </c>
      <c r="C4140" s="46">
        <v>1</v>
      </c>
      <c r="D4140" s="30">
        <v>7357.9655041069864</v>
      </c>
    </row>
    <row r="4141" spans="2:4">
      <c r="B4141" t="s">
        <v>10589</v>
      </c>
      <c r="C4141" s="46">
        <v>1</v>
      </c>
      <c r="D4141" s="30">
        <v>7428.7523495833957</v>
      </c>
    </row>
    <row r="4142" spans="2:4">
      <c r="B4142" t="s">
        <v>10590</v>
      </c>
      <c r="C4142" s="46">
        <v>1</v>
      </c>
      <c r="D4142" s="30">
        <v>9890.9605817524862</v>
      </c>
    </row>
    <row r="4143" spans="2:4">
      <c r="B4143" t="s">
        <v>10591</v>
      </c>
      <c r="C4143" s="46">
        <v>1</v>
      </c>
      <c r="D4143" s="30">
        <v>7061.2595442677894</v>
      </c>
    </row>
    <row r="4144" spans="2:4">
      <c r="B4144" t="s">
        <v>10592</v>
      </c>
      <c r="C4144" s="46">
        <v>1</v>
      </c>
      <c r="D4144" s="30">
        <v>3404.9437637220735</v>
      </c>
    </row>
    <row r="4145" spans="2:4">
      <c r="B4145" t="s">
        <v>10593</v>
      </c>
      <c r="C4145" s="46">
        <v>1</v>
      </c>
      <c r="D4145" s="30">
        <v>28085.174469074707</v>
      </c>
    </row>
    <row r="4146" spans="2:4">
      <c r="B4146" t="s">
        <v>10594</v>
      </c>
      <c r="C4146" s="46">
        <v>1</v>
      </c>
      <c r="D4146" s="30">
        <v>7301.9019701836041</v>
      </c>
    </row>
    <row r="4147" spans="2:4">
      <c r="B4147" t="s">
        <v>10595</v>
      </c>
      <c r="C4147" s="46">
        <v>1</v>
      </c>
      <c r="D4147" s="30">
        <v>99996.310700452232</v>
      </c>
    </row>
    <row r="4148" spans="2:4">
      <c r="B4148" t="s">
        <v>10596</v>
      </c>
      <c r="C4148" s="46">
        <v>1</v>
      </c>
      <c r="D4148" s="30">
        <v>1796.5607931109168</v>
      </c>
    </row>
    <row r="4149" spans="2:4">
      <c r="B4149" t="s">
        <v>10597</v>
      </c>
      <c r="C4149" s="46">
        <v>1</v>
      </c>
      <c r="D4149" s="30">
        <v>7416.7880895451635</v>
      </c>
    </row>
    <row r="4150" spans="2:4">
      <c r="B4150" t="s">
        <v>10598</v>
      </c>
      <c r="C4150" s="46">
        <v>1</v>
      </c>
      <c r="D4150" s="30">
        <v>2547.2929940783442</v>
      </c>
    </row>
    <row r="4151" spans="2:4">
      <c r="B4151" t="s">
        <v>10599</v>
      </c>
      <c r="C4151" s="46">
        <v>1</v>
      </c>
      <c r="D4151" s="30">
        <v>7305.1273162860525</v>
      </c>
    </row>
    <row r="4152" spans="2:4">
      <c r="B4152" t="s">
        <v>10600</v>
      </c>
      <c r="C4152" s="46">
        <v>1</v>
      </c>
      <c r="D4152" s="30">
        <v>7448.6930385008163</v>
      </c>
    </row>
    <row r="4153" spans="2:4">
      <c r="B4153" t="s">
        <v>10601</v>
      </c>
      <c r="C4153" s="46">
        <v>1</v>
      </c>
      <c r="D4153" s="30">
        <v>7435.5011937090167</v>
      </c>
    </row>
    <row r="4154" spans="2:4">
      <c r="B4154" t="s">
        <v>10602</v>
      </c>
      <c r="C4154" s="46">
        <v>1</v>
      </c>
      <c r="D4154" s="30">
        <v>2901.267174539315</v>
      </c>
    </row>
    <row r="4155" spans="2:4">
      <c r="B4155" t="s">
        <v>10603</v>
      </c>
      <c r="C4155" s="46">
        <v>1</v>
      </c>
      <c r="D4155" s="30">
        <v>7431.7434326002049</v>
      </c>
    </row>
    <row r="4156" spans="2:4">
      <c r="B4156" t="s">
        <v>10604</v>
      </c>
      <c r="C4156" s="46">
        <v>1</v>
      </c>
      <c r="D4156" s="30">
        <v>5864.2191288207878</v>
      </c>
    </row>
    <row r="4157" spans="2:4">
      <c r="B4157" t="s">
        <v>10605</v>
      </c>
      <c r="C4157" s="46">
        <v>1</v>
      </c>
      <c r="D4157" s="30">
        <v>9890.9605817524862</v>
      </c>
    </row>
    <row r="4158" spans="2:4">
      <c r="B4158" t="s">
        <v>10606</v>
      </c>
      <c r="C4158" s="46">
        <v>1</v>
      </c>
      <c r="D4158" s="30">
        <v>7414.7940574355825</v>
      </c>
    </row>
    <row r="4159" spans="2:4">
      <c r="B4159" t="s">
        <v>10607</v>
      </c>
      <c r="C4159" s="46">
        <v>1</v>
      </c>
      <c r="D4159" s="30">
        <v>6692.1774599782675</v>
      </c>
    </row>
    <row r="4160" spans="2:4">
      <c r="B4160" t="s">
        <v>10608</v>
      </c>
      <c r="C4160" s="46">
        <v>1</v>
      </c>
      <c r="D4160" s="30">
        <v>28085.174469074707</v>
      </c>
    </row>
    <row r="4161" spans="2:4">
      <c r="B4161" t="s">
        <v>10609</v>
      </c>
      <c r="C4161" s="46">
        <v>1</v>
      </c>
      <c r="D4161" s="30">
        <v>7384.8839631119099</v>
      </c>
    </row>
    <row r="4162" spans="2:4">
      <c r="B4162" t="s">
        <v>10610</v>
      </c>
      <c r="C4162" s="46">
        <v>1</v>
      </c>
      <c r="D4162" s="30">
        <v>6692.1774599782675</v>
      </c>
    </row>
    <row r="4163" spans="2:4">
      <c r="B4163" t="s">
        <v>10611</v>
      </c>
      <c r="C4163" s="46">
        <v>1</v>
      </c>
      <c r="D4163" s="30">
        <v>4575.6751974893932</v>
      </c>
    </row>
    <row r="4164" spans="2:4">
      <c r="B4164" t="s">
        <v>10612</v>
      </c>
      <c r="C4164" s="46">
        <v>1</v>
      </c>
      <c r="D4164" s="30">
        <v>7033.6298109331747</v>
      </c>
    </row>
    <row r="4165" spans="2:4">
      <c r="B4165" t="s">
        <v>10613</v>
      </c>
      <c r="C4165" s="46">
        <v>1</v>
      </c>
      <c r="D4165" s="30">
        <v>9890.9605817524862</v>
      </c>
    </row>
    <row r="4166" spans="2:4">
      <c r="B4166" t="s">
        <v>10614</v>
      </c>
      <c r="C4166" s="46">
        <v>1</v>
      </c>
      <c r="D4166" s="30">
        <v>5788.0568287522456</v>
      </c>
    </row>
    <row r="4167" spans="2:4">
      <c r="B4167" t="s">
        <v>10615</v>
      </c>
      <c r="C4167" s="46">
        <v>1</v>
      </c>
      <c r="D4167" s="30">
        <v>7442.5572350112479</v>
      </c>
    </row>
    <row r="4168" spans="2:4">
      <c r="B4168" t="s">
        <v>10616</v>
      </c>
      <c r="C4168" s="46">
        <v>1</v>
      </c>
      <c r="D4168" s="30">
        <v>2722.4739357381359</v>
      </c>
    </row>
    <row r="4169" spans="2:4">
      <c r="B4169" t="s">
        <v>10617</v>
      </c>
      <c r="C4169" s="46">
        <v>1</v>
      </c>
      <c r="D4169" s="30">
        <v>5292.5357558192882</v>
      </c>
    </row>
    <row r="4170" spans="2:4">
      <c r="B4170" t="s">
        <v>10618</v>
      </c>
      <c r="C4170" s="46">
        <v>1</v>
      </c>
      <c r="D4170" s="30">
        <v>7016.0039996053156</v>
      </c>
    </row>
    <row r="4171" spans="2:4">
      <c r="B4171" t="s">
        <v>10619</v>
      </c>
      <c r="C4171" s="46">
        <v>1</v>
      </c>
      <c r="D4171" s="30">
        <v>6786.2181789323577</v>
      </c>
    </row>
    <row r="4172" spans="2:4">
      <c r="B4172" t="s">
        <v>10620</v>
      </c>
      <c r="C4172" s="46">
        <v>1</v>
      </c>
      <c r="D4172" s="30">
        <v>7038.6142062795479</v>
      </c>
    </row>
    <row r="4173" spans="2:4">
      <c r="B4173" t="s">
        <v>10621</v>
      </c>
      <c r="C4173" s="46">
        <v>1</v>
      </c>
      <c r="D4173" s="30">
        <v>7365.7861176859406</v>
      </c>
    </row>
    <row r="4174" spans="2:4">
      <c r="B4174" t="s">
        <v>10622</v>
      </c>
      <c r="C4174" s="46">
        <v>1</v>
      </c>
      <c r="D4174" s="30">
        <v>7055.519410137289</v>
      </c>
    </row>
    <row r="4175" spans="2:4">
      <c r="B4175" t="s">
        <v>10623</v>
      </c>
      <c r="C4175" s="46">
        <v>1</v>
      </c>
      <c r="D4175" s="30">
        <v>5530.879933549435</v>
      </c>
    </row>
    <row r="4176" spans="2:4">
      <c r="B4176" t="s">
        <v>10624</v>
      </c>
      <c r="C4176" s="46">
        <v>1</v>
      </c>
      <c r="D4176" s="30">
        <v>6886.9979830154871</v>
      </c>
    </row>
    <row r="4177" spans="2:4">
      <c r="B4177" t="s">
        <v>10625</v>
      </c>
      <c r="C4177" s="46">
        <v>1</v>
      </c>
      <c r="D4177" s="30">
        <v>4220.2747480879489</v>
      </c>
    </row>
    <row r="4178" spans="2:4">
      <c r="B4178" t="s">
        <v>10626</v>
      </c>
      <c r="C4178" s="46">
        <v>1</v>
      </c>
      <c r="D4178" s="30">
        <v>5001.2700190322921</v>
      </c>
    </row>
    <row r="4179" spans="2:4">
      <c r="B4179" t="s">
        <v>10627</v>
      </c>
      <c r="C4179" s="46">
        <v>1</v>
      </c>
      <c r="D4179" s="30">
        <v>7362.9503588725083</v>
      </c>
    </row>
    <row r="4180" spans="2:4">
      <c r="B4180" t="s">
        <v>10628</v>
      </c>
      <c r="C4180" s="46">
        <v>1</v>
      </c>
      <c r="D4180" s="30">
        <v>7425.7612737607824</v>
      </c>
    </row>
    <row r="4181" spans="2:4">
      <c r="B4181" t="s">
        <v>10629</v>
      </c>
      <c r="C4181" s="46">
        <v>1</v>
      </c>
      <c r="D4181" s="30">
        <v>5133.2618915534467</v>
      </c>
    </row>
    <row r="4182" spans="2:4">
      <c r="B4182" t="s">
        <v>10630</v>
      </c>
      <c r="C4182" s="46">
        <v>1</v>
      </c>
      <c r="D4182" s="30">
        <v>6332.7670935509123</v>
      </c>
    </row>
    <row r="4183" spans="2:4">
      <c r="B4183" t="s">
        <v>10631</v>
      </c>
      <c r="C4183" s="46">
        <v>1</v>
      </c>
      <c r="D4183" s="30">
        <v>1711.5766859459065</v>
      </c>
    </row>
    <row r="4184" spans="2:4">
      <c r="B4184" t="s">
        <v>10632</v>
      </c>
      <c r="C4184" s="46">
        <v>1</v>
      </c>
      <c r="D4184" s="30">
        <v>1728.5211499834948</v>
      </c>
    </row>
    <row r="4185" spans="2:4">
      <c r="B4185" t="s">
        <v>10633</v>
      </c>
      <c r="C4185" s="46">
        <v>1</v>
      </c>
      <c r="D4185" s="30">
        <v>42559.368450941991</v>
      </c>
    </row>
    <row r="4186" spans="2:4">
      <c r="B4186" t="s">
        <v>10634</v>
      </c>
      <c r="C4186" s="46">
        <v>1</v>
      </c>
      <c r="D4186" s="30">
        <v>7272.2292569086858</v>
      </c>
    </row>
    <row r="4187" spans="2:4">
      <c r="B4187" t="s">
        <v>10635</v>
      </c>
      <c r="C4187" s="46">
        <v>1</v>
      </c>
      <c r="D4187" s="30">
        <v>6676.7354697980227</v>
      </c>
    </row>
    <row r="4188" spans="2:4">
      <c r="B4188" t="s">
        <v>10636</v>
      </c>
      <c r="C4188" s="46">
        <v>1</v>
      </c>
      <c r="D4188" s="30">
        <v>7023.4622443600547</v>
      </c>
    </row>
    <row r="4189" spans="2:4">
      <c r="B4189" t="s">
        <v>10637</v>
      </c>
      <c r="C4189" s="46">
        <v>1</v>
      </c>
      <c r="D4189" s="30">
        <v>6556.7008962409082</v>
      </c>
    </row>
    <row r="4190" spans="2:4">
      <c r="B4190" t="s">
        <v>10638</v>
      </c>
      <c r="C4190" s="46">
        <v>1</v>
      </c>
      <c r="D4190" s="30">
        <v>5634.5766357897537</v>
      </c>
    </row>
    <row r="4191" spans="2:4">
      <c r="B4191" t="s">
        <v>10639</v>
      </c>
      <c r="C4191" s="46">
        <v>1</v>
      </c>
      <c r="D4191" s="30">
        <v>6556.7008962409082</v>
      </c>
    </row>
    <row r="4192" spans="2:4">
      <c r="B4192" t="s">
        <v>10640</v>
      </c>
      <c r="C4192" s="46">
        <v>1</v>
      </c>
      <c r="D4192" s="30">
        <v>6926.1330476343564</v>
      </c>
    </row>
    <row r="4193" spans="2:4">
      <c r="B4193" t="s">
        <v>10641</v>
      </c>
      <c r="C4193" s="46">
        <v>1</v>
      </c>
      <c r="D4193" s="30">
        <v>7312.1058106251485</v>
      </c>
    </row>
    <row r="4194" spans="2:4">
      <c r="B4194" t="s">
        <v>10642</v>
      </c>
      <c r="C4194" s="46">
        <v>1</v>
      </c>
      <c r="D4194" s="30">
        <v>15583.991848120852</v>
      </c>
    </row>
    <row r="4195" spans="2:4">
      <c r="B4195" t="s">
        <v>10643</v>
      </c>
      <c r="C4195" s="46">
        <v>1</v>
      </c>
      <c r="D4195" s="30">
        <v>1858.2095631893617</v>
      </c>
    </row>
    <row r="4196" spans="2:4">
      <c r="B4196" t="s">
        <v>10644</v>
      </c>
      <c r="C4196" s="46">
        <v>1</v>
      </c>
      <c r="D4196" s="30">
        <v>7374.759118856784</v>
      </c>
    </row>
    <row r="4197" spans="2:4">
      <c r="B4197" t="s">
        <v>10645</v>
      </c>
      <c r="C4197" s="46">
        <v>1</v>
      </c>
      <c r="D4197" s="30">
        <v>4045.1845247577749</v>
      </c>
    </row>
    <row r="4198" spans="2:4">
      <c r="B4198" t="s">
        <v>10646</v>
      </c>
      <c r="C4198" s="46">
        <v>1</v>
      </c>
      <c r="D4198" s="30">
        <v>2723.5993749632298</v>
      </c>
    </row>
    <row r="4199" spans="2:4">
      <c r="B4199" t="s">
        <v>10647</v>
      </c>
      <c r="C4199" s="46">
        <v>1</v>
      </c>
      <c r="D4199" s="30">
        <v>7335.7468852897764</v>
      </c>
    </row>
    <row r="4200" spans="2:4">
      <c r="B4200" t="s">
        <v>10648</v>
      </c>
      <c r="C4200" s="46">
        <v>1</v>
      </c>
      <c r="D4200" s="30">
        <v>7408.4247523908598</v>
      </c>
    </row>
    <row r="4201" spans="2:4">
      <c r="B4201" t="s">
        <v>10649</v>
      </c>
      <c r="C4201" s="46">
        <v>1</v>
      </c>
      <c r="D4201" s="30">
        <v>2491.2200111830443</v>
      </c>
    </row>
    <row r="4202" spans="2:4">
      <c r="B4202" t="s">
        <v>10650</v>
      </c>
      <c r="C4202" s="46">
        <v>1</v>
      </c>
      <c r="D4202" s="30">
        <v>28085.174469074707</v>
      </c>
    </row>
    <row r="4203" spans="2:4">
      <c r="B4203" t="s">
        <v>10651</v>
      </c>
      <c r="C4203" s="46">
        <v>1</v>
      </c>
      <c r="D4203" s="30">
        <v>6885.6099868303227</v>
      </c>
    </row>
    <row r="4204" spans="2:4">
      <c r="B4204" t="s">
        <v>10652</v>
      </c>
      <c r="C4204" s="46">
        <v>1</v>
      </c>
      <c r="D4204" s="30">
        <v>7447.6959965006654</v>
      </c>
    </row>
    <row r="4205" spans="2:4">
      <c r="B4205" t="s">
        <v>10653</v>
      </c>
      <c r="C4205" s="46">
        <v>1</v>
      </c>
      <c r="D4205" s="30">
        <v>3809.5751556297168</v>
      </c>
    </row>
    <row r="4206" spans="2:4">
      <c r="B4206" t="s">
        <v>10654</v>
      </c>
      <c r="C4206" s="46">
        <v>1</v>
      </c>
      <c r="D4206" s="30">
        <v>7405.7437214890842</v>
      </c>
    </row>
    <row r="4207" spans="2:4">
      <c r="B4207" t="s">
        <v>10655</v>
      </c>
      <c r="C4207" s="46">
        <v>1</v>
      </c>
      <c r="D4207" s="30">
        <v>2966.7519535744304</v>
      </c>
    </row>
    <row r="4208" spans="2:4">
      <c r="B4208" t="s">
        <v>10656</v>
      </c>
      <c r="C4208" s="46">
        <v>1</v>
      </c>
      <c r="D4208" s="30">
        <v>7207.0734205566914</v>
      </c>
    </row>
    <row r="4209" spans="2:4">
      <c r="B4209" t="s">
        <v>10657</v>
      </c>
      <c r="C4209" s="46">
        <v>1</v>
      </c>
      <c r="D4209" s="30">
        <v>1858.2095631893617</v>
      </c>
    </row>
    <row r="4210" spans="2:4">
      <c r="B4210" t="s">
        <v>10658</v>
      </c>
      <c r="C4210" s="46">
        <v>1</v>
      </c>
      <c r="D4210" s="30">
        <v>7170.5502691322909</v>
      </c>
    </row>
    <row r="4211" spans="2:4">
      <c r="B4211" t="s">
        <v>10659</v>
      </c>
      <c r="C4211" s="46">
        <v>1</v>
      </c>
      <c r="D4211" s="30">
        <v>7443.7078364359586</v>
      </c>
    </row>
    <row r="4212" spans="2:4">
      <c r="B4212" t="s">
        <v>10660</v>
      </c>
      <c r="C4212" s="46">
        <v>1</v>
      </c>
      <c r="D4212" s="30">
        <v>7439.7196890840014</v>
      </c>
    </row>
    <row r="4213" spans="2:4">
      <c r="B4213" t="s">
        <v>10661</v>
      </c>
      <c r="C4213" s="46">
        <v>1</v>
      </c>
      <c r="D4213" s="30">
        <v>7292.9992996253141</v>
      </c>
    </row>
    <row r="4214" spans="2:4">
      <c r="B4214" t="s">
        <v>10662</v>
      </c>
      <c r="C4214" s="46">
        <v>1</v>
      </c>
      <c r="D4214" s="30">
        <v>5660.5821043413052</v>
      </c>
    </row>
    <row r="4215" spans="2:4">
      <c r="B4215" t="s">
        <v>10663</v>
      </c>
      <c r="C4215" s="46">
        <v>1</v>
      </c>
      <c r="D4215" s="30">
        <v>15639.916814218062</v>
      </c>
    </row>
    <row r="4216" spans="2:4">
      <c r="B4216" t="s">
        <v>10664</v>
      </c>
      <c r="C4216" s="46">
        <v>1</v>
      </c>
      <c r="D4216" s="30">
        <v>7266.1691761055963</v>
      </c>
    </row>
    <row r="4217" spans="2:4">
      <c r="B4217" t="s">
        <v>10665</v>
      </c>
      <c r="C4217" s="46">
        <v>1</v>
      </c>
      <c r="D4217" s="30">
        <v>5145.6054121506832</v>
      </c>
    </row>
    <row r="4218" spans="2:4">
      <c r="B4218" t="s">
        <v>10666</v>
      </c>
      <c r="C4218" s="46">
        <v>1</v>
      </c>
      <c r="D4218" s="30">
        <v>99996.310700452232</v>
      </c>
    </row>
    <row r="4219" spans="2:4">
      <c r="B4219" t="s">
        <v>10667</v>
      </c>
      <c r="C4219" s="46">
        <v>1</v>
      </c>
      <c r="D4219" s="30">
        <v>3932.929833774318</v>
      </c>
    </row>
    <row r="4220" spans="2:4">
      <c r="B4220" t="s">
        <v>10668</v>
      </c>
      <c r="C4220" s="46">
        <v>1</v>
      </c>
      <c r="D4220" s="30">
        <v>7307.0428931302276</v>
      </c>
    </row>
    <row r="4221" spans="2:4">
      <c r="B4221" t="s">
        <v>10669</v>
      </c>
      <c r="C4221" s="46">
        <v>1</v>
      </c>
      <c r="D4221" s="30">
        <v>7019.0459240087202</v>
      </c>
    </row>
    <row r="4222" spans="2:4">
      <c r="B4222" t="s">
        <v>10670</v>
      </c>
      <c r="C4222" s="46">
        <v>1</v>
      </c>
      <c r="D4222" s="30">
        <v>7080.5410256105606</v>
      </c>
    </row>
    <row r="4223" spans="2:4">
      <c r="B4223" t="s">
        <v>10671</v>
      </c>
      <c r="C4223" s="46">
        <v>1</v>
      </c>
      <c r="D4223" s="30">
        <v>6997.1194445955225</v>
      </c>
    </row>
    <row r="4224" spans="2:4">
      <c r="B4224" t="s">
        <v>10672</v>
      </c>
      <c r="C4224" s="46">
        <v>1</v>
      </c>
      <c r="D4224" s="30">
        <v>7385.101053392963</v>
      </c>
    </row>
    <row r="4225" spans="2:4">
      <c r="B4225" t="s">
        <v>10673</v>
      </c>
      <c r="C4225" s="46">
        <v>1</v>
      </c>
      <c r="D4225" s="30">
        <v>7254.2741426751672</v>
      </c>
    </row>
    <row r="4226" spans="2:4">
      <c r="B4226" t="s">
        <v>10674</v>
      </c>
      <c r="C4226" s="46">
        <v>1</v>
      </c>
      <c r="D4226" s="30">
        <v>3722.9420951511338</v>
      </c>
    </row>
    <row r="4227" spans="2:4">
      <c r="B4227" t="s">
        <v>10675</v>
      </c>
      <c r="C4227" s="46">
        <v>1</v>
      </c>
      <c r="D4227" s="30">
        <v>6627.6765939588422</v>
      </c>
    </row>
    <row r="4228" spans="2:4">
      <c r="B4228" t="s">
        <v>10676</v>
      </c>
      <c r="C4228" s="46">
        <v>1</v>
      </c>
      <c r="D4228" s="30">
        <v>28085.174469074707</v>
      </c>
    </row>
    <row r="4229" spans="2:4">
      <c r="B4229" t="s">
        <v>10677</v>
      </c>
      <c r="C4229" s="46">
        <v>1</v>
      </c>
      <c r="D4229" s="30">
        <v>9890.9605817524862</v>
      </c>
    </row>
    <row r="4230" spans="2:4">
      <c r="B4230" t="s">
        <v>10678</v>
      </c>
      <c r="C4230" s="46">
        <v>1</v>
      </c>
      <c r="D4230" s="30">
        <v>4683.2591408320986</v>
      </c>
    </row>
    <row r="4231" spans="2:4">
      <c r="B4231" t="s">
        <v>10679</v>
      </c>
      <c r="C4231" s="46">
        <v>1</v>
      </c>
      <c r="D4231" s="30">
        <v>1796.5607931109168</v>
      </c>
    </row>
    <row r="4232" spans="2:4">
      <c r="B4232" t="s">
        <v>10680</v>
      </c>
      <c r="C4232" s="46">
        <v>1</v>
      </c>
      <c r="D4232" s="30">
        <v>6280.2923481477874</v>
      </c>
    </row>
    <row r="4233" spans="2:4">
      <c r="B4233" t="s">
        <v>10681</v>
      </c>
      <c r="C4233" s="46">
        <v>1</v>
      </c>
      <c r="D4233" s="30">
        <v>6280.2923481477874</v>
      </c>
    </row>
    <row r="4234" spans="2:4">
      <c r="B4234" t="s">
        <v>10682</v>
      </c>
      <c r="C4234" s="46">
        <v>1</v>
      </c>
      <c r="D4234" s="30">
        <v>6988.2183892556868</v>
      </c>
    </row>
    <row r="4235" spans="2:4">
      <c r="B4235" t="s">
        <v>10683</v>
      </c>
      <c r="C4235" s="46">
        <v>1</v>
      </c>
      <c r="D4235" s="30">
        <v>4957.1073337148136</v>
      </c>
    </row>
    <row r="4236" spans="2:4">
      <c r="B4236" t="s">
        <v>10684</v>
      </c>
      <c r="C4236" s="46">
        <v>1</v>
      </c>
      <c r="D4236" s="30">
        <v>5373.6359968568595</v>
      </c>
    </row>
    <row r="4237" spans="2:4">
      <c r="B4237" t="s">
        <v>10685</v>
      </c>
      <c r="C4237" s="46">
        <v>1</v>
      </c>
      <c r="D4237" s="30">
        <v>7425.2881478899899</v>
      </c>
    </row>
    <row r="4238" spans="2:4">
      <c r="B4238" t="s">
        <v>10686</v>
      </c>
      <c r="C4238" s="46">
        <v>1</v>
      </c>
      <c r="D4238" s="30">
        <v>2574.6014601943371</v>
      </c>
    </row>
    <row r="4239" spans="2:4">
      <c r="B4239" t="s">
        <v>10687</v>
      </c>
      <c r="C4239" s="46">
        <v>1</v>
      </c>
      <c r="D4239" s="30">
        <v>6886.0837061919001</v>
      </c>
    </row>
    <row r="4240" spans="2:4">
      <c r="B4240" t="s">
        <v>10688</v>
      </c>
      <c r="C4240" s="46">
        <v>1</v>
      </c>
      <c r="D4240" s="30">
        <v>7435.5011937090167</v>
      </c>
    </row>
    <row r="4241" spans="2:4">
      <c r="B4241" t="s">
        <v>10689</v>
      </c>
      <c r="C4241" s="46">
        <v>1</v>
      </c>
      <c r="D4241" s="30">
        <v>7273.2261542287506</v>
      </c>
    </row>
    <row r="4242" spans="2:4">
      <c r="B4242" t="s">
        <v>10690</v>
      </c>
      <c r="C4242" s="46">
        <v>1</v>
      </c>
      <c r="D4242" s="30">
        <v>6984.9961190707618</v>
      </c>
    </row>
    <row r="4243" spans="2:4">
      <c r="B4243" t="s">
        <v>10691</v>
      </c>
      <c r="C4243" s="46">
        <v>1</v>
      </c>
      <c r="D4243" s="30">
        <v>481.66528720460849</v>
      </c>
    </row>
    <row r="4244" spans="2:4">
      <c r="B4244" t="s">
        <v>10692</v>
      </c>
      <c r="C4244" s="46">
        <v>1</v>
      </c>
      <c r="D4244" s="30">
        <v>7277.9753070292536</v>
      </c>
    </row>
    <row r="4245" spans="2:4">
      <c r="B4245" t="s">
        <v>10693</v>
      </c>
      <c r="C4245" s="46">
        <v>1</v>
      </c>
      <c r="D4245" s="30">
        <v>7350.3105623664114</v>
      </c>
    </row>
    <row r="4246" spans="2:4">
      <c r="B4246" t="s">
        <v>10694</v>
      </c>
      <c r="C4246" s="46">
        <v>1</v>
      </c>
      <c r="D4246" s="30">
        <v>7201.2138910606036</v>
      </c>
    </row>
    <row r="4247" spans="2:4">
      <c r="B4247" t="s">
        <v>10695</v>
      </c>
      <c r="C4247" s="46">
        <v>1</v>
      </c>
      <c r="D4247" s="30">
        <v>3688.0366717509864</v>
      </c>
    </row>
    <row r="4248" spans="2:4">
      <c r="B4248" t="s">
        <v>10696</v>
      </c>
      <c r="C4248" s="46">
        <v>1</v>
      </c>
      <c r="D4248" s="30">
        <v>7404.8239451723075</v>
      </c>
    </row>
    <row r="4249" spans="2:4">
      <c r="B4249" t="s">
        <v>10697</v>
      </c>
      <c r="C4249" s="46">
        <v>1</v>
      </c>
      <c r="D4249" s="30">
        <v>7129.6818874263445</v>
      </c>
    </row>
    <row r="4250" spans="2:4">
      <c r="B4250" t="s">
        <v>10698</v>
      </c>
      <c r="C4250" s="46">
        <v>1</v>
      </c>
      <c r="D4250" s="30">
        <v>7381.8929938107349</v>
      </c>
    </row>
    <row r="4251" spans="2:4">
      <c r="B4251" t="s">
        <v>10699</v>
      </c>
      <c r="C4251" s="46">
        <v>1</v>
      </c>
      <c r="D4251" s="30">
        <v>7442.5572350112479</v>
      </c>
    </row>
    <row r="4252" spans="2:4">
      <c r="B4252" t="s">
        <v>10700</v>
      </c>
      <c r="C4252" s="46">
        <v>1</v>
      </c>
      <c r="D4252" s="30">
        <v>4962.3300472248384</v>
      </c>
    </row>
    <row r="4253" spans="2:4">
      <c r="B4253" t="s">
        <v>10701</v>
      </c>
      <c r="C4253" s="46">
        <v>1</v>
      </c>
      <c r="D4253" s="30">
        <v>4623.2498127642175</v>
      </c>
    </row>
    <row r="4254" spans="2:4">
      <c r="B4254" t="s">
        <v>10702</v>
      </c>
      <c r="C4254" s="46">
        <v>1</v>
      </c>
      <c r="D4254" s="30">
        <v>2517.451741774235</v>
      </c>
    </row>
    <row r="4255" spans="2:4">
      <c r="B4255" t="s">
        <v>10703</v>
      </c>
      <c r="C4255" s="46">
        <v>1</v>
      </c>
      <c r="D4255" s="30">
        <v>7380.3563893330283</v>
      </c>
    </row>
    <row r="4256" spans="2:4">
      <c r="B4256" t="s">
        <v>10704</v>
      </c>
      <c r="C4256" s="46">
        <v>1</v>
      </c>
      <c r="D4256" s="30">
        <v>7418.5512377979812</v>
      </c>
    </row>
    <row r="4257" spans="2:4">
      <c r="B4257" t="s">
        <v>10705</v>
      </c>
      <c r="C4257" s="46">
        <v>1</v>
      </c>
      <c r="D4257" s="30">
        <v>7418.5512377979812</v>
      </c>
    </row>
    <row r="4258" spans="2:4">
      <c r="B4258" t="s">
        <v>10706</v>
      </c>
      <c r="C4258" s="46">
        <v>1</v>
      </c>
      <c r="D4258" s="30">
        <v>4740.2990874076077</v>
      </c>
    </row>
    <row r="4259" spans="2:4">
      <c r="B4259" t="s">
        <v>10707</v>
      </c>
      <c r="C4259" s="46">
        <v>1</v>
      </c>
      <c r="D4259" s="30">
        <v>7252.5778359042924</v>
      </c>
    </row>
    <row r="4260" spans="2:4">
      <c r="B4260" t="s">
        <v>10708</v>
      </c>
      <c r="C4260" s="46">
        <v>1</v>
      </c>
      <c r="D4260" s="30">
        <v>7449.4601521792838</v>
      </c>
    </row>
    <row r="4261" spans="2:4">
      <c r="B4261" t="s">
        <v>10709</v>
      </c>
      <c r="C4261" s="46">
        <v>1</v>
      </c>
      <c r="D4261" s="30">
        <v>6602.5651224670446</v>
      </c>
    </row>
    <row r="4262" spans="2:4">
      <c r="B4262" t="s">
        <v>10710</v>
      </c>
      <c r="C4262" s="46">
        <v>1</v>
      </c>
      <c r="D4262" s="30">
        <v>31058.869821815813</v>
      </c>
    </row>
    <row r="4263" spans="2:4">
      <c r="B4263" t="s">
        <v>10711</v>
      </c>
      <c r="C4263" s="46">
        <v>1</v>
      </c>
      <c r="D4263" s="30">
        <v>1072.8304240982636</v>
      </c>
    </row>
    <row r="4264" spans="2:4">
      <c r="B4264" t="s">
        <v>10712</v>
      </c>
      <c r="C4264" s="46">
        <v>1</v>
      </c>
      <c r="D4264" s="30">
        <v>3131.4083414538563</v>
      </c>
    </row>
    <row r="4265" spans="2:4">
      <c r="B4265" t="s">
        <v>10713</v>
      </c>
      <c r="C4265" s="46">
        <v>1</v>
      </c>
      <c r="D4265" s="30">
        <v>7056.7949915379431</v>
      </c>
    </row>
    <row r="4266" spans="2:4">
      <c r="B4266" t="s">
        <v>10714</v>
      </c>
      <c r="C4266" s="46">
        <v>1</v>
      </c>
      <c r="D4266" s="30">
        <v>2848.7435765048976</v>
      </c>
    </row>
    <row r="4267" spans="2:4">
      <c r="B4267" t="s">
        <v>10715</v>
      </c>
      <c r="C4267" s="46">
        <v>1</v>
      </c>
      <c r="D4267" s="30">
        <v>6216.0711517336704</v>
      </c>
    </row>
    <row r="4268" spans="2:4">
      <c r="B4268" t="s">
        <v>10716</v>
      </c>
      <c r="C4268" s="46">
        <v>1</v>
      </c>
      <c r="D4268" s="30">
        <v>2848.7435765048976</v>
      </c>
    </row>
    <row r="4269" spans="2:4">
      <c r="B4269" t="s">
        <v>10717</v>
      </c>
      <c r="C4269" s="46">
        <v>1</v>
      </c>
      <c r="D4269" s="30">
        <v>7209.3471230918976</v>
      </c>
    </row>
    <row r="4270" spans="2:4">
      <c r="B4270" t="s">
        <v>10718</v>
      </c>
      <c r="C4270" s="46">
        <v>1</v>
      </c>
      <c r="D4270" s="30">
        <v>7446.6989552937857</v>
      </c>
    </row>
    <row r="4271" spans="2:4">
      <c r="B4271" t="s">
        <v>10719</v>
      </c>
      <c r="C4271" s="46">
        <v>1</v>
      </c>
      <c r="D4271" s="30">
        <v>2574.6014601943371</v>
      </c>
    </row>
    <row r="4272" spans="2:4">
      <c r="B4272" t="s">
        <v>10720</v>
      </c>
      <c r="C4272" s="46">
        <v>1</v>
      </c>
      <c r="D4272" s="30">
        <v>99996.310700452232</v>
      </c>
    </row>
    <row r="4273" spans="2:4">
      <c r="B4273" t="s">
        <v>10721</v>
      </c>
      <c r="C4273" s="46">
        <v>1</v>
      </c>
      <c r="D4273" s="30">
        <v>6728.4640800341695</v>
      </c>
    </row>
    <row r="4274" spans="2:4">
      <c r="B4274" t="s">
        <v>10722</v>
      </c>
      <c r="C4274" s="46">
        <v>1</v>
      </c>
      <c r="D4274" s="30">
        <v>5956.2415383482421</v>
      </c>
    </row>
    <row r="4275" spans="2:4">
      <c r="B4275" t="s">
        <v>10723</v>
      </c>
      <c r="C4275" s="46">
        <v>1</v>
      </c>
      <c r="D4275" s="30">
        <v>7413.879877347149</v>
      </c>
    </row>
    <row r="4276" spans="2:4">
      <c r="B4276" t="s">
        <v>10724</v>
      </c>
      <c r="C4276" s="46">
        <v>1</v>
      </c>
      <c r="D4276" s="30">
        <v>7255.1246025787223</v>
      </c>
    </row>
    <row r="4277" spans="2:4">
      <c r="B4277" t="s">
        <v>10725</v>
      </c>
      <c r="C4277" s="46">
        <v>1</v>
      </c>
      <c r="D4277" s="30">
        <v>2848.7435765048976</v>
      </c>
    </row>
    <row r="4278" spans="2:4">
      <c r="B4278" t="s">
        <v>10726</v>
      </c>
      <c r="C4278" s="46">
        <v>1</v>
      </c>
      <c r="D4278" s="30">
        <v>7445.625097271175</v>
      </c>
    </row>
    <row r="4279" spans="2:4">
      <c r="B4279" t="s">
        <v>10727</v>
      </c>
      <c r="C4279" s="46">
        <v>1</v>
      </c>
      <c r="D4279" s="30">
        <v>7272.2292569086858</v>
      </c>
    </row>
    <row r="4280" spans="2:4">
      <c r="B4280" t="s">
        <v>10728</v>
      </c>
      <c r="C4280" s="46">
        <v>1</v>
      </c>
      <c r="D4280" s="30">
        <v>7080.5410256105606</v>
      </c>
    </row>
    <row r="4281" spans="2:4">
      <c r="B4281" t="s">
        <v>10729</v>
      </c>
      <c r="C4281" s="46">
        <v>1</v>
      </c>
      <c r="D4281" s="30">
        <v>4766.1326555580436</v>
      </c>
    </row>
    <row r="4282" spans="2:4">
      <c r="B4282" t="s">
        <v>10730</v>
      </c>
      <c r="C4282" s="46">
        <v>1</v>
      </c>
      <c r="D4282" s="30">
        <v>4072.9593635711512</v>
      </c>
    </row>
    <row r="4283" spans="2:4">
      <c r="B4283" t="s">
        <v>10731</v>
      </c>
      <c r="C4283" s="46">
        <v>1</v>
      </c>
      <c r="D4283" s="30">
        <v>3703.9473452959364</v>
      </c>
    </row>
    <row r="4284" spans="2:4">
      <c r="B4284" t="s">
        <v>10732</v>
      </c>
      <c r="C4284" s="46">
        <v>1</v>
      </c>
      <c r="D4284" s="30">
        <v>1682.8772443354471</v>
      </c>
    </row>
    <row r="4285" spans="2:4">
      <c r="B4285" t="s">
        <v>10733</v>
      </c>
      <c r="C4285" s="46">
        <v>1</v>
      </c>
      <c r="D4285" s="30">
        <v>5913.3458948061834</v>
      </c>
    </row>
    <row r="4286" spans="2:4">
      <c r="B4286" t="s">
        <v>10734</v>
      </c>
      <c r="C4286" s="46">
        <v>1</v>
      </c>
      <c r="D4286" s="30">
        <v>7055.9233079397472</v>
      </c>
    </row>
    <row r="4287" spans="2:4">
      <c r="B4287" t="s">
        <v>10735</v>
      </c>
      <c r="C4287" s="46">
        <v>1</v>
      </c>
      <c r="D4287" s="30">
        <v>5679.9860786596309</v>
      </c>
    </row>
    <row r="4288" spans="2:4">
      <c r="B4288" t="s">
        <v>10736</v>
      </c>
      <c r="C4288" s="46">
        <v>1</v>
      </c>
      <c r="D4288" s="30">
        <v>7447.3133461395792</v>
      </c>
    </row>
    <row r="4289" spans="2:4">
      <c r="B4289" t="s">
        <v>10737</v>
      </c>
      <c r="C4289" s="46">
        <v>1</v>
      </c>
      <c r="D4289" s="30">
        <v>7191.4834351503141</v>
      </c>
    </row>
    <row r="4290" spans="2:4">
      <c r="B4290" t="s">
        <v>10738</v>
      </c>
      <c r="C4290" s="46">
        <v>1</v>
      </c>
      <c r="D4290" s="30">
        <v>2352.0950404257674</v>
      </c>
    </row>
    <row r="4291" spans="2:4">
      <c r="B4291" t="s">
        <v>10739</v>
      </c>
      <c r="C4291" s="46">
        <v>1</v>
      </c>
      <c r="D4291" s="30">
        <v>7436.72858692508</v>
      </c>
    </row>
    <row r="4292" spans="2:4">
      <c r="B4292" t="s">
        <v>10740</v>
      </c>
      <c r="C4292" s="46">
        <v>1</v>
      </c>
      <c r="D4292" s="30">
        <v>7435.6546338523249</v>
      </c>
    </row>
    <row r="4293" spans="2:4">
      <c r="B4293" t="s">
        <v>10741</v>
      </c>
      <c r="C4293" s="46">
        <v>1</v>
      </c>
      <c r="D4293" s="30">
        <v>15583.991848120852</v>
      </c>
    </row>
    <row r="4294" spans="2:4">
      <c r="B4294" t="s">
        <v>10742</v>
      </c>
      <c r="C4294" s="46">
        <v>1</v>
      </c>
      <c r="D4294" s="30">
        <v>7439.4281234024493</v>
      </c>
    </row>
    <row r="4295" spans="2:4">
      <c r="B4295" t="s">
        <v>10743</v>
      </c>
      <c r="C4295" s="46">
        <v>1</v>
      </c>
      <c r="D4295" s="30">
        <v>7439.7196890840014</v>
      </c>
    </row>
    <row r="4296" spans="2:4">
      <c r="B4296" t="s">
        <v>10744</v>
      </c>
      <c r="C4296" s="46">
        <v>1</v>
      </c>
      <c r="D4296" s="30">
        <v>7415.451600170456</v>
      </c>
    </row>
    <row r="4297" spans="2:4">
      <c r="B4297" t="s">
        <v>10745</v>
      </c>
      <c r="C4297" s="46">
        <v>1</v>
      </c>
      <c r="D4297" s="30">
        <v>7191.4834351503141</v>
      </c>
    </row>
    <row r="4298" spans="2:4">
      <c r="B4298" t="s">
        <v>10746</v>
      </c>
      <c r="C4298" s="46">
        <v>1</v>
      </c>
      <c r="D4298" s="30">
        <v>7415.791073088596</v>
      </c>
    </row>
    <row r="4299" spans="2:4">
      <c r="B4299" t="s">
        <v>10747</v>
      </c>
      <c r="C4299" s="46">
        <v>1</v>
      </c>
      <c r="D4299" s="30">
        <v>7289.1766269485406</v>
      </c>
    </row>
    <row r="4300" spans="2:4">
      <c r="B4300" t="s">
        <v>10748</v>
      </c>
      <c r="C4300" s="46">
        <v>1</v>
      </c>
      <c r="D4300" s="30">
        <v>7063.4761479672025</v>
      </c>
    </row>
    <row r="4301" spans="2:4">
      <c r="B4301" t="s">
        <v>10749</v>
      </c>
      <c r="C4301" s="46">
        <v>1</v>
      </c>
      <c r="D4301" s="30">
        <v>7431.6664707086802</v>
      </c>
    </row>
    <row r="4302" spans="2:4">
      <c r="B4302" t="s">
        <v>10750</v>
      </c>
      <c r="C4302" s="46">
        <v>1</v>
      </c>
      <c r="D4302" s="30">
        <v>2985.8313408592817</v>
      </c>
    </row>
    <row r="4303" spans="2:4">
      <c r="B4303" t="s">
        <v>10751</v>
      </c>
      <c r="C4303" s="46">
        <v>1</v>
      </c>
      <c r="D4303" s="30">
        <v>7063.4761479672025</v>
      </c>
    </row>
    <row r="4304" spans="2:4">
      <c r="B4304" t="s">
        <v>10752</v>
      </c>
      <c r="C4304" s="46">
        <v>1</v>
      </c>
      <c r="D4304" s="30">
        <v>20542.332200926601</v>
      </c>
    </row>
    <row r="4305" spans="2:4">
      <c r="B4305" t="s">
        <v>10753</v>
      </c>
      <c r="C4305" s="46">
        <v>1</v>
      </c>
      <c r="D4305" s="30">
        <v>6746.4018116187171</v>
      </c>
    </row>
    <row r="4306" spans="2:4">
      <c r="B4306" t="s">
        <v>10754</v>
      </c>
      <c r="C4306" s="46">
        <v>1</v>
      </c>
      <c r="D4306" s="30">
        <v>6995.4727408012195</v>
      </c>
    </row>
    <row r="4307" spans="2:4">
      <c r="B4307" t="s">
        <v>10755</v>
      </c>
      <c r="C4307" s="46">
        <v>1</v>
      </c>
      <c r="D4307" s="30">
        <v>99996.310700452232</v>
      </c>
    </row>
    <row r="4308" spans="2:4">
      <c r="B4308" t="s">
        <v>10756</v>
      </c>
      <c r="C4308" s="46">
        <v>1</v>
      </c>
      <c r="D4308" s="30">
        <v>7317.0123067567556</v>
      </c>
    </row>
    <row r="4309" spans="2:4">
      <c r="B4309" t="s">
        <v>10757</v>
      </c>
      <c r="C4309" s="46">
        <v>1</v>
      </c>
      <c r="D4309" s="30">
        <v>2526.5990925741867</v>
      </c>
    </row>
    <row r="4310" spans="2:4">
      <c r="B4310" t="s">
        <v>10758</v>
      </c>
      <c r="C4310" s="46">
        <v>1</v>
      </c>
      <c r="D4310" s="30">
        <v>18216.477740506227</v>
      </c>
    </row>
    <row r="4311" spans="2:4">
      <c r="B4311" t="s">
        <v>10759</v>
      </c>
      <c r="C4311" s="46">
        <v>1</v>
      </c>
      <c r="D4311" s="30">
        <v>2547.2929940783442</v>
      </c>
    </row>
    <row r="4312" spans="2:4">
      <c r="B4312" t="s">
        <v>10760</v>
      </c>
      <c r="C4312" s="46">
        <v>1</v>
      </c>
      <c r="D4312" s="30">
        <v>1796.5607931109168</v>
      </c>
    </row>
    <row r="4313" spans="2:4">
      <c r="B4313" t="s">
        <v>10761</v>
      </c>
      <c r="C4313" s="46">
        <v>1</v>
      </c>
      <c r="D4313" s="30">
        <v>6694.9323658326011</v>
      </c>
    </row>
    <row r="4314" spans="2:4">
      <c r="B4314" t="s">
        <v>10762</v>
      </c>
      <c r="C4314" s="46">
        <v>1</v>
      </c>
      <c r="D4314" s="30">
        <v>7442.6339499238402</v>
      </c>
    </row>
    <row r="4315" spans="2:4">
      <c r="B4315" t="s">
        <v>10763</v>
      </c>
      <c r="C4315" s="46">
        <v>1</v>
      </c>
      <c r="D4315" s="30">
        <v>3696.786134823818</v>
      </c>
    </row>
    <row r="4316" spans="2:4">
      <c r="B4316" t="s">
        <v>10764</v>
      </c>
      <c r="C4316" s="46">
        <v>1</v>
      </c>
      <c r="D4316" s="30">
        <v>603.74633602008612</v>
      </c>
    </row>
    <row r="4317" spans="2:4">
      <c r="B4317" t="s">
        <v>10765</v>
      </c>
      <c r="C4317" s="46">
        <v>1</v>
      </c>
      <c r="D4317" s="30">
        <v>4632.810630490656</v>
      </c>
    </row>
    <row r="4318" spans="2:4">
      <c r="B4318" t="s">
        <v>10766</v>
      </c>
      <c r="C4318" s="46">
        <v>1</v>
      </c>
      <c r="D4318" s="30">
        <v>5117.2271243893374</v>
      </c>
    </row>
    <row r="4319" spans="2:4">
      <c r="B4319" t="s">
        <v>10767</v>
      </c>
      <c r="C4319" s="46">
        <v>1</v>
      </c>
      <c r="D4319" s="30">
        <v>6955.7167204052148</v>
      </c>
    </row>
    <row r="4320" spans="2:4">
      <c r="B4320" t="s">
        <v>10768</v>
      </c>
      <c r="C4320" s="46">
        <v>1</v>
      </c>
      <c r="D4320" s="30">
        <v>7222.0695388892318</v>
      </c>
    </row>
    <row r="4321" spans="2:4">
      <c r="B4321" t="s">
        <v>10769</v>
      </c>
      <c r="C4321" s="46">
        <v>1</v>
      </c>
      <c r="D4321" s="30">
        <v>3696.786134823818</v>
      </c>
    </row>
    <row r="4322" spans="2:4">
      <c r="B4322" t="s">
        <v>10770</v>
      </c>
      <c r="C4322" s="46">
        <v>1</v>
      </c>
      <c r="D4322" s="30">
        <v>28085.174469074707</v>
      </c>
    </row>
    <row r="4323" spans="2:4">
      <c r="B4323" t="s">
        <v>10771</v>
      </c>
      <c r="C4323" s="46">
        <v>1</v>
      </c>
      <c r="D4323" s="30">
        <v>28085.174469074707</v>
      </c>
    </row>
    <row r="4324" spans="2:4">
      <c r="B4324" t="s">
        <v>10772</v>
      </c>
      <c r="C4324" s="46">
        <v>1</v>
      </c>
      <c r="D4324" s="30">
        <v>416.36615426374777</v>
      </c>
    </row>
    <row r="4325" spans="2:4">
      <c r="B4325" t="s">
        <v>10773</v>
      </c>
      <c r="C4325" s="46">
        <v>1</v>
      </c>
      <c r="D4325" s="30">
        <v>1513.9820727824865</v>
      </c>
    </row>
    <row r="4326" spans="2:4">
      <c r="B4326" t="s">
        <v>10774</v>
      </c>
      <c r="C4326" s="46">
        <v>1</v>
      </c>
      <c r="D4326" s="30">
        <v>7032.0026958956532</v>
      </c>
    </row>
    <row r="4327" spans="2:4">
      <c r="B4327" t="s">
        <v>10775</v>
      </c>
      <c r="C4327" s="46">
        <v>1</v>
      </c>
      <c r="D4327" s="30">
        <v>7164.4896044939296</v>
      </c>
    </row>
    <row r="4328" spans="2:4">
      <c r="B4328" t="s">
        <v>10776</v>
      </c>
      <c r="C4328" s="46">
        <v>1</v>
      </c>
      <c r="D4328" s="30">
        <v>1786.1526313750051</v>
      </c>
    </row>
    <row r="4329" spans="2:4">
      <c r="B4329" t="s">
        <v>10777</v>
      </c>
      <c r="C4329" s="46">
        <v>1</v>
      </c>
      <c r="D4329" s="30">
        <v>3190.4957704628887</v>
      </c>
    </row>
    <row r="4330" spans="2:4">
      <c r="B4330" t="s">
        <v>10778</v>
      </c>
      <c r="C4330" s="46">
        <v>1</v>
      </c>
      <c r="D4330" s="30">
        <v>1786.1526313750051</v>
      </c>
    </row>
    <row r="4331" spans="2:4">
      <c r="B4331" t="s">
        <v>10779</v>
      </c>
      <c r="C4331" s="46">
        <v>1</v>
      </c>
      <c r="D4331" s="30">
        <v>3190.4957704628887</v>
      </c>
    </row>
    <row r="4332" spans="2:4">
      <c r="B4332" t="s">
        <v>10780</v>
      </c>
      <c r="C4332" s="46">
        <v>1</v>
      </c>
      <c r="D4332" s="30">
        <v>1786.1526313750051</v>
      </c>
    </row>
    <row r="4333" spans="2:4">
      <c r="B4333" t="s">
        <v>10781</v>
      </c>
      <c r="C4333" s="46">
        <v>1</v>
      </c>
      <c r="D4333" s="30">
        <v>3190.4957704628887</v>
      </c>
    </row>
    <row r="4334" spans="2:4">
      <c r="B4334" t="s">
        <v>10782</v>
      </c>
      <c r="C4334" s="46">
        <v>1</v>
      </c>
      <c r="D4334" s="30">
        <v>6573.0023145634796</v>
      </c>
    </row>
    <row r="4335" spans="2:4">
      <c r="B4335" t="s">
        <v>10783</v>
      </c>
      <c r="C4335" s="46">
        <v>1</v>
      </c>
      <c r="D4335" s="30">
        <v>7431.5129482208577</v>
      </c>
    </row>
    <row r="4336" spans="2:4">
      <c r="B4336" t="s">
        <v>10784</v>
      </c>
      <c r="C4336" s="46">
        <v>1</v>
      </c>
      <c r="D4336" s="30">
        <v>7335.0354377264748</v>
      </c>
    </row>
    <row r="4337" spans="2:4">
      <c r="B4337" t="s">
        <v>10785</v>
      </c>
      <c r="C4337" s="46">
        <v>1</v>
      </c>
      <c r="D4337" s="30">
        <v>99996.310700452232</v>
      </c>
    </row>
    <row r="4338" spans="2:4">
      <c r="B4338" t="s">
        <v>10786</v>
      </c>
      <c r="C4338" s="46">
        <v>1</v>
      </c>
      <c r="D4338" s="30">
        <v>5426.9258392544962</v>
      </c>
    </row>
    <row r="4339" spans="2:4">
      <c r="B4339" t="s">
        <v>10787</v>
      </c>
      <c r="C4339" s="46">
        <v>1</v>
      </c>
      <c r="D4339" s="30">
        <v>6280.2923481477874</v>
      </c>
    </row>
    <row r="4340" spans="2:4">
      <c r="B4340" t="s">
        <v>10788</v>
      </c>
      <c r="C4340" s="46">
        <v>1</v>
      </c>
      <c r="D4340" s="30">
        <v>7208.7100113541737</v>
      </c>
    </row>
    <row r="4341" spans="2:4">
      <c r="B4341" t="s">
        <v>10789</v>
      </c>
      <c r="C4341" s="46">
        <v>1</v>
      </c>
      <c r="D4341" s="30">
        <v>7376.4020675681504</v>
      </c>
    </row>
    <row r="4342" spans="2:4">
      <c r="B4342" t="s">
        <v>10790</v>
      </c>
      <c r="C4342" s="46">
        <v>1</v>
      </c>
      <c r="D4342" s="30">
        <v>6340.5702624626911</v>
      </c>
    </row>
    <row r="4343" spans="2:4">
      <c r="B4343" t="s">
        <v>10791</v>
      </c>
      <c r="C4343" s="46">
        <v>1</v>
      </c>
      <c r="D4343" s="30">
        <v>7411.1133234056379</v>
      </c>
    </row>
    <row r="4344" spans="2:4">
      <c r="B4344" t="s">
        <v>10792</v>
      </c>
      <c r="C4344" s="46">
        <v>1</v>
      </c>
      <c r="D4344" s="30">
        <v>7430.6694319110393</v>
      </c>
    </row>
    <row r="4345" spans="2:4">
      <c r="B4345" t="s">
        <v>10793</v>
      </c>
      <c r="C4345" s="46">
        <v>1</v>
      </c>
      <c r="D4345" s="30">
        <v>28085.174469074707</v>
      </c>
    </row>
    <row r="4346" spans="2:4">
      <c r="B4346" t="s">
        <v>10794</v>
      </c>
      <c r="C4346" s="46">
        <v>1</v>
      </c>
      <c r="D4346" s="30">
        <v>7429.7493764567389</v>
      </c>
    </row>
    <row r="4347" spans="2:4">
      <c r="B4347" t="s">
        <v>10795</v>
      </c>
      <c r="C4347" s="46">
        <v>1</v>
      </c>
      <c r="D4347" s="30">
        <v>7390.8659236748699</v>
      </c>
    </row>
    <row r="4348" spans="2:4">
      <c r="B4348" t="s">
        <v>10796</v>
      </c>
      <c r="C4348" s="46">
        <v>1</v>
      </c>
      <c r="D4348" s="30">
        <v>9890.9605817524862</v>
      </c>
    </row>
    <row r="4349" spans="2:4">
      <c r="B4349" t="s">
        <v>10797</v>
      </c>
      <c r="C4349" s="46">
        <v>1</v>
      </c>
      <c r="D4349" s="30">
        <v>6414.3929757159567</v>
      </c>
    </row>
    <row r="4350" spans="2:4">
      <c r="B4350" t="s">
        <v>10798</v>
      </c>
      <c r="C4350" s="46">
        <v>1</v>
      </c>
      <c r="D4350" s="30">
        <v>6201.2897587939606</v>
      </c>
    </row>
    <row r="4351" spans="2:4">
      <c r="B4351" t="s">
        <v>10799</v>
      </c>
      <c r="C4351" s="46">
        <v>1</v>
      </c>
      <c r="D4351" s="30">
        <v>7063.4761479672025</v>
      </c>
    </row>
    <row r="4352" spans="2:4">
      <c r="B4352" t="s">
        <v>10800</v>
      </c>
      <c r="C4352" s="46">
        <v>1</v>
      </c>
      <c r="D4352" s="30">
        <v>7181.5152121858318</v>
      </c>
    </row>
    <row r="4353" spans="2:4">
      <c r="B4353" t="s">
        <v>10801</v>
      </c>
      <c r="C4353" s="46">
        <v>1</v>
      </c>
      <c r="D4353" s="30">
        <v>6491.2149468932184</v>
      </c>
    </row>
    <row r="4354" spans="2:4">
      <c r="B4354" t="s">
        <v>10802</v>
      </c>
      <c r="C4354" s="46">
        <v>1</v>
      </c>
      <c r="D4354" s="30">
        <v>7390.8659236748699</v>
      </c>
    </row>
    <row r="4355" spans="2:4">
      <c r="B4355" t="s">
        <v>10803</v>
      </c>
      <c r="C4355" s="46">
        <v>1</v>
      </c>
      <c r="D4355" s="30">
        <v>6885.6099868303227</v>
      </c>
    </row>
    <row r="4356" spans="2:4">
      <c r="B4356" t="s">
        <v>10804</v>
      </c>
      <c r="C4356" s="46">
        <v>1</v>
      </c>
      <c r="D4356" s="30">
        <v>7380.8960056725864</v>
      </c>
    </row>
    <row r="4357" spans="2:4">
      <c r="B4357" t="s">
        <v>10805</v>
      </c>
      <c r="C4357" s="46">
        <v>1</v>
      </c>
      <c r="D4357" s="30">
        <v>6570.2138183868701</v>
      </c>
    </row>
    <row r="4358" spans="2:4">
      <c r="B4358" t="s">
        <v>10806</v>
      </c>
      <c r="C4358" s="46">
        <v>1</v>
      </c>
      <c r="D4358" s="30">
        <v>6436.0148314446233</v>
      </c>
    </row>
    <row r="4359" spans="2:4">
      <c r="B4359" t="s">
        <v>10807</v>
      </c>
      <c r="C4359" s="46">
        <v>1</v>
      </c>
      <c r="D4359" s="30">
        <v>6885.6099868303227</v>
      </c>
    </row>
    <row r="4360" spans="2:4">
      <c r="B4360" t="s">
        <v>10808</v>
      </c>
      <c r="C4360" s="46">
        <v>1</v>
      </c>
      <c r="D4360" s="30">
        <v>7297.6031281191626</v>
      </c>
    </row>
    <row r="4361" spans="2:4">
      <c r="B4361" t="s">
        <v>10809</v>
      </c>
      <c r="C4361" s="46">
        <v>1</v>
      </c>
      <c r="D4361" s="30">
        <v>7062.9002545807462</v>
      </c>
    </row>
    <row r="4362" spans="2:4">
      <c r="B4362" t="s">
        <v>10810</v>
      </c>
      <c r="C4362" s="46">
        <v>1</v>
      </c>
      <c r="D4362" s="30">
        <v>9890.9605817524862</v>
      </c>
    </row>
    <row r="4363" spans="2:4">
      <c r="B4363" t="s">
        <v>10811</v>
      </c>
      <c r="C4363" s="46">
        <v>1</v>
      </c>
      <c r="D4363" s="30">
        <v>7062.9002545807462</v>
      </c>
    </row>
    <row r="4364" spans="2:4">
      <c r="B4364" t="s">
        <v>10812</v>
      </c>
      <c r="C4364" s="46">
        <v>1</v>
      </c>
      <c r="D4364" s="30">
        <v>6988.2183892556868</v>
      </c>
    </row>
    <row r="4365" spans="2:4">
      <c r="B4365" t="s">
        <v>10813</v>
      </c>
      <c r="C4365" s="46">
        <v>1</v>
      </c>
      <c r="D4365" s="30">
        <v>99996.310700452232</v>
      </c>
    </row>
    <row r="4366" spans="2:4">
      <c r="B4366" t="s">
        <v>10814</v>
      </c>
      <c r="C4366" s="46">
        <v>1</v>
      </c>
      <c r="D4366" s="30">
        <v>7354.3279073744416</v>
      </c>
    </row>
    <row r="4367" spans="2:4">
      <c r="B4367" t="s">
        <v>10815</v>
      </c>
      <c r="C4367" s="46">
        <v>1</v>
      </c>
      <c r="D4367" s="30">
        <v>7354.3279073744416</v>
      </c>
    </row>
    <row r="4368" spans="2:4">
      <c r="B4368" t="s">
        <v>10816</v>
      </c>
      <c r="C4368" s="46">
        <v>1</v>
      </c>
      <c r="D4368" s="30">
        <v>7435.5011937090167</v>
      </c>
    </row>
    <row r="4369" spans="2:4">
      <c r="B4369" t="s">
        <v>10817</v>
      </c>
      <c r="C4369" s="46">
        <v>1</v>
      </c>
      <c r="D4369" s="30">
        <v>6981.0094887028808</v>
      </c>
    </row>
    <row r="4370" spans="2:4">
      <c r="B4370" t="s">
        <v>10818</v>
      </c>
      <c r="C4370" s="46">
        <v>1</v>
      </c>
      <c r="D4370" s="30">
        <v>6855.6103761913382</v>
      </c>
    </row>
    <row r="4371" spans="2:4">
      <c r="B4371" t="s">
        <v>10819</v>
      </c>
      <c r="C4371" s="46">
        <v>1</v>
      </c>
      <c r="D4371" s="30">
        <v>7184.1783142710501</v>
      </c>
    </row>
    <row r="4372" spans="2:4">
      <c r="B4372" t="s">
        <v>10820</v>
      </c>
      <c r="C4372" s="46">
        <v>1</v>
      </c>
      <c r="D4372" s="30">
        <v>2855.7134347945689</v>
      </c>
    </row>
    <row r="4373" spans="2:4">
      <c r="B4373" t="s">
        <v>10821</v>
      </c>
      <c r="C4373" s="46">
        <v>1</v>
      </c>
      <c r="D4373" s="30">
        <v>5154.2443064380359</v>
      </c>
    </row>
    <row r="4374" spans="2:4">
      <c r="B4374" t="s">
        <v>10822</v>
      </c>
      <c r="C4374" s="46">
        <v>1</v>
      </c>
      <c r="D4374" s="30">
        <v>5417.6267558137615</v>
      </c>
    </row>
    <row r="4375" spans="2:4">
      <c r="B4375" t="s">
        <v>10823</v>
      </c>
      <c r="C4375" s="46">
        <v>1</v>
      </c>
      <c r="D4375" s="30">
        <v>4400.3796934120146</v>
      </c>
    </row>
    <row r="4376" spans="2:4">
      <c r="B4376" t="s">
        <v>10824</v>
      </c>
      <c r="C4376" s="46">
        <v>1</v>
      </c>
      <c r="D4376" s="30">
        <v>7359.8817310147497</v>
      </c>
    </row>
    <row r="4377" spans="2:4">
      <c r="B4377" t="s">
        <v>10825</v>
      </c>
      <c r="C4377" s="46">
        <v>1</v>
      </c>
      <c r="D4377" s="30">
        <v>6561.7276321354493</v>
      </c>
    </row>
    <row r="4378" spans="2:4">
      <c r="B4378" t="s">
        <v>10826</v>
      </c>
      <c r="C4378" s="46">
        <v>1</v>
      </c>
      <c r="D4378" s="30">
        <v>28085.174469074707</v>
      </c>
    </row>
    <row r="4379" spans="2:4">
      <c r="B4379" t="s">
        <v>10827</v>
      </c>
      <c r="C4379" s="46">
        <v>1</v>
      </c>
      <c r="D4379" s="30">
        <v>7392.8599170263842</v>
      </c>
    </row>
    <row r="4380" spans="2:4">
      <c r="B4380" t="s">
        <v>10828</v>
      </c>
      <c r="C4380" s="46">
        <v>1</v>
      </c>
      <c r="D4380" s="30">
        <v>6682.713856418658</v>
      </c>
    </row>
    <row r="4381" spans="2:4">
      <c r="B4381" t="s">
        <v>10829</v>
      </c>
      <c r="C4381" s="46">
        <v>1</v>
      </c>
      <c r="D4381" s="30">
        <v>7151.6474832602198</v>
      </c>
    </row>
    <row r="4382" spans="2:4">
      <c r="B4382" t="s">
        <v>10830</v>
      </c>
      <c r="C4382" s="46">
        <v>1</v>
      </c>
      <c r="D4382" s="30">
        <v>4448.071847784694</v>
      </c>
    </row>
    <row r="4383" spans="2:4">
      <c r="B4383" t="s">
        <v>10831</v>
      </c>
      <c r="C4383" s="46">
        <v>1</v>
      </c>
      <c r="D4383" s="30">
        <v>7245.3133525086096</v>
      </c>
    </row>
    <row r="4384" spans="2:4">
      <c r="B4384" t="s">
        <v>10832</v>
      </c>
      <c r="C4384" s="46">
        <v>1</v>
      </c>
      <c r="D4384" s="30">
        <v>7117.7206962393138</v>
      </c>
    </row>
    <row r="4385" spans="2:4">
      <c r="B4385" t="s">
        <v>10833</v>
      </c>
      <c r="C4385" s="46">
        <v>1</v>
      </c>
      <c r="D4385" s="30">
        <v>7449.4601521792838</v>
      </c>
    </row>
    <row r="4386" spans="2:4">
      <c r="B4386" t="s">
        <v>10834</v>
      </c>
      <c r="C4386" s="46">
        <v>1</v>
      </c>
      <c r="D4386" s="30">
        <v>4658.0200966466964</v>
      </c>
    </row>
    <row r="4387" spans="2:4">
      <c r="B4387" t="s">
        <v>10835</v>
      </c>
      <c r="C4387" s="46">
        <v>1</v>
      </c>
      <c r="D4387" s="30">
        <v>7016.0039996053156</v>
      </c>
    </row>
    <row r="4388" spans="2:4">
      <c r="B4388" t="s">
        <v>10836</v>
      </c>
      <c r="C4388" s="46">
        <v>1</v>
      </c>
      <c r="D4388" s="30">
        <v>3688.0366717509864</v>
      </c>
    </row>
    <row r="4389" spans="2:4">
      <c r="B4389" t="s">
        <v>10837</v>
      </c>
      <c r="C4389" s="46">
        <v>1</v>
      </c>
      <c r="D4389" s="30">
        <v>20542.332200926601</v>
      </c>
    </row>
    <row r="4390" spans="2:4">
      <c r="B4390" t="s">
        <v>10838</v>
      </c>
      <c r="C4390" s="46">
        <v>1</v>
      </c>
      <c r="D4390" s="30">
        <v>99996.310700452232</v>
      </c>
    </row>
    <row r="4391" spans="2:4">
      <c r="B4391" t="s">
        <v>10839</v>
      </c>
      <c r="C4391" s="46">
        <v>1</v>
      </c>
      <c r="D4391" s="30">
        <v>7092.3448633579992</v>
      </c>
    </row>
    <row r="4392" spans="2:4">
      <c r="B4392" t="s">
        <v>10840</v>
      </c>
      <c r="C4392" s="46">
        <v>1</v>
      </c>
      <c r="D4392" s="30">
        <v>7118.4547995923504</v>
      </c>
    </row>
    <row r="4393" spans="2:4">
      <c r="B4393" t="s">
        <v>10841</v>
      </c>
      <c r="C4393" s="46">
        <v>1</v>
      </c>
      <c r="D4393" s="30">
        <v>7175.4546109361554</v>
      </c>
    </row>
    <row r="4394" spans="2:4">
      <c r="B4394" t="s">
        <v>10842</v>
      </c>
      <c r="C4394" s="46">
        <v>1</v>
      </c>
      <c r="D4394" s="30">
        <v>1561.3480952390394</v>
      </c>
    </row>
    <row r="4395" spans="2:4">
      <c r="B4395" t="s">
        <v>10843</v>
      </c>
      <c r="C4395" s="46">
        <v>1</v>
      </c>
      <c r="D4395" s="30">
        <v>6682.713856418658</v>
      </c>
    </row>
    <row r="4396" spans="2:4">
      <c r="B4396" t="s">
        <v>10844</v>
      </c>
      <c r="C4396" s="46">
        <v>1</v>
      </c>
      <c r="D4396" s="30">
        <v>7016.0039996053156</v>
      </c>
    </row>
    <row r="4397" spans="2:4">
      <c r="B4397" t="s">
        <v>10845</v>
      </c>
      <c r="C4397" s="46">
        <v>1</v>
      </c>
      <c r="D4397" s="30">
        <v>8786.6168801320528</v>
      </c>
    </row>
    <row r="4398" spans="2:4">
      <c r="B4398" t="s">
        <v>10846</v>
      </c>
      <c r="C4398" s="46">
        <v>1</v>
      </c>
      <c r="D4398" s="30">
        <v>7372.9201299353335</v>
      </c>
    </row>
    <row r="4399" spans="2:4">
      <c r="B4399" t="s">
        <v>10847</v>
      </c>
      <c r="C4399" s="46">
        <v>1</v>
      </c>
      <c r="D4399" s="30">
        <v>7413.6949080810091</v>
      </c>
    </row>
    <row r="4400" spans="2:4">
      <c r="B4400" t="s">
        <v>10848</v>
      </c>
      <c r="C4400" s="46">
        <v>1</v>
      </c>
      <c r="D4400" s="30">
        <v>7426.713828969725</v>
      </c>
    </row>
    <row r="4401" spans="2:4">
      <c r="B4401" t="s">
        <v>10849</v>
      </c>
      <c r="C4401" s="46">
        <v>1</v>
      </c>
      <c r="D4401" s="30">
        <v>5133.2618915534467</v>
      </c>
    </row>
    <row r="4402" spans="2:4">
      <c r="B4402" t="s">
        <v>10850</v>
      </c>
      <c r="C4402" s="46">
        <v>1</v>
      </c>
      <c r="D4402" s="30">
        <v>6280.2923481477874</v>
      </c>
    </row>
    <row r="4403" spans="2:4">
      <c r="B4403" t="s">
        <v>10851</v>
      </c>
      <c r="C4403" s="46">
        <v>1</v>
      </c>
      <c r="D4403" s="30">
        <v>6280.2923481477874</v>
      </c>
    </row>
    <row r="4404" spans="2:4">
      <c r="B4404" t="s">
        <v>10852</v>
      </c>
      <c r="C4404" s="46">
        <v>1</v>
      </c>
      <c r="D4404" s="30">
        <v>6280.2923481477874</v>
      </c>
    </row>
    <row r="4405" spans="2:4">
      <c r="B4405" t="s">
        <v>10853</v>
      </c>
      <c r="C4405" s="46">
        <v>1</v>
      </c>
      <c r="D4405" s="30">
        <v>6280.2923481477874</v>
      </c>
    </row>
    <row r="4406" spans="2:4">
      <c r="B4406" t="s">
        <v>10854</v>
      </c>
      <c r="C4406" s="46">
        <v>1</v>
      </c>
      <c r="D4406" s="30">
        <v>6280.2923481477874</v>
      </c>
    </row>
    <row r="4407" spans="2:4">
      <c r="B4407" t="s">
        <v>10855</v>
      </c>
      <c r="C4407" s="46">
        <v>1</v>
      </c>
      <c r="D4407" s="30">
        <v>7378.515813821451</v>
      </c>
    </row>
    <row r="4408" spans="2:4">
      <c r="B4408" t="s">
        <v>10856</v>
      </c>
      <c r="C4408" s="46">
        <v>1</v>
      </c>
      <c r="D4408" s="30">
        <v>3238.7544032553287</v>
      </c>
    </row>
    <row r="4409" spans="2:4">
      <c r="B4409" t="s">
        <v>10857</v>
      </c>
      <c r="C4409" s="46">
        <v>1</v>
      </c>
      <c r="D4409" s="30">
        <v>1205.1446616030169</v>
      </c>
    </row>
    <row r="4410" spans="2:4">
      <c r="B4410" t="s">
        <v>10858</v>
      </c>
      <c r="C4410" s="46">
        <v>1</v>
      </c>
      <c r="D4410" s="30">
        <v>28085.174469074707</v>
      </c>
    </row>
    <row r="4411" spans="2:4">
      <c r="B4411" t="s">
        <v>10859</v>
      </c>
      <c r="C4411" s="46">
        <v>1</v>
      </c>
      <c r="D4411" s="30">
        <v>9890.9605817524862</v>
      </c>
    </row>
    <row r="4412" spans="2:4">
      <c r="B4412" t="s">
        <v>10860</v>
      </c>
      <c r="C4412" s="46">
        <v>1</v>
      </c>
      <c r="D4412" s="30">
        <v>5169.853044710504</v>
      </c>
    </row>
    <row r="4413" spans="2:4">
      <c r="B4413" t="s">
        <v>10861</v>
      </c>
      <c r="C4413" s="46">
        <v>1</v>
      </c>
      <c r="D4413" s="30">
        <v>6076.5642492025845</v>
      </c>
    </row>
    <row r="4414" spans="2:4">
      <c r="B4414" t="s">
        <v>10862</v>
      </c>
      <c r="C4414" s="46">
        <v>1</v>
      </c>
      <c r="D4414" s="30">
        <v>7422.3098844959241</v>
      </c>
    </row>
    <row r="4415" spans="2:4">
      <c r="B4415" t="s">
        <v>10863</v>
      </c>
      <c r="C4415" s="46">
        <v>1</v>
      </c>
      <c r="D4415" s="30">
        <v>3238.7544032553287</v>
      </c>
    </row>
    <row r="4416" spans="2:4">
      <c r="B4416" t="s">
        <v>10864</v>
      </c>
      <c r="C4416" s="46">
        <v>1</v>
      </c>
      <c r="D4416" s="30">
        <v>6682.713856418658</v>
      </c>
    </row>
    <row r="4417" spans="2:4">
      <c r="B4417" t="s">
        <v>10865</v>
      </c>
      <c r="C4417" s="46">
        <v>1</v>
      </c>
      <c r="D4417" s="30">
        <v>7395.4655802476336</v>
      </c>
    </row>
    <row r="4418" spans="2:4">
      <c r="B4418" t="s">
        <v>10866</v>
      </c>
      <c r="C4418" s="46">
        <v>1</v>
      </c>
      <c r="D4418" s="30">
        <v>7344.2323605998054</v>
      </c>
    </row>
    <row r="4419" spans="2:4">
      <c r="B4419" t="s">
        <v>10867</v>
      </c>
      <c r="C4419" s="46">
        <v>1</v>
      </c>
      <c r="D4419" s="30">
        <v>481.66528720460849</v>
      </c>
    </row>
    <row r="4420" spans="2:4">
      <c r="B4420" t="s">
        <v>10868</v>
      </c>
      <c r="C4420" s="46">
        <v>1</v>
      </c>
      <c r="D4420" s="30">
        <v>6584.8788203196136</v>
      </c>
    </row>
    <row r="4421" spans="2:4">
      <c r="B4421" t="s">
        <v>10869</v>
      </c>
      <c r="C4421" s="46">
        <v>1</v>
      </c>
      <c r="D4421" s="30">
        <v>8786.6168801320528</v>
      </c>
    </row>
    <row r="4422" spans="2:4">
      <c r="B4422" t="s">
        <v>10870</v>
      </c>
      <c r="C4422" s="46">
        <v>1</v>
      </c>
      <c r="D4422" s="30">
        <v>6627.6765939588422</v>
      </c>
    </row>
    <row r="4423" spans="2:4">
      <c r="B4423" t="s">
        <v>10871</v>
      </c>
      <c r="C4423" s="46">
        <v>1</v>
      </c>
      <c r="D4423" s="30">
        <v>1513.9820727824865</v>
      </c>
    </row>
    <row r="4424" spans="2:4">
      <c r="B4424" t="s">
        <v>10872</v>
      </c>
      <c r="C4424" s="46">
        <v>1</v>
      </c>
      <c r="D4424" s="30">
        <v>4813.9246847971935</v>
      </c>
    </row>
    <row r="4425" spans="2:4">
      <c r="B4425" t="s">
        <v>10873</v>
      </c>
      <c r="C4425" s="46">
        <v>1</v>
      </c>
      <c r="D4425" s="30">
        <v>28085.174469074707</v>
      </c>
    </row>
    <row r="4426" spans="2:4">
      <c r="B4426" t="s">
        <v>10874</v>
      </c>
      <c r="C4426" s="46">
        <v>1</v>
      </c>
      <c r="D4426" s="30">
        <v>881.17349405527068</v>
      </c>
    </row>
    <row r="4427" spans="2:4">
      <c r="B4427" t="s">
        <v>10875</v>
      </c>
      <c r="C4427" s="46">
        <v>1</v>
      </c>
      <c r="D4427" s="30">
        <v>99996.310700452232</v>
      </c>
    </row>
    <row r="4428" spans="2:4">
      <c r="B4428" t="s">
        <v>10876</v>
      </c>
      <c r="C4428" s="46">
        <v>1</v>
      </c>
      <c r="D4428" s="30">
        <v>7117.7206962393138</v>
      </c>
    </row>
    <row r="4429" spans="2:4">
      <c r="B4429" t="s">
        <v>10877</v>
      </c>
      <c r="C4429" s="46">
        <v>1</v>
      </c>
      <c r="D4429" s="30">
        <v>7054.9266050051074</v>
      </c>
    </row>
    <row r="4430" spans="2:4">
      <c r="B4430" t="s">
        <v>10878</v>
      </c>
      <c r="C4430" s="46">
        <v>1</v>
      </c>
      <c r="D4430" s="30">
        <v>7348.9149888824641</v>
      </c>
    </row>
    <row r="4431" spans="2:4">
      <c r="B4431" t="s">
        <v>10879</v>
      </c>
      <c r="C4431" s="46">
        <v>1</v>
      </c>
      <c r="D4431" s="30">
        <v>7392.2238100774384</v>
      </c>
    </row>
    <row r="4432" spans="2:4">
      <c r="B4432" t="s">
        <v>10880</v>
      </c>
      <c r="C4432" s="46">
        <v>1</v>
      </c>
      <c r="D4432" s="30">
        <v>7221.4923493605966</v>
      </c>
    </row>
    <row r="4433" spans="2:4">
      <c r="B4433" t="s">
        <v>10881</v>
      </c>
      <c r="C4433" s="46">
        <v>1</v>
      </c>
      <c r="D4433" s="30">
        <v>7304.8928369091536</v>
      </c>
    </row>
    <row r="4434" spans="2:4">
      <c r="B4434" t="s">
        <v>10882</v>
      </c>
      <c r="C4434" s="46">
        <v>1</v>
      </c>
      <c r="D4434" s="30">
        <v>5936.054161170814</v>
      </c>
    </row>
    <row r="4435" spans="2:4">
      <c r="B4435" t="s">
        <v>10883</v>
      </c>
      <c r="C4435" s="46">
        <v>1</v>
      </c>
      <c r="D4435" s="30">
        <v>1796.5607931109168</v>
      </c>
    </row>
    <row r="4436" spans="2:4">
      <c r="B4436" t="s">
        <v>10884</v>
      </c>
      <c r="C4436" s="46">
        <v>1</v>
      </c>
      <c r="D4436" s="30">
        <v>7449.6900812939193</v>
      </c>
    </row>
    <row r="4437" spans="2:4">
      <c r="B4437" t="s">
        <v>10885</v>
      </c>
      <c r="C4437" s="46">
        <v>1</v>
      </c>
      <c r="D4437" s="30">
        <v>3688.0366717509864</v>
      </c>
    </row>
    <row r="4438" spans="2:4">
      <c r="B4438" t="s">
        <v>10886</v>
      </c>
      <c r="C4438" s="46">
        <v>1</v>
      </c>
      <c r="D4438" s="30">
        <v>6682.713856418658</v>
      </c>
    </row>
    <row r="4439" spans="2:4">
      <c r="B4439" t="s">
        <v>10887</v>
      </c>
      <c r="C4439" s="46">
        <v>1</v>
      </c>
      <c r="D4439" s="30">
        <v>7357.732708600277</v>
      </c>
    </row>
    <row r="4440" spans="2:4">
      <c r="B4440" t="s">
        <v>10888</v>
      </c>
      <c r="C4440" s="46">
        <v>1</v>
      </c>
      <c r="D4440" s="30">
        <v>9890.9605817524862</v>
      </c>
    </row>
    <row r="4441" spans="2:4">
      <c r="B4441" t="s">
        <v>10889</v>
      </c>
      <c r="C4441" s="46">
        <v>1</v>
      </c>
      <c r="D4441" s="30">
        <v>28085.174469074707</v>
      </c>
    </row>
    <row r="4442" spans="2:4">
      <c r="B4442" t="s">
        <v>10890</v>
      </c>
      <c r="C4442" s="46">
        <v>1</v>
      </c>
      <c r="D4442" s="30">
        <v>7357.732708600277</v>
      </c>
    </row>
    <row r="4443" spans="2:4">
      <c r="B4443" t="s">
        <v>10891</v>
      </c>
      <c r="C4443" s="46">
        <v>1</v>
      </c>
      <c r="D4443" s="30">
        <v>7308.0398307318665</v>
      </c>
    </row>
    <row r="4444" spans="2:4">
      <c r="B4444" t="s">
        <v>10892</v>
      </c>
      <c r="C4444" s="46">
        <v>1</v>
      </c>
      <c r="D4444" s="30">
        <v>6424.5675211588778</v>
      </c>
    </row>
    <row r="4445" spans="2:4">
      <c r="B4445" t="s">
        <v>10893</v>
      </c>
      <c r="C4445" s="46">
        <v>1</v>
      </c>
      <c r="D4445" s="30">
        <v>6322.4217053882539</v>
      </c>
    </row>
    <row r="4446" spans="2:4">
      <c r="B4446" t="s">
        <v>10894</v>
      </c>
      <c r="C4446" s="46">
        <v>1</v>
      </c>
      <c r="D4446" s="30">
        <v>7407.8149703912441</v>
      </c>
    </row>
    <row r="4447" spans="2:4">
      <c r="B4447" t="s">
        <v>10895</v>
      </c>
      <c r="C4447" s="46">
        <v>1</v>
      </c>
      <c r="D4447" s="30">
        <v>6340.5702624626911</v>
      </c>
    </row>
    <row r="4448" spans="2:4">
      <c r="B4448" t="s">
        <v>10896</v>
      </c>
      <c r="C4448" s="46">
        <v>1</v>
      </c>
      <c r="D4448" s="30">
        <v>6424.5675211588778</v>
      </c>
    </row>
    <row r="4449" spans="2:4">
      <c r="B4449" t="s">
        <v>10897</v>
      </c>
      <c r="C4449" s="46">
        <v>1</v>
      </c>
      <c r="D4449" s="30">
        <v>7357.732708600277</v>
      </c>
    </row>
    <row r="4450" spans="2:4">
      <c r="B4450" t="s">
        <v>10898</v>
      </c>
      <c r="C4450" s="46">
        <v>1</v>
      </c>
      <c r="D4450" s="30">
        <v>5966.2956630163972</v>
      </c>
    </row>
    <row r="4451" spans="2:4">
      <c r="B4451" t="s">
        <v>10899</v>
      </c>
      <c r="C4451" s="46">
        <v>1</v>
      </c>
      <c r="D4451" s="30">
        <v>6155.4142527476279</v>
      </c>
    </row>
    <row r="4452" spans="2:4">
      <c r="B4452" t="s">
        <v>10900</v>
      </c>
      <c r="C4452" s="46">
        <v>1</v>
      </c>
      <c r="D4452" s="30">
        <v>7277.2137520228907</v>
      </c>
    </row>
    <row r="4453" spans="2:4">
      <c r="B4453" t="s">
        <v>10901</v>
      </c>
      <c r="C4453" s="46">
        <v>1</v>
      </c>
      <c r="D4453" s="30">
        <v>9890.9605817524862</v>
      </c>
    </row>
    <row r="4454" spans="2:4">
      <c r="B4454" t="s">
        <v>10902</v>
      </c>
      <c r="C4454" s="46">
        <v>1</v>
      </c>
      <c r="D4454" s="30">
        <v>6746.4018116187171</v>
      </c>
    </row>
    <row r="4455" spans="2:4">
      <c r="B4455" t="s">
        <v>10903</v>
      </c>
      <c r="C4455" s="46">
        <v>1</v>
      </c>
      <c r="D4455" s="30">
        <v>5292.5357558192882</v>
      </c>
    </row>
    <row r="4456" spans="2:4">
      <c r="B4456" t="s">
        <v>10904</v>
      </c>
      <c r="C4456" s="46">
        <v>1</v>
      </c>
      <c r="D4456" s="30">
        <v>6682.713856418658</v>
      </c>
    </row>
    <row r="4457" spans="2:4">
      <c r="B4457" t="s">
        <v>10905</v>
      </c>
      <c r="C4457" s="46">
        <v>1</v>
      </c>
      <c r="D4457" s="30">
        <v>5239.8176947433894</v>
      </c>
    </row>
    <row r="4458" spans="2:4">
      <c r="B4458" t="s">
        <v>10906</v>
      </c>
      <c r="C4458" s="46">
        <v>1</v>
      </c>
      <c r="D4458" s="30">
        <v>7050.8138253313773</v>
      </c>
    </row>
    <row r="4459" spans="2:4">
      <c r="B4459" t="s">
        <v>10907</v>
      </c>
      <c r="C4459" s="46">
        <v>1</v>
      </c>
      <c r="D4459" s="30">
        <v>5679.9860786596309</v>
      </c>
    </row>
    <row r="4460" spans="2:4">
      <c r="B4460" t="s">
        <v>10908</v>
      </c>
      <c r="C4460" s="46">
        <v>1</v>
      </c>
      <c r="D4460" s="30">
        <v>2901.267174539315</v>
      </c>
    </row>
    <row r="4461" spans="2:4">
      <c r="B4461" t="s">
        <v>10909</v>
      </c>
      <c r="C4461" s="46">
        <v>1</v>
      </c>
      <c r="D4461" s="30">
        <v>6216.0711517336704</v>
      </c>
    </row>
    <row r="4462" spans="2:4">
      <c r="B4462" t="s">
        <v>10910</v>
      </c>
      <c r="C4462" s="46">
        <v>1</v>
      </c>
      <c r="D4462" s="30">
        <v>6889.9976068491933</v>
      </c>
    </row>
    <row r="4463" spans="2:4">
      <c r="B4463" t="s">
        <v>10911</v>
      </c>
      <c r="C4463" s="46">
        <v>1</v>
      </c>
      <c r="D4463" s="30">
        <v>6682.713856418658</v>
      </c>
    </row>
    <row r="4464" spans="2:4">
      <c r="B4464" t="s">
        <v>10912</v>
      </c>
      <c r="C4464" s="46">
        <v>1</v>
      </c>
      <c r="D4464" s="30">
        <v>5477.883525229925</v>
      </c>
    </row>
    <row r="4465" spans="2:4">
      <c r="B4465" t="s">
        <v>10913</v>
      </c>
      <c r="C4465" s="46">
        <v>1</v>
      </c>
      <c r="D4465" s="30">
        <v>1072.8304240982636</v>
      </c>
    </row>
    <row r="4466" spans="2:4">
      <c r="B4466" t="s">
        <v>10914</v>
      </c>
      <c r="C4466" s="46">
        <v>1</v>
      </c>
      <c r="D4466" s="30">
        <v>6049.5338513475899</v>
      </c>
    </row>
    <row r="4467" spans="2:4">
      <c r="B4467" t="s">
        <v>10915</v>
      </c>
      <c r="C4467" s="46">
        <v>1</v>
      </c>
      <c r="D4467" s="30">
        <v>4466.5137842478789</v>
      </c>
    </row>
    <row r="4468" spans="2:4">
      <c r="B4468" t="s">
        <v>10916</v>
      </c>
      <c r="C4468" s="46">
        <v>1</v>
      </c>
      <c r="D4468" s="30">
        <v>3939.3323432957286</v>
      </c>
    </row>
    <row r="4469" spans="2:4">
      <c r="B4469" t="s">
        <v>10917</v>
      </c>
      <c r="C4469" s="46">
        <v>1</v>
      </c>
      <c r="D4469" s="30">
        <v>10085.228719223531</v>
      </c>
    </row>
    <row r="4470" spans="2:4">
      <c r="B4470" t="s">
        <v>10918</v>
      </c>
      <c r="C4470" s="46">
        <v>1</v>
      </c>
      <c r="D4470" s="30">
        <v>15583.991848120852</v>
      </c>
    </row>
    <row r="4471" spans="2:4">
      <c r="B4471" t="s">
        <v>10919</v>
      </c>
      <c r="C4471" s="46">
        <v>1</v>
      </c>
      <c r="D4471" s="30">
        <v>2360.4363598033128</v>
      </c>
    </row>
    <row r="4472" spans="2:4">
      <c r="B4472" t="s">
        <v>10920</v>
      </c>
      <c r="C4472" s="46">
        <v>1</v>
      </c>
      <c r="D4472" s="30">
        <v>7394.7765677991692</v>
      </c>
    </row>
    <row r="4473" spans="2:4">
      <c r="B4473" t="s">
        <v>10921</v>
      </c>
      <c r="C4473" s="46">
        <v>1</v>
      </c>
      <c r="D4473" s="30">
        <v>6626.3906102895353</v>
      </c>
    </row>
    <row r="4474" spans="2:4">
      <c r="B4474" t="s">
        <v>10922</v>
      </c>
      <c r="C4474" s="46">
        <v>1</v>
      </c>
      <c r="D4474" s="30">
        <v>7324.0690392704437</v>
      </c>
    </row>
    <row r="4475" spans="2:4">
      <c r="B4475" t="s">
        <v>10923</v>
      </c>
      <c r="C4475" s="46">
        <v>1</v>
      </c>
      <c r="D4475" s="30">
        <v>7449.6900812939193</v>
      </c>
    </row>
    <row r="4476" spans="2:4">
      <c r="B4476" t="s">
        <v>10924</v>
      </c>
      <c r="C4476" s="46">
        <v>1</v>
      </c>
      <c r="D4476" s="30">
        <v>99996.310700452232</v>
      </c>
    </row>
    <row r="4477" spans="2:4">
      <c r="B4477" t="s">
        <v>10925</v>
      </c>
      <c r="C4477" s="46">
        <v>1</v>
      </c>
      <c r="D4477" s="30">
        <v>5154.2443064380359</v>
      </c>
    </row>
    <row r="4478" spans="2:4">
      <c r="B4478" t="s">
        <v>10926</v>
      </c>
      <c r="C4478" s="46">
        <v>1</v>
      </c>
      <c r="D4478" s="30">
        <v>42559.368450941991</v>
      </c>
    </row>
    <row r="4479" spans="2:4">
      <c r="B4479" t="s">
        <v>10927</v>
      </c>
      <c r="C4479" s="46">
        <v>1</v>
      </c>
      <c r="D4479" s="30">
        <v>7039.9759657033401</v>
      </c>
    </row>
    <row r="4480" spans="2:4">
      <c r="B4480" t="s">
        <v>10928</v>
      </c>
      <c r="C4480" s="46">
        <v>1</v>
      </c>
      <c r="D4480" s="30">
        <v>28085.174469074707</v>
      </c>
    </row>
    <row r="4481" spans="2:4">
      <c r="B4481" t="s">
        <v>10929</v>
      </c>
      <c r="C4481" s="46">
        <v>1</v>
      </c>
      <c r="D4481" s="30">
        <v>4006.5346365973332</v>
      </c>
    </row>
    <row r="4482" spans="2:4">
      <c r="B4482" t="s">
        <v>10930</v>
      </c>
      <c r="C4482" s="46">
        <v>1</v>
      </c>
      <c r="D4482" s="30">
        <v>5564.6716745601261</v>
      </c>
    </row>
    <row r="4483" spans="2:4">
      <c r="B4483" t="s">
        <v>10931</v>
      </c>
      <c r="C4483" s="46">
        <v>1</v>
      </c>
      <c r="D4483" s="30">
        <v>7274.2230524005536</v>
      </c>
    </row>
    <row r="4484" spans="2:4">
      <c r="B4484" t="s">
        <v>10932</v>
      </c>
      <c r="C4484" s="46">
        <v>1</v>
      </c>
      <c r="D4484" s="30">
        <v>7427.9487281638339</v>
      </c>
    </row>
    <row r="4485" spans="2:4">
      <c r="B4485" t="s">
        <v>10933</v>
      </c>
      <c r="C4485" s="46">
        <v>1</v>
      </c>
      <c r="D4485" s="30">
        <v>173162.01765796318</v>
      </c>
    </row>
    <row r="4486" spans="2:4">
      <c r="B4486" t="s">
        <v>10934</v>
      </c>
      <c r="C4486" s="46">
        <v>1</v>
      </c>
      <c r="D4486" s="30">
        <v>5373.6359968568595</v>
      </c>
    </row>
    <row r="4487" spans="2:4">
      <c r="B4487" t="s">
        <v>10935</v>
      </c>
      <c r="C4487" s="46">
        <v>1</v>
      </c>
      <c r="D4487" s="30">
        <v>93334.416306093233</v>
      </c>
    </row>
    <row r="4488" spans="2:4">
      <c r="B4488" t="s">
        <v>10936</v>
      </c>
      <c r="C4488" s="46">
        <v>1</v>
      </c>
      <c r="D4488" s="30">
        <v>7234.3477933630074</v>
      </c>
    </row>
    <row r="4489" spans="2:4">
      <c r="B4489" t="s">
        <v>10937</v>
      </c>
      <c r="C4489" s="46">
        <v>1</v>
      </c>
      <c r="D4489" s="30">
        <v>9890.9605817524862</v>
      </c>
    </row>
    <row r="4490" spans="2:4">
      <c r="B4490" t="s">
        <v>10938</v>
      </c>
      <c r="C4490" s="46">
        <v>1</v>
      </c>
      <c r="D4490" s="30">
        <v>7054.9266050051074</v>
      </c>
    </row>
    <row r="4491" spans="2:4">
      <c r="B4491" t="s">
        <v>10939</v>
      </c>
      <c r="C4491" s="46">
        <v>1</v>
      </c>
      <c r="D4491" s="30">
        <v>7274.984508105299</v>
      </c>
    </row>
    <row r="4492" spans="2:4">
      <c r="B4492" t="s">
        <v>10940</v>
      </c>
      <c r="C4492" s="46">
        <v>1</v>
      </c>
      <c r="D4492" s="30">
        <v>5154.2443064380359</v>
      </c>
    </row>
    <row r="4493" spans="2:4">
      <c r="B4493" t="s">
        <v>10941</v>
      </c>
      <c r="C4493" s="46">
        <v>1</v>
      </c>
      <c r="D4493" s="30">
        <v>7415.451600170456</v>
      </c>
    </row>
    <row r="4494" spans="2:4">
      <c r="B4494" t="s">
        <v>10942</v>
      </c>
      <c r="C4494" s="46">
        <v>1</v>
      </c>
      <c r="D4494" s="30">
        <v>7276.2788850365996</v>
      </c>
    </row>
    <row r="4495" spans="2:4">
      <c r="B4495" t="s">
        <v>10943</v>
      </c>
      <c r="C4495" s="46">
        <v>1</v>
      </c>
      <c r="D4495" s="30">
        <v>6923.2050815563398</v>
      </c>
    </row>
    <row r="4496" spans="2:4">
      <c r="B4496" t="s">
        <v>10944</v>
      </c>
      <c r="C4496" s="46">
        <v>1</v>
      </c>
      <c r="D4496" s="30">
        <v>7380.8960056725864</v>
      </c>
    </row>
    <row r="4497" spans="2:4">
      <c r="B4497" t="s">
        <v>10945</v>
      </c>
      <c r="C4497" s="46">
        <v>1</v>
      </c>
      <c r="D4497" s="30">
        <v>7447.6959965006654</v>
      </c>
    </row>
    <row r="4498" spans="2:4">
      <c r="B4498" t="s">
        <v>10946</v>
      </c>
      <c r="C4498" s="46">
        <v>1</v>
      </c>
      <c r="D4498" s="30">
        <v>7444.7048752611126</v>
      </c>
    </row>
    <row r="4499" spans="2:4">
      <c r="B4499" t="s">
        <v>10947</v>
      </c>
      <c r="C4499" s="46">
        <v>1</v>
      </c>
      <c r="D4499" s="30">
        <v>7356.96853562049</v>
      </c>
    </row>
    <row r="4500" spans="2:4">
      <c r="B4500" t="s">
        <v>10948</v>
      </c>
      <c r="C4500" s="46">
        <v>1</v>
      </c>
      <c r="D4500" s="30">
        <v>7363.1767024384662</v>
      </c>
    </row>
    <row r="4501" spans="2:4">
      <c r="B4501" t="s">
        <v>10949</v>
      </c>
      <c r="C4501" s="46">
        <v>1</v>
      </c>
      <c r="D4501" s="30">
        <v>9890.9605817524862</v>
      </c>
    </row>
    <row r="4502" spans="2:4">
      <c r="B4502" t="s">
        <v>10950</v>
      </c>
      <c r="C4502" s="46">
        <v>1</v>
      </c>
      <c r="D4502" s="30">
        <v>6627.6765939588422</v>
      </c>
    </row>
    <row r="4503" spans="2:4">
      <c r="B4503" t="s">
        <v>10951</v>
      </c>
      <c r="C4503" s="46">
        <v>1</v>
      </c>
      <c r="D4503" s="30">
        <v>6988.2183892556868</v>
      </c>
    </row>
    <row r="4504" spans="2:4">
      <c r="B4504" t="s">
        <v>10952</v>
      </c>
      <c r="C4504" s="46">
        <v>1</v>
      </c>
      <c r="D4504" s="30">
        <v>7446.0124956588379</v>
      </c>
    </row>
    <row r="4505" spans="2:4">
      <c r="B4505" t="s">
        <v>10953</v>
      </c>
      <c r="C4505" s="46">
        <v>1</v>
      </c>
      <c r="D4505" s="30">
        <v>2526.5990925741867</v>
      </c>
    </row>
    <row r="4506" spans="2:4">
      <c r="B4506" t="s">
        <v>10954</v>
      </c>
      <c r="C4506" s="46">
        <v>1</v>
      </c>
      <c r="D4506" s="30">
        <v>3436.0437150780976</v>
      </c>
    </row>
    <row r="4507" spans="2:4">
      <c r="B4507" t="s">
        <v>10955</v>
      </c>
      <c r="C4507" s="46">
        <v>1</v>
      </c>
      <c r="D4507" s="30">
        <v>7425.2881478899899</v>
      </c>
    </row>
    <row r="4508" spans="2:4">
      <c r="B4508" t="s">
        <v>10956</v>
      </c>
      <c r="C4508" s="46">
        <v>1</v>
      </c>
      <c r="D4508" s="30">
        <v>7354.3279073744416</v>
      </c>
    </row>
    <row r="4509" spans="2:4">
      <c r="B4509" t="s">
        <v>10957</v>
      </c>
      <c r="C4509" s="46">
        <v>1</v>
      </c>
      <c r="D4509" s="30">
        <v>3111.5338100174381</v>
      </c>
    </row>
    <row r="4510" spans="2:4">
      <c r="B4510" t="s">
        <v>10958</v>
      </c>
      <c r="C4510" s="46">
        <v>1</v>
      </c>
      <c r="D4510" s="30">
        <v>7308.0398307318665</v>
      </c>
    </row>
    <row r="4511" spans="2:4">
      <c r="B4511" t="s">
        <v>10959</v>
      </c>
      <c r="C4511" s="46">
        <v>1</v>
      </c>
      <c r="D4511" s="30">
        <v>5051.5234298152873</v>
      </c>
    </row>
    <row r="4512" spans="2:4">
      <c r="B4512" t="s">
        <v>10960</v>
      </c>
      <c r="C4512" s="46">
        <v>1</v>
      </c>
      <c r="D4512" s="30">
        <v>7308.0398307318665</v>
      </c>
    </row>
    <row r="4513" spans="2:4">
      <c r="B4513" t="s">
        <v>10961</v>
      </c>
      <c r="C4513" s="46">
        <v>1</v>
      </c>
      <c r="D4513" s="30">
        <v>7425.7612737607824</v>
      </c>
    </row>
    <row r="4514" spans="2:4">
      <c r="B4514" t="s">
        <v>10962</v>
      </c>
      <c r="C4514" s="46">
        <v>1</v>
      </c>
      <c r="D4514" s="30">
        <v>3131.4083414538563</v>
      </c>
    </row>
    <row r="4515" spans="2:4">
      <c r="B4515" t="s">
        <v>10963</v>
      </c>
      <c r="C4515" s="46">
        <v>1</v>
      </c>
      <c r="D4515" s="30">
        <v>6763.7663948312393</v>
      </c>
    </row>
    <row r="4516" spans="2:4">
      <c r="B4516" t="s">
        <v>10964</v>
      </c>
      <c r="C4516" s="46">
        <v>1</v>
      </c>
      <c r="D4516" s="30">
        <v>47216.851183207815</v>
      </c>
    </row>
    <row r="4517" spans="2:4">
      <c r="B4517" t="s">
        <v>10965</v>
      </c>
      <c r="C4517" s="46">
        <v>1</v>
      </c>
      <c r="D4517" s="30">
        <v>6280.2923481477874</v>
      </c>
    </row>
    <row r="4518" spans="2:4">
      <c r="B4518" t="s">
        <v>10966</v>
      </c>
      <c r="C4518" s="46">
        <v>1</v>
      </c>
      <c r="D4518" s="30">
        <v>42559.368450941991</v>
      </c>
    </row>
    <row r="4519" spans="2:4">
      <c r="B4519" t="s">
        <v>10967</v>
      </c>
      <c r="C4519" s="46">
        <v>1</v>
      </c>
      <c r="D4519" s="30">
        <v>7355.8161937551204</v>
      </c>
    </row>
    <row r="4520" spans="2:4">
      <c r="B4520" t="s">
        <v>10968</v>
      </c>
      <c r="C4520" s="46">
        <v>1</v>
      </c>
      <c r="D4520" s="30">
        <v>7442.5572350112479</v>
      </c>
    </row>
    <row r="4521" spans="2:4">
      <c r="B4521" t="s">
        <v>10969</v>
      </c>
      <c r="C4521" s="46">
        <v>1</v>
      </c>
      <c r="D4521" s="30">
        <v>99996.310700452232</v>
      </c>
    </row>
    <row r="4522" spans="2:4">
      <c r="B4522" t="s">
        <v>10970</v>
      </c>
      <c r="C4522" s="46">
        <v>1</v>
      </c>
      <c r="D4522" s="30">
        <v>7191.0375119026112</v>
      </c>
    </row>
    <row r="4523" spans="2:4">
      <c r="B4523" t="s">
        <v>10971</v>
      </c>
      <c r="C4523" s="46">
        <v>1</v>
      </c>
      <c r="D4523" s="30">
        <v>7308.0398307318665</v>
      </c>
    </row>
    <row r="4524" spans="2:4">
      <c r="B4524" t="s">
        <v>10972</v>
      </c>
      <c r="C4524" s="46">
        <v>1</v>
      </c>
      <c r="D4524" s="30">
        <v>7308.0398307318665</v>
      </c>
    </row>
    <row r="4525" spans="2:4">
      <c r="B4525" t="s">
        <v>10973</v>
      </c>
      <c r="C4525" s="46">
        <v>1</v>
      </c>
      <c r="D4525" s="30">
        <v>28085.174469074707</v>
      </c>
    </row>
    <row r="4526" spans="2:4">
      <c r="B4526" t="s">
        <v>10974</v>
      </c>
      <c r="C4526" s="46">
        <v>1</v>
      </c>
      <c r="D4526" s="30">
        <v>7308.0398307318665</v>
      </c>
    </row>
    <row r="4527" spans="2:4">
      <c r="B4527" t="s">
        <v>10975</v>
      </c>
      <c r="C4527" s="46">
        <v>1</v>
      </c>
      <c r="D4527" s="30">
        <v>7308.0398307318665</v>
      </c>
    </row>
    <row r="4528" spans="2:4">
      <c r="B4528" t="s">
        <v>10976</v>
      </c>
      <c r="C4528" s="46">
        <v>1</v>
      </c>
      <c r="D4528" s="30">
        <v>6390.7280644472048</v>
      </c>
    </row>
    <row r="4529" spans="2:4">
      <c r="B4529" t="s">
        <v>10977</v>
      </c>
      <c r="C4529" s="46">
        <v>1</v>
      </c>
      <c r="D4529" s="30">
        <v>7444.7048752611126</v>
      </c>
    </row>
    <row r="4530" spans="2:4">
      <c r="B4530" t="s">
        <v>10978</v>
      </c>
      <c r="C4530" s="46">
        <v>1</v>
      </c>
      <c r="D4530" s="30">
        <v>7005.5221696242143</v>
      </c>
    </row>
    <row r="4531" spans="2:4">
      <c r="B4531" t="s">
        <v>10979</v>
      </c>
      <c r="C4531" s="46">
        <v>1</v>
      </c>
      <c r="D4531" s="30">
        <v>6421.6951968251205</v>
      </c>
    </row>
    <row r="4532" spans="2:4">
      <c r="B4532" t="s">
        <v>10980</v>
      </c>
      <c r="C4532" s="46">
        <v>1</v>
      </c>
      <c r="D4532" s="30">
        <v>7449.6900812939193</v>
      </c>
    </row>
    <row r="4533" spans="2:4">
      <c r="B4533" t="s">
        <v>10981</v>
      </c>
      <c r="C4533" s="46">
        <v>1</v>
      </c>
      <c r="D4533" s="30">
        <v>15643.299909583051</v>
      </c>
    </row>
    <row r="4534" spans="2:4">
      <c r="B4534" t="s">
        <v>10982</v>
      </c>
      <c r="C4534" s="46">
        <v>1</v>
      </c>
      <c r="D4534" s="30">
        <v>7292.9992996253141</v>
      </c>
    </row>
    <row r="4535" spans="2:4">
      <c r="B4535" t="s">
        <v>10983</v>
      </c>
      <c r="C4535" s="46">
        <v>1</v>
      </c>
      <c r="D4535" s="30">
        <v>7075.1764574010076</v>
      </c>
    </row>
    <row r="4536" spans="2:4">
      <c r="B4536" t="s">
        <v>10984</v>
      </c>
      <c r="C4536" s="46">
        <v>1</v>
      </c>
      <c r="D4536" s="30">
        <v>3111.5338100174381</v>
      </c>
    </row>
    <row r="4537" spans="2:4">
      <c r="B4537" t="s">
        <v>10985</v>
      </c>
      <c r="C4537" s="46">
        <v>1</v>
      </c>
      <c r="D4537" s="30">
        <v>6010.6043451614578</v>
      </c>
    </row>
    <row r="4538" spans="2:4">
      <c r="B4538" t="s">
        <v>10986</v>
      </c>
      <c r="C4538" s="46">
        <v>1</v>
      </c>
      <c r="D4538" s="30">
        <v>6995.4727408012195</v>
      </c>
    </row>
    <row r="4539" spans="2:4">
      <c r="B4539" t="s">
        <v>10987</v>
      </c>
      <c r="C4539" s="46">
        <v>1</v>
      </c>
      <c r="D4539" s="30">
        <v>7219.0788503794765</v>
      </c>
    </row>
    <row r="4540" spans="2:4">
      <c r="B4540" t="s">
        <v>10988</v>
      </c>
      <c r="C4540" s="46">
        <v>1</v>
      </c>
      <c r="D4540" s="30">
        <v>5826.5614997676939</v>
      </c>
    </row>
    <row r="4541" spans="2:4">
      <c r="B4541" t="s">
        <v>10989</v>
      </c>
      <c r="C4541" s="46">
        <v>1</v>
      </c>
      <c r="D4541" s="30">
        <v>662.68452307377709</v>
      </c>
    </row>
    <row r="4542" spans="2:4">
      <c r="B4542" t="s">
        <v>10990</v>
      </c>
      <c r="C4542" s="46">
        <v>1</v>
      </c>
      <c r="D4542" s="30">
        <v>7413.6949080810091</v>
      </c>
    </row>
    <row r="4543" spans="2:4">
      <c r="B4543" t="s">
        <v>10991</v>
      </c>
      <c r="C4543" s="46">
        <v>1</v>
      </c>
      <c r="D4543" s="30">
        <v>5445.7475939004325</v>
      </c>
    </row>
    <row r="4544" spans="2:4">
      <c r="B4544" t="s">
        <v>10992</v>
      </c>
      <c r="C4544" s="46">
        <v>1</v>
      </c>
      <c r="D4544" s="30">
        <v>28085.174469074707</v>
      </c>
    </row>
    <row r="4545" spans="2:4">
      <c r="B4545" t="s">
        <v>10993</v>
      </c>
      <c r="C4545" s="46">
        <v>1</v>
      </c>
      <c r="D4545" s="30">
        <v>5154.2443064380359</v>
      </c>
    </row>
    <row r="4546" spans="2:4">
      <c r="B4546" t="s">
        <v>10994</v>
      </c>
      <c r="C4546" s="46">
        <v>1</v>
      </c>
      <c r="D4546" s="30">
        <v>6655.1353381163854</v>
      </c>
    </row>
    <row r="4547" spans="2:4">
      <c r="B4547" t="s">
        <v>10995</v>
      </c>
      <c r="C4547" s="46">
        <v>1</v>
      </c>
      <c r="D4547" s="30">
        <v>7447.3133461395792</v>
      </c>
    </row>
    <row r="4548" spans="2:4">
      <c r="B4548" t="s">
        <v>10996</v>
      </c>
      <c r="C4548" s="46">
        <v>1</v>
      </c>
      <c r="D4548" s="30">
        <v>7423.7672272134441</v>
      </c>
    </row>
    <row r="4549" spans="2:4">
      <c r="B4549" t="s">
        <v>10997</v>
      </c>
      <c r="C4549" s="46">
        <v>1</v>
      </c>
      <c r="D4549" s="30">
        <v>6804.7165706367077</v>
      </c>
    </row>
    <row r="4550" spans="2:4">
      <c r="B4550" t="s">
        <v>10998</v>
      </c>
      <c r="C4550" s="46">
        <v>1</v>
      </c>
      <c r="D4550" s="30">
        <v>7308.0398307318665</v>
      </c>
    </row>
    <row r="4551" spans="2:4">
      <c r="B4551" t="s">
        <v>10999</v>
      </c>
      <c r="C4551" s="46">
        <v>1</v>
      </c>
      <c r="D4551" s="30">
        <v>7308.0398307318665</v>
      </c>
    </row>
    <row r="4552" spans="2:4">
      <c r="B4552" t="s">
        <v>11000</v>
      </c>
      <c r="C4552" s="46">
        <v>1</v>
      </c>
      <c r="D4552" s="30">
        <v>7308.0398307318665</v>
      </c>
    </row>
    <row r="4553" spans="2:4">
      <c r="B4553" t="s">
        <v>11001</v>
      </c>
      <c r="C4553" s="46">
        <v>1</v>
      </c>
      <c r="D4553" s="30">
        <v>7308.0398307318665</v>
      </c>
    </row>
    <row r="4554" spans="2:4">
      <c r="B4554" t="s">
        <v>11002</v>
      </c>
      <c r="C4554" s="46">
        <v>1</v>
      </c>
      <c r="D4554" s="30">
        <v>6998.8680102250628</v>
      </c>
    </row>
    <row r="4555" spans="2:4">
      <c r="B4555" t="s">
        <v>11003</v>
      </c>
      <c r="C4555" s="46">
        <v>1</v>
      </c>
      <c r="D4555" s="30">
        <v>6627.6765939588422</v>
      </c>
    </row>
    <row r="4556" spans="2:4">
      <c r="B4556" t="s">
        <v>11004</v>
      </c>
      <c r="C4556" s="46">
        <v>1</v>
      </c>
      <c r="D4556" s="30">
        <v>7308.0398307318665</v>
      </c>
    </row>
    <row r="4557" spans="2:4">
      <c r="B4557" t="s">
        <v>11005</v>
      </c>
      <c r="C4557" s="46">
        <v>1</v>
      </c>
      <c r="D4557" s="30">
        <v>6926.1330476343564</v>
      </c>
    </row>
    <row r="4558" spans="2:4">
      <c r="B4558" t="s">
        <v>11006</v>
      </c>
      <c r="C4558" s="46">
        <v>1</v>
      </c>
      <c r="D4558" s="30">
        <v>7308.0398307318665</v>
      </c>
    </row>
    <row r="4559" spans="2:4">
      <c r="B4559" t="s">
        <v>11007</v>
      </c>
      <c r="C4559" s="46">
        <v>1</v>
      </c>
      <c r="D4559" s="30">
        <v>199536.51884838621</v>
      </c>
    </row>
    <row r="4560" spans="2:4">
      <c r="B4560" t="s">
        <v>11008</v>
      </c>
      <c r="C4560" s="46">
        <v>1</v>
      </c>
      <c r="D4560" s="30">
        <v>3688.0366717509864</v>
      </c>
    </row>
    <row r="4561" spans="2:6">
      <c r="B4561" t="s">
        <v>11009</v>
      </c>
      <c r="C4561" s="46">
        <v>1</v>
      </c>
      <c r="D4561" s="30">
        <v>5401.9822074779067</v>
      </c>
    </row>
    <row r="4562" spans="2:6">
      <c r="B4562" t="s">
        <v>11010</v>
      </c>
      <c r="C4562" s="46">
        <v>1</v>
      </c>
      <c r="D4562" s="30">
        <v>7308.0398307318665</v>
      </c>
    </row>
    <row r="4563" spans="2:6">
      <c r="B4563" t="s">
        <v>11011</v>
      </c>
      <c r="C4563" s="46">
        <v>1</v>
      </c>
      <c r="D4563" s="30">
        <v>7288.3209878068319</v>
      </c>
    </row>
    <row r="4564" spans="2:6">
      <c r="B4564" t="s">
        <v>11012</v>
      </c>
      <c r="C4564" s="46">
        <v>1</v>
      </c>
      <c r="D4564" s="30">
        <v>7308.0398307318665</v>
      </c>
    </row>
    <row r="4565" spans="2:6" ht="13.8" thickBot="1">
      <c r="B4565" s="25" t="s">
        <v>11013</v>
      </c>
      <c r="C4565" s="47">
        <v>1</v>
      </c>
      <c r="D4565" s="29">
        <v>142345.42920852394</v>
      </c>
    </row>
    <row r="4568" spans="2:6">
      <c r="B4568" s="19" t="s">
        <v>11017</v>
      </c>
    </row>
    <row r="4570" spans="2:6">
      <c r="B4570" t="s">
        <v>8771</v>
      </c>
    </row>
    <row r="4571" spans="2:6" ht="13.8" thickBot="1"/>
    <row r="4572" spans="2:6">
      <c r="B4572" s="23" t="s">
        <v>8772</v>
      </c>
      <c r="C4572" s="23" t="s">
        <v>8773</v>
      </c>
      <c r="D4572" s="23" t="s">
        <v>8774</v>
      </c>
      <c r="E4572" s="23" t="s">
        <v>8775</v>
      </c>
      <c r="F4572" s="23" t="s">
        <v>8776</v>
      </c>
    </row>
    <row r="4573" spans="2:6">
      <c r="B4573" s="34">
        <v>1</v>
      </c>
      <c r="C4573" s="34">
        <v>5</v>
      </c>
      <c r="D4573" s="34">
        <v>474038569.95317829</v>
      </c>
      <c r="E4573" s="34">
        <v>114430654.36971386</v>
      </c>
      <c r="F4573" s="34">
        <v>48.028835580239189</v>
      </c>
    </row>
    <row r="4574" spans="2:6">
      <c r="B4574" s="32">
        <v>2</v>
      </c>
      <c r="C4574" s="32">
        <v>5</v>
      </c>
      <c r="D4574" s="32">
        <v>474277934.46029997</v>
      </c>
      <c r="E4574" s="32">
        <v>114430654.36971387</v>
      </c>
      <c r="F4574" s="32">
        <v>48.028835580239189</v>
      </c>
    </row>
    <row r="4575" spans="2:6">
      <c r="B4575" s="32">
        <v>3</v>
      </c>
      <c r="C4575" s="32">
        <v>5</v>
      </c>
      <c r="D4575" s="32">
        <v>474225177.65339077</v>
      </c>
      <c r="E4575" s="32">
        <v>114430654.36971384</v>
      </c>
      <c r="F4575" s="32">
        <v>48.028835580239189</v>
      </c>
    </row>
    <row r="4576" spans="2:6">
      <c r="B4576" s="32">
        <v>4</v>
      </c>
      <c r="C4576" s="32">
        <v>5</v>
      </c>
      <c r="D4576" s="32">
        <v>474249961.02611172</v>
      </c>
      <c r="E4576" s="32">
        <v>114430654.36971386</v>
      </c>
      <c r="F4576" s="32">
        <v>48.028835580239189</v>
      </c>
    </row>
    <row r="4577" spans="2:6">
      <c r="B4577" s="32">
        <v>5</v>
      </c>
      <c r="C4577" s="32">
        <v>5</v>
      </c>
      <c r="D4577" s="32">
        <v>474269139.96676695</v>
      </c>
      <c r="E4577" s="32">
        <v>114430654.36971387</v>
      </c>
      <c r="F4577" s="32">
        <v>48.028835580239189</v>
      </c>
    </row>
    <row r="4578" spans="2:6">
      <c r="B4578" s="32">
        <v>6</v>
      </c>
      <c r="C4578" s="32">
        <v>5</v>
      </c>
      <c r="D4578" s="32">
        <v>474254166.79444653</v>
      </c>
      <c r="E4578" s="32">
        <v>114430654.36971384</v>
      </c>
      <c r="F4578" s="32">
        <v>48.028835580239189</v>
      </c>
    </row>
    <row r="4579" spans="2:6">
      <c r="B4579" s="32">
        <v>7</v>
      </c>
      <c r="C4579" s="32">
        <v>5</v>
      </c>
      <c r="D4579" s="32">
        <v>474136757.43898207</v>
      </c>
      <c r="E4579" s="32">
        <v>114430654.36971384</v>
      </c>
      <c r="F4579" s="32">
        <v>48.028835580239189</v>
      </c>
    </row>
    <row r="4580" spans="2:6">
      <c r="B4580" s="32">
        <v>8</v>
      </c>
      <c r="C4580" s="32">
        <v>5</v>
      </c>
      <c r="D4580" s="32">
        <v>473794016.30716836</v>
      </c>
      <c r="E4580" s="32">
        <v>114430654.36971374</v>
      </c>
      <c r="F4580" s="32">
        <v>48.028835580239189</v>
      </c>
    </row>
    <row r="4581" spans="2:6">
      <c r="B4581" s="32">
        <v>9</v>
      </c>
      <c r="C4581" s="32">
        <v>5</v>
      </c>
      <c r="D4581" s="32">
        <v>474255028.79830039</v>
      </c>
      <c r="E4581" s="32">
        <v>114430654.36971377</v>
      </c>
      <c r="F4581" s="32">
        <v>48.028835580239189</v>
      </c>
    </row>
    <row r="4582" spans="2:6" ht="13.8" thickBot="1">
      <c r="B4582" s="33">
        <v>10</v>
      </c>
      <c r="C4582" s="33">
        <v>5</v>
      </c>
      <c r="D4582" s="33">
        <v>474190400.2123844</v>
      </c>
      <c r="E4582" s="33">
        <v>114430654.36971384</v>
      </c>
      <c r="F4582" s="33">
        <v>48.028835580239189</v>
      </c>
    </row>
    <row r="4585" spans="2:6">
      <c r="B4585" t="s">
        <v>8777</v>
      </c>
    </row>
    <row r="4586" spans="2:6" ht="13.8" thickBot="1"/>
    <row r="4587" spans="2:6">
      <c r="B4587" s="22" t="s">
        <v>8773</v>
      </c>
      <c r="C4587" s="23" t="s">
        <v>8778</v>
      </c>
      <c r="D4587" s="23" t="s">
        <v>8779</v>
      </c>
      <c r="E4587" s="23" t="s">
        <v>8776</v>
      </c>
      <c r="F4587" s="23" t="s">
        <v>8780</v>
      </c>
    </row>
    <row r="4588" spans="2:6">
      <c r="B4588" s="24">
        <v>0</v>
      </c>
      <c r="C4588" s="35">
        <v>474038569.95317829</v>
      </c>
      <c r="D4588" s="31">
        <v>1050469471016.2445</v>
      </c>
      <c r="E4588" s="35">
        <v>49.47320700469345</v>
      </c>
      <c r="F4588" s="35">
        <v>0.99899275462091119</v>
      </c>
    </row>
    <row r="4589" spans="2:6">
      <c r="B4589">
        <v>1</v>
      </c>
      <c r="C4589" s="48">
        <v>241785265.10976827</v>
      </c>
      <c r="D4589" s="32">
        <v>535796147483.24634</v>
      </c>
      <c r="E4589" s="48">
        <v>48.757437696361762</v>
      </c>
      <c r="F4589" s="48">
        <v>0.48832355937882321</v>
      </c>
    </row>
    <row r="4590" spans="2:6">
      <c r="B4590">
        <v>2</v>
      </c>
      <c r="C4590" s="48">
        <v>139136251.37366721</v>
      </c>
      <c r="D4590" s="32">
        <v>308325933044.04614</v>
      </c>
      <c r="E4590" s="48">
        <v>48.240910807451691</v>
      </c>
      <c r="F4590" s="48">
        <v>0.29132845114071465</v>
      </c>
    </row>
    <row r="4591" spans="2:6">
      <c r="B4591">
        <v>3</v>
      </c>
      <c r="C4591" s="48">
        <v>115291713.0298595</v>
      </c>
      <c r="D4591" s="32">
        <v>255486436074.16901</v>
      </c>
      <c r="E4591" s="48">
        <v>48.035038207239673</v>
      </c>
      <c r="F4591" s="48">
        <v>0.23712293708824242</v>
      </c>
    </row>
    <row r="4592" spans="2:6">
      <c r="B4592">
        <v>4</v>
      </c>
      <c r="C4592" s="48">
        <v>114430654.36971386</v>
      </c>
      <c r="D4592" s="32">
        <v>253578330083.285</v>
      </c>
      <c r="E4592" s="48">
        <v>48.028835580239189</v>
      </c>
      <c r="F4592" s="48">
        <v>0.23565670390579976</v>
      </c>
    </row>
    <row r="4593" spans="2:6" ht="13.8" thickBot="1">
      <c r="B4593" s="25">
        <v>5</v>
      </c>
      <c r="C4593" s="36">
        <v>114430654.36971386</v>
      </c>
      <c r="D4593" s="33">
        <v>253578330083.285</v>
      </c>
      <c r="E4593" s="36">
        <v>48.028835580239189</v>
      </c>
      <c r="F4593" s="36">
        <v>0.23565670390579976</v>
      </c>
    </row>
    <row r="4614" spans="2:6">
      <c r="F4614" t="s">
        <v>8769</v>
      </c>
    </row>
    <row r="4617" spans="2:6">
      <c r="B4617" t="s">
        <v>8781</v>
      </c>
    </row>
    <row r="4618" spans="2:6" ht="13.8" thickBot="1"/>
    <row r="4619" spans="2:6">
      <c r="B4619" s="22"/>
      <c r="C4619" s="23" t="s">
        <v>8782</v>
      </c>
      <c r="D4619" s="23" t="s">
        <v>11018</v>
      </c>
    </row>
    <row r="4620" spans="2:6">
      <c r="B4620" s="24" t="s">
        <v>8766</v>
      </c>
      <c r="C4620" s="28">
        <v>114430654.36971386</v>
      </c>
      <c r="D4620" s="49">
        <v>0.24138174424382339</v>
      </c>
    </row>
    <row r="4621" spans="2:6">
      <c r="B4621" t="s">
        <v>8767</v>
      </c>
      <c r="C4621" s="30">
        <v>359634419.30928695</v>
      </c>
      <c r="D4621" s="50">
        <v>0.7586182557561767</v>
      </c>
    </row>
    <row r="4622" spans="2:6" ht="13.8" thickBot="1">
      <c r="B4622" s="25" t="s">
        <v>8768</v>
      </c>
      <c r="C4622" s="29">
        <v>474065073.67900079</v>
      </c>
      <c r="D4622" s="51">
        <v>1</v>
      </c>
    </row>
    <row r="4625" spans="2:6">
      <c r="B4625" t="s">
        <v>8783</v>
      </c>
    </row>
    <row r="4626" spans="2:6" ht="13.8" thickBot="1"/>
    <row r="4627" spans="2:6">
      <c r="B4627" s="22" t="s">
        <v>8784</v>
      </c>
      <c r="C4627" s="23" t="s">
        <v>8760</v>
      </c>
      <c r="D4627" s="23" t="s">
        <v>8761</v>
      </c>
    </row>
    <row r="4628" spans="2:6">
      <c r="B4628" s="37">
        <v>1</v>
      </c>
      <c r="C4628" s="28">
        <v>7919.140781108088</v>
      </c>
      <c r="D4628" s="28">
        <v>618.88465031789337</v>
      </c>
    </row>
    <row r="4629" spans="2:6" ht="13.8" thickBot="1">
      <c r="B4629" s="44">
        <v>2</v>
      </c>
      <c r="C4629" s="29">
        <v>6943.224709042076</v>
      </c>
      <c r="D4629" s="29">
        <v>526.69650850492326</v>
      </c>
    </row>
    <row r="4632" spans="2:6">
      <c r="B4632" t="s">
        <v>8785</v>
      </c>
    </row>
    <row r="4633" spans="2:6" ht="13.8" thickBot="1"/>
    <row r="4634" spans="2:6">
      <c r="B4634" s="22" t="s">
        <v>8784</v>
      </c>
      <c r="C4634" s="23" t="s">
        <v>8760</v>
      </c>
      <c r="D4634" s="23" t="s">
        <v>8761</v>
      </c>
      <c r="E4634" s="23" t="s">
        <v>8786</v>
      </c>
      <c r="F4634" s="23" t="s">
        <v>8778</v>
      </c>
    </row>
    <row r="4635" spans="2:6">
      <c r="B4635" s="37">
        <v>1</v>
      </c>
      <c r="C4635" s="28">
        <v>2856.4479961832149</v>
      </c>
      <c r="D4635" s="28">
        <v>397.87213740458003</v>
      </c>
      <c r="E4635" s="28">
        <v>2096</v>
      </c>
      <c r="F4635" s="28">
        <v>38185201.398598842</v>
      </c>
    </row>
    <row r="4636" spans="2:6" ht="13.8" thickBot="1">
      <c r="B4636" s="44">
        <v>2</v>
      </c>
      <c r="C4636" s="29">
        <v>85962.631147541033</v>
      </c>
      <c r="D4636" s="29">
        <v>3571.9016393442776</v>
      </c>
      <c r="E4636" s="29">
        <v>122</v>
      </c>
      <c r="F4636" s="29">
        <v>1434548207.8778625</v>
      </c>
    </row>
    <row r="4639" spans="2:6">
      <c r="B4639" t="s">
        <v>8787</v>
      </c>
    </row>
    <row r="4640" spans="2:6" ht="13.8" thickBot="1"/>
    <row r="4641" spans="2:4">
      <c r="B4641" s="22"/>
      <c r="C4641" s="23" t="s">
        <v>8764</v>
      </c>
      <c r="D4641" s="23" t="s">
        <v>8765</v>
      </c>
    </row>
    <row r="4642" spans="2:4">
      <c r="B4642" s="37">
        <v>1</v>
      </c>
      <c r="C4642" s="26">
        <v>0</v>
      </c>
      <c r="D4642" s="28">
        <v>83166.773060316671</v>
      </c>
    </row>
    <row r="4643" spans="2:4" ht="13.8" thickBot="1">
      <c r="B4643" s="44">
        <v>2</v>
      </c>
      <c r="C4643" s="29">
        <v>83166.773060316671</v>
      </c>
      <c r="D4643" s="27">
        <v>0</v>
      </c>
    </row>
    <row r="4646" spans="2:4">
      <c r="B4646" t="s">
        <v>8788</v>
      </c>
    </row>
    <row r="4647" spans="2:4" ht="13.8" thickBot="1"/>
    <row r="4648" spans="2:4">
      <c r="B4648" s="22" t="s">
        <v>8784</v>
      </c>
      <c r="C4648" s="23" t="s">
        <v>8760</v>
      </c>
      <c r="D4648" s="23" t="s">
        <v>8761</v>
      </c>
    </row>
    <row r="4649" spans="2:4">
      <c r="B4649" s="37" t="s">
        <v>11019</v>
      </c>
      <c r="C4649" s="28">
        <v>2795</v>
      </c>
      <c r="D4649" s="28">
        <v>354</v>
      </c>
    </row>
    <row r="4650" spans="2:4" ht="13.8" thickBot="1">
      <c r="B4650" s="44" t="s">
        <v>11020</v>
      </c>
      <c r="C4650" s="29">
        <v>84757</v>
      </c>
      <c r="D4650" s="29">
        <v>8391</v>
      </c>
    </row>
    <row r="4653" spans="2:4">
      <c r="B4653" t="s">
        <v>8790</v>
      </c>
    </row>
    <row r="4654" spans="2:4" ht="13.8" thickBot="1"/>
    <row r="4655" spans="2:4">
      <c r="B4655" s="22"/>
      <c r="C4655" s="23" t="s">
        <v>11019</v>
      </c>
      <c r="D4655" s="23" t="s">
        <v>11020</v>
      </c>
    </row>
    <row r="4656" spans="2:4">
      <c r="B4656" s="37" t="s">
        <v>11019</v>
      </c>
      <c r="C4656" s="26">
        <v>0</v>
      </c>
      <c r="D4656" s="28">
        <v>82355.101924531671</v>
      </c>
    </row>
    <row r="4657" spans="2:4" ht="13.8" thickBot="1">
      <c r="B4657" s="44" t="s">
        <v>11020</v>
      </c>
      <c r="C4657" s="29">
        <v>82355.101924531671</v>
      </c>
      <c r="D4657" s="27">
        <v>0</v>
      </c>
    </row>
    <row r="4660" spans="2:4">
      <c r="B4660" t="s">
        <v>8791</v>
      </c>
    </row>
    <row r="4661" spans="2:4" ht="13.8" thickBot="1"/>
    <row r="4662" spans="2:4">
      <c r="B4662" s="22" t="s">
        <v>8784</v>
      </c>
      <c r="C4662" s="23">
        <v>1</v>
      </c>
      <c r="D4662" s="23">
        <v>2</v>
      </c>
    </row>
    <row r="4663" spans="2:4">
      <c r="B4663" s="24" t="s">
        <v>8792</v>
      </c>
      <c r="C4663" s="26">
        <v>2096</v>
      </c>
      <c r="D4663" s="26">
        <v>122</v>
      </c>
    </row>
    <row r="4664" spans="2:4">
      <c r="B4664" t="s">
        <v>8786</v>
      </c>
      <c r="C4664" s="41">
        <v>2096</v>
      </c>
      <c r="D4664" s="41">
        <v>122</v>
      </c>
    </row>
    <row r="4665" spans="2:4">
      <c r="B4665" t="s">
        <v>8778</v>
      </c>
      <c r="C4665" s="30">
        <v>38185201.398598842</v>
      </c>
      <c r="D4665" s="30">
        <v>1434548207.8778625</v>
      </c>
    </row>
    <row r="4666" spans="2:4">
      <c r="B4666" t="s">
        <v>8793</v>
      </c>
      <c r="C4666" s="30">
        <v>75.502454763926295</v>
      </c>
      <c r="D4666" s="30">
        <v>4967.6207054882698</v>
      </c>
    </row>
    <row r="4667" spans="2:4">
      <c r="B4667" t="s">
        <v>8794</v>
      </c>
      <c r="C4667" s="30">
        <v>3533.3415857783853</v>
      </c>
      <c r="D4667" s="30">
        <v>31212.500940461046</v>
      </c>
    </row>
    <row r="4668" spans="2:4">
      <c r="B4668" s="42" t="s">
        <v>8795</v>
      </c>
      <c r="C4668" s="43">
        <v>35631.82749200907</v>
      </c>
      <c r="D4668" s="43">
        <v>120944.29691823982</v>
      </c>
    </row>
    <row r="4669" spans="2:4">
      <c r="B4669" s="24"/>
      <c r="C4669" s="37" t="s">
        <v>8796</v>
      </c>
      <c r="D4669" s="37" t="s">
        <v>8804</v>
      </c>
    </row>
    <row r="4670" spans="2:4">
      <c r="C4670" s="21" t="s">
        <v>8797</v>
      </c>
      <c r="D4670" s="21" t="s">
        <v>8809</v>
      </c>
    </row>
    <row r="4671" spans="2:4">
      <c r="C4671" s="21" t="s">
        <v>8798</v>
      </c>
      <c r="D4671" s="21" t="s">
        <v>8823</v>
      </c>
    </row>
    <row r="4672" spans="2:4">
      <c r="C4672" s="21" t="s">
        <v>8799</v>
      </c>
      <c r="D4672" s="21" t="s">
        <v>8838</v>
      </c>
    </row>
    <row r="4673" spans="3:4">
      <c r="C4673" s="21" t="s">
        <v>8800</v>
      </c>
      <c r="D4673" s="21" t="s">
        <v>8857</v>
      </c>
    </row>
    <row r="4674" spans="3:4">
      <c r="C4674" s="21" t="s">
        <v>8801</v>
      </c>
      <c r="D4674" s="21" t="s">
        <v>8872</v>
      </c>
    </row>
    <row r="4675" spans="3:4">
      <c r="C4675" s="21" t="s">
        <v>8802</v>
      </c>
      <c r="D4675" s="21" t="s">
        <v>8883</v>
      </c>
    </row>
    <row r="4676" spans="3:4">
      <c r="C4676" s="21" t="s">
        <v>8803</v>
      </c>
      <c r="D4676" s="21" t="s">
        <v>8897</v>
      </c>
    </row>
    <row r="4677" spans="3:4">
      <c r="C4677" s="21" t="s">
        <v>8805</v>
      </c>
      <c r="D4677" s="21" t="s">
        <v>8906</v>
      </c>
    </row>
    <row r="4678" spans="3:4">
      <c r="C4678" s="21" t="s">
        <v>8806</v>
      </c>
      <c r="D4678" s="21" t="s">
        <v>8909</v>
      </c>
    </row>
    <row r="4679" spans="3:4">
      <c r="C4679" s="21" t="s">
        <v>8807</v>
      </c>
      <c r="D4679" s="21" t="s">
        <v>8919</v>
      </c>
    </row>
    <row r="4680" spans="3:4">
      <c r="C4680" s="21" t="s">
        <v>8808</v>
      </c>
      <c r="D4680" s="21" t="s">
        <v>8927</v>
      </c>
    </row>
    <row r="4681" spans="3:4">
      <c r="C4681" s="21" t="s">
        <v>8810</v>
      </c>
      <c r="D4681" s="21" t="s">
        <v>8934</v>
      </c>
    </row>
    <row r="4682" spans="3:4">
      <c r="C4682" s="21" t="s">
        <v>8811</v>
      </c>
      <c r="D4682" s="21" t="s">
        <v>8943</v>
      </c>
    </row>
    <row r="4683" spans="3:4">
      <c r="C4683" s="21" t="s">
        <v>8812</v>
      </c>
      <c r="D4683" s="21" t="s">
        <v>8955</v>
      </c>
    </row>
    <row r="4684" spans="3:4">
      <c r="C4684" s="21" t="s">
        <v>8813</v>
      </c>
      <c r="D4684" s="21" t="s">
        <v>8965</v>
      </c>
    </row>
    <row r="4685" spans="3:4">
      <c r="C4685" s="21" t="s">
        <v>8814</v>
      </c>
      <c r="D4685" s="21" t="s">
        <v>8970</v>
      </c>
    </row>
    <row r="4686" spans="3:4">
      <c r="C4686" s="21" t="s">
        <v>8815</v>
      </c>
      <c r="D4686" s="21" t="s">
        <v>8983</v>
      </c>
    </row>
    <row r="4687" spans="3:4">
      <c r="C4687" s="21" t="s">
        <v>8816</v>
      </c>
      <c r="D4687" s="21" t="s">
        <v>8999</v>
      </c>
    </row>
    <row r="4688" spans="3:4">
      <c r="C4688" s="21" t="s">
        <v>8817</v>
      </c>
      <c r="D4688" s="21" t="s">
        <v>9005</v>
      </c>
    </row>
    <row r="4689" spans="3:4">
      <c r="C4689" s="21" t="s">
        <v>8818</v>
      </c>
      <c r="D4689" s="21" t="s">
        <v>9007</v>
      </c>
    </row>
    <row r="4690" spans="3:4">
      <c r="C4690" s="21" t="s">
        <v>8819</v>
      </c>
      <c r="D4690" s="21" t="s">
        <v>9015</v>
      </c>
    </row>
    <row r="4691" spans="3:4">
      <c r="C4691" s="21" t="s">
        <v>8820</v>
      </c>
      <c r="D4691" s="21" t="s">
        <v>9090</v>
      </c>
    </row>
    <row r="4692" spans="3:4">
      <c r="C4692" s="21" t="s">
        <v>8821</v>
      </c>
      <c r="D4692" s="21" t="s">
        <v>9183</v>
      </c>
    </row>
    <row r="4693" spans="3:4">
      <c r="C4693" s="21" t="s">
        <v>8822</v>
      </c>
      <c r="D4693" s="21" t="s">
        <v>9249</v>
      </c>
    </row>
    <row r="4694" spans="3:4">
      <c r="C4694" s="21" t="s">
        <v>8824</v>
      </c>
      <c r="D4694" s="21" t="s">
        <v>9253</v>
      </c>
    </row>
    <row r="4695" spans="3:4">
      <c r="C4695" s="21" t="s">
        <v>8825</v>
      </c>
      <c r="D4695" s="21" t="s">
        <v>9271</v>
      </c>
    </row>
    <row r="4696" spans="3:4">
      <c r="C4696" s="21" t="s">
        <v>8826</v>
      </c>
      <c r="D4696" s="21" t="s">
        <v>9274</v>
      </c>
    </row>
    <row r="4697" spans="3:4">
      <c r="C4697" s="21" t="s">
        <v>8827</v>
      </c>
      <c r="D4697" s="21" t="s">
        <v>9279</v>
      </c>
    </row>
    <row r="4698" spans="3:4">
      <c r="C4698" s="21" t="s">
        <v>8828</v>
      </c>
      <c r="D4698" s="21" t="s">
        <v>9288</v>
      </c>
    </row>
    <row r="4699" spans="3:4">
      <c r="C4699" s="21" t="s">
        <v>8829</v>
      </c>
      <c r="D4699" s="21" t="s">
        <v>9290</v>
      </c>
    </row>
    <row r="4700" spans="3:4">
      <c r="C4700" s="21" t="s">
        <v>8830</v>
      </c>
      <c r="D4700" s="21" t="s">
        <v>9331</v>
      </c>
    </row>
    <row r="4701" spans="3:4">
      <c r="C4701" s="21" t="s">
        <v>8831</v>
      </c>
      <c r="D4701" s="21" t="s">
        <v>9366</v>
      </c>
    </row>
    <row r="4702" spans="3:4">
      <c r="C4702" s="21" t="s">
        <v>8832</v>
      </c>
      <c r="D4702" s="21" t="s">
        <v>9391</v>
      </c>
    </row>
    <row r="4703" spans="3:4">
      <c r="C4703" s="21" t="s">
        <v>8833</v>
      </c>
      <c r="D4703" s="21" t="s">
        <v>9469</v>
      </c>
    </row>
    <row r="4704" spans="3:4">
      <c r="C4704" s="21" t="s">
        <v>8834</v>
      </c>
      <c r="D4704" s="21" t="s">
        <v>9510</v>
      </c>
    </row>
    <row r="4705" spans="3:4">
      <c r="C4705" s="21" t="s">
        <v>8835</v>
      </c>
      <c r="D4705" s="21" t="s">
        <v>9528</v>
      </c>
    </row>
    <row r="4706" spans="3:4">
      <c r="C4706" s="21" t="s">
        <v>8836</v>
      </c>
      <c r="D4706" s="21" t="s">
        <v>9529</v>
      </c>
    </row>
    <row r="4707" spans="3:4">
      <c r="C4707" s="21" t="s">
        <v>8837</v>
      </c>
      <c r="D4707" s="21" t="s">
        <v>9530</v>
      </c>
    </row>
    <row r="4708" spans="3:4">
      <c r="C4708" s="21" t="s">
        <v>8839</v>
      </c>
      <c r="D4708" s="21" t="s">
        <v>9531</v>
      </c>
    </row>
    <row r="4709" spans="3:4">
      <c r="C4709" s="21" t="s">
        <v>8840</v>
      </c>
      <c r="D4709" s="21" t="s">
        <v>9560</v>
      </c>
    </row>
    <row r="4710" spans="3:4">
      <c r="C4710" s="21" t="s">
        <v>8841</v>
      </c>
      <c r="D4710" s="21" t="s">
        <v>9561</v>
      </c>
    </row>
    <row r="4711" spans="3:4">
      <c r="C4711" s="21" t="s">
        <v>8842</v>
      </c>
      <c r="D4711" s="21" t="s">
        <v>9579</v>
      </c>
    </row>
    <row r="4712" spans="3:4">
      <c r="C4712" s="21" t="s">
        <v>8843</v>
      </c>
      <c r="D4712" s="21" t="s">
        <v>9614</v>
      </c>
    </row>
    <row r="4713" spans="3:4">
      <c r="C4713" s="21" t="s">
        <v>8844</v>
      </c>
      <c r="D4713" s="21" t="s">
        <v>9639</v>
      </c>
    </row>
    <row r="4714" spans="3:4">
      <c r="C4714" s="21" t="s">
        <v>8845</v>
      </c>
      <c r="D4714" s="21" t="s">
        <v>9663</v>
      </c>
    </row>
    <row r="4715" spans="3:4">
      <c r="C4715" s="21" t="s">
        <v>8846</v>
      </c>
      <c r="D4715" s="21" t="s">
        <v>9664</v>
      </c>
    </row>
    <row r="4716" spans="3:4">
      <c r="C4716" s="21" t="s">
        <v>8847</v>
      </c>
      <c r="D4716" s="21" t="s">
        <v>9685</v>
      </c>
    </row>
    <row r="4717" spans="3:4">
      <c r="C4717" s="21" t="s">
        <v>8848</v>
      </c>
      <c r="D4717" s="21" t="s">
        <v>9686</v>
      </c>
    </row>
    <row r="4718" spans="3:4">
      <c r="C4718" s="21" t="s">
        <v>8849</v>
      </c>
      <c r="D4718" s="21" t="s">
        <v>9699</v>
      </c>
    </row>
    <row r="4719" spans="3:4">
      <c r="C4719" s="21" t="s">
        <v>8850</v>
      </c>
      <c r="D4719" s="21" t="s">
        <v>9741</v>
      </c>
    </row>
    <row r="4720" spans="3:4">
      <c r="C4720" s="21" t="s">
        <v>8851</v>
      </c>
      <c r="D4720" s="21" t="s">
        <v>9760</v>
      </c>
    </row>
    <row r="4721" spans="3:4">
      <c r="C4721" s="21" t="s">
        <v>8852</v>
      </c>
      <c r="D4721" s="21" t="s">
        <v>9823</v>
      </c>
    </row>
    <row r="4722" spans="3:4">
      <c r="C4722" s="21" t="s">
        <v>8853</v>
      </c>
      <c r="D4722" s="21" t="s">
        <v>9824</v>
      </c>
    </row>
    <row r="4723" spans="3:4">
      <c r="C4723" s="21" t="s">
        <v>8854</v>
      </c>
      <c r="D4723" s="21" t="s">
        <v>9836</v>
      </c>
    </row>
    <row r="4724" spans="3:4">
      <c r="C4724" s="21" t="s">
        <v>8855</v>
      </c>
      <c r="D4724" s="21" t="s">
        <v>9888</v>
      </c>
    </row>
    <row r="4725" spans="3:4">
      <c r="C4725" s="21" t="s">
        <v>8856</v>
      </c>
      <c r="D4725" s="21" t="s">
        <v>9930</v>
      </c>
    </row>
    <row r="4726" spans="3:4">
      <c r="C4726" s="21" t="s">
        <v>8858</v>
      </c>
      <c r="D4726" s="21" t="s">
        <v>9937</v>
      </c>
    </row>
    <row r="4727" spans="3:4">
      <c r="C4727" s="21" t="s">
        <v>8859</v>
      </c>
      <c r="D4727" s="21" t="s">
        <v>9986</v>
      </c>
    </row>
    <row r="4728" spans="3:4">
      <c r="C4728" s="21" t="s">
        <v>8860</v>
      </c>
      <c r="D4728" s="21" t="s">
        <v>9987</v>
      </c>
    </row>
    <row r="4729" spans="3:4">
      <c r="C4729" s="21" t="s">
        <v>8861</v>
      </c>
      <c r="D4729" s="21" t="s">
        <v>10021</v>
      </c>
    </row>
    <row r="4730" spans="3:4">
      <c r="C4730" s="21" t="s">
        <v>8862</v>
      </c>
      <c r="D4730" s="21" t="s">
        <v>10024</v>
      </c>
    </row>
    <row r="4731" spans="3:4">
      <c r="C4731" s="21" t="s">
        <v>8863</v>
      </c>
      <c r="D4731" s="21" t="s">
        <v>10031</v>
      </c>
    </row>
    <row r="4732" spans="3:4">
      <c r="C4732" s="21" t="s">
        <v>8864</v>
      </c>
      <c r="D4732" s="21" t="s">
        <v>10055</v>
      </c>
    </row>
    <row r="4733" spans="3:4">
      <c r="C4733" s="21" t="s">
        <v>8865</v>
      </c>
      <c r="D4733" s="21" t="s">
        <v>10082</v>
      </c>
    </row>
    <row r="4734" spans="3:4">
      <c r="C4734" s="21" t="s">
        <v>8866</v>
      </c>
      <c r="D4734" s="21" t="s">
        <v>10100</v>
      </c>
    </row>
    <row r="4735" spans="3:4">
      <c r="C4735" s="21" t="s">
        <v>8867</v>
      </c>
      <c r="D4735" s="21" t="s">
        <v>10109</v>
      </c>
    </row>
    <row r="4736" spans="3:4">
      <c r="C4736" s="21" t="s">
        <v>8868</v>
      </c>
      <c r="D4736" s="21" t="s">
        <v>10114</v>
      </c>
    </row>
    <row r="4737" spans="3:4">
      <c r="C4737" s="21" t="s">
        <v>8869</v>
      </c>
      <c r="D4737" s="21" t="s">
        <v>10117</v>
      </c>
    </row>
    <row r="4738" spans="3:4">
      <c r="C4738" s="21" t="s">
        <v>8870</v>
      </c>
      <c r="D4738" s="21" t="s">
        <v>10120</v>
      </c>
    </row>
    <row r="4739" spans="3:4">
      <c r="C4739" s="21" t="s">
        <v>8871</v>
      </c>
      <c r="D4739" s="21" t="s">
        <v>10152</v>
      </c>
    </row>
    <row r="4740" spans="3:4">
      <c r="C4740" s="21" t="s">
        <v>8873</v>
      </c>
      <c r="D4740" s="21" t="s">
        <v>10163</v>
      </c>
    </row>
    <row r="4741" spans="3:4">
      <c r="C4741" s="21" t="s">
        <v>8874</v>
      </c>
      <c r="D4741" s="21" t="s">
        <v>10174</v>
      </c>
    </row>
    <row r="4742" spans="3:4">
      <c r="C4742" s="21" t="s">
        <v>8875</v>
      </c>
      <c r="D4742" s="21" t="s">
        <v>10196</v>
      </c>
    </row>
    <row r="4743" spans="3:4">
      <c r="C4743" s="21" t="s">
        <v>8876</v>
      </c>
      <c r="D4743" s="21" t="s">
        <v>10210</v>
      </c>
    </row>
    <row r="4744" spans="3:4">
      <c r="C4744" s="21" t="s">
        <v>8877</v>
      </c>
      <c r="D4744" s="21" t="s">
        <v>10220</v>
      </c>
    </row>
    <row r="4745" spans="3:4">
      <c r="C4745" s="21" t="s">
        <v>8878</v>
      </c>
      <c r="D4745" s="21" t="s">
        <v>10237</v>
      </c>
    </row>
    <row r="4746" spans="3:4">
      <c r="C4746" s="21" t="s">
        <v>8879</v>
      </c>
      <c r="D4746" s="21" t="s">
        <v>10238</v>
      </c>
    </row>
    <row r="4747" spans="3:4">
      <c r="C4747" s="21" t="s">
        <v>8880</v>
      </c>
      <c r="D4747" s="21" t="s">
        <v>10253</v>
      </c>
    </row>
    <row r="4748" spans="3:4">
      <c r="C4748" s="21" t="s">
        <v>8881</v>
      </c>
      <c r="D4748" s="21" t="s">
        <v>10256</v>
      </c>
    </row>
    <row r="4749" spans="3:4">
      <c r="C4749" s="21" t="s">
        <v>8882</v>
      </c>
      <c r="D4749" s="21" t="s">
        <v>10257</v>
      </c>
    </row>
    <row r="4750" spans="3:4">
      <c r="C4750" s="21" t="s">
        <v>8884</v>
      </c>
      <c r="D4750" s="21" t="s">
        <v>10258</v>
      </c>
    </row>
    <row r="4751" spans="3:4">
      <c r="C4751" s="21" t="s">
        <v>8885</v>
      </c>
      <c r="D4751" s="21" t="s">
        <v>10259</v>
      </c>
    </row>
    <row r="4752" spans="3:4">
      <c r="C4752" s="21" t="s">
        <v>8886</v>
      </c>
      <c r="D4752" s="21" t="s">
        <v>10260</v>
      </c>
    </row>
    <row r="4753" spans="3:4">
      <c r="C4753" s="21" t="s">
        <v>8887</v>
      </c>
      <c r="D4753" s="21" t="s">
        <v>10261</v>
      </c>
    </row>
    <row r="4754" spans="3:4">
      <c r="C4754" s="21" t="s">
        <v>8888</v>
      </c>
      <c r="D4754" s="21" t="s">
        <v>10262</v>
      </c>
    </row>
    <row r="4755" spans="3:4">
      <c r="C4755" s="21" t="s">
        <v>8889</v>
      </c>
      <c r="D4755" s="21" t="s">
        <v>10263</v>
      </c>
    </row>
    <row r="4756" spans="3:4">
      <c r="C4756" s="21" t="s">
        <v>8890</v>
      </c>
      <c r="D4756" s="21" t="s">
        <v>10277</v>
      </c>
    </row>
    <row r="4757" spans="3:4">
      <c r="C4757" s="21" t="s">
        <v>8891</v>
      </c>
      <c r="D4757" s="21" t="s">
        <v>10289</v>
      </c>
    </row>
    <row r="4758" spans="3:4">
      <c r="C4758" s="21" t="s">
        <v>8892</v>
      </c>
      <c r="D4758" s="21" t="s">
        <v>10300</v>
      </c>
    </row>
    <row r="4759" spans="3:4">
      <c r="C4759" s="21" t="s">
        <v>8893</v>
      </c>
      <c r="D4759" s="21" t="s">
        <v>10317</v>
      </c>
    </row>
    <row r="4760" spans="3:4">
      <c r="C4760" s="21" t="s">
        <v>8894</v>
      </c>
      <c r="D4760" s="21" t="s">
        <v>10333</v>
      </c>
    </row>
    <row r="4761" spans="3:4">
      <c r="C4761" s="21" t="s">
        <v>8895</v>
      </c>
      <c r="D4761" s="21" t="s">
        <v>10355</v>
      </c>
    </row>
    <row r="4762" spans="3:4">
      <c r="C4762" s="21" t="s">
        <v>8896</v>
      </c>
      <c r="D4762" s="21" t="s">
        <v>10369</v>
      </c>
    </row>
    <row r="4763" spans="3:4">
      <c r="C4763" s="21" t="s">
        <v>8898</v>
      </c>
      <c r="D4763" s="21" t="s">
        <v>10384</v>
      </c>
    </row>
    <row r="4764" spans="3:4">
      <c r="C4764" s="21" t="s">
        <v>8899</v>
      </c>
      <c r="D4764" s="21" t="s">
        <v>10398</v>
      </c>
    </row>
    <row r="4765" spans="3:4">
      <c r="C4765" s="21" t="s">
        <v>8900</v>
      </c>
      <c r="D4765" s="21" t="s">
        <v>10399</v>
      </c>
    </row>
    <row r="4766" spans="3:4">
      <c r="C4766" s="21" t="s">
        <v>8901</v>
      </c>
      <c r="D4766" s="21" t="s">
        <v>10418</v>
      </c>
    </row>
    <row r="4767" spans="3:4">
      <c r="C4767" s="21" t="s">
        <v>8902</v>
      </c>
      <c r="D4767" s="21" t="s">
        <v>10427</v>
      </c>
    </row>
    <row r="4768" spans="3:4">
      <c r="C4768" s="21" t="s">
        <v>8903</v>
      </c>
      <c r="D4768" s="21" t="s">
        <v>10477</v>
      </c>
    </row>
    <row r="4769" spans="3:4">
      <c r="C4769" s="21" t="s">
        <v>8904</v>
      </c>
      <c r="D4769" s="21" t="s">
        <v>10527</v>
      </c>
    </row>
    <row r="4770" spans="3:4">
      <c r="C4770" s="21" t="s">
        <v>8905</v>
      </c>
      <c r="D4770" s="21" t="s">
        <v>10549</v>
      </c>
    </row>
    <row r="4771" spans="3:4">
      <c r="C4771" s="21" t="s">
        <v>8907</v>
      </c>
      <c r="D4771" s="21" t="s">
        <v>10566</v>
      </c>
    </row>
    <row r="4772" spans="3:4">
      <c r="C4772" s="21" t="s">
        <v>8908</v>
      </c>
      <c r="D4772" s="21" t="s">
        <v>10573</v>
      </c>
    </row>
    <row r="4773" spans="3:4">
      <c r="C4773" s="21" t="s">
        <v>8910</v>
      </c>
      <c r="D4773" s="21" t="s">
        <v>10595</v>
      </c>
    </row>
    <row r="4774" spans="3:4">
      <c r="C4774" s="21" t="s">
        <v>8911</v>
      </c>
      <c r="D4774" s="21" t="s">
        <v>10633</v>
      </c>
    </row>
    <row r="4775" spans="3:4">
      <c r="C4775" s="21" t="s">
        <v>8912</v>
      </c>
      <c r="D4775" s="21" t="s">
        <v>10666</v>
      </c>
    </row>
    <row r="4776" spans="3:4">
      <c r="C4776" s="21" t="s">
        <v>8913</v>
      </c>
      <c r="D4776" s="21" t="s">
        <v>10720</v>
      </c>
    </row>
    <row r="4777" spans="3:4">
      <c r="C4777" s="21" t="s">
        <v>8914</v>
      </c>
      <c r="D4777" s="21" t="s">
        <v>10755</v>
      </c>
    </row>
    <row r="4778" spans="3:4">
      <c r="C4778" s="21" t="s">
        <v>8915</v>
      </c>
      <c r="D4778" s="21" t="s">
        <v>10785</v>
      </c>
    </row>
    <row r="4779" spans="3:4">
      <c r="C4779" s="21" t="s">
        <v>8916</v>
      </c>
      <c r="D4779" s="21" t="s">
        <v>10813</v>
      </c>
    </row>
    <row r="4780" spans="3:4">
      <c r="C4780" s="21" t="s">
        <v>8917</v>
      </c>
      <c r="D4780" s="21" t="s">
        <v>10838</v>
      </c>
    </row>
    <row r="4781" spans="3:4">
      <c r="C4781" s="21" t="s">
        <v>8918</v>
      </c>
      <c r="D4781" s="21" t="s">
        <v>10875</v>
      </c>
    </row>
    <row r="4782" spans="3:4">
      <c r="C4782" s="21" t="s">
        <v>8920</v>
      </c>
      <c r="D4782" s="21" t="s">
        <v>10924</v>
      </c>
    </row>
    <row r="4783" spans="3:4">
      <c r="C4783" s="21" t="s">
        <v>8921</v>
      </c>
      <c r="D4783" s="21" t="s">
        <v>10926</v>
      </c>
    </row>
    <row r="4784" spans="3:4">
      <c r="C4784" s="21" t="s">
        <v>8922</v>
      </c>
      <c r="D4784" s="21" t="s">
        <v>10933</v>
      </c>
    </row>
    <row r="4785" spans="3:4">
      <c r="C4785" s="21" t="s">
        <v>8923</v>
      </c>
      <c r="D4785" s="21" t="s">
        <v>10935</v>
      </c>
    </row>
    <row r="4786" spans="3:4">
      <c r="C4786" s="21" t="s">
        <v>8924</v>
      </c>
      <c r="D4786" s="21" t="s">
        <v>10964</v>
      </c>
    </row>
    <row r="4787" spans="3:4">
      <c r="C4787" s="21" t="s">
        <v>8925</v>
      </c>
      <c r="D4787" s="21" t="s">
        <v>10966</v>
      </c>
    </row>
    <row r="4788" spans="3:4">
      <c r="C4788" s="21" t="s">
        <v>8926</v>
      </c>
      <c r="D4788" s="21" t="s">
        <v>10969</v>
      </c>
    </row>
    <row r="4789" spans="3:4">
      <c r="C4789" s="21" t="s">
        <v>8928</v>
      </c>
      <c r="D4789" s="21" t="s">
        <v>11007</v>
      </c>
    </row>
    <row r="4790" spans="3:4">
      <c r="C4790" s="21" t="s">
        <v>8929</v>
      </c>
      <c r="D4790" s="21" t="s">
        <v>11013</v>
      </c>
    </row>
    <row r="4791" spans="3:4">
      <c r="C4791" s="21" t="s">
        <v>8930</v>
      </c>
      <c r="D4791" s="21"/>
    </row>
    <row r="4792" spans="3:4">
      <c r="C4792" s="21" t="s">
        <v>8931</v>
      </c>
      <c r="D4792" s="21"/>
    </row>
    <row r="4793" spans="3:4">
      <c r="C4793" s="21" t="s">
        <v>8932</v>
      </c>
      <c r="D4793" s="21"/>
    </row>
    <row r="4794" spans="3:4">
      <c r="C4794" s="21" t="s">
        <v>8933</v>
      </c>
      <c r="D4794" s="21"/>
    </row>
    <row r="4795" spans="3:4">
      <c r="C4795" s="21" t="s">
        <v>8935</v>
      </c>
      <c r="D4795" s="21"/>
    </row>
    <row r="4796" spans="3:4">
      <c r="C4796" s="21" t="s">
        <v>8936</v>
      </c>
      <c r="D4796" s="21"/>
    </row>
    <row r="4797" spans="3:4">
      <c r="C4797" s="21" t="s">
        <v>8937</v>
      </c>
      <c r="D4797" s="21"/>
    </row>
    <row r="4798" spans="3:4">
      <c r="C4798" s="21" t="s">
        <v>8938</v>
      </c>
      <c r="D4798" s="21"/>
    </row>
    <row r="4799" spans="3:4">
      <c r="C4799" s="21" t="s">
        <v>8939</v>
      </c>
      <c r="D4799" s="21"/>
    </row>
    <row r="4800" spans="3:4">
      <c r="C4800" s="21" t="s">
        <v>8940</v>
      </c>
      <c r="D4800" s="21"/>
    </row>
    <row r="4801" spans="3:4">
      <c r="C4801" s="21" t="s">
        <v>8941</v>
      </c>
      <c r="D4801" s="21"/>
    </row>
    <row r="4802" spans="3:4">
      <c r="C4802" s="21" t="s">
        <v>8942</v>
      </c>
      <c r="D4802" s="21"/>
    </row>
    <row r="4803" spans="3:4">
      <c r="C4803" s="21" t="s">
        <v>8944</v>
      </c>
      <c r="D4803" s="21"/>
    </row>
    <row r="4804" spans="3:4">
      <c r="C4804" s="21" t="s">
        <v>8945</v>
      </c>
      <c r="D4804" s="21"/>
    </row>
    <row r="4805" spans="3:4">
      <c r="C4805" s="21" t="s">
        <v>8946</v>
      </c>
      <c r="D4805" s="21"/>
    </row>
    <row r="4806" spans="3:4">
      <c r="C4806" s="21" t="s">
        <v>8947</v>
      </c>
      <c r="D4806" s="21"/>
    </row>
    <row r="4807" spans="3:4">
      <c r="C4807" s="21" t="s">
        <v>8948</v>
      </c>
      <c r="D4807" s="21"/>
    </row>
    <row r="4808" spans="3:4">
      <c r="C4808" s="21" t="s">
        <v>8949</v>
      </c>
      <c r="D4808" s="21"/>
    </row>
    <row r="4809" spans="3:4">
      <c r="C4809" s="21" t="s">
        <v>8950</v>
      </c>
      <c r="D4809" s="21"/>
    </row>
    <row r="4810" spans="3:4">
      <c r="C4810" s="21" t="s">
        <v>8951</v>
      </c>
      <c r="D4810" s="21"/>
    </row>
    <row r="4811" spans="3:4">
      <c r="C4811" s="21" t="s">
        <v>8952</v>
      </c>
      <c r="D4811" s="21"/>
    </row>
    <row r="4812" spans="3:4">
      <c r="C4812" s="21" t="s">
        <v>8953</v>
      </c>
      <c r="D4812" s="21"/>
    </row>
    <row r="4813" spans="3:4">
      <c r="C4813" s="21" t="s">
        <v>8954</v>
      </c>
      <c r="D4813" s="21"/>
    </row>
    <row r="4814" spans="3:4">
      <c r="C4814" s="21" t="s">
        <v>8956</v>
      </c>
      <c r="D4814" s="21"/>
    </row>
    <row r="4815" spans="3:4">
      <c r="C4815" s="21" t="s">
        <v>8957</v>
      </c>
      <c r="D4815" s="21"/>
    </row>
    <row r="4816" spans="3:4">
      <c r="C4816" s="21" t="s">
        <v>8958</v>
      </c>
      <c r="D4816" s="21"/>
    </row>
    <row r="4817" spans="3:4">
      <c r="C4817" s="21" t="s">
        <v>8959</v>
      </c>
      <c r="D4817" s="21"/>
    </row>
    <row r="4818" spans="3:4">
      <c r="C4818" s="21" t="s">
        <v>8960</v>
      </c>
      <c r="D4818" s="21"/>
    </row>
    <row r="4819" spans="3:4">
      <c r="C4819" s="21" t="s">
        <v>8961</v>
      </c>
      <c r="D4819" s="21"/>
    </row>
    <row r="4820" spans="3:4">
      <c r="C4820" s="21" t="s">
        <v>8962</v>
      </c>
      <c r="D4820" s="21"/>
    </row>
    <row r="4821" spans="3:4">
      <c r="C4821" s="21" t="s">
        <v>8963</v>
      </c>
      <c r="D4821" s="21"/>
    </row>
    <row r="4822" spans="3:4">
      <c r="C4822" s="21" t="s">
        <v>8964</v>
      </c>
      <c r="D4822" s="21"/>
    </row>
    <row r="4823" spans="3:4">
      <c r="C4823" s="21" t="s">
        <v>8966</v>
      </c>
      <c r="D4823" s="21"/>
    </row>
    <row r="4824" spans="3:4">
      <c r="C4824" s="21" t="s">
        <v>8967</v>
      </c>
      <c r="D4824" s="21"/>
    </row>
    <row r="4825" spans="3:4">
      <c r="C4825" s="21" t="s">
        <v>8968</v>
      </c>
      <c r="D4825" s="21"/>
    </row>
    <row r="4826" spans="3:4">
      <c r="C4826" s="21" t="s">
        <v>8969</v>
      </c>
      <c r="D4826" s="21"/>
    </row>
    <row r="4827" spans="3:4">
      <c r="C4827" s="21" t="s">
        <v>8971</v>
      </c>
      <c r="D4827" s="21"/>
    </row>
    <row r="4828" spans="3:4">
      <c r="C4828" s="21" t="s">
        <v>8972</v>
      </c>
      <c r="D4828" s="21"/>
    </row>
    <row r="4829" spans="3:4">
      <c r="C4829" s="21" t="s">
        <v>8973</v>
      </c>
      <c r="D4829" s="21"/>
    </row>
    <row r="4830" spans="3:4">
      <c r="C4830" s="21" t="s">
        <v>8974</v>
      </c>
      <c r="D4830" s="21"/>
    </row>
    <row r="4831" spans="3:4">
      <c r="C4831" s="21" t="s">
        <v>8975</v>
      </c>
      <c r="D4831" s="21"/>
    </row>
    <row r="4832" spans="3:4">
      <c r="C4832" s="21" t="s">
        <v>8976</v>
      </c>
      <c r="D4832" s="21"/>
    </row>
    <row r="4833" spans="3:4">
      <c r="C4833" s="21" t="s">
        <v>8977</v>
      </c>
      <c r="D4833" s="21"/>
    </row>
    <row r="4834" spans="3:4">
      <c r="C4834" s="21" t="s">
        <v>8978</v>
      </c>
      <c r="D4834" s="21"/>
    </row>
    <row r="4835" spans="3:4">
      <c r="C4835" s="21" t="s">
        <v>8979</v>
      </c>
      <c r="D4835" s="21"/>
    </row>
    <row r="4836" spans="3:4">
      <c r="C4836" s="21" t="s">
        <v>8980</v>
      </c>
      <c r="D4836" s="21"/>
    </row>
    <row r="4837" spans="3:4">
      <c r="C4837" s="21" t="s">
        <v>8981</v>
      </c>
      <c r="D4837" s="21"/>
    </row>
    <row r="4838" spans="3:4">
      <c r="C4838" s="21" t="s">
        <v>8982</v>
      </c>
      <c r="D4838" s="21"/>
    </row>
    <row r="4839" spans="3:4">
      <c r="C4839" s="21" t="s">
        <v>8984</v>
      </c>
      <c r="D4839" s="21"/>
    </row>
    <row r="4840" spans="3:4">
      <c r="C4840" s="21" t="s">
        <v>8985</v>
      </c>
      <c r="D4840" s="21"/>
    </row>
    <row r="4841" spans="3:4">
      <c r="C4841" s="21" t="s">
        <v>8986</v>
      </c>
      <c r="D4841" s="21"/>
    </row>
    <row r="4842" spans="3:4">
      <c r="C4842" s="21" t="s">
        <v>8987</v>
      </c>
      <c r="D4842" s="21"/>
    </row>
    <row r="4843" spans="3:4">
      <c r="C4843" s="21" t="s">
        <v>8988</v>
      </c>
      <c r="D4843" s="21"/>
    </row>
    <row r="4844" spans="3:4">
      <c r="C4844" s="21" t="s">
        <v>8989</v>
      </c>
      <c r="D4844" s="21"/>
    </row>
    <row r="4845" spans="3:4">
      <c r="C4845" s="21" t="s">
        <v>8990</v>
      </c>
      <c r="D4845" s="21"/>
    </row>
    <row r="4846" spans="3:4">
      <c r="C4846" s="21" t="s">
        <v>8991</v>
      </c>
      <c r="D4846" s="21"/>
    </row>
    <row r="4847" spans="3:4">
      <c r="C4847" s="21" t="s">
        <v>8992</v>
      </c>
      <c r="D4847" s="21"/>
    </row>
    <row r="4848" spans="3:4">
      <c r="C4848" s="21" t="s">
        <v>8993</v>
      </c>
      <c r="D4848" s="21"/>
    </row>
    <row r="4849" spans="3:4">
      <c r="C4849" s="21" t="s">
        <v>8994</v>
      </c>
      <c r="D4849" s="21"/>
    </row>
    <row r="4850" spans="3:4">
      <c r="C4850" s="21" t="s">
        <v>8995</v>
      </c>
      <c r="D4850" s="21"/>
    </row>
    <row r="4851" spans="3:4">
      <c r="C4851" s="21" t="s">
        <v>8996</v>
      </c>
      <c r="D4851" s="21"/>
    </row>
    <row r="4852" spans="3:4">
      <c r="C4852" s="21" t="s">
        <v>8997</v>
      </c>
      <c r="D4852" s="21"/>
    </row>
    <row r="4853" spans="3:4">
      <c r="C4853" s="21" t="s">
        <v>8998</v>
      </c>
      <c r="D4853" s="21"/>
    </row>
    <row r="4854" spans="3:4">
      <c r="C4854" s="21" t="s">
        <v>9000</v>
      </c>
      <c r="D4854" s="21"/>
    </row>
    <row r="4855" spans="3:4">
      <c r="C4855" s="21" t="s">
        <v>9001</v>
      </c>
      <c r="D4855" s="21"/>
    </row>
    <row r="4856" spans="3:4">
      <c r="C4856" s="21" t="s">
        <v>9002</v>
      </c>
      <c r="D4856" s="21"/>
    </row>
    <row r="4857" spans="3:4">
      <c r="C4857" s="21" t="s">
        <v>9003</v>
      </c>
      <c r="D4857" s="21"/>
    </row>
    <row r="4858" spans="3:4">
      <c r="C4858" s="21" t="s">
        <v>9004</v>
      </c>
      <c r="D4858" s="21"/>
    </row>
    <row r="4859" spans="3:4">
      <c r="C4859" s="21" t="s">
        <v>9006</v>
      </c>
      <c r="D4859" s="21"/>
    </row>
    <row r="4860" spans="3:4">
      <c r="C4860" s="21" t="s">
        <v>9008</v>
      </c>
      <c r="D4860" s="21"/>
    </row>
    <row r="4861" spans="3:4">
      <c r="C4861" s="21" t="s">
        <v>9009</v>
      </c>
      <c r="D4861" s="21"/>
    </row>
    <row r="4862" spans="3:4">
      <c r="C4862" s="21" t="s">
        <v>9010</v>
      </c>
      <c r="D4862" s="21"/>
    </row>
    <row r="4863" spans="3:4">
      <c r="C4863" s="21" t="s">
        <v>9011</v>
      </c>
      <c r="D4863" s="21"/>
    </row>
    <row r="4864" spans="3:4">
      <c r="C4864" s="21" t="s">
        <v>9012</v>
      </c>
      <c r="D4864" s="21"/>
    </row>
    <row r="4865" spans="3:4">
      <c r="C4865" s="21" t="s">
        <v>9013</v>
      </c>
      <c r="D4865" s="21"/>
    </row>
    <row r="4866" spans="3:4">
      <c r="C4866" s="21" t="s">
        <v>9014</v>
      </c>
      <c r="D4866" s="21"/>
    </row>
    <row r="4867" spans="3:4">
      <c r="C4867" s="21" t="s">
        <v>9016</v>
      </c>
      <c r="D4867" s="21"/>
    </row>
    <row r="4868" spans="3:4">
      <c r="C4868" s="21" t="s">
        <v>9017</v>
      </c>
      <c r="D4868" s="21"/>
    </row>
    <row r="4869" spans="3:4">
      <c r="C4869" s="21" t="s">
        <v>9018</v>
      </c>
      <c r="D4869" s="21"/>
    </row>
    <row r="4870" spans="3:4">
      <c r="C4870" s="21" t="s">
        <v>9019</v>
      </c>
      <c r="D4870" s="21"/>
    </row>
    <row r="4871" spans="3:4">
      <c r="C4871" s="21" t="s">
        <v>9020</v>
      </c>
      <c r="D4871" s="21"/>
    </row>
    <row r="4872" spans="3:4">
      <c r="C4872" s="21" t="s">
        <v>9021</v>
      </c>
      <c r="D4872" s="21"/>
    </row>
    <row r="4873" spans="3:4">
      <c r="C4873" s="21" t="s">
        <v>9022</v>
      </c>
      <c r="D4873" s="21"/>
    </row>
    <row r="4874" spans="3:4">
      <c r="C4874" s="21" t="s">
        <v>9023</v>
      </c>
      <c r="D4874" s="21"/>
    </row>
    <row r="4875" spans="3:4">
      <c r="C4875" s="21" t="s">
        <v>9024</v>
      </c>
      <c r="D4875" s="21"/>
    </row>
    <row r="4876" spans="3:4">
      <c r="C4876" s="21" t="s">
        <v>9025</v>
      </c>
      <c r="D4876" s="21"/>
    </row>
    <row r="4877" spans="3:4">
      <c r="C4877" s="21" t="s">
        <v>9026</v>
      </c>
      <c r="D4877" s="21"/>
    </row>
    <row r="4878" spans="3:4">
      <c r="C4878" s="21" t="s">
        <v>9027</v>
      </c>
      <c r="D4878" s="21"/>
    </row>
    <row r="4879" spans="3:4">
      <c r="C4879" s="21" t="s">
        <v>9028</v>
      </c>
      <c r="D4879" s="21"/>
    </row>
    <row r="4880" spans="3:4">
      <c r="C4880" s="21" t="s">
        <v>9029</v>
      </c>
      <c r="D4880" s="21"/>
    </row>
    <row r="4881" spans="3:4">
      <c r="C4881" s="21" t="s">
        <v>9030</v>
      </c>
      <c r="D4881" s="21"/>
    </row>
    <row r="4882" spans="3:4">
      <c r="C4882" s="21" t="s">
        <v>9031</v>
      </c>
      <c r="D4882" s="21"/>
    </row>
    <row r="4883" spans="3:4">
      <c r="C4883" s="21" t="s">
        <v>9032</v>
      </c>
      <c r="D4883" s="21"/>
    </row>
    <row r="4884" spans="3:4">
      <c r="C4884" s="21" t="s">
        <v>9033</v>
      </c>
      <c r="D4884" s="21"/>
    </row>
    <row r="4885" spans="3:4">
      <c r="C4885" s="21" t="s">
        <v>9034</v>
      </c>
      <c r="D4885" s="21"/>
    </row>
    <row r="4886" spans="3:4">
      <c r="C4886" s="21" t="s">
        <v>9035</v>
      </c>
      <c r="D4886" s="21"/>
    </row>
    <row r="4887" spans="3:4">
      <c r="C4887" s="21" t="s">
        <v>9036</v>
      </c>
      <c r="D4887" s="21"/>
    </row>
    <row r="4888" spans="3:4">
      <c r="C4888" s="21" t="s">
        <v>9037</v>
      </c>
      <c r="D4888" s="21"/>
    </row>
    <row r="4889" spans="3:4">
      <c r="C4889" s="21" t="s">
        <v>9038</v>
      </c>
      <c r="D4889" s="21"/>
    </row>
    <row r="4890" spans="3:4">
      <c r="C4890" s="21" t="s">
        <v>9039</v>
      </c>
      <c r="D4890" s="21"/>
    </row>
    <row r="4891" spans="3:4">
      <c r="C4891" s="21" t="s">
        <v>9040</v>
      </c>
      <c r="D4891" s="21"/>
    </row>
    <row r="4892" spans="3:4">
      <c r="C4892" s="21" t="s">
        <v>9041</v>
      </c>
      <c r="D4892" s="21"/>
    </row>
    <row r="4893" spans="3:4">
      <c r="C4893" s="21" t="s">
        <v>9042</v>
      </c>
      <c r="D4893" s="21"/>
    </row>
    <row r="4894" spans="3:4">
      <c r="C4894" s="21" t="s">
        <v>9043</v>
      </c>
      <c r="D4894" s="21"/>
    </row>
    <row r="4895" spans="3:4">
      <c r="C4895" s="21" t="s">
        <v>9044</v>
      </c>
      <c r="D4895" s="21"/>
    </row>
    <row r="4896" spans="3:4">
      <c r="C4896" s="21" t="s">
        <v>9045</v>
      </c>
      <c r="D4896" s="21"/>
    </row>
    <row r="4897" spans="3:4">
      <c r="C4897" s="21" t="s">
        <v>9046</v>
      </c>
      <c r="D4897" s="21"/>
    </row>
    <row r="4898" spans="3:4">
      <c r="C4898" s="21" t="s">
        <v>9047</v>
      </c>
      <c r="D4898" s="21"/>
    </row>
    <row r="4899" spans="3:4">
      <c r="C4899" s="21" t="s">
        <v>9048</v>
      </c>
      <c r="D4899" s="21"/>
    </row>
    <row r="4900" spans="3:4">
      <c r="C4900" s="21" t="s">
        <v>9049</v>
      </c>
      <c r="D4900" s="21"/>
    </row>
    <row r="4901" spans="3:4">
      <c r="C4901" s="21" t="s">
        <v>9050</v>
      </c>
      <c r="D4901" s="21"/>
    </row>
    <row r="4902" spans="3:4">
      <c r="C4902" s="21" t="s">
        <v>9051</v>
      </c>
      <c r="D4902" s="21"/>
    </row>
    <row r="4903" spans="3:4">
      <c r="C4903" s="21" t="s">
        <v>9052</v>
      </c>
      <c r="D4903" s="21"/>
    </row>
    <row r="4904" spans="3:4">
      <c r="C4904" s="21" t="s">
        <v>9053</v>
      </c>
      <c r="D4904" s="21"/>
    </row>
    <row r="4905" spans="3:4">
      <c r="C4905" s="21" t="s">
        <v>9054</v>
      </c>
      <c r="D4905" s="21"/>
    </row>
    <row r="4906" spans="3:4">
      <c r="C4906" s="21" t="s">
        <v>9055</v>
      </c>
      <c r="D4906" s="21"/>
    </row>
    <row r="4907" spans="3:4">
      <c r="C4907" s="21" t="s">
        <v>9056</v>
      </c>
      <c r="D4907" s="21"/>
    </row>
    <row r="4908" spans="3:4">
      <c r="C4908" s="21" t="s">
        <v>9057</v>
      </c>
      <c r="D4908" s="21"/>
    </row>
    <row r="4909" spans="3:4">
      <c r="C4909" s="21" t="s">
        <v>9058</v>
      </c>
      <c r="D4909" s="21"/>
    </row>
    <row r="4910" spans="3:4">
      <c r="C4910" s="21" t="s">
        <v>9059</v>
      </c>
      <c r="D4910" s="21"/>
    </row>
    <row r="4911" spans="3:4">
      <c r="C4911" s="21" t="s">
        <v>9060</v>
      </c>
      <c r="D4911" s="21"/>
    </row>
    <row r="4912" spans="3:4">
      <c r="C4912" s="21" t="s">
        <v>9061</v>
      </c>
      <c r="D4912" s="21"/>
    </row>
    <row r="4913" spans="3:4">
      <c r="C4913" s="21" t="s">
        <v>9062</v>
      </c>
      <c r="D4913" s="21"/>
    </row>
    <row r="4914" spans="3:4">
      <c r="C4914" s="21" t="s">
        <v>9063</v>
      </c>
      <c r="D4914" s="21"/>
    </row>
    <row r="4915" spans="3:4">
      <c r="C4915" s="21" t="s">
        <v>9064</v>
      </c>
      <c r="D4915" s="21"/>
    </row>
    <row r="4916" spans="3:4">
      <c r="C4916" s="21" t="s">
        <v>9065</v>
      </c>
      <c r="D4916" s="21"/>
    </row>
    <row r="4917" spans="3:4">
      <c r="C4917" s="21" t="s">
        <v>9066</v>
      </c>
      <c r="D4917" s="21"/>
    </row>
    <row r="4918" spans="3:4">
      <c r="C4918" s="21" t="s">
        <v>9067</v>
      </c>
      <c r="D4918" s="21"/>
    </row>
    <row r="4919" spans="3:4">
      <c r="C4919" s="21" t="s">
        <v>9068</v>
      </c>
      <c r="D4919" s="21"/>
    </row>
    <row r="4920" spans="3:4">
      <c r="C4920" s="21" t="s">
        <v>9069</v>
      </c>
      <c r="D4920" s="21"/>
    </row>
    <row r="4921" spans="3:4">
      <c r="C4921" s="21" t="s">
        <v>9070</v>
      </c>
      <c r="D4921" s="21"/>
    </row>
    <row r="4922" spans="3:4">
      <c r="C4922" s="21" t="s">
        <v>9071</v>
      </c>
      <c r="D4922" s="21"/>
    </row>
    <row r="4923" spans="3:4">
      <c r="C4923" s="21" t="s">
        <v>9072</v>
      </c>
      <c r="D4923" s="21"/>
    </row>
    <row r="4924" spans="3:4">
      <c r="C4924" s="21" t="s">
        <v>9073</v>
      </c>
      <c r="D4924" s="21"/>
    </row>
    <row r="4925" spans="3:4">
      <c r="C4925" s="21" t="s">
        <v>9074</v>
      </c>
      <c r="D4925" s="21"/>
    </row>
    <row r="4926" spans="3:4">
      <c r="C4926" s="21" t="s">
        <v>9075</v>
      </c>
      <c r="D4926" s="21"/>
    </row>
    <row r="4927" spans="3:4">
      <c r="C4927" s="21" t="s">
        <v>9076</v>
      </c>
      <c r="D4927" s="21"/>
    </row>
    <row r="4928" spans="3:4">
      <c r="C4928" s="21" t="s">
        <v>9077</v>
      </c>
      <c r="D4928" s="21"/>
    </row>
    <row r="4929" spans="3:4">
      <c r="C4929" s="21" t="s">
        <v>9078</v>
      </c>
      <c r="D4929" s="21"/>
    </row>
    <row r="4930" spans="3:4">
      <c r="C4930" s="21" t="s">
        <v>9079</v>
      </c>
      <c r="D4930" s="21"/>
    </row>
    <row r="4931" spans="3:4">
      <c r="C4931" s="21" t="s">
        <v>9080</v>
      </c>
      <c r="D4931" s="21"/>
    </row>
    <row r="4932" spans="3:4">
      <c r="C4932" s="21" t="s">
        <v>9081</v>
      </c>
      <c r="D4932" s="21"/>
    </row>
    <row r="4933" spans="3:4">
      <c r="C4933" s="21" t="s">
        <v>9082</v>
      </c>
      <c r="D4933" s="21"/>
    </row>
    <row r="4934" spans="3:4">
      <c r="C4934" s="21" t="s">
        <v>9083</v>
      </c>
      <c r="D4934" s="21"/>
    </row>
    <row r="4935" spans="3:4">
      <c r="C4935" s="21" t="s">
        <v>9084</v>
      </c>
      <c r="D4935" s="21"/>
    </row>
    <row r="4936" spans="3:4">
      <c r="C4936" s="21" t="s">
        <v>9085</v>
      </c>
      <c r="D4936" s="21"/>
    </row>
    <row r="4937" spans="3:4">
      <c r="C4937" s="21" t="s">
        <v>9086</v>
      </c>
      <c r="D4937" s="21"/>
    </row>
    <row r="4938" spans="3:4">
      <c r="C4938" s="21" t="s">
        <v>9087</v>
      </c>
      <c r="D4938" s="21"/>
    </row>
    <row r="4939" spans="3:4">
      <c r="C4939" s="21" t="s">
        <v>9088</v>
      </c>
      <c r="D4939" s="21"/>
    </row>
    <row r="4940" spans="3:4">
      <c r="C4940" s="21" t="s">
        <v>9089</v>
      </c>
      <c r="D4940" s="21"/>
    </row>
    <row r="4941" spans="3:4">
      <c r="C4941" s="21" t="s">
        <v>9091</v>
      </c>
      <c r="D4941" s="21"/>
    </row>
    <row r="4942" spans="3:4">
      <c r="C4942" s="21" t="s">
        <v>9092</v>
      </c>
      <c r="D4942" s="21"/>
    </row>
    <row r="4943" spans="3:4">
      <c r="C4943" s="21" t="s">
        <v>9093</v>
      </c>
      <c r="D4943" s="21"/>
    </row>
    <row r="4944" spans="3:4">
      <c r="C4944" s="21" t="s">
        <v>9094</v>
      </c>
      <c r="D4944" s="21"/>
    </row>
    <row r="4945" spans="3:4">
      <c r="C4945" s="21" t="s">
        <v>9095</v>
      </c>
      <c r="D4945" s="21"/>
    </row>
    <row r="4946" spans="3:4">
      <c r="C4946" s="21" t="s">
        <v>9096</v>
      </c>
      <c r="D4946" s="21"/>
    </row>
    <row r="4947" spans="3:4">
      <c r="C4947" s="21" t="s">
        <v>9097</v>
      </c>
      <c r="D4947" s="21"/>
    </row>
    <row r="4948" spans="3:4">
      <c r="C4948" s="21" t="s">
        <v>9098</v>
      </c>
      <c r="D4948" s="21"/>
    </row>
    <row r="4949" spans="3:4">
      <c r="C4949" s="21" t="s">
        <v>9099</v>
      </c>
      <c r="D4949" s="21"/>
    </row>
    <row r="4950" spans="3:4">
      <c r="C4950" s="21" t="s">
        <v>9100</v>
      </c>
      <c r="D4950" s="21"/>
    </row>
    <row r="4951" spans="3:4">
      <c r="C4951" s="21" t="s">
        <v>9101</v>
      </c>
      <c r="D4951" s="21"/>
    </row>
    <row r="4952" spans="3:4">
      <c r="C4952" s="21" t="s">
        <v>9102</v>
      </c>
      <c r="D4952" s="21"/>
    </row>
    <row r="4953" spans="3:4">
      <c r="C4953" s="21" t="s">
        <v>9103</v>
      </c>
      <c r="D4953" s="21"/>
    </row>
    <row r="4954" spans="3:4">
      <c r="C4954" s="21" t="s">
        <v>9104</v>
      </c>
      <c r="D4954" s="21"/>
    </row>
    <row r="4955" spans="3:4">
      <c r="C4955" s="21" t="s">
        <v>9105</v>
      </c>
      <c r="D4955" s="21"/>
    </row>
    <row r="4956" spans="3:4">
      <c r="C4956" s="21" t="s">
        <v>9106</v>
      </c>
      <c r="D4956" s="21"/>
    </row>
    <row r="4957" spans="3:4">
      <c r="C4957" s="21" t="s">
        <v>9107</v>
      </c>
      <c r="D4957" s="21"/>
    </row>
    <row r="4958" spans="3:4">
      <c r="C4958" s="21" t="s">
        <v>9108</v>
      </c>
      <c r="D4958" s="21"/>
    </row>
    <row r="4959" spans="3:4">
      <c r="C4959" s="21" t="s">
        <v>9109</v>
      </c>
      <c r="D4959" s="21"/>
    </row>
    <row r="4960" spans="3:4">
      <c r="C4960" s="21" t="s">
        <v>9110</v>
      </c>
      <c r="D4960" s="21"/>
    </row>
    <row r="4961" spans="3:4">
      <c r="C4961" s="21" t="s">
        <v>9111</v>
      </c>
      <c r="D4961" s="21"/>
    </row>
    <row r="4962" spans="3:4">
      <c r="C4962" s="21" t="s">
        <v>9112</v>
      </c>
      <c r="D4962" s="21"/>
    </row>
    <row r="4963" spans="3:4">
      <c r="C4963" s="21" t="s">
        <v>9113</v>
      </c>
      <c r="D4963" s="21"/>
    </row>
    <row r="4964" spans="3:4">
      <c r="C4964" s="21" t="s">
        <v>9114</v>
      </c>
      <c r="D4964" s="21"/>
    </row>
    <row r="4965" spans="3:4">
      <c r="C4965" s="21" t="s">
        <v>9115</v>
      </c>
      <c r="D4965" s="21"/>
    </row>
    <row r="4966" spans="3:4">
      <c r="C4966" s="21" t="s">
        <v>9116</v>
      </c>
      <c r="D4966" s="21"/>
    </row>
    <row r="4967" spans="3:4">
      <c r="C4967" s="21" t="s">
        <v>9117</v>
      </c>
      <c r="D4967" s="21"/>
    </row>
    <row r="4968" spans="3:4">
      <c r="C4968" s="21" t="s">
        <v>9118</v>
      </c>
      <c r="D4968" s="21"/>
    </row>
    <row r="4969" spans="3:4">
      <c r="C4969" s="21" t="s">
        <v>9119</v>
      </c>
      <c r="D4969" s="21"/>
    </row>
    <row r="4970" spans="3:4">
      <c r="C4970" s="21" t="s">
        <v>9120</v>
      </c>
      <c r="D4970" s="21"/>
    </row>
    <row r="4971" spans="3:4">
      <c r="C4971" s="21" t="s">
        <v>9121</v>
      </c>
      <c r="D4971" s="21"/>
    </row>
    <row r="4972" spans="3:4">
      <c r="C4972" s="21" t="s">
        <v>9122</v>
      </c>
      <c r="D4972" s="21"/>
    </row>
    <row r="4973" spans="3:4">
      <c r="C4973" s="21" t="s">
        <v>9123</v>
      </c>
      <c r="D4973" s="21"/>
    </row>
    <row r="4974" spans="3:4">
      <c r="C4974" s="21" t="s">
        <v>9124</v>
      </c>
      <c r="D4974" s="21"/>
    </row>
    <row r="4975" spans="3:4">
      <c r="C4975" s="21" t="s">
        <v>9125</v>
      </c>
      <c r="D4975" s="21"/>
    </row>
    <row r="4976" spans="3:4">
      <c r="C4976" s="21" t="s">
        <v>9126</v>
      </c>
      <c r="D4976" s="21"/>
    </row>
    <row r="4977" spans="3:4">
      <c r="C4977" s="21" t="s">
        <v>9127</v>
      </c>
      <c r="D4977" s="21"/>
    </row>
    <row r="4978" spans="3:4">
      <c r="C4978" s="21" t="s">
        <v>9128</v>
      </c>
      <c r="D4978" s="21"/>
    </row>
    <row r="4979" spans="3:4">
      <c r="C4979" s="21" t="s">
        <v>9129</v>
      </c>
      <c r="D4979" s="21"/>
    </row>
    <row r="4980" spans="3:4">
      <c r="C4980" s="21" t="s">
        <v>9130</v>
      </c>
      <c r="D4980" s="21"/>
    </row>
    <row r="4981" spans="3:4">
      <c r="C4981" s="21" t="s">
        <v>9131</v>
      </c>
      <c r="D4981" s="21"/>
    </row>
    <row r="4982" spans="3:4">
      <c r="C4982" s="21" t="s">
        <v>9132</v>
      </c>
      <c r="D4982" s="21"/>
    </row>
    <row r="4983" spans="3:4">
      <c r="C4983" s="21" t="s">
        <v>9133</v>
      </c>
      <c r="D4983" s="21"/>
    </row>
    <row r="4984" spans="3:4">
      <c r="C4984" s="21" t="s">
        <v>9134</v>
      </c>
      <c r="D4984" s="21"/>
    </row>
    <row r="4985" spans="3:4">
      <c r="C4985" s="21" t="s">
        <v>9135</v>
      </c>
      <c r="D4985" s="21"/>
    </row>
    <row r="4986" spans="3:4">
      <c r="C4986" s="21" t="s">
        <v>9136</v>
      </c>
      <c r="D4986" s="21"/>
    </row>
    <row r="4987" spans="3:4">
      <c r="C4987" s="21" t="s">
        <v>9137</v>
      </c>
      <c r="D4987" s="21"/>
    </row>
    <row r="4988" spans="3:4">
      <c r="C4988" s="21" t="s">
        <v>9138</v>
      </c>
      <c r="D4988" s="21"/>
    </row>
    <row r="4989" spans="3:4">
      <c r="C4989" s="21" t="s">
        <v>9139</v>
      </c>
      <c r="D4989" s="21"/>
    </row>
    <row r="4990" spans="3:4">
      <c r="C4990" s="21" t="s">
        <v>9140</v>
      </c>
      <c r="D4990" s="21"/>
    </row>
    <row r="4991" spans="3:4">
      <c r="C4991" s="21" t="s">
        <v>9141</v>
      </c>
      <c r="D4991" s="21"/>
    </row>
    <row r="4992" spans="3:4">
      <c r="C4992" s="21" t="s">
        <v>9142</v>
      </c>
      <c r="D4992" s="21"/>
    </row>
    <row r="4993" spans="3:4">
      <c r="C4993" s="21" t="s">
        <v>9143</v>
      </c>
      <c r="D4993" s="21"/>
    </row>
    <row r="4994" spans="3:4">
      <c r="C4994" s="21" t="s">
        <v>9144</v>
      </c>
      <c r="D4994" s="21"/>
    </row>
    <row r="4995" spans="3:4">
      <c r="C4995" s="21" t="s">
        <v>9145</v>
      </c>
      <c r="D4995" s="21"/>
    </row>
    <row r="4996" spans="3:4">
      <c r="C4996" s="21" t="s">
        <v>9146</v>
      </c>
      <c r="D4996" s="21"/>
    </row>
    <row r="4997" spans="3:4">
      <c r="C4997" s="21" t="s">
        <v>9147</v>
      </c>
      <c r="D4997" s="21"/>
    </row>
    <row r="4998" spans="3:4">
      <c r="C4998" s="21" t="s">
        <v>9148</v>
      </c>
      <c r="D4998" s="21"/>
    </row>
    <row r="4999" spans="3:4">
      <c r="C4999" s="21" t="s">
        <v>9149</v>
      </c>
      <c r="D4999" s="21"/>
    </row>
    <row r="5000" spans="3:4">
      <c r="C5000" s="21" t="s">
        <v>9150</v>
      </c>
      <c r="D5000" s="21"/>
    </row>
    <row r="5001" spans="3:4">
      <c r="C5001" s="21" t="s">
        <v>9151</v>
      </c>
      <c r="D5001" s="21"/>
    </row>
    <row r="5002" spans="3:4">
      <c r="C5002" s="21" t="s">
        <v>9152</v>
      </c>
      <c r="D5002" s="21"/>
    </row>
    <row r="5003" spans="3:4">
      <c r="C5003" s="21" t="s">
        <v>9153</v>
      </c>
      <c r="D5003" s="21"/>
    </row>
    <row r="5004" spans="3:4">
      <c r="C5004" s="21" t="s">
        <v>9154</v>
      </c>
      <c r="D5004" s="21"/>
    </row>
    <row r="5005" spans="3:4">
      <c r="C5005" s="21" t="s">
        <v>9155</v>
      </c>
      <c r="D5005" s="21"/>
    </row>
    <row r="5006" spans="3:4">
      <c r="C5006" s="21" t="s">
        <v>9156</v>
      </c>
      <c r="D5006" s="21"/>
    </row>
    <row r="5007" spans="3:4">
      <c r="C5007" s="21" t="s">
        <v>9157</v>
      </c>
      <c r="D5007" s="21"/>
    </row>
    <row r="5008" spans="3:4">
      <c r="C5008" s="21" t="s">
        <v>9158</v>
      </c>
      <c r="D5008" s="21"/>
    </row>
    <row r="5009" spans="3:4">
      <c r="C5009" s="21" t="s">
        <v>9159</v>
      </c>
      <c r="D5009" s="21"/>
    </row>
    <row r="5010" spans="3:4">
      <c r="C5010" s="21" t="s">
        <v>9160</v>
      </c>
      <c r="D5010" s="21"/>
    </row>
    <row r="5011" spans="3:4">
      <c r="C5011" s="21" t="s">
        <v>9161</v>
      </c>
      <c r="D5011" s="21"/>
    </row>
    <row r="5012" spans="3:4">
      <c r="C5012" s="21" t="s">
        <v>9162</v>
      </c>
      <c r="D5012" s="21"/>
    </row>
    <row r="5013" spans="3:4">
      <c r="C5013" s="21" t="s">
        <v>9163</v>
      </c>
      <c r="D5013" s="21"/>
    </row>
    <row r="5014" spans="3:4">
      <c r="C5014" s="21" t="s">
        <v>9164</v>
      </c>
      <c r="D5014" s="21"/>
    </row>
    <row r="5015" spans="3:4">
      <c r="C5015" s="21" t="s">
        <v>9165</v>
      </c>
      <c r="D5015" s="21"/>
    </row>
    <row r="5016" spans="3:4">
      <c r="C5016" s="21" t="s">
        <v>9166</v>
      </c>
      <c r="D5016" s="21"/>
    </row>
    <row r="5017" spans="3:4">
      <c r="C5017" s="21" t="s">
        <v>9167</v>
      </c>
      <c r="D5017" s="21"/>
    </row>
    <row r="5018" spans="3:4">
      <c r="C5018" s="21" t="s">
        <v>9168</v>
      </c>
      <c r="D5018" s="21"/>
    </row>
    <row r="5019" spans="3:4">
      <c r="C5019" s="21" t="s">
        <v>9169</v>
      </c>
      <c r="D5019" s="21"/>
    </row>
    <row r="5020" spans="3:4">
      <c r="C5020" s="21" t="s">
        <v>9170</v>
      </c>
      <c r="D5020" s="21"/>
    </row>
    <row r="5021" spans="3:4">
      <c r="C5021" s="21" t="s">
        <v>9171</v>
      </c>
      <c r="D5021" s="21"/>
    </row>
    <row r="5022" spans="3:4">
      <c r="C5022" s="21" t="s">
        <v>9172</v>
      </c>
      <c r="D5022" s="21"/>
    </row>
    <row r="5023" spans="3:4">
      <c r="C5023" s="21" t="s">
        <v>9173</v>
      </c>
      <c r="D5023" s="21"/>
    </row>
    <row r="5024" spans="3:4">
      <c r="C5024" s="21" t="s">
        <v>9174</v>
      </c>
      <c r="D5024" s="21"/>
    </row>
    <row r="5025" spans="3:4">
      <c r="C5025" s="21" t="s">
        <v>9175</v>
      </c>
      <c r="D5025" s="21"/>
    </row>
    <row r="5026" spans="3:4">
      <c r="C5026" s="21" t="s">
        <v>9176</v>
      </c>
      <c r="D5026" s="21"/>
    </row>
    <row r="5027" spans="3:4">
      <c r="C5027" s="21" t="s">
        <v>9177</v>
      </c>
      <c r="D5027" s="21"/>
    </row>
    <row r="5028" spans="3:4">
      <c r="C5028" s="21" t="s">
        <v>9178</v>
      </c>
      <c r="D5028" s="21"/>
    </row>
    <row r="5029" spans="3:4">
      <c r="C5029" s="21" t="s">
        <v>9179</v>
      </c>
      <c r="D5029" s="21"/>
    </row>
    <row r="5030" spans="3:4">
      <c r="C5030" s="21" t="s">
        <v>9180</v>
      </c>
      <c r="D5030" s="21"/>
    </row>
    <row r="5031" spans="3:4">
      <c r="C5031" s="21" t="s">
        <v>9181</v>
      </c>
      <c r="D5031" s="21"/>
    </row>
    <row r="5032" spans="3:4">
      <c r="C5032" s="21" t="s">
        <v>9182</v>
      </c>
      <c r="D5032" s="21"/>
    </row>
    <row r="5033" spans="3:4">
      <c r="C5033" s="21" t="s">
        <v>9184</v>
      </c>
      <c r="D5033" s="21"/>
    </row>
    <row r="5034" spans="3:4">
      <c r="C5034" s="21" t="s">
        <v>9185</v>
      </c>
      <c r="D5034" s="21"/>
    </row>
    <row r="5035" spans="3:4">
      <c r="C5035" s="21" t="s">
        <v>9186</v>
      </c>
      <c r="D5035" s="21"/>
    </row>
    <row r="5036" spans="3:4">
      <c r="C5036" s="21" t="s">
        <v>9187</v>
      </c>
      <c r="D5036" s="21"/>
    </row>
    <row r="5037" spans="3:4">
      <c r="C5037" s="21" t="s">
        <v>9188</v>
      </c>
      <c r="D5037" s="21"/>
    </row>
    <row r="5038" spans="3:4">
      <c r="C5038" s="21" t="s">
        <v>9189</v>
      </c>
      <c r="D5038" s="21"/>
    </row>
    <row r="5039" spans="3:4">
      <c r="C5039" s="21" t="s">
        <v>9190</v>
      </c>
      <c r="D5039" s="21"/>
    </row>
    <row r="5040" spans="3:4">
      <c r="C5040" s="21" t="s">
        <v>9191</v>
      </c>
      <c r="D5040" s="21"/>
    </row>
    <row r="5041" spans="3:4">
      <c r="C5041" s="21" t="s">
        <v>9192</v>
      </c>
      <c r="D5041" s="21"/>
    </row>
    <row r="5042" spans="3:4">
      <c r="C5042" s="21" t="s">
        <v>9193</v>
      </c>
      <c r="D5042" s="21"/>
    </row>
    <row r="5043" spans="3:4">
      <c r="C5043" s="21" t="s">
        <v>9194</v>
      </c>
      <c r="D5043" s="21"/>
    </row>
    <row r="5044" spans="3:4">
      <c r="C5044" s="21" t="s">
        <v>9195</v>
      </c>
      <c r="D5044" s="21"/>
    </row>
    <row r="5045" spans="3:4">
      <c r="C5045" s="21" t="s">
        <v>9196</v>
      </c>
      <c r="D5045" s="21"/>
    </row>
    <row r="5046" spans="3:4">
      <c r="C5046" s="21" t="s">
        <v>9197</v>
      </c>
      <c r="D5046" s="21"/>
    </row>
    <row r="5047" spans="3:4">
      <c r="C5047" s="21" t="s">
        <v>9198</v>
      </c>
      <c r="D5047" s="21"/>
    </row>
    <row r="5048" spans="3:4">
      <c r="C5048" s="21" t="s">
        <v>9199</v>
      </c>
      <c r="D5048" s="21"/>
    </row>
    <row r="5049" spans="3:4">
      <c r="C5049" s="21" t="s">
        <v>9200</v>
      </c>
      <c r="D5049" s="21"/>
    </row>
    <row r="5050" spans="3:4">
      <c r="C5050" s="21" t="s">
        <v>9201</v>
      </c>
      <c r="D5050" s="21"/>
    </row>
    <row r="5051" spans="3:4">
      <c r="C5051" s="21" t="s">
        <v>9202</v>
      </c>
      <c r="D5051" s="21"/>
    </row>
    <row r="5052" spans="3:4">
      <c r="C5052" s="21" t="s">
        <v>9203</v>
      </c>
      <c r="D5052" s="21"/>
    </row>
    <row r="5053" spans="3:4">
      <c r="C5053" s="21" t="s">
        <v>9204</v>
      </c>
      <c r="D5053" s="21"/>
    </row>
    <row r="5054" spans="3:4">
      <c r="C5054" s="21" t="s">
        <v>9205</v>
      </c>
      <c r="D5054" s="21"/>
    </row>
    <row r="5055" spans="3:4">
      <c r="C5055" s="21" t="s">
        <v>9206</v>
      </c>
      <c r="D5055" s="21"/>
    </row>
    <row r="5056" spans="3:4">
      <c r="C5056" s="21" t="s">
        <v>9207</v>
      </c>
      <c r="D5056" s="21"/>
    </row>
    <row r="5057" spans="3:4">
      <c r="C5057" s="21" t="s">
        <v>9208</v>
      </c>
      <c r="D5057" s="21"/>
    </row>
    <row r="5058" spans="3:4">
      <c r="C5058" s="21" t="s">
        <v>9209</v>
      </c>
      <c r="D5058" s="21"/>
    </row>
    <row r="5059" spans="3:4">
      <c r="C5059" s="21" t="s">
        <v>9210</v>
      </c>
      <c r="D5059" s="21"/>
    </row>
    <row r="5060" spans="3:4">
      <c r="C5060" s="21" t="s">
        <v>9211</v>
      </c>
      <c r="D5060" s="21"/>
    </row>
    <row r="5061" spans="3:4">
      <c r="C5061" s="21" t="s">
        <v>9212</v>
      </c>
      <c r="D5061" s="21"/>
    </row>
    <row r="5062" spans="3:4">
      <c r="C5062" s="21" t="s">
        <v>9213</v>
      </c>
      <c r="D5062" s="21"/>
    </row>
    <row r="5063" spans="3:4">
      <c r="C5063" s="21" t="s">
        <v>9214</v>
      </c>
      <c r="D5063" s="21"/>
    </row>
    <row r="5064" spans="3:4">
      <c r="C5064" s="21" t="s">
        <v>9215</v>
      </c>
      <c r="D5064" s="21"/>
    </row>
    <row r="5065" spans="3:4">
      <c r="C5065" s="21" t="s">
        <v>9216</v>
      </c>
      <c r="D5065" s="21"/>
    </row>
    <row r="5066" spans="3:4">
      <c r="C5066" s="21" t="s">
        <v>9217</v>
      </c>
      <c r="D5066" s="21"/>
    </row>
    <row r="5067" spans="3:4">
      <c r="C5067" s="21" t="s">
        <v>9218</v>
      </c>
      <c r="D5067" s="21"/>
    </row>
    <row r="5068" spans="3:4">
      <c r="C5068" s="21" t="s">
        <v>9219</v>
      </c>
      <c r="D5068" s="21"/>
    </row>
    <row r="5069" spans="3:4">
      <c r="C5069" s="21" t="s">
        <v>9220</v>
      </c>
      <c r="D5069" s="21"/>
    </row>
    <row r="5070" spans="3:4">
      <c r="C5070" s="21" t="s">
        <v>9221</v>
      </c>
      <c r="D5070" s="21"/>
    </row>
    <row r="5071" spans="3:4">
      <c r="C5071" s="21" t="s">
        <v>9222</v>
      </c>
      <c r="D5071" s="21"/>
    </row>
    <row r="5072" spans="3:4">
      <c r="C5072" s="21" t="s">
        <v>9223</v>
      </c>
      <c r="D5072" s="21"/>
    </row>
    <row r="5073" spans="3:4">
      <c r="C5073" s="21" t="s">
        <v>9224</v>
      </c>
      <c r="D5073" s="21"/>
    </row>
    <row r="5074" spans="3:4">
      <c r="C5074" s="21" t="s">
        <v>9225</v>
      </c>
      <c r="D5074" s="21"/>
    </row>
    <row r="5075" spans="3:4">
      <c r="C5075" s="21" t="s">
        <v>9226</v>
      </c>
      <c r="D5075" s="21"/>
    </row>
    <row r="5076" spans="3:4">
      <c r="C5076" s="21" t="s">
        <v>9227</v>
      </c>
      <c r="D5076" s="21"/>
    </row>
    <row r="5077" spans="3:4">
      <c r="C5077" s="21" t="s">
        <v>9228</v>
      </c>
      <c r="D5077" s="21"/>
    </row>
    <row r="5078" spans="3:4">
      <c r="C5078" s="21" t="s">
        <v>9229</v>
      </c>
      <c r="D5078" s="21"/>
    </row>
    <row r="5079" spans="3:4">
      <c r="C5079" s="21" t="s">
        <v>9230</v>
      </c>
      <c r="D5079" s="21"/>
    </row>
    <row r="5080" spans="3:4">
      <c r="C5080" s="21" t="s">
        <v>9231</v>
      </c>
      <c r="D5080" s="21"/>
    </row>
    <row r="5081" spans="3:4">
      <c r="C5081" s="21" t="s">
        <v>9232</v>
      </c>
      <c r="D5081" s="21"/>
    </row>
    <row r="5082" spans="3:4">
      <c r="C5082" s="21" t="s">
        <v>9233</v>
      </c>
      <c r="D5082" s="21"/>
    </row>
    <row r="5083" spans="3:4">
      <c r="C5083" s="21" t="s">
        <v>9234</v>
      </c>
      <c r="D5083" s="21"/>
    </row>
    <row r="5084" spans="3:4">
      <c r="C5084" s="21" t="s">
        <v>9235</v>
      </c>
      <c r="D5084" s="21"/>
    </row>
    <row r="5085" spans="3:4">
      <c r="C5085" s="21" t="s">
        <v>9236</v>
      </c>
      <c r="D5085" s="21"/>
    </row>
    <row r="5086" spans="3:4">
      <c r="C5086" s="21" t="s">
        <v>9237</v>
      </c>
      <c r="D5086" s="21"/>
    </row>
    <row r="5087" spans="3:4">
      <c r="C5087" s="21" t="s">
        <v>9238</v>
      </c>
      <c r="D5087" s="21"/>
    </row>
    <row r="5088" spans="3:4">
      <c r="C5088" s="21" t="s">
        <v>9239</v>
      </c>
      <c r="D5088" s="21"/>
    </row>
    <row r="5089" spans="3:4">
      <c r="C5089" s="21" t="s">
        <v>9240</v>
      </c>
      <c r="D5089" s="21"/>
    </row>
    <row r="5090" spans="3:4">
      <c r="C5090" s="21" t="s">
        <v>9241</v>
      </c>
      <c r="D5090" s="21"/>
    </row>
    <row r="5091" spans="3:4">
      <c r="C5091" s="21" t="s">
        <v>9242</v>
      </c>
      <c r="D5091" s="21"/>
    </row>
    <row r="5092" spans="3:4">
      <c r="C5092" s="21" t="s">
        <v>9243</v>
      </c>
      <c r="D5092" s="21"/>
    </row>
    <row r="5093" spans="3:4">
      <c r="C5093" s="21" t="s">
        <v>9244</v>
      </c>
      <c r="D5093" s="21"/>
    </row>
    <row r="5094" spans="3:4">
      <c r="C5094" s="21" t="s">
        <v>9245</v>
      </c>
      <c r="D5094" s="21"/>
    </row>
    <row r="5095" spans="3:4">
      <c r="C5095" s="21" t="s">
        <v>9246</v>
      </c>
      <c r="D5095" s="21"/>
    </row>
    <row r="5096" spans="3:4">
      <c r="C5096" s="21" t="s">
        <v>9247</v>
      </c>
      <c r="D5096" s="21"/>
    </row>
    <row r="5097" spans="3:4">
      <c r="C5097" s="21" t="s">
        <v>9248</v>
      </c>
      <c r="D5097" s="21"/>
    </row>
    <row r="5098" spans="3:4">
      <c r="C5098" s="21" t="s">
        <v>9250</v>
      </c>
      <c r="D5098" s="21"/>
    </row>
    <row r="5099" spans="3:4">
      <c r="C5099" s="21" t="s">
        <v>9251</v>
      </c>
      <c r="D5099" s="21"/>
    </row>
    <row r="5100" spans="3:4">
      <c r="C5100" s="21" t="s">
        <v>9252</v>
      </c>
      <c r="D5100" s="21"/>
    </row>
    <row r="5101" spans="3:4">
      <c r="C5101" s="21" t="s">
        <v>9254</v>
      </c>
      <c r="D5101" s="21"/>
    </row>
    <row r="5102" spans="3:4">
      <c r="C5102" s="21" t="s">
        <v>9255</v>
      </c>
      <c r="D5102" s="21"/>
    </row>
    <row r="5103" spans="3:4">
      <c r="C5103" s="21" t="s">
        <v>9256</v>
      </c>
      <c r="D5103" s="21"/>
    </row>
    <row r="5104" spans="3:4">
      <c r="C5104" s="21" t="s">
        <v>9257</v>
      </c>
      <c r="D5104" s="21"/>
    </row>
    <row r="5105" spans="3:4">
      <c r="C5105" s="21" t="s">
        <v>9258</v>
      </c>
      <c r="D5105" s="21"/>
    </row>
    <row r="5106" spans="3:4">
      <c r="C5106" s="21" t="s">
        <v>9259</v>
      </c>
      <c r="D5106" s="21"/>
    </row>
    <row r="5107" spans="3:4">
      <c r="C5107" s="21" t="s">
        <v>9260</v>
      </c>
      <c r="D5107" s="21"/>
    </row>
    <row r="5108" spans="3:4">
      <c r="C5108" s="21" t="s">
        <v>9261</v>
      </c>
      <c r="D5108" s="21"/>
    </row>
    <row r="5109" spans="3:4">
      <c r="C5109" s="21" t="s">
        <v>9262</v>
      </c>
      <c r="D5109" s="21"/>
    </row>
    <row r="5110" spans="3:4">
      <c r="C5110" s="21" t="s">
        <v>9263</v>
      </c>
      <c r="D5110" s="21"/>
    </row>
    <row r="5111" spans="3:4">
      <c r="C5111" s="21" t="s">
        <v>9264</v>
      </c>
      <c r="D5111" s="21"/>
    </row>
    <row r="5112" spans="3:4">
      <c r="C5112" s="21" t="s">
        <v>9265</v>
      </c>
      <c r="D5112" s="21"/>
    </row>
    <row r="5113" spans="3:4">
      <c r="C5113" s="21" t="s">
        <v>9266</v>
      </c>
      <c r="D5113" s="21"/>
    </row>
    <row r="5114" spans="3:4">
      <c r="C5114" s="21" t="s">
        <v>9267</v>
      </c>
      <c r="D5114" s="21"/>
    </row>
    <row r="5115" spans="3:4">
      <c r="C5115" s="21" t="s">
        <v>9268</v>
      </c>
      <c r="D5115" s="21"/>
    </row>
    <row r="5116" spans="3:4">
      <c r="C5116" s="21" t="s">
        <v>9269</v>
      </c>
      <c r="D5116" s="21"/>
    </row>
    <row r="5117" spans="3:4">
      <c r="C5117" s="21" t="s">
        <v>9270</v>
      </c>
      <c r="D5117" s="21"/>
    </row>
    <row r="5118" spans="3:4">
      <c r="C5118" s="21" t="s">
        <v>9272</v>
      </c>
      <c r="D5118" s="21"/>
    </row>
    <row r="5119" spans="3:4">
      <c r="C5119" s="21" t="s">
        <v>9273</v>
      </c>
      <c r="D5119" s="21"/>
    </row>
    <row r="5120" spans="3:4">
      <c r="C5120" s="21" t="s">
        <v>9275</v>
      </c>
      <c r="D5120" s="21"/>
    </row>
    <row r="5121" spans="3:4">
      <c r="C5121" s="21" t="s">
        <v>9276</v>
      </c>
      <c r="D5121" s="21"/>
    </row>
    <row r="5122" spans="3:4">
      <c r="C5122" s="21" t="s">
        <v>9277</v>
      </c>
      <c r="D5122" s="21"/>
    </row>
    <row r="5123" spans="3:4">
      <c r="C5123" s="21" t="s">
        <v>9278</v>
      </c>
      <c r="D5123" s="21"/>
    </row>
    <row r="5124" spans="3:4">
      <c r="C5124" s="21" t="s">
        <v>9280</v>
      </c>
      <c r="D5124" s="21"/>
    </row>
    <row r="5125" spans="3:4">
      <c r="C5125" s="21" t="s">
        <v>9281</v>
      </c>
      <c r="D5125" s="21"/>
    </row>
    <row r="5126" spans="3:4">
      <c r="C5126" s="21" t="s">
        <v>9282</v>
      </c>
      <c r="D5126" s="21"/>
    </row>
    <row r="5127" spans="3:4">
      <c r="C5127" s="21" t="s">
        <v>9283</v>
      </c>
      <c r="D5127" s="21"/>
    </row>
    <row r="5128" spans="3:4">
      <c r="C5128" s="21" t="s">
        <v>9284</v>
      </c>
      <c r="D5128" s="21"/>
    </row>
    <row r="5129" spans="3:4">
      <c r="C5129" s="21" t="s">
        <v>9285</v>
      </c>
      <c r="D5129" s="21"/>
    </row>
    <row r="5130" spans="3:4">
      <c r="C5130" s="21" t="s">
        <v>9286</v>
      </c>
      <c r="D5130" s="21"/>
    </row>
    <row r="5131" spans="3:4">
      <c r="C5131" s="21" t="s">
        <v>9287</v>
      </c>
      <c r="D5131" s="21"/>
    </row>
    <row r="5132" spans="3:4">
      <c r="C5132" s="21" t="s">
        <v>9289</v>
      </c>
      <c r="D5132" s="21"/>
    </row>
    <row r="5133" spans="3:4">
      <c r="C5133" s="21" t="s">
        <v>9291</v>
      </c>
      <c r="D5133" s="21"/>
    </row>
    <row r="5134" spans="3:4">
      <c r="C5134" s="21" t="s">
        <v>9292</v>
      </c>
      <c r="D5134" s="21"/>
    </row>
    <row r="5135" spans="3:4">
      <c r="C5135" s="21" t="s">
        <v>9293</v>
      </c>
      <c r="D5135" s="21"/>
    </row>
    <row r="5136" spans="3:4">
      <c r="C5136" s="21" t="s">
        <v>9294</v>
      </c>
      <c r="D5136" s="21"/>
    </row>
    <row r="5137" spans="3:4">
      <c r="C5137" s="21" t="s">
        <v>9295</v>
      </c>
      <c r="D5137" s="21"/>
    </row>
    <row r="5138" spans="3:4">
      <c r="C5138" s="21" t="s">
        <v>9296</v>
      </c>
      <c r="D5138" s="21"/>
    </row>
    <row r="5139" spans="3:4">
      <c r="C5139" s="21" t="s">
        <v>9297</v>
      </c>
      <c r="D5139" s="21"/>
    </row>
    <row r="5140" spans="3:4">
      <c r="C5140" s="21" t="s">
        <v>9298</v>
      </c>
      <c r="D5140" s="21"/>
    </row>
    <row r="5141" spans="3:4">
      <c r="C5141" s="21" t="s">
        <v>9299</v>
      </c>
      <c r="D5141" s="21"/>
    </row>
    <row r="5142" spans="3:4">
      <c r="C5142" s="21" t="s">
        <v>9300</v>
      </c>
      <c r="D5142" s="21"/>
    </row>
    <row r="5143" spans="3:4">
      <c r="C5143" s="21" t="s">
        <v>9301</v>
      </c>
      <c r="D5143" s="21"/>
    </row>
    <row r="5144" spans="3:4">
      <c r="C5144" s="21" t="s">
        <v>9302</v>
      </c>
      <c r="D5144" s="21"/>
    </row>
    <row r="5145" spans="3:4">
      <c r="C5145" s="21" t="s">
        <v>9303</v>
      </c>
      <c r="D5145" s="21"/>
    </row>
    <row r="5146" spans="3:4">
      <c r="C5146" s="21" t="s">
        <v>9304</v>
      </c>
      <c r="D5146" s="21"/>
    </row>
    <row r="5147" spans="3:4">
      <c r="C5147" s="21" t="s">
        <v>9305</v>
      </c>
      <c r="D5147" s="21"/>
    </row>
    <row r="5148" spans="3:4">
      <c r="C5148" s="21" t="s">
        <v>9306</v>
      </c>
      <c r="D5148" s="21"/>
    </row>
    <row r="5149" spans="3:4">
      <c r="C5149" s="21" t="s">
        <v>9307</v>
      </c>
      <c r="D5149" s="21"/>
    </row>
    <row r="5150" spans="3:4">
      <c r="C5150" s="21" t="s">
        <v>9308</v>
      </c>
      <c r="D5150" s="21"/>
    </row>
    <row r="5151" spans="3:4">
      <c r="C5151" s="21" t="s">
        <v>9309</v>
      </c>
      <c r="D5151" s="21"/>
    </row>
    <row r="5152" spans="3:4">
      <c r="C5152" s="21" t="s">
        <v>9310</v>
      </c>
      <c r="D5152" s="21"/>
    </row>
    <row r="5153" spans="3:4">
      <c r="C5153" s="21" t="s">
        <v>9311</v>
      </c>
      <c r="D5153" s="21"/>
    </row>
    <row r="5154" spans="3:4">
      <c r="C5154" s="21" t="s">
        <v>9312</v>
      </c>
      <c r="D5154" s="21"/>
    </row>
    <row r="5155" spans="3:4">
      <c r="C5155" s="21" t="s">
        <v>9313</v>
      </c>
      <c r="D5155" s="21"/>
    </row>
    <row r="5156" spans="3:4">
      <c r="C5156" s="21" t="s">
        <v>9314</v>
      </c>
      <c r="D5156" s="21"/>
    </row>
    <row r="5157" spans="3:4">
      <c r="C5157" s="21" t="s">
        <v>9315</v>
      </c>
      <c r="D5157" s="21"/>
    </row>
    <row r="5158" spans="3:4">
      <c r="C5158" s="21" t="s">
        <v>9316</v>
      </c>
      <c r="D5158" s="21"/>
    </row>
    <row r="5159" spans="3:4">
      <c r="C5159" s="21" t="s">
        <v>9317</v>
      </c>
      <c r="D5159" s="21"/>
    </row>
    <row r="5160" spans="3:4">
      <c r="C5160" s="21" t="s">
        <v>9318</v>
      </c>
      <c r="D5160" s="21"/>
    </row>
    <row r="5161" spans="3:4">
      <c r="C5161" s="21" t="s">
        <v>9319</v>
      </c>
      <c r="D5161" s="21"/>
    </row>
    <row r="5162" spans="3:4">
      <c r="C5162" s="21" t="s">
        <v>9320</v>
      </c>
      <c r="D5162" s="21"/>
    </row>
    <row r="5163" spans="3:4">
      <c r="C5163" s="21" t="s">
        <v>9321</v>
      </c>
      <c r="D5163" s="21"/>
    </row>
    <row r="5164" spans="3:4">
      <c r="C5164" s="21" t="s">
        <v>9322</v>
      </c>
      <c r="D5164" s="21"/>
    </row>
    <row r="5165" spans="3:4">
      <c r="C5165" s="21" t="s">
        <v>9323</v>
      </c>
      <c r="D5165" s="21"/>
    </row>
    <row r="5166" spans="3:4">
      <c r="C5166" s="21" t="s">
        <v>9324</v>
      </c>
      <c r="D5166" s="21"/>
    </row>
    <row r="5167" spans="3:4">
      <c r="C5167" s="21" t="s">
        <v>9325</v>
      </c>
      <c r="D5167" s="21"/>
    </row>
    <row r="5168" spans="3:4">
      <c r="C5168" s="21" t="s">
        <v>9326</v>
      </c>
      <c r="D5168" s="21"/>
    </row>
    <row r="5169" spans="3:4">
      <c r="C5169" s="21" t="s">
        <v>9327</v>
      </c>
      <c r="D5169" s="21"/>
    </row>
    <row r="5170" spans="3:4">
      <c r="C5170" s="21" t="s">
        <v>9328</v>
      </c>
      <c r="D5170" s="21"/>
    </row>
    <row r="5171" spans="3:4">
      <c r="C5171" s="21" t="s">
        <v>9329</v>
      </c>
      <c r="D5171" s="21"/>
    </row>
    <row r="5172" spans="3:4">
      <c r="C5172" s="21" t="s">
        <v>9330</v>
      </c>
      <c r="D5172" s="21"/>
    </row>
    <row r="5173" spans="3:4">
      <c r="C5173" s="21" t="s">
        <v>9332</v>
      </c>
      <c r="D5173" s="21"/>
    </row>
    <row r="5174" spans="3:4">
      <c r="C5174" s="21" t="s">
        <v>9333</v>
      </c>
      <c r="D5174" s="21"/>
    </row>
    <row r="5175" spans="3:4">
      <c r="C5175" s="21" t="s">
        <v>9334</v>
      </c>
      <c r="D5175" s="21"/>
    </row>
    <row r="5176" spans="3:4">
      <c r="C5176" s="21" t="s">
        <v>9335</v>
      </c>
      <c r="D5176" s="21"/>
    </row>
    <row r="5177" spans="3:4">
      <c r="C5177" s="21" t="s">
        <v>9336</v>
      </c>
      <c r="D5177" s="21"/>
    </row>
    <row r="5178" spans="3:4">
      <c r="C5178" s="21" t="s">
        <v>9337</v>
      </c>
      <c r="D5178" s="21"/>
    </row>
    <row r="5179" spans="3:4">
      <c r="C5179" s="21" t="s">
        <v>9338</v>
      </c>
      <c r="D5179" s="21"/>
    </row>
    <row r="5180" spans="3:4">
      <c r="C5180" s="21" t="s">
        <v>9339</v>
      </c>
      <c r="D5180" s="21"/>
    </row>
    <row r="5181" spans="3:4">
      <c r="C5181" s="21" t="s">
        <v>9340</v>
      </c>
      <c r="D5181" s="21"/>
    </row>
    <row r="5182" spans="3:4">
      <c r="C5182" s="21" t="s">
        <v>9341</v>
      </c>
      <c r="D5182" s="21"/>
    </row>
    <row r="5183" spans="3:4">
      <c r="C5183" s="21" t="s">
        <v>9342</v>
      </c>
      <c r="D5183" s="21"/>
    </row>
    <row r="5184" spans="3:4">
      <c r="C5184" s="21" t="s">
        <v>9343</v>
      </c>
      <c r="D5184" s="21"/>
    </row>
    <row r="5185" spans="3:4">
      <c r="C5185" s="21" t="s">
        <v>9344</v>
      </c>
      <c r="D5185" s="21"/>
    </row>
    <row r="5186" spans="3:4">
      <c r="C5186" s="21" t="s">
        <v>9345</v>
      </c>
      <c r="D5186" s="21"/>
    </row>
    <row r="5187" spans="3:4">
      <c r="C5187" s="21" t="s">
        <v>9346</v>
      </c>
      <c r="D5187" s="21"/>
    </row>
    <row r="5188" spans="3:4">
      <c r="C5188" s="21" t="s">
        <v>9347</v>
      </c>
      <c r="D5188" s="21"/>
    </row>
    <row r="5189" spans="3:4">
      <c r="C5189" s="21" t="s">
        <v>9348</v>
      </c>
      <c r="D5189" s="21"/>
    </row>
    <row r="5190" spans="3:4">
      <c r="C5190" s="21" t="s">
        <v>9349</v>
      </c>
      <c r="D5190" s="21"/>
    </row>
    <row r="5191" spans="3:4">
      <c r="C5191" s="21" t="s">
        <v>9350</v>
      </c>
      <c r="D5191" s="21"/>
    </row>
    <row r="5192" spans="3:4">
      <c r="C5192" s="21" t="s">
        <v>9351</v>
      </c>
      <c r="D5192" s="21"/>
    </row>
    <row r="5193" spans="3:4">
      <c r="C5193" s="21" t="s">
        <v>9352</v>
      </c>
      <c r="D5193" s="21"/>
    </row>
    <row r="5194" spans="3:4">
      <c r="C5194" s="21" t="s">
        <v>9353</v>
      </c>
      <c r="D5194" s="21"/>
    </row>
    <row r="5195" spans="3:4">
      <c r="C5195" s="21" t="s">
        <v>9354</v>
      </c>
      <c r="D5195" s="21"/>
    </row>
    <row r="5196" spans="3:4">
      <c r="C5196" s="21" t="s">
        <v>9355</v>
      </c>
      <c r="D5196" s="21"/>
    </row>
    <row r="5197" spans="3:4">
      <c r="C5197" s="21" t="s">
        <v>9356</v>
      </c>
      <c r="D5197" s="21"/>
    </row>
    <row r="5198" spans="3:4">
      <c r="C5198" s="21" t="s">
        <v>9357</v>
      </c>
      <c r="D5198" s="21"/>
    </row>
    <row r="5199" spans="3:4">
      <c r="C5199" s="21" t="s">
        <v>9358</v>
      </c>
      <c r="D5199" s="21"/>
    </row>
    <row r="5200" spans="3:4">
      <c r="C5200" s="21" t="s">
        <v>9359</v>
      </c>
      <c r="D5200" s="21"/>
    </row>
    <row r="5201" spans="3:4">
      <c r="C5201" s="21" t="s">
        <v>9360</v>
      </c>
      <c r="D5201" s="21"/>
    </row>
    <row r="5202" spans="3:4">
      <c r="C5202" s="21" t="s">
        <v>9361</v>
      </c>
      <c r="D5202" s="21"/>
    </row>
    <row r="5203" spans="3:4">
      <c r="C5203" s="21" t="s">
        <v>9362</v>
      </c>
      <c r="D5203" s="21"/>
    </row>
    <row r="5204" spans="3:4">
      <c r="C5204" s="21" t="s">
        <v>9363</v>
      </c>
      <c r="D5204" s="21"/>
    </row>
    <row r="5205" spans="3:4">
      <c r="C5205" s="21" t="s">
        <v>9364</v>
      </c>
      <c r="D5205" s="21"/>
    </row>
    <row r="5206" spans="3:4">
      <c r="C5206" s="21" t="s">
        <v>9365</v>
      </c>
      <c r="D5206" s="21"/>
    </row>
    <row r="5207" spans="3:4">
      <c r="C5207" s="21" t="s">
        <v>9367</v>
      </c>
      <c r="D5207" s="21"/>
    </row>
    <row r="5208" spans="3:4">
      <c r="C5208" s="21" t="s">
        <v>9368</v>
      </c>
      <c r="D5208" s="21"/>
    </row>
    <row r="5209" spans="3:4">
      <c r="C5209" s="21" t="s">
        <v>9369</v>
      </c>
      <c r="D5209" s="21"/>
    </row>
    <row r="5210" spans="3:4">
      <c r="C5210" s="21" t="s">
        <v>9370</v>
      </c>
      <c r="D5210" s="21"/>
    </row>
    <row r="5211" spans="3:4">
      <c r="C5211" s="21" t="s">
        <v>9371</v>
      </c>
      <c r="D5211" s="21"/>
    </row>
    <row r="5212" spans="3:4">
      <c r="C5212" s="21" t="s">
        <v>9372</v>
      </c>
      <c r="D5212" s="21"/>
    </row>
    <row r="5213" spans="3:4">
      <c r="C5213" s="21" t="s">
        <v>9373</v>
      </c>
      <c r="D5213" s="21"/>
    </row>
    <row r="5214" spans="3:4">
      <c r="C5214" s="21" t="s">
        <v>9374</v>
      </c>
      <c r="D5214" s="21"/>
    </row>
    <row r="5215" spans="3:4">
      <c r="C5215" s="21" t="s">
        <v>9375</v>
      </c>
      <c r="D5215" s="21"/>
    </row>
    <row r="5216" spans="3:4">
      <c r="C5216" s="21" t="s">
        <v>9376</v>
      </c>
      <c r="D5216" s="21"/>
    </row>
    <row r="5217" spans="3:4">
      <c r="C5217" s="21" t="s">
        <v>9377</v>
      </c>
      <c r="D5217" s="21"/>
    </row>
    <row r="5218" spans="3:4">
      <c r="C5218" s="21" t="s">
        <v>9378</v>
      </c>
      <c r="D5218" s="21"/>
    </row>
    <row r="5219" spans="3:4">
      <c r="C5219" s="21" t="s">
        <v>9379</v>
      </c>
      <c r="D5219" s="21"/>
    </row>
    <row r="5220" spans="3:4">
      <c r="C5220" s="21" t="s">
        <v>9380</v>
      </c>
      <c r="D5220" s="21"/>
    </row>
    <row r="5221" spans="3:4">
      <c r="C5221" s="21" t="s">
        <v>9381</v>
      </c>
      <c r="D5221" s="21"/>
    </row>
    <row r="5222" spans="3:4">
      <c r="C5222" s="21" t="s">
        <v>9382</v>
      </c>
      <c r="D5222" s="21"/>
    </row>
    <row r="5223" spans="3:4">
      <c r="C5223" s="21" t="s">
        <v>9383</v>
      </c>
      <c r="D5223" s="21"/>
    </row>
    <row r="5224" spans="3:4">
      <c r="C5224" s="21" t="s">
        <v>9384</v>
      </c>
      <c r="D5224" s="21"/>
    </row>
    <row r="5225" spans="3:4">
      <c r="C5225" s="21" t="s">
        <v>9385</v>
      </c>
      <c r="D5225" s="21"/>
    </row>
    <row r="5226" spans="3:4">
      <c r="C5226" s="21" t="s">
        <v>9386</v>
      </c>
      <c r="D5226" s="21"/>
    </row>
    <row r="5227" spans="3:4">
      <c r="C5227" s="21" t="s">
        <v>9387</v>
      </c>
      <c r="D5227" s="21"/>
    </row>
    <row r="5228" spans="3:4">
      <c r="C5228" s="21" t="s">
        <v>9388</v>
      </c>
      <c r="D5228" s="21"/>
    </row>
    <row r="5229" spans="3:4">
      <c r="C5229" s="21" t="s">
        <v>9389</v>
      </c>
      <c r="D5229" s="21"/>
    </row>
    <row r="5230" spans="3:4">
      <c r="C5230" s="21" t="s">
        <v>9390</v>
      </c>
      <c r="D5230" s="21"/>
    </row>
    <row r="5231" spans="3:4">
      <c r="C5231" s="21" t="s">
        <v>9392</v>
      </c>
      <c r="D5231" s="21"/>
    </row>
    <row r="5232" spans="3:4">
      <c r="C5232" s="21" t="s">
        <v>9393</v>
      </c>
      <c r="D5232" s="21"/>
    </row>
    <row r="5233" spans="3:4">
      <c r="C5233" s="21" t="s">
        <v>9394</v>
      </c>
      <c r="D5233" s="21"/>
    </row>
    <row r="5234" spans="3:4">
      <c r="C5234" s="21" t="s">
        <v>9395</v>
      </c>
      <c r="D5234" s="21"/>
    </row>
    <row r="5235" spans="3:4">
      <c r="C5235" s="21" t="s">
        <v>9396</v>
      </c>
      <c r="D5235" s="21"/>
    </row>
    <row r="5236" spans="3:4">
      <c r="C5236" s="21" t="s">
        <v>9397</v>
      </c>
      <c r="D5236" s="21"/>
    </row>
    <row r="5237" spans="3:4">
      <c r="C5237" s="21" t="s">
        <v>9398</v>
      </c>
      <c r="D5237" s="21"/>
    </row>
    <row r="5238" spans="3:4">
      <c r="C5238" s="21" t="s">
        <v>9399</v>
      </c>
      <c r="D5238" s="21"/>
    </row>
    <row r="5239" spans="3:4">
      <c r="C5239" s="21" t="s">
        <v>9400</v>
      </c>
      <c r="D5239" s="21"/>
    </row>
    <row r="5240" spans="3:4">
      <c r="C5240" s="21" t="s">
        <v>9401</v>
      </c>
      <c r="D5240" s="21"/>
    </row>
    <row r="5241" spans="3:4">
      <c r="C5241" s="21" t="s">
        <v>9402</v>
      </c>
      <c r="D5241" s="21"/>
    </row>
    <row r="5242" spans="3:4">
      <c r="C5242" s="21" t="s">
        <v>9403</v>
      </c>
      <c r="D5242" s="21"/>
    </row>
    <row r="5243" spans="3:4">
      <c r="C5243" s="21" t="s">
        <v>9404</v>
      </c>
      <c r="D5243" s="21"/>
    </row>
    <row r="5244" spans="3:4">
      <c r="C5244" s="21" t="s">
        <v>9405</v>
      </c>
      <c r="D5244" s="21"/>
    </row>
    <row r="5245" spans="3:4">
      <c r="C5245" s="21" t="s">
        <v>9406</v>
      </c>
      <c r="D5245" s="21"/>
    </row>
    <row r="5246" spans="3:4">
      <c r="C5246" s="21" t="s">
        <v>9407</v>
      </c>
      <c r="D5246" s="21"/>
    </row>
    <row r="5247" spans="3:4">
      <c r="C5247" s="21" t="s">
        <v>9408</v>
      </c>
      <c r="D5247" s="21"/>
    </row>
    <row r="5248" spans="3:4">
      <c r="C5248" s="21" t="s">
        <v>9409</v>
      </c>
      <c r="D5248" s="21"/>
    </row>
    <row r="5249" spans="3:4">
      <c r="C5249" s="21" t="s">
        <v>9410</v>
      </c>
      <c r="D5249" s="21"/>
    </row>
    <row r="5250" spans="3:4">
      <c r="C5250" s="21" t="s">
        <v>9411</v>
      </c>
      <c r="D5250" s="21"/>
    </row>
    <row r="5251" spans="3:4">
      <c r="C5251" s="21" t="s">
        <v>9412</v>
      </c>
      <c r="D5251" s="21"/>
    </row>
    <row r="5252" spans="3:4">
      <c r="C5252" s="21" t="s">
        <v>9413</v>
      </c>
      <c r="D5252" s="21"/>
    </row>
    <row r="5253" spans="3:4">
      <c r="C5253" s="21" t="s">
        <v>9414</v>
      </c>
      <c r="D5253" s="21"/>
    </row>
    <row r="5254" spans="3:4">
      <c r="C5254" s="21" t="s">
        <v>9415</v>
      </c>
      <c r="D5254" s="21"/>
    </row>
    <row r="5255" spans="3:4">
      <c r="C5255" s="21" t="s">
        <v>9416</v>
      </c>
      <c r="D5255" s="21"/>
    </row>
    <row r="5256" spans="3:4">
      <c r="C5256" s="21" t="s">
        <v>9417</v>
      </c>
      <c r="D5256" s="21"/>
    </row>
    <row r="5257" spans="3:4">
      <c r="C5257" s="21" t="s">
        <v>9418</v>
      </c>
      <c r="D5257" s="21"/>
    </row>
    <row r="5258" spans="3:4">
      <c r="C5258" s="21" t="s">
        <v>9419</v>
      </c>
      <c r="D5258" s="21"/>
    </row>
    <row r="5259" spans="3:4">
      <c r="C5259" s="21" t="s">
        <v>9420</v>
      </c>
      <c r="D5259" s="21"/>
    </row>
    <row r="5260" spans="3:4">
      <c r="C5260" s="21" t="s">
        <v>9421</v>
      </c>
      <c r="D5260" s="21"/>
    </row>
    <row r="5261" spans="3:4">
      <c r="C5261" s="21" t="s">
        <v>9422</v>
      </c>
      <c r="D5261" s="21"/>
    </row>
    <row r="5262" spans="3:4">
      <c r="C5262" s="21" t="s">
        <v>9423</v>
      </c>
      <c r="D5262" s="21"/>
    </row>
    <row r="5263" spans="3:4">
      <c r="C5263" s="21" t="s">
        <v>9424</v>
      </c>
      <c r="D5263" s="21"/>
    </row>
    <row r="5264" spans="3:4">
      <c r="C5264" s="21" t="s">
        <v>9425</v>
      </c>
      <c r="D5264" s="21"/>
    </row>
    <row r="5265" spans="3:4">
      <c r="C5265" s="21" t="s">
        <v>9426</v>
      </c>
      <c r="D5265" s="21"/>
    </row>
    <row r="5266" spans="3:4">
      <c r="C5266" s="21" t="s">
        <v>9427</v>
      </c>
      <c r="D5266" s="21"/>
    </row>
    <row r="5267" spans="3:4">
      <c r="C5267" s="21" t="s">
        <v>9428</v>
      </c>
      <c r="D5267" s="21"/>
    </row>
    <row r="5268" spans="3:4">
      <c r="C5268" s="21" t="s">
        <v>9429</v>
      </c>
      <c r="D5268" s="21"/>
    </row>
    <row r="5269" spans="3:4">
      <c r="C5269" s="21" t="s">
        <v>9430</v>
      </c>
      <c r="D5269" s="21"/>
    </row>
    <row r="5270" spans="3:4">
      <c r="C5270" s="21" t="s">
        <v>9431</v>
      </c>
      <c r="D5270" s="21"/>
    </row>
    <row r="5271" spans="3:4">
      <c r="C5271" s="21" t="s">
        <v>9432</v>
      </c>
      <c r="D5271" s="21"/>
    </row>
    <row r="5272" spans="3:4">
      <c r="C5272" s="21" t="s">
        <v>9433</v>
      </c>
      <c r="D5272" s="21"/>
    </row>
    <row r="5273" spans="3:4">
      <c r="C5273" s="21" t="s">
        <v>9434</v>
      </c>
      <c r="D5273" s="21"/>
    </row>
    <row r="5274" spans="3:4">
      <c r="C5274" s="21" t="s">
        <v>9435</v>
      </c>
      <c r="D5274" s="21"/>
    </row>
    <row r="5275" spans="3:4">
      <c r="C5275" s="21" t="s">
        <v>9436</v>
      </c>
      <c r="D5275" s="21"/>
    </row>
    <row r="5276" spans="3:4">
      <c r="C5276" s="21" t="s">
        <v>9437</v>
      </c>
      <c r="D5276" s="21"/>
    </row>
    <row r="5277" spans="3:4">
      <c r="C5277" s="21" t="s">
        <v>9438</v>
      </c>
      <c r="D5277" s="21"/>
    </row>
    <row r="5278" spans="3:4">
      <c r="C5278" s="21" t="s">
        <v>9439</v>
      </c>
      <c r="D5278" s="21"/>
    </row>
    <row r="5279" spans="3:4">
      <c r="C5279" s="21" t="s">
        <v>9440</v>
      </c>
      <c r="D5279" s="21"/>
    </row>
    <row r="5280" spans="3:4">
      <c r="C5280" s="21" t="s">
        <v>9441</v>
      </c>
      <c r="D5280" s="21"/>
    </row>
    <row r="5281" spans="3:4">
      <c r="C5281" s="21" t="s">
        <v>9442</v>
      </c>
      <c r="D5281" s="21"/>
    </row>
    <row r="5282" spans="3:4">
      <c r="C5282" s="21" t="s">
        <v>9443</v>
      </c>
      <c r="D5282" s="21"/>
    </row>
    <row r="5283" spans="3:4">
      <c r="C5283" s="21" t="s">
        <v>9444</v>
      </c>
      <c r="D5283" s="21"/>
    </row>
    <row r="5284" spans="3:4">
      <c r="C5284" s="21" t="s">
        <v>9445</v>
      </c>
      <c r="D5284" s="21"/>
    </row>
    <row r="5285" spans="3:4">
      <c r="C5285" s="21" t="s">
        <v>9446</v>
      </c>
      <c r="D5285" s="21"/>
    </row>
    <row r="5286" spans="3:4">
      <c r="C5286" s="21" t="s">
        <v>9447</v>
      </c>
      <c r="D5286" s="21"/>
    </row>
    <row r="5287" spans="3:4">
      <c r="C5287" s="21" t="s">
        <v>9448</v>
      </c>
      <c r="D5287" s="21"/>
    </row>
    <row r="5288" spans="3:4">
      <c r="C5288" s="21" t="s">
        <v>9449</v>
      </c>
      <c r="D5288" s="21"/>
    </row>
    <row r="5289" spans="3:4">
      <c r="C5289" s="21" t="s">
        <v>9450</v>
      </c>
      <c r="D5289" s="21"/>
    </row>
    <row r="5290" spans="3:4">
      <c r="C5290" s="21" t="s">
        <v>9451</v>
      </c>
      <c r="D5290" s="21"/>
    </row>
    <row r="5291" spans="3:4">
      <c r="C5291" s="21" t="s">
        <v>9452</v>
      </c>
      <c r="D5291" s="21"/>
    </row>
    <row r="5292" spans="3:4">
      <c r="C5292" s="21" t="s">
        <v>9453</v>
      </c>
      <c r="D5292" s="21"/>
    </row>
    <row r="5293" spans="3:4">
      <c r="C5293" s="21" t="s">
        <v>9454</v>
      </c>
      <c r="D5293" s="21"/>
    </row>
    <row r="5294" spans="3:4">
      <c r="C5294" s="21" t="s">
        <v>9455</v>
      </c>
      <c r="D5294" s="21"/>
    </row>
    <row r="5295" spans="3:4">
      <c r="C5295" s="21" t="s">
        <v>9456</v>
      </c>
      <c r="D5295" s="21"/>
    </row>
    <row r="5296" spans="3:4">
      <c r="C5296" s="21" t="s">
        <v>9457</v>
      </c>
      <c r="D5296" s="21"/>
    </row>
    <row r="5297" spans="3:4">
      <c r="C5297" s="21" t="s">
        <v>9458</v>
      </c>
      <c r="D5297" s="21"/>
    </row>
    <row r="5298" spans="3:4">
      <c r="C5298" s="21" t="s">
        <v>9459</v>
      </c>
      <c r="D5298" s="21"/>
    </row>
    <row r="5299" spans="3:4">
      <c r="C5299" s="21" t="s">
        <v>9460</v>
      </c>
      <c r="D5299" s="21"/>
    </row>
    <row r="5300" spans="3:4">
      <c r="C5300" s="21" t="s">
        <v>9461</v>
      </c>
      <c r="D5300" s="21"/>
    </row>
    <row r="5301" spans="3:4">
      <c r="C5301" s="21" t="s">
        <v>9462</v>
      </c>
      <c r="D5301" s="21"/>
    </row>
    <row r="5302" spans="3:4">
      <c r="C5302" s="21" t="s">
        <v>9463</v>
      </c>
      <c r="D5302" s="21"/>
    </row>
    <row r="5303" spans="3:4">
      <c r="C5303" s="21" t="s">
        <v>9464</v>
      </c>
      <c r="D5303" s="21"/>
    </row>
    <row r="5304" spans="3:4">
      <c r="C5304" s="21" t="s">
        <v>9465</v>
      </c>
      <c r="D5304" s="21"/>
    </row>
    <row r="5305" spans="3:4">
      <c r="C5305" s="21" t="s">
        <v>9466</v>
      </c>
      <c r="D5305" s="21"/>
    </row>
    <row r="5306" spans="3:4">
      <c r="C5306" s="21" t="s">
        <v>9467</v>
      </c>
      <c r="D5306" s="21"/>
    </row>
    <row r="5307" spans="3:4">
      <c r="C5307" s="21" t="s">
        <v>9468</v>
      </c>
      <c r="D5307" s="21"/>
    </row>
    <row r="5308" spans="3:4">
      <c r="C5308" s="21" t="s">
        <v>9470</v>
      </c>
      <c r="D5308" s="21"/>
    </row>
    <row r="5309" spans="3:4">
      <c r="C5309" s="21" t="s">
        <v>9471</v>
      </c>
      <c r="D5309" s="21"/>
    </row>
    <row r="5310" spans="3:4">
      <c r="C5310" s="21" t="s">
        <v>9472</v>
      </c>
      <c r="D5310" s="21"/>
    </row>
    <row r="5311" spans="3:4">
      <c r="C5311" s="21" t="s">
        <v>9473</v>
      </c>
      <c r="D5311" s="21"/>
    </row>
    <row r="5312" spans="3:4">
      <c r="C5312" s="21" t="s">
        <v>9474</v>
      </c>
      <c r="D5312" s="21"/>
    </row>
    <row r="5313" spans="3:4">
      <c r="C5313" s="21" t="s">
        <v>9475</v>
      </c>
      <c r="D5313" s="21"/>
    </row>
    <row r="5314" spans="3:4">
      <c r="C5314" s="21" t="s">
        <v>9476</v>
      </c>
      <c r="D5314" s="21"/>
    </row>
    <row r="5315" spans="3:4">
      <c r="C5315" s="21" t="s">
        <v>9477</v>
      </c>
      <c r="D5315" s="21"/>
    </row>
    <row r="5316" spans="3:4">
      <c r="C5316" s="21" t="s">
        <v>9478</v>
      </c>
      <c r="D5316" s="21"/>
    </row>
    <row r="5317" spans="3:4">
      <c r="C5317" s="21" t="s">
        <v>9479</v>
      </c>
      <c r="D5317" s="21"/>
    </row>
    <row r="5318" spans="3:4">
      <c r="C5318" s="21" t="s">
        <v>9480</v>
      </c>
      <c r="D5318" s="21"/>
    </row>
    <row r="5319" spans="3:4">
      <c r="C5319" s="21" t="s">
        <v>9481</v>
      </c>
      <c r="D5319" s="21"/>
    </row>
    <row r="5320" spans="3:4">
      <c r="C5320" s="21" t="s">
        <v>9482</v>
      </c>
      <c r="D5320" s="21"/>
    </row>
    <row r="5321" spans="3:4">
      <c r="C5321" s="21" t="s">
        <v>9483</v>
      </c>
      <c r="D5321" s="21"/>
    </row>
    <row r="5322" spans="3:4">
      <c r="C5322" s="21" t="s">
        <v>9484</v>
      </c>
      <c r="D5322" s="21"/>
    </row>
    <row r="5323" spans="3:4">
      <c r="C5323" s="21" t="s">
        <v>9485</v>
      </c>
      <c r="D5323" s="21"/>
    </row>
    <row r="5324" spans="3:4">
      <c r="C5324" s="21" t="s">
        <v>9486</v>
      </c>
      <c r="D5324" s="21"/>
    </row>
    <row r="5325" spans="3:4">
      <c r="C5325" s="21" t="s">
        <v>9487</v>
      </c>
      <c r="D5325" s="21"/>
    </row>
    <row r="5326" spans="3:4">
      <c r="C5326" s="21" t="s">
        <v>9488</v>
      </c>
      <c r="D5326" s="21"/>
    </row>
    <row r="5327" spans="3:4">
      <c r="C5327" s="21" t="s">
        <v>9489</v>
      </c>
      <c r="D5327" s="21"/>
    </row>
    <row r="5328" spans="3:4">
      <c r="C5328" s="21" t="s">
        <v>9490</v>
      </c>
      <c r="D5328" s="21"/>
    </row>
    <row r="5329" spans="3:4">
      <c r="C5329" s="21" t="s">
        <v>9491</v>
      </c>
      <c r="D5329" s="21"/>
    </row>
    <row r="5330" spans="3:4">
      <c r="C5330" s="21" t="s">
        <v>9492</v>
      </c>
      <c r="D5330" s="21"/>
    </row>
    <row r="5331" spans="3:4">
      <c r="C5331" s="21" t="s">
        <v>9493</v>
      </c>
      <c r="D5331" s="21"/>
    </row>
    <row r="5332" spans="3:4">
      <c r="C5332" s="21" t="s">
        <v>9494</v>
      </c>
      <c r="D5332" s="21"/>
    </row>
    <row r="5333" spans="3:4">
      <c r="C5333" s="21" t="s">
        <v>9495</v>
      </c>
      <c r="D5333" s="21"/>
    </row>
    <row r="5334" spans="3:4">
      <c r="C5334" s="21" t="s">
        <v>9496</v>
      </c>
      <c r="D5334" s="21"/>
    </row>
    <row r="5335" spans="3:4">
      <c r="C5335" s="21" t="s">
        <v>9497</v>
      </c>
      <c r="D5335" s="21"/>
    </row>
    <row r="5336" spans="3:4">
      <c r="C5336" s="21" t="s">
        <v>9498</v>
      </c>
      <c r="D5336" s="21"/>
    </row>
    <row r="5337" spans="3:4">
      <c r="C5337" s="21" t="s">
        <v>9499</v>
      </c>
      <c r="D5337" s="21"/>
    </row>
    <row r="5338" spans="3:4">
      <c r="C5338" s="21" t="s">
        <v>9500</v>
      </c>
      <c r="D5338" s="21"/>
    </row>
    <row r="5339" spans="3:4">
      <c r="C5339" s="21" t="s">
        <v>9501</v>
      </c>
      <c r="D5339" s="21"/>
    </row>
    <row r="5340" spans="3:4">
      <c r="C5340" s="21" t="s">
        <v>9502</v>
      </c>
      <c r="D5340" s="21"/>
    </row>
    <row r="5341" spans="3:4">
      <c r="C5341" s="21" t="s">
        <v>9503</v>
      </c>
      <c r="D5341" s="21"/>
    </row>
    <row r="5342" spans="3:4">
      <c r="C5342" s="21" t="s">
        <v>9504</v>
      </c>
      <c r="D5342" s="21"/>
    </row>
    <row r="5343" spans="3:4">
      <c r="C5343" s="21" t="s">
        <v>9505</v>
      </c>
      <c r="D5343" s="21"/>
    </row>
    <row r="5344" spans="3:4">
      <c r="C5344" s="21" t="s">
        <v>9506</v>
      </c>
      <c r="D5344" s="21"/>
    </row>
    <row r="5345" spans="3:4">
      <c r="C5345" s="21" t="s">
        <v>9507</v>
      </c>
      <c r="D5345" s="21"/>
    </row>
    <row r="5346" spans="3:4">
      <c r="C5346" s="21" t="s">
        <v>9508</v>
      </c>
      <c r="D5346" s="21"/>
    </row>
    <row r="5347" spans="3:4">
      <c r="C5347" s="21" t="s">
        <v>9509</v>
      </c>
      <c r="D5347" s="21"/>
    </row>
    <row r="5348" spans="3:4">
      <c r="C5348" s="21" t="s">
        <v>9511</v>
      </c>
      <c r="D5348" s="21"/>
    </row>
    <row r="5349" spans="3:4">
      <c r="C5349" s="21" t="s">
        <v>9512</v>
      </c>
      <c r="D5349" s="21"/>
    </row>
    <row r="5350" spans="3:4">
      <c r="C5350" s="21" t="s">
        <v>9513</v>
      </c>
      <c r="D5350" s="21"/>
    </row>
    <row r="5351" spans="3:4">
      <c r="C5351" s="21" t="s">
        <v>9514</v>
      </c>
      <c r="D5351" s="21"/>
    </row>
    <row r="5352" spans="3:4">
      <c r="C5352" s="21" t="s">
        <v>9515</v>
      </c>
      <c r="D5352" s="21"/>
    </row>
    <row r="5353" spans="3:4">
      <c r="C5353" s="21" t="s">
        <v>9516</v>
      </c>
      <c r="D5353" s="21"/>
    </row>
    <row r="5354" spans="3:4">
      <c r="C5354" s="21" t="s">
        <v>9517</v>
      </c>
      <c r="D5354" s="21"/>
    </row>
    <row r="5355" spans="3:4">
      <c r="C5355" s="21" t="s">
        <v>9518</v>
      </c>
      <c r="D5355" s="21"/>
    </row>
    <row r="5356" spans="3:4">
      <c r="C5356" s="21" t="s">
        <v>9519</v>
      </c>
      <c r="D5356" s="21"/>
    </row>
    <row r="5357" spans="3:4">
      <c r="C5357" s="21" t="s">
        <v>9520</v>
      </c>
      <c r="D5357" s="21"/>
    </row>
    <row r="5358" spans="3:4">
      <c r="C5358" s="21" t="s">
        <v>9521</v>
      </c>
      <c r="D5358" s="21"/>
    </row>
    <row r="5359" spans="3:4">
      <c r="C5359" s="21" t="s">
        <v>9522</v>
      </c>
      <c r="D5359" s="21"/>
    </row>
    <row r="5360" spans="3:4">
      <c r="C5360" s="21" t="s">
        <v>9523</v>
      </c>
      <c r="D5360" s="21"/>
    </row>
    <row r="5361" spans="3:4">
      <c r="C5361" s="21" t="s">
        <v>9524</v>
      </c>
      <c r="D5361" s="21"/>
    </row>
    <row r="5362" spans="3:4">
      <c r="C5362" s="21" t="s">
        <v>9525</v>
      </c>
      <c r="D5362" s="21"/>
    </row>
    <row r="5363" spans="3:4">
      <c r="C5363" s="21" t="s">
        <v>9526</v>
      </c>
      <c r="D5363" s="21"/>
    </row>
    <row r="5364" spans="3:4">
      <c r="C5364" s="21" t="s">
        <v>9527</v>
      </c>
      <c r="D5364" s="21"/>
    </row>
    <row r="5365" spans="3:4">
      <c r="C5365" s="21" t="s">
        <v>9532</v>
      </c>
      <c r="D5365" s="21"/>
    </row>
    <row r="5366" spans="3:4">
      <c r="C5366" s="21" t="s">
        <v>9533</v>
      </c>
      <c r="D5366" s="21"/>
    </row>
    <row r="5367" spans="3:4">
      <c r="C5367" s="21" t="s">
        <v>9534</v>
      </c>
      <c r="D5367" s="21"/>
    </row>
    <row r="5368" spans="3:4">
      <c r="C5368" s="21" t="s">
        <v>9535</v>
      </c>
      <c r="D5368" s="21"/>
    </row>
    <row r="5369" spans="3:4">
      <c r="C5369" s="21" t="s">
        <v>9536</v>
      </c>
      <c r="D5369" s="21"/>
    </row>
    <row r="5370" spans="3:4">
      <c r="C5370" s="21" t="s">
        <v>9537</v>
      </c>
      <c r="D5370" s="21"/>
    </row>
    <row r="5371" spans="3:4">
      <c r="C5371" s="21" t="s">
        <v>9538</v>
      </c>
      <c r="D5371" s="21"/>
    </row>
    <row r="5372" spans="3:4">
      <c r="C5372" s="21" t="s">
        <v>9539</v>
      </c>
      <c r="D5372" s="21"/>
    </row>
    <row r="5373" spans="3:4">
      <c r="C5373" s="21" t="s">
        <v>9540</v>
      </c>
      <c r="D5373" s="21"/>
    </row>
    <row r="5374" spans="3:4">
      <c r="C5374" s="21" t="s">
        <v>9541</v>
      </c>
      <c r="D5374" s="21"/>
    </row>
    <row r="5375" spans="3:4">
      <c r="C5375" s="21" t="s">
        <v>9542</v>
      </c>
      <c r="D5375" s="21"/>
    </row>
    <row r="5376" spans="3:4">
      <c r="C5376" s="21" t="s">
        <v>9543</v>
      </c>
      <c r="D5376" s="21"/>
    </row>
    <row r="5377" spans="3:4">
      <c r="C5377" s="21" t="s">
        <v>9544</v>
      </c>
      <c r="D5377" s="21"/>
    </row>
    <row r="5378" spans="3:4">
      <c r="C5378" s="21" t="s">
        <v>9545</v>
      </c>
      <c r="D5378" s="21"/>
    </row>
    <row r="5379" spans="3:4">
      <c r="C5379" s="21" t="s">
        <v>9546</v>
      </c>
      <c r="D5379" s="21"/>
    </row>
    <row r="5380" spans="3:4">
      <c r="C5380" s="21" t="s">
        <v>9547</v>
      </c>
      <c r="D5380" s="21"/>
    </row>
    <row r="5381" spans="3:4">
      <c r="C5381" s="21" t="s">
        <v>9548</v>
      </c>
      <c r="D5381" s="21"/>
    </row>
    <row r="5382" spans="3:4">
      <c r="C5382" s="21" t="s">
        <v>9549</v>
      </c>
      <c r="D5382" s="21"/>
    </row>
    <row r="5383" spans="3:4">
      <c r="C5383" s="21" t="s">
        <v>9550</v>
      </c>
      <c r="D5383" s="21"/>
    </row>
    <row r="5384" spans="3:4">
      <c r="C5384" s="21" t="s">
        <v>9551</v>
      </c>
      <c r="D5384" s="21"/>
    </row>
    <row r="5385" spans="3:4">
      <c r="C5385" s="21" t="s">
        <v>9552</v>
      </c>
      <c r="D5385" s="21"/>
    </row>
    <row r="5386" spans="3:4">
      <c r="C5386" s="21" t="s">
        <v>9553</v>
      </c>
      <c r="D5386" s="21"/>
    </row>
    <row r="5387" spans="3:4">
      <c r="C5387" s="21" t="s">
        <v>9554</v>
      </c>
      <c r="D5387" s="21"/>
    </row>
    <row r="5388" spans="3:4">
      <c r="C5388" s="21" t="s">
        <v>9555</v>
      </c>
      <c r="D5388" s="21"/>
    </row>
    <row r="5389" spans="3:4">
      <c r="C5389" s="21" t="s">
        <v>9556</v>
      </c>
      <c r="D5389" s="21"/>
    </row>
    <row r="5390" spans="3:4">
      <c r="C5390" s="21" t="s">
        <v>9557</v>
      </c>
      <c r="D5390" s="21"/>
    </row>
    <row r="5391" spans="3:4">
      <c r="C5391" s="21" t="s">
        <v>9558</v>
      </c>
      <c r="D5391" s="21"/>
    </row>
    <row r="5392" spans="3:4">
      <c r="C5392" s="21" t="s">
        <v>9559</v>
      </c>
      <c r="D5392" s="21"/>
    </row>
    <row r="5393" spans="3:4">
      <c r="C5393" s="21" t="s">
        <v>9562</v>
      </c>
      <c r="D5393" s="21"/>
    </row>
    <row r="5394" spans="3:4">
      <c r="C5394" s="21" t="s">
        <v>9563</v>
      </c>
      <c r="D5394" s="21"/>
    </row>
    <row r="5395" spans="3:4">
      <c r="C5395" s="21" t="s">
        <v>9564</v>
      </c>
      <c r="D5395" s="21"/>
    </row>
    <row r="5396" spans="3:4">
      <c r="C5396" s="21" t="s">
        <v>9565</v>
      </c>
      <c r="D5396" s="21"/>
    </row>
    <row r="5397" spans="3:4">
      <c r="C5397" s="21" t="s">
        <v>9566</v>
      </c>
      <c r="D5397" s="21"/>
    </row>
    <row r="5398" spans="3:4">
      <c r="C5398" s="21" t="s">
        <v>9567</v>
      </c>
      <c r="D5398" s="21"/>
    </row>
    <row r="5399" spans="3:4">
      <c r="C5399" s="21" t="s">
        <v>9568</v>
      </c>
      <c r="D5399" s="21"/>
    </row>
    <row r="5400" spans="3:4">
      <c r="C5400" s="21" t="s">
        <v>9569</v>
      </c>
      <c r="D5400" s="21"/>
    </row>
    <row r="5401" spans="3:4">
      <c r="C5401" s="21" t="s">
        <v>9570</v>
      </c>
      <c r="D5401" s="21"/>
    </row>
    <row r="5402" spans="3:4">
      <c r="C5402" s="21" t="s">
        <v>9571</v>
      </c>
      <c r="D5402" s="21"/>
    </row>
    <row r="5403" spans="3:4">
      <c r="C5403" s="21" t="s">
        <v>9572</v>
      </c>
      <c r="D5403" s="21"/>
    </row>
    <row r="5404" spans="3:4">
      <c r="C5404" s="21" t="s">
        <v>9573</v>
      </c>
      <c r="D5404" s="21"/>
    </row>
    <row r="5405" spans="3:4">
      <c r="C5405" s="21" t="s">
        <v>9574</v>
      </c>
      <c r="D5405" s="21"/>
    </row>
    <row r="5406" spans="3:4">
      <c r="C5406" s="21" t="s">
        <v>9575</v>
      </c>
      <c r="D5406" s="21"/>
    </row>
    <row r="5407" spans="3:4">
      <c r="C5407" s="21" t="s">
        <v>9576</v>
      </c>
      <c r="D5407" s="21"/>
    </row>
    <row r="5408" spans="3:4">
      <c r="C5408" s="21" t="s">
        <v>9577</v>
      </c>
      <c r="D5408" s="21"/>
    </row>
    <row r="5409" spans="3:4">
      <c r="C5409" s="21" t="s">
        <v>9578</v>
      </c>
      <c r="D5409" s="21"/>
    </row>
    <row r="5410" spans="3:4">
      <c r="C5410" s="21" t="s">
        <v>9580</v>
      </c>
      <c r="D5410" s="21"/>
    </row>
    <row r="5411" spans="3:4">
      <c r="C5411" s="21" t="s">
        <v>9581</v>
      </c>
      <c r="D5411" s="21"/>
    </row>
    <row r="5412" spans="3:4">
      <c r="C5412" s="21" t="s">
        <v>9582</v>
      </c>
      <c r="D5412" s="21"/>
    </row>
    <row r="5413" spans="3:4">
      <c r="C5413" s="21" t="s">
        <v>9583</v>
      </c>
      <c r="D5413" s="21"/>
    </row>
    <row r="5414" spans="3:4">
      <c r="C5414" s="21" t="s">
        <v>9584</v>
      </c>
      <c r="D5414" s="21"/>
    </row>
    <row r="5415" spans="3:4">
      <c r="C5415" s="21" t="s">
        <v>9585</v>
      </c>
      <c r="D5415" s="21"/>
    </row>
    <row r="5416" spans="3:4">
      <c r="C5416" s="21" t="s">
        <v>9586</v>
      </c>
      <c r="D5416" s="21"/>
    </row>
    <row r="5417" spans="3:4">
      <c r="C5417" s="21" t="s">
        <v>9587</v>
      </c>
      <c r="D5417" s="21"/>
    </row>
    <row r="5418" spans="3:4">
      <c r="C5418" s="21" t="s">
        <v>9588</v>
      </c>
      <c r="D5418" s="21"/>
    </row>
    <row r="5419" spans="3:4">
      <c r="C5419" s="21" t="s">
        <v>9589</v>
      </c>
      <c r="D5419" s="21"/>
    </row>
    <row r="5420" spans="3:4">
      <c r="C5420" s="21" t="s">
        <v>9590</v>
      </c>
      <c r="D5420" s="21"/>
    </row>
    <row r="5421" spans="3:4">
      <c r="C5421" s="21" t="s">
        <v>9591</v>
      </c>
      <c r="D5421" s="21"/>
    </row>
    <row r="5422" spans="3:4">
      <c r="C5422" s="21" t="s">
        <v>9592</v>
      </c>
      <c r="D5422" s="21"/>
    </row>
    <row r="5423" spans="3:4">
      <c r="C5423" s="21" t="s">
        <v>9593</v>
      </c>
      <c r="D5423" s="21"/>
    </row>
    <row r="5424" spans="3:4">
      <c r="C5424" s="21" t="s">
        <v>9594</v>
      </c>
      <c r="D5424" s="21"/>
    </row>
    <row r="5425" spans="3:4">
      <c r="C5425" s="21" t="s">
        <v>9595</v>
      </c>
      <c r="D5425" s="21"/>
    </row>
    <row r="5426" spans="3:4">
      <c r="C5426" s="21" t="s">
        <v>9596</v>
      </c>
      <c r="D5426" s="21"/>
    </row>
    <row r="5427" spans="3:4">
      <c r="C5427" s="21" t="s">
        <v>9597</v>
      </c>
      <c r="D5427" s="21"/>
    </row>
    <row r="5428" spans="3:4">
      <c r="C5428" s="21" t="s">
        <v>9598</v>
      </c>
      <c r="D5428" s="21"/>
    </row>
    <row r="5429" spans="3:4">
      <c r="C5429" s="21" t="s">
        <v>9599</v>
      </c>
      <c r="D5429" s="21"/>
    </row>
    <row r="5430" spans="3:4">
      <c r="C5430" s="21" t="s">
        <v>9600</v>
      </c>
      <c r="D5430" s="21"/>
    </row>
    <row r="5431" spans="3:4">
      <c r="C5431" s="21" t="s">
        <v>9601</v>
      </c>
      <c r="D5431" s="21"/>
    </row>
    <row r="5432" spans="3:4">
      <c r="C5432" s="21" t="s">
        <v>9602</v>
      </c>
      <c r="D5432" s="21"/>
    </row>
    <row r="5433" spans="3:4">
      <c r="C5433" s="21" t="s">
        <v>9603</v>
      </c>
      <c r="D5433" s="21"/>
    </row>
    <row r="5434" spans="3:4">
      <c r="C5434" s="21" t="s">
        <v>9604</v>
      </c>
      <c r="D5434" s="21"/>
    </row>
    <row r="5435" spans="3:4">
      <c r="C5435" s="21" t="s">
        <v>9605</v>
      </c>
      <c r="D5435" s="21"/>
    </row>
    <row r="5436" spans="3:4">
      <c r="C5436" s="21" t="s">
        <v>9606</v>
      </c>
      <c r="D5436" s="21"/>
    </row>
    <row r="5437" spans="3:4">
      <c r="C5437" s="21" t="s">
        <v>9607</v>
      </c>
      <c r="D5437" s="21"/>
    </row>
    <row r="5438" spans="3:4">
      <c r="C5438" s="21" t="s">
        <v>9608</v>
      </c>
      <c r="D5438" s="21"/>
    </row>
    <row r="5439" spans="3:4">
      <c r="C5439" s="21" t="s">
        <v>9609</v>
      </c>
      <c r="D5439" s="21"/>
    </row>
    <row r="5440" spans="3:4">
      <c r="C5440" s="21" t="s">
        <v>9610</v>
      </c>
      <c r="D5440" s="21"/>
    </row>
    <row r="5441" spans="3:4">
      <c r="C5441" s="21" t="s">
        <v>9611</v>
      </c>
      <c r="D5441" s="21"/>
    </row>
    <row r="5442" spans="3:4">
      <c r="C5442" s="21" t="s">
        <v>9612</v>
      </c>
      <c r="D5442" s="21"/>
    </row>
    <row r="5443" spans="3:4">
      <c r="C5443" s="21" t="s">
        <v>9613</v>
      </c>
      <c r="D5443" s="21"/>
    </row>
    <row r="5444" spans="3:4">
      <c r="C5444" s="21" t="s">
        <v>9615</v>
      </c>
      <c r="D5444" s="21"/>
    </row>
    <row r="5445" spans="3:4">
      <c r="C5445" s="21" t="s">
        <v>9616</v>
      </c>
      <c r="D5445" s="21"/>
    </row>
    <row r="5446" spans="3:4">
      <c r="C5446" s="21" t="s">
        <v>9617</v>
      </c>
      <c r="D5446" s="21"/>
    </row>
    <row r="5447" spans="3:4">
      <c r="C5447" s="21" t="s">
        <v>9618</v>
      </c>
      <c r="D5447" s="21"/>
    </row>
    <row r="5448" spans="3:4">
      <c r="C5448" s="21" t="s">
        <v>9619</v>
      </c>
      <c r="D5448" s="21"/>
    </row>
    <row r="5449" spans="3:4">
      <c r="C5449" s="21" t="s">
        <v>9620</v>
      </c>
      <c r="D5449" s="21"/>
    </row>
    <row r="5450" spans="3:4">
      <c r="C5450" s="21" t="s">
        <v>9621</v>
      </c>
      <c r="D5450" s="21"/>
    </row>
    <row r="5451" spans="3:4">
      <c r="C5451" s="21" t="s">
        <v>9622</v>
      </c>
      <c r="D5451" s="21"/>
    </row>
    <row r="5452" spans="3:4">
      <c r="C5452" s="21" t="s">
        <v>9623</v>
      </c>
      <c r="D5452" s="21"/>
    </row>
    <row r="5453" spans="3:4">
      <c r="C5453" s="21" t="s">
        <v>9624</v>
      </c>
      <c r="D5453" s="21"/>
    </row>
    <row r="5454" spans="3:4">
      <c r="C5454" s="21" t="s">
        <v>9625</v>
      </c>
      <c r="D5454" s="21"/>
    </row>
    <row r="5455" spans="3:4">
      <c r="C5455" s="21" t="s">
        <v>9626</v>
      </c>
      <c r="D5455" s="21"/>
    </row>
    <row r="5456" spans="3:4">
      <c r="C5456" s="21" t="s">
        <v>9627</v>
      </c>
      <c r="D5456" s="21"/>
    </row>
    <row r="5457" spans="3:4">
      <c r="C5457" s="21" t="s">
        <v>9628</v>
      </c>
      <c r="D5457" s="21"/>
    </row>
    <row r="5458" spans="3:4">
      <c r="C5458" s="21" t="s">
        <v>9629</v>
      </c>
      <c r="D5458" s="21"/>
    </row>
    <row r="5459" spans="3:4">
      <c r="C5459" s="21" t="s">
        <v>9630</v>
      </c>
      <c r="D5459" s="21"/>
    </row>
    <row r="5460" spans="3:4">
      <c r="C5460" s="21" t="s">
        <v>9631</v>
      </c>
      <c r="D5460" s="21"/>
    </row>
    <row r="5461" spans="3:4">
      <c r="C5461" s="21" t="s">
        <v>9632</v>
      </c>
      <c r="D5461" s="21"/>
    </row>
    <row r="5462" spans="3:4">
      <c r="C5462" s="21" t="s">
        <v>9633</v>
      </c>
      <c r="D5462" s="21"/>
    </row>
    <row r="5463" spans="3:4">
      <c r="C5463" s="21" t="s">
        <v>9634</v>
      </c>
      <c r="D5463" s="21"/>
    </row>
    <row r="5464" spans="3:4">
      <c r="C5464" s="21" t="s">
        <v>9635</v>
      </c>
      <c r="D5464" s="21"/>
    </row>
    <row r="5465" spans="3:4">
      <c r="C5465" s="21" t="s">
        <v>9636</v>
      </c>
      <c r="D5465" s="21"/>
    </row>
    <row r="5466" spans="3:4">
      <c r="C5466" s="21" t="s">
        <v>9637</v>
      </c>
      <c r="D5466" s="21"/>
    </row>
    <row r="5467" spans="3:4">
      <c r="C5467" s="21" t="s">
        <v>9638</v>
      </c>
      <c r="D5467" s="21"/>
    </row>
    <row r="5468" spans="3:4">
      <c r="C5468" s="21" t="s">
        <v>9640</v>
      </c>
      <c r="D5468" s="21"/>
    </row>
    <row r="5469" spans="3:4">
      <c r="C5469" s="21" t="s">
        <v>9641</v>
      </c>
      <c r="D5469" s="21"/>
    </row>
    <row r="5470" spans="3:4">
      <c r="C5470" s="21" t="s">
        <v>9642</v>
      </c>
      <c r="D5470" s="21"/>
    </row>
    <row r="5471" spans="3:4">
      <c r="C5471" s="21" t="s">
        <v>9643</v>
      </c>
      <c r="D5471" s="21"/>
    </row>
    <row r="5472" spans="3:4">
      <c r="C5472" s="21" t="s">
        <v>9644</v>
      </c>
      <c r="D5472" s="21"/>
    </row>
    <row r="5473" spans="3:4">
      <c r="C5473" s="21" t="s">
        <v>9645</v>
      </c>
      <c r="D5473" s="21"/>
    </row>
    <row r="5474" spans="3:4">
      <c r="C5474" s="21" t="s">
        <v>9646</v>
      </c>
      <c r="D5474" s="21"/>
    </row>
    <row r="5475" spans="3:4">
      <c r="C5475" s="21" t="s">
        <v>9647</v>
      </c>
      <c r="D5475" s="21"/>
    </row>
    <row r="5476" spans="3:4">
      <c r="C5476" s="21" t="s">
        <v>9648</v>
      </c>
      <c r="D5476" s="21"/>
    </row>
    <row r="5477" spans="3:4">
      <c r="C5477" s="21" t="s">
        <v>9649</v>
      </c>
      <c r="D5477" s="21"/>
    </row>
    <row r="5478" spans="3:4">
      <c r="C5478" s="21" t="s">
        <v>9650</v>
      </c>
      <c r="D5478" s="21"/>
    </row>
    <row r="5479" spans="3:4">
      <c r="C5479" s="21" t="s">
        <v>9651</v>
      </c>
      <c r="D5479" s="21"/>
    </row>
    <row r="5480" spans="3:4">
      <c r="C5480" s="21" t="s">
        <v>9652</v>
      </c>
      <c r="D5480" s="21"/>
    </row>
    <row r="5481" spans="3:4">
      <c r="C5481" s="21" t="s">
        <v>9653</v>
      </c>
      <c r="D5481" s="21"/>
    </row>
    <row r="5482" spans="3:4">
      <c r="C5482" s="21" t="s">
        <v>9654</v>
      </c>
      <c r="D5482" s="21"/>
    </row>
    <row r="5483" spans="3:4">
      <c r="C5483" s="21" t="s">
        <v>9655</v>
      </c>
      <c r="D5483" s="21"/>
    </row>
    <row r="5484" spans="3:4">
      <c r="C5484" s="21" t="s">
        <v>9656</v>
      </c>
      <c r="D5484" s="21"/>
    </row>
    <row r="5485" spans="3:4">
      <c r="C5485" s="21" t="s">
        <v>9657</v>
      </c>
      <c r="D5485" s="21"/>
    </row>
    <row r="5486" spans="3:4">
      <c r="C5486" s="21" t="s">
        <v>9658</v>
      </c>
      <c r="D5486" s="21"/>
    </row>
    <row r="5487" spans="3:4">
      <c r="C5487" s="21" t="s">
        <v>9659</v>
      </c>
      <c r="D5487" s="21"/>
    </row>
    <row r="5488" spans="3:4">
      <c r="C5488" s="21" t="s">
        <v>9660</v>
      </c>
      <c r="D5488" s="21"/>
    </row>
    <row r="5489" spans="3:4">
      <c r="C5489" s="21" t="s">
        <v>9661</v>
      </c>
      <c r="D5489" s="21"/>
    </row>
    <row r="5490" spans="3:4">
      <c r="C5490" s="21" t="s">
        <v>9662</v>
      </c>
      <c r="D5490" s="21"/>
    </row>
    <row r="5491" spans="3:4">
      <c r="C5491" s="21" t="s">
        <v>9665</v>
      </c>
      <c r="D5491" s="21"/>
    </row>
    <row r="5492" spans="3:4">
      <c r="C5492" s="21" t="s">
        <v>9666</v>
      </c>
      <c r="D5492" s="21"/>
    </row>
    <row r="5493" spans="3:4">
      <c r="C5493" s="21" t="s">
        <v>9667</v>
      </c>
      <c r="D5493" s="21"/>
    </row>
    <row r="5494" spans="3:4">
      <c r="C5494" s="21" t="s">
        <v>9668</v>
      </c>
      <c r="D5494" s="21"/>
    </row>
    <row r="5495" spans="3:4">
      <c r="C5495" s="21" t="s">
        <v>9669</v>
      </c>
      <c r="D5495" s="21"/>
    </row>
    <row r="5496" spans="3:4">
      <c r="C5496" s="21" t="s">
        <v>9670</v>
      </c>
      <c r="D5496" s="21"/>
    </row>
    <row r="5497" spans="3:4">
      <c r="C5497" s="21" t="s">
        <v>9671</v>
      </c>
      <c r="D5497" s="21"/>
    </row>
    <row r="5498" spans="3:4">
      <c r="C5498" s="21" t="s">
        <v>9672</v>
      </c>
      <c r="D5498" s="21"/>
    </row>
    <row r="5499" spans="3:4">
      <c r="C5499" s="21" t="s">
        <v>9673</v>
      </c>
      <c r="D5499" s="21"/>
    </row>
    <row r="5500" spans="3:4">
      <c r="C5500" s="21" t="s">
        <v>9674</v>
      </c>
      <c r="D5500" s="21"/>
    </row>
    <row r="5501" spans="3:4">
      <c r="C5501" s="21" t="s">
        <v>9675</v>
      </c>
      <c r="D5501" s="21"/>
    </row>
    <row r="5502" spans="3:4">
      <c r="C5502" s="21" t="s">
        <v>9676</v>
      </c>
      <c r="D5502" s="21"/>
    </row>
    <row r="5503" spans="3:4">
      <c r="C5503" s="21" t="s">
        <v>9677</v>
      </c>
      <c r="D5503" s="21"/>
    </row>
    <row r="5504" spans="3:4">
      <c r="C5504" s="21" t="s">
        <v>9678</v>
      </c>
      <c r="D5504" s="21"/>
    </row>
    <row r="5505" spans="3:4">
      <c r="C5505" s="21" t="s">
        <v>9679</v>
      </c>
      <c r="D5505" s="21"/>
    </row>
    <row r="5506" spans="3:4">
      <c r="C5506" s="21" t="s">
        <v>9680</v>
      </c>
      <c r="D5506" s="21"/>
    </row>
    <row r="5507" spans="3:4">
      <c r="C5507" s="21" t="s">
        <v>9681</v>
      </c>
      <c r="D5507" s="21"/>
    </row>
    <row r="5508" spans="3:4">
      <c r="C5508" s="21" t="s">
        <v>9682</v>
      </c>
      <c r="D5508" s="21"/>
    </row>
    <row r="5509" spans="3:4">
      <c r="C5509" s="21" t="s">
        <v>9683</v>
      </c>
      <c r="D5509" s="21"/>
    </row>
    <row r="5510" spans="3:4">
      <c r="C5510" s="21" t="s">
        <v>9684</v>
      </c>
      <c r="D5510" s="21"/>
    </row>
    <row r="5511" spans="3:4">
      <c r="C5511" s="21" t="s">
        <v>9687</v>
      </c>
      <c r="D5511" s="21"/>
    </row>
    <row r="5512" spans="3:4">
      <c r="C5512" s="21" t="s">
        <v>9688</v>
      </c>
      <c r="D5512" s="21"/>
    </row>
    <row r="5513" spans="3:4">
      <c r="C5513" s="21" t="s">
        <v>9689</v>
      </c>
      <c r="D5513" s="21"/>
    </row>
    <row r="5514" spans="3:4">
      <c r="C5514" s="21" t="s">
        <v>9690</v>
      </c>
      <c r="D5514" s="21"/>
    </row>
    <row r="5515" spans="3:4">
      <c r="C5515" s="21" t="s">
        <v>9691</v>
      </c>
      <c r="D5515" s="21"/>
    </row>
    <row r="5516" spans="3:4">
      <c r="C5516" s="21" t="s">
        <v>9692</v>
      </c>
      <c r="D5516" s="21"/>
    </row>
    <row r="5517" spans="3:4">
      <c r="C5517" s="21" t="s">
        <v>9693</v>
      </c>
      <c r="D5517" s="21"/>
    </row>
    <row r="5518" spans="3:4">
      <c r="C5518" s="21" t="s">
        <v>9694</v>
      </c>
      <c r="D5518" s="21"/>
    </row>
    <row r="5519" spans="3:4">
      <c r="C5519" s="21" t="s">
        <v>9695</v>
      </c>
      <c r="D5519" s="21"/>
    </row>
    <row r="5520" spans="3:4">
      <c r="C5520" s="21" t="s">
        <v>9696</v>
      </c>
      <c r="D5520" s="21"/>
    </row>
    <row r="5521" spans="3:4">
      <c r="C5521" s="21" t="s">
        <v>9697</v>
      </c>
      <c r="D5521" s="21"/>
    </row>
    <row r="5522" spans="3:4">
      <c r="C5522" s="21" t="s">
        <v>9698</v>
      </c>
      <c r="D5522" s="21"/>
    </row>
    <row r="5523" spans="3:4">
      <c r="C5523" s="21" t="s">
        <v>9700</v>
      </c>
      <c r="D5523" s="21"/>
    </row>
    <row r="5524" spans="3:4">
      <c r="C5524" s="21" t="s">
        <v>9701</v>
      </c>
      <c r="D5524" s="21"/>
    </row>
    <row r="5525" spans="3:4">
      <c r="C5525" s="21" t="s">
        <v>9702</v>
      </c>
      <c r="D5525" s="21"/>
    </row>
    <row r="5526" spans="3:4">
      <c r="C5526" s="21" t="s">
        <v>9703</v>
      </c>
      <c r="D5526" s="21"/>
    </row>
    <row r="5527" spans="3:4">
      <c r="C5527" s="21" t="s">
        <v>9704</v>
      </c>
      <c r="D5527" s="21"/>
    </row>
    <row r="5528" spans="3:4">
      <c r="C5528" s="21" t="s">
        <v>9705</v>
      </c>
      <c r="D5528" s="21"/>
    </row>
    <row r="5529" spans="3:4">
      <c r="C5529" s="21" t="s">
        <v>9706</v>
      </c>
      <c r="D5529" s="21"/>
    </row>
    <row r="5530" spans="3:4">
      <c r="C5530" s="21" t="s">
        <v>9707</v>
      </c>
      <c r="D5530" s="21"/>
    </row>
    <row r="5531" spans="3:4">
      <c r="C5531" s="21" t="s">
        <v>9708</v>
      </c>
      <c r="D5531" s="21"/>
    </row>
    <row r="5532" spans="3:4">
      <c r="C5532" s="21" t="s">
        <v>9709</v>
      </c>
      <c r="D5532" s="21"/>
    </row>
    <row r="5533" spans="3:4">
      <c r="C5533" s="21" t="s">
        <v>9710</v>
      </c>
      <c r="D5533" s="21"/>
    </row>
    <row r="5534" spans="3:4">
      <c r="C5534" s="21" t="s">
        <v>9711</v>
      </c>
      <c r="D5534" s="21"/>
    </row>
    <row r="5535" spans="3:4">
      <c r="C5535" s="21" t="s">
        <v>9712</v>
      </c>
      <c r="D5535" s="21"/>
    </row>
    <row r="5536" spans="3:4">
      <c r="C5536" s="21" t="s">
        <v>9713</v>
      </c>
      <c r="D5536" s="21"/>
    </row>
    <row r="5537" spans="3:4">
      <c r="C5537" s="21" t="s">
        <v>9714</v>
      </c>
      <c r="D5537" s="21"/>
    </row>
    <row r="5538" spans="3:4">
      <c r="C5538" s="21" t="s">
        <v>9715</v>
      </c>
      <c r="D5538" s="21"/>
    </row>
    <row r="5539" spans="3:4">
      <c r="C5539" s="21" t="s">
        <v>9716</v>
      </c>
      <c r="D5539" s="21"/>
    </row>
    <row r="5540" spans="3:4">
      <c r="C5540" s="21" t="s">
        <v>9717</v>
      </c>
      <c r="D5540" s="21"/>
    </row>
    <row r="5541" spans="3:4">
      <c r="C5541" s="21" t="s">
        <v>9718</v>
      </c>
      <c r="D5541" s="21"/>
    </row>
    <row r="5542" spans="3:4">
      <c r="C5542" s="21" t="s">
        <v>9719</v>
      </c>
      <c r="D5542" s="21"/>
    </row>
    <row r="5543" spans="3:4">
      <c r="C5543" s="21" t="s">
        <v>9720</v>
      </c>
      <c r="D5543" s="21"/>
    </row>
    <row r="5544" spans="3:4">
      <c r="C5544" s="21" t="s">
        <v>9721</v>
      </c>
      <c r="D5544" s="21"/>
    </row>
    <row r="5545" spans="3:4">
      <c r="C5545" s="21" t="s">
        <v>9722</v>
      </c>
      <c r="D5545" s="21"/>
    </row>
    <row r="5546" spans="3:4">
      <c r="C5546" s="21" t="s">
        <v>9723</v>
      </c>
      <c r="D5546" s="21"/>
    </row>
    <row r="5547" spans="3:4">
      <c r="C5547" s="21" t="s">
        <v>9724</v>
      </c>
      <c r="D5547" s="21"/>
    </row>
    <row r="5548" spans="3:4">
      <c r="C5548" s="21" t="s">
        <v>9725</v>
      </c>
      <c r="D5548" s="21"/>
    </row>
    <row r="5549" spans="3:4">
      <c r="C5549" s="21" t="s">
        <v>9726</v>
      </c>
      <c r="D5549" s="21"/>
    </row>
    <row r="5550" spans="3:4">
      <c r="C5550" s="21" t="s">
        <v>9727</v>
      </c>
      <c r="D5550" s="21"/>
    </row>
    <row r="5551" spans="3:4">
      <c r="C5551" s="21" t="s">
        <v>9728</v>
      </c>
      <c r="D5551" s="21"/>
    </row>
    <row r="5552" spans="3:4">
      <c r="C5552" s="21" t="s">
        <v>9729</v>
      </c>
      <c r="D5552" s="21"/>
    </row>
    <row r="5553" spans="3:4">
      <c r="C5553" s="21" t="s">
        <v>9730</v>
      </c>
      <c r="D5553" s="21"/>
    </row>
    <row r="5554" spans="3:4">
      <c r="C5554" s="21" t="s">
        <v>9731</v>
      </c>
      <c r="D5554" s="21"/>
    </row>
    <row r="5555" spans="3:4">
      <c r="C5555" s="21" t="s">
        <v>9732</v>
      </c>
      <c r="D5555" s="21"/>
    </row>
    <row r="5556" spans="3:4">
      <c r="C5556" s="21" t="s">
        <v>9733</v>
      </c>
      <c r="D5556" s="21"/>
    </row>
    <row r="5557" spans="3:4">
      <c r="C5557" s="21" t="s">
        <v>9734</v>
      </c>
      <c r="D5557" s="21"/>
    </row>
    <row r="5558" spans="3:4">
      <c r="C5558" s="21" t="s">
        <v>9735</v>
      </c>
      <c r="D5558" s="21"/>
    </row>
    <row r="5559" spans="3:4">
      <c r="C5559" s="21" t="s">
        <v>9736</v>
      </c>
      <c r="D5559" s="21"/>
    </row>
    <row r="5560" spans="3:4">
      <c r="C5560" s="21" t="s">
        <v>9737</v>
      </c>
      <c r="D5560" s="21"/>
    </row>
    <row r="5561" spans="3:4">
      <c r="C5561" s="21" t="s">
        <v>9738</v>
      </c>
      <c r="D5561" s="21"/>
    </row>
    <row r="5562" spans="3:4">
      <c r="C5562" s="21" t="s">
        <v>9739</v>
      </c>
      <c r="D5562" s="21"/>
    </row>
    <row r="5563" spans="3:4">
      <c r="C5563" s="21" t="s">
        <v>9740</v>
      </c>
      <c r="D5563" s="21"/>
    </row>
    <row r="5564" spans="3:4">
      <c r="C5564" s="21" t="s">
        <v>9742</v>
      </c>
      <c r="D5564" s="21"/>
    </row>
    <row r="5565" spans="3:4">
      <c r="C5565" s="21" t="s">
        <v>9743</v>
      </c>
      <c r="D5565" s="21"/>
    </row>
    <row r="5566" spans="3:4">
      <c r="C5566" s="21" t="s">
        <v>9744</v>
      </c>
      <c r="D5566" s="21"/>
    </row>
    <row r="5567" spans="3:4">
      <c r="C5567" s="21" t="s">
        <v>9745</v>
      </c>
      <c r="D5567" s="21"/>
    </row>
    <row r="5568" spans="3:4">
      <c r="C5568" s="21" t="s">
        <v>9746</v>
      </c>
      <c r="D5568" s="21"/>
    </row>
    <row r="5569" spans="3:4">
      <c r="C5569" s="21" t="s">
        <v>9747</v>
      </c>
      <c r="D5569" s="21"/>
    </row>
    <row r="5570" spans="3:4">
      <c r="C5570" s="21" t="s">
        <v>9748</v>
      </c>
      <c r="D5570" s="21"/>
    </row>
    <row r="5571" spans="3:4">
      <c r="C5571" s="21" t="s">
        <v>9749</v>
      </c>
      <c r="D5571" s="21"/>
    </row>
    <row r="5572" spans="3:4">
      <c r="C5572" s="21" t="s">
        <v>9750</v>
      </c>
      <c r="D5572" s="21"/>
    </row>
    <row r="5573" spans="3:4">
      <c r="C5573" s="21" t="s">
        <v>9751</v>
      </c>
      <c r="D5573" s="21"/>
    </row>
    <row r="5574" spans="3:4">
      <c r="C5574" s="21" t="s">
        <v>9752</v>
      </c>
      <c r="D5574" s="21"/>
    </row>
    <row r="5575" spans="3:4">
      <c r="C5575" s="21" t="s">
        <v>9753</v>
      </c>
      <c r="D5575" s="21"/>
    </row>
    <row r="5576" spans="3:4">
      <c r="C5576" s="21" t="s">
        <v>9754</v>
      </c>
      <c r="D5576" s="21"/>
    </row>
    <row r="5577" spans="3:4">
      <c r="C5577" s="21" t="s">
        <v>9755</v>
      </c>
      <c r="D5577" s="21"/>
    </row>
    <row r="5578" spans="3:4">
      <c r="C5578" s="21" t="s">
        <v>9756</v>
      </c>
      <c r="D5578" s="21"/>
    </row>
    <row r="5579" spans="3:4">
      <c r="C5579" s="21" t="s">
        <v>9757</v>
      </c>
      <c r="D5579" s="21"/>
    </row>
    <row r="5580" spans="3:4">
      <c r="C5580" s="21" t="s">
        <v>9758</v>
      </c>
      <c r="D5580" s="21"/>
    </row>
    <row r="5581" spans="3:4">
      <c r="C5581" s="21" t="s">
        <v>9759</v>
      </c>
      <c r="D5581" s="21"/>
    </row>
    <row r="5582" spans="3:4">
      <c r="C5582" s="21" t="s">
        <v>9761</v>
      </c>
      <c r="D5582" s="21"/>
    </row>
    <row r="5583" spans="3:4">
      <c r="C5583" s="21" t="s">
        <v>9762</v>
      </c>
      <c r="D5583" s="21"/>
    </row>
    <row r="5584" spans="3:4">
      <c r="C5584" s="21" t="s">
        <v>9763</v>
      </c>
      <c r="D5584" s="21"/>
    </row>
    <row r="5585" spans="3:4">
      <c r="C5585" s="21" t="s">
        <v>9764</v>
      </c>
      <c r="D5585" s="21"/>
    </row>
    <row r="5586" spans="3:4">
      <c r="C5586" s="21" t="s">
        <v>9765</v>
      </c>
      <c r="D5586" s="21"/>
    </row>
    <row r="5587" spans="3:4">
      <c r="C5587" s="21" t="s">
        <v>9766</v>
      </c>
      <c r="D5587" s="21"/>
    </row>
    <row r="5588" spans="3:4">
      <c r="C5588" s="21" t="s">
        <v>9767</v>
      </c>
      <c r="D5588" s="21"/>
    </row>
    <row r="5589" spans="3:4">
      <c r="C5589" s="21" t="s">
        <v>9768</v>
      </c>
      <c r="D5589" s="21"/>
    </row>
    <row r="5590" spans="3:4">
      <c r="C5590" s="21" t="s">
        <v>9769</v>
      </c>
      <c r="D5590" s="21"/>
    </row>
    <row r="5591" spans="3:4">
      <c r="C5591" s="21" t="s">
        <v>9770</v>
      </c>
      <c r="D5591" s="21"/>
    </row>
    <row r="5592" spans="3:4">
      <c r="C5592" s="21" t="s">
        <v>9771</v>
      </c>
      <c r="D5592" s="21"/>
    </row>
    <row r="5593" spans="3:4">
      <c r="C5593" s="21" t="s">
        <v>9772</v>
      </c>
      <c r="D5593" s="21"/>
    </row>
    <row r="5594" spans="3:4">
      <c r="C5594" s="21" t="s">
        <v>9773</v>
      </c>
      <c r="D5594" s="21"/>
    </row>
    <row r="5595" spans="3:4">
      <c r="C5595" s="21" t="s">
        <v>9774</v>
      </c>
      <c r="D5595" s="21"/>
    </row>
    <row r="5596" spans="3:4">
      <c r="C5596" s="21" t="s">
        <v>9775</v>
      </c>
      <c r="D5596" s="21"/>
    </row>
    <row r="5597" spans="3:4">
      <c r="C5597" s="21" t="s">
        <v>9776</v>
      </c>
      <c r="D5597" s="21"/>
    </row>
    <row r="5598" spans="3:4">
      <c r="C5598" s="21" t="s">
        <v>9777</v>
      </c>
      <c r="D5598" s="21"/>
    </row>
    <row r="5599" spans="3:4">
      <c r="C5599" s="21" t="s">
        <v>9778</v>
      </c>
      <c r="D5599" s="21"/>
    </row>
    <row r="5600" spans="3:4">
      <c r="C5600" s="21" t="s">
        <v>9779</v>
      </c>
      <c r="D5600" s="21"/>
    </row>
    <row r="5601" spans="3:4">
      <c r="C5601" s="21" t="s">
        <v>9780</v>
      </c>
      <c r="D5601" s="21"/>
    </row>
    <row r="5602" spans="3:4">
      <c r="C5602" s="21" t="s">
        <v>9781</v>
      </c>
      <c r="D5602" s="21"/>
    </row>
    <row r="5603" spans="3:4">
      <c r="C5603" s="21" t="s">
        <v>9782</v>
      </c>
      <c r="D5603" s="21"/>
    </row>
    <row r="5604" spans="3:4">
      <c r="C5604" s="21" t="s">
        <v>9783</v>
      </c>
      <c r="D5604" s="21"/>
    </row>
    <row r="5605" spans="3:4">
      <c r="C5605" s="21" t="s">
        <v>9784</v>
      </c>
      <c r="D5605" s="21"/>
    </row>
    <row r="5606" spans="3:4">
      <c r="C5606" s="21" t="s">
        <v>9785</v>
      </c>
      <c r="D5606" s="21"/>
    </row>
    <row r="5607" spans="3:4">
      <c r="C5607" s="21" t="s">
        <v>9786</v>
      </c>
      <c r="D5607" s="21"/>
    </row>
    <row r="5608" spans="3:4">
      <c r="C5608" s="21" t="s">
        <v>9787</v>
      </c>
      <c r="D5608" s="21"/>
    </row>
    <row r="5609" spans="3:4">
      <c r="C5609" s="21" t="s">
        <v>9788</v>
      </c>
      <c r="D5609" s="21"/>
    </row>
    <row r="5610" spans="3:4">
      <c r="C5610" s="21" t="s">
        <v>9789</v>
      </c>
      <c r="D5610" s="21"/>
    </row>
    <row r="5611" spans="3:4">
      <c r="C5611" s="21" t="s">
        <v>9790</v>
      </c>
      <c r="D5611" s="21"/>
    </row>
    <row r="5612" spans="3:4">
      <c r="C5612" s="21" t="s">
        <v>9791</v>
      </c>
      <c r="D5612" s="21"/>
    </row>
    <row r="5613" spans="3:4">
      <c r="C5613" s="21" t="s">
        <v>9792</v>
      </c>
      <c r="D5613" s="21"/>
    </row>
    <row r="5614" spans="3:4">
      <c r="C5614" s="21" t="s">
        <v>9793</v>
      </c>
      <c r="D5614" s="21"/>
    </row>
    <row r="5615" spans="3:4">
      <c r="C5615" s="21" t="s">
        <v>9794</v>
      </c>
      <c r="D5615" s="21"/>
    </row>
    <row r="5616" spans="3:4">
      <c r="C5616" s="21" t="s">
        <v>9795</v>
      </c>
      <c r="D5616" s="21"/>
    </row>
    <row r="5617" spans="3:4">
      <c r="C5617" s="21" t="s">
        <v>9796</v>
      </c>
      <c r="D5617" s="21"/>
    </row>
    <row r="5618" spans="3:4">
      <c r="C5618" s="21" t="s">
        <v>9797</v>
      </c>
      <c r="D5618" s="21"/>
    </row>
    <row r="5619" spans="3:4">
      <c r="C5619" s="21" t="s">
        <v>9798</v>
      </c>
      <c r="D5619" s="21"/>
    </row>
    <row r="5620" spans="3:4">
      <c r="C5620" s="21" t="s">
        <v>9799</v>
      </c>
      <c r="D5620" s="21"/>
    </row>
    <row r="5621" spans="3:4">
      <c r="C5621" s="21" t="s">
        <v>9800</v>
      </c>
      <c r="D5621" s="21"/>
    </row>
    <row r="5622" spans="3:4">
      <c r="C5622" s="21" t="s">
        <v>9801</v>
      </c>
      <c r="D5622" s="21"/>
    </row>
    <row r="5623" spans="3:4">
      <c r="C5623" s="21" t="s">
        <v>9802</v>
      </c>
      <c r="D5623" s="21"/>
    </row>
    <row r="5624" spans="3:4">
      <c r="C5624" s="21" t="s">
        <v>9803</v>
      </c>
      <c r="D5624" s="21"/>
    </row>
    <row r="5625" spans="3:4">
      <c r="C5625" s="21" t="s">
        <v>9804</v>
      </c>
      <c r="D5625" s="21"/>
    </row>
    <row r="5626" spans="3:4">
      <c r="C5626" s="21" t="s">
        <v>9805</v>
      </c>
      <c r="D5626" s="21"/>
    </row>
    <row r="5627" spans="3:4">
      <c r="C5627" s="21" t="s">
        <v>9806</v>
      </c>
      <c r="D5627" s="21"/>
    </row>
    <row r="5628" spans="3:4">
      <c r="C5628" s="21" t="s">
        <v>9807</v>
      </c>
      <c r="D5628" s="21"/>
    </row>
    <row r="5629" spans="3:4">
      <c r="C5629" s="21" t="s">
        <v>9808</v>
      </c>
      <c r="D5629" s="21"/>
    </row>
    <row r="5630" spans="3:4">
      <c r="C5630" s="21" t="s">
        <v>9809</v>
      </c>
      <c r="D5630" s="21"/>
    </row>
    <row r="5631" spans="3:4">
      <c r="C5631" s="21" t="s">
        <v>9810</v>
      </c>
      <c r="D5631" s="21"/>
    </row>
    <row r="5632" spans="3:4">
      <c r="C5632" s="21" t="s">
        <v>9811</v>
      </c>
      <c r="D5632" s="21"/>
    </row>
    <row r="5633" spans="3:4">
      <c r="C5633" s="21" t="s">
        <v>9812</v>
      </c>
      <c r="D5633" s="21"/>
    </row>
    <row r="5634" spans="3:4">
      <c r="C5634" s="21" t="s">
        <v>9813</v>
      </c>
      <c r="D5634" s="21"/>
    </row>
    <row r="5635" spans="3:4">
      <c r="C5635" s="21" t="s">
        <v>9814</v>
      </c>
      <c r="D5635" s="21"/>
    </row>
    <row r="5636" spans="3:4">
      <c r="C5636" s="21" t="s">
        <v>9815</v>
      </c>
      <c r="D5636" s="21"/>
    </row>
    <row r="5637" spans="3:4">
      <c r="C5637" s="21" t="s">
        <v>9816</v>
      </c>
      <c r="D5637" s="21"/>
    </row>
    <row r="5638" spans="3:4">
      <c r="C5638" s="21" t="s">
        <v>9817</v>
      </c>
      <c r="D5638" s="21"/>
    </row>
    <row r="5639" spans="3:4">
      <c r="C5639" s="21" t="s">
        <v>9818</v>
      </c>
      <c r="D5639" s="21"/>
    </row>
    <row r="5640" spans="3:4">
      <c r="C5640" s="21" t="s">
        <v>9819</v>
      </c>
      <c r="D5640" s="21"/>
    </row>
    <row r="5641" spans="3:4">
      <c r="C5641" s="21" t="s">
        <v>9820</v>
      </c>
      <c r="D5641" s="21"/>
    </row>
    <row r="5642" spans="3:4">
      <c r="C5642" s="21" t="s">
        <v>9821</v>
      </c>
      <c r="D5642" s="21"/>
    </row>
    <row r="5643" spans="3:4">
      <c r="C5643" s="21" t="s">
        <v>9822</v>
      </c>
      <c r="D5643" s="21"/>
    </row>
    <row r="5644" spans="3:4">
      <c r="C5644" s="21" t="s">
        <v>9825</v>
      </c>
      <c r="D5644" s="21"/>
    </row>
    <row r="5645" spans="3:4">
      <c r="C5645" s="21" t="s">
        <v>9826</v>
      </c>
      <c r="D5645" s="21"/>
    </row>
    <row r="5646" spans="3:4">
      <c r="C5646" s="21" t="s">
        <v>9827</v>
      </c>
      <c r="D5646" s="21"/>
    </row>
    <row r="5647" spans="3:4">
      <c r="C5647" s="21" t="s">
        <v>9828</v>
      </c>
      <c r="D5647" s="21"/>
    </row>
    <row r="5648" spans="3:4">
      <c r="C5648" s="21" t="s">
        <v>9829</v>
      </c>
      <c r="D5648" s="21"/>
    </row>
    <row r="5649" spans="3:4">
      <c r="C5649" s="21" t="s">
        <v>9830</v>
      </c>
      <c r="D5649" s="21"/>
    </row>
    <row r="5650" spans="3:4">
      <c r="C5650" s="21" t="s">
        <v>9831</v>
      </c>
      <c r="D5650" s="21"/>
    </row>
    <row r="5651" spans="3:4">
      <c r="C5651" s="21" t="s">
        <v>9832</v>
      </c>
      <c r="D5651" s="21"/>
    </row>
    <row r="5652" spans="3:4">
      <c r="C5652" s="21" t="s">
        <v>9833</v>
      </c>
      <c r="D5652" s="21"/>
    </row>
    <row r="5653" spans="3:4">
      <c r="C5653" s="21" t="s">
        <v>9834</v>
      </c>
      <c r="D5653" s="21"/>
    </row>
    <row r="5654" spans="3:4">
      <c r="C5654" s="21" t="s">
        <v>9835</v>
      </c>
      <c r="D5654" s="21"/>
    </row>
    <row r="5655" spans="3:4">
      <c r="C5655" s="21" t="s">
        <v>9837</v>
      </c>
      <c r="D5655" s="21"/>
    </row>
    <row r="5656" spans="3:4">
      <c r="C5656" s="21" t="s">
        <v>9838</v>
      </c>
      <c r="D5656" s="21"/>
    </row>
    <row r="5657" spans="3:4">
      <c r="C5657" s="21" t="s">
        <v>9839</v>
      </c>
      <c r="D5657" s="21"/>
    </row>
    <row r="5658" spans="3:4">
      <c r="C5658" s="21" t="s">
        <v>9840</v>
      </c>
      <c r="D5658" s="21"/>
    </row>
    <row r="5659" spans="3:4">
      <c r="C5659" s="21" t="s">
        <v>9841</v>
      </c>
      <c r="D5659" s="21"/>
    </row>
    <row r="5660" spans="3:4">
      <c r="C5660" s="21" t="s">
        <v>9842</v>
      </c>
      <c r="D5660" s="21"/>
    </row>
    <row r="5661" spans="3:4">
      <c r="C5661" s="21" t="s">
        <v>9843</v>
      </c>
      <c r="D5661" s="21"/>
    </row>
    <row r="5662" spans="3:4">
      <c r="C5662" s="21" t="s">
        <v>9844</v>
      </c>
      <c r="D5662" s="21"/>
    </row>
    <row r="5663" spans="3:4">
      <c r="C5663" s="21" t="s">
        <v>9845</v>
      </c>
      <c r="D5663" s="21"/>
    </row>
    <row r="5664" spans="3:4">
      <c r="C5664" s="21" t="s">
        <v>9846</v>
      </c>
      <c r="D5664" s="21"/>
    </row>
    <row r="5665" spans="3:4">
      <c r="C5665" s="21" t="s">
        <v>9847</v>
      </c>
      <c r="D5665" s="21"/>
    </row>
    <row r="5666" spans="3:4">
      <c r="C5666" s="21" t="s">
        <v>9848</v>
      </c>
      <c r="D5666" s="21"/>
    </row>
    <row r="5667" spans="3:4">
      <c r="C5667" s="21" t="s">
        <v>9849</v>
      </c>
      <c r="D5667" s="21"/>
    </row>
    <row r="5668" spans="3:4">
      <c r="C5668" s="21" t="s">
        <v>9850</v>
      </c>
      <c r="D5668" s="21"/>
    </row>
    <row r="5669" spans="3:4">
      <c r="C5669" s="21" t="s">
        <v>9851</v>
      </c>
      <c r="D5669" s="21"/>
    </row>
    <row r="5670" spans="3:4">
      <c r="C5670" s="21" t="s">
        <v>9852</v>
      </c>
      <c r="D5670" s="21"/>
    </row>
    <row r="5671" spans="3:4">
      <c r="C5671" s="21" t="s">
        <v>9853</v>
      </c>
      <c r="D5671" s="21"/>
    </row>
    <row r="5672" spans="3:4">
      <c r="C5672" s="21" t="s">
        <v>9854</v>
      </c>
      <c r="D5672" s="21"/>
    </row>
    <row r="5673" spans="3:4">
      <c r="C5673" s="21" t="s">
        <v>9855</v>
      </c>
      <c r="D5673" s="21"/>
    </row>
    <row r="5674" spans="3:4">
      <c r="C5674" s="21" t="s">
        <v>9856</v>
      </c>
      <c r="D5674" s="21"/>
    </row>
    <row r="5675" spans="3:4">
      <c r="C5675" s="21" t="s">
        <v>9857</v>
      </c>
      <c r="D5675" s="21"/>
    </row>
    <row r="5676" spans="3:4">
      <c r="C5676" s="21" t="s">
        <v>9858</v>
      </c>
      <c r="D5676" s="21"/>
    </row>
    <row r="5677" spans="3:4">
      <c r="C5677" s="21" t="s">
        <v>9859</v>
      </c>
      <c r="D5677" s="21"/>
    </row>
    <row r="5678" spans="3:4">
      <c r="C5678" s="21" t="s">
        <v>9860</v>
      </c>
      <c r="D5678" s="21"/>
    </row>
    <row r="5679" spans="3:4">
      <c r="C5679" s="21" t="s">
        <v>9861</v>
      </c>
      <c r="D5679" s="21"/>
    </row>
    <row r="5680" spans="3:4">
      <c r="C5680" s="21" t="s">
        <v>9862</v>
      </c>
      <c r="D5680" s="21"/>
    </row>
    <row r="5681" spans="3:4">
      <c r="C5681" s="21" t="s">
        <v>9863</v>
      </c>
      <c r="D5681" s="21"/>
    </row>
    <row r="5682" spans="3:4">
      <c r="C5682" s="21" t="s">
        <v>9864</v>
      </c>
      <c r="D5682" s="21"/>
    </row>
    <row r="5683" spans="3:4">
      <c r="C5683" s="21" t="s">
        <v>9865</v>
      </c>
      <c r="D5683" s="21"/>
    </row>
    <row r="5684" spans="3:4">
      <c r="C5684" s="21" t="s">
        <v>9866</v>
      </c>
      <c r="D5684" s="21"/>
    </row>
    <row r="5685" spans="3:4">
      <c r="C5685" s="21" t="s">
        <v>9867</v>
      </c>
      <c r="D5685" s="21"/>
    </row>
    <row r="5686" spans="3:4">
      <c r="C5686" s="21" t="s">
        <v>9868</v>
      </c>
      <c r="D5686" s="21"/>
    </row>
    <row r="5687" spans="3:4">
      <c r="C5687" s="21" t="s">
        <v>9869</v>
      </c>
      <c r="D5687" s="21"/>
    </row>
    <row r="5688" spans="3:4">
      <c r="C5688" s="21" t="s">
        <v>9870</v>
      </c>
      <c r="D5688" s="21"/>
    </row>
    <row r="5689" spans="3:4">
      <c r="C5689" s="21" t="s">
        <v>9871</v>
      </c>
      <c r="D5689" s="21"/>
    </row>
    <row r="5690" spans="3:4">
      <c r="C5690" s="21" t="s">
        <v>9872</v>
      </c>
      <c r="D5690" s="21"/>
    </row>
    <row r="5691" spans="3:4">
      <c r="C5691" s="21" t="s">
        <v>9873</v>
      </c>
      <c r="D5691" s="21"/>
    </row>
    <row r="5692" spans="3:4">
      <c r="C5692" s="21" t="s">
        <v>9874</v>
      </c>
      <c r="D5692" s="21"/>
    </row>
    <row r="5693" spans="3:4">
      <c r="C5693" s="21" t="s">
        <v>9875</v>
      </c>
      <c r="D5693" s="21"/>
    </row>
    <row r="5694" spans="3:4">
      <c r="C5694" s="21" t="s">
        <v>9876</v>
      </c>
      <c r="D5694" s="21"/>
    </row>
    <row r="5695" spans="3:4">
      <c r="C5695" s="21" t="s">
        <v>9877</v>
      </c>
      <c r="D5695" s="21"/>
    </row>
    <row r="5696" spans="3:4">
      <c r="C5696" s="21" t="s">
        <v>9878</v>
      </c>
      <c r="D5696" s="21"/>
    </row>
    <row r="5697" spans="3:4">
      <c r="C5697" s="21" t="s">
        <v>9879</v>
      </c>
      <c r="D5697" s="21"/>
    </row>
    <row r="5698" spans="3:4">
      <c r="C5698" s="21" t="s">
        <v>9880</v>
      </c>
      <c r="D5698" s="21"/>
    </row>
    <row r="5699" spans="3:4">
      <c r="C5699" s="21" t="s">
        <v>9881</v>
      </c>
      <c r="D5699" s="21"/>
    </row>
    <row r="5700" spans="3:4">
      <c r="C5700" s="21" t="s">
        <v>9882</v>
      </c>
      <c r="D5700" s="21"/>
    </row>
    <row r="5701" spans="3:4">
      <c r="C5701" s="21" t="s">
        <v>9883</v>
      </c>
      <c r="D5701" s="21"/>
    </row>
    <row r="5702" spans="3:4">
      <c r="C5702" s="21" t="s">
        <v>9884</v>
      </c>
      <c r="D5702" s="21"/>
    </row>
    <row r="5703" spans="3:4">
      <c r="C5703" s="21" t="s">
        <v>9885</v>
      </c>
      <c r="D5703" s="21"/>
    </row>
    <row r="5704" spans="3:4">
      <c r="C5704" s="21" t="s">
        <v>9886</v>
      </c>
      <c r="D5704" s="21"/>
    </row>
    <row r="5705" spans="3:4">
      <c r="C5705" s="21" t="s">
        <v>9887</v>
      </c>
      <c r="D5705" s="21"/>
    </row>
    <row r="5706" spans="3:4">
      <c r="C5706" s="21" t="s">
        <v>9889</v>
      </c>
      <c r="D5706" s="21"/>
    </row>
    <row r="5707" spans="3:4">
      <c r="C5707" s="21" t="s">
        <v>9890</v>
      </c>
      <c r="D5707" s="21"/>
    </row>
    <row r="5708" spans="3:4">
      <c r="C5708" s="21" t="s">
        <v>9891</v>
      </c>
      <c r="D5708" s="21"/>
    </row>
    <row r="5709" spans="3:4">
      <c r="C5709" s="21" t="s">
        <v>9892</v>
      </c>
      <c r="D5709" s="21"/>
    </row>
    <row r="5710" spans="3:4">
      <c r="C5710" s="21" t="s">
        <v>9893</v>
      </c>
      <c r="D5710" s="21"/>
    </row>
    <row r="5711" spans="3:4">
      <c r="C5711" s="21" t="s">
        <v>9894</v>
      </c>
      <c r="D5711" s="21"/>
    </row>
    <row r="5712" spans="3:4">
      <c r="C5712" s="21" t="s">
        <v>9895</v>
      </c>
      <c r="D5712" s="21"/>
    </row>
    <row r="5713" spans="3:4">
      <c r="C5713" s="21" t="s">
        <v>9896</v>
      </c>
      <c r="D5713" s="21"/>
    </row>
    <row r="5714" spans="3:4">
      <c r="C5714" s="21" t="s">
        <v>9897</v>
      </c>
      <c r="D5714" s="21"/>
    </row>
    <row r="5715" spans="3:4">
      <c r="C5715" s="21" t="s">
        <v>9898</v>
      </c>
      <c r="D5715" s="21"/>
    </row>
    <row r="5716" spans="3:4">
      <c r="C5716" s="21" t="s">
        <v>9899</v>
      </c>
      <c r="D5716" s="21"/>
    </row>
    <row r="5717" spans="3:4">
      <c r="C5717" s="21" t="s">
        <v>9900</v>
      </c>
      <c r="D5717" s="21"/>
    </row>
    <row r="5718" spans="3:4">
      <c r="C5718" s="21" t="s">
        <v>9901</v>
      </c>
      <c r="D5718" s="21"/>
    </row>
    <row r="5719" spans="3:4">
      <c r="C5719" s="21" t="s">
        <v>9902</v>
      </c>
      <c r="D5719" s="21"/>
    </row>
    <row r="5720" spans="3:4">
      <c r="C5720" s="21" t="s">
        <v>9903</v>
      </c>
      <c r="D5720" s="21"/>
    </row>
    <row r="5721" spans="3:4">
      <c r="C5721" s="21" t="s">
        <v>9904</v>
      </c>
      <c r="D5721" s="21"/>
    </row>
    <row r="5722" spans="3:4">
      <c r="C5722" s="21" t="s">
        <v>9905</v>
      </c>
      <c r="D5722" s="21"/>
    </row>
    <row r="5723" spans="3:4">
      <c r="C5723" s="21" t="s">
        <v>9906</v>
      </c>
      <c r="D5723" s="21"/>
    </row>
    <row r="5724" spans="3:4">
      <c r="C5724" s="21" t="s">
        <v>9907</v>
      </c>
      <c r="D5724" s="21"/>
    </row>
    <row r="5725" spans="3:4">
      <c r="C5725" s="21" t="s">
        <v>9908</v>
      </c>
      <c r="D5725" s="21"/>
    </row>
    <row r="5726" spans="3:4">
      <c r="C5726" s="21" t="s">
        <v>9909</v>
      </c>
      <c r="D5726" s="21"/>
    </row>
    <row r="5727" spans="3:4">
      <c r="C5727" s="21" t="s">
        <v>9910</v>
      </c>
      <c r="D5727" s="21"/>
    </row>
    <row r="5728" spans="3:4">
      <c r="C5728" s="21" t="s">
        <v>9911</v>
      </c>
      <c r="D5728" s="21"/>
    </row>
    <row r="5729" spans="3:4">
      <c r="C5729" s="21" t="s">
        <v>9912</v>
      </c>
      <c r="D5729" s="21"/>
    </row>
    <row r="5730" spans="3:4">
      <c r="C5730" s="21" t="s">
        <v>9913</v>
      </c>
      <c r="D5730" s="21"/>
    </row>
    <row r="5731" spans="3:4">
      <c r="C5731" s="21" t="s">
        <v>9914</v>
      </c>
      <c r="D5731" s="21"/>
    </row>
    <row r="5732" spans="3:4">
      <c r="C5732" s="21" t="s">
        <v>9915</v>
      </c>
      <c r="D5732" s="21"/>
    </row>
    <row r="5733" spans="3:4">
      <c r="C5733" s="21" t="s">
        <v>9916</v>
      </c>
      <c r="D5733" s="21"/>
    </row>
    <row r="5734" spans="3:4">
      <c r="C5734" s="21" t="s">
        <v>9917</v>
      </c>
      <c r="D5734" s="21"/>
    </row>
    <row r="5735" spans="3:4">
      <c r="C5735" s="21" t="s">
        <v>9918</v>
      </c>
      <c r="D5735" s="21"/>
    </row>
    <row r="5736" spans="3:4">
      <c r="C5736" s="21" t="s">
        <v>9919</v>
      </c>
      <c r="D5736" s="21"/>
    </row>
    <row r="5737" spans="3:4">
      <c r="C5737" s="21" t="s">
        <v>9920</v>
      </c>
      <c r="D5737" s="21"/>
    </row>
    <row r="5738" spans="3:4">
      <c r="C5738" s="21" t="s">
        <v>9921</v>
      </c>
      <c r="D5738" s="21"/>
    </row>
    <row r="5739" spans="3:4">
      <c r="C5739" s="21" t="s">
        <v>9922</v>
      </c>
      <c r="D5739" s="21"/>
    </row>
    <row r="5740" spans="3:4">
      <c r="C5740" s="21" t="s">
        <v>9923</v>
      </c>
      <c r="D5740" s="21"/>
    </row>
    <row r="5741" spans="3:4">
      <c r="C5741" s="21" t="s">
        <v>9924</v>
      </c>
      <c r="D5741" s="21"/>
    </row>
    <row r="5742" spans="3:4">
      <c r="C5742" s="21" t="s">
        <v>9925</v>
      </c>
      <c r="D5742" s="21"/>
    </row>
    <row r="5743" spans="3:4">
      <c r="C5743" s="21" t="s">
        <v>9926</v>
      </c>
      <c r="D5743" s="21"/>
    </row>
    <row r="5744" spans="3:4">
      <c r="C5744" s="21" t="s">
        <v>9927</v>
      </c>
      <c r="D5744" s="21"/>
    </row>
    <row r="5745" spans="3:4">
      <c r="C5745" s="21" t="s">
        <v>9928</v>
      </c>
      <c r="D5745" s="21"/>
    </row>
    <row r="5746" spans="3:4">
      <c r="C5746" s="21" t="s">
        <v>9929</v>
      </c>
      <c r="D5746" s="21"/>
    </row>
    <row r="5747" spans="3:4">
      <c r="C5747" s="21" t="s">
        <v>9931</v>
      </c>
      <c r="D5747" s="21"/>
    </row>
    <row r="5748" spans="3:4">
      <c r="C5748" s="21" t="s">
        <v>9932</v>
      </c>
      <c r="D5748" s="21"/>
    </row>
    <row r="5749" spans="3:4">
      <c r="C5749" s="21" t="s">
        <v>9933</v>
      </c>
      <c r="D5749" s="21"/>
    </row>
    <row r="5750" spans="3:4">
      <c r="C5750" s="21" t="s">
        <v>9934</v>
      </c>
      <c r="D5750" s="21"/>
    </row>
    <row r="5751" spans="3:4">
      <c r="C5751" s="21" t="s">
        <v>9935</v>
      </c>
      <c r="D5751" s="21"/>
    </row>
    <row r="5752" spans="3:4">
      <c r="C5752" s="21" t="s">
        <v>9936</v>
      </c>
      <c r="D5752" s="21"/>
    </row>
    <row r="5753" spans="3:4">
      <c r="C5753" s="21" t="s">
        <v>9938</v>
      </c>
      <c r="D5753" s="21"/>
    </row>
    <row r="5754" spans="3:4">
      <c r="C5754" s="21" t="s">
        <v>9939</v>
      </c>
      <c r="D5754" s="21"/>
    </row>
    <row r="5755" spans="3:4">
      <c r="C5755" s="21" t="s">
        <v>9940</v>
      </c>
      <c r="D5755" s="21"/>
    </row>
    <row r="5756" spans="3:4">
      <c r="C5756" s="21" t="s">
        <v>9941</v>
      </c>
      <c r="D5756" s="21"/>
    </row>
    <row r="5757" spans="3:4">
      <c r="C5757" s="21" t="s">
        <v>9942</v>
      </c>
      <c r="D5757" s="21"/>
    </row>
    <row r="5758" spans="3:4">
      <c r="C5758" s="21" t="s">
        <v>9943</v>
      </c>
      <c r="D5758" s="21"/>
    </row>
    <row r="5759" spans="3:4">
      <c r="C5759" s="21" t="s">
        <v>9944</v>
      </c>
      <c r="D5759" s="21"/>
    </row>
    <row r="5760" spans="3:4">
      <c r="C5760" s="21" t="s">
        <v>9945</v>
      </c>
      <c r="D5760" s="21"/>
    </row>
    <row r="5761" spans="3:4">
      <c r="C5761" s="21" t="s">
        <v>9946</v>
      </c>
      <c r="D5761" s="21"/>
    </row>
    <row r="5762" spans="3:4">
      <c r="C5762" s="21" t="s">
        <v>9947</v>
      </c>
      <c r="D5762" s="21"/>
    </row>
    <row r="5763" spans="3:4">
      <c r="C5763" s="21" t="s">
        <v>9948</v>
      </c>
      <c r="D5763" s="21"/>
    </row>
    <row r="5764" spans="3:4">
      <c r="C5764" s="21" t="s">
        <v>9949</v>
      </c>
      <c r="D5764" s="21"/>
    </row>
    <row r="5765" spans="3:4">
      <c r="C5765" s="21" t="s">
        <v>9950</v>
      </c>
      <c r="D5765" s="21"/>
    </row>
    <row r="5766" spans="3:4">
      <c r="C5766" s="21" t="s">
        <v>9951</v>
      </c>
      <c r="D5766" s="21"/>
    </row>
    <row r="5767" spans="3:4">
      <c r="C5767" s="21" t="s">
        <v>9952</v>
      </c>
      <c r="D5767" s="21"/>
    </row>
    <row r="5768" spans="3:4">
      <c r="C5768" s="21" t="s">
        <v>9953</v>
      </c>
      <c r="D5768" s="21"/>
    </row>
    <row r="5769" spans="3:4">
      <c r="C5769" s="21" t="s">
        <v>9954</v>
      </c>
      <c r="D5769" s="21"/>
    </row>
    <row r="5770" spans="3:4">
      <c r="C5770" s="21" t="s">
        <v>9955</v>
      </c>
      <c r="D5770" s="21"/>
    </row>
    <row r="5771" spans="3:4">
      <c r="C5771" s="21" t="s">
        <v>9956</v>
      </c>
      <c r="D5771" s="21"/>
    </row>
    <row r="5772" spans="3:4">
      <c r="C5772" s="21" t="s">
        <v>9957</v>
      </c>
      <c r="D5772" s="21"/>
    </row>
    <row r="5773" spans="3:4">
      <c r="C5773" s="21" t="s">
        <v>9958</v>
      </c>
      <c r="D5773" s="21"/>
    </row>
    <row r="5774" spans="3:4">
      <c r="C5774" s="21" t="s">
        <v>9959</v>
      </c>
      <c r="D5774" s="21"/>
    </row>
    <row r="5775" spans="3:4">
      <c r="C5775" s="21" t="s">
        <v>9960</v>
      </c>
      <c r="D5775" s="21"/>
    </row>
    <row r="5776" spans="3:4">
      <c r="C5776" s="21" t="s">
        <v>9961</v>
      </c>
      <c r="D5776" s="21"/>
    </row>
    <row r="5777" spans="3:4">
      <c r="C5777" s="21" t="s">
        <v>9962</v>
      </c>
      <c r="D5777" s="21"/>
    </row>
    <row r="5778" spans="3:4">
      <c r="C5778" s="21" t="s">
        <v>9963</v>
      </c>
      <c r="D5778" s="21"/>
    </row>
    <row r="5779" spans="3:4">
      <c r="C5779" s="21" t="s">
        <v>9964</v>
      </c>
      <c r="D5779" s="21"/>
    </row>
    <row r="5780" spans="3:4">
      <c r="C5780" s="21" t="s">
        <v>9965</v>
      </c>
      <c r="D5780" s="21"/>
    </row>
    <row r="5781" spans="3:4">
      <c r="C5781" s="21" t="s">
        <v>9966</v>
      </c>
      <c r="D5781" s="21"/>
    </row>
    <row r="5782" spans="3:4">
      <c r="C5782" s="21" t="s">
        <v>9967</v>
      </c>
      <c r="D5782" s="21"/>
    </row>
    <row r="5783" spans="3:4">
      <c r="C5783" s="21" t="s">
        <v>9968</v>
      </c>
      <c r="D5783" s="21"/>
    </row>
    <row r="5784" spans="3:4">
      <c r="C5784" s="21" t="s">
        <v>9969</v>
      </c>
      <c r="D5784" s="21"/>
    </row>
    <row r="5785" spans="3:4">
      <c r="C5785" s="21" t="s">
        <v>9970</v>
      </c>
      <c r="D5785" s="21"/>
    </row>
    <row r="5786" spans="3:4">
      <c r="C5786" s="21" t="s">
        <v>9971</v>
      </c>
      <c r="D5786" s="21"/>
    </row>
    <row r="5787" spans="3:4">
      <c r="C5787" s="21" t="s">
        <v>9972</v>
      </c>
      <c r="D5787" s="21"/>
    </row>
    <row r="5788" spans="3:4">
      <c r="C5788" s="21" t="s">
        <v>9973</v>
      </c>
      <c r="D5788" s="21"/>
    </row>
    <row r="5789" spans="3:4">
      <c r="C5789" s="21" t="s">
        <v>9974</v>
      </c>
      <c r="D5789" s="21"/>
    </row>
    <row r="5790" spans="3:4">
      <c r="C5790" s="21" t="s">
        <v>9975</v>
      </c>
      <c r="D5790" s="21"/>
    </row>
    <row r="5791" spans="3:4">
      <c r="C5791" s="21" t="s">
        <v>9976</v>
      </c>
      <c r="D5791" s="21"/>
    </row>
    <row r="5792" spans="3:4">
      <c r="C5792" s="21" t="s">
        <v>9977</v>
      </c>
      <c r="D5792" s="21"/>
    </row>
    <row r="5793" spans="3:4">
      <c r="C5793" s="21" t="s">
        <v>9978</v>
      </c>
      <c r="D5793" s="21"/>
    </row>
    <row r="5794" spans="3:4">
      <c r="C5794" s="21" t="s">
        <v>9979</v>
      </c>
      <c r="D5794" s="21"/>
    </row>
    <row r="5795" spans="3:4">
      <c r="C5795" s="21" t="s">
        <v>9980</v>
      </c>
      <c r="D5795" s="21"/>
    </row>
    <row r="5796" spans="3:4">
      <c r="C5796" s="21" t="s">
        <v>9981</v>
      </c>
      <c r="D5796" s="21"/>
    </row>
    <row r="5797" spans="3:4">
      <c r="C5797" s="21" t="s">
        <v>9982</v>
      </c>
      <c r="D5797" s="21"/>
    </row>
    <row r="5798" spans="3:4">
      <c r="C5798" s="21" t="s">
        <v>9983</v>
      </c>
      <c r="D5798" s="21"/>
    </row>
    <row r="5799" spans="3:4">
      <c r="C5799" s="21" t="s">
        <v>9984</v>
      </c>
      <c r="D5799" s="21"/>
    </row>
    <row r="5800" spans="3:4">
      <c r="C5800" s="21" t="s">
        <v>9985</v>
      </c>
      <c r="D5800" s="21"/>
    </row>
    <row r="5801" spans="3:4">
      <c r="C5801" s="21" t="s">
        <v>9988</v>
      </c>
      <c r="D5801" s="21"/>
    </row>
    <row r="5802" spans="3:4">
      <c r="C5802" s="21" t="s">
        <v>9989</v>
      </c>
      <c r="D5802" s="21"/>
    </row>
    <row r="5803" spans="3:4">
      <c r="C5803" s="21" t="s">
        <v>9990</v>
      </c>
      <c r="D5803" s="21"/>
    </row>
    <row r="5804" spans="3:4">
      <c r="C5804" s="21" t="s">
        <v>9991</v>
      </c>
      <c r="D5804" s="21"/>
    </row>
    <row r="5805" spans="3:4">
      <c r="C5805" s="21" t="s">
        <v>9992</v>
      </c>
      <c r="D5805" s="21"/>
    </row>
    <row r="5806" spans="3:4">
      <c r="C5806" s="21" t="s">
        <v>9993</v>
      </c>
      <c r="D5806" s="21"/>
    </row>
    <row r="5807" spans="3:4">
      <c r="C5807" s="21" t="s">
        <v>9994</v>
      </c>
      <c r="D5807" s="21"/>
    </row>
    <row r="5808" spans="3:4">
      <c r="C5808" s="21" t="s">
        <v>9995</v>
      </c>
      <c r="D5808" s="21"/>
    </row>
    <row r="5809" spans="3:4">
      <c r="C5809" s="21" t="s">
        <v>9996</v>
      </c>
      <c r="D5809" s="21"/>
    </row>
    <row r="5810" spans="3:4">
      <c r="C5810" s="21" t="s">
        <v>9997</v>
      </c>
      <c r="D5810" s="21"/>
    </row>
    <row r="5811" spans="3:4">
      <c r="C5811" s="21" t="s">
        <v>9998</v>
      </c>
      <c r="D5811" s="21"/>
    </row>
    <row r="5812" spans="3:4">
      <c r="C5812" s="21" t="s">
        <v>9999</v>
      </c>
      <c r="D5812" s="21"/>
    </row>
    <row r="5813" spans="3:4">
      <c r="C5813" s="21" t="s">
        <v>10000</v>
      </c>
      <c r="D5813" s="21"/>
    </row>
    <row r="5814" spans="3:4">
      <c r="C5814" s="21" t="s">
        <v>10001</v>
      </c>
      <c r="D5814" s="21"/>
    </row>
    <row r="5815" spans="3:4">
      <c r="C5815" s="21" t="s">
        <v>10002</v>
      </c>
      <c r="D5815" s="21"/>
    </row>
    <row r="5816" spans="3:4">
      <c r="C5816" s="21" t="s">
        <v>10003</v>
      </c>
      <c r="D5816" s="21"/>
    </row>
    <row r="5817" spans="3:4">
      <c r="C5817" s="21" t="s">
        <v>10004</v>
      </c>
      <c r="D5817" s="21"/>
    </row>
    <row r="5818" spans="3:4">
      <c r="C5818" s="21" t="s">
        <v>10005</v>
      </c>
      <c r="D5818" s="21"/>
    </row>
    <row r="5819" spans="3:4">
      <c r="C5819" s="21" t="s">
        <v>10006</v>
      </c>
      <c r="D5819" s="21"/>
    </row>
    <row r="5820" spans="3:4">
      <c r="C5820" s="21" t="s">
        <v>10007</v>
      </c>
      <c r="D5820" s="21"/>
    </row>
    <row r="5821" spans="3:4">
      <c r="C5821" s="21" t="s">
        <v>10008</v>
      </c>
      <c r="D5821" s="21"/>
    </row>
    <row r="5822" spans="3:4">
      <c r="C5822" s="21" t="s">
        <v>10009</v>
      </c>
      <c r="D5822" s="21"/>
    </row>
    <row r="5823" spans="3:4">
      <c r="C5823" s="21" t="s">
        <v>10010</v>
      </c>
      <c r="D5823" s="21"/>
    </row>
    <row r="5824" spans="3:4">
      <c r="C5824" s="21" t="s">
        <v>10011</v>
      </c>
      <c r="D5824" s="21"/>
    </row>
    <row r="5825" spans="3:4">
      <c r="C5825" s="21" t="s">
        <v>10012</v>
      </c>
      <c r="D5825" s="21"/>
    </row>
    <row r="5826" spans="3:4">
      <c r="C5826" s="21" t="s">
        <v>10013</v>
      </c>
      <c r="D5826" s="21"/>
    </row>
    <row r="5827" spans="3:4">
      <c r="C5827" s="21" t="s">
        <v>10014</v>
      </c>
      <c r="D5827" s="21"/>
    </row>
    <row r="5828" spans="3:4">
      <c r="C5828" s="21" t="s">
        <v>10015</v>
      </c>
      <c r="D5828" s="21"/>
    </row>
    <row r="5829" spans="3:4">
      <c r="C5829" s="21" t="s">
        <v>10016</v>
      </c>
      <c r="D5829" s="21"/>
    </row>
    <row r="5830" spans="3:4">
      <c r="C5830" s="21" t="s">
        <v>10017</v>
      </c>
      <c r="D5830" s="21"/>
    </row>
    <row r="5831" spans="3:4">
      <c r="C5831" s="21" t="s">
        <v>10018</v>
      </c>
      <c r="D5831" s="21"/>
    </row>
    <row r="5832" spans="3:4">
      <c r="C5832" s="21" t="s">
        <v>10019</v>
      </c>
      <c r="D5832" s="21"/>
    </row>
    <row r="5833" spans="3:4">
      <c r="C5833" s="21" t="s">
        <v>10020</v>
      </c>
      <c r="D5833" s="21"/>
    </row>
    <row r="5834" spans="3:4">
      <c r="C5834" s="21" t="s">
        <v>10022</v>
      </c>
      <c r="D5834" s="21"/>
    </row>
    <row r="5835" spans="3:4">
      <c r="C5835" s="21" t="s">
        <v>10023</v>
      </c>
      <c r="D5835" s="21"/>
    </row>
    <row r="5836" spans="3:4">
      <c r="C5836" s="21" t="s">
        <v>10025</v>
      </c>
      <c r="D5836" s="21"/>
    </row>
    <row r="5837" spans="3:4">
      <c r="C5837" s="21" t="s">
        <v>10026</v>
      </c>
      <c r="D5837" s="21"/>
    </row>
    <row r="5838" spans="3:4">
      <c r="C5838" s="21" t="s">
        <v>10027</v>
      </c>
      <c r="D5838" s="21"/>
    </row>
    <row r="5839" spans="3:4">
      <c r="C5839" s="21" t="s">
        <v>10028</v>
      </c>
      <c r="D5839" s="21"/>
    </row>
    <row r="5840" spans="3:4">
      <c r="C5840" s="21" t="s">
        <v>10029</v>
      </c>
      <c r="D5840" s="21"/>
    </row>
    <row r="5841" spans="3:4">
      <c r="C5841" s="21" t="s">
        <v>10030</v>
      </c>
      <c r="D5841" s="21"/>
    </row>
    <row r="5842" spans="3:4">
      <c r="C5842" s="21" t="s">
        <v>10032</v>
      </c>
      <c r="D5842" s="21"/>
    </row>
    <row r="5843" spans="3:4">
      <c r="C5843" s="21" t="s">
        <v>10033</v>
      </c>
      <c r="D5843" s="21"/>
    </row>
    <row r="5844" spans="3:4">
      <c r="C5844" s="21" t="s">
        <v>10034</v>
      </c>
      <c r="D5844" s="21"/>
    </row>
    <row r="5845" spans="3:4">
      <c r="C5845" s="21" t="s">
        <v>10035</v>
      </c>
      <c r="D5845" s="21"/>
    </row>
    <row r="5846" spans="3:4">
      <c r="C5846" s="21" t="s">
        <v>10036</v>
      </c>
      <c r="D5846" s="21"/>
    </row>
    <row r="5847" spans="3:4">
      <c r="C5847" s="21" t="s">
        <v>10037</v>
      </c>
      <c r="D5847" s="21"/>
    </row>
    <row r="5848" spans="3:4">
      <c r="C5848" s="21" t="s">
        <v>10038</v>
      </c>
      <c r="D5848" s="21"/>
    </row>
    <row r="5849" spans="3:4">
      <c r="C5849" s="21" t="s">
        <v>10039</v>
      </c>
      <c r="D5849" s="21"/>
    </row>
    <row r="5850" spans="3:4">
      <c r="C5850" s="21" t="s">
        <v>10040</v>
      </c>
      <c r="D5850" s="21"/>
    </row>
    <row r="5851" spans="3:4">
      <c r="C5851" s="21" t="s">
        <v>10041</v>
      </c>
      <c r="D5851" s="21"/>
    </row>
    <row r="5852" spans="3:4">
      <c r="C5852" s="21" t="s">
        <v>10042</v>
      </c>
      <c r="D5852" s="21"/>
    </row>
    <row r="5853" spans="3:4">
      <c r="C5853" s="21" t="s">
        <v>10043</v>
      </c>
      <c r="D5853" s="21"/>
    </row>
    <row r="5854" spans="3:4">
      <c r="C5854" s="21" t="s">
        <v>10044</v>
      </c>
      <c r="D5854" s="21"/>
    </row>
    <row r="5855" spans="3:4">
      <c r="C5855" s="21" t="s">
        <v>10045</v>
      </c>
      <c r="D5855" s="21"/>
    </row>
    <row r="5856" spans="3:4">
      <c r="C5856" s="21" t="s">
        <v>10046</v>
      </c>
      <c r="D5856" s="21"/>
    </row>
    <row r="5857" spans="3:4">
      <c r="C5857" s="21" t="s">
        <v>10047</v>
      </c>
      <c r="D5857" s="21"/>
    </row>
    <row r="5858" spans="3:4">
      <c r="C5858" s="21" t="s">
        <v>10048</v>
      </c>
      <c r="D5858" s="21"/>
    </row>
    <row r="5859" spans="3:4">
      <c r="C5859" s="21" t="s">
        <v>10049</v>
      </c>
      <c r="D5859" s="21"/>
    </row>
    <row r="5860" spans="3:4">
      <c r="C5860" s="21" t="s">
        <v>10050</v>
      </c>
      <c r="D5860" s="21"/>
    </row>
    <row r="5861" spans="3:4">
      <c r="C5861" s="21" t="s">
        <v>10051</v>
      </c>
      <c r="D5861" s="21"/>
    </row>
    <row r="5862" spans="3:4">
      <c r="C5862" s="21" t="s">
        <v>10052</v>
      </c>
      <c r="D5862" s="21"/>
    </row>
    <row r="5863" spans="3:4">
      <c r="C5863" s="21" t="s">
        <v>10053</v>
      </c>
      <c r="D5863" s="21"/>
    </row>
    <row r="5864" spans="3:4">
      <c r="C5864" s="21" t="s">
        <v>10054</v>
      </c>
      <c r="D5864" s="21"/>
    </row>
    <row r="5865" spans="3:4">
      <c r="C5865" s="21" t="s">
        <v>10056</v>
      </c>
      <c r="D5865" s="21"/>
    </row>
    <row r="5866" spans="3:4">
      <c r="C5866" s="21" t="s">
        <v>10057</v>
      </c>
      <c r="D5866" s="21"/>
    </row>
    <row r="5867" spans="3:4">
      <c r="C5867" s="21" t="s">
        <v>10058</v>
      </c>
      <c r="D5867" s="21"/>
    </row>
    <row r="5868" spans="3:4">
      <c r="C5868" s="21" t="s">
        <v>10059</v>
      </c>
      <c r="D5868" s="21"/>
    </row>
    <row r="5869" spans="3:4">
      <c r="C5869" s="21" t="s">
        <v>10060</v>
      </c>
      <c r="D5869" s="21"/>
    </row>
    <row r="5870" spans="3:4">
      <c r="C5870" s="21" t="s">
        <v>10061</v>
      </c>
      <c r="D5870" s="21"/>
    </row>
    <row r="5871" spans="3:4">
      <c r="C5871" s="21" t="s">
        <v>10062</v>
      </c>
      <c r="D5871" s="21"/>
    </row>
    <row r="5872" spans="3:4">
      <c r="C5872" s="21" t="s">
        <v>10063</v>
      </c>
      <c r="D5872" s="21"/>
    </row>
    <row r="5873" spans="3:4">
      <c r="C5873" s="21" t="s">
        <v>10064</v>
      </c>
      <c r="D5873" s="21"/>
    </row>
    <row r="5874" spans="3:4">
      <c r="C5874" s="21" t="s">
        <v>10065</v>
      </c>
      <c r="D5874" s="21"/>
    </row>
    <row r="5875" spans="3:4">
      <c r="C5875" s="21" t="s">
        <v>10066</v>
      </c>
      <c r="D5875" s="21"/>
    </row>
    <row r="5876" spans="3:4">
      <c r="C5876" s="21" t="s">
        <v>10067</v>
      </c>
      <c r="D5876" s="21"/>
    </row>
    <row r="5877" spans="3:4">
      <c r="C5877" s="21" t="s">
        <v>10068</v>
      </c>
      <c r="D5877" s="21"/>
    </row>
    <row r="5878" spans="3:4">
      <c r="C5878" s="21" t="s">
        <v>10069</v>
      </c>
      <c r="D5878" s="21"/>
    </row>
    <row r="5879" spans="3:4">
      <c r="C5879" s="21" t="s">
        <v>10070</v>
      </c>
      <c r="D5879" s="21"/>
    </row>
    <row r="5880" spans="3:4">
      <c r="C5880" s="21" t="s">
        <v>10071</v>
      </c>
      <c r="D5880" s="21"/>
    </row>
    <row r="5881" spans="3:4">
      <c r="C5881" s="21" t="s">
        <v>10072</v>
      </c>
      <c r="D5881" s="21"/>
    </row>
    <row r="5882" spans="3:4">
      <c r="C5882" s="21" t="s">
        <v>10073</v>
      </c>
      <c r="D5882" s="21"/>
    </row>
    <row r="5883" spans="3:4">
      <c r="C5883" s="21" t="s">
        <v>10074</v>
      </c>
      <c r="D5883" s="21"/>
    </row>
    <row r="5884" spans="3:4">
      <c r="C5884" s="21" t="s">
        <v>10075</v>
      </c>
      <c r="D5884" s="21"/>
    </row>
    <row r="5885" spans="3:4">
      <c r="C5885" s="21" t="s">
        <v>10076</v>
      </c>
      <c r="D5885" s="21"/>
    </row>
    <row r="5886" spans="3:4">
      <c r="C5886" s="21" t="s">
        <v>10077</v>
      </c>
      <c r="D5886" s="21"/>
    </row>
    <row r="5887" spans="3:4">
      <c r="C5887" s="21" t="s">
        <v>10078</v>
      </c>
      <c r="D5887" s="21"/>
    </row>
    <row r="5888" spans="3:4">
      <c r="C5888" s="21" t="s">
        <v>10079</v>
      </c>
      <c r="D5888" s="21"/>
    </row>
    <row r="5889" spans="3:4">
      <c r="C5889" s="21" t="s">
        <v>10080</v>
      </c>
      <c r="D5889" s="21"/>
    </row>
    <row r="5890" spans="3:4">
      <c r="C5890" s="21" t="s">
        <v>10081</v>
      </c>
      <c r="D5890" s="21"/>
    </row>
    <row r="5891" spans="3:4">
      <c r="C5891" s="21" t="s">
        <v>10083</v>
      </c>
      <c r="D5891" s="21"/>
    </row>
    <row r="5892" spans="3:4">
      <c r="C5892" s="21" t="s">
        <v>10084</v>
      </c>
      <c r="D5892" s="21"/>
    </row>
    <row r="5893" spans="3:4">
      <c r="C5893" s="21" t="s">
        <v>10085</v>
      </c>
      <c r="D5893" s="21"/>
    </row>
    <row r="5894" spans="3:4">
      <c r="C5894" s="21" t="s">
        <v>10086</v>
      </c>
      <c r="D5894" s="21"/>
    </row>
    <row r="5895" spans="3:4">
      <c r="C5895" s="21" t="s">
        <v>10087</v>
      </c>
      <c r="D5895" s="21"/>
    </row>
    <row r="5896" spans="3:4">
      <c r="C5896" s="21" t="s">
        <v>10088</v>
      </c>
      <c r="D5896" s="21"/>
    </row>
    <row r="5897" spans="3:4">
      <c r="C5897" s="21" t="s">
        <v>10089</v>
      </c>
      <c r="D5897" s="21"/>
    </row>
    <row r="5898" spans="3:4">
      <c r="C5898" s="21" t="s">
        <v>10090</v>
      </c>
      <c r="D5898" s="21"/>
    </row>
    <row r="5899" spans="3:4">
      <c r="C5899" s="21" t="s">
        <v>10091</v>
      </c>
      <c r="D5899" s="21"/>
    </row>
    <row r="5900" spans="3:4">
      <c r="C5900" s="21" t="s">
        <v>10092</v>
      </c>
      <c r="D5900" s="21"/>
    </row>
    <row r="5901" spans="3:4">
      <c r="C5901" s="21" t="s">
        <v>10093</v>
      </c>
      <c r="D5901" s="21"/>
    </row>
    <row r="5902" spans="3:4">
      <c r="C5902" s="21" t="s">
        <v>10094</v>
      </c>
      <c r="D5902" s="21"/>
    </row>
    <row r="5903" spans="3:4">
      <c r="C5903" s="21" t="s">
        <v>10095</v>
      </c>
      <c r="D5903" s="21"/>
    </row>
    <row r="5904" spans="3:4">
      <c r="C5904" s="21" t="s">
        <v>10096</v>
      </c>
      <c r="D5904" s="21"/>
    </row>
    <row r="5905" spans="3:4">
      <c r="C5905" s="21" t="s">
        <v>10097</v>
      </c>
      <c r="D5905" s="21"/>
    </row>
    <row r="5906" spans="3:4">
      <c r="C5906" s="21" t="s">
        <v>10098</v>
      </c>
      <c r="D5906" s="21"/>
    </row>
    <row r="5907" spans="3:4">
      <c r="C5907" s="21" t="s">
        <v>10099</v>
      </c>
      <c r="D5907" s="21"/>
    </row>
    <row r="5908" spans="3:4">
      <c r="C5908" s="21" t="s">
        <v>10101</v>
      </c>
      <c r="D5908" s="21"/>
    </row>
    <row r="5909" spans="3:4">
      <c r="C5909" s="21" t="s">
        <v>10102</v>
      </c>
      <c r="D5909" s="21"/>
    </row>
    <row r="5910" spans="3:4">
      <c r="C5910" s="21" t="s">
        <v>10103</v>
      </c>
      <c r="D5910" s="21"/>
    </row>
    <row r="5911" spans="3:4">
      <c r="C5911" s="21" t="s">
        <v>10104</v>
      </c>
      <c r="D5911" s="21"/>
    </row>
    <row r="5912" spans="3:4">
      <c r="C5912" s="21" t="s">
        <v>10105</v>
      </c>
      <c r="D5912" s="21"/>
    </row>
    <row r="5913" spans="3:4">
      <c r="C5913" s="21" t="s">
        <v>10106</v>
      </c>
      <c r="D5913" s="21"/>
    </row>
    <row r="5914" spans="3:4">
      <c r="C5914" s="21" t="s">
        <v>10107</v>
      </c>
      <c r="D5914" s="21"/>
    </row>
    <row r="5915" spans="3:4">
      <c r="C5915" s="21" t="s">
        <v>10108</v>
      </c>
      <c r="D5915" s="21"/>
    </row>
    <row r="5916" spans="3:4">
      <c r="C5916" s="21" t="s">
        <v>10110</v>
      </c>
      <c r="D5916" s="21"/>
    </row>
    <row r="5917" spans="3:4">
      <c r="C5917" s="21" t="s">
        <v>10111</v>
      </c>
      <c r="D5917" s="21"/>
    </row>
    <row r="5918" spans="3:4">
      <c r="C5918" s="21" t="s">
        <v>10112</v>
      </c>
      <c r="D5918" s="21"/>
    </row>
    <row r="5919" spans="3:4">
      <c r="C5919" s="21" t="s">
        <v>10113</v>
      </c>
      <c r="D5919" s="21"/>
    </row>
    <row r="5920" spans="3:4">
      <c r="C5920" s="21" t="s">
        <v>10115</v>
      </c>
      <c r="D5920" s="21"/>
    </row>
    <row r="5921" spans="3:4">
      <c r="C5921" s="21" t="s">
        <v>10116</v>
      </c>
      <c r="D5921" s="21"/>
    </row>
    <row r="5922" spans="3:4">
      <c r="C5922" s="21" t="s">
        <v>10118</v>
      </c>
      <c r="D5922" s="21"/>
    </row>
    <row r="5923" spans="3:4">
      <c r="C5923" s="21" t="s">
        <v>10119</v>
      </c>
      <c r="D5923" s="21"/>
    </row>
    <row r="5924" spans="3:4">
      <c r="C5924" s="21" t="s">
        <v>10121</v>
      </c>
      <c r="D5924" s="21"/>
    </row>
    <row r="5925" spans="3:4">
      <c r="C5925" s="21" t="s">
        <v>10122</v>
      </c>
      <c r="D5925" s="21"/>
    </row>
    <row r="5926" spans="3:4">
      <c r="C5926" s="21" t="s">
        <v>10123</v>
      </c>
      <c r="D5926" s="21"/>
    </row>
    <row r="5927" spans="3:4">
      <c r="C5927" s="21" t="s">
        <v>10124</v>
      </c>
      <c r="D5927" s="21"/>
    </row>
    <row r="5928" spans="3:4">
      <c r="C5928" s="21" t="s">
        <v>10125</v>
      </c>
      <c r="D5928" s="21"/>
    </row>
    <row r="5929" spans="3:4">
      <c r="C5929" s="21" t="s">
        <v>10126</v>
      </c>
      <c r="D5929" s="21"/>
    </row>
    <row r="5930" spans="3:4">
      <c r="C5930" s="21" t="s">
        <v>10127</v>
      </c>
      <c r="D5930" s="21"/>
    </row>
    <row r="5931" spans="3:4">
      <c r="C5931" s="21" t="s">
        <v>10128</v>
      </c>
      <c r="D5931" s="21"/>
    </row>
    <row r="5932" spans="3:4">
      <c r="C5932" s="21" t="s">
        <v>10129</v>
      </c>
      <c r="D5932" s="21"/>
    </row>
    <row r="5933" spans="3:4">
      <c r="C5933" s="21" t="s">
        <v>10130</v>
      </c>
      <c r="D5933" s="21"/>
    </row>
    <row r="5934" spans="3:4">
      <c r="C5934" s="21" t="s">
        <v>10131</v>
      </c>
      <c r="D5934" s="21"/>
    </row>
    <row r="5935" spans="3:4">
      <c r="C5935" s="21" t="s">
        <v>10132</v>
      </c>
      <c r="D5935" s="21"/>
    </row>
    <row r="5936" spans="3:4">
      <c r="C5936" s="21" t="s">
        <v>10133</v>
      </c>
      <c r="D5936" s="21"/>
    </row>
    <row r="5937" spans="3:4">
      <c r="C5937" s="21" t="s">
        <v>10134</v>
      </c>
      <c r="D5937" s="21"/>
    </row>
    <row r="5938" spans="3:4">
      <c r="C5938" s="21" t="s">
        <v>10135</v>
      </c>
      <c r="D5938" s="21"/>
    </row>
    <row r="5939" spans="3:4">
      <c r="C5939" s="21" t="s">
        <v>10136</v>
      </c>
      <c r="D5939" s="21"/>
    </row>
    <row r="5940" spans="3:4">
      <c r="C5940" s="21" t="s">
        <v>10137</v>
      </c>
      <c r="D5940" s="21"/>
    </row>
    <row r="5941" spans="3:4">
      <c r="C5941" s="21" t="s">
        <v>10138</v>
      </c>
      <c r="D5941" s="21"/>
    </row>
    <row r="5942" spans="3:4">
      <c r="C5942" s="21" t="s">
        <v>10139</v>
      </c>
      <c r="D5942" s="21"/>
    </row>
    <row r="5943" spans="3:4">
      <c r="C5943" s="21" t="s">
        <v>10140</v>
      </c>
      <c r="D5943" s="21"/>
    </row>
    <row r="5944" spans="3:4">
      <c r="C5944" s="21" t="s">
        <v>10141</v>
      </c>
      <c r="D5944" s="21"/>
    </row>
    <row r="5945" spans="3:4">
      <c r="C5945" s="21" t="s">
        <v>10142</v>
      </c>
      <c r="D5945" s="21"/>
    </row>
    <row r="5946" spans="3:4">
      <c r="C5946" s="21" t="s">
        <v>10143</v>
      </c>
      <c r="D5946" s="21"/>
    </row>
    <row r="5947" spans="3:4">
      <c r="C5947" s="21" t="s">
        <v>10144</v>
      </c>
      <c r="D5947" s="21"/>
    </row>
    <row r="5948" spans="3:4">
      <c r="C5948" s="21" t="s">
        <v>10145</v>
      </c>
      <c r="D5948" s="21"/>
    </row>
    <row r="5949" spans="3:4">
      <c r="C5949" s="21" t="s">
        <v>10146</v>
      </c>
      <c r="D5949" s="21"/>
    </row>
    <row r="5950" spans="3:4">
      <c r="C5950" s="21" t="s">
        <v>10147</v>
      </c>
      <c r="D5950" s="21"/>
    </row>
    <row r="5951" spans="3:4">
      <c r="C5951" s="21" t="s">
        <v>10148</v>
      </c>
      <c r="D5951" s="21"/>
    </row>
    <row r="5952" spans="3:4">
      <c r="C5952" s="21" t="s">
        <v>10149</v>
      </c>
      <c r="D5952" s="21"/>
    </row>
    <row r="5953" spans="3:4">
      <c r="C5953" s="21" t="s">
        <v>10150</v>
      </c>
      <c r="D5953" s="21"/>
    </row>
    <row r="5954" spans="3:4">
      <c r="C5954" s="21" t="s">
        <v>10151</v>
      </c>
      <c r="D5954" s="21"/>
    </row>
    <row r="5955" spans="3:4">
      <c r="C5955" s="21" t="s">
        <v>10153</v>
      </c>
      <c r="D5955" s="21"/>
    </row>
    <row r="5956" spans="3:4">
      <c r="C5956" s="21" t="s">
        <v>10154</v>
      </c>
      <c r="D5956" s="21"/>
    </row>
    <row r="5957" spans="3:4">
      <c r="C5957" s="21" t="s">
        <v>10155</v>
      </c>
      <c r="D5957" s="21"/>
    </row>
    <row r="5958" spans="3:4">
      <c r="C5958" s="21" t="s">
        <v>10156</v>
      </c>
      <c r="D5958" s="21"/>
    </row>
    <row r="5959" spans="3:4">
      <c r="C5959" s="21" t="s">
        <v>10157</v>
      </c>
      <c r="D5959" s="21"/>
    </row>
    <row r="5960" spans="3:4">
      <c r="C5960" s="21" t="s">
        <v>10158</v>
      </c>
      <c r="D5960" s="21"/>
    </row>
    <row r="5961" spans="3:4">
      <c r="C5961" s="21" t="s">
        <v>10159</v>
      </c>
      <c r="D5961" s="21"/>
    </row>
    <row r="5962" spans="3:4">
      <c r="C5962" s="21" t="s">
        <v>10160</v>
      </c>
      <c r="D5962" s="21"/>
    </row>
    <row r="5963" spans="3:4">
      <c r="C5963" s="21" t="s">
        <v>10161</v>
      </c>
      <c r="D5963" s="21"/>
    </row>
    <row r="5964" spans="3:4">
      <c r="C5964" s="21" t="s">
        <v>10162</v>
      </c>
      <c r="D5964" s="21"/>
    </row>
    <row r="5965" spans="3:4">
      <c r="C5965" s="21" t="s">
        <v>10164</v>
      </c>
      <c r="D5965" s="21"/>
    </row>
    <row r="5966" spans="3:4">
      <c r="C5966" s="21" t="s">
        <v>10165</v>
      </c>
      <c r="D5966" s="21"/>
    </row>
    <row r="5967" spans="3:4">
      <c r="C5967" s="21" t="s">
        <v>10166</v>
      </c>
      <c r="D5967" s="21"/>
    </row>
    <row r="5968" spans="3:4">
      <c r="C5968" s="21" t="s">
        <v>10167</v>
      </c>
      <c r="D5968" s="21"/>
    </row>
    <row r="5969" spans="3:4">
      <c r="C5969" s="21" t="s">
        <v>10168</v>
      </c>
      <c r="D5969" s="21"/>
    </row>
    <row r="5970" spans="3:4">
      <c r="C5970" s="21" t="s">
        <v>10169</v>
      </c>
      <c r="D5970" s="21"/>
    </row>
    <row r="5971" spans="3:4">
      <c r="C5971" s="21" t="s">
        <v>10170</v>
      </c>
      <c r="D5971" s="21"/>
    </row>
    <row r="5972" spans="3:4">
      <c r="C5972" s="21" t="s">
        <v>10171</v>
      </c>
      <c r="D5972" s="21"/>
    </row>
    <row r="5973" spans="3:4">
      <c r="C5973" s="21" t="s">
        <v>10172</v>
      </c>
      <c r="D5973" s="21"/>
    </row>
    <row r="5974" spans="3:4">
      <c r="C5974" s="21" t="s">
        <v>10173</v>
      </c>
      <c r="D5974" s="21"/>
    </row>
    <row r="5975" spans="3:4">
      <c r="C5975" s="21" t="s">
        <v>10175</v>
      </c>
      <c r="D5975" s="21"/>
    </row>
    <row r="5976" spans="3:4">
      <c r="C5976" s="21" t="s">
        <v>10176</v>
      </c>
      <c r="D5976" s="21"/>
    </row>
    <row r="5977" spans="3:4">
      <c r="C5977" s="21" t="s">
        <v>10177</v>
      </c>
      <c r="D5977" s="21"/>
    </row>
    <row r="5978" spans="3:4">
      <c r="C5978" s="21" t="s">
        <v>10178</v>
      </c>
      <c r="D5978" s="21"/>
    </row>
    <row r="5979" spans="3:4">
      <c r="C5979" s="21" t="s">
        <v>10179</v>
      </c>
      <c r="D5979" s="21"/>
    </row>
    <row r="5980" spans="3:4">
      <c r="C5980" s="21" t="s">
        <v>10180</v>
      </c>
      <c r="D5980" s="21"/>
    </row>
    <row r="5981" spans="3:4">
      <c r="C5981" s="21" t="s">
        <v>10181</v>
      </c>
      <c r="D5981" s="21"/>
    </row>
    <row r="5982" spans="3:4">
      <c r="C5982" s="21" t="s">
        <v>10182</v>
      </c>
      <c r="D5982" s="21"/>
    </row>
    <row r="5983" spans="3:4">
      <c r="C5983" s="21" t="s">
        <v>10183</v>
      </c>
      <c r="D5983" s="21"/>
    </row>
    <row r="5984" spans="3:4">
      <c r="C5984" s="21" t="s">
        <v>10184</v>
      </c>
      <c r="D5984" s="21"/>
    </row>
    <row r="5985" spans="3:4">
      <c r="C5985" s="21" t="s">
        <v>10185</v>
      </c>
      <c r="D5985" s="21"/>
    </row>
    <row r="5986" spans="3:4">
      <c r="C5986" s="21" t="s">
        <v>10186</v>
      </c>
      <c r="D5986" s="21"/>
    </row>
    <row r="5987" spans="3:4">
      <c r="C5987" s="21" t="s">
        <v>10187</v>
      </c>
      <c r="D5987" s="21"/>
    </row>
    <row r="5988" spans="3:4">
      <c r="C5988" s="21" t="s">
        <v>10188</v>
      </c>
      <c r="D5988" s="21"/>
    </row>
    <row r="5989" spans="3:4">
      <c r="C5989" s="21" t="s">
        <v>10189</v>
      </c>
      <c r="D5989" s="21"/>
    </row>
    <row r="5990" spans="3:4">
      <c r="C5990" s="21" t="s">
        <v>10190</v>
      </c>
      <c r="D5990" s="21"/>
    </row>
    <row r="5991" spans="3:4">
      <c r="C5991" s="21" t="s">
        <v>10191</v>
      </c>
      <c r="D5991" s="21"/>
    </row>
    <row r="5992" spans="3:4">
      <c r="C5992" s="21" t="s">
        <v>10192</v>
      </c>
      <c r="D5992" s="21"/>
    </row>
    <row r="5993" spans="3:4">
      <c r="C5993" s="21" t="s">
        <v>10193</v>
      </c>
      <c r="D5993" s="21"/>
    </row>
    <row r="5994" spans="3:4">
      <c r="C5994" s="21" t="s">
        <v>10194</v>
      </c>
      <c r="D5994" s="21"/>
    </row>
    <row r="5995" spans="3:4">
      <c r="C5995" s="21" t="s">
        <v>10195</v>
      </c>
      <c r="D5995" s="21"/>
    </row>
    <row r="5996" spans="3:4">
      <c r="C5996" s="21" t="s">
        <v>10197</v>
      </c>
      <c r="D5996" s="21"/>
    </row>
    <row r="5997" spans="3:4">
      <c r="C5997" s="21" t="s">
        <v>10198</v>
      </c>
      <c r="D5997" s="21"/>
    </row>
    <row r="5998" spans="3:4">
      <c r="C5998" s="21" t="s">
        <v>10199</v>
      </c>
      <c r="D5998" s="21"/>
    </row>
    <row r="5999" spans="3:4">
      <c r="C5999" s="21" t="s">
        <v>10200</v>
      </c>
      <c r="D5999" s="21"/>
    </row>
    <row r="6000" spans="3:4">
      <c r="C6000" s="21" t="s">
        <v>10201</v>
      </c>
      <c r="D6000" s="21"/>
    </row>
    <row r="6001" spans="3:4">
      <c r="C6001" s="21" t="s">
        <v>10202</v>
      </c>
      <c r="D6001" s="21"/>
    </row>
    <row r="6002" spans="3:4">
      <c r="C6002" s="21" t="s">
        <v>10203</v>
      </c>
      <c r="D6002" s="21"/>
    </row>
    <row r="6003" spans="3:4">
      <c r="C6003" s="21" t="s">
        <v>10204</v>
      </c>
      <c r="D6003" s="21"/>
    </row>
    <row r="6004" spans="3:4">
      <c r="C6004" s="21" t="s">
        <v>10205</v>
      </c>
      <c r="D6004" s="21"/>
    </row>
    <row r="6005" spans="3:4">
      <c r="C6005" s="21" t="s">
        <v>10206</v>
      </c>
      <c r="D6005" s="21"/>
    </row>
    <row r="6006" spans="3:4">
      <c r="C6006" s="21" t="s">
        <v>10207</v>
      </c>
      <c r="D6006" s="21"/>
    </row>
    <row r="6007" spans="3:4">
      <c r="C6007" s="21" t="s">
        <v>10208</v>
      </c>
      <c r="D6007" s="21"/>
    </row>
    <row r="6008" spans="3:4">
      <c r="C6008" s="21" t="s">
        <v>10209</v>
      </c>
      <c r="D6008" s="21"/>
    </row>
    <row r="6009" spans="3:4">
      <c r="C6009" s="21" t="s">
        <v>10211</v>
      </c>
      <c r="D6009" s="21"/>
    </row>
    <row r="6010" spans="3:4">
      <c r="C6010" s="21" t="s">
        <v>10212</v>
      </c>
      <c r="D6010" s="21"/>
    </row>
    <row r="6011" spans="3:4">
      <c r="C6011" s="21" t="s">
        <v>10213</v>
      </c>
      <c r="D6011" s="21"/>
    </row>
    <row r="6012" spans="3:4">
      <c r="C6012" s="21" t="s">
        <v>10214</v>
      </c>
      <c r="D6012" s="21"/>
    </row>
    <row r="6013" spans="3:4">
      <c r="C6013" s="21" t="s">
        <v>10215</v>
      </c>
      <c r="D6013" s="21"/>
    </row>
    <row r="6014" spans="3:4">
      <c r="C6014" s="21" t="s">
        <v>10216</v>
      </c>
      <c r="D6014" s="21"/>
    </row>
    <row r="6015" spans="3:4">
      <c r="C6015" s="21" t="s">
        <v>10217</v>
      </c>
      <c r="D6015" s="21"/>
    </row>
    <row r="6016" spans="3:4">
      <c r="C6016" s="21" t="s">
        <v>10218</v>
      </c>
      <c r="D6016" s="21"/>
    </row>
    <row r="6017" spans="3:4">
      <c r="C6017" s="21" t="s">
        <v>10219</v>
      </c>
      <c r="D6017" s="21"/>
    </row>
    <row r="6018" spans="3:4">
      <c r="C6018" s="21" t="s">
        <v>10221</v>
      </c>
      <c r="D6018" s="21"/>
    </row>
    <row r="6019" spans="3:4">
      <c r="C6019" s="21" t="s">
        <v>10222</v>
      </c>
      <c r="D6019" s="21"/>
    </row>
    <row r="6020" spans="3:4">
      <c r="C6020" s="21" t="s">
        <v>10223</v>
      </c>
      <c r="D6020" s="21"/>
    </row>
    <row r="6021" spans="3:4">
      <c r="C6021" s="21" t="s">
        <v>10224</v>
      </c>
      <c r="D6021" s="21"/>
    </row>
    <row r="6022" spans="3:4">
      <c r="C6022" s="21" t="s">
        <v>10225</v>
      </c>
      <c r="D6022" s="21"/>
    </row>
    <row r="6023" spans="3:4">
      <c r="C6023" s="21" t="s">
        <v>10226</v>
      </c>
      <c r="D6023" s="21"/>
    </row>
    <row r="6024" spans="3:4">
      <c r="C6024" s="21" t="s">
        <v>10227</v>
      </c>
      <c r="D6024" s="21"/>
    </row>
    <row r="6025" spans="3:4">
      <c r="C6025" s="21" t="s">
        <v>10228</v>
      </c>
      <c r="D6025" s="21"/>
    </row>
    <row r="6026" spans="3:4">
      <c r="C6026" s="21" t="s">
        <v>10229</v>
      </c>
      <c r="D6026" s="21"/>
    </row>
    <row r="6027" spans="3:4">
      <c r="C6027" s="21" t="s">
        <v>10230</v>
      </c>
      <c r="D6027" s="21"/>
    </row>
    <row r="6028" spans="3:4">
      <c r="C6028" s="21" t="s">
        <v>10231</v>
      </c>
      <c r="D6028" s="21"/>
    </row>
    <row r="6029" spans="3:4">
      <c r="C6029" s="21" t="s">
        <v>10232</v>
      </c>
      <c r="D6029" s="21"/>
    </row>
    <row r="6030" spans="3:4">
      <c r="C6030" s="21" t="s">
        <v>10233</v>
      </c>
      <c r="D6030" s="21"/>
    </row>
    <row r="6031" spans="3:4">
      <c r="C6031" s="21" t="s">
        <v>10234</v>
      </c>
      <c r="D6031" s="21"/>
    </row>
    <row r="6032" spans="3:4">
      <c r="C6032" s="21" t="s">
        <v>10235</v>
      </c>
      <c r="D6032" s="21"/>
    </row>
    <row r="6033" spans="3:4">
      <c r="C6033" s="21" t="s">
        <v>10236</v>
      </c>
      <c r="D6033" s="21"/>
    </row>
    <row r="6034" spans="3:4">
      <c r="C6034" s="21" t="s">
        <v>10239</v>
      </c>
      <c r="D6034" s="21"/>
    </row>
    <row r="6035" spans="3:4">
      <c r="C6035" s="21" t="s">
        <v>10240</v>
      </c>
      <c r="D6035" s="21"/>
    </row>
    <row r="6036" spans="3:4">
      <c r="C6036" s="21" t="s">
        <v>10241</v>
      </c>
      <c r="D6036" s="21"/>
    </row>
    <row r="6037" spans="3:4">
      <c r="C6037" s="21" t="s">
        <v>10242</v>
      </c>
      <c r="D6037" s="21"/>
    </row>
    <row r="6038" spans="3:4">
      <c r="C6038" s="21" t="s">
        <v>10243</v>
      </c>
      <c r="D6038" s="21"/>
    </row>
    <row r="6039" spans="3:4">
      <c r="C6039" s="21" t="s">
        <v>10244</v>
      </c>
      <c r="D6039" s="21"/>
    </row>
    <row r="6040" spans="3:4">
      <c r="C6040" s="21" t="s">
        <v>10245</v>
      </c>
      <c r="D6040" s="21"/>
    </row>
    <row r="6041" spans="3:4">
      <c r="C6041" s="21" t="s">
        <v>10246</v>
      </c>
      <c r="D6041" s="21"/>
    </row>
    <row r="6042" spans="3:4">
      <c r="C6042" s="21" t="s">
        <v>10247</v>
      </c>
      <c r="D6042" s="21"/>
    </row>
    <row r="6043" spans="3:4">
      <c r="C6043" s="21" t="s">
        <v>10248</v>
      </c>
      <c r="D6043" s="21"/>
    </row>
    <row r="6044" spans="3:4">
      <c r="C6044" s="21" t="s">
        <v>10249</v>
      </c>
      <c r="D6044" s="21"/>
    </row>
    <row r="6045" spans="3:4">
      <c r="C6045" s="21" t="s">
        <v>10250</v>
      </c>
      <c r="D6045" s="21"/>
    </row>
    <row r="6046" spans="3:4">
      <c r="C6046" s="21" t="s">
        <v>10251</v>
      </c>
      <c r="D6046" s="21"/>
    </row>
    <row r="6047" spans="3:4">
      <c r="C6047" s="21" t="s">
        <v>10252</v>
      </c>
      <c r="D6047" s="21"/>
    </row>
    <row r="6048" spans="3:4">
      <c r="C6048" s="21" t="s">
        <v>10254</v>
      </c>
      <c r="D6048" s="21"/>
    </row>
    <row r="6049" spans="3:4">
      <c r="C6049" s="21" t="s">
        <v>10255</v>
      </c>
      <c r="D6049" s="21"/>
    </row>
    <row r="6050" spans="3:4">
      <c r="C6050" s="21" t="s">
        <v>10264</v>
      </c>
      <c r="D6050" s="21"/>
    </row>
    <row r="6051" spans="3:4">
      <c r="C6051" s="21" t="s">
        <v>10265</v>
      </c>
      <c r="D6051" s="21"/>
    </row>
    <row r="6052" spans="3:4">
      <c r="C6052" s="21" t="s">
        <v>10266</v>
      </c>
      <c r="D6052" s="21"/>
    </row>
    <row r="6053" spans="3:4">
      <c r="C6053" s="21" t="s">
        <v>10267</v>
      </c>
      <c r="D6053" s="21"/>
    </row>
    <row r="6054" spans="3:4">
      <c r="C6054" s="21" t="s">
        <v>10268</v>
      </c>
      <c r="D6054" s="21"/>
    </row>
    <row r="6055" spans="3:4">
      <c r="C6055" s="21" t="s">
        <v>10269</v>
      </c>
      <c r="D6055" s="21"/>
    </row>
    <row r="6056" spans="3:4">
      <c r="C6056" s="21" t="s">
        <v>10270</v>
      </c>
      <c r="D6056" s="21"/>
    </row>
    <row r="6057" spans="3:4">
      <c r="C6057" s="21" t="s">
        <v>10271</v>
      </c>
      <c r="D6057" s="21"/>
    </row>
    <row r="6058" spans="3:4">
      <c r="C6058" s="21" t="s">
        <v>10272</v>
      </c>
      <c r="D6058" s="21"/>
    </row>
    <row r="6059" spans="3:4">
      <c r="C6059" s="21" t="s">
        <v>10273</v>
      </c>
      <c r="D6059" s="21"/>
    </row>
    <row r="6060" spans="3:4">
      <c r="C6060" s="21" t="s">
        <v>10274</v>
      </c>
      <c r="D6060" s="21"/>
    </row>
    <row r="6061" spans="3:4">
      <c r="C6061" s="21" t="s">
        <v>10275</v>
      </c>
      <c r="D6061" s="21"/>
    </row>
    <row r="6062" spans="3:4">
      <c r="C6062" s="21" t="s">
        <v>10276</v>
      </c>
      <c r="D6062" s="21"/>
    </row>
    <row r="6063" spans="3:4">
      <c r="C6063" s="21" t="s">
        <v>10278</v>
      </c>
      <c r="D6063" s="21"/>
    </row>
    <row r="6064" spans="3:4">
      <c r="C6064" s="21" t="s">
        <v>10279</v>
      </c>
      <c r="D6064" s="21"/>
    </row>
    <row r="6065" spans="3:4">
      <c r="C6065" s="21" t="s">
        <v>10280</v>
      </c>
      <c r="D6065" s="21"/>
    </row>
    <row r="6066" spans="3:4">
      <c r="C6066" s="21" t="s">
        <v>10281</v>
      </c>
      <c r="D6066" s="21"/>
    </row>
    <row r="6067" spans="3:4">
      <c r="C6067" s="21" t="s">
        <v>10282</v>
      </c>
      <c r="D6067" s="21"/>
    </row>
    <row r="6068" spans="3:4">
      <c r="C6068" s="21" t="s">
        <v>10283</v>
      </c>
      <c r="D6068" s="21"/>
    </row>
    <row r="6069" spans="3:4">
      <c r="C6069" s="21" t="s">
        <v>10284</v>
      </c>
      <c r="D6069" s="21"/>
    </row>
    <row r="6070" spans="3:4">
      <c r="C6070" s="21" t="s">
        <v>10285</v>
      </c>
      <c r="D6070" s="21"/>
    </row>
    <row r="6071" spans="3:4">
      <c r="C6071" s="21" t="s">
        <v>10286</v>
      </c>
      <c r="D6071" s="21"/>
    </row>
    <row r="6072" spans="3:4">
      <c r="C6072" s="21" t="s">
        <v>10287</v>
      </c>
      <c r="D6072" s="21"/>
    </row>
    <row r="6073" spans="3:4">
      <c r="C6073" s="21" t="s">
        <v>10288</v>
      </c>
      <c r="D6073" s="21"/>
    </row>
    <row r="6074" spans="3:4">
      <c r="C6074" s="21" t="s">
        <v>10290</v>
      </c>
      <c r="D6074" s="21"/>
    </row>
    <row r="6075" spans="3:4">
      <c r="C6075" s="21" t="s">
        <v>10291</v>
      </c>
      <c r="D6075" s="21"/>
    </row>
    <row r="6076" spans="3:4">
      <c r="C6076" s="21" t="s">
        <v>10292</v>
      </c>
      <c r="D6076" s="21"/>
    </row>
    <row r="6077" spans="3:4">
      <c r="C6077" s="21" t="s">
        <v>10293</v>
      </c>
      <c r="D6077" s="21"/>
    </row>
    <row r="6078" spans="3:4">
      <c r="C6078" s="21" t="s">
        <v>10294</v>
      </c>
      <c r="D6078" s="21"/>
    </row>
    <row r="6079" spans="3:4">
      <c r="C6079" s="21" t="s">
        <v>10295</v>
      </c>
      <c r="D6079" s="21"/>
    </row>
    <row r="6080" spans="3:4">
      <c r="C6080" s="21" t="s">
        <v>10296</v>
      </c>
      <c r="D6080" s="21"/>
    </row>
    <row r="6081" spans="3:4">
      <c r="C6081" s="21" t="s">
        <v>10297</v>
      </c>
      <c r="D6081" s="21"/>
    </row>
    <row r="6082" spans="3:4">
      <c r="C6082" s="21" t="s">
        <v>10298</v>
      </c>
      <c r="D6082" s="21"/>
    </row>
    <row r="6083" spans="3:4">
      <c r="C6083" s="21" t="s">
        <v>10299</v>
      </c>
      <c r="D6083" s="21"/>
    </row>
    <row r="6084" spans="3:4">
      <c r="C6084" s="21" t="s">
        <v>10301</v>
      </c>
      <c r="D6084" s="21"/>
    </row>
    <row r="6085" spans="3:4">
      <c r="C6085" s="21" t="s">
        <v>10302</v>
      </c>
      <c r="D6085" s="21"/>
    </row>
    <row r="6086" spans="3:4">
      <c r="C6086" s="21" t="s">
        <v>10303</v>
      </c>
      <c r="D6086" s="21"/>
    </row>
    <row r="6087" spans="3:4">
      <c r="C6087" s="21" t="s">
        <v>10304</v>
      </c>
      <c r="D6087" s="21"/>
    </row>
    <row r="6088" spans="3:4">
      <c r="C6088" s="21" t="s">
        <v>10305</v>
      </c>
      <c r="D6088" s="21"/>
    </row>
    <row r="6089" spans="3:4">
      <c r="C6089" s="21" t="s">
        <v>10306</v>
      </c>
      <c r="D6089" s="21"/>
    </row>
    <row r="6090" spans="3:4">
      <c r="C6090" s="21" t="s">
        <v>10307</v>
      </c>
      <c r="D6090" s="21"/>
    </row>
    <row r="6091" spans="3:4">
      <c r="C6091" s="21" t="s">
        <v>10308</v>
      </c>
      <c r="D6091" s="21"/>
    </row>
    <row r="6092" spans="3:4">
      <c r="C6092" s="21" t="s">
        <v>10309</v>
      </c>
      <c r="D6092" s="21"/>
    </row>
    <row r="6093" spans="3:4">
      <c r="C6093" s="21" t="s">
        <v>10310</v>
      </c>
      <c r="D6093" s="21"/>
    </row>
    <row r="6094" spans="3:4">
      <c r="C6094" s="21" t="s">
        <v>10311</v>
      </c>
      <c r="D6094" s="21"/>
    </row>
    <row r="6095" spans="3:4">
      <c r="C6095" s="21" t="s">
        <v>10312</v>
      </c>
      <c r="D6095" s="21"/>
    </row>
    <row r="6096" spans="3:4">
      <c r="C6096" s="21" t="s">
        <v>10313</v>
      </c>
      <c r="D6096" s="21"/>
    </row>
    <row r="6097" spans="3:4">
      <c r="C6097" s="21" t="s">
        <v>10314</v>
      </c>
      <c r="D6097" s="21"/>
    </row>
    <row r="6098" spans="3:4">
      <c r="C6098" s="21" t="s">
        <v>10315</v>
      </c>
      <c r="D6098" s="21"/>
    </row>
    <row r="6099" spans="3:4">
      <c r="C6099" s="21" t="s">
        <v>10316</v>
      </c>
      <c r="D6099" s="21"/>
    </row>
    <row r="6100" spans="3:4">
      <c r="C6100" s="21" t="s">
        <v>10318</v>
      </c>
      <c r="D6100" s="21"/>
    </row>
    <row r="6101" spans="3:4">
      <c r="C6101" s="21" t="s">
        <v>10319</v>
      </c>
      <c r="D6101" s="21"/>
    </row>
    <row r="6102" spans="3:4">
      <c r="C6102" s="21" t="s">
        <v>10320</v>
      </c>
      <c r="D6102" s="21"/>
    </row>
    <row r="6103" spans="3:4">
      <c r="C6103" s="21" t="s">
        <v>10321</v>
      </c>
      <c r="D6103" s="21"/>
    </row>
    <row r="6104" spans="3:4">
      <c r="C6104" s="21" t="s">
        <v>10322</v>
      </c>
      <c r="D6104" s="21"/>
    </row>
    <row r="6105" spans="3:4">
      <c r="C6105" s="21" t="s">
        <v>10323</v>
      </c>
      <c r="D6105" s="21"/>
    </row>
    <row r="6106" spans="3:4">
      <c r="C6106" s="21" t="s">
        <v>10324</v>
      </c>
      <c r="D6106" s="21"/>
    </row>
    <row r="6107" spans="3:4">
      <c r="C6107" s="21" t="s">
        <v>10325</v>
      </c>
      <c r="D6107" s="21"/>
    </row>
    <row r="6108" spans="3:4">
      <c r="C6108" s="21" t="s">
        <v>10326</v>
      </c>
      <c r="D6108" s="21"/>
    </row>
    <row r="6109" spans="3:4">
      <c r="C6109" s="21" t="s">
        <v>10327</v>
      </c>
      <c r="D6109" s="21"/>
    </row>
    <row r="6110" spans="3:4">
      <c r="C6110" s="21" t="s">
        <v>10328</v>
      </c>
      <c r="D6110" s="21"/>
    </row>
    <row r="6111" spans="3:4">
      <c r="C6111" s="21" t="s">
        <v>10329</v>
      </c>
      <c r="D6111" s="21"/>
    </row>
    <row r="6112" spans="3:4">
      <c r="C6112" s="21" t="s">
        <v>10330</v>
      </c>
      <c r="D6112" s="21"/>
    </row>
    <row r="6113" spans="3:4">
      <c r="C6113" s="21" t="s">
        <v>10331</v>
      </c>
      <c r="D6113" s="21"/>
    </row>
    <row r="6114" spans="3:4">
      <c r="C6114" s="21" t="s">
        <v>10332</v>
      </c>
      <c r="D6114" s="21"/>
    </row>
    <row r="6115" spans="3:4">
      <c r="C6115" s="21" t="s">
        <v>10334</v>
      </c>
      <c r="D6115" s="21"/>
    </row>
    <row r="6116" spans="3:4">
      <c r="C6116" s="21" t="s">
        <v>10335</v>
      </c>
      <c r="D6116" s="21"/>
    </row>
    <row r="6117" spans="3:4">
      <c r="C6117" s="21" t="s">
        <v>10336</v>
      </c>
      <c r="D6117" s="21"/>
    </row>
    <row r="6118" spans="3:4">
      <c r="C6118" s="21" t="s">
        <v>10337</v>
      </c>
      <c r="D6118" s="21"/>
    </row>
    <row r="6119" spans="3:4">
      <c r="C6119" s="21" t="s">
        <v>10338</v>
      </c>
      <c r="D6119" s="21"/>
    </row>
    <row r="6120" spans="3:4">
      <c r="C6120" s="21" t="s">
        <v>10339</v>
      </c>
      <c r="D6120" s="21"/>
    </row>
    <row r="6121" spans="3:4">
      <c r="C6121" s="21" t="s">
        <v>10340</v>
      </c>
      <c r="D6121" s="21"/>
    </row>
    <row r="6122" spans="3:4">
      <c r="C6122" s="21" t="s">
        <v>10341</v>
      </c>
      <c r="D6122" s="21"/>
    </row>
    <row r="6123" spans="3:4">
      <c r="C6123" s="21" t="s">
        <v>10342</v>
      </c>
      <c r="D6123" s="21"/>
    </row>
    <row r="6124" spans="3:4">
      <c r="C6124" s="21" t="s">
        <v>10343</v>
      </c>
      <c r="D6124" s="21"/>
    </row>
    <row r="6125" spans="3:4">
      <c r="C6125" s="21" t="s">
        <v>10344</v>
      </c>
      <c r="D6125" s="21"/>
    </row>
    <row r="6126" spans="3:4">
      <c r="C6126" s="21" t="s">
        <v>10345</v>
      </c>
      <c r="D6126" s="21"/>
    </row>
    <row r="6127" spans="3:4">
      <c r="C6127" s="21" t="s">
        <v>10346</v>
      </c>
      <c r="D6127" s="21"/>
    </row>
    <row r="6128" spans="3:4">
      <c r="C6128" s="21" t="s">
        <v>10347</v>
      </c>
      <c r="D6128" s="21"/>
    </row>
    <row r="6129" spans="3:4">
      <c r="C6129" s="21" t="s">
        <v>10348</v>
      </c>
      <c r="D6129" s="21"/>
    </row>
    <row r="6130" spans="3:4">
      <c r="C6130" s="21" t="s">
        <v>10349</v>
      </c>
      <c r="D6130" s="21"/>
    </row>
    <row r="6131" spans="3:4">
      <c r="C6131" s="21" t="s">
        <v>10350</v>
      </c>
      <c r="D6131" s="21"/>
    </row>
    <row r="6132" spans="3:4">
      <c r="C6132" s="21" t="s">
        <v>10351</v>
      </c>
      <c r="D6132" s="21"/>
    </row>
    <row r="6133" spans="3:4">
      <c r="C6133" s="21" t="s">
        <v>10352</v>
      </c>
      <c r="D6133" s="21"/>
    </row>
    <row r="6134" spans="3:4">
      <c r="C6134" s="21" t="s">
        <v>10353</v>
      </c>
      <c r="D6134" s="21"/>
    </row>
    <row r="6135" spans="3:4">
      <c r="C6135" s="21" t="s">
        <v>10354</v>
      </c>
      <c r="D6135" s="21"/>
    </row>
    <row r="6136" spans="3:4">
      <c r="C6136" s="21" t="s">
        <v>10356</v>
      </c>
      <c r="D6136" s="21"/>
    </row>
    <row r="6137" spans="3:4">
      <c r="C6137" s="21" t="s">
        <v>10357</v>
      </c>
      <c r="D6137" s="21"/>
    </row>
    <row r="6138" spans="3:4">
      <c r="C6138" s="21" t="s">
        <v>10358</v>
      </c>
      <c r="D6138" s="21"/>
    </row>
    <row r="6139" spans="3:4">
      <c r="C6139" s="21" t="s">
        <v>10359</v>
      </c>
      <c r="D6139" s="21"/>
    </row>
    <row r="6140" spans="3:4">
      <c r="C6140" s="21" t="s">
        <v>10360</v>
      </c>
      <c r="D6140" s="21"/>
    </row>
    <row r="6141" spans="3:4">
      <c r="C6141" s="21" t="s">
        <v>10361</v>
      </c>
      <c r="D6141" s="21"/>
    </row>
    <row r="6142" spans="3:4">
      <c r="C6142" s="21" t="s">
        <v>10362</v>
      </c>
      <c r="D6142" s="21"/>
    </row>
    <row r="6143" spans="3:4">
      <c r="C6143" s="21" t="s">
        <v>10363</v>
      </c>
      <c r="D6143" s="21"/>
    </row>
    <row r="6144" spans="3:4">
      <c r="C6144" s="21" t="s">
        <v>10364</v>
      </c>
      <c r="D6144" s="21"/>
    </row>
    <row r="6145" spans="3:4">
      <c r="C6145" s="21" t="s">
        <v>10365</v>
      </c>
      <c r="D6145" s="21"/>
    </row>
    <row r="6146" spans="3:4">
      <c r="C6146" s="21" t="s">
        <v>10366</v>
      </c>
      <c r="D6146" s="21"/>
    </row>
    <row r="6147" spans="3:4">
      <c r="C6147" s="21" t="s">
        <v>10367</v>
      </c>
      <c r="D6147" s="21"/>
    </row>
    <row r="6148" spans="3:4">
      <c r="C6148" s="21" t="s">
        <v>10368</v>
      </c>
      <c r="D6148" s="21"/>
    </row>
    <row r="6149" spans="3:4">
      <c r="C6149" s="21" t="s">
        <v>10370</v>
      </c>
      <c r="D6149" s="21"/>
    </row>
    <row r="6150" spans="3:4">
      <c r="C6150" s="21" t="s">
        <v>10371</v>
      </c>
      <c r="D6150" s="21"/>
    </row>
    <row r="6151" spans="3:4">
      <c r="C6151" s="21" t="s">
        <v>10372</v>
      </c>
      <c r="D6151" s="21"/>
    </row>
    <row r="6152" spans="3:4">
      <c r="C6152" s="21" t="s">
        <v>10373</v>
      </c>
      <c r="D6152" s="21"/>
    </row>
    <row r="6153" spans="3:4">
      <c r="C6153" s="21" t="s">
        <v>10374</v>
      </c>
      <c r="D6153" s="21"/>
    </row>
    <row r="6154" spans="3:4">
      <c r="C6154" s="21" t="s">
        <v>10375</v>
      </c>
      <c r="D6154" s="21"/>
    </row>
    <row r="6155" spans="3:4">
      <c r="C6155" s="21" t="s">
        <v>10376</v>
      </c>
      <c r="D6155" s="21"/>
    </row>
    <row r="6156" spans="3:4">
      <c r="C6156" s="21" t="s">
        <v>10377</v>
      </c>
      <c r="D6156" s="21"/>
    </row>
    <row r="6157" spans="3:4">
      <c r="C6157" s="21" t="s">
        <v>10378</v>
      </c>
      <c r="D6157" s="21"/>
    </row>
    <row r="6158" spans="3:4">
      <c r="C6158" s="21" t="s">
        <v>10379</v>
      </c>
      <c r="D6158" s="21"/>
    </row>
    <row r="6159" spans="3:4">
      <c r="C6159" s="21" t="s">
        <v>10380</v>
      </c>
      <c r="D6159" s="21"/>
    </row>
    <row r="6160" spans="3:4">
      <c r="C6160" s="21" t="s">
        <v>10381</v>
      </c>
      <c r="D6160" s="21"/>
    </row>
    <row r="6161" spans="3:4">
      <c r="C6161" s="21" t="s">
        <v>10382</v>
      </c>
      <c r="D6161" s="21"/>
    </row>
    <row r="6162" spans="3:4">
      <c r="C6162" s="21" t="s">
        <v>10383</v>
      </c>
      <c r="D6162" s="21"/>
    </row>
    <row r="6163" spans="3:4">
      <c r="C6163" s="21" t="s">
        <v>10385</v>
      </c>
      <c r="D6163" s="21"/>
    </row>
    <row r="6164" spans="3:4">
      <c r="C6164" s="21" t="s">
        <v>10386</v>
      </c>
      <c r="D6164" s="21"/>
    </row>
    <row r="6165" spans="3:4">
      <c r="C6165" s="21" t="s">
        <v>10387</v>
      </c>
      <c r="D6165" s="21"/>
    </row>
    <row r="6166" spans="3:4">
      <c r="C6166" s="21" t="s">
        <v>10388</v>
      </c>
      <c r="D6166" s="21"/>
    </row>
    <row r="6167" spans="3:4">
      <c r="C6167" s="21" t="s">
        <v>10389</v>
      </c>
      <c r="D6167" s="21"/>
    </row>
    <row r="6168" spans="3:4">
      <c r="C6168" s="21" t="s">
        <v>10390</v>
      </c>
      <c r="D6168" s="21"/>
    </row>
    <row r="6169" spans="3:4">
      <c r="C6169" s="21" t="s">
        <v>10391</v>
      </c>
      <c r="D6169" s="21"/>
    </row>
    <row r="6170" spans="3:4">
      <c r="C6170" s="21" t="s">
        <v>10392</v>
      </c>
      <c r="D6170" s="21"/>
    </row>
    <row r="6171" spans="3:4">
      <c r="C6171" s="21" t="s">
        <v>10393</v>
      </c>
      <c r="D6171" s="21"/>
    </row>
    <row r="6172" spans="3:4">
      <c r="C6172" s="21" t="s">
        <v>10394</v>
      </c>
      <c r="D6172" s="21"/>
    </row>
    <row r="6173" spans="3:4">
      <c r="C6173" s="21" t="s">
        <v>10395</v>
      </c>
      <c r="D6173" s="21"/>
    </row>
    <row r="6174" spans="3:4">
      <c r="C6174" s="21" t="s">
        <v>10396</v>
      </c>
      <c r="D6174" s="21"/>
    </row>
    <row r="6175" spans="3:4">
      <c r="C6175" s="21" t="s">
        <v>10397</v>
      </c>
      <c r="D6175" s="21"/>
    </row>
    <row r="6176" spans="3:4">
      <c r="C6176" s="21" t="s">
        <v>10400</v>
      </c>
      <c r="D6176" s="21"/>
    </row>
    <row r="6177" spans="3:4">
      <c r="C6177" s="21" t="s">
        <v>10401</v>
      </c>
      <c r="D6177" s="21"/>
    </row>
    <row r="6178" spans="3:4">
      <c r="C6178" s="21" t="s">
        <v>10402</v>
      </c>
      <c r="D6178" s="21"/>
    </row>
    <row r="6179" spans="3:4">
      <c r="C6179" s="21" t="s">
        <v>10403</v>
      </c>
      <c r="D6179" s="21"/>
    </row>
    <row r="6180" spans="3:4">
      <c r="C6180" s="21" t="s">
        <v>10404</v>
      </c>
      <c r="D6180" s="21"/>
    </row>
    <row r="6181" spans="3:4">
      <c r="C6181" s="21" t="s">
        <v>10405</v>
      </c>
      <c r="D6181" s="21"/>
    </row>
    <row r="6182" spans="3:4">
      <c r="C6182" s="21" t="s">
        <v>10406</v>
      </c>
      <c r="D6182" s="21"/>
    </row>
    <row r="6183" spans="3:4">
      <c r="C6183" s="21" t="s">
        <v>10407</v>
      </c>
      <c r="D6183" s="21"/>
    </row>
    <row r="6184" spans="3:4">
      <c r="C6184" s="21" t="s">
        <v>10408</v>
      </c>
      <c r="D6184" s="21"/>
    </row>
    <row r="6185" spans="3:4">
      <c r="C6185" s="21" t="s">
        <v>10409</v>
      </c>
      <c r="D6185" s="21"/>
    </row>
    <row r="6186" spans="3:4">
      <c r="C6186" s="21" t="s">
        <v>10410</v>
      </c>
      <c r="D6186" s="21"/>
    </row>
    <row r="6187" spans="3:4">
      <c r="C6187" s="21" t="s">
        <v>10411</v>
      </c>
      <c r="D6187" s="21"/>
    </row>
    <row r="6188" spans="3:4">
      <c r="C6188" s="21" t="s">
        <v>10412</v>
      </c>
      <c r="D6188" s="21"/>
    </row>
    <row r="6189" spans="3:4">
      <c r="C6189" s="21" t="s">
        <v>10413</v>
      </c>
      <c r="D6189" s="21"/>
    </row>
    <row r="6190" spans="3:4">
      <c r="C6190" s="21" t="s">
        <v>10414</v>
      </c>
      <c r="D6190" s="21"/>
    </row>
    <row r="6191" spans="3:4">
      <c r="C6191" s="21" t="s">
        <v>10415</v>
      </c>
      <c r="D6191" s="21"/>
    </row>
    <row r="6192" spans="3:4">
      <c r="C6192" s="21" t="s">
        <v>10416</v>
      </c>
      <c r="D6192" s="21"/>
    </row>
    <row r="6193" spans="3:4">
      <c r="C6193" s="21" t="s">
        <v>10417</v>
      </c>
      <c r="D6193" s="21"/>
    </row>
    <row r="6194" spans="3:4">
      <c r="C6194" s="21" t="s">
        <v>10419</v>
      </c>
      <c r="D6194" s="21"/>
    </row>
    <row r="6195" spans="3:4">
      <c r="C6195" s="21" t="s">
        <v>10420</v>
      </c>
      <c r="D6195" s="21"/>
    </row>
    <row r="6196" spans="3:4">
      <c r="C6196" s="21" t="s">
        <v>10421</v>
      </c>
      <c r="D6196" s="21"/>
    </row>
    <row r="6197" spans="3:4">
      <c r="C6197" s="21" t="s">
        <v>10422</v>
      </c>
      <c r="D6197" s="21"/>
    </row>
    <row r="6198" spans="3:4">
      <c r="C6198" s="21" t="s">
        <v>10423</v>
      </c>
      <c r="D6198" s="21"/>
    </row>
    <row r="6199" spans="3:4">
      <c r="C6199" s="21" t="s">
        <v>10424</v>
      </c>
      <c r="D6199" s="21"/>
    </row>
    <row r="6200" spans="3:4">
      <c r="C6200" s="21" t="s">
        <v>10425</v>
      </c>
      <c r="D6200" s="21"/>
    </row>
    <row r="6201" spans="3:4">
      <c r="C6201" s="21" t="s">
        <v>10426</v>
      </c>
      <c r="D6201" s="21"/>
    </row>
    <row r="6202" spans="3:4">
      <c r="C6202" s="21" t="s">
        <v>10428</v>
      </c>
      <c r="D6202" s="21"/>
    </row>
    <row r="6203" spans="3:4">
      <c r="C6203" s="21" t="s">
        <v>10429</v>
      </c>
      <c r="D6203" s="21"/>
    </row>
    <row r="6204" spans="3:4">
      <c r="C6204" s="21" t="s">
        <v>10430</v>
      </c>
      <c r="D6204" s="21"/>
    </row>
    <row r="6205" spans="3:4">
      <c r="C6205" s="21" t="s">
        <v>10431</v>
      </c>
      <c r="D6205" s="21"/>
    </row>
    <row r="6206" spans="3:4">
      <c r="C6206" s="21" t="s">
        <v>10432</v>
      </c>
      <c r="D6206" s="21"/>
    </row>
    <row r="6207" spans="3:4">
      <c r="C6207" s="21" t="s">
        <v>10433</v>
      </c>
      <c r="D6207" s="21"/>
    </row>
    <row r="6208" spans="3:4">
      <c r="C6208" s="21" t="s">
        <v>10434</v>
      </c>
      <c r="D6208" s="21"/>
    </row>
    <row r="6209" spans="3:4">
      <c r="C6209" s="21" t="s">
        <v>10435</v>
      </c>
      <c r="D6209" s="21"/>
    </row>
    <row r="6210" spans="3:4">
      <c r="C6210" s="21" t="s">
        <v>10436</v>
      </c>
      <c r="D6210" s="21"/>
    </row>
    <row r="6211" spans="3:4">
      <c r="C6211" s="21" t="s">
        <v>10437</v>
      </c>
      <c r="D6211" s="21"/>
    </row>
    <row r="6212" spans="3:4">
      <c r="C6212" s="21" t="s">
        <v>10438</v>
      </c>
      <c r="D6212" s="21"/>
    </row>
    <row r="6213" spans="3:4">
      <c r="C6213" s="21" t="s">
        <v>10439</v>
      </c>
      <c r="D6213" s="21"/>
    </row>
    <row r="6214" spans="3:4">
      <c r="C6214" s="21" t="s">
        <v>10440</v>
      </c>
      <c r="D6214" s="21"/>
    </row>
    <row r="6215" spans="3:4">
      <c r="C6215" s="21" t="s">
        <v>10441</v>
      </c>
      <c r="D6215" s="21"/>
    </row>
    <row r="6216" spans="3:4">
      <c r="C6216" s="21" t="s">
        <v>10442</v>
      </c>
      <c r="D6216" s="21"/>
    </row>
    <row r="6217" spans="3:4">
      <c r="C6217" s="21" t="s">
        <v>10443</v>
      </c>
      <c r="D6217" s="21"/>
    </row>
    <row r="6218" spans="3:4">
      <c r="C6218" s="21" t="s">
        <v>10444</v>
      </c>
      <c r="D6218" s="21"/>
    </row>
    <row r="6219" spans="3:4">
      <c r="C6219" s="21" t="s">
        <v>10445</v>
      </c>
      <c r="D6219" s="21"/>
    </row>
    <row r="6220" spans="3:4">
      <c r="C6220" s="21" t="s">
        <v>10446</v>
      </c>
      <c r="D6220" s="21"/>
    </row>
    <row r="6221" spans="3:4">
      <c r="C6221" s="21" t="s">
        <v>10447</v>
      </c>
      <c r="D6221" s="21"/>
    </row>
    <row r="6222" spans="3:4">
      <c r="C6222" s="21" t="s">
        <v>10448</v>
      </c>
      <c r="D6222" s="21"/>
    </row>
    <row r="6223" spans="3:4">
      <c r="C6223" s="21" t="s">
        <v>10449</v>
      </c>
      <c r="D6223" s="21"/>
    </row>
    <row r="6224" spans="3:4">
      <c r="C6224" s="21" t="s">
        <v>10450</v>
      </c>
      <c r="D6224" s="21"/>
    </row>
    <row r="6225" spans="3:4">
      <c r="C6225" s="21" t="s">
        <v>10451</v>
      </c>
      <c r="D6225" s="21"/>
    </row>
    <row r="6226" spans="3:4">
      <c r="C6226" s="21" t="s">
        <v>10452</v>
      </c>
      <c r="D6226" s="21"/>
    </row>
    <row r="6227" spans="3:4">
      <c r="C6227" s="21" t="s">
        <v>10453</v>
      </c>
      <c r="D6227" s="21"/>
    </row>
    <row r="6228" spans="3:4">
      <c r="C6228" s="21" t="s">
        <v>10454</v>
      </c>
      <c r="D6228" s="21"/>
    </row>
    <row r="6229" spans="3:4">
      <c r="C6229" s="21" t="s">
        <v>10455</v>
      </c>
      <c r="D6229" s="21"/>
    </row>
    <row r="6230" spans="3:4">
      <c r="C6230" s="21" t="s">
        <v>10456</v>
      </c>
      <c r="D6230" s="21"/>
    </row>
    <row r="6231" spans="3:4">
      <c r="C6231" s="21" t="s">
        <v>10457</v>
      </c>
      <c r="D6231" s="21"/>
    </row>
    <row r="6232" spans="3:4">
      <c r="C6232" s="21" t="s">
        <v>10458</v>
      </c>
      <c r="D6232" s="21"/>
    </row>
    <row r="6233" spans="3:4">
      <c r="C6233" s="21" t="s">
        <v>10459</v>
      </c>
      <c r="D6233" s="21"/>
    </row>
    <row r="6234" spans="3:4">
      <c r="C6234" s="21" t="s">
        <v>10460</v>
      </c>
      <c r="D6234" s="21"/>
    </row>
    <row r="6235" spans="3:4">
      <c r="C6235" s="21" t="s">
        <v>10461</v>
      </c>
      <c r="D6235" s="21"/>
    </row>
    <row r="6236" spans="3:4">
      <c r="C6236" s="21" t="s">
        <v>10462</v>
      </c>
      <c r="D6236" s="21"/>
    </row>
    <row r="6237" spans="3:4">
      <c r="C6237" s="21" t="s">
        <v>10463</v>
      </c>
      <c r="D6237" s="21"/>
    </row>
    <row r="6238" spans="3:4">
      <c r="C6238" s="21" t="s">
        <v>10464</v>
      </c>
      <c r="D6238" s="21"/>
    </row>
    <row r="6239" spans="3:4">
      <c r="C6239" s="21" t="s">
        <v>10465</v>
      </c>
      <c r="D6239" s="21"/>
    </row>
    <row r="6240" spans="3:4">
      <c r="C6240" s="21" t="s">
        <v>10466</v>
      </c>
      <c r="D6240" s="21"/>
    </row>
    <row r="6241" spans="3:4">
      <c r="C6241" s="21" t="s">
        <v>10467</v>
      </c>
      <c r="D6241" s="21"/>
    </row>
    <row r="6242" spans="3:4">
      <c r="C6242" s="21" t="s">
        <v>10468</v>
      </c>
      <c r="D6242" s="21"/>
    </row>
    <row r="6243" spans="3:4">
      <c r="C6243" s="21" t="s">
        <v>10469</v>
      </c>
      <c r="D6243" s="21"/>
    </row>
    <row r="6244" spans="3:4">
      <c r="C6244" s="21" t="s">
        <v>10470</v>
      </c>
      <c r="D6244" s="21"/>
    </row>
    <row r="6245" spans="3:4">
      <c r="C6245" s="21" t="s">
        <v>10471</v>
      </c>
      <c r="D6245" s="21"/>
    </row>
    <row r="6246" spans="3:4">
      <c r="C6246" s="21" t="s">
        <v>10472</v>
      </c>
      <c r="D6246" s="21"/>
    </row>
    <row r="6247" spans="3:4">
      <c r="C6247" s="21" t="s">
        <v>10473</v>
      </c>
      <c r="D6247" s="21"/>
    </row>
    <row r="6248" spans="3:4">
      <c r="C6248" s="21" t="s">
        <v>10474</v>
      </c>
      <c r="D6248" s="21"/>
    </row>
    <row r="6249" spans="3:4">
      <c r="C6249" s="21" t="s">
        <v>10475</v>
      </c>
      <c r="D6249" s="21"/>
    </row>
    <row r="6250" spans="3:4">
      <c r="C6250" s="21" t="s">
        <v>10476</v>
      </c>
      <c r="D6250" s="21"/>
    </row>
    <row r="6251" spans="3:4">
      <c r="C6251" s="21" t="s">
        <v>10478</v>
      </c>
      <c r="D6251" s="21"/>
    </row>
    <row r="6252" spans="3:4">
      <c r="C6252" s="21" t="s">
        <v>10479</v>
      </c>
      <c r="D6252" s="21"/>
    </row>
    <row r="6253" spans="3:4">
      <c r="C6253" s="21" t="s">
        <v>10480</v>
      </c>
      <c r="D6253" s="21"/>
    </row>
    <row r="6254" spans="3:4">
      <c r="C6254" s="21" t="s">
        <v>10481</v>
      </c>
      <c r="D6254" s="21"/>
    </row>
    <row r="6255" spans="3:4">
      <c r="C6255" s="21" t="s">
        <v>10482</v>
      </c>
      <c r="D6255" s="21"/>
    </row>
    <row r="6256" spans="3:4">
      <c r="C6256" s="21" t="s">
        <v>10483</v>
      </c>
      <c r="D6256" s="21"/>
    </row>
    <row r="6257" spans="3:4">
      <c r="C6257" s="21" t="s">
        <v>10484</v>
      </c>
      <c r="D6257" s="21"/>
    </row>
    <row r="6258" spans="3:4">
      <c r="C6258" s="21" t="s">
        <v>10485</v>
      </c>
      <c r="D6258" s="21"/>
    </row>
    <row r="6259" spans="3:4">
      <c r="C6259" s="21" t="s">
        <v>10486</v>
      </c>
      <c r="D6259" s="21"/>
    </row>
    <row r="6260" spans="3:4">
      <c r="C6260" s="21" t="s">
        <v>10487</v>
      </c>
      <c r="D6260" s="21"/>
    </row>
    <row r="6261" spans="3:4">
      <c r="C6261" s="21" t="s">
        <v>10488</v>
      </c>
      <c r="D6261" s="21"/>
    </row>
    <row r="6262" spans="3:4">
      <c r="C6262" s="21" t="s">
        <v>10489</v>
      </c>
      <c r="D6262" s="21"/>
    </row>
    <row r="6263" spans="3:4">
      <c r="C6263" s="21" t="s">
        <v>10490</v>
      </c>
      <c r="D6263" s="21"/>
    </row>
    <row r="6264" spans="3:4">
      <c r="C6264" s="21" t="s">
        <v>10491</v>
      </c>
      <c r="D6264" s="21"/>
    </row>
    <row r="6265" spans="3:4">
      <c r="C6265" s="21" t="s">
        <v>10492</v>
      </c>
      <c r="D6265" s="21"/>
    </row>
    <row r="6266" spans="3:4">
      <c r="C6266" s="21" t="s">
        <v>10493</v>
      </c>
      <c r="D6266" s="21"/>
    </row>
    <row r="6267" spans="3:4">
      <c r="C6267" s="21" t="s">
        <v>10494</v>
      </c>
      <c r="D6267" s="21"/>
    </row>
    <row r="6268" spans="3:4">
      <c r="C6268" s="21" t="s">
        <v>10495</v>
      </c>
      <c r="D6268" s="21"/>
    </row>
    <row r="6269" spans="3:4">
      <c r="C6269" s="21" t="s">
        <v>10496</v>
      </c>
      <c r="D6269" s="21"/>
    </row>
    <row r="6270" spans="3:4">
      <c r="C6270" s="21" t="s">
        <v>10497</v>
      </c>
      <c r="D6270" s="21"/>
    </row>
    <row r="6271" spans="3:4">
      <c r="C6271" s="21" t="s">
        <v>10498</v>
      </c>
      <c r="D6271" s="21"/>
    </row>
    <row r="6272" spans="3:4">
      <c r="C6272" s="21" t="s">
        <v>10499</v>
      </c>
      <c r="D6272" s="21"/>
    </row>
    <row r="6273" spans="3:4">
      <c r="C6273" s="21" t="s">
        <v>10500</v>
      </c>
      <c r="D6273" s="21"/>
    </row>
    <row r="6274" spans="3:4">
      <c r="C6274" s="21" t="s">
        <v>10501</v>
      </c>
      <c r="D6274" s="21"/>
    </row>
    <row r="6275" spans="3:4">
      <c r="C6275" s="21" t="s">
        <v>10502</v>
      </c>
      <c r="D6275" s="21"/>
    </row>
    <row r="6276" spans="3:4">
      <c r="C6276" s="21" t="s">
        <v>10503</v>
      </c>
      <c r="D6276" s="21"/>
    </row>
    <row r="6277" spans="3:4">
      <c r="C6277" s="21" t="s">
        <v>10504</v>
      </c>
      <c r="D6277" s="21"/>
    </row>
    <row r="6278" spans="3:4">
      <c r="C6278" s="21" t="s">
        <v>10505</v>
      </c>
      <c r="D6278" s="21"/>
    </row>
    <row r="6279" spans="3:4">
      <c r="C6279" s="21" t="s">
        <v>10506</v>
      </c>
      <c r="D6279" s="21"/>
    </row>
    <row r="6280" spans="3:4">
      <c r="C6280" s="21" t="s">
        <v>10507</v>
      </c>
      <c r="D6280" s="21"/>
    </row>
    <row r="6281" spans="3:4">
      <c r="C6281" s="21" t="s">
        <v>10508</v>
      </c>
      <c r="D6281" s="21"/>
    </row>
    <row r="6282" spans="3:4">
      <c r="C6282" s="21" t="s">
        <v>10509</v>
      </c>
      <c r="D6282" s="21"/>
    </row>
    <row r="6283" spans="3:4">
      <c r="C6283" s="21" t="s">
        <v>10510</v>
      </c>
      <c r="D6283" s="21"/>
    </row>
    <row r="6284" spans="3:4">
      <c r="C6284" s="21" t="s">
        <v>10511</v>
      </c>
      <c r="D6284" s="21"/>
    </row>
    <row r="6285" spans="3:4">
      <c r="C6285" s="21" t="s">
        <v>10512</v>
      </c>
      <c r="D6285" s="21"/>
    </row>
    <row r="6286" spans="3:4">
      <c r="C6286" s="21" t="s">
        <v>10513</v>
      </c>
      <c r="D6286" s="21"/>
    </row>
    <row r="6287" spans="3:4">
      <c r="C6287" s="21" t="s">
        <v>10514</v>
      </c>
      <c r="D6287" s="21"/>
    </row>
    <row r="6288" spans="3:4">
      <c r="C6288" s="21" t="s">
        <v>10515</v>
      </c>
      <c r="D6288" s="21"/>
    </row>
    <row r="6289" spans="3:4">
      <c r="C6289" s="21" t="s">
        <v>10516</v>
      </c>
      <c r="D6289" s="21"/>
    </row>
    <row r="6290" spans="3:4">
      <c r="C6290" s="21" t="s">
        <v>10517</v>
      </c>
      <c r="D6290" s="21"/>
    </row>
    <row r="6291" spans="3:4">
      <c r="C6291" s="21" t="s">
        <v>10518</v>
      </c>
      <c r="D6291" s="21"/>
    </row>
    <row r="6292" spans="3:4">
      <c r="C6292" s="21" t="s">
        <v>10519</v>
      </c>
      <c r="D6292" s="21"/>
    </row>
    <row r="6293" spans="3:4">
      <c r="C6293" s="21" t="s">
        <v>10520</v>
      </c>
      <c r="D6293" s="21"/>
    </row>
    <row r="6294" spans="3:4">
      <c r="C6294" s="21" t="s">
        <v>10521</v>
      </c>
      <c r="D6294" s="21"/>
    </row>
    <row r="6295" spans="3:4">
      <c r="C6295" s="21" t="s">
        <v>10522</v>
      </c>
      <c r="D6295" s="21"/>
    </row>
    <row r="6296" spans="3:4">
      <c r="C6296" s="21" t="s">
        <v>10523</v>
      </c>
      <c r="D6296" s="21"/>
    </row>
    <row r="6297" spans="3:4">
      <c r="C6297" s="21" t="s">
        <v>10524</v>
      </c>
      <c r="D6297" s="21"/>
    </row>
    <row r="6298" spans="3:4">
      <c r="C6298" s="21" t="s">
        <v>10525</v>
      </c>
      <c r="D6298" s="21"/>
    </row>
    <row r="6299" spans="3:4">
      <c r="C6299" s="21" t="s">
        <v>10526</v>
      </c>
      <c r="D6299" s="21"/>
    </row>
    <row r="6300" spans="3:4">
      <c r="C6300" s="21" t="s">
        <v>10528</v>
      </c>
      <c r="D6300" s="21"/>
    </row>
    <row r="6301" spans="3:4">
      <c r="C6301" s="21" t="s">
        <v>10529</v>
      </c>
      <c r="D6301" s="21"/>
    </row>
    <row r="6302" spans="3:4">
      <c r="C6302" s="21" t="s">
        <v>10530</v>
      </c>
      <c r="D6302" s="21"/>
    </row>
    <row r="6303" spans="3:4">
      <c r="C6303" s="21" t="s">
        <v>10531</v>
      </c>
      <c r="D6303" s="21"/>
    </row>
    <row r="6304" spans="3:4">
      <c r="C6304" s="21" t="s">
        <v>10532</v>
      </c>
      <c r="D6304" s="21"/>
    </row>
    <row r="6305" spans="3:4">
      <c r="C6305" s="21" t="s">
        <v>10533</v>
      </c>
      <c r="D6305" s="21"/>
    </row>
    <row r="6306" spans="3:4">
      <c r="C6306" s="21" t="s">
        <v>10534</v>
      </c>
      <c r="D6306" s="21"/>
    </row>
    <row r="6307" spans="3:4">
      <c r="C6307" s="21" t="s">
        <v>10535</v>
      </c>
      <c r="D6307" s="21"/>
    </row>
    <row r="6308" spans="3:4">
      <c r="C6308" s="21" t="s">
        <v>10536</v>
      </c>
      <c r="D6308" s="21"/>
    </row>
    <row r="6309" spans="3:4">
      <c r="C6309" s="21" t="s">
        <v>10537</v>
      </c>
      <c r="D6309" s="21"/>
    </row>
    <row r="6310" spans="3:4">
      <c r="C6310" s="21" t="s">
        <v>10538</v>
      </c>
      <c r="D6310" s="21"/>
    </row>
    <row r="6311" spans="3:4">
      <c r="C6311" s="21" t="s">
        <v>10539</v>
      </c>
      <c r="D6311" s="21"/>
    </row>
    <row r="6312" spans="3:4">
      <c r="C6312" s="21" t="s">
        <v>10540</v>
      </c>
      <c r="D6312" s="21"/>
    </row>
    <row r="6313" spans="3:4">
      <c r="C6313" s="21" t="s">
        <v>10541</v>
      </c>
      <c r="D6313" s="21"/>
    </row>
    <row r="6314" spans="3:4">
      <c r="C6314" s="21" t="s">
        <v>10542</v>
      </c>
      <c r="D6314" s="21"/>
    </row>
    <row r="6315" spans="3:4">
      <c r="C6315" s="21" t="s">
        <v>10543</v>
      </c>
      <c r="D6315" s="21"/>
    </row>
    <row r="6316" spans="3:4">
      <c r="C6316" s="21" t="s">
        <v>10544</v>
      </c>
      <c r="D6316" s="21"/>
    </row>
    <row r="6317" spans="3:4">
      <c r="C6317" s="21" t="s">
        <v>10545</v>
      </c>
      <c r="D6317" s="21"/>
    </row>
    <row r="6318" spans="3:4">
      <c r="C6318" s="21" t="s">
        <v>10546</v>
      </c>
      <c r="D6318" s="21"/>
    </row>
    <row r="6319" spans="3:4">
      <c r="C6319" s="21" t="s">
        <v>10547</v>
      </c>
      <c r="D6319" s="21"/>
    </row>
    <row r="6320" spans="3:4">
      <c r="C6320" s="21" t="s">
        <v>10548</v>
      </c>
      <c r="D6320" s="21"/>
    </row>
    <row r="6321" spans="3:4">
      <c r="C6321" s="21" t="s">
        <v>10550</v>
      </c>
      <c r="D6321" s="21"/>
    </row>
    <row r="6322" spans="3:4">
      <c r="C6322" s="21" t="s">
        <v>10551</v>
      </c>
      <c r="D6322" s="21"/>
    </row>
    <row r="6323" spans="3:4">
      <c r="C6323" s="21" t="s">
        <v>10552</v>
      </c>
      <c r="D6323" s="21"/>
    </row>
    <row r="6324" spans="3:4">
      <c r="C6324" s="21" t="s">
        <v>10553</v>
      </c>
      <c r="D6324" s="21"/>
    </row>
    <row r="6325" spans="3:4">
      <c r="C6325" s="21" t="s">
        <v>10554</v>
      </c>
      <c r="D6325" s="21"/>
    </row>
    <row r="6326" spans="3:4">
      <c r="C6326" s="21" t="s">
        <v>10555</v>
      </c>
      <c r="D6326" s="21"/>
    </row>
    <row r="6327" spans="3:4">
      <c r="C6327" s="21" t="s">
        <v>10556</v>
      </c>
      <c r="D6327" s="21"/>
    </row>
    <row r="6328" spans="3:4">
      <c r="C6328" s="21" t="s">
        <v>10557</v>
      </c>
      <c r="D6328" s="21"/>
    </row>
    <row r="6329" spans="3:4">
      <c r="C6329" s="21" t="s">
        <v>10558</v>
      </c>
      <c r="D6329" s="21"/>
    </row>
    <row r="6330" spans="3:4">
      <c r="C6330" s="21" t="s">
        <v>10559</v>
      </c>
      <c r="D6330" s="21"/>
    </row>
    <row r="6331" spans="3:4">
      <c r="C6331" s="21" t="s">
        <v>10560</v>
      </c>
      <c r="D6331" s="21"/>
    </row>
    <row r="6332" spans="3:4">
      <c r="C6332" s="21" t="s">
        <v>10561</v>
      </c>
      <c r="D6332" s="21"/>
    </row>
    <row r="6333" spans="3:4">
      <c r="C6333" s="21" t="s">
        <v>10562</v>
      </c>
      <c r="D6333" s="21"/>
    </row>
    <row r="6334" spans="3:4">
      <c r="C6334" s="21" t="s">
        <v>10563</v>
      </c>
      <c r="D6334" s="21"/>
    </row>
    <row r="6335" spans="3:4">
      <c r="C6335" s="21" t="s">
        <v>10564</v>
      </c>
      <c r="D6335" s="21"/>
    </row>
    <row r="6336" spans="3:4">
      <c r="C6336" s="21" t="s">
        <v>10565</v>
      </c>
      <c r="D6336" s="21"/>
    </row>
    <row r="6337" spans="3:4">
      <c r="C6337" s="21" t="s">
        <v>10567</v>
      </c>
      <c r="D6337" s="21"/>
    </row>
    <row r="6338" spans="3:4">
      <c r="C6338" s="21" t="s">
        <v>10568</v>
      </c>
      <c r="D6338" s="21"/>
    </row>
    <row r="6339" spans="3:4">
      <c r="C6339" s="21" t="s">
        <v>10569</v>
      </c>
      <c r="D6339" s="21"/>
    </row>
    <row r="6340" spans="3:4">
      <c r="C6340" s="21" t="s">
        <v>10570</v>
      </c>
      <c r="D6340" s="21"/>
    </row>
    <row r="6341" spans="3:4">
      <c r="C6341" s="21" t="s">
        <v>10571</v>
      </c>
      <c r="D6341" s="21"/>
    </row>
    <row r="6342" spans="3:4">
      <c r="C6342" s="21" t="s">
        <v>10572</v>
      </c>
      <c r="D6342" s="21"/>
    </row>
    <row r="6343" spans="3:4">
      <c r="C6343" s="21" t="s">
        <v>10574</v>
      </c>
      <c r="D6343" s="21"/>
    </row>
    <row r="6344" spans="3:4">
      <c r="C6344" s="21" t="s">
        <v>10575</v>
      </c>
      <c r="D6344" s="21"/>
    </row>
    <row r="6345" spans="3:4">
      <c r="C6345" s="21" t="s">
        <v>10576</v>
      </c>
      <c r="D6345" s="21"/>
    </row>
    <row r="6346" spans="3:4">
      <c r="C6346" s="21" t="s">
        <v>10577</v>
      </c>
      <c r="D6346" s="21"/>
    </row>
    <row r="6347" spans="3:4">
      <c r="C6347" s="21" t="s">
        <v>10578</v>
      </c>
      <c r="D6347" s="21"/>
    </row>
    <row r="6348" spans="3:4">
      <c r="C6348" s="21" t="s">
        <v>10579</v>
      </c>
      <c r="D6348" s="21"/>
    </row>
    <row r="6349" spans="3:4">
      <c r="C6349" s="21" t="s">
        <v>10580</v>
      </c>
      <c r="D6349" s="21"/>
    </row>
    <row r="6350" spans="3:4">
      <c r="C6350" s="21" t="s">
        <v>10581</v>
      </c>
      <c r="D6350" s="21"/>
    </row>
    <row r="6351" spans="3:4">
      <c r="C6351" s="21" t="s">
        <v>10582</v>
      </c>
      <c r="D6351" s="21"/>
    </row>
    <row r="6352" spans="3:4">
      <c r="C6352" s="21" t="s">
        <v>10583</v>
      </c>
      <c r="D6352" s="21"/>
    </row>
    <row r="6353" spans="3:4">
      <c r="C6353" s="21" t="s">
        <v>10584</v>
      </c>
      <c r="D6353" s="21"/>
    </row>
    <row r="6354" spans="3:4">
      <c r="C6354" s="21" t="s">
        <v>10585</v>
      </c>
      <c r="D6354" s="21"/>
    </row>
    <row r="6355" spans="3:4">
      <c r="C6355" s="21" t="s">
        <v>10586</v>
      </c>
      <c r="D6355" s="21"/>
    </row>
    <row r="6356" spans="3:4">
      <c r="C6356" s="21" t="s">
        <v>10587</v>
      </c>
      <c r="D6356" s="21"/>
    </row>
    <row r="6357" spans="3:4">
      <c r="C6357" s="21" t="s">
        <v>10588</v>
      </c>
      <c r="D6357" s="21"/>
    </row>
    <row r="6358" spans="3:4">
      <c r="C6358" s="21" t="s">
        <v>10589</v>
      </c>
      <c r="D6358" s="21"/>
    </row>
    <row r="6359" spans="3:4">
      <c r="C6359" s="21" t="s">
        <v>10590</v>
      </c>
      <c r="D6359" s="21"/>
    </row>
    <row r="6360" spans="3:4">
      <c r="C6360" s="21" t="s">
        <v>10591</v>
      </c>
      <c r="D6360" s="21"/>
    </row>
    <row r="6361" spans="3:4">
      <c r="C6361" s="21" t="s">
        <v>10592</v>
      </c>
      <c r="D6361" s="21"/>
    </row>
    <row r="6362" spans="3:4">
      <c r="C6362" s="21" t="s">
        <v>10593</v>
      </c>
      <c r="D6362" s="21"/>
    </row>
    <row r="6363" spans="3:4">
      <c r="C6363" s="21" t="s">
        <v>10594</v>
      </c>
      <c r="D6363" s="21"/>
    </row>
    <row r="6364" spans="3:4">
      <c r="C6364" s="21" t="s">
        <v>10596</v>
      </c>
      <c r="D6364" s="21"/>
    </row>
    <row r="6365" spans="3:4">
      <c r="C6365" s="21" t="s">
        <v>10597</v>
      </c>
      <c r="D6365" s="21"/>
    </row>
    <row r="6366" spans="3:4">
      <c r="C6366" s="21" t="s">
        <v>10598</v>
      </c>
      <c r="D6366" s="21"/>
    </row>
    <row r="6367" spans="3:4">
      <c r="C6367" s="21" t="s">
        <v>10599</v>
      </c>
      <c r="D6367" s="21"/>
    </row>
    <row r="6368" spans="3:4">
      <c r="C6368" s="21" t="s">
        <v>10600</v>
      </c>
      <c r="D6368" s="21"/>
    </row>
    <row r="6369" spans="3:4">
      <c r="C6369" s="21" t="s">
        <v>10601</v>
      </c>
      <c r="D6369" s="21"/>
    </row>
    <row r="6370" spans="3:4">
      <c r="C6370" s="21" t="s">
        <v>10602</v>
      </c>
      <c r="D6370" s="21"/>
    </row>
    <row r="6371" spans="3:4">
      <c r="C6371" s="21" t="s">
        <v>10603</v>
      </c>
      <c r="D6371" s="21"/>
    </row>
    <row r="6372" spans="3:4">
      <c r="C6372" s="21" t="s">
        <v>10604</v>
      </c>
      <c r="D6372" s="21"/>
    </row>
    <row r="6373" spans="3:4">
      <c r="C6373" s="21" t="s">
        <v>10605</v>
      </c>
      <c r="D6373" s="21"/>
    </row>
    <row r="6374" spans="3:4">
      <c r="C6374" s="21" t="s">
        <v>10606</v>
      </c>
      <c r="D6374" s="21"/>
    </row>
    <row r="6375" spans="3:4">
      <c r="C6375" s="21" t="s">
        <v>10607</v>
      </c>
      <c r="D6375" s="21"/>
    </row>
    <row r="6376" spans="3:4">
      <c r="C6376" s="21" t="s">
        <v>10608</v>
      </c>
      <c r="D6376" s="21"/>
    </row>
    <row r="6377" spans="3:4">
      <c r="C6377" s="21" t="s">
        <v>10609</v>
      </c>
      <c r="D6377" s="21"/>
    </row>
    <row r="6378" spans="3:4">
      <c r="C6378" s="21" t="s">
        <v>10610</v>
      </c>
      <c r="D6378" s="21"/>
    </row>
    <row r="6379" spans="3:4">
      <c r="C6379" s="21" t="s">
        <v>10611</v>
      </c>
      <c r="D6379" s="21"/>
    </row>
    <row r="6380" spans="3:4">
      <c r="C6380" s="21" t="s">
        <v>10612</v>
      </c>
      <c r="D6380" s="21"/>
    </row>
    <row r="6381" spans="3:4">
      <c r="C6381" s="21" t="s">
        <v>10613</v>
      </c>
      <c r="D6381" s="21"/>
    </row>
    <row r="6382" spans="3:4">
      <c r="C6382" s="21" t="s">
        <v>10614</v>
      </c>
      <c r="D6382" s="21"/>
    </row>
    <row r="6383" spans="3:4">
      <c r="C6383" s="21" t="s">
        <v>10615</v>
      </c>
      <c r="D6383" s="21"/>
    </row>
    <row r="6384" spans="3:4">
      <c r="C6384" s="21" t="s">
        <v>10616</v>
      </c>
      <c r="D6384" s="21"/>
    </row>
    <row r="6385" spans="3:4">
      <c r="C6385" s="21" t="s">
        <v>10617</v>
      </c>
      <c r="D6385" s="21"/>
    </row>
    <row r="6386" spans="3:4">
      <c r="C6386" s="21" t="s">
        <v>10618</v>
      </c>
      <c r="D6386" s="21"/>
    </row>
    <row r="6387" spans="3:4">
      <c r="C6387" s="21" t="s">
        <v>10619</v>
      </c>
      <c r="D6387" s="21"/>
    </row>
    <row r="6388" spans="3:4">
      <c r="C6388" s="21" t="s">
        <v>10620</v>
      </c>
      <c r="D6388" s="21"/>
    </row>
    <row r="6389" spans="3:4">
      <c r="C6389" s="21" t="s">
        <v>10621</v>
      </c>
      <c r="D6389" s="21"/>
    </row>
    <row r="6390" spans="3:4">
      <c r="C6390" s="21" t="s">
        <v>10622</v>
      </c>
      <c r="D6390" s="21"/>
    </row>
    <row r="6391" spans="3:4">
      <c r="C6391" s="21" t="s">
        <v>10623</v>
      </c>
      <c r="D6391" s="21"/>
    </row>
    <row r="6392" spans="3:4">
      <c r="C6392" s="21" t="s">
        <v>10624</v>
      </c>
      <c r="D6392" s="21"/>
    </row>
    <row r="6393" spans="3:4">
      <c r="C6393" s="21" t="s">
        <v>10625</v>
      </c>
      <c r="D6393" s="21"/>
    </row>
    <row r="6394" spans="3:4">
      <c r="C6394" s="21" t="s">
        <v>10626</v>
      </c>
      <c r="D6394" s="21"/>
    </row>
    <row r="6395" spans="3:4">
      <c r="C6395" s="21" t="s">
        <v>10627</v>
      </c>
      <c r="D6395" s="21"/>
    </row>
    <row r="6396" spans="3:4">
      <c r="C6396" s="21" t="s">
        <v>10628</v>
      </c>
      <c r="D6396" s="21"/>
    </row>
    <row r="6397" spans="3:4">
      <c r="C6397" s="21" t="s">
        <v>10629</v>
      </c>
      <c r="D6397" s="21"/>
    </row>
    <row r="6398" spans="3:4">
      <c r="C6398" s="21" t="s">
        <v>10630</v>
      </c>
      <c r="D6398" s="21"/>
    </row>
    <row r="6399" spans="3:4">
      <c r="C6399" s="21" t="s">
        <v>10631</v>
      </c>
      <c r="D6399" s="21"/>
    </row>
    <row r="6400" spans="3:4">
      <c r="C6400" s="21" t="s">
        <v>10632</v>
      </c>
      <c r="D6400" s="21"/>
    </row>
    <row r="6401" spans="3:4">
      <c r="C6401" s="21" t="s">
        <v>10634</v>
      </c>
      <c r="D6401" s="21"/>
    </row>
    <row r="6402" spans="3:4">
      <c r="C6402" s="21" t="s">
        <v>10635</v>
      </c>
      <c r="D6402" s="21"/>
    </row>
    <row r="6403" spans="3:4">
      <c r="C6403" s="21" t="s">
        <v>10636</v>
      </c>
      <c r="D6403" s="21"/>
    </row>
    <row r="6404" spans="3:4">
      <c r="C6404" s="21" t="s">
        <v>10637</v>
      </c>
      <c r="D6404" s="21"/>
    </row>
    <row r="6405" spans="3:4">
      <c r="C6405" s="21" t="s">
        <v>10638</v>
      </c>
      <c r="D6405" s="21"/>
    </row>
    <row r="6406" spans="3:4">
      <c r="C6406" s="21" t="s">
        <v>10639</v>
      </c>
      <c r="D6406" s="21"/>
    </row>
    <row r="6407" spans="3:4">
      <c r="C6407" s="21" t="s">
        <v>10640</v>
      </c>
      <c r="D6407" s="21"/>
    </row>
    <row r="6408" spans="3:4">
      <c r="C6408" s="21" t="s">
        <v>10641</v>
      </c>
      <c r="D6408" s="21"/>
    </row>
    <row r="6409" spans="3:4">
      <c r="C6409" s="21" t="s">
        <v>10642</v>
      </c>
      <c r="D6409" s="21"/>
    </row>
    <row r="6410" spans="3:4">
      <c r="C6410" s="21" t="s">
        <v>10643</v>
      </c>
      <c r="D6410" s="21"/>
    </row>
    <row r="6411" spans="3:4">
      <c r="C6411" s="21" t="s">
        <v>10644</v>
      </c>
      <c r="D6411" s="21"/>
    </row>
    <row r="6412" spans="3:4">
      <c r="C6412" s="21" t="s">
        <v>10645</v>
      </c>
      <c r="D6412" s="21"/>
    </row>
    <row r="6413" spans="3:4">
      <c r="C6413" s="21" t="s">
        <v>10646</v>
      </c>
      <c r="D6413" s="21"/>
    </row>
    <row r="6414" spans="3:4">
      <c r="C6414" s="21" t="s">
        <v>10647</v>
      </c>
      <c r="D6414" s="21"/>
    </row>
    <row r="6415" spans="3:4">
      <c r="C6415" s="21" t="s">
        <v>10648</v>
      </c>
      <c r="D6415" s="21"/>
    </row>
    <row r="6416" spans="3:4">
      <c r="C6416" s="21" t="s">
        <v>10649</v>
      </c>
      <c r="D6416" s="21"/>
    </row>
    <row r="6417" spans="3:4">
      <c r="C6417" s="21" t="s">
        <v>10650</v>
      </c>
      <c r="D6417" s="21"/>
    </row>
    <row r="6418" spans="3:4">
      <c r="C6418" s="21" t="s">
        <v>10651</v>
      </c>
      <c r="D6418" s="21"/>
    </row>
    <row r="6419" spans="3:4">
      <c r="C6419" s="21" t="s">
        <v>10652</v>
      </c>
      <c r="D6419" s="21"/>
    </row>
    <row r="6420" spans="3:4">
      <c r="C6420" s="21" t="s">
        <v>10653</v>
      </c>
      <c r="D6420" s="21"/>
    </row>
    <row r="6421" spans="3:4">
      <c r="C6421" s="21" t="s">
        <v>10654</v>
      </c>
      <c r="D6421" s="21"/>
    </row>
    <row r="6422" spans="3:4">
      <c r="C6422" s="21" t="s">
        <v>10655</v>
      </c>
      <c r="D6422" s="21"/>
    </row>
    <row r="6423" spans="3:4">
      <c r="C6423" s="21" t="s">
        <v>10656</v>
      </c>
      <c r="D6423" s="21"/>
    </row>
    <row r="6424" spans="3:4">
      <c r="C6424" s="21" t="s">
        <v>10657</v>
      </c>
      <c r="D6424" s="21"/>
    </row>
    <row r="6425" spans="3:4">
      <c r="C6425" s="21" t="s">
        <v>10658</v>
      </c>
      <c r="D6425" s="21"/>
    </row>
    <row r="6426" spans="3:4">
      <c r="C6426" s="21" t="s">
        <v>10659</v>
      </c>
      <c r="D6426" s="21"/>
    </row>
    <row r="6427" spans="3:4">
      <c r="C6427" s="21" t="s">
        <v>10660</v>
      </c>
      <c r="D6427" s="21"/>
    </row>
    <row r="6428" spans="3:4">
      <c r="C6428" s="21" t="s">
        <v>10661</v>
      </c>
      <c r="D6428" s="21"/>
    </row>
    <row r="6429" spans="3:4">
      <c r="C6429" s="21" t="s">
        <v>10662</v>
      </c>
      <c r="D6429" s="21"/>
    </row>
    <row r="6430" spans="3:4">
      <c r="C6430" s="21" t="s">
        <v>10663</v>
      </c>
      <c r="D6430" s="21"/>
    </row>
    <row r="6431" spans="3:4">
      <c r="C6431" s="21" t="s">
        <v>10664</v>
      </c>
      <c r="D6431" s="21"/>
    </row>
    <row r="6432" spans="3:4">
      <c r="C6432" s="21" t="s">
        <v>10665</v>
      </c>
      <c r="D6432" s="21"/>
    </row>
    <row r="6433" spans="3:4">
      <c r="C6433" s="21" t="s">
        <v>10667</v>
      </c>
      <c r="D6433" s="21"/>
    </row>
    <row r="6434" spans="3:4">
      <c r="C6434" s="21" t="s">
        <v>10668</v>
      </c>
      <c r="D6434" s="21"/>
    </row>
    <row r="6435" spans="3:4">
      <c r="C6435" s="21" t="s">
        <v>10669</v>
      </c>
      <c r="D6435" s="21"/>
    </row>
    <row r="6436" spans="3:4">
      <c r="C6436" s="21" t="s">
        <v>10670</v>
      </c>
      <c r="D6436" s="21"/>
    </row>
    <row r="6437" spans="3:4">
      <c r="C6437" s="21" t="s">
        <v>10671</v>
      </c>
      <c r="D6437" s="21"/>
    </row>
    <row r="6438" spans="3:4">
      <c r="C6438" s="21" t="s">
        <v>10672</v>
      </c>
      <c r="D6438" s="21"/>
    </row>
    <row r="6439" spans="3:4">
      <c r="C6439" s="21" t="s">
        <v>10673</v>
      </c>
      <c r="D6439" s="21"/>
    </row>
    <row r="6440" spans="3:4">
      <c r="C6440" s="21" t="s">
        <v>10674</v>
      </c>
      <c r="D6440" s="21"/>
    </row>
    <row r="6441" spans="3:4">
      <c r="C6441" s="21" t="s">
        <v>10675</v>
      </c>
      <c r="D6441" s="21"/>
    </row>
    <row r="6442" spans="3:4">
      <c r="C6442" s="21" t="s">
        <v>10676</v>
      </c>
      <c r="D6442" s="21"/>
    </row>
    <row r="6443" spans="3:4">
      <c r="C6443" s="21" t="s">
        <v>10677</v>
      </c>
      <c r="D6443" s="21"/>
    </row>
    <row r="6444" spans="3:4">
      <c r="C6444" s="21" t="s">
        <v>10678</v>
      </c>
      <c r="D6444" s="21"/>
    </row>
    <row r="6445" spans="3:4">
      <c r="C6445" s="21" t="s">
        <v>10679</v>
      </c>
      <c r="D6445" s="21"/>
    </row>
    <row r="6446" spans="3:4">
      <c r="C6446" s="21" t="s">
        <v>10680</v>
      </c>
      <c r="D6446" s="21"/>
    </row>
    <row r="6447" spans="3:4">
      <c r="C6447" s="21" t="s">
        <v>10681</v>
      </c>
      <c r="D6447" s="21"/>
    </row>
    <row r="6448" spans="3:4">
      <c r="C6448" s="21" t="s">
        <v>10682</v>
      </c>
      <c r="D6448" s="21"/>
    </row>
    <row r="6449" spans="3:4">
      <c r="C6449" s="21" t="s">
        <v>10683</v>
      </c>
      <c r="D6449" s="21"/>
    </row>
    <row r="6450" spans="3:4">
      <c r="C6450" s="21" t="s">
        <v>10684</v>
      </c>
      <c r="D6450" s="21"/>
    </row>
    <row r="6451" spans="3:4">
      <c r="C6451" s="21" t="s">
        <v>10685</v>
      </c>
      <c r="D6451" s="21"/>
    </row>
    <row r="6452" spans="3:4">
      <c r="C6452" s="21" t="s">
        <v>10686</v>
      </c>
      <c r="D6452" s="21"/>
    </row>
    <row r="6453" spans="3:4">
      <c r="C6453" s="21" t="s">
        <v>10687</v>
      </c>
      <c r="D6453" s="21"/>
    </row>
    <row r="6454" spans="3:4">
      <c r="C6454" s="21" t="s">
        <v>10688</v>
      </c>
      <c r="D6454" s="21"/>
    </row>
    <row r="6455" spans="3:4">
      <c r="C6455" s="21" t="s">
        <v>10689</v>
      </c>
      <c r="D6455" s="21"/>
    </row>
    <row r="6456" spans="3:4">
      <c r="C6456" s="21" t="s">
        <v>10690</v>
      </c>
      <c r="D6456" s="21"/>
    </row>
    <row r="6457" spans="3:4">
      <c r="C6457" s="21" t="s">
        <v>10691</v>
      </c>
      <c r="D6457" s="21"/>
    </row>
    <row r="6458" spans="3:4">
      <c r="C6458" s="21" t="s">
        <v>10692</v>
      </c>
      <c r="D6458" s="21"/>
    </row>
    <row r="6459" spans="3:4">
      <c r="C6459" s="21" t="s">
        <v>10693</v>
      </c>
      <c r="D6459" s="21"/>
    </row>
    <row r="6460" spans="3:4">
      <c r="C6460" s="21" t="s">
        <v>10694</v>
      </c>
      <c r="D6460" s="21"/>
    </row>
    <row r="6461" spans="3:4">
      <c r="C6461" s="21" t="s">
        <v>10695</v>
      </c>
      <c r="D6461" s="21"/>
    </row>
    <row r="6462" spans="3:4">
      <c r="C6462" s="21" t="s">
        <v>10696</v>
      </c>
      <c r="D6462" s="21"/>
    </row>
    <row r="6463" spans="3:4">
      <c r="C6463" s="21" t="s">
        <v>10697</v>
      </c>
      <c r="D6463" s="21"/>
    </row>
    <row r="6464" spans="3:4">
      <c r="C6464" s="21" t="s">
        <v>10698</v>
      </c>
      <c r="D6464" s="21"/>
    </row>
    <row r="6465" spans="3:4">
      <c r="C6465" s="21" t="s">
        <v>10699</v>
      </c>
      <c r="D6465" s="21"/>
    </row>
    <row r="6466" spans="3:4">
      <c r="C6466" s="21" t="s">
        <v>10700</v>
      </c>
      <c r="D6466" s="21"/>
    </row>
    <row r="6467" spans="3:4">
      <c r="C6467" s="21" t="s">
        <v>10701</v>
      </c>
      <c r="D6467" s="21"/>
    </row>
    <row r="6468" spans="3:4">
      <c r="C6468" s="21" t="s">
        <v>10702</v>
      </c>
      <c r="D6468" s="21"/>
    </row>
    <row r="6469" spans="3:4">
      <c r="C6469" s="21" t="s">
        <v>10703</v>
      </c>
      <c r="D6469" s="21"/>
    </row>
    <row r="6470" spans="3:4">
      <c r="C6470" s="21" t="s">
        <v>10704</v>
      </c>
      <c r="D6470" s="21"/>
    </row>
    <row r="6471" spans="3:4">
      <c r="C6471" s="21" t="s">
        <v>10705</v>
      </c>
      <c r="D6471" s="21"/>
    </row>
    <row r="6472" spans="3:4">
      <c r="C6472" s="21" t="s">
        <v>10706</v>
      </c>
      <c r="D6472" s="21"/>
    </row>
    <row r="6473" spans="3:4">
      <c r="C6473" s="21" t="s">
        <v>10707</v>
      </c>
      <c r="D6473" s="21"/>
    </row>
    <row r="6474" spans="3:4">
      <c r="C6474" s="21" t="s">
        <v>10708</v>
      </c>
      <c r="D6474" s="21"/>
    </row>
    <row r="6475" spans="3:4">
      <c r="C6475" s="21" t="s">
        <v>10709</v>
      </c>
      <c r="D6475" s="21"/>
    </row>
    <row r="6476" spans="3:4">
      <c r="C6476" s="21" t="s">
        <v>10710</v>
      </c>
      <c r="D6476" s="21"/>
    </row>
    <row r="6477" spans="3:4">
      <c r="C6477" s="21" t="s">
        <v>10711</v>
      </c>
      <c r="D6477" s="21"/>
    </row>
    <row r="6478" spans="3:4">
      <c r="C6478" s="21" t="s">
        <v>10712</v>
      </c>
      <c r="D6478" s="21"/>
    </row>
    <row r="6479" spans="3:4">
      <c r="C6479" s="21" t="s">
        <v>10713</v>
      </c>
      <c r="D6479" s="21"/>
    </row>
    <row r="6480" spans="3:4">
      <c r="C6480" s="21" t="s">
        <v>10714</v>
      </c>
      <c r="D6480" s="21"/>
    </row>
    <row r="6481" spans="3:4">
      <c r="C6481" s="21" t="s">
        <v>10715</v>
      </c>
      <c r="D6481" s="21"/>
    </row>
    <row r="6482" spans="3:4">
      <c r="C6482" s="21" t="s">
        <v>10716</v>
      </c>
      <c r="D6482" s="21"/>
    </row>
    <row r="6483" spans="3:4">
      <c r="C6483" s="21" t="s">
        <v>10717</v>
      </c>
      <c r="D6483" s="21"/>
    </row>
    <row r="6484" spans="3:4">
      <c r="C6484" s="21" t="s">
        <v>10718</v>
      </c>
      <c r="D6484" s="21"/>
    </row>
    <row r="6485" spans="3:4">
      <c r="C6485" s="21" t="s">
        <v>10719</v>
      </c>
      <c r="D6485" s="21"/>
    </row>
    <row r="6486" spans="3:4">
      <c r="C6486" s="21" t="s">
        <v>10721</v>
      </c>
      <c r="D6486" s="21"/>
    </row>
    <row r="6487" spans="3:4">
      <c r="C6487" s="21" t="s">
        <v>10722</v>
      </c>
      <c r="D6487" s="21"/>
    </row>
    <row r="6488" spans="3:4">
      <c r="C6488" s="21" t="s">
        <v>10723</v>
      </c>
      <c r="D6488" s="21"/>
    </row>
    <row r="6489" spans="3:4">
      <c r="C6489" s="21" t="s">
        <v>10724</v>
      </c>
      <c r="D6489" s="21"/>
    </row>
    <row r="6490" spans="3:4">
      <c r="C6490" s="21" t="s">
        <v>10725</v>
      </c>
      <c r="D6490" s="21"/>
    </row>
    <row r="6491" spans="3:4">
      <c r="C6491" s="21" t="s">
        <v>10726</v>
      </c>
      <c r="D6491" s="21"/>
    </row>
    <row r="6492" spans="3:4">
      <c r="C6492" s="21" t="s">
        <v>10727</v>
      </c>
      <c r="D6492" s="21"/>
    </row>
    <row r="6493" spans="3:4">
      <c r="C6493" s="21" t="s">
        <v>10728</v>
      </c>
      <c r="D6493" s="21"/>
    </row>
    <row r="6494" spans="3:4">
      <c r="C6494" s="21" t="s">
        <v>10729</v>
      </c>
      <c r="D6494" s="21"/>
    </row>
    <row r="6495" spans="3:4">
      <c r="C6495" s="21" t="s">
        <v>10730</v>
      </c>
      <c r="D6495" s="21"/>
    </row>
    <row r="6496" spans="3:4">
      <c r="C6496" s="21" t="s">
        <v>10731</v>
      </c>
      <c r="D6496" s="21"/>
    </row>
    <row r="6497" spans="3:4">
      <c r="C6497" s="21" t="s">
        <v>10732</v>
      </c>
      <c r="D6497" s="21"/>
    </row>
    <row r="6498" spans="3:4">
      <c r="C6498" s="21" t="s">
        <v>10733</v>
      </c>
      <c r="D6498" s="21"/>
    </row>
    <row r="6499" spans="3:4">
      <c r="C6499" s="21" t="s">
        <v>10734</v>
      </c>
      <c r="D6499" s="21"/>
    </row>
    <row r="6500" spans="3:4">
      <c r="C6500" s="21" t="s">
        <v>10735</v>
      </c>
      <c r="D6500" s="21"/>
    </row>
    <row r="6501" spans="3:4">
      <c r="C6501" s="21" t="s">
        <v>10736</v>
      </c>
      <c r="D6501" s="21"/>
    </row>
    <row r="6502" spans="3:4">
      <c r="C6502" s="21" t="s">
        <v>10737</v>
      </c>
      <c r="D6502" s="21"/>
    </row>
    <row r="6503" spans="3:4">
      <c r="C6503" s="21" t="s">
        <v>10738</v>
      </c>
      <c r="D6503" s="21"/>
    </row>
    <row r="6504" spans="3:4">
      <c r="C6504" s="21" t="s">
        <v>10739</v>
      </c>
      <c r="D6504" s="21"/>
    </row>
    <row r="6505" spans="3:4">
      <c r="C6505" s="21" t="s">
        <v>10740</v>
      </c>
      <c r="D6505" s="21"/>
    </row>
    <row r="6506" spans="3:4">
      <c r="C6506" s="21" t="s">
        <v>10741</v>
      </c>
      <c r="D6506" s="21"/>
    </row>
    <row r="6507" spans="3:4">
      <c r="C6507" s="21" t="s">
        <v>10742</v>
      </c>
      <c r="D6507" s="21"/>
    </row>
    <row r="6508" spans="3:4">
      <c r="C6508" s="21" t="s">
        <v>10743</v>
      </c>
      <c r="D6508" s="21"/>
    </row>
    <row r="6509" spans="3:4">
      <c r="C6509" s="21" t="s">
        <v>10744</v>
      </c>
      <c r="D6509" s="21"/>
    </row>
    <row r="6510" spans="3:4">
      <c r="C6510" s="21" t="s">
        <v>10745</v>
      </c>
      <c r="D6510" s="21"/>
    </row>
    <row r="6511" spans="3:4">
      <c r="C6511" s="21" t="s">
        <v>10746</v>
      </c>
      <c r="D6511" s="21"/>
    </row>
    <row r="6512" spans="3:4">
      <c r="C6512" s="21" t="s">
        <v>10747</v>
      </c>
      <c r="D6512" s="21"/>
    </row>
    <row r="6513" spans="3:4">
      <c r="C6513" s="21" t="s">
        <v>10748</v>
      </c>
      <c r="D6513" s="21"/>
    </row>
    <row r="6514" spans="3:4">
      <c r="C6514" s="21" t="s">
        <v>10749</v>
      </c>
      <c r="D6514" s="21"/>
    </row>
    <row r="6515" spans="3:4">
      <c r="C6515" s="21" t="s">
        <v>10750</v>
      </c>
      <c r="D6515" s="21"/>
    </row>
    <row r="6516" spans="3:4">
      <c r="C6516" s="21" t="s">
        <v>10751</v>
      </c>
      <c r="D6516" s="21"/>
    </row>
    <row r="6517" spans="3:4">
      <c r="C6517" s="21" t="s">
        <v>10752</v>
      </c>
      <c r="D6517" s="21"/>
    </row>
    <row r="6518" spans="3:4">
      <c r="C6518" s="21" t="s">
        <v>10753</v>
      </c>
      <c r="D6518" s="21"/>
    </row>
    <row r="6519" spans="3:4">
      <c r="C6519" s="21" t="s">
        <v>10754</v>
      </c>
      <c r="D6519" s="21"/>
    </row>
    <row r="6520" spans="3:4">
      <c r="C6520" s="21" t="s">
        <v>10756</v>
      </c>
      <c r="D6520" s="21"/>
    </row>
    <row r="6521" spans="3:4">
      <c r="C6521" s="21" t="s">
        <v>10757</v>
      </c>
      <c r="D6521" s="21"/>
    </row>
    <row r="6522" spans="3:4">
      <c r="C6522" s="21" t="s">
        <v>10758</v>
      </c>
      <c r="D6522" s="21"/>
    </row>
    <row r="6523" spans="3:4">
      <c r="C6523" s="21" t="s">
        <v>10759</v>
      </c>
      <c r="D6523" s="21"/>
    </row>
    <row r="6524" spans="3:4">
      <c r="C6524" s="21" t="s">
        <v>10760</v>
      </c>
      <c r="D6524" s="21"/>
    </row>
    <row r="6525" spans="3:4">
      <c r="C6525" s="21" t="s">
        <v>10761</v>
      </c>
      <c r="D6525" s="21"/>
    </row>
    <row r="6526" spans="3:4">
      <c r="C6526" s="21" t="s">
        <v>10762</v>
      </c>
      <c r="D6526" s="21"/>
    </row>
    <row r="6527" spans="3:4">
      <c r="C6527" s="21" t="s">
        <v>10763</v>
      </c>
      <c r="D6527" s="21"/>
    </row>
    <row r="6528" spans="3:4">
      <c r="C6528" s="21" t="s">
        <v>10764</v>
      </c>
      <c r="D6528" s="21"/>
    </row>
    <row r="6529" spans="3:4">
      <c r="C6529" s="21" t="s">
        <v>10765</v>
      </c>
      <c r="D6529" s="21"/>
    </row>
    <row r="6530" spans="3:4">
      <c r="C6530" s="21" t="s">
        <v>10766</v>
      </c>
      <c r="D6530" s="21"/>
    </row>
    <row r="6531" spans="3:4">
      <c r="C6531" s="21" t="s">
        <v>10767</v>
      </c>
      <c r="D6531" s="21"/>
    </row>
    <row r="6532" spans="3:4">
      <c r="C6532" s="21" t="s">
        <v>10768</v>
      </c>
      <c r="D6532" s="21"/>
    </row>
    <row r="6533" spans="3:4">
      <c r="C6533" s="21" t="s">
        <v>10769</v>
      </c>
      <c r="D6533" s="21"/>
    </row>
    <row r="6534" spans="3:4">
      <c r="C6534" s="21" t="s">
        <v>10770</v>
      </c>
      <c r="D6534" s="21"/>
    </row>
    <row r="6535" spans="3:4">
      <c r="C6535" s="21" t="s">
        <v>10771</v>
      </c>
      <c r="D6535" s="21"/>
    </row>
    <row r="6536" spans="3:4">
      <c r="C6536" s="21" t="s">
        <v>10772</v>
      </c>
      <c r="D6536" s="21"/>
    </row>
    <row r="6537" spans="3:4">
      <c r="C6537" s="21" t="s">
        <v>10773</v>
      </c>
      <c r="D6537" s="21"/>
    </row>
    <row r="6538" spans="3:4">
      <c r="C6538" s="21" t="s">
        <v>10774</v>
      </c>
      <c r="D6538" s="21"/>
    </row>
    <row r="6539" spans="3:4">
      <c r="C6539" s="21" t="s">
        <v>10775</v>
      </c>
      <c r="D6539" s="21"/>
    </row>
    <row r="6540" spans="3:4">
      <c r="C6540" s="21" t="s">
        <v>10776</v>
      </c>
      <c r="D6540" s="21"/>
    </row>
    <row r="6541" spans="3:4">
      <c r="C6541" s="21" t="s">
        <v>10777</v>
      </c>
      <c r="D6541" s="21"/>
    </row>
    <row r="6542" spans="3:4">
      <c r="C6542" s="21" t="s">
        <v>10778</v>
      </c>
      <c r="D6542" s="21"/>
    </row>
    <row r="6543" spans="3:4">
      <c r="C6543" s="21" t="s">
        <v>10779</v>
      </c>
      <c r="D6543" s="21"/>
    </row>
    <row r="6544" spans="3:4">
      <c r="C6544" s="21" t="s">
        <v>10780</v>
      </c>
      <c r="D6544" s="21"/>
    </row>
    <row r="6545" spans="3:4">
      <c r="C6545" s="21" t="s">
        <v>10781</v>
      </c>
      <c r="D6545" s="21"/>
    </row>
    <row r="6546" spans="3:4">
      <c r="C6546" s="21" t="s">
        <v>10782</v>
      </c>
      <c r="D6546" s="21"/>
    </row>
    <row r="6547" spans="3:4">
      <c r="C6547" s="21" t="s">
        <v>10783</v>
      </c>
      <c r="D6547" s="21"/>
    </row>
    <row r="6548" spans="3:4">
      <c r="C6548" s="21" t="s">
        <v>10784</v>
      </c>
      <c r="D6548" s="21"/>
    </row>
    <row r="6549" spans="3:4">
      <c r="C6549" s="21" t="s">
        <v>10786</v>
      </c>
      <c r="D6549" s="21"/>
    </row>
    <row r="6550" spans="3:4">
      <c r="C6550" s="21" t="s">
        <v>10787</v>
      </c>
      <c r="D6550" s="21"/>
    </row>
    <row r="6551" spans="3:4">
      <c r="C6551" s="21" t="s">
        <v>10788</v>
      </c>
      <c r="D6551" s="21"/>
    </row>
    <row r="6552" spans="3:4">
      <c r="C6552" s="21" t="s">
        <v>10789</v>
      </c>
      <c r="D6552" s="21"/>
    </row>
    <row r="6553" spans="3:4">
      <c r="C6553" s="21" t="s">
        <v>10790</v>
      </c>
      <c r="D6553" s="21"/>
    </row>
    <row r="6554" spans="3:4">
      <c r="C6554" s="21" t="s">
        <v>10791</v>
      </c>
      <c r="D6554" s="21"/>
    </row>
    <row r="6555" spans="3:4">
      <c r="C6555" s="21" t="s">
        <v>10792</v>
      </c>
      <c r="D6555" s="21"/>
    </row>
    <row r="6556" spans="3:4">
      <c r="C6556" s="21" t="s">
        <v>10793</v>
      </c>
      <c r="D6556" s="21"/>
    </row>
    <row r="6557" spans="3:4">
      <c r="C6557" s="21" t="s">
        <v>10794</v>
      </c>
      <c r="D6557" s="21"/>
    </row>
    <row r="6558" spans="3:4">
      <c r="C6558" s="21" t="s">
        <v>10795</v>
      </c>
      <c r="D6558" s="21"/>
    </row>
    <row r="6559" spans="3:4">
      <c r="C6559" s="21" t="s">
        <v>10796</v>
      </c>
      <c r="D6559" s="21"/>
    </row>
    <row r="6560" spans="3:4">
      <c r="C6560" s="21" t="s">
        <v>10797</v>
      </c>
      <c r="D6560" s="21"/>
    </row>
    <row r="6561" spans="3:4">
      <c r="C6561" s="21" t="s">
        <v>10798</v>
      </c>
      <c r="D6561" s="21"/>
    </row>
    <row r="6562" spans="3:4">
      <c r="C6562" s="21" t="s">
        <v>10799</v>
      </c>
      <c r="D6562" s="21"/>
    </row>
    <row r="6563" spans="3:4">
      <c r="C6563" s="21" t="s">
        <v>10800</v>
      </c>
      <c r="D6563" s="21"/>
    </row>
    <row r="6564" spans="3:4">
      <c r="C6564" s="21" t="s">
        <v>10801</v>
      </c>
      <c r="D6564" s="21"/>
    </row>
    <row r="6565" spans="3:4">
      <c r="C6565" s="21" t="s">
        <v>10802</v>
      </c>
      <c r="D6565" s="21"/>
    </row>
    <row r="6566" spans="3:4">
      <c r="C6566" s="21" t="s">
        <v>10803</v>
      </c>
      <c r="D6566" s="21"/>
    </row>
    <row r="6567" spans="3:4">
      <c r="C6567" s="21" t="s">
        <v>10804</v>
      </c>
      <c r="D6567" s="21"/>
    </row>
    <row r="6568" spans="3:4">
      <c r="C6568" s="21" t="s">
        <v>10805</v>
      </c>
      <c r="D6568" s="21"/>
    </row>
    <row r="6569" spans="3:4">
      <c r="C6569" s="21" t="s">
        <v>10806</v>
      </c>
      <c r="D6569" s="21"/>
    </row>
    <row r="6570" spans="3:4">
      <c r="C6570" s="21" t="s">
        <v>10807</v>
      </c>
      <c r="D6570" s="21"/>
    </row>
    <row r="6571" spans="3:4">
      <c r="C6571" s="21" t="s">
        <v>10808</v>
      </c>
      <c r="D6571" s="21"/>
    </row>
    <row r="6572" spans="3:4">
      <c r="C6572" s="21" t="s">
        <v>10809</v>
      </c>
      <c r="D6572" s="21"/>
    </row>
    <row r="6573" spans="3:4">
      <c r="C6573" s="21" t="s">
        <v>10810</v>
      </c>
      <c r="D6573" s="21"/>
    </row>
    <row r="6574" spans="3:4">
      <c r="C6574" s="21" t="s">
        <v>10811</v>
      </c>
      <c r="D6574" s="21"/>
    </row>
    <row r="6575" spans="3:4">
      <c r="C6575" s="21" t="s">
        <v>10812</v>
      </c>
      <c r="D6575" s="21"/>
    </row>
    <row r="6576" spans="3:4">
      <c r="C6576" s="21" t="s">
        <v>10814</v>
      </c>
      <c r="D6576" s="21"/>
    </row>
    <row r="6577" spans="3:4">
      <c r="C6577" s="21" t="s">
        <v>10815</v>
      </c>
      <c r="D6577" s="21"/>
    </row>
    <row r="6578" spans="3:4">
      <c r="C6578" s="21" t="s">
        <v>10816</v>
      </c>
      <c r="D6578" s="21"/>
    </row>
    <row r="6579" spans="3:4">
      <c r="C6579" s="21" t="s">
        <v>10817</v>
      </c>
      <c r="D6579" s="21"/>
    </row>
    <row r="6580" spans="3:4">
      <c r="C6580" s="21" t="s">
        <v>10818</v>
      </c>
      <c r="D6580" s="21"/>
    </row>
    <row r="6581" spans="3:4">
      <c r="C6581" s="21" t="s">
        <v>10819</v>
      </c>
      <c r="D6581" s="21"/>
    </row>
    <row r="6582" spans="3:4">
      <c r="C6582" s="21" t="s">
        <v>10820</v>
      </c>
      <c r="D6582" s="21"/>
    </row>
    <row r="6583" spans="3:4">
      <c r="C6583" s="21" t="s">
        <v>10821</v>
      </c>
      <c r="D6583" s="21"/>
    </row>
    <row r="6584" spans="3:4">
      <c r="C6584" s="21" t="s">
        <v>10822</v>
      </c>
      <c r="D6584" s="21"/>
    </row>
    <row r="6585" spans="3:4">
      <c r="C6585" s="21" t="s">
        <v>10823</v>
      </c>
      <c r="D6585" s="21"/>
    </row>
    <row r="6586" spans="3:4">
      <c r="C6586" s="21" t="s">
        <v>10824</v>
      </c>
      <c r="D6586" s="21"/>
    </row>
    <row r="6587" spans="3:4">
      <c r="C6587" s="21" t="s">
        <v>10825</v>
      </c>
      <c r="D6587" s="21"/>
    </row>
    <row r="6588" spans="3:4">
      <c r="C6588" s="21" t="s">
        <v>10826</v>
      </c>
      <c r="D6588" s="21"/>
    </row>
    <row r="6589" spans="3:4">
      <c r="C6589" s="21" t="s">
        <v>10827</v>
      </c>
      <c r="D6589" s="21"/>
    </row>
    <row r="6590" spans="3:4">
      <c r="C6590" s="21" t="s">
        <v>10828</v>
      </c>
      <c r="D6590" s="21"/>
    </row>
    <row r="6591" spans="3:4">
      <c r="C6591" s="21" t="s">
        <v>10829</v>
      </c>
      <c r="D6591" s="21"/>
    </row>
    <row r="6592" spans="3:4">
      <c r="C6592" s="21" t="s">
        <v>10830</v>
      </c>
      <c r="D6592" s="21"/>
    </row>
    <row r="6593" spans="3:4">
      <c r="C6593" s="21" t="s">
        <v>10831</v>
      </c>
      <c r="D6593" s="21"/>
    </row>
    <row r="6594" spans="3:4">
      <c r="C6594" s="21" t="s">
        <v>10832</v>
      </c>
      <c r="D6594" s="21"/>
    </row>
    <row r="6595" spans="3:4">
      <c r="C6595" s="21" t="s">
        <v>10833</v>
      </c>
      <c r="D6595" s="21"/>
    </row>
    <row r="6596" spans="3:4">
      <c r="C6596" s="21" t="s">
        <v>10834</v>
      </c>
      <c r="D6596" s="21"/>
    </row>
    <row r="6597" spans="3:4">
      <c r="C6597" s="21" t="s">
        <v>10835</v>
      </c>
      <c r="D6597" s="21"/>
    </row>
    <row r="6598" spans="3:4">
      <c r="C6598" s="21" t="s">
        <v>10836</v>
      </c>
      <c r="D6598" s="21"/>
    </row>
    <row r="6599" spans="3:4">
      <c r="C6599" s="21" t="s">
        <v>10837</v>
      </c>
      <c r="D6599" s="21"/>
    </row>
    <row r="6600" spans="3:4">
      <c r="C6600" s="21" t="s">
        <v>10839</v>
      </c>
      <c r="D6600" s="21"/>
    </row>
    <row r="6601" spans="3:4">
      <c r="C6601" s="21" t="s">
        <v>10840</v>
      </c>
      <c r="D6601" s="21"/>
    </row>
    <row r="6602" spans="3:4">
      <c r="C6602" s="21" t="s">
        <v>10841</v>
      </c>
      <c r="D6602" s="21"/>
    </row>
    <row r="6603" spans="3:4">
      <c r="C6603" s="21" t="s">
        <v>10842</v>
      </c>
      <c r="D6603" s="21"/>
    </row>
    <row r="6604" spans="3:4">
      <c r="C6604" s="21" t="s">
        <v>10843</v>
      </c>
      <c r="D6604" s="21"/>
    </row>
    <row r="6605" spans="3:4">
      <c r="C6605" s="21" t="s">
        <v>10844</v>
      </c>
      <c r="D6605" s="21"/>
    </row>
    <row r="6606" spans="3:4">
      <c r="C6606" s="21" t="s">
        <v>10845</v>
      </c>
      <c r="D6606" s="21"/>
    </row>
    <row r="6607" spans="3:4">
      <c r="C6607" s="21" t="s">
        <v>10846</v>
      </c>
      <c r="D6607" s="21"/>
    </row>
    <row r="6608" spans="3:4">
      <c r="C6608" s="21" t="s">
        <v>10847</v>
      </c>
      <c r="D6608" s="21"/>
    </row>
    <row r="6609" spans="3:4">
      <c r="C6609" s="21" t="s">
        <v>10848</v>
      </c>
      <c r="D6609" s="21"/>
    </row>
    <row r="6610" spans="3:4">
      <c r="C6610" s="21" t="s">
        <v>10849</v>
      </c>
      <c r="D6610" s="21"/>
    </row>
    <row r="6611" spans="3:4">
      <c r="C6611" s="21" t="s">
        <v>10850</v>
      </c>
      <c r="D6611" s="21"/>
    </row>
    <row r="6612" spans="3:4">
      <c r="C6612" s="21" t="s">
        <v>10851</v>
      </c>
      <c r="D6612" s="21"/>
    </row>
    <row r="6613" spans="3:4">
      <c r="C6613" s="21" t="s">
        <v>10852</v>
      </c>
      <c r="D6613" s="21"/>
    </row>
    <row r="6614" spans="3:4">
      <c r="C6614" s="21" t="s">
        <v>10853</v>
      </c>
      <c r="D6614" s="21"/>
    </row>
    <row r="6615" spans="3:4">
      <c r="C6615" s="21" t="s">
        <v>10854</v>
      </c>
      <c r="D6615" s="21"/>
    </row>
    <row r="6616" spans="3:4">
      <c r="C6616" s="21" t="s">
        <v>10855</v>
      </c>
      <c r="D6616" s="21"/>
    </row>
    <row r="6617" spans="3:4">
      <c r="C6617" s="21" t="s">
        <v>10856</v>
      </c>
      <c r="D6617" s="21"/>
    </row>
    <row r="6618" spans="3:4">
      <c r="C6618" s="21" t="s">
        <v>10857</v>
      </c>
      <c r="D6618" s="21"/>
    </row>
    <row r="6619" spans="3:4">
      <c r="C6619" s="21" t="s">
        <v>10858</v>
      </c>
      <c r="D6619" s="21"/>
    </row>
    <row r="6620" spans="3:4">
      <c r="C6620" s="21" t="s">
        <v>10859</v>
      </c>
      <c r="D6620" s="21"/>
    </row>
    <row r="6621" spans="3:4">
      <c r="C6621" s="21" t="s">
        <v>10860</v>
      </c>
      <c r="D6621" s="21"/>
    </row>
    <row r="6622" spans="3:4">
      <c r="C6622" s="21" t="s">
        <v>10861</v>
      </c>
      <c r="D6622" s="21"/>
    </row>
    <row r="6623" spans="3:4">
      <c r="C6623" s="21" t="s">
        <v>10862</v>
      </c>
      <c r="D6623" s="21"/>
    </row>
    <row r="6624" spans="3:4">
      <c r="C6624" s="21" t="s">
        <v>10863</v>
      </c>
      <c r="D6624" s="21"/>
    </row>
    <row r="6625" spans="3:4">
      <c r="C6625" s="21" t="s">
        <v>10864</v>
      </c>
      <c r="D6625" s="21"/>
    </row>
    <row r="6626" spans="3:4">
      <c r="C6626" s="21" t="s">
        <v>10865</v>
      </c>
      <c r="D6626" s="21"/>
    </row>
    <row r="6627" spans="3:4">
      <c r="C6627" s="21" t="s">
        <v>10866</v>
      </c>
      <c r="D6627" s="21"/>
    </row>
    <row r="6628" spans="3:4">
      <c r="C6628" s="21" t="s">
        <v>10867</v>
      </c>
      <c r="D6628" s="21"/>
    </row>
    <row r="6629" spans="3:4">
      <c r="C6629" s="21" t="s">
        <v>10868</v>
      </c>
      <c r="D6629" s="21"/>
    </row>
    <row r="6630" spans="3:4">
      <c r="C6630" s="21" t="s">
        <v>10869</v>
      </c>
      <c r="D6630" s="21"/>
    </row>
    <row r="6631" spans="3:4">
      <c r="C6631" s="21" t="s">
        <v>10870</v>
      </c>
      <c r="D6631" s="21"/>
    </row>
    <row r="6632" spans="3:4">
      <c r="C6632" s="21" t="s">
        <v>10871</v>
      </c>
      <c r="D6632" s="21"/>
    </row>
    <row r="6633" spans="3:4">
      <c r="C6633" s="21" t="s">
        <v>10872</v>
      </c>
      <c r="D6633" s="21"/>
    </row>
    <row r="6634" spans="3:4">
      <c r="C6634" s="21" t="s">
        <v>10873</v>
      </c>
      <c r="D6634" s="21"/>
    </row>
    <row r="6635" spans="3:4">
      <c r="C6635" s="21" t="s">
        <v>10874</v>
      </c>
      <c r="D6635" s="21"/>
    </row>
    <row r="6636" spans="3:4">
      <c r="C6636" s="21" t="s">
        <v>10876</v>
      </c>
      <c r="D6636" s="21"/>
    </row>
    <row r="6637" spans="3:4">
      <c r="C6637" s="21" t="s">
        <v>10877</v>
      </c>
      <c r="D6637" s="21"/>
    </row>
    <row r="6638" spans="3:4">
      <c r="C6638" s="21" t="s">
        <v>10878</v>
      </c>
      <c r="D6638" s="21"/>
    </row>
    <row r="6639" spans="3:4">
      <c r="C6639" s="21" t="s">
        <v>10879</v>
      </c>
      <c r="D6639" s="21"/>
    </row>
    <row r="6640" spans="3:4">
      <c r="C6640" s="21" t="s">
        <v>10880</v>
      </c>
      <c r="D6640" s="21"/>
    </row>
    <row r="6641" spans="3:4">
      <c r="C6641" s="21" t="s">
        <v>10881</v>
      </c>
      <c r="D6641" s="21"/>
    </row>
    <row r="6642" spans="3:4">
      <c r="C6642" s="21" t="s">
        <v>10882</v>
      </c>
      <c r="D6642" s="21"/>
    </row>
    <row r="6643" spans="3:4">
      <c r="C6643" s="21" t="s">
        <v>10883</v>
      </c>
      <c r="D6643" s="21"/>
    </row>
    <row r="6644" spans="3:4">
      <c r="C6644" s="21" t="s">
        <v>10884</v>
      </c>
      <c r="D6644" s="21"/>
    </row>
    <row r="6645" spans="3:4">
      <c r="C6645" s="21" t="s">
        <v>10885</v>
      </c>
      <c r="D6645" s="21"/>
    </row>
    <row r="6646" spans="3:4">
      <c r="C6646" s="21" t="s">
        <v>10886</v>
      </c>
      <c r="D6646" s="21"/>
    </row>
    <row r="6647" spans="3:4">
      <c r="C6647" s="21" t="s">
        <v>10887</v>
      </c>
      <c r="D6647" s="21"/>
    </row>
    <row r="6648" spans="3:4">
      <c r="C6648" s="21" t="s">
        <v>10888</v>
      </c>
      <c r="D6648" s="21"/>
    </row>
    <row r="6649" spans="3:4">
      <c r="C6649" s="21" t="s">
        <v>10889</v>
      </c>
      <c r="D6649" s="21"/>
    </row>
    <row r="6650" spans="3:4">
      <c r="C6650" s="21" t="s">
        <v>10890</v>
      </c>
      <c r="D6650" s="21"/>
    </row>
    <row r="6651" spans="3:4">
      <c r="C6651" s="21" t="s">
        <v>10891</v>
      </c>
      <c r="D6651" s="21"/>
    </row>
    <row r="6652" spans="3:4">
      <c r="C6652" s="21" t="s">
        <v>10892</v>
      </c>
      <c r="D6652" s="21"/>
    </row>
    <row r="6653" spans="3:4">
      <c r="C6653" s="21" t="s">
        <v>10893</v>
      </c>
      <c r="D6653" s="21"/>
    </row>
    <row r="6654" spans="3:4">
      <c r="C6654" s="21" t="s">
        <v>10894</v>
      </c>
      <c r="D6654" s="21"/>
    </row>
    <row r="6655" spans="3:4">
      <c r="C6655" s="21" t="s">
        <v>10895</v>
      </c>
      <c r="D6655" s="21"/>
    </row>
    <row r="6656" spans="3:4">
      <c r="C6656" s="21" t="s">
        <v>10896</v>
      </c>
      <c r="D6656" s="21"/>
    </row>
    <row r="6657" spans="3:4">
      <c r="C6657" s="21" t="s">
        <v>10897</v>
      </c>
      <c r="D6657" s="21"/>
    </row>
    <row r="6658" spans="3:4">
      <c r="C6658" s="21" t="s">
        <v>10898</v>
      </c>
      <c r="D6658" s="21"/>
    </row>
    <row r="6659" spans="3:4">
      <c r="C6659" s="21" t="s">
        <v>10899</v>
      </c>
      <c r="D6659" s="21"/>
    </row>
    <row r="6660" spans="3:4">
      <c r="C6660" s="21" t="s">
        <v>10900</v>
      </c>
      <c r="D6660" s="21"/>
    </row>
    <row r="6661" spans="3:4">
      <c r="C6661" s="21" t="s">
        <v>10901</v>
      </c>
      <c r="D6661" s="21"/>
    </row>
    <row r="6662" spans="3:4">
      <c r="C6662" s="21" t="s">
        <v>10902</v>
      </c>
      <c r="D6662" s="21"/>
    </row>
    <row r="6663" spans="3:4">
      <c r="C6663" s="21" t="s">
        <v>10903</v>
      </c>
      <c r="D6663" s="21"/>
    </row>
    <row r="6664" spans="3:4">
      <c r="C6664" s="21" t="s">
        <v>10904</v>
      </c>
      <c r="D6664" s="21"/>
    </row>
    <row r="6665" spans="3:4">
      <c r="C6665" s="21" t="s">
        <v>10905</v>
      </c>
      <c r="D6665" s="21"/>
    </row>
    <row r="6666" spans="3:4">
      <c r="C6666" s="21" t="s">
        <v>10906</v>
      </c>
      <c r="D6666" s="21"/>
    </row>
    <row r="6667" spans="3:4">
      <c r="C6667" s="21" t="s">
        <v>10907</v>
      </c>
      <c r="D6667" s="21"/>
    </row>
    <row r="6668" spans="3:4">
      <c r="C6668" s="21" t="s">
        <v>10908</v>
      </c>
      <c r="D6668" s="21"/>
    </row>
    <row r="6669" spans="3:4">
      <c r="C6669" s="21" t="s">
        <v>10909</v>
      </c>
      <c r="D6669" s="21"/>
    </row>
    <row r="6670" spans="3:4">
      <c r="C6670" s="21" t="s">
        <v>10910</v>
      </c>
      <c r="D6670" s="21"/>
    </row>
    <row r="6671" spans="3:4">
      <c r="C6671" s="21" t="s">
        <v>10911</v>
      </c>
      <c r="D6671" s="21"/>
    </row>
    <row r="6672" spans="3:4">
      <c r="C6672" s="21" t="s">
        <v>10912</v>
      </c>
      <c r="D6672" s="21"/>
    </row>
    <row r="6673" spans="3:4">
      <c r="C6673" s="21" t="s">
        <v>10913</v>
      </c>
      <c r="D6673" s="21"/>
    </row>
    <row r="6674" spans="3:4">
      <c r="C6674" s="21" t="s">
        <v>10914</v>
      </c>
      <c r="D6674" s="21"/>
    </row>
    <row r="6675" spans="3:4">
      <c r="C6675" s="21" t="s">
        <v>10915</v>
      </c>
      <c r="D6675" s="21"/>
    </row>
    <row r="6676" spans="3:4">
      <c r="C6676" s="21" t="s">
        <v>10916</v>
      </c>
      <c r="D6676" s="21"/>
    </row>
    <row r="6677" spans="3:4">
      <c r="C6677" s="21" t="s">
        <v>10917</v>
      </c>
      <c r="D6677" s="21"/>
    </row>
    <row r="6678" spans="3:4">
      <c r="C6678" s="21" t="s">
        <v>10918</v>
      </c>
      <c r="D6678" s="21"/>
    </row>
    <row r="6679" spans="3:4">
      <c r="C6679" s="21" t="s">
        <v>10919</v>
      </c>
      <c r="D6679" s="21"/>
    </row>
    <row r="6680" spans="3:4">
      <c r="C6680" s="21" t="s">
        <v>10920</v>
      </c>
      <c r="D6680" s="21"/>
    </row>
    <row r="6681" spans="3:4">
      <c r="C6681" s="21" t="s">
        <v>10921</v>
      </c>
      <c r="D6681" s="21"/>
    </row>
    <row r="6682" spans="3:4">
      <c r="C6682" s="21" t="s">
        <v>10922</v>
      </c>
      <c r="D6682" s="21"/>
    </row>
    <row r="6683" spans="3:4">
      <c r="C6683" s="21" t="s">
        <v>10923</v>
      </c>
      <c r="D6683" s="21"/>
    </row>
    <row r="6684" spans="3:4">
      <c r="C6684" s="21" t="s">
        <v>10925</v>
      </c>
      <c r="D6684" s="21"/>
    </row>
    <row r="6685" spans="3:4">
      <c r="C6685" s="21" t="s">
        <v>10927</v>
      </c>
      <c r="D6685" s="21"/>
    </row>
    <row r="6686" spans="3:4">
      <c r="C6686" s="21" t="s">
        <v>10928</v>
      </c>
      <c r="D6686" s="21"/>
    </row>
    <row r="6687" spans="3:4">
      <c r="C6687" s="21" t="s">
        <v>10929</v>
      </c>
      <c r="D6687" s="21"/>
    </row>
    <row r="6688" spans="3:4">
      <c r="C6688" s="21" t="s">
        <v>10930</v>
      </c>
      <c r="D6688" s="21"/>
    </row>
    <row r="6689" spans="3:4">
      <c r="C6689" s="21" t="s">
        <v>10931</v>
      </c>
      <c r="D6689" s="21"/>
    </row>
    <row r="6690" spans="3:4">
      <c r="C6690" s="21" t="s">
        <v>10932</v>
      </c>
      <c r="D6690" s="21"/>
    </row>
    <row r="6691" spans="3:4">
      <c r="C6691" s="21" t="s">
        <v>10934</v>
      </c>
      <c r="D6691" s="21"/>
    </row>
    <row r="6692" spans="3:4">
      <c r="C6692" s="21" t="s">
        <v>10936</v>
      </c>
      <c r="D6692" s="21"/>
    </row>
    <row r="6693" spans="3:4">
      <c r="C6693" s="21" t="s">
        <v>10937</v>
      </c>
      <c r="D6693" s="21"/>
    </row>
    <row r="6694" spans="3:4">
      <c r="C6694" s="21" t="s">
        <v>10938</v>
      </c>
      <c r="D6694" s="21"/>
    </row>
    <row r="6695" spans="3:4">
      <c r="C6695" s="21" t="s">
        <v>10939</v>
      </c>
      <c r="D6695" s="21"/>
    </row>
    <row r="6696" spans="3:4">
      <c r="C6696" s="21" t="s">
        <v>10940</v>
      </c>
      <c r="D6696" s="21"/>
    </row>
    <row r="6697" spans="3:4">
      <c r="C6697" s="21" t="s">
        <v>10941</v>
      </c>
      <c r="D6697" s="21"/>
    </row>
    <row r="6698" spans="3:4">
      <c r="C6698" s="21" t="s">
        <v>10942</v>
      </c>
      <c r="D6698" s="21"/>
    </row>
    <row r="6699" spans="3:4">
      <c r="C6699" s="21" t="s">
        <v>10943</v>
      </c>
      <c r="D6699" s="21"/>
    </row>
    <row r="6700" spans="3:4">
      <c r="C6700" s="21" t="s">
        <v>10944</v>
      </c>
      <c r="D6700" s="21"/>
    </row>
    <row r="6701" spans="3:4">
      <c r="C6701" s="21" t="s">
        <v>10945</v>
      </c>
      <c r="D6701" s="21"/>
    </row>
    <row r="6702" spans="3:4">
      <c r="C6702" s="21" t="s">
        <v>10946</v>
      </c>
      <c r="D6702" s="21"/>
    </row>
    <row r="6703" spans="3:4">
      <c r="C6703" s="21" t="s">
        <v>10947</v>
      </c>
      <c r="D6703" s="21"/>
    </row>
    <row r="6704" spans="3:4">
      <c r="C6704" s="21" t="s">
        <v>10948</v>
      </c>
      <c r="D6704" s="21"/>
    </row>
    <row r="6705" spans="3:4">
      <c r="C6705" s="21" t="s">
        <v>10949</v>
      </c>
      <c r="D6705" s="21"/>
    </row>
    <row r="6706" spans="3:4">
      <c r="C6706" s="21" t="s">
        <v>10950</v>
      </c>
      <c r="D6706" s="21"/>
    </row>
    <row r="6707" spans="3:4">
      <c r="C6707" s="21" t="s">
        <v>10951</v>
      </c>
      <c r="D6707" s="21"/>
    </row>
    <row r="6708" spans="3:4">
      <c r="C6708" s="21" t="s">
        <v>10952</v>
      </c>
      <c r="D6708" s="21"/>
    </row>
    <row r="6709" spans="3:4">
      <c r="C6709" s="21" t="s">
        <v>10953</v>
      </c>
      <c r="D6709" s="21"/>
    </row>
    <row r="6710" spans="3:4">
      <c r="C6710" s="21" t="s">
        <v>10954</v>
      </c>
      <c r="D6710" s="21"/>
    </row>
    <row r="6711" spans="3:4">
      <c r="C6711" s="21" t="s">
        <v>10955</v>
      </c>
      <c r="D6711" s="21"/>
    </row>
    <row r="6712" spans="3:4">
      <c r="C6712" s="21" t="s">
        <v>10956</v>
      </c>
      <c r="D6712" s="21"/>
    </row>
    <row r="6713" spans="3:4">
      <c r="C6713" s="21" t="s">
        <v>10957</v>
      </c>
      <c r="D6713" s="21"/>
    </row>
    <row r="6714" spans="3:4">
      <c r="C6714" s="21" t="s">
        <v>10958</v>
      </c>
      <c r="D6714" s="21"/>
    </row>
    <row r="6715" spans="3:4">
      <c r="C6715" s="21" t="s">
        <v>10959</v>
      </c>
      <c r="D6715" s="21"/>
    </row>
    <row r="6716" spans="3:4">
      <c r="C6716" s="21" t="s">
        <v>10960</v>
      </c>
      <c r="D6716" s="21"/>
    </row>
    <row r="6717" spans="3:4">
      <c r="C6717" s="21" t="s">
        <v>10961</v>
      </c>
      <c r="D6717" s="21"/>
    </row>
    <row r="6718" spans="3:4">
      <c r="C6718" s="21" t="s">
        <v>10962</v>
      </c>
      <c r="D6718" s="21"/>
    </row>
    <row r="6719" spans="3:4">
      <c r="C6719" s="21" t="s">
        <v>10963</v>
      </c>
      <c r="D6719" s="21"/>
    </row>
    <row r="6720" spans="3:4">
      <c r="C6720" s="21" t="s">
        <v>10965</v>
      </c>
      <c r="D6720" s="21"/>
    </row>
    <row r="6721" spans="3:4">
      <c r="C6721" s="21" t="s">
        <v>10967</v>
      </c>
      <c r="D6721" s="21"/>
    </row>
    <row r="6722" spans="3:4">
      <c r="C6722" s="21" t="s">
        <v>10968</v>
      </c>
      <c r="D6722" s="21"/>
    </row>
    <row r="6723" spans="3:4">
      <c r="C6723" s="21" t="s">
        <v>10970</v>
      </c>
      <c r="D6723" s="21"/>
    </row>
    <row r="6724" spans="3:4">
      <c r="C6724" s="21" t="s">
        <v>10971</v>
      </c>
      <c r="D6724" s="21"/>
    </row>
    <row r="6725" spans="3:4">
      <c r="C6725" s="21" t="s">
        <v>10972</v>
      </c>
      <c r="D6725" s="21"/>
    </row>
    <row r="6726" spans="3:4">
      <c r="C6726" s="21" t="s">
        <v>10973</v>
      </c>
      <c r="D6726" s="21"/>
    </row>
    <row r="6727" spans="3:4">
      <c r="C6727" s="21" t="s">
        <v>10974</v>
      </c>
      <c r="D6727" s="21"/>
    </row>
    <row r="6728" spans="3:4">
      <c r="C6728" s="21" t="s">
        <v>10975</v>
      </c>
      <c r="D6728" s="21"/>
    </row>
    <row r="6729" spans="3:4">
      <c r="C6729" s="21" t="s">
        <v>10976</v>
      </c>
      <c r="D6729" s="21"/>
    </row>
    <row r="6730" spans="3:4">
      <c r="C6730" s="21" t="s">
        <v>10977</v>
      </c>
      <c r="D6730" s="21"/>
    </row>
    <row r="6731" spans="3:4">
      <c r="C6731" s="21" t="s">
        <v>10978</v>
      </c>
      <c r="D6731" s="21"/>
    </row>
    <row r="6732" spans="3:4">
      <c r="C6732" s="21" t="s">
        <v>10979</v>
      </c>
      <c r="D6732" s="21"/>
    </row>
    <row r="6733" spans="3:4">
      <c r="C6733" s="21" t="s">
        <v>10980</v>
      </c>
      <c r="D6733" s="21"/>
    </row>
    <row r="6734" spans="3:4">
      <c r="C6734" s="21" t="s">
        <v>10981</v>
      </c>
      <c r="D6734" s="21"/>
    </row>
    <row r="6735" spans="3:4">
      <c r="C6735" s="21" t="s">
        <v>10982</v>
      </c>
      <c r="D6735" s="21"/>
    </row>
    <row r="6736" spans="3:4">
      <c r="C6736" s="21" t="s">
        <v>10983</v>
      </c>
      <c r="D6736" s="21"/>
    </row>
    <row r="6737" spans="3:4">
      <c r="C6737" s="21" t="s">
        <v>10984</v>
      </c>
      <c r="D6737" s="21"/>
    </row>
    <row r="6738" spans="3:4">
      <c r="C6738" s="21" t="s">
        <v>10985</v>
      </c>
      <c r="D6738" s="21"/>
    </row>
    <row r="6739" spans="3:4">
      <c r="C6739" s="21" t="s">
        <v>10986</v>
      </c>
      <c r="D6739" s="21"/>
    </row>
    <row r="6740" spans="3:4">
      <c r="C6740" s="21" t="s">
        <v>10987</v>
      </c>
      <c r="D6740" s="21"/>
    </row>
    <row r="6741" spans="3:4">
      <c r="C6741" s="21" t="s">
        <v>10988</v>
      </c>
      <c r="D6741" s="21"/>
    </row>
    <row r="6742" spans="3:4">
      <c r="C6742" s="21" t="s">
        <v>10989</v>
      </c>
      <c r="D6742" s="21"/>
    </row>
    <row r="6743" spans="3:4">
      <c r="C6743" s="21" t="s">
        <v>10990</v>
      </c>
      <c r="D6743" s="21"/>
    </row>
    <row r="6744" spans="3:4">
      <c r="C6744" s="21" t="s">
        <v>10991</v>
      </c>
      <c r="D6744" s="21"/>
    </row>
    <row r="6745" spans="3:4">
      <c r="C6745" s="21" t="s">
        <v>10992</v>
      </c>
      <c r="D6745" s="21"/>
    </row>
    <row r="6746" spans="3:4">
      <c r="C6746" s="21" t="s">
        <v>10993</v>
      </c>
      <c r="D6746" s="21"/>
    </row>
    <row r="6747" spans="3:4">
      <c r="C6747" s="21" t="s">
        <v>10994</v>
      </c>
      <c r="D6747" s="21"/>
    </row>
    <row r="6748" spans="3:4">
      <c r="C6748" s="21" t="s">
        <v>10995</v>
      </c>
      <c r="D6748" s="21"/>
    </row>
    <row r="6749" spans="3:4">
      <c r="C6749" s="21" t="s">
        <v>10996</v>
      </c>
      <c r="D6749" s="21"/>
    </row>
    <row r="6750" spans="3:4">
      <c r="C6750" s="21" t="s">
        <v>10997</v>
      </c>
      <c r="D6750" s="21"/>
    </row>
    <row r="6751" spans="3:4">
      <c r="C6751" s="21" t="s">
        <v>10998</v>
      </c>
      <c r="D6751" s="21"/>
    </row>
    <row r="6752" spans="3:4">
      <c r="C6752" s="21" t="s">
        <v>10999</v>
      </c>
      <c r="D6752" s="21"/>
    </row>
    <row r="6753" spans="2:4">
      <c r="C6753" s="21" t="s">
        <v>11000</v>
      </c>
      <c r="D6753" s="21"/>
    </row>
    <row r="6754" spans="2:4">
      <c r="C6754" s="21" t="s">
        <v>11001</v>
      </c>
      <c r="D6754" s="21"/>
    </row>
    <row r="6755" spans="2:4">
      <c r="C6755" s="21" t="s">
        <v>11002</v>
      </c>
      <c r="D6755" s="21"/>
    </row>
    <row r="6756" spans="2:4">
      <c r="C6756" s="21" t="s">
        <v>11003</v>
      </c>
      <c r="D6756" s="21"/>
    </row>
    <row r="6757" spans="2:4">
      <c r="C6757" s="21" t="s">
        <v>11004</v>
      </c>
      <c r="D6757" s="21"/>
    </row>
    <row r="6758" spans="2:4">
      <c r="C6758" s="21" t="s">
        <v>11005</v>
      </c>
      <c r="D6758" s="21"/>
    </row>
    <row r="6759" spans="2:4">
      <c r="C6759" s="21" t="s">
        <v>11006</v>
      </c>
      <c r="D6759" s="21"/>
    </row>
    <row r="6760" spans="2:4">
      <c r="C6760" s="21" t="s">
        <v>11008</v>
      </c>
      <c r="D6760" s="21"/>
    </row>
    <row r="6761" spans="2:4">
      <c r="C6761" s="21" t="s">
        <v>11009</v>
      </c>
      <c r="D6761" s="21"/>
    </row>
    <row r="6762" spans="2:4">
      <c r="C6762" s="21" t="s">
        <v>11010</v>
      </c>
      <c r="D6762" s="21"/>
    </row>
    <row r="6763" spans="2:4">
      <c r="C6763" s="21" t="s">
        <v>11011</v>
      </c>
      <c r="D6763" s="21"/>
    </row>
    <row r="6764" spans="2:4" ht="13.8" thickBot="1">
      <c r="B6764" s="25"/>
      <c r="C6764" s="44" t="s">
        <v>11012</v>
      </c>
      <c r="D6764" s="44"/>
    </row>
    <row r="6767" spans="2:4">
      <c r="B6767" t="s">
        <v>11014</v>
      </c>
    </row>
    <row r="6768" spans="2:4" ht="13.8" thickBot="1"/>
    <row r="6769" spans="2:4">
      <c r="B6769" s="22" t="s">
        <v>11015</v>
      </c>
      <c r="C6769" s="23" t="s">
        <v>8784</v>
      </c>
      <c r="D6769" s="23" t="s">
        <v>11016</v>
      </c>
    </row>
    <row r="6770" spans="2:4">
      <c r="B6770" s="24" t="s">
        <v>8796</v>
      </c>
      <c r="C6770" s="45">
        <v>1</v>
      </c>
      <c r="D6770" s="28">
        <v>2224.7731498277526</v>
      </c>
    </row>
    <row r="6771" spans="2:4">
      <c r="B6771" t="s">
        <v>8797</v>
      </c>
      <c r="C6771" s="46">
        <v>1</v>
      </c>
      <c r="D6771" s="30">
        <v>2835.3609549264143</v>
      </c>
    </row>
    <row r="6772" spans="2:4">
      <c r="B6772" t="s">
        <v>8798</v>
      </c>
      <c r="C6772" s="46">
        <v>1</v>
      </c>
      <c r="D6772" s="30">
        <v>2810.4150566282301</v>
      </c>
    </row>
    <row r="6773" spans="2:4">
      <c r="B6773" t="s">
        <v>8799</v>
      </c>
      <c r="C6773" s="46">
        <v>1</v>
      </c>
      <c r="D6773" s="30">
        <v>1797.4617656880835</v>
      </c>
    </row>
    <row r="6774" spans="2:4">
      <c r="B6774" t="s">
        <v>8800</v>
      </c>
      <c r="C6774" s="46">
        <v>1</v>
      </c>
      <c r="D6774" s="30">
        <v>2607.1615553023207</v>
      </c>
    </row>
    <row r="6775" spans="2:4">
      <c r="B6775" t="s">
        <v>8801</v>
      </c>
      <c r="C6775" s="46">
        <v>1</v>
      </c>
      <c r="D6775" s="30">
        <v>1725.30765247112</v>
      </c>
    </row>
    <row r="6776" spans="2:4">
      <c r="B6776" t="s">
        <v>8802</v>
      </c>
      <c r="C6776" s="46">
        <v>1</v>
      </c>
      <c r="D6776" s="30">
        <v>463.55579148621359</v>
      </c>
    </row>
    <row r="6777" spans="2:4">
      <c r="B6777" t="s">
        <v>8803</v>
      </c>
      <c r="C6777" s="46">
        <v>1</v>
      </c>
      <c r="D6777" s="30">
        <v>2685.6358579160128</v>
      </c>
    </row>
    <row r="6778" spans="2:4">
      <c r="B6778" t="s">
        <v>8804</v>
      </c>
      <c r="C6778" s="46">
        <v>2</v>
      </c>
      <c r="D6778" s="30">
        <v>21618.067181649585</v>
      </c>
    </row>
    <row r="6779" spans="2:4">
      <c r="B6779" t="s">
        <v>8805</v>
      </c>
      <c r="C6779" s="46">
        <v>1</v>
      </c>
      <c r="D6779" s="30">
        <v>2209.6807700227118</v>
      </c>
    </row>
    <row r="6780" spans="2:4">
      <c r="B6780" t="s">
        <v>8806</v>
      </c>
      <c r="C6780" s="46">
        <v>1</v>
      </c>
      <c r="D6780" s="30">
        <v>1697.8410214251894</v>
      </c>
    </row>
    <row r="6781" spans="2:4">
      <c r="B6781" t="s">
        <v>8807</v>
      </c>
      <c r="C6781" s="46">
        <v>1</v>
      </c>
      <c r="D6781" s="30">
        <v>2057.2881545906312</v>
      </c>
    </row>
    <row r="6782" spans="2:4">
      <c r="B6782" t="s">
        <v>8808</v>
      </c>
      <c r="C6782" s="46">
        <v>1</v>
      </c>
      <c r="D6782" s="30">
        <v>2396.9551628946519</v>
      </c>
    </row>
    <row r="6783" spans="2:4">
      <c r="B6783" t="s">
        <v>8809</v>
      </c>
      <c r="C6783" s="46">
        <v>2</v>
      </c>
      <c r="D6783" s="30">
        <v>36488.296802612844</v>
      </c>
    </row>
    <row r="6784" spans="2:4">
      <c r="B6784" t="s">
        <v>8810</v>
      </c>
      <c r="C6784" s="46">
        <v>1</v>
      </c>
      <c r="D6784" s="30">
        <v>7655.3811415371056</v>
      </c>
    </row>
    <row r="6785" spans="2:4">
      <c r="B6785" t="s">
        <v>8811</v>
      </c>
      <c r="C6785" s="46">
        <v>1</v>
      </c>
      <c r="D6785" s="30">
        <v>2817.4362233391944</v>
      </c>
    </row>
    <row r="6786" spans="2:4">
      <c r="B6786" t="s">
        <v>8812</v>
      </c>
      <c r="C6786" s="46">
        <v>1</v>
      </c>
      <c r="D6786" s="30">
        <v>2138.5629840845731</v>
      </c>
    </row>
    <row r="6787" spans="2:4">
      <c r="B6787" t="s">
        <v>8813</v>
      </c>
      <c r="C6787" s="46">
        <v>1</v>
      </c>
      <c r="D6787" s="30">
        <v>2607.1615553023207</v>
      </c>
    </row>
    <row r="6788" spans="2:4">
      <c r="B6788" t="s">
        <v>8814</v>
      </c>
      <c r="C6788" s="46">
        <v>1</v>
      </c>
      <c r="D6788" s="30">
        <v>2847.8966856146608</v>
      </c>
    </row>
    <row r="6789" spans="2:4">
      <c r="B6789" t="s">
        <v>8815</v>
      </c>
      <c r="C6789" s="46">
        <v>1</v>
      </c>
      <c r="D6789" s="30">
        <v>9989.5502151221135</v>
      </c>
    </row>
    <row r="6790" spans="2:4">
      <c r="B6790" t="s">
        <v>8816</v>
      </c>
      <c r="C6790" s="46">
        <v>1</v>
      </c>
      <c r="D6790" s="30">
        <v>2389.3058812043846</v>
      </c>
    </row>
    <row r="6791" spans="2:4">
      <c r="B6791" t="s">
        <v>8817</v>
      </c>
      <c r="C6791" s="46">
        <v>1</v>
      </c>
      <c r="D6791" s="30">
        <v>1121.6127197048188</v>
      </c>
    </row>
    <row r="6792" spans="2:4">
      <c r="B6792" t="s">
        <v>8818</v>
      </c>
      <c r="C6792" s="46">
        <v>1</v>
      </c>
      <c r="D6792" s="30">
        <v>2607.1615553023207</v>
      </c>
    </row>
    <row r="6793" spans="2:4">
      <c r="B6793" t="s">
        <v>8819</v>
      </c>
      <c r="C6793" s="46">
        <v>1</v>
      </c>
      <c r="D6793" s="30">
        <v>901.14903139393823</v>
      </c>
    </row>
    <row r="6794" spans="2:4">
      <c r="B6794" t="s">
        <v>8820</v>
      </c>
      <c r="C6794" s="46">
        <v>1</v>
      </c>
      <c r="D6794" s="30">
        <v>2866.1977016178412</v>
      </c>
    </row>
    <row r="6795" spans="2:4">
      <c r="B6795" t="s">
        <v>8821</v>
      </c>
      <c r="C6795" s="46">
        <v>1</v>
      </c>
      <c r="D6795" s="30">
        <v>1038.3370220880856</v>
      </c>
    </row>
    <row r="6796" spans="2:4">
      <c r="B6796" t="s">
        <v>8822</v>
      </c>
      <c r="C6796" s="46">
        <v>1</v>
      </c>
      <c r="D6796" s="30">
        <v>2712.4910870624039</v>
      </c>
    </row>
    <row r="6797" spans="2:4">
      <c r="B6797" t="s">
        <v>8823</v>
      </c>
      <c r="C6797" s="46">
        <v>2</v>
      </c>
      <c r="D6797" s="30">
        <v>36488.296802612844</v>
      </c>
    </row>
    <row r="6798" spans="2:4">
      <c r="B6798" t="s">
        <v>8824</v>
      </c>
      <c r="C6798" s="46">
        <v>1</v>
      </c>
      <c r="D6798" s="30">
        <v>2607.1615553023207</v>
      </c>
    </row>
    <row r="6799" spans="2:4">
      <c r="B6799" t="s">
        <v>8825</v>
      </c>
      <c r="C6799" s="46">
        <v>1</v>
      </c>
      <c r="D6799" s="30">
        <v>859.82535366501168</v>
      </c>
    </row>
    <row r="6800" spans="2:4">
      <c r="B6800" t="s">
        <v>8826</v>
      </c>
      <c r="C6800" s="46">
        <v>1</v>
      </c>
      <c r="D6800" s="30">
        <v>2429.2519910732676</v>
      </c>
    </row>
    <row r="6801" spans="2:4">
      <c r="B6801" t="s">
        <v>8827</v>
      </c>
      <c r="C6801" s="46">
        <v>1</v>
      </c>
      <c r="D6801" s="30">
        <v>4361.6384278451442</v>
      </c>
    </row>
    <row r="6802" spans="2:4">
      <c r="B6802" t="s">
        <v>8828</v>
      </c>
      <c r="C6802" s="46">
        <v>1</v>
      </c>
      <c r="D6802" s="30">
        <v>2875.1108376357761</v>
      </c>
    </row>
    <row r="6803" spans="2:4">
      <c r="B6803" t="s">
        <v>8829</v>
      </c>
      <c r="C6803" s="46">
        <v>1</v>
      </c>
      <c r="D6803" s="30">
        <v>1406.9381223839896</v>
      </c>
    </row>
    <row r="6804" spans="2:4">
      <c r="B6804" t="s">
        <v>8830</v>
      </c>
      <c r="C6804" s="46">
        <v>1</v>
      </c>
      <c r="D6804" s="30">
        <v>1795.0962161022794</v>
      </c>
    </row>
    <row r="6805" spans="2:4">
      <c r="B6805" t="s">
        <v>8831</v>
      </c>
      <c r="C6805" s="46">
        <v>1</v>
      </c>
      <c r="D6805" s="30">
        <v>2290.6084430928977</v>
      </c>
    </row>
    <row r="6806" spans="2:4">
      <c r="B6806" t="s">
        <v>8832</v>
      </c>
      <c r="C6806" s="46">
        <v>1</v>
      </c>
      <c r="D6806" s="30">
        <v>25111.447624084984</v>
      </c>
    </row>
    <row r="6807" spans="2:4">
      <c r="B6807" t="s">
        <v>8833</v>
      </c>
      <c r="C6807" s="46">
        <v>1</v>
      </c>
      <c r="D6807" s="30">
        <v>2065.0352185109778</v>
      </c>
    </row>
    <row r="6808" spans="2:4">
      <c r="B6808" t="s">
        <v>8834</v>
      </c>
      <c r="C6808" s="46">
        <v>1</v>
      </c>
      <c r="D6808" s="30">
        <v>2882.0436500228893</v>
      </c>
    </row>
    <row r="6809" spans="2:4">
      <c r="B6809" t="s">
        <v>8835</v>
      </c>
      <c r="C6809" s="46">
        <v>1</v>
      </c>
      <c r="D6809" s="30">
        <v>8870.9679770407729</v>
      </c>
    </row>
    <row r="6810" spans="2:4">
      <c r="B6810" t="s">
        <v>8836</v>
      </c>
      <c r="C6810" s="46">
        <v>1</v>
      </c>
      <c r="D6810" s="30">
        <v>2717.1309454779498</v>
      </c>
    </row>
    <row r="6811" spans="2:4">
      <c r="B6811" t="s">
        <v>8837</v>
      </c>
      <c r="C6811" s="46">
        <v>1</v>
      </c>
      <c r="D6811" s="30">
        <v>2806.7909621518684</v>
      </c>
    </row>
    <row r="6812" spans="2:4">
      <c r="B6812" t="s">
        <v>8838</v>
      </c>
      <c r="C6812" s="46">
        <v>2</v>
      </c>
      <c r="D6812" s="30">
        <v>36488.296802612844</v>
      </c>
    </row>
    <row r="6813" spans="2:4">
      <c r="B6813" t="s">
        <v>8839</v>
      </c>
      <c r="C6813" s="46">
        <v>1</v>
      </c>
      <c r="D6813" s="30">
        <v>2363.2442685373544</v>
      </c>
    </row>
    <row r="6814" spans="2:4">
      <c r="B6814" t="s">
        <v>8840</v>
      </c>
      <c r="C6814" s="46">
        <v>1</v>
      </c>
      <c r="D6814" s="30">
        <v>10142.862617983064</v>
      </c>
    </row>
    <row r="6815" spans="2:4">
      <c r="B6815" t="s">
        <v>8841</v>
      </c>
      <c r="C6815" s="46">
        <v>1</v>
      </c>
      <c r="D6815" s="30">
        <v>16220.635765055065</v>
      </c>
    </row>
    <row r="6816" spans="2:4">
      <c r="B6816" t="s">
        <v>8842</v>
      </c>
      <c r="C6816" s="46">
        <v>1</v>
      </c>
      <c r="D6816" s="30">
        <v>1199.0773124405905</v>
      </c>
    </row>
    <row r="6817" spans="2:4">
      <c r="B6817" t="s">
        <v>8843</v>
      </c>
      <c r="C6817" s="46">
        <v>1</v>
      </c>
      <c r="D6817" s="30">
        <v>32658.814375591453</v>
      </c>
    </row>
    <row r="6818" spans="2:4">
      <c r="B6818" t="s">
        <v>8844</v>
      </c>
      <c r="C6818" s="46">
        <v>1</v>
      </c>
      <c r="D6818" s="30">
        <v>1532.0479232670414</v>
      </c>
    </row>
    <row r="6819" spans="2:4">
      <c r="B6819" t="s">
        <v>8845</v>
      </c>
      <c r="C6819" s="46">
        <v>1</v>
      </c>
      <c r="D6819" s="30">
        <v>2402.7638249603342</v>
      </c>
    </row>
    <row r="6820" spans="2:4">
      <c r="B6820" t="s">
        <v>8846</v>
      </c>
      <c r="C6820" s="46">
        <v>1</v>
      </c>
      <c r="D6820" s="30">
        <v>1162.9437052218188</v>
      </c>
    </row>
    <row r="6821" spans="2:4">
      <c r="B6821" t="s">
        <v>8847</v>
      </c>
      <c r="C6821" s="46">
        <v>1</v>
      </c>
      <c r="D6821" s="30">
        <v>2273.7310481372247</v>
      </c>
    </row>
    <row r="6822" spans="2:4">
      <c r="B6822" t="s">
        <v>8848</v>
      </c>
      <c r="C6822" s="46">
        <v>1</v>
      </c>
      <c r="D6822" s="30">
        <v>4973.8202072140239</v>
      </c>
    </row>
    <row r="6823" spans="2:4">
      <c r="B6823" t="s">
        <v>8849</v>
      </c>
      <c r="C6823" s="46">
        <v>1</v>
      </c>
      <c r="D6823" s="30">
        <v>6324.0649448731137</v>
      </c>
    </row>
    <row r="6824" spans="2:4">
      <c r="B6824" t="s">
        <v>8850</v>
      </c>
      <c r="C6824" s="46">
        <v>1</v>
      </c>
      <c r="D6824" s="30">
        <v>1910.1960241392092</v>
      </c>
    </row>
    <row r="6825" spans="2:4">
      <c r="B6825" t="s">
        <v>8851</v>
      </c>
      <c r="C6825" s="46">
        <v>1</v>
      </c>
      <c r="D6825" s="30">
        <v>2728.3323747670743</v>
      </c>
    </row>
    <row r="6826" spans="2:4">
      <c r="B6826" t="s">
        <v>8852</v>
      </c>
      <c r="C6826" s="46">
        <v>1</v>
      </c>
      <c r="D6826" s="30">
        <v>2566.6590038881886</v>
      </c>
    </row>
    <row r="6827" spans="2:4">
      <c r="B6827" t="s">
        <v>8853</v>
      </c>
      <c r="C6827" s="46">
        <v>1</v>
      </c>
      <c r="D6827" s="30">
        <v>2883.0340782983517</v>
      </c>
    </row>
    <row r="6828" spans="2:4">
      <c r="B6828" t="s">
        <v>8854</v>
      </c>
      <c r="C6828" s="46">
        <v>1</v>
      </c>
      <c r="D6828" s="30">
        <v>918.08716805993379</v>
      </c>
    </row>
    <row r="6829" spans="2:4">
      <c r="B6829" t="s">
        <v>8855</v>
      </c>
      <c r="C6829" s="46">
        <v>1</v>
      </c>
      <c r="D6829" s="30">
        <v>2811.5992319148959</v>
      </c>
    </row>
    <row r="6830" spans="2:4">
      <c r="B6830" t="s">
        <v>8856</v>
      </c>
      <c r="C6830" s="46">
        <v>1</v>
      </c>
      <c r="D6830" s="30">
        <v>2808.4881713570603</v>
      </c>
    </row>
    <row r="6831" spans="2:4">
      <c r="B6831" t="s">
        <v>8857</v>
      </c>
      <c r="C6831" s="46">
        <v>2</v>
      </c>
      <c r="D6831" s="30">
        <v>36488.296802612844</v>
      </c>
    </row>
    <row r="6832" spans="2:4">
      <c r="B6832" t="s">
        <v>8858</v>
      </c>
      <c r="C6832" s="46">
        <v>1</v>
      </c>
      <c r="D6832" s="30">
        <v>2851.3436876100891</v>
      </c>
    </row>
    <row r="6833" spans="2:4">
      <c r="B6833" t="s">
        <v>8859</v>
      </c>
      <c r="C6833" s="46">
        <v>1</v>
      </c>
      <c r="D6833" s="30">
        <v>2827.1598978891657</v>
      </c>
    </row>
    <row r="6834" spans="2:4">
      <c r="B6834" t="s">
        <v>8860</v>
      </c>
      <c r="C6834" s="46">
        <v>1</v>
      </c>
      <c r="D6834" s="30">
        <v>2336.5720645533256</v>
      </c>
    </row>
    <row r="6835" spans="2:4">
      <c r="B6835" t="s">
        <v>8861</v>
      </c>
      <c r="C6835" s="46">
        <v>1</v>
      </c>
      <c r="D6835" s="30">
        <v>387.63463244503703</v>
      </c>
    </row>
    <row r="6836" spans="2:4">
      <c r="B6836" t="s">
        <v>8862</v>
      </c>
      <c r="C6836" s="46">
        <v>1</v>
      </c>
      <c r="D6836" s="30">
        <v>2059.1424091898716</v>
      </c>
    </row>
    <row r="6837" spans="2:4">
      <c r="B6837" t="s">
        <v>8863</v>
      </c>
      <c r="C6837" s="46">
        <v>1</v>
      </c>
      <c r="D6837" s="30">
        <v>2883.0340782983517</v>
      </c>
    </row>
    <row r="6838" spans="2:4">
      <c r="B6838" t="s">
        <v>8864</v>
      </c>
      <c r="C6838" s="46">
        <v>1</v>
      </c>
      <c r="D6838" s="30">
        <v>2414.4610633827688</v>
      </c>
    </row>
    <row r="6839" spans="2:4">
      <c r="B6839" t="s">
        <v>8865</v>
      </c>
      <c r="C6839" s="46">
        <v>1</v>
      </c>
      <c r="D6839" s="30">
        <v>1526.6662263467319</v>
      </c>
    </row>
    <row r="6840" spans="2:4">
      <c r="B6840" t="s">
        <v>8866</v>
      </c>
      <c r="C6840" s="46">
        <v>1</v>
      </c>
      <c r="D6840" s="30">
        <v>2869.7446952480695</v>
      </c>
    </row>
    <row r="6841" spans="2:4">
      <c r="B6841" t="s">
        <v>8867</v>
      </c>
      <c r="C6841" s="46">
        <v>1</v>
      </c>
      <c r="D6841" s="30">
        <v>2012.3783016325531</v>
      </c>
    </row>
    <row r="6842" spans="2:4">
      <c r="B6842" t="s">
        <v>8868</v>
      </c>
      <c r="C6842" s="46">
        <v>1</v>
      </c>
      <c r="D6842" s="30">
        <v>2654.8156003062854</v>
      </c>
    </row>
    <row r="6843" spans="2:4">
      <c r="B6843" t="s">
        <v>8869</v>
      </c>
      <c r="C6843" s="46">
        <v>1</v>
      </c>
      <c r="D6843" s="30">
        <v>2513.9720657163512</v>
      </c>
    </row>
    <row r="6844" spans="2:4">
      <c r="B6844" t="s">
        <v>8870</v>
      </c>
      <c r="C6844" s="46">
        <v>1</v>
      </c>
      <c r="D6844" s="30">
        <v>2865.6109130561622</v>
      </c>
    </row>
    <row r="6845" spans="2:4">
      <c r="B6845" t="s">
        <v>8871</v>
      </c>
      <c r="C6845" s="46">
        <v>1</v>
      </c>
      <c r="D6845" s="30">
        <v>1987.6619477607794</v>
      </c>
    </row>
    <row r="6846" spans="2:4">
      <c r="B6846" t="s">
        <v>8872</v>
      </c>
      <c r="C6846" s="46">
        <v>2</v>
      </c>
      <c r="D6846" s="30">
        <v>36488.296802612844</v>
      </c>
    </row>
    <row r="6847" spans="2:4">
      <c r="B6847" t="s">
        <v>8873</v>
      </c>
      <c r="C6847" s="46">
        <v>1</v>
      </c>
      <c r="D6847" s="30">
        <v>4383.8211283720048</v>
      </c>
    </row>
    <row r="6848" spans="2:4">
      <c r="B6848" t="s">
        <v>8874</v>
      </c>
      <c r="C6848" s="46">
        <v>1</v>
      </c>
      <c r="D6848" s="30">
        <v>2884.0245131798015</v>
      </c>
    </row>
    <row r="6849" spans="2:4">
      <c r="B6849" t="s">
        <v>8875</v>
      </c>
      <c r="C6849" s="46">
        <v>1</v>
      </c>
      <c r="D6849" s="30">
        <v>2567.4638605177552</v>
      </c>
    </row>
    <row r="6850" spans="2:4">
      <c r="B6850" t="s">
        <v>8876</v>
      </c>
      <c r="C6850" s="46">
        <v>1</v>
      </c>
      <c r="D6850" s="30">
        <v>2822.63030542352</v>
      </c>
    </row>
    <row r="6851" spans="2:4">
      <c r="B6851" t="s">
        <v>8877</v>
      </c>
      <c r="C6851" s="46">
        <v>1</v>
      </c>
      <c r="D6851" s="30">
        <v>2453.7559196142211</v>
      </c>
    </row>
    <row r="6852" spans="2:4">
      <c r="B6852" t="s">
        <v>8878</v>
      </c>
      <c r="C6852" s="46">
        <v>1</v>
      </c>
      <c r="D6852" s="30">
        <v>1121.6127197048188</v>
      </c>
    </row>
    <row r="6853" spans="2:4">
      <c r="B6853" t="s">
        <v>8879</v>
      </c>
      <c r="C6853" s="46">
        <v>1</v>
      </c>
      <c r="D6853" s="30">
        <v>5409.0121547238305</v>
      </c>
    </row>
    <row r="6854" spans="2:4">
      <c r="B6854" t="s">
        <v>8880</v>
      </c>
      <c r="C6854" s="46">
        <v>1</v>
      </c>
      <c r="D6854" s="30">
        <v>2730.5688418118848</v>
      </c>
    </row>
    <row r="6855" spans="2:4">
      <c r="B6855" t="s">
        <v>8881</v>
      </c>
      <c r="C6855" s="46">
        <v>1</v>
      </c>
      <c r="D6855" s="30">
        <v>1420.6249211093434</v>
      </c>
    </row>
    <row r="6856" spans="2:4">
      <c r="B6856" t="s">
        <v>8882</v>
      </c>
      <c r="C6856" s="46">
        <v>1</v>
      </c>
      <c r="D6856" s="30">
        <v>1406.9381223839896</v>
      </c>
    </row>
    <row r="6857" spans="2:4">
      <c r="B6857" t="s">
        <v>8883</v>
      </c>
      <c r="C6857" s="46">
        <v>2</v>
      </c>
      <c r="D6857" s="30">
        <v>36488.296802612844</v>
      </c>
    </row>
    <row r="6858" spans="2:4">
      <c r="B6858" t="s">
        <v>8884</v>
      </c>
      <c r="C6858" s="46">
        <v>1</v>
      </c>
      <c r="D6858" s="30">
        <v>2129.933254667746</v>
      </c>
    </row>
    <row r="6859" spans="2:4">
      <c r="B6859" t="s">
        <v>8885</v>
      </c>
      <c r="C6859" s="46">
        <v>1</v>
      </c>
      <c r="D6859" s="30">
        <v>615.05125497627284</v>
      </c>
    </row>
    <row r="6860" spans="2:4">
      <c r="B6860" t="s">
        <v>8886</v>
      </c>
      <c r="C6860" s="46">
        <v>1</v>
      </c>
      <c r="D6860" s="30">
        <v>2360.5754040152647</v>
      </c>
    </row>
    <row r="6861" spans="2:4">
      <c r="B6861" t="s">
        <v>8887</v>
      </c>
      <c r="C6861" s="46">
        <v>1</v>
      </c>
      <c r="D6861" s="30">
        <v>2740.8957281556682</v>
      </c>
    </row>
    <row r="6862" spans="2:4">
      <c r="B6862" t="s">
        <v>8888</v>
      </c>
      <c r="C6862" s="46">
        <v>1</v>
      </c>
      <c r="D6862" s="30">
        <v>2875.1108376357761</v>
      </c>
    </row>
    <row r="6863" spans="2:4">
      <c r="B6863" t="s">
        <v>8889</v>
      </c>
      <c r="C6863" s="46">
        <v>1</v>
      </c>
      <c r="D6863" s="30">
        <v>1736.238173110766</v>
      </c>
    </row>
    <row r="6864" spans="2:4">
      <c r="B6864" t="s">
        <v>8890</v>
      </c>
      <c r="C6864" s="46">
        <v>1</v>
      </c>
      <c r="D6864" s="30">
        <v>2432.8897964965026</v>
      </c>
    </row>
    <row r="6865" spans="2:4">
      <c r="B6865" t="s">
        <v>8891</v>
      </c>
      <c r="C6865" s="46">
        <v>1</v>
      </c>
      <c r="D6865" s="30">
        <v>2699.6029218314534</v>
      </c>
    </row>
    <row r="6866" spans="2:4">
      <c r="B6866" t="s">
        <v>8892</v>
      </c>
      <c r="C6866" s="46">
        <v>1</v>
      </c>
      <c r="D6866" s="30">
        <v>2876.8157104906477</v>
      </c>
    </row>
    <row r="6867" spans="2:4">
      <c r="B6867" t="s">
        <v>8893</v>
      </c>
      <c r="C6867" s="46">
        <v>1</v>
      </c>
      <c r="D6867" s="30">
        <v>1967.3387892546484</v>
      </c>
    </row>
    <row r="6868" spans="2:4">
      <c r="B6868" t="s">
        <v>8894</v>
      </c>
      <c r="C6868" s="46">
        <v>1</v>
      </c>
      <c r="D6868" s="30">
        <v>2209.6807700227118</v>
      </c>
    </row>
    <row r="6869" spans="2:4">
      <c r="B6869" t="s">
        <v>8895</v>
      </c>
      <c r="C6869" s="46">
        <v>1</v>
      </c>
      <c r="D6869" s="30">
        <v>7655.3811415371056</v>
      </c>
    </row>
    <row r="6870" spans="2:4">
      <c r="B6870" t="s">
        <v>8896</v>
      </c>
      <c r="C6870" s="46">
        <v>1</v>
      </c>
      <c r="D6870" s="30">
        <v>2880.5035545101582</v>
      </c>
    </row>
    <row r="6871" spans="2:4">
      <c r="B6871" t="s">
        <v>8897</v>
      </c>
      <c r="C6871" s="46">
        <v>2</v>
      </c>
      <c r="D6871" s="30">
        <v>36488.296802612844</v>
      </c>
    </row>
    <row r="6872" spans="2:4">
      <c r="B6872" t="s">
        <v>8898</v>
      </c>
      <c r="C6872" s="46">
        <v>1</v>
      </c>
      <c r="D6872" s="30">
        <v>2756.3154408751411</v>
      </c>
    </row>
    <row r="6873" spans="2:4">
      <c r="B6873" t="s">
        <v>8899</v>
      </c>
      <c r="C6873" s="46">
        <v>1</v>
      </c>
      <c r="D6873" s="30">
        <v>8736.0584694991194</v>
      </c>
    </row>
    <row r="6874" spans="2:4">
      <c r="B6874" t="s">
        <v>8900</v>
      </c>
      <c r="C6874" s="46">
        <v>1</v>
      </c>
      <c r="D6874" s="30">
        <v>2807.4981589771628</v>
      </c>
    </row>
    <row r="6875" spans="2:4">
      <c r="B6875" t="s">
        <v>8901</v>
      </c>
      <c r="C6875" s="46">
        <v>1</v>
      </c>
      <c r="D6875" s="30">
        <v>2699.6029218314534</v>
      </c>
    </row>
    <row r="6876" spans="2:4">
      <c r="B6876" t="s">
        <v>8902</v>
      </c>
      <c r="C6876" s="46">
        <v>1</v>
      </c>
      <c r="D6876" s="30">
        <v>2140.0067133705056</v>
      </c>
    </row>
    <row r="6877" spans="2:4">
      <c r="B6877" t="s">
        <v>8903</v>
      </c>
      <c r="C6877" s="46">
        <v>1</v>
      </c>
      <c r="D6877" s="30">
        <v>738.58211817895335</v>
      </c>
    </row>
    <row r="6878" spans="2:4">
      <c r="B6878" t="s">
        <v>8904</v>
      </c>
      <c r="C6878" s="46">
        <v>1</v>
      </c>
      <c r="D6878" s="30">
        <v>1896.2310301546095</v>
      </c>
    </row>
    <row r="6879" spans="2:4">
      <c r="B6879" t="s">
        <v>8905</v>
      </c>
      <c r="C6879" s="46">
        <v>1</v>
      </c>
      <c r="D6879" s="30">
        <v>1295.4153926708334</v>
      </c>
    </row>
    <row r="6880" spans="2:4">
      <c r="B6880" t="s">
        <v>8906</v>
      </c>
      <c r="C6880" s="46">
        <v>2</v>
      </c>
      <c r="D6880" s="30">
        <v>36488.296802612844</v>
      </c>
    </row>
    <row r="6881" spans="2:4">
      <c r="B6881" t="s">
        <v>8907</v>
      </c>
      <c r="C6881" s="46">
        <v>1</v>
      </c>
      <c r="D6881" s="30">
        <v>6854.8559162192205</v>
      </c>
    </row>
    <row r="6882" spans="2:4">
      <c r="B6882" t="s">
        <v>8908</v>
      </c>
      <c r="C6882" s="46">
        <v>1</v>
      </c>
      <c r="D6882" s="30">
        <v>2125.7628598066694</v>
      </c>
    </row>
    <row r="6883" spans="2:4">
      <c r="B6883" t="s">
        <v>8909</v>
      </c>
      <c r="C6883" s="46">
        <v>2</v>
      </c>
      <c r="D6883" s="30">
        <v>32410.959467006731</v>
      </c>
    </row>
    <row r="6884" spans="2:4">
      <c r="B6884" t="s">
        <v>8910</v>
      </c>
      <c r="C6884" s="46">
        <v>1</v>
      </c>
      <c r="D6884" s="30">
        <v>2809.7607003434491</v>
      </c>
    </row>
    <row r="6885" spans="2:4">
      <c r="B6885" t="s">
        <v>8911</v>
      </c>
      <c r="C6885" s="46">
        <v>1</v>
      </c>
      <c r="D6885" s="30">
        <v>1076.1223816171405</v>
      </c>
    </row>
    <row r="6886" spans="2:4">
      <c r="B6886" t="s">
        <v>8912</v>
      </c>
      <c r="C6886" s="46">
        <v>1</v>
      </c>
      <c r="D6886" s="30">
        <v>2578.125850907626</v>
      </c>
    </row>
    <row r="6887" spans="2:4">
      <c r="B6887" t="s">
        <v>8913</v>
      </c>
      <c r="C6887" s="46">
        <v>1</v>
      </c>
      <c r="D6887" s="30">
        <v>2717.1309454779498</v>
      </c>
    </row>
    <row r="6888" spans="2:4">
      <c r="B6888" t="s">
        <v>8914</v>
      </c>
      <c r="C6888" s="46">
        <v>1</v>
      </c>
      <c r="D6888" s="30">
        <v>878.45758111614612</v>
      </c>
    </row>
    <row r="6889" spans="2:4">
      <c r="B6889" t="s">
        <v>8915</v>
      </c>
      <c r="C6889" s="46">
        <v>1</v>
      </c>
      <c r="D6889" s="30">
        <v>9989.5502151221135</v>
      </c>
    </row>
    <row r="6890" spans="2:4">
      <c r="B6890" t="s">
        <v>8916</v>
      </c>
      <c r="C6890" s="46">
        <v>1</v>
      </c>
      <c r="D6890" s="30">
        <v>2013.1590932654949</v>
      </c>
    </row>
    <row r="6891" spans="2:4">
      <c r="B6891" t="s">
        <v>8917</v>
      </c>
      <c r="C6891" s="46">
        <v>1</v>
      </c>
      <c r="D6891" s="30">
        <v>1697.8410214251894</v>
      </c>
    </row>
    <row r="6892" spans="2:4">
      <c r="B6892" t="s">
        <v>8918</v>
      </c>
      <c r="C6892" s="46">
        <v>1</v>
      </c>
      <c r="D6892" s="30">
        <v>2660.3681884933103</v>
      </c>
    </row>
    <row r="6893" spans="2:4">
      <c r="B6893" t="s">
        <v>8919</v>
      </c>
      <c r="C6893" s="46">
        <v>2</v>
      </c>
      <c r="D6893" s="30">
        <v>36488.296802612844</v>
      </c>
    </row>
    <row r="6894" spans="2:4">
      <c r="B6894" t="s">
        <v>8920</v>
      </c>
      <c r="C6894" s="46">
        <v>1</v>
      </c>
      <c r="D6894" s="30">
        <v>2149.3591334643538</v>
      </c>
    </row>
    <row r="6895" spans="2:4">
      <c r="B6895" t="s">
        <v>8921</v>
      </c>
      <c r="C6895" s="46">
        <v>1</v>
      </c>
      <c r="D6895" s="30">
        <v>2079.9900679326124</v>
      </c>
    </row>
    <row r="6896" spans="2:4">
      <c r="B6896" t="s">
        <v>8922</v>
      </c>
      <c r="C6896" s="46">
        <v>1</v>
      </c>
      <c r="D6896" s="30">
        <v>1532.0479232670414</v>
      </c>
    </row>
    <row r="6897" spans="2:4">
      <c r="B6897" t="s">
        <v>8923</v>
      </c>
      <c r="C6897" s="46">
        <v>1</v>
      </c>
      <c r="D6897" s="30">
        <v>1922.0787975710978</v>
      </c>
    </row>
    <row r="6898" spans="2:4">
      <c r="B6898" t="s">
        <v>8924</v>
      </c>
      <c r="C6898" s="46">
        <v>1</v>
      </c>
      <c r="D6898" s="30">
        <v>2645.3876302324529</v>
      </c>
    </row>
    <row r="6899" spans="2:4">
      <c r="B6899" t="s">
        <v>8925</v>
      </c>
      <c r="C6899" s="46">
        <v>1</v>
      </c>
      <c r="D6899" s="30">
        <v>2065.0352185109778</v>
      </c>
    </row>
    <row r="6900" spans="2:4">
      <c r="B6900" t="s">
        <v>8926</v>
      </c>
      <c r="C6900" s="46">
        <v>1</v>
      </c>
      <c r="D6900" s="30">
        <v>2257.6054990159078</v>
      </c>
    </row>
    <row r="6901" spans="2:4">
      <c r="B6901" t="s">
        <v>8927</v>
      </c>
      <c r="C6901" s="46">
        <v>2</v>
      </c>
      <c r="D6901" s="30">
        <v>21618.067181649585</v>
      </c>
    </row>
    <row r="6902" spans="2:4">
      <c r="B6902" t="s">
        <v>8928</v>
      </c>
      <c r="C6902" s="46">
        <v>1</v>
      </c>
      <c r="D6902" s="30">
        <v>2636.6405508772682</v>
      </c>
    </row>
    <row r="6903" spans="2:4">
      <c r="B6903" t="s">
        <v>8929</v>
      </c>
      <c r="C6903" s="46">
        <v>1</v>
      </c>
      <c r="D6903" s="30">
        <v>2875.6877424120012</v>
      </c>
    </row>
    <row r="6904" spans="2:4">
      <c r="B6904" t="s">
        <v>8930</v>
      </c>
      <c r="C6904" s="46">
        <v>1</v>
      </c>
      <c r="D6904" s="30">
        <v>463.55579148621359</v>
      </c>
    </row>
    <row r="6905" spans="2:4">
      <c r="B6905" t="s">
        <v>8931</v>
      </c>
      <c r="C6905" s="46">
        <v>1</v>
      </c>
      <c r="D6905" s="30">
        <v>2876.8157104906477</v>
      </c>
    </row>
    <row r="6906" spans="2:4">
      <c r="B6906" t="s">
        <v>8932</v>
      </c>
      <c r="C6906" s="46">
        <v>1</v>
      </c>
      <c r="D6906" s="30">
        <v>2603.8705963445041</v>
      </c>
    </row>
    <row r="6907" spans="2:4">
      <c r="B6907" t="s">
        <v>8933</v>
      </c>
      <c r="C6907" s="46">
        <v>1</v>
      </c>
      <c r="D6907" s="30">
        <v>2875.6877424120012</v>
      </c>
    </row>
    <row r="6908" spans="2:4">
      <c r="B6908" t="s">
        <v>8934</v>
      </c>
      <c r="C6908" s="46">
        <v>2</v>
      </c>
      <c r="D6908" s="30">
        <v>36488.296802612844</v>
      </c>
    </row>
    <row r="6909" spans="2:4">
      <c r="B6909" t="s">
        <v>8935</v>
      </c>
      <c r="C6909" s="46">
        <v>1</v>
      </c>
      <c r="D6909" s="30">
        <v>7655.3811415371056</v>
      </c>
    </row>
    <row r="6910" spans="2:4">
      <c r="B6910" t="s">
        <v>8936</v>
      </c>
      <c r="C6910" s="46">
        <v>1</v>
      </c>
      <c r="D6910" s="30">
        <v>2231.6496746766902</v>
      </c>
    </row>
    <row r="6911" spans="2:4">
      <c r="B6911" t="s">
        <v>8937</v>
      </c>
      <c r="C6911" s="46">
        <v>1</v>
      </c>
      <c r="D6911" s="30">
        <v>1083.4141317104456</v>
      </c>
    </row>
    <row r="6912" spans="2:4">
      <c r="B6912" t="s">
        <v>8938</v>
      </c>
      <c r="C6912" s="46">
        <v>1</v>
      </c>
      <c r="D6912" s="30">
        <v>2737.0813931864236</v>
      </c>
    </row>
    <row r="6913" spans="2:4">
      <c r="B6913" t="s">
        <v>8939</v>
      </c>
      <c r="C6913" s="46">
        <v>1</v>
      </c>
      <c r="D6913" s="30">
        <v>1532.0479232670414</v>
      </c>
    </row>
    <row r="6914" spans="2:4">
      <c r="B6914" t="s">
        <v>8940</v>
      </c>
      <c r="C6914" s="46">
        <v>1</v>
      </c>
      <c r="D6914" s="30">
        <v>2856.4557996193894</v>
      </c>
    </row>
    <row r="6915" spans="2:4">
      <c r="B6915" t="s">
        <v>8941</v>
      </c>
      <c r="C6915" s="46">
        <v>1</v>
      </c>
      <c r="D6915" s="30">
        <v>301.43469357752014</v>
      </c>
    </row>
    <row r="6916" spans="2:4">
      <c r="B6916" t="s">
        <v>8942</v>
      </c>
      <c r="C6916" s="46">
        <v>1</v>
      </c>
      <c r="D6916" s="30">
        <v>2095.9016586784282</v>
      </c>
    </row>
    <row r="6917" spans="2:4">
      <c r="B6917" t="s">
        <v>8943</v>
      </c>
      <c r="C6917" s="46">
        <v>2</v>
      </c>
      <c r="D6917" s="30">
        <v>36488.296802612844</v>
      </c>
    </row>
    <row r="6918" spans="2:4">
      <c r="B6918" t="s">
        <v>8944</v>
      </c>
      <c r="C6918" s="46">
        <v>1</v>
      </c>
      <c r="D6918" s="30">
        <v>463.55579148621359</v>
      </c>
    </row>
    <row r="6919" spans="2:4">
      <c r="B6919" t="s">
        <v>8945</v>
      </c>
      <c r="C6919" s="46">
        <v>1</v>
      </c>
      <c r="D6919" s="30">
        <v>2723.926779953098</v>
      </c>
    </row>
    <row r="6920" spans="2:4">
      <c r="B6920" t="s">
        <v>8946</v>
      </c>
      <c r="C6920" s="46">
        <v>1</v>
      </c>
      <c r="D6920" s="30">
        <v>2601.5896682553789</v>
      </c>
    </row>
    <row r="6921" spans="2:4">
      <c r="B6921" t="s">
        <v>8947</v>
      </c>
      <c r="C6921" s="46">
        <v>1</v>
      </c>
      <c r="D6921" s="30">
        <v>1772.9781169315531</v>
      </c>
    </row>
    <row r="6922" spans="2:4">
      <c r="B6922" t="s">
        <v>8948</v>
      </c>
      <c r="C6922" s="46">
        <v>1</v>
      </c>
      <c r="D6922" s="30">
        <v>2862.5930433339859</v>
      </c>
    </row>
    <row r="6923" spans="2:4">
      <c r="B6923" t="s">
        <v>8949</v>
      </c>
      <c r="C6923" s="46">
        <v>1</v>
      </c>
      <c r="D6923" s="30">
        <v>2088.3691456309884</v>
      </c>
    </row>
    <row r="6924" spans="2:4">
      <c r="B6924" t="s">
        <v>8950</v>
      </c>
      <c r="C6924" s="46">
        <v>1</v>
      </c>
      <c r="D6924" s="30">
        <v>1776.5314115890073</v>
      </c>
    </row>
    <row r="6925" spans="2:4">
      <c r="B6925" t="s">
        <v>8951</v>
      </c>
      <c r="C6925" s="46">
        <v>1</v>
      </c>
      <c r="D6925" s="30">
        <v>32658.814375591453</v>
      </c>
    </row>
    <row r="6926" spans="2:4">
      <c r="B6926" t="s">
        <v>8952</v>
      </c>
      <c r="C6926" s="46">
        <v>1</v>
      </c>
      <c r="D6926" s="30">
        <v>1806.5347481429544</v>
      </c>
    </row>
    <row r="6927" spans="2:4">
      <c r="B6927" t="s">
        <v>8953</v>
      </c>
      <c r="C6927" s="46">
        <v>1</v>
      </c>
      <c r="D6927" s="30">
        <v>2727.5954974969254</v>
      </c>
    </row>
    <row r="6928" spans="2:4">
      <c r="B6928" t="s">
        <v>8954</v>
      </c>
      <c r="C6928" s="46">
        <v>1</v>
      </c>
      <c r="D6928" s="30">
        <v>2712.7836968587449</v>
      </c>
    </row>
    <row r="6929" spans="2:4">
      <c r="B6929" t="s">
        <v>8955</v>
      </c>
      <c r="C6929" s="46">
        <v>2</v>
      </c>
      <c r="D6929" s="30">
        <v>36488.296802612844</v>
      </c>
    </row>
    <row r="6930" spans="2:4">
      <c r="B6930" t="s">
        <v>8956</v>
      </c>
      <c r="C6930" s="46">
        <v>1</v>
      </c>
      <c r="D6930" s="30">
        <v>6097.8459403372499</v>
      </c>
    </row>
    <row r="6931" spans="2:4">
      <c r="B6931" t="s">
        <v>8957</v>
      </c>
      <c r="C6931" s="46">
        <v>1</v>
      </c>
      <c r="D6931" s="30">
        <v>840.08366283417718</v>
      </c>
    </row>
    <row r="6932" spans="2:4">
      <c r="B6932" t="s">
        <v>8958</v>
      </c>
      <c r="C6932" s="46">
        <v>1</v>
      </c>
      <c r="D6932" s="30">
        <v>1822.5221473402114</v>
      </c>
    </row>
    <row r="6933" spans="2:4">
      <c r="B6933" t="s">
        <v>8959</v>
      </c>
      <c r="C6933" s="46">
        <v>1</v>
      </c>
      <c r="D6933" s="30">
        <v>2712.7836968587449</v>
      </c>
    </row>
    <row r="6934" spans="2:4">
      <c r="B6934" t="s">
        <v>8960</v>
      </c>
      <c r="C6934" s="46">
        <v>1</v>
      </c>
      <c r="D6934" s="30">
        <v>1388.0282295055849</v>
      </c>
    </row>
    <row r="6935" spans="2:4">
      <c r="B6935" t="s">
        <v>8961</v>
      </c>
      <c r="C6935" s="46">
        <v>1</v>
      </c>
      <c r="D6935" s="30">
        <v>8267.968238878906</v>
      </c>
    </row>
    <row r="6936" spans="2:4">
      <c r="B6936" t="s">
        <v>8962</v>
      </c>
      <c r="C6936" s="46">
        <v>1</v>
      </c>
      <c r="D6936" s="30">
        <v>14835.04247995689</v>
      </c>
    </row>
    <row r="6937" spans="2:4">
      <c r="B6937" t="s">
        <v>8963</v>
      </c>
      <c r="C6937" s="46">
        <v>1</v>
      </c>
      <c r="D6937" s="30">
        <v>2316.0634983326786</v>
      </c>
    </row>
    <row r="6938" spans="2:4">
      <c r="B6938" t="s">
        <v>8964</v>
      </c>
      <c r="C6938" s="46">
        <v>1</v>
      </c>
      <c r="D6938" s="30">
        <v>2747.265367852297</v>
      </c>
    </row>
    <row r="6939" spans="2:4">
      <c r="B6939" t="s">
        <v>8965</v>
      </c>
      <c r="C6939" s="46">
        <v>2</v>
      </c>
      <c r="D6939" s="30">
        <v>25405.358285305603</v>
      </c>
    </row>
    <row r="6940" spans="2:4">
      <c r="B6940" t="s">
        <v>8966</v>
      </c>
      <c r="C6940" s="46">
        <v>1</v>
      </c>
      <c r="D6940" s="30">
        <v>2630.4818918348105</v>
      </c>
    </row>
    <row r="6941" spans="2:4">
      <c r="B6941" t="s">
        <v>8967</v>
      </c>
      <c r="C6941" s="46">
        <v>1</v>
      </c>
      <c r="D6941" s="30">
        <v>2884.0245131798015</v>
      </c>
    </row>
    <row r="6942" spans="2:4">
      <c r="B6942" t="s">
        <v>8968</v>
      </c>
      <c r="C6942" s="46">
        <v>1</v>
      </c>
      <c r="D6942" s="30">
        <v>2699.8917430353645</v>
      </c>
    </row>
    <row r="6943" spans="2:4">
      <c r="B6943" t="s">
        <v>8969</v>
      </c>
      <c r="C6943" s="46">
        <v>1</v>
      </c>
      <c r="D6943" s="30">
        <v>2508.0474818567409</v>
      </c>
    </row>
    <row r="6944" spans="2:4">
      <c r="B6944" t="s">
        <v>8970</v>
      </c>
      <c r="C6944" s="46">
        <v>2</v>
      </c>
      <c r="D6944" s="30">
        <v>36488.296802612844</v>
      </c>
    </row>
    <row r="6945" spans="2:4">
      <c r="B6945" t="s">
        <v>8971</v>
      </c>
      <c r="C6945" s="46">
        <v>1</v>
      </c>
      <c r="D6945" s="30">
        <v>2884.0245131798015</v>
      </c>
    </row>
    <row r="6946" spans="2:4">
      <c r="B6946" t="s">
        <v>8972</v>
      </c>
      <c r="C6946" s="46">
        <v>1</v>
      </c>
      <c r="D6946" s="30">
        <v>5303.8136305980843</v>
      </c>
    </row>
    <row r="6947" spans="2:4">
      <c r="B6947" t="s">
        <v>8973</v>
      </c>
      <c r="C6947" s="46">
        <v>1</v>
      </c>
      <c r="D6947" s="30">
        <v>2580.4771748407106</v>
      </c>
    </row>
    <row r="6948" spans="2:4">
      <c r="B6948" t="s">
        <v>8974</v>
      </c>
      <c r="C6948" s="46">
        <v>1</v>
      </c>
      <c r="D6948" s="30">
        <v>2698.9358721632252</v>
      </c>
    </row>
    <row r="6949" spans="2:4">
      <c r="B6949" t="s">
        <v>8975</v>
      </c>
      <c r="C6949" s="46">
        <v>1</v>
      </c>
      <c r="D6949" s="30">
        <v>2038.6681946996491</v>
      </c>
    </row>
    <row r="6950" spans="2:4">
      <c r="B6950" t="s">
        <v>8976</v>
      </c>
      <c r="C6950" s="46">
        <v>1</v>
      </c>
      <c r="D6950" s="30">
        <v>2819.6602903750968</v>
      </c>
    </row>
    <row r="6951" spans="2:4">
      <c r="B6951" t="s">
        <v>8977</v>
      </c>
      <c r="C6951" s="46">
        <v>1</v>
      </c>
      <c r="D6951" s="30">
        <v>2538.9480802990138</v>
      </c>
    </row>
    <row r="6952" spans="2:4">
      <c r="B6952" t="s">
        <v>8978</v>
      </c>
      <c r="C6952" s="46">
        <v>1</v>
      </c>
      <c r="D6952" s="30">
        <v>2343.1068385660437</v>
      </c>
    </row>
    <row r="6953" spans="2:4">
      <c r="B6953" t="s">
        <v>8979</v>
      </c>
      <c r="C6953" s="46">
        <v>1</v>
      </c>
      <c r="D6953" s="30">
        <v>2168.1288562001</v>
      </c>
    </row>
    <row r="6954" spans="2:4">
      <c r="B6954" t="s">
        <v>8980</v>
      </c>
      <c r="C6954" s="46">
        <v>1</v>
      </c>
      <c r="D6954" s="30">
        <v>767.64502351395868</v>
      </c>
    </row>
    <row r="6955" spans="2:4">
      <c r="B6955" t="s">
        <v>8981</v>
      </c>
      <c r="C6955" s="46">
        <v>1</v>
      </c>
      <c r="D6955" s="30">
        <v>2578.4908527540852</v>
      </c>
    </row>
    <row r="6956" spans="2:4">
      <c r="B6956" t="s">
        <v>8982</v>
      </c>
      <c r="C6956" s="46">
        <v>1</v>
      </c>
      <c r="D6956" s="30">
        <v>2883.6121722238527</v>
      </c>
    </row>
    <row r="6957" spans="2:4">
      <c r="B6957" t="s">
        <v>8983</v>
      </c>
      <c r="C6957" s="46">
        <v>2</v>
      </c>
      <c r="D6957" s="30">
        <v>36488.296802612844</v>
      </c>
    </row>
    <row r="6958" spans="2:4">
      <c r="B6958" t="s">
        <v>8984</v>
      </c>
      <c r="C6958" s="46">
        <v>1</v>
      </c>
      <c r="D6958" s="30">
        <v>2819.6602903750968</v>
      </c>
    </row>
    <row r="6959" spans="2:4">
      <c r="B6959" t="s">
        <v>8985</v>
      </c>
      <c r="C6959" s="46">
        <v>1</v>
      </c>
      <c r="D6959" s="30">
        <v>2846.3926898641494</v>
      </c>
    </row>
    <row r="6960" spans="2:4">
      <c r="B6960" t="s">
        <v>8986</v>
      </c>
      <c r="C6960" s="46">
        <v>1</v>
      </c>
      <c r="D6960" s="30">
        <v>2800.8516792688633</v>
      </c>
    </row>
    <row r="6961" spans="2:4">
      <c r="B6961" t="s">
        <v>8987</v>
      </c>
      <c r="C6961" s="46">
        <v>1</v>
      </c>
      <c r="D6961" s="30">
        <v>2435.6912172110578</v>
      </c>
    </row>
    <row r="6962" spans="2:4">
      <c r="B6962" t="s">
        <v>8988</v>
      </c>
      <c r="C6962" s="46">
        <v>1</v>
      </c>
      <c r="D6962" s="30">
        <v>2858.7766681946946</v>
      </c>
    </row>
    <row r="6963" spans="2:4">
      <c r="B6963" t="s">
        <v>8989</v>
      </c>
      <c r="C6963" s="46">
        <v>1</v>
      </c>
      <c r="D6963" s="30">
        <v>2241.0495535778423</v>
      </c>
    </row>
    <row r="6964" spans="2:4">
      <c r="B6964" t="s">
        <v>8990</v>
      </c>
      <c r="C6964" s="46">
        <v>1</v>
      </c>
      <c r="D6964" s="30">
        <v>1933.7275802072113</v>
      </c>
    </row>
    <row r="6965" spans="2:4">
      <c r="B6965" t="s">
        <v>8991</v>
      </c>
      <c r="C6965" s="46">
        <v>1</v>
      </c>
      <c r="D6965" s="30">
        <v>1852.9709642977061</v>
      </c>
    </row>
    <row r="6966" spans="2:4">
      <c r="B6966" t="s">
        <v>8992</v>
      </c>
      <c r="C6966" s="46">
        <v>1</v>
      </c>
      <c r="D6966" s="30">
        <v>32658.814375591453</v>
      </c>
    </row>
    <row r="6967" spans="2:4">
      <c r="B6967" t="s">
        <v>8993</v>
      </c>
      <c r="C6967" s="46">
        <v>1</v>
      </c>
      <c r="D6967" s="30">
        <v>2657.7949750240723</v>
      </c>
    </row>
    <row r="6968" spans="2:4">
      <c r="B6968" t="s">
        <v>8994</v>
      </c>
      <c r="C6968" s="46">
        <v>1</v>
      </c>
      <c r="D6968" s="30">
        <v>17298.591847515643</v>
      </c>
    </row>
    <row r="6969" spans="2:4">
      <c r="B6969" t="s">
        <v>8995</v>
      </c>
      <c r="C6969" s="46">
        <v>1</v>
      </c>
      <c r="D6969" s="30">
        <v>1748.0043344105748</v>
      </c>
    </row>
    <row r="6970" spans="2:4">
      <c r="B6970" t="s">
        <v>8996</v>
      </c>
      <c r="C6970" s="46">
        <v>1</v>
      </c>
      <c r="D6970" s="30">
        <v>1748.0043344105748</v>
      </c>
    </row>
    <row r="6971" spans="2:4">
      <c r="B6971" t="s">
        <v>8997</v>
      </c>
      <c r="C6971" s="46">
        <v>1</v>
      </c>
      <c r="D6971" s="30">
        <v>2726.1222138550388</v>
      </c>
    </row>
    <row r="6972" spans="2:4">
      <c r="B6972" t="s">
        <v>8998</v>
      </c>
      <c r="C6972" s="46">
        <v>1</v>
      </c>
      <c r="D6972" s="30">
        <v>2705.7127286024333</v>
      </c>
    </row>
    <row r="6973" spans="2:4">
      <c r="B6973" t="s">
        <v>8999</v>
      </c>
      <c r="C6973" s="46">
        <v>2</v>
      </c>
      <c r="D6973" s="30">
        <v>63806.322752618289</v>
      </c>
    </row>
    <row r="6974" spans="2:4">
      <c r="B6974" t="s">
        <v>9000</v>
      </c>
      <c r="C6974" s="46">
        <v>1</v>
      </c>
      <c r="D6974" s="30">
        <v>2308.9812704146821</v>
      </c>
    </row>
    <row r="6975" spans="2:4">
      <c r="B6975" t="s">
        <v>9001</v>
      </c>
      <c r="C6975" s="46">
        <v>1</v>
      </c>
      <c r="D6975" s="30">
        <v>2884.0245131798015</v>
      </c>
    </row>
    <row r="6976" spans="2:4">
      <c r="B6976" t="s">
        <v>9002</v>
      </c>
      <c r="C6976" s="46">
        <v>1</v>
      </c>
      <c r="D6976" s="30">
        <v>1442.271542649466</v>
      </c>
    </row>
    <row r="6977" spans="2:4">
      <c r="B6977" t="s">
        <v>9003</v>
      </c>
      <c r="C6977" s="46">
        <v>1</v>
      </c>
      <c r="D6977" s="30">
        <v>3804.4389299883878</v>
      </c>
    </row>
    <row r="6978" spans="2:4">
      <c r="B6978" t="s">
        <v>9004</v>
      </c>
      <c r="C6978" s="46">
        <v>1</v>
      </c>
      <c r="D6978" s="30">
        <v>2424.4486955895045</v>
      </c>
    </row>
    <row r="6979" spans="2:4">
      <c r="B6979" t="s">
        <v>9005</v>
      </c>
      <c r="C6979" s="46">
        <v>2</v>
      </c>
      <c r="D6979" s="30">
        <v>12497.921238880854</v>
      </c>
    </row>
    <row r="6980" spans="2:4">
      <c r="B6980" t="s">
        <v>9006</v>
      </c>
      <c r="C6980" s="46">
        <v>1</v>
      </c>
      <c r="D6980" s="30">
        <v>8224.1818353641265</v>
      </c>
    </row>
    <row r="6981" spans="2:4">
      <c r="B6981" t="s">
        <v>9007</v>
      </c>
      <c r="C6981" s="46">
        <v>2</v>
      </c>
      <c r="D6981" s="30">
        <v>29990.536261089048</v>
      </c>
    </row>
    <row r="6982" spans="2:4">
      <c r="B6982" t="s">
        <v>9008</v>
      </c>
      <c r="C6982" s="46">
        <v>1</v>
      </c>
      <c r="D6982" s="30">
        <v>2772.8522414523522</v>
      </c>
    </row>
    <row r="6983" spans="2:4">
      <c r="B6983" t="s">
        <v>9009</v>
      </c>
      <c r="C6983" s="46">
        <v>1</v>
      </c>
      <c r="D6983" s="30">
        <v>2802.1436233609802</v>
      </c>
    </row>
    <row r="6984" spans="2:4">
      <c r="B6984" t="s">
        <v>9010</v>
      </c>
      <c r="C6984" s="46">
        <v>1</v>
      </c>
      <c r="D6984" s="30">
        <v>2065.0352185109778</v>
      </c>
    </row>
    <row r="6985" spans="2:4">
      <c r="B6985" t="s">
        <v>9011</v>
      </c>
      <c r="C6985" s="46">
        <v>1</v>
      </c>
      <c r="D6985" s="30">
        <v>5921.7054238116625</v>
      </c>
    </row>
    <row r="6986" spans="2:4">
      <c r="B6986" t="s">
        <v>9012</v>
      </c>
      <c r="C6986" s="46">
        <v>1</v>
      </c>
      <c r="D6986" s="30">
        <v>7051.451653877587</v>
      </c>
    </row>
    <row r="6987" spans="2:4">
      <c r="B6987" t="s">
        <v>9013</v>
      </c>
      <c r="C6987" s="46">
        <v>1</v>
      </c>
      <c r="D6987" s="30">
        <v>2861.7958381651806</v>
      </c>
    </row>
    <row r="6988" spans="2:4">
      <c r="B6988" t="s">
        <v>9014</v>
      </c>
      <c r="C6988" s="46">
        <v>1</v>
      </c>
      <c r="D6988" s="30">
        <v>4973.8202072140239</v>
      </c>
    </row>
    <row r="6989" spans="2:4">
      <c r="B6989" t="s">
        <v>9015</v>
      </c>
      <c r="C6989" s="46">
        <v>2</v>
      </c>
      <c r="D6989" s="30">
        <v>21618.067181649585</v>
      </c>
    </row>
    <row r="6990" spans="2:4">
      <c r="B6990" t="s">
        <v>9016</v>
      </c>
      <c r="C6990" s="46">
        <v>1</v>
      </c>
      <c r="D6990" s="30">
        <v>2884.0245131798015</v>
      </c>
    </row>
    <row r="6991" spans="2:4">
      <c r="B6991" t="s">
        <v>9017</v>
      </c>
      <c r="C6991" s="46">
        <v>1</v>
      </c>
      <c r="D6991" s="30">
        <v>2324.8833165475021</v>
      </c>
    </row>
    <row r="6992" spans="2:4">
      <c r="B6992" t="s">
        <v>9018</v>
      </c>
      <c r="C6992" s="46">
        <v>1</v>
      </c>
      <c r="D6992" s="30">
        <v>2233.5123963148731</v>
      </c>
    </row>
    <row r="6993" spans="2:4">
      <c r="B6993" t="s">
        <v>9019</v>
      </c>
      <c r="C6993" s="46">
        <v>1</v>
      </c>
      <c r="D6993" s="30">
        <v>390.29176240027675</v>
      </c>
    </row>
    <row r="6994" spans="2:4">
      <c r="B6994" t="s">
        <v>9020</v>
      </c>
      <c r="C6994" s="46">
        <v>1</v>
      </c>
      <c r="D6994" s="30">
        <v>2870.1590284736594</v>
      </c>
    </row>
    <row r="6995" spans="2:4">
      <c r="B6995" t="s">
        <v>9021</v>
      </c>
      <c r="C6995" s="46">
        <v>1</v>
      </c>
      <c r="D6995" s="30">
        <v>2041.9746695340893</v>
      </c>
    </row>
    <row r="6996" spans="2:4">
      <c r="B6996" t="s">
        <v>9022</v>
      </c>
      <c r="C6996" s="46">
        <v>1</v>
      </c>
      <c r="D6996" s="30">
        <v>1430.8771896759497</v>
      </c>
    </row>
    <row r="6997" spans="2:4">
      <c r="B6997" t="s">
        <v>9023</v>
      </c>
      <c r="C6997" s="46">
        <v>1</v>
      </c>
      <c r="D6997" s="30">
        <v>2643.0044331503727</v>
      </c>
    </row>
    <row r="6998" spans="2:4">
      <c r="B6998" t="s">
        <v>9024</v>
      </c>
      <c r="C6998" s="46">
        <v>1</v>
      </c>
      <c r="D6998" s="30">
        <v>2828.4300367473584</v>
      </c>
    </row>
    <row r="6999" spans="2:4">
      <c r="B6999" t="s">
        <v>9025</v>
      </c>
      <c r="C6999" s="46">
        <v>1</v>
      </c>
      <c r="D6999" s="30">
        <v>2744.8215873254758</v>
      </c>
    </row>
    <row r="7000" spans="2:4">
      <c r="B7000" t="s">
        <v>9026</v>
      </c>
      <c r="C7000" s="46">
        <v>1</v>
      </c>
      <c r="D7000" s="30">
        <v>2427.0794229393427</v>
      </c>
    </row>
    <row r="7001" spans="2:4">
      <c r="B7001" t="s">
        <v>9027</v>
      </c>
      <c r="C7001" s="46">
        <v>1</v>
      </c>
      <c r="D7001" s="30">
        <v>2292.708301629852</v>
      </c>
    </row>
    <row r="7002" spans="2:4">
      <c r="B7002" t="s">
        <v>9028</v>
      </c>
      <c r="C7002" s="46">
        <v>1</v>
      </c>
      <c r="D7002" s="30">
        <v>2034.605790509466</v>
      </c>
    </row>
    <row r="7003" spans="2:4">
      <c r="B7003" t="s">
        <v>9029</v>
      </c>
      <c r="C7003" s="46">
        <v>1</v>
      </c>
      <c r="D7003" s="30">
        <v>2086.8119797902141</v>
      </c>
    </row>
    <row r="7004" spans="2:4">
      <c r="B7004" t="s">
        <v>9030</v>
      </c>
      <c r="C7004" s="46">
        <v>1</v>
      </c>
      <c r="D7004" s="30">
        <v>1576.1954198006651</v>
      </c>
    </row>
    <row r="7005" spans="2:4">
      <c r="B7005" t="s">
        <v>9031</v>
      </c>
      <c r="C7005" s="46">
        <v>1</v>
      </c>
      <c r="D7005" s="30">
        <v>657.48213155109738</v>
      </c>
    </row>
    <row r="7006" spans="2:4">
      <c r="B7006" t="s">
        <v>9032</v>
      </c>
      <c r="C7006" s="46">
        <v>1</v>
      </c>
      <c r="D7006" s="30">
        <v>657.48213155109738</v>
      </c>
    </row>
    <row r="7007" spans="2:4">
      <c r="B7007" t="s">
        <v>9033</v>
      </c>
      <c r="C7007" s="46">
        <v>1</v>
      </c>
      <c r="D7007" s="30">
        <v>2831.4003886331161</v>
      </c>
    </row>
    <row r="7008" spans="2:4">
      <c r="B7008" t="s">
        <v>9034</v>
      </c>
      <c r="C7008" s="46">
        <v>1</v>
      </c>
      <c r="D7008" s="30">
        <v>2392.9284756084353</v>
      </c>
    </row>
    <row r="7009" spans="2:4">
      <c r="B7009" t="s">
        <v>9035</v>
      </c>
      <c r="C7009" s="46">
        <v>1</v>
      </c>
      <c r="D7009" s="30">
        <v>2193.6474989576259</v>
      </c>
    </row>
    <row r="7010" spans="2:4">
      <c r="B7010" t="s">
        <v>9036</v>
      </c>
      <c r="C7010" s="46">
        <v>1</v>
      </c>
      <c r="D7010" s="30">
        <v>657.48213155109738</v>
      </c>
    </row>
    <row r="7011" spans="2:4">
      <c r="B7011" t="s">
        <v>9037</v>
      </c>
      <c r="C7011" s="46">
        <v>1</v>
      </c>
      <c r="D7011" s="30">
        <v>2242.3117349014929</v>
      </c>
    </row>
    <row r="7012" spans="2:4">
      <c r="B7012" t="s">
        <v>9038</v>
      </c>
      <c r="C7012" s="46">
        <v>1</v>
      </c>
      <c r="D7012" s="30">
        <v>1697.8410214251894</v>
      </c>
    </row>
    <row r="7013" spans="2:4">
      <c r="B7013" t="s">
        <v>9039</v>
      </c>
      <c r="C7013" s="46">
        <v>1</v>
      </c>
      <c r="D7013" s="30">
        <v>1900.9934569950537</v>
      </c>
    </row>
    <row r="7014" spans="2:4">
      <c r="B7014" t="s">
        <v>9040</v>
      </c>
      <c r="C7014" s="46">
        <v>1</v>
      </c>
      <c r="D7014" s="30">
        <v>9989.5502151221135</v>
      </c>
    </row>
    <row r="7015" spans="2:4">
      <c r="B7015" t="s">
        <v>9041</v>
      </c>
      <c r="C7015" s="46">
        <v>1</v>
      </c>
      <c r="D7015" s="30">
        <v>2849.2238045850941</v>
      </c>
    </row>
    <row r="7016" spans="2:4">
      <c r="B7016" t="s">
        <v>9042</v>
      </c>
      <c r="C7016" s="46">
        <v>1</v>
      </c>
      <c r="D7016" s="30">
        <v>32658.814375591453</v>
      </c>
    </row>
    <row r="7017" spans="2:4">
      <c r="B7017" t="s">
        <v>9043</v>
      </c>
      <c r="C7017" s="46">
        <v>1</v>
      </c>
      <c r="D7017" s="30">
        <v>2748.3880755463183</v>
      </c>
    </row>
    <row r="7018" spans="2:4">
      <c r="B7018" t="s">
        <v>9044</v>
      </c>
      <c r="C7018" s="46">
        <v>1</v>
      </c>
      <c r="D7018" s="30">
        <v>2797.7401053370386</v>
      </c>
    </row>
    <row r="7019" spans="2:4">
      <c r="B7019" t="s">
        <v>9045</v>
      </c>
      <c r="C7019" s="46">
        <v>1</v>
      </c>
      <c r="D7019" s="30">
        <v>15614.982027891101</v>
      </c>
    </row>
    <row r="7020" spans="2:4">
      <c r="B7020" t="s">
        <v>9046</v>
      </c>
      <c r="C7020" s="46">
        <v>1</v>
      </c>
      <c r="D7020" s="30">
        <v>2876.8157104906477</v>
      </c>
    </row>
    <row r="7021" spans="2:4">
      <c r="B7021" t="s">
        <v>9047</v>
      </c>
      <c r="C7021" s="46">
        <v>1</v>
      </c>
      <c r="D7021" s="30">
        <v>2614.1768807418512</v>
      </c>
    </row>
    <row r="7022" spans="2:4">
      <c r="B7022" t="s">
        <v>9048</v>
      </c>
      <c r="C7022" s="46">
        <v>1</v>
      </c>
      <c r="D7022" s="30">
        <v>2831.4003886331161</v>
      </c>
    </row>
    <row r="7023" spans="2:4">
      <c r="B7023" t="s">
        <v>9049</v>
      </c>
      <c r="C7023" s="46">
        <v>1</v>
      </c>
      <c r="D7023" s="30">
        <v>2872.1397321010681</v>
      </c>
    </row>
    <row r="7024" spans="2:4">
      <c r="B7024" t="s">
        <v>9050</v>
      </c>
      <c r="C7024" s="46">
        <v>1</v>
      </c>
      <c r="D7024" s="30">
        <v>2049.3735603716132</v>
      </c>
    </row>
    <row r="7025" spans="2:4">
      <c r="B7025" t="s">
        <v>9051</v>
      </c>
      <c r="C7025" s="46">
        <v>1</v>
      </c>
      <c r="D7025" s="30">
        <v>3008.1126316103855</v>
      </c>
    </row>
    <row r="7026" spans="2:4">
      <c r="B7026" t="s">
        <v>9052</v>
      </c>
      <c r="C7026" s="46">
        <v>1</v>
      </c>
      <c r="D7026" s="30">
        <v>2967.5756615028417</v>
      </c>
    </row>
    <row r="7027" spans="2:4">
      <c r="B7027" t="s">
        <v>9053</v>
      </c>
      <c r="C7027" s="46">
        <v>1</v>
      </c>
      <c r="D7027" s="30">
        <v>2389.5150551774504</v>
      </c>
    </row>
    <row r="7028" spans="2:4">
      <c r="B7028" t="s">
        <v>9054</v>
      </c>
      <c r="C7028" s="46">
        <v>1</v>
      </c>
      <c r="D7028" s="30">
        <v>6854.8559162192205</v>
      </c>
    </row>
    <row r="7029" spans="2:4">
      <c r="B7029" t="s">
        <v>9055</v>
      </c>
      <c r="C7029" s="46">
        <v>1</v>
      </c>
      <c r="D7029" s="30">
        <v>490.17475605838467</v>
      </c>
    </row>
    <row r="7030" spans="2:4">
      <c r="B7030" t="s">
        <v>9056</v>
      </c>
      <c r="C7030" s="46">
        <v>1</v>
      </c>
      <c r="D7030" s="30">
        <v>2160.2173237761499</v>
      </c>
    </row>
    <row r="7031" spans="2:4">
      <c r="B7031" t="s">
        <v>9057</v>
      </c>
      <c r="C7031" s="46">
        <v>1</v>
      </c>
      <c r="D7031" s="30">
        <v>2876.1012194780387</v>
      </c>
    </row>
    <row r="7032" spans="2:4">
      <c r="B7032" t="s">
        <v>9058</v>
      </c>
      <c r="C7032" s="46">
        <v>1</v>
      </c>
      <c r="D7032" s="30">
        <v>2620.4365426605045</v>
      </c>
    </row>
    <row r="7033" spans="2:4">
      <c r="B7033" t="s">
        <v>9059</v>
      </c>
      <c r="C7033" s="46">
        <v>1</v>
      </c>
      <c r="D7033" s="30">
        <v>2566.0219528796229</v>
      </c>
    </row>
    <row r="7034" spans="2:4">
      <c r="B7034" t="s">
        <v>9060</v>
      </c>
      <c r="C7034" s="46">
        <v>1</v>
      </c>
      <c r="D7034" s="30">
        <v>1812.6168697430064</v>
      </c>
    </row>
    <row r="7035" spans="2:4">
      <c r="B7035" t="s">
        <v>9061</v>
      </c>
      <c r="C7035" s="46">
        <v>1</v>
      </c>
      <c r="D7035" s="30">
        <v>2770.0676286746411</v>
      </c>
    </row>
    <row r="7036" spans="2:4">
      <c r="B7036" t="s">
        <v>9062</v>
      </c>
      <c r="C7036" s="46">
        <v>1</v>
      </c>
      <c r="D7036" s="30">
        <v>2273.8211425335699</v>
      </c>
    </row>
    <row r="7037" spans="2:4">
      <c r="B7037" t="s">
        <v>9063</v>
      </c>
      <c r="C7037" s="46">
        <v>1</v>
      </c>
      <c r="D7037" s="30">
        <v>2073.2731042846776</v>
      </c>
    </row>
    <row r="7038" spans="2:4">
      <c r="B7038" t="s">
        <v>9064</v>
      </c>
      <c r="C7038" s="46">
        <v>1</v>
      </c>
      <c r="D7038" s="30">
        <v>2774.1281400593807</v>
      </c>
    </row>
    <row r="7039" spans="2:4">
      <c r="B7039" t="s">
        <v>9065</v>
      </c>
      <c r="C7039" s="46">
        <v>1</v>
      </c>
      <c r="D7039" s="30">
        <v>4414.6858886760338</v>
      </c>
    </row>
    <row r="7040" spans="2:4">
      <c r="B7040" t="s">
        <v>9066</v>
      </c>
      <c r="C7040" s="46">
        <v>1</v>
      </c>
      <c r="D7040" s="30">
        <v>2883.0340782983517</v>
      </c>
    </row>
    <row r="7041" spans="2:4">
      <c r="B7041" t="s">
        <v>9067</v>
      </c>
      <c r="C7041" s="46">
        <v>1</v>
      </c>
      <c r="D7041" s="30">
        <v>2882.8962437720188</v>
      </c>
    </row>
    <row r="7042" spans="2:4">
      <c r="B7042" t="s">
        <v>9068</v>
      </c>
      <c r="C7042" s="46">
        <v>1</v>
      </c>
      <c r="D7042" s="30">
        <v>1812.7283911033253</v>
      </c>
    </row>
    <row r="7043" spans="2:4">
      <c r="B7043" t="s">
        <v>9069</v>
      </c>
      <c r="C7043" s="46">
        <v>1</v>
      </c>
      <c r="D7043" s="30">
        <v>2112.4349103455015</v>
      </c>
    </row>
    <row r="7044" spans="2:4">
      <c r="B7044" t="s">
        <v>9070</v>
      </c>
      <c r="C7044" s="46">
        <v>1</v>
      </c>
      <c r="D7044" s="30">
        <v>1949.3937982844604</v>
      </c>
    </row>
    <row r="7045" spans="2:4">
      <c r="B7045" t="s">
        <v>9071</v>
      </c>
      <c r="C7045" s="46">
        <v>1</v>
      </c>
      <c r="D7045" s="30">
        <v>513.94912651432492</v>
      </c>
    </row>
    <row r="7046" spans="2:4">
      <c r="B7046" t="s">
        <v>9072</v>
      </c>
      <c r="C7046" s="46">
        <v>1</v>
      </c>
      <c r="D7046" s="30">
        <v>2857.2851101750589</v>
      </c>
    </row>
    <row r="7047" spans="2:4">
      <c r="B7047" t="s">
        <v>9073</v>
      </c>
      <c r="C7047" s="46">
        <v>1</v>
      </c>
      <c r="D7047" s="30">
        <v>20964.553324660777</v>
      </c>
    </row>
    <row r="7048" spans="2:4">
      <c r="B7048" t="s">
        <v>9074</v>
      </c>
      <c r="C7048" s="46">
        <v>1</v>
      </c>
      <c r="D7048" s="30">
        <v>1913.8380933568562</v>
      </c>
    </row>
    <row r="7049" spans="2:4">
      <c r="B7049" t="s">
        <v>9075</v>
      </c>
      <c r="C7049" s="46">
        <v>1</v>
      </c>
      <c r="D7049" s="30">
        <v>2147.4215813308506</v>
      </c>
    </row>
    <row r="7050" spans="2:4">
      <c r="B7050" t="s">
        <v>9076</v>
      </c>
      <c r="C7050" s="46">
        <v>1</v>
      </c>
      <c r="D7050" s="30">
        <v>2779.780715249658</v>
      </c>
    </row>
    <row r="7051" spans="2:4">
      <c r="B7051" t="s">
        <v>9077</v>
      </c>
      <c r="C7051" s="46">
        <v>1</v>
      </c>
      <c r="D7051" s="30">
        <v>2187.7040791320446</v>
      </c>
    </row>
    <row r="7052" spans="2:4">
      <c r="B7052" t="s">
        <v>9078</v>
      </c>
      <c r="C7052" s="46">
        <v>1</v>
      </c>
      <c r="D7052" s="30">
        <v>2827.1598978891657</v>
      </c>
    </row>
    <row r="7053" spans="2:4">
      <c r="B7053" t="s">
        <v>9079</v>
      </c>
      <c r="C7053" s="46">
        <v>1</v>
      </c>
      <c r="D7053" s="30">
        <v>2783.3149616992573</v>
      </c>
    </row>
    <row r="7054" spans="2:4">
      <c r="B7054" t="s">
        <v>9080</v>
      </c>
      <c r="C7054" s="46">
        <v>1</v>
      </c>
      <c r="D7054" s="30">
        <v>2883.1685104755088</v>
      </c>
    </row>
    <row r="7055" spans="2:4">
      <c r="B7055" t="s">
        <v>9081</v>
      </c>
      <c r="C7055" s="46">
        <v>1</v>
      </c>
      <c r="D7055" s="30">
        <v>2866.7732606411928</v>
      </c>
    </row>
    <row r="7056" spans="2:4">
      <c r="B7056" t="s">
        <v>9082</v>
      </c>
      <c r="C7056" s="46">
        <v>1</v>
      </c>
      <c r="D7056" s="30">
        <v>2204.2016449653106</v>
      </c>
    </row>
    <row r="7057" spans="2:4">
      <c r="B7057" t="s">
        <v>9083</v>
      </c>
      <c r="C7057" s="46">
        <v>1</v>
      </c>
      <c r="D7057" s="30">
        <v>2478.6971015146446</v>
      </c>
    </row>
    <row r="7058" spans="2:4">
      <c r="B7058" t="s">
        <v>9084</v>
      </c>
      <c r="C7058" s="46">
        <v>1</v>
      </c>
      <c r="D7058" s="30">
        <v>750.86096350460286</v>
      </c>
    </row>
    <row r="7059" spans="2:4">
      <c r="B7059" t="s">
        <v>9085</v>
      </c>
      <c r="C7059" s="46">
        <v>1</v>
      </c>
      <c r="D7059" s="30">
        <v>1907.1978712005873</v>
      </c>
    </row>
    <row r="7060" spans="2:4">
      <c r="B7060" t="s">
        <v>9086</v>
      </c>
      <c r="C7060" s="46">
        <v>1</v>
      </c>
      <c r="D7060" s="30">
        <v>2149.3591334643538</v>
      </c>
    </row>
    <row r="7061" spans="2:4">
      <c r="B7061" t="s">
        <v>9087</v>
      </c>
      <c r="C7061" s="46">
        <v>1</v>
      </c>
      <c r="D7061" s="30">
        <v>2779.0765404053109</v>
      </c>
    </row>
    <row r="7062" spans="2:4">
      <c r="B7062" t="s">
        <v>9088</v>
      </c>
      <c r="C7062" s="46">
        <v>1</v>
      </c>
      <c r="D7062" s="30">
        <v>2779.0765404053109</v>
      </c>
    </row>
    <row r="7063" spans="2:4">
      <c r="B7063" t="s">
        <v>9089</v>
      </c>
      <c r="C7063" s="46">
        <v>1</v>
      </c>
      <c r="D7063" s="30">
        <v>1845.0221420473183</v>
      </c>
    </row>
    <row r="7064" spans="2:4">
      <c r="B7064" t="s">
        <v>9090</v>
      </c>
      <c r="C7064" s="46">
        <v>2</v>
      </c>
      <c r="D7064" s="30">
        <v>21618.067181649585</v>
      </c>
    </row>
    <row r="7065" spans="2:4">
      <c r="B7065" t="s">
        <v>9091</v>
      </c>
      <c r="C7065" s="46">
        <v>1</v>
      </c>
      <c r="D7065" s="30">
        <v>463.55579148621359</v>
      </c>
    </row>
    <row r="7066" spans="2:4">
      <c r="B7066" t="s">
        <v>9092</v>
      </c>
      <c r="C7066" s="46">
        <v>1</v>
      </c>
      <c r="D7066" s="30">
        <v>529.65480032512335</v>
      </c>
    </row>
    <row r="7067" spans="2:4">
      <c r="B7067" t="s">
        <v>9093</v>
      </c>
      <c r="C7067" s="46">
        <v>1</v>
      </c>
      <c r="D7067" s="30">
        <v>403.52594635000173</v>
      </c>
    </row>
    <row r="7068" spans="2:4">
      <c r="B7068" t="s">
        <v>9094</v>
      </c>
      <c r="C7068" s="46">
        <v>1</v>
      </c>
      <c r="D7068" s="30">
        <v>2566.8470343917065</v>
      </c>
    </row>
    <row r="7069" spans="2:4">
      <c r="B7069" t="s">
        <v>9095</v>
      </c>
      <c r="C7069" s="46">
        <v>1</v>
      </c>
      <c r="D7069" s="30">
        <v>2828.5705253801739</v>
      </c>
    </row>
    <row r="7070" spans="2:4">
      <c r="B7070" t="s">
        <v>9096</v>
      </c>
      <c r="C7070" s="46">
        <v>1</v>
      </c>
      <c r="D7070" s="30">
        <v>2608.3575923643766</v>
      </c>
    </row>
    <row r="7071" spans="2:4">
      <c r="B7071" t="s">
        <v>9097</v>
      </c>
      <c r="C7071" s="46">
        <v>1</v>
      </c>
      <c r="D7071" s="30">
        <v>2617.7504631052279</v>
      </c>
    </row>
    <row r="7072" spans="2:4">
      <c r="B7072" t="s">
        <v>9098</v>
      </c>
      <c r="C7072" s="46">
        <v>1</v>
      </c>
      <c r="D7072" s="30">
        <v>1347.2564536057234</v>
      </c>
    </row>
    <row r="7073" spans="2:4">
      <c r="B7073" t="s">
        <v>9099</v>
      </c>
      <c r="C7073" s="46">
        <v>1</v>
      </c>
      <c r="D7073" s="30">
        <v>7051.451653877587</v>
      </c>
    </row>
    <row r="7074" spans="2:4">
      <c r="B7074" t="s">
        <v>9100</v>
      </c>
      <c r="C7074" s="46">
        <v>1</v>
      </c>
      <c r="D7074" s="30">
        <v>2959.0262918511162</v>
      </c>
    </row>
    <row r="7075" spans="2:4">
      <c r="B7075" t="s">
        <v>9101</v>
      </c>
      <c r="C7075" s="46">
        <v>1</v>
      </c>
      <c r="D7075" s="30">
        <v>6787.8871710296908</v>
      </c>
    </row>
    <row r="7076" spans="2:4">
      <c r="B7076" t="s">
        <v>9102</v>
      </c>
      <c r="C7076" s="46">
        <v>1</v>
      </c>
      <c r="D7076" s="30">
        <v>2712.6372115835525</v>
      </c>
    </row>
    <row r="7077" spans="2:4">
      <c r="B7077" t="s">
        <v>9103</v>
      </c>
      <c r="C7077" s="46">
        <v>1</v>
      </c>
      <c r="D7077" s="30">
        <v>1741.7556892892846</v>
      </c>
    </row>
    <row r="7078" spans="2:4">
      <c r="B7078" t="s">
        <v>9104</v>
      </c>
      <c r="C7078" s="46">
        <v>1</v>
      </c>
      <c r="D7078" s="30">
        <v>2876.6782732608453</v>
      </c>
    </row>
    <row r="7079" spans="2:4">
      <c r="B7079" t="s">
        <v>9105</v>
      </c>
      <c r="C7079" s="46">
        <v>1</v>
      </c>
      <c r="D7079" s="30">
        <v>2167.8128020915592</v>
      </c>
    </row>
    <row r="7080" spans="2:4">
      <c r="B7080" t="s">
        <v>9106</v>
      </c>
      <c r="C7080" s="46">
        <v>1</v>
      </c>
      <c r="D7080" s="30">
        <v>2414.6416136942175</v>
      </c>
    </row>
    <row r="7081" spans="2:4">
      <c r="B7081" t="s">
        <v>9107</v>
      </c>
      <c r="C7081" s="46">
        <v>1</v>
      </c>
      <c r="D7081" s="30">
        <v>2119.3689903910408</v>
      </c>
    </row>
    <row r="7082" spans="2:4">
      <c r="B7082" t="s">
        <v>9108</v>
      </c>
      <c r="C7082" s="46">
        <v>1</v>
      </c>
      <c r="D7082" s="30">
        <v>2119.3689903910408</v>
      </c>
    </row>
    <row r="7083" spans="2:4">
      <c r="B7083" t="s">
        <v>9109</v>
      </c>
      <c r="C7083" s="46">
        <v>1</v>
      </c>
      <c r="D7083" s="30">
        <v>2119.3689903910408</v>
      </c>
    </row>
    <row r="7084" spans="2:4">
      <c r="B7084" t="s">
        <v>9110</v>
      </c>
      <c r="C7084" s="46">
        <v>1</v>
      </c>
      <c r="D7084" s="30">
        <v>1967.0212499550298</v>
      </c>
    </row>
    <row r="7085" spans="2:4">
      <c r="B7085" t="s">
        <v>9111</v>
      </c>
      <c r="C7085" s="46">
        <v>1</v>
      </c>
      <c r="D7085" s="30">
        <v>2664.805472016802</v>
      </c>
    </row>
    <row r="7086" spans="2:4">
      <c r="B7086" t="s">
        <v>9112</v>
      </c>
      <c r="C7086" s="46">
        <v>1</v>
      </c>
      <c r="D7086" s="30">
        <v>2482.3092055299285</v>
      </c>
    </row>
    <row r="7087" spans="2:4">
      <c r="B7087" t="s">
        <v>9113</v>
      </c>
      <c r="C7087" s="46">
        <v>1</v>
      </c>
      <c r="D7087" s="30">
        <v>3378.467691036517</v>
      </c>
    </row>
    <row r="7088" spans="2:4">
      <c r="B7088" t="s">
        <v>9114</v>
      </c>
      <c r="C7088" s="46">
        <v>1</v>
      </c>
      <c r="D7088" s="30">
        <v>1667.4121171400097</v>
      </c>
    </row>
    <row r="7089" spans="2:4">
      <c r="B7089" t="s">
        <v>9115</v>
      </c>
      <c r="C7089" s="46">
        <v>1</v>
      </c>
      <c r="D7089" s="30">
        <v>2290.6084430928977</v>
      </c>
    </row>
    <row r="7090" spans="2:4">
      <c r="B7090" t="s">
        <v>9116</v>
      </c>
      <c r="C7090" s="46">
        <v>1</v>
      </c>
      <c r="D7090" s="30">
        <v>2094.3048864736484</v>
      </c>
    </row>
    <row r="7091" spans="2:4">
      <c r="B7091" t="s">
        <v>9117</v>
      </c>
      <c r="C7091" s="46">
        <v>1</v>
      </c>
      <c r="D7091" s="30">
        <v>1907.1978712005873</v>
      </c>
    </row>
    <row r="7092" spans="2:4">
      <c r="B7092" t="s">
        <v>9118</v>
      </c>
      <c r="C7092" s="46">
        <v>1</v>
      </c>
      <c r="D7092" s="30">
        <v>2336.3662232756242</v>
      </c>
    </row>
    <row r="7093" spans="2:4">
      <c r="B7093" t="s">
        <v>9119</v>
      </c>
      <c r="C7093" s="46">
        <v>1</v>
      </c>
      <c r="D7093" s="30">
        <v>1628.0432300876362</v>
      </c>
    </row>
    <row r="7094" spans="2:4">
      <c r="B7094" t="s">
        <v>9120</v>
      </c>
      <c r="C7094" s="46">
        <v>1</v>
      </c>
      <c r="D7094" s="30">
        <v>2843.4221735322681</v>
      </c>
    </row>
    <row r="7095" spans="2:4">
      <c r="B7095" t="s">
        <v>9121</v>
      </c>
      <c r="C7095" s="46">
        <v>1</v>
      </c>
      <c r="D7095" s="30">
        <v>9989.5502151221135</v>
      </c>
    </row>
    <row r="7096" spans="2:4">
      <c r="B7096" t="s">
        <v>9122</v>
      </c>
      <c r="C7096" s="46">
        <v>1</v>
      </c>
      <c r="D7096" s="30">
        <v>1680.5360097381285</v>
      </c>
    </row>
    <row r="7097" spans="2:4">
      <c r="B7097" t="s">
        <v>9123</v>
      </c>
      <c r="C7097" s="46">
        <v>1</v>
      </c>
      <c r="D7097" s="30">
        <v>2721.6618335022076</v>
      </c>
    </row>
    <row r="7098" spans="2:4">
      <c r="B7098" t="s">
        <v>9124</v>
      </c>
      <c r="C7098" s="46">
        <v>1</v>
      </c>
      <c r="D7098" s="30">
        <v>1492.2029460250319</v>
      </c>
    </row>
    <row r="7099" spans="2:4">
      <c r="B7099" t="s">
        <v>9125</v>
      </c>
      <c r="C7099" s="46">
        <v>1</v>
      </c>
      <c r="D7099" s="30">
        <v>2830.1529043990681</v>
      </c>
    </row>
    <row r="7100" spans="2:4">
      <c r="B7100" t="s">
        <v>9126</v>
      </c>
      <c r="C7100" s="46">
        <v>1</v>
      </c>
      <c r="D7100" s="30">
        <v>2328.9736353485628</v>
      </c>
    </row>
    <row r="7101" spans="2:4">
      <c r="B7101" t="s">
        <v>9127</v>
      </c>
      <c r="C7101" s="46">
        <v>1</v>
      </c>
      <c r="D7101" s="30">
        <v>1913.8380933568562</v>
      </c>
    </row>
    <row r="7102" spans="2:4">
      <c r="B7102" t="s">
        <v>9128</v>
      </c>
      <c r="C7102" s="46">
        <v>1</v>
      </c>
      <c r="D7102" s="30">
        <v>2778.7924742503237</v>
      </c>
    </row>
    <row r="7103" spans="2:4">
      <c r="B7103" t="s">
        <v>9129</v>
      </c>
      <c r="C7103" s="46">
        <v>1</v>
      </c>
      <c r="D7103" s="30">
        <v>529.65480032512335</v>
      </c>
    </row>
    <row r="7104" spans="2:4">
      <c r="B7104" t="s">
        <v>9130</v>
      </c>
      <c r="C7104" s="46">
        <v>1</v>
      </c>
      <c r="D7104" s="30">
        <v>815.45278041564359</v>
      </c>
    </row>
    <row r="7105" spans="2:4">
      <c r="B7105" t="s">
        <v>9131</v>
      </c>
      <c r="C7105" s="46">
        <v>1</v>
      </c>
      <c r="D7105" s="30">
        <v>1677.8275761967911</v>
      </c>
    </row>
    <row r="7106" spans="2:4">
      <c r="B7106" t="s">
        <v>9132</v>
      </c>
      <c r="C7106" s="46">
        <v>1</v>
      </c>
      <c r="D7106" s="30">
        <v>2492.4097936825888</v>
      </c>
    </row>
    <row r="7107" spans="2:4">
      <c r="B7107" t="s">
        <v>9133</v>
      </c>
      <c r="C7107" s="46">
        <v>1</v>
      </c>
      <c r="D7107" s="30">
        <v>2474.9301984273484</v>
      </c>
    </row>
    <row r="7108" spans="2:4">
      <c r="B7108" t="s">
        <v>9134</v>
      </c>
      <c r="C7108" s="46">
        <v>1</v>
      </c>
      <c r="D7108" s="30">
        <v>1532.0479232670414</v>
      </c>
    </row>
    <row r="7109" spans="2:4">
      <c r="B7109" t="s">
        <v>9135</v>
      </c>
      <c r="C7109" s="46">
        <v>1</v>
      </c>
      <c r="D7109" s="30">
        <v>2168.1288562001</v>
      </c>
    </row>
    <row r="7110" spans="2:4">
      <c r="B7110" t="s">
        <v>9136</v>
      </c>
      <c r="C7110" s="46">
        <v>1</v>
      </c>
      <c r="D7110" s="30">
        <v>2443.0640147213835</v>
      </c>
    </row>
    <row r="7111" spans="2:4">
      <c r="B7111" t="s">
        <v>9137</v>
      </c>
      <c r="C7111" s="46">
        <v>1</v>
      </c>
      <c r="D7111" s="30">
        <v>2156.0939414635436</v>
      </c>
    </row>
    <row r="7112" spans="2:4">
      <c r="B7112" t="s">
        <v>9138</v>
      </c>
      <c r="C7112" s="46">
        <v>1</v>
      </c>
      <c r="D7112" s="30">
        <v>2785.0148641228739</v>
      </c>
    </row>
    <row r="7113" spans="2:4">
      <c r="B7113" t="s">
        <v>9139</v>
      </c>
      <c r="C7113" s="46">
        <v>1</v>
      </c>
      <c r="D7113" s="30">
        <v>2861.1809472069676</v>
      </c>
    </row>
    <row r="7114" spans="2:4">
      <c r="B7114" t="s">
        <v>9140</v>
      </c>
      <c r="C7114" s="46">
        <v>1</v>
      </c>
      <c r="D7114" s="30">
        <v>2101.8821882471993</v>
      </c>
    </row>
    <row r="7115" spans="2:4">
      <c r="B7115" t="s">
        <v>9141</v>
      </c>
      <c r="C7115" s="46">
        <v>1</v>
      </c>
      <c r="D7115" s="30">
        <v>705.93384801596426</v>
      </c>
    </row>
    <row r="7116" spans="2:4">
      <c r="B7116" t="s">
        <v>9142</v>
      </c>
      <c r="C7116" s="46">
        <v>1</v>
      </c>
      <c r="D7116" s="30">
        <v>921.45119814393252</v>
      </c>
    </row>
    <row r="7117" spans="2:4">
      <c r="B7117" t="s">
        <v>9143</v>
      </c>
      <c r="C7117" s="46">
        <v>1</v>
      </c>
      <c r="D7117" s="30">
        <v>2521.0793542011402</v>
      </c>
    </row>
    <row r="7118" spans="2:4">
      <c r="B7118" t="s">
        <v>9144</v>
      </c>
      <c r="C7118" s="46">
        <v>1</v>
      </c>
      <c r="D7118" s="30">
        <v>2168.1288562001</v>
      </c>
    </row>
    <row r="7119" spans="2:4">
      <c r="B7119" t="s">
        <v>9145</v>
      </c>
      <c r="C7119" s="46">
        <v>1</v>
      </c>
      <c r="D7119" s="30">
        <v>1926.2132395320859</v>
      </c>
    </row>
    <row r="7120" spans="2:4">
      <c r="B7120" t="s">
        <v>9146</v>
      </c>
      <c r="C7120" s="46">
        <v>1</v>
      </c>
      <c r="D7120" s="30">
        <v>2800.4270917913191</v>
      </c>
    </row>
    <row r="7121" spans="2:4">
      <c r="B7121" t="s">
        <v>9147</v>
      </c>
      <c r="C7121" s="46">
        <v>1</v>
      </c>
      <c r="D7121" s="30">
        <v>619.1955578047673</v>
      </c>
    </row>
    <row r="7122" spans="2:4">
      <c r="B7122" t="s">
        <v>9148</v>
      </c>
      <c r="C7122" s="46">
        <v>1</v>
      </c>
      <c r="D7122" s="30">
        <v>2805.6594349546835</v>
      </c>
    </row>
    <row r="7123" spans="2:4">
      <c r="B7123" t="s">
        <v>9149</v>
      </c>
      <c r="C7123" s="46">
        <v>1</v>
      </c>
      <c r="D7123" s="30">
        <v>2168.1288562001</v>
      </c>
    </row>
    <row r="7124" spans="2:4">
      <c r="B7124" t="s">
        <v>9150</v>
      </c>
      <c r="C7124" s="46">
        <v>1</v>
      </c>
      <c r="D7124" s="30">
        <v>2944.3271259632579</v>
      </c>
    </row>
    <row r="7125" spans="2:4">
      <c r="B7125" t="s">
        <v>9151</v>
      </c>
      <c r="C7125" s="46">
        <v>1</v>
      </c>
      <c r="D7125" s="30">
        <v>2840.9338979744248</v>
      </c>
    </row>
    <row r="7126" spans="2:4">
      <c r="B7126" t="s">
        <v>9152</v>
      </c>
      <c r="C7126" s="46">
        <v>1</v>
      </c>
      <c r="D7126" s="30">
        <v>2768.0467512743189</v>
      </c>
    </row>
    <row r="7127" spans="2:4">
      <c r="B7127" t="s">
        <v>9153</v>
      </c>
      <c r="C7127" s="46">
        <v>1</v>
      </c>
      <c r="D7127" s="30">
        <v>2846.5506802541877</v>
      </c>
    </row>
    <row r="7128" spans="2:4">
      <c r="B7128" t="s">
        <v>9154</v>
      </c>
      <c r="C7128" s="46">
        <v>1</v>
      </c>
      <c r="D7128" s="30">
        <v>2806.7909621518684</v>
      </c>
    </row>
    <row r="7129" spans="2:4">
      <c r="B7129" t="s">
        <v>9155</v>
      </c>
      <c r="C7129" s="46">
        <v>1</v>
      </c>
      <c r="D7129" s="30">
        <v>2168.1288562001</v>
      </c>
    </row>
    <row r="7130" spans="2:4">
      <c r="B7130" t="s">
        <v>9156</v>
      </c>
      <c r="C7130" s="46">
        <v>1</v>
      </c>
      <c r="D7130" s="30">
        <v>2744.8215873254758</v>
      </c>
    </row>
    <row r="7131" spans="2:4">
      <c r="B7131" t="s">
        <v>9157</v>
      </c>
      <c r="C7131" s="46">
        <v>1</v>
      </c>
      <c r="D7131" s="30">
        <v>2704.1395113103213</v>
      </c>
    </row>
    <row r="7132" spans="2:4">
      <c r="B7132" t="s">
        <v>9158</v>
      </c>
      <c r="C7132" s="46">
        <v>1</v>
      </c>
      <c r="D7132" s="30">
        <v>1121.6127197048188</v>
      </c>
    </row>
    <row r="7133" spans="2:4">
      <c r="B7133" t="s">
        <v>9159</v>
      </c>
      <c r="C7133" s="46">
        <v>1</v>
      </c>
      <c r="D7133" s="30">
        <v>1911.6023457084789</v>
      </c>
    </row>
    <row r="7134" spans="2:4">
      <c r="B7134" t="s">
        <v>9160</v>
      </c>
      <c r="C7134" s="46">
        <v>1</v>
      </c>
      <c r="D7134" s="30">
        <v>2880.0628133171899</v>
      </c>
    </row>
    <row r="7135" spans="2:4">
      <c r="B7135" t="s">
        <v>9161</v>
      </c>
      <c r="C7135" s="46">
        <v>1</v>
      </c>
      <c r="D7135" s="30">
        <v>2834.6654164728475</v>
      </c>
    </row>
    <row r="7136" spans="2:4">
      <c r="B7136" t="s">
        <v>9162</v>
      </c>
      <c r="C7136" s="46">
        <v>1</v>
      </c>
      <c r="D7136" s="30">
        <v>2184.9065715932675</v>
      </c>
    </row>
    <row r="7137" spans="2:4">
      <c r="B7137" t="s">
        <v>9163</v>
      </c>
      <c r="C7137" s="46">
        <v>1</v>
      </c>
      <c r="D7137" s="30">
        <v>2450.4723453124438</v>
      </c>
    </row>
    <row r="7138" spans="2:4">
      <c r="B7138" t="s">
        <v>9164</v>
      </c>
      <c r="C7138" s="46">
        <v>1</v>
      </c>
      <c r="D7138" s="30">
        <v>2290.6084430928977</v>
      </c>
    </row>
    <row r="7139" spans="2:4">
      <c r="B7139" t="s">
        <v>9165</v>
      </c>
      <c r="C7139" s="46">
        <v>1</v>
      </c>
      <c r="D7139" s="30">
        <v>2842.4320151839343</v>
      </c>
    </row>
    <row r="7140" spans="2:4">
      <c r="B7140" t="s">
        <v>9166</v>
      </c>
      <c r="C7140" s="46">
        <v>1</v>
      </c>
      <c r="D7140" s="30">
        <v>2772.2839998506824</v>
      </c>
    </row>
    <row r="7141" spans="2:4">
      <c r="B7141" t="s">
        <v>9167</v>
      </c>
      <c r="C7141" s="46">
        <v>1</v>
      </c>
      <c r="D7141" s="30">
        <v>8224.1818353641265</v>
      </c>
    </row>
    <row r="7142" spans="2:4">
      <c r="B7142" t="s">
        <v>9168</v>
      </c>
      <c r="C7142" s="46">
        <v>1</v>
      </c>
      <c r="D7142" s="30">
        <v>2141.9327674808651</v>
      </c>
    </row>
    <row r="7143" spans="2:4">
      <c r="B7143" t="s">
        <v>9169</v>
      </c>
      <c r="C7143" s="46">
        <v>1</v>
      </c>
      <c r="D7143" s="30">
        <v>2109.231292100555</v>
      </c>
    </row>
    <row r="7144" spans="2:4">
      <c r="B7144" t="s">
        <v>9170</v>
      </c>
      <c r="C7144" s="46">
        <v>1</v>
      </c>
      <c r="D7144" s="30">
        <v>2883.0340782983517</v>
      </c>
    </row>
    <row r="7145" spans="2:4">
      <c r="B7145" t="s">
        <v>9171</v>
      </c>
      <c r="C7145" s="46">
        <v>1</v>
      </c>
      <c r="D7145" s="30">
        <v>1214.4751943056704</v>
      </c>
    </row>
    <row r="7146" spans="2:4">
      <c r="B7146" t="s">
        <v>9172</v>
      </c>
      <c r="C7146" s="46">
        <v>1</v>
      </c>
      <c r="D7146" s="30">
        <v>2492.4097936825888</v>
      </c>
    </row>
    <row r="7147" spans="2:4">
      <c r="B7147" t="s">
        <v>9173</v>
      </c>
      <c r="C7147" s="46">
        <v>1</v>
      </c>
      <c r="D7147" s="30">
        <v>2345.4411262665044</v>
      </c>
    </row>
    <row r="7148" spans="2:4">
      <c r="B7148" t="s">
        <v>9174</v>
      </c>
      <c r="C7148" s="46">
        <v>1</v>
      </c>
      <c r="D7148" s="30">
        <v>2168.1288562001</v>
      </c>
    </row>
    <row r="7149" spans="2:4">
      <c r="B7149" t="s">
        <v>9175</v>
      </c>
      <c r="C7149" s="46">
        <v>1</v>
      </c>
      <c r="D7149" s="30">
        <v>2858.8497267237403</v>
      </c>
    </row>
    <row r="7150" spans="2:4">
      <c r="B7150" t="s">
        <v>9176</v>
      </c>
      <c r="C7150" s="46">
        <v>1</v>
      </c>
      <c r="D7150" s="30">
        <v>2441.1946132497078</v>
      </c>
    </row>
    <row r="7151" spans="2:4">
      <c r="B7151" t="s">
        <v>9177</v>
      </c>
      <c r="C7151" s="46">
        <v>1</v>
      </c>
      <c r="D7151" s="30">
        <v>22839.751710640161</v>
      </c>
    </row>
    <row r="7152" spans="2:4">
      <c r="B7152" t="s">
        <v>9178</v>
      </c>
      <c r="C7152" s="46">
        <v>1</v>
      </c>
      <c r="D7152" s="30">
        <v>2478.6971015146446</v>
      </c>
    </row>
    <row r="7153" spans="2:4">
      <c r="B7153" t="s">
        <v>9179</v>
      </c>
      <c r="C7153" s="46">
        <v>1</v>
      </c>
      <c r="D7153" s="30">
        <v>2213.4999466467548</v>
      </c>
    </row>
    <row r="7154" spans="2:4">
      <c r="B7154" t="s">
        <v>9180</v>
      </c>
      <c r="C7154" s="46">
        <v>1</v>
      </c>
      <c r="D7154" s="30">
        <v>20030.342560217101</v>
      </c>
    </row>
    <row r="7155" spans="2:4">
      <c r="B7155" t="s">
        <v>9181</v>
      </c>
      <c r="C7155" s="46">
        <v>1</v>
      </c>
      <c r="D7155" s="30">
        <v>1035.4211830022339</v>
      </c>
    </row>
    <row r="7156" spans="2:4">
      <c r="B7156" t="s">
        <v>9182</v>
      </c>
      <c r="C7156" s="46">
        <v>1</v>
      </c>
      <c r="D7156" s="30">
        <v>6324.0649448731137</v>
      </c>
    </row>
    <row r="7157" spans="2:4">
      <c r="B7157" t="s">
        <v>9183</v>
      </c>
      <c r="C7157" s="46">
        <v>2</v>
      </c>
      <c r="D7157" s="30">
        <v>21618.067181649585</v>
      </c>
    </row>
    <row r="7158" spans="2:4">
      <c r="B7158" t="s">
        <v>9184</v>
      </c>
      <c r="C7158" s="46">
        <v>1</v>
      </c>
      <c r="D7158" s="30">
        <v>2851.3436876100891</v>
      </c>
    </row>
    <row r="7159" spans="2:4">
      <c r="B7159" t="s">
        <v>9185</v>
      </c>
      <c r="C7159" s="46">
        <v>1</v>
      </c>
      <c r="D7159" s="30">
        <v>2727.4549407260042</v>
      </c>
    </row>
    <row r="7160" spans="2:4">
      <c r="B7160" t="s">
        <v>9186</v>
      </c>
      <c r="C7160" s="46">
        <v>1</v>
      </c>
      <c r="D7160" s="30">
        <v>2732.5482597492455</v>
      </c>
    </row>
    <row r="7161" spans="2:4">
      <c r="B7161" t="s">
        <v>9187</v>
      </c>
      <c r="C7161" s="46">
        <v>1</v>
      </c>
      <c r="D7161" s="30">
        <v>2813.4383392237974</v>
      </c>
    </row>
    <row r="7162" spans="2:4">
      <c r="B7162" t="s">
        <v>9188</v>
      </c>
      <c r="C7162" s="46">
        <v>1</v>
      </c>
      <c r="D7162" s="30">
        <v>1715.1328155200927</v>
      </c>
    </row>
    <row r="7163" spans="2:4">
      <c r="B7163" t="s">
        <v>9189</v>
      </c>
      <c r="C7163" s="46">
        <v>1</v>
      </c>
      <c r="D7163" s="30">
        <v>2869.7446952480695</v>
      </c>
    </row>
    <row r="7164" spans="2:4">
      <c r="B7164" t="s">
        <v>9190</v>
      </c>
      <c r="C7164" s="46">
        <v>1</v>
      </c>
      <c r="D7164" s="30">
        <v>2642.6202904488978</v>
      </c>
    </row>
    <row r="7165" spans="2:4">
      <c r="B7165" t="s">
        <v>9191</v>
      </c>
      <c r="C7165" s="46">
        <v>1</v>
      </c>
      <c r="D7165" s="30">
        <v>2883.749278989485</v>
      </c>
    </row>
    <row r="7166" spans="2:4">
      <c r="B7166" t="s">
        <v>9192</v>
      </c>
      <c r="C7166" s="46">
        <v>1</v>
      </c>
      <c r="D7166" s="30">
        <v>390.29176240027675</v>
      </c>
    </row>
    <row r="7167" spans="2:4">
      <c r="B7167" t="s">
        <v>9193</v>
      </c>
      <c r="C7167" s="46">
        <v>1</v>
      </c>
      <c r="D7167" s="30">
        <v>2778.6747842711152</v>
      </c>
    </row>
    <row r="7168" spans="2:4">
      <c r="B7168" t="s">
        <v>9194</v>
      </c>
      <c r="C7168" s="46">
        <v>1</v>
      </c>
      <c r="D7168" s="30">
        <v>1972.9716810596137</v>
      </c>
    </row>
    <row r="7169" spans="2:4">
      <c r="B7169" t="s">
        <v>9195</v>
      </c>
      <c r="C7169" s="46">
        <v>1</v>
      </c>
      <c r="D7169" s="30">
        <v>2767.0645625618045</v>
      </c>
    </row>
    <row r="7170" spans="2:4">
      <c r="B7170" t="s">
        <v>9196</v>
      </c>
      <c r="C7170" s="46">
        <v>1</v>
      </c>
      <c r="D7170" s="30">
        <v>2858.2753710621491</v>
      </c>
    </row>
    <row r="7171" spans="2:4">
      <c r="B7171" t="s">
        <v>9197</v>
      </c>
      <c r="C7171" s="46">
        <v>1</v>
      </c>
      <c r="D7171" s="30">
        <v>2722.5300001269875</v>
      </c>
    </row>
    <row r="7172" spans="2:4">
      <c r="B7172" t="s">
        <v>9198</v>
      </c>
      <c r="C7172" s="46">
        <v>1</v>
      </c>
      <c r="D7172" s="30">
        <v>2995.4455508582218</v>
      </c>
    </row>
    <row r="7173" spans="2:4">
      <c r="B7173" t="s">
        <v>9199</v>
      </c>
      <c r="C7173" s="46">
        <v>1</v>
      </c>
      <c r="D7173" s="30">
        <v>2805.0047094958231</v>
      </c>
    </row>
    <row r="7174" spans="2:4">
      <c r="B7174" t="s">
        <v>9200</v>
      </c>
      <c r="C7174" s="46">
        <v>1</v>
      </c>
      <c r="D7174" s="30">
        <v>2995.4455508582218</v>
      </c>
    </row>
    <row r="7175" spans="2:4">
      <c r="B7175" t="s">
        <v>9201</v>
      </c>
      <c r="C7175" s="46">
        <v>1</v>
      </c>
      <c r="D7175" s="30">
        <v>2995.4455508582218</v>
      </c>
    </row>
    <row r="7176" spans="2:4">
      <c r="B7176" t="s">
        <v>9202</v>
      </c>
      <c r="C7176" s="46">
        <v>1</v>
      </c>
      <c r="D7176" s="30">
        <v>994.37127680429751</v>
      </c>
    </row>
    <row r="7177" spans="2:4">
      <c r="B7177" t="s">
        <v>9203</v>
      </c>
      <c r="C7177" s="46">
        <v>1</v>
      </c>
      <c r="D7177" s="30">
        <v>2995.4455508582218</v>
      </c>
    </row>
    <row r="7178" spans="2:4">
      <c r="B7178" t="s">
        <v>9204</v>
      </c>
      <c r="C7178" s="46">
        <v>1</v>
      </c>
      <c r="D7178" s="30">
        <v>2995.4455508582218</v>
      </c>
    </row>
    <row r="7179" spans="2:4">
      <c r="B7179" t="s">
        <v>9205</v>
      </c>
      <c r="C7179" s="46">
        <v>1</v>
      </c>
      <c r="D7179" s="30">
        <v>2995.4455508582218</v>
      </c>
    </row>
    <row r="7180" spans="2:4">
      <c r="B7180" t="s">
        <v>9206</v>
      </c>
      <c r="C7180" s="46">
        <v>1</v>
      </c>
      <c r="D7180" s="30">
        <v>2995.4455508582218</v>
      </c>
    </row>
    <row r="7181" spans="2:4">
      <c r="B7181" t="s">
        <v>9207</v>
      </c>
      <c r="C7181" s="46">
        <v>1</v>
      </c>
      <c r="D7181" s="30">
        <v>2995.4455508582218</v>
      </c>
    </row>
    <row r="7182" spans="2:4">
      <c r="B7182" t="s">
        <v>9208</v>
      </c>
      <c r="C7182" s="46">
        <v>1</v>
      </c>
      <c r="D7182" s="30">
        <v>2995.4455508582218</v>
      </c>
    </row>
    <row r="7183" spans="2:4">
      <c r="B7183" t="s">
        <v>9209</v>
      </c>
      <c r="C7183" s="46">
        <v>1</v>
      </c>
      <c r="D7183" s="30">
        <v>2761.9653685394578</v>
      </c>
    </row>
    <row r="7184" spans="2:4">
      <c r="B7184" t="s">
        <v>9210</v>
      </c>
      <c r="C7184" s="46">
        <v>1</v>
      </c>
      <c r="D7184" s="30">
        <v>2995.4455508582218</v>
      </c>
    </row>
    <row r="7185" spans="2:4">
      <c r="B7185" t="s">
        <v>9211</v>
      </c>
      <c r="C7185" s="46">
        <v>1</v>
      </c>
      <c r="D7185" s="30">
        <v>2551.717807581862</v>
      </c>
    </row>
    <row r="7186" spans="2:4">
      <c r="B7186" t="s">
        <v>9212</v>
      </c>
      <c r="C7186" s="46">
        <v>1</v>
      </c>
      <c r="D7186" s="30">
        <v>2862.2364823315929</v>
      </c>
    </row>
    <row r="7187" spans="2:4">
      <c r="B7187" t="s">
        <v>9213</v>
      </c>
      <c r="C7187" s="46">
        <v>1</v>
      </c>
      <c r="D7187" s="30">
        <v>2177.4537780625974</v>
      </c>
    </row>
    <row r="7188" spans="2:4">
      <c r="B7188" t="s">
        <v>9214</v>
      </c>
      <c r="C7188" s="46">
        <v>1</v>
      </c>
      <c r="D7188" s="30">
        <v>2168.1288562001</v>
      </c>
    </row>
    <row r="7189" spans="2:4">
      <c r="B7189" t="s">
        <v>9215</v>
      </c>
      <c r="C7189" s="46">
        <v>1</v>
      </c>
      <c r="D7189" s="30">
        <v>1970.0436055322004</v>
      </c>
    </row>
    <row r="7190" spans="2:4">
      <c r="B7190" t="s">
        <v>9216</v>
      </c>
      <c r="C7190" s="46">
        <v>1</v>
      </c>
      <c r="D7190" s="30">
        <v>2248.218693194935</v>
      </c>
    </row>
    <row r="7191" spans="2:4">
      <c r="B7191" t="s">
        <v>9217</v>
      </c>
      <c r="C7191" s="46">
        <v>1</v>
      </c>
      <c r="D7191" s="30">
        <v>2651.9660977570061</v>
      </c>
    </row>
    <row r="7192" spans="2:4">
      <c r="B7192" t="s">
        <v>9218</v>
      </c>
      <c r="C7192" s="46">
        <v>1</v>
      </c>
      <c r="D7192" s="30">
        <v>1420.6249211093434</v>
      </c>
    </row>
    <row r="7193" spans="2:4">
      <c r="B7193" t="s">
        <v>9219</v>
      </c>
      <c r="C7193" s="46">
        <v>1</v>
      </c>
      <c r="D7193" s="30">
        <v>2768.0418174783799</v>
      </c>
    </row>
    <row r="7194" spans="2:4">
      <c r="B7194" t="s">
        <v>9220</v>
      </c>
      <c r="C7194" s="46">
        <v>1</v>
      </c>
      <c r="D7194" s="30">
        <v>1420.6249211093434</v>
      </c>
    </row>
    <row r="7195" spans="2:4">
      <c r="B7195" t="s">
        <v>9221</v>
      </c>
      <c r="C7195" s="46">
        <v>1</v>
      </c>
      <c r="D7195" s="30">
        <v>2287.6107912242846</v>
      </c>
    </row>
    <row r="7196" spans="2:4">
      <c r="B7196" t="s">
        <v>9222</v>
      </c>
      <c r="C7196" s="46">
        <v>1</v>
      </c>
      <c r="D7196" s="30">
        <v>1689.5791185305841</v>
      </c>
    </row>
    <row r="7197" spans="2:4">
      <c r="B7197" t="s">
        <v>9223</v>
      </c>
      <c r="C7197" s="46">
        <v>1</v>
      </c>
      <c r="D7197" s="30">
        <v>2554.6216994232182</v>
      </c>
    </row>
    <row r="7198" spans="2:4">
      <c r="B7198" t="s">
        <v>9224</v>
      </c>
      <c r="C7198" s="46">
        <v>1</v>
      </c>
      <c r="D7198" s="30">
        <v>2879.0724049006062</v>
      </c>
    </row>
    <row r="7199" spans="2:4">
      <c r="B7199" t="s">
        <v>9225</v>
      </c>
      <c r="C7199" s="46">
        <v>1</v>
      </c>
      <c r="D7199" s="30">
        <v>3221.0518649749438</v>
      </c>
    </row>
    <row r="7200" spans="2:4">
      <c r="B7200" t="s">
        <v>9226</v>
      </c>
      <c r="C7200" s="46">
        <v>1</v>
      </c>
      <c r="D7200" s="30">
        <v>2611.9262618232815</v>
      </c>
    </row>
    <row r="7201" spans="2:4">
      <c r="B7201" t="s">
        <v>9227</v>
      </c>
      <c r="C7201" s="46">
        <v>1</v>
      </c>
      <c r="D7201" s="30">
        <v>2400.4827656286138</v>
      </c>
    </row>
    <row r="7202" spans="2:4">
      <c r="B7202" t="s">
        <v>9228</v>
      </c>
      <c r="C7202" s="46">
        <v>1</v>
      </c>
      <c r="D7202" s="30">
        <v>2871.7256846518553</v>
      </c>
    </row>
    <row r="7203" spans="2:4">
      <c r="B7203" t="s">
        <v>9229</v>
      </c>
      <c r="C7203" s="46">
        <v>1</v>
      </c>
      <c r="D7203" s="30">
        <v>2168.1288562001</v>
      </c>
    </row>
    <row r="7204" spans="2:4">
      <c r="B7204" t="s">
        <v>9230</v>
      </c>
      <c r="C7204" s="46">
        <v>1</v>
      </c>
      <c r="D7204" s="30">
        <v>2625.8533791813029</v>
      </c>
    </row>
    <row r="7205" spans="2:4">
      <c r="B7205" t="s">
        <v>9231</v>
      </c>
      <c r="C7205" s="46">
        <v>1</v>
      </c>
      <c r="D7205" s="30">
        <v>626.85710007916555</v>
      </c>
    </row>
    <row r="7206" spans="2:4">
      <c r="B7206" t="s">
        <v>9232</v>
      </c>
      <c r="C7206" s="46">
        <v>1</v>
      </c>
      <c r="D7206" s="30">
        <v>2502.3781489326457</v>
      </c>
    </row>
    <row r="7207" spans="2:4">
      <c r="B7207" t="s">
        <v>9233</v>
      </c>
      <c r="C7207" s="46">
        <v>1</v>
      </c>
      <c r="D7207" s="30">
        <v>1579.9982804693464</v>
      </c>
    </row>
    <row r="7208" spans="2:4">
      <c r="B7208" t="s">
        <v>9234</v>
      </c>
      <c r="C7208" s="46">
        <v>1</v>
      </c>
      <c r="D7208" s="30">
        <v>2876.8157104906477</v>
      </c>
    </row>
    <row r="7209" spans="2:4">
      <c r="B7209" t="s">
        <v>9235</v>
      </c>
      <c r="C7209" s="46">
        <v>1</v>
      </c>
      <c r="D7209" s="30">
        <v>1665.0170759009704</v>
      </c>
    </row>
    <row r="7210" spans="2:4">
      <c r="B7210" t="s">
        <v>9236</v>
      </c>
      <c r="C7210" s="46">
        <v>1</v>
      </c>
      <c r="D7210" s="30">
        <v>2391.9794669864077</v>
      </c>
    </row>
    <row r="7211" spans="2:4">
      <c r="B7211" t="s">
        <v>9237</v>
      </c>
      <c r="C7211" s="46">
        <v>1</v>
      </c>
      <c r="D7211" s="30">
        <v>453.13812336121578</v>
      </c>
    </row>
    <row r="7212" spans="2:4">
      <c r="B7212" t="s">
        <v>9238</v>
      </c>
      <c r="C7212" s="46">
        <v>1</v>
      </c>
      <c r="D7212" s="30">
        <v>2839.3216317794454</v>
      </c>
    </row>
    <row r="7213" spans="2:4">
      <c r="B7213" t="s">
        <v>9239</v>
      </c>
      <c r="C7213" s="46">
        <v>1</v>
      </c>
      <c r="D7213" s="30">
        <v>32658.814375591453</v>
      </c>
    </row>
    <row r="7214" spans="2:4">
      <c r="B7214" t="s">
        <v>9240</v>
      </c>
      <c r="C7214" s="46">
        <v>1</v>
      </c>
      <c r="D7214" s="30">
        <v>738.58211817895335</v>
      </c>
    </row>
    <row r="7215" spans="2:4">
      <c r="B7215" t="s">
        <v>9241</v>
      </c>
      <c r="C7215" s="46">
        <v>1</v>
      </c>
      <c r="D7215" s="30">
        <v>738.58211817895335</v>
      </c>
    </row>
    <row r="7216" spans="2:4">
      <c r="B7216" t="s">
        <v>9242</v>
      </c>
      <c r="C7216" s="46">
        <v>1</v>
      </c>
      <c r="D7216" s="30">
        <v>4134.5728452939029</v>
      </c>
    </row>
    <row r="7217" spans="2:4">
      <c r="B7217" t="s">
        <v>9243</v>
      </c>
      <c r="C7217" s="46">
        <v>1</v>
      </c>
      <c r="D7217" s="30">
        <v>2884.0245131798015</v>
      </c>
    </row>
    <row r="7218" spans="2:4">
      <c r="B7218" t="s">
        <v>9244</v>
      </c>
      <c r="C7218" s="46">
        <v>1</v>
      </c>
      <c r="D7218" s="30">
        <v>595.54124740002248</v>
      </c>
    </row>
    <row r="7219" spans="2:4">
      <c r="B7219" t="s">
        <v>9245</v>
      </c>
      <c r="C7219" s="46">
        <v>1</v>
      </c>
      <c r="D7219" s="30">
        <v>2881.0532283602279</v>
      </c>
    </row>
    <row r="7220" spans="2:4">
      <c r="B7220" t="s">
        <v>9246</v>
      </c>
      <c r="C7220" s="46">
        <v>1</v>
      </c>
      <c r="D7220" s="30">
        <v>813.6316801492967</v>
      </c>
    </row>
    <row r="7221" spans="2:4">
      <c r="B7221" t="s">
        <v>9247</v>
      </c>
      <c r="C7221" s="46">
        <v>1</v>
      </c>
      <c r="D7221" s="30">
        <v>20116.31916202138</v>
      </c>
    </row>
    <row r="7222" spans="2:4">
      <c r="B7222" t="s">
        <v>9248</v>
      </c>
      <c r="C7222" s="46">
        <v>1</v>
      </c>
      <c r="D7222" s="30">
        <v>1661.8280632775402</v>
      </c>
    </row>
    <row r="7223" spans="2:4">
      <c r="B7223" t="s">
        <v>9249</v>
      </c>
      <c r="C7223" s="46">
        <v>2</v>
      </c>
      <c r="D7223" s="30">
        <v>7034.0066257646795</v>
      </c>
    </row>
    <row r="7224" spans="2:4">
      <c r="B7224" t="s">
        <v>9250</v>
      </c>
      <c r="C7224" s="46">
        <v>1</v>
      </c>
      <c r="D7224" s="30">
        <v>2663.9602785898351</v>
      </c>
    </row>
    <row r="7225" spans="2:4">
      <c r="B7225" t="s">
        <v>9251</v>
      </c>
      <c r="C7225" s="46">
        <v>1</v>
      </c>
      <c r="D7225" s="30">
        <v>2015.1519539213339</v>
      </c>
    </row>
    <row r="7226" spans="2:4">
      <c r="B7226" t="s">
        <v>9252</v>
      </c>
      <c r="C7226" s="46">
        <v>1</v>
      </c>
      <c r="D7226" s="30">
        <v>2578.125850907626</v>
      </c>
    </row>
    <row r="7227" spans="2:4">
      <c r="B7227" t="s">
        <v>9253</v>
      </c>
      <c r="C7227" s="46">
        <v>2</v>
      </c>
      <c r="D7227" s="30">
        <v>14951.261680896479</v>
      </c>
    </row>
    <row r="7228" spans="2:4">
      <c r="B7228" t="s">
        <v>9254</v>
      </c>
      <c r="C7228" s="46">
        <v>1</v>
      </c>
      <c r="D7228" s="30">
        <v>463.55579148621359</v>
      </c>
    </row>
    <row r="7229" spans="2:4">
      <c r="B7229" t="s">
        <v>9255</v>
      </c>
      <c r="C7229" s="46">
        <v>1</v>
      </c>
      <c r="D7229" s="30">
        <v>784.98409722052975</v>
      </c>
    </row>
    <row r="7230" spans="2:4">
      <c r="B7230" t="s">
        <v>9256</v>
      </c>
      <c r="C7230" s="46">
        <v>1</v>
      </c>
      <c r="D7230" s="30">
        <v>2000.1488356995389</v>
      </c>
    </row>
    <row r="7231" spans="2:4">
      <c r="B7231" t="s">
        <v>9257</v>
      </c>
      <c r="C7231" s="46">
        <v>1</v>
      </c>
      <c r="D7231" s="30">
        <v>2879.0724049006062</v>
      </c>
    </row>
    <row r="7232" spans="2:4">
      <c r="B7232" t="s">
        <v>9258</v>
      </c>
      <c r="C7232" s="46">
        <v>1</v>
      </c>
      <c r="D7232" s="30">
        <v>478.17929427075632</v>
      </c>
    </row>
    <row r="7233" spans="2:4">
      <c r="B7233" t="s">
        <v>9259</v>
      </c>
      <c r="C7233" s="46">
        <v>1</v>
      </c>
      <c r="D7233" s="30">
        <v>2432.243880914893</v>
      </c>
    </row>
    <row r="7234" spans="2:4">
      <c r="B7234" t="s">
        <v>9260</v>
      </c>
      <c r="C7234" s="46">
        <v>1</v>
      </c>
      <c r="D7234" s="30">
        <v>2844.272632616734</v>
      </c>
    </row>
    <row r="7235" spans="2:4">
      <c r="B7235" t="s">
        <v>9261</v>
      </c>
      <c r="C7235" s="46">
        <v>1</v>
      </c>
      <c r="D7235" s="30">
        <v>3261.6141102917045</v>
      </c>
    </row>
    <row r="7236" spans="2:4">
      <c r="B7236" t="s">
        <v>9262</v>
      </c>
      <c r="C7236" s="46">
        <v>1</v>
      </c>
      <c r="D7236" s="30">
        <v>2569.4397185085832</v>
      </c>
    </row>
    <row r="7237" spans="2:4">
      <c r="B7237" t="s">
        <v>9263</v>
      </c>
      <c r="C7237" s="46">
        <v>1</v>
      </c>
      <c r="D7237" s="30">
        <v>2840.4517191738832</v>
      </c>
    </row>
    <row r="7238" spans="2:4">
      <c r="B7238" t="s">
        <v>9264</v>
      </c>
      <c r="C7238" s="46">
        <v>1</v>
      </c>
      <c r="D7238" s="30">
        <v>2724.9078880831953</v>
      </c>
    </row>
    <row r="7239" spans="2:4">
      <c r="B7239" t="s">
        <v>9265</v>
      </c>
      <c r="C7239" s="46">
        <v>1</v>
      </c>
      <c r="D7239" s="30">
        <v>2942.9567017452237</v>
      </c>
    </row>
    <row r="7240" spans="2:4">
      <c r="B7240" t="s">
        <v>9266</v>
      </c>
      <c r="C7240" s="46">
        <v>1</v>
      </c>
      <c r="D7240" s="30">
        <v>813.6316801492967</v>
      </c>
    </row>
    <row r="7241" spans="2:4">
      <c r="B7241" t="s">
        <v>9267</v>
      </c>
      <c r="C7241" s="46">
        <v>1</v>
      </c>
      <c r="D7241" s="30">
        <v>2667.1783115278558</v>
      </c>
    </row>
    <row r="7242" spans="2:4">
      <c r="B7242" t="s">
        <v>9268</v>
      </c>
      <c r="C7242" s="46">
        <v>1</v>
      </c>
      <c r="D7242" s="30">
        <v>2387.7288850495252</v>
      </c>
    </row>
    <row r="7243" spans="2:4">
      <c r="B7243" t="s">
        <v>9269</v>
      </c>
      <c r="C7243" s="46">
        <v>1</v>
      </c>
      <c r="D7243" s="30">
        <v>2875.825226979804</v>
      </c>
    </row>
    <row r="7244" spans="2:4">
      <c r="B7244" t="s">
        <v>9270</v>
      </c>
      <c r="C7244" s="46">
        <v>1</v>
      </c>
      <c r="D7244" s="30">
        <v>20116.31916202138</v>
      </c>
    </row>
    <row r="7245" spans="2:4">
      <c r="B7245" t="s">
        <v>9271</v>
      </c>
      <c r="C7245" s="46">
        <v>2</v>
      </c>
      <c r="D7245" s="30">
        <v>63806.322752618289</v>
      </c>
    </row>
    <row r="7246" spans="2:4">
      <c r="B7246" t="s">
        <v>9272</v>
      </c>
      <c r="C7246" s="46">
        <v>1</v>
      </c>
      <c r="D7246" s="30">
        <v>918.08716805993379</v>
      </c>
    </row>
    <row r="7247" spans="2:4">
      <c r="B7247" t="s">
        <v>9273</v>
      </c>
      <c r="C7247" s="46">
        <v>1</v>
      </c>
      <c r="D7247" s="30">
        <v>2414.4610633827688</v>
      </c>
    </row>
    <row r="7248" spans="2:4">
      <c r="B7248" t="s">
        <v>9274</v>
      </c>
      <c r="C7248" s="46">
        <v>2</v>
      </c>
      <c r="D7248" s="30">
        <v>29990.536261089048</v>
      </c>
    </row>
    <row r="7249" spans="2:4">
      <c r="B7249" t="s">
        <v>9275</v>
      </c>
      <c r="C7249" s="46">
        <v>1</v>
      </c>
      <c r="D7249" s="30">
        <v>1366.2314969685563</v>
      </c>
    </row>
    <row r="7250" spans="2:4">
      <c r="B7250" t="s">
        <v>9276</v>
      </c>
      <c r="C7250" s="46">
        <v>1</v>
      </c>
      <c r="D7250" s="30">
        <v>2849.3632679757011</v>
      </c>
    </row>
    <row r="7251" spans="2:4">
      <c r="B7251" t="s">
        <v>9277</v>
      </c>
      <c r="C7251" s="46">
        <v>1</v>
      </c>
      <c r="D7251" s="30">
        <v>2111.2765878963082</v>
      </c>
    </row>
    <row r="7252" spans="2:4">
      <c r="B7252" t="s">
        <v>9278</v>
      </c>
      <c r="C7252" s="46">
        <v>1</v>
      </c>
      <c r="D7252" s="30">
        <v>2149.3591334643538</v>
      </c>
    </row>
    <row r="7253" spans="2:4">
      <c r="B7253" t="s">
        <v>9279</v>
      </c>
      <c r="C7253" s="46">
        <v>2</v>
      </c>
      <c r="D7253" s="30">
        <v>14036.165027766992</v>
      </c>
    </row>
    <row r="7254" spans="2:4">
      <c r="B7254" t="s">
        <v>9280</v>
      </c>
      <c r="C7254" s="46">
        <v>1</v>
      </c>
      <c r="D7254" s="30">
        <v>1927.7990803866292</v>
      </c>
    </row>
    <row r="7255" spans="2:4">
      <c r="B7255" t="s">
        <v>9281</v>
      </c>
      <c r="C7255" s="46">
        <v>1</v>
      </c>
      <c r="D7255" s="30">
        <v>1684.7081665268829</v>
      </c>
    </row>
    <row r="7256" spans="2:4">
      <c r="B7256" t="s">
        <v>9282</v>
      </c>
      <c r="C7256" s="46">
        <v>1</v>
      </c>
      <c r="D7256" s="30">
        <v>1489.5424871607665</v>
      </c>
    </row>
    <row r="7257" spans="2:4">
      <c r="B7257" t="s">
        <v>9283</v>
      </c>
      <c r="C7257" s="46">
        <v>1</v>
      </c>
      <c r="D7257" s="30">
        <v>1929.4141876011568</v>
      </c>
    </row>
    <row r="7258" spans="2:4">
      <c r="B7258" t="s">
        <v>9284</v>
      </c>
      <c r="C7258" s="46">
        <v>1</v>
      </c>
      <c r="D7258" s="30">
        <v>3151.6889914041194</v>
      </c>
    </row>
    <row r="7259" spans="2:4">
      <c r="B7259" t="s">
        <v>9285</v>
      </c>
      <c r="C7259" s="46">
        <v>1</v>
      </c>
      <c r="D7259" s="30">
        <v>2667.1783115278558</v>
      </c>
    </row>
    <row r="7260" spans="2:4">
      <c r="B7260" t="s">
        <v>9286</v>
      </c>
      <c r="C7260" s="46">
        <v>1</v>
      </c>
      <c r="D7260" s="30">
        <v>2713.0443344259825</v>
      </c>
    </row>
    <row r="7261" spans="2:4">
      <c r="B7261" t="s">
        <v>9287</v>
      </c>
      <c r="C7261" s="46">
        <v>1</v>
      </c>
      <c r="D7261" s="30">
        <v>2212.1161215404659</v>
      </c>
    </row>
    <row r="7262" spans="2:4">
      <c r="B7262" t="s">
        <v>9288</v>
      </c>
      <c r="C7262" s="46">
        <v>2</v>
      </c>
      <c r="D7262" s="30">
        <v>17761.272186144743</v>
      </c>
    </row>
    <row r="7263" spans="2:4">
      <c r="B7263" t="s">
        <v>9289</v>
      </c>
      <c r="C7263" s="46">
        <v>1</v>
      </c>
      <c r="D7263" s="30">
        <v>2290.9930912069244</v>
      </c>
    </row>
    <row r="7264" spans="2:4">
      <c r="B7264" t="s">
        <v>9290</v>
      </c>
      <c r="C7264" s="46">
        <v>2</v>
      </c>
      <c r="D7264" s="30">
        <v>94575.881465008948</v>
      </c>
    </row>
    <row r="7265" spans="2:4">
      <c r="B7265" t="s">
        <v>9291</v>
      </c>
      <c r="C7265" s="46">
        <v>1</v>
      </c>
      <c r="D7265" s="30">
        <v>2883.6121722238527</v>
      </c>
    </row>
    <row r="7266" spans="2:4">
      <c r="B7266" t="s">
        <v>9292</v>
      </c>
      <c r="C7266" s="46">
        <v>1</v>
      </c>
      <c r="D7266" s="30">
        <v>2807.4981589771628</v>
      </c>
    </row>
    <row r="7267" spans="2:4">
      <c r="B7267" t="s">
        <v>9293</v>
      </c>
      <c r="C7267" s="46">
        <v>1</v>
      </c>
      <c r="D7267" s="30">
        <v>2768.4026170455659</v>
      </c>
    </row>
    <row r="7268" spans="2:4">
      <c r="B7268" t="s">
        <v>9294</v>
      </c>
      <c r="C7268" s="46">
        <v>1</v>
      </c>
      <c r="D7268" s="30">
        <v>617.78677433074051</v>
      </c>
    </row>
    <row r="7269" spans="2:4">
      <c r="B7269" t="s">
        <v>9295</v>
      </c>
      <c r="C7269" s="46">
        <v>1</v>
      </c>
      <c r="D7269" s="30">
        <v>988.14175710055656</v>
      </c>
    </row>
    <row r="7270" spans="2:4">
      <c r="B7270" t="s">
        <v>9296</v>
      </c>
      <c r="C7270" s="46">
        <v>1</v>
      </c>
      <c r="D7270" s="30">
        <v>3864.9428693164268</v>
      </c>
    </row>
    <row r="7271" spans="2:4">
      <c r="B7271" t="s">
        <v>9297</v>
      </c>
      <c r="C7271" s="46">
        <v>1</v>
      </c>
      <c r="D7271" s="30">
        <v>2209.6807700227118</v>
      </c>
    </row>
    <row r="7272" spans="2:4">
      <c r="B7272" t="s">
        <v>9298</v>
      </c>
      <c r="C7272" s="46">
        <v>1</v>
      </c>
      <c r="D7272" s="30">
        <v>20116.31916202138</v>
      </c>
    </row>
    <row r="7273" spans="2:4">
      <c r="B7273" t="s">
        <v>9299</v>
      </c>
      <c r="C7273" s="46">
        <v>1</v>
      </c>
      <c r="D7273" s="30">
        <v>2096.1500943404931</v>
      </c>
    </row>
    <row r="7274" spans="2:4">
      <c r="B7274" t="s">
        <v>9300</v>
      </c>
      <c r="C7274" s="46">
        <v>1</v>
      </c>
      <c r="D7274" s="30">
        <v>2596.4958266356775</v>
      </c>
    </row>
    <row r="7275" spans="2:4">
      <c r="B7275" t="s">
        <v>9301</v>
      </c>
      <c r="C7275" s="46">
        <v>1</v>
      </c>
      <c r="D7275" s="30">
        <v>2150.5731027551083</v>
      </c>
    </row>
    <row r="7276" spans="2:4">
      <c r="B7276" t="s">
        <v>9302</v>
      </c>
      <c r="C7276" s="46">
        <v>1</v>
      </c>
      <c r="D7276" s="30">
        <v>2876.1012194780387</v>
      </c>
    </row>
    <row r="7277" spans="2:4">
      <c r="B7277" t="s">
        <v>9303</v>
      </c>
      <c r="C7277" s="46">
        <v>1</v>
      </c>
      <c r="D7277" s="30">
        <v>16220.635765055065</v>
      </c>
    </row>
    <row r="7278" spans="2:4">
      <c r="B7278" t="s">
        <v>9304</v>
      </c>
      <c r="C7278" s="46">
        <v>1</v>
      </c>
      <c r="D7278" s="30">
        <v>2856.4557996193894</v>
      </c>
    </row>
    <row r="7279" spans="2:4">
      <c r="B7279" t="s">
        <v>9305</v>
      </c>
      <c r="C7279" s="46">
        <v>1</v>
      </c>
      <c r="D7279" s="30">
        <v>2303.4804715667024</v>
      </c>
    </row>
    <row r="7280" spans="2:4">
      <c r="B7280" t="s">
        <v>9306</v>
      </c>
      <c r="C7280" s="46">
        <v>1</v>
      </c>
      <c r="D7280" s="30">
        <v>2156.0858864347329</v>
      </c>
    </row>
    <row r="7281" spans="2:4">
      <c r="B7281" t="s">
        <v>9307</v>
      </c>
      <c r="C7281" s="46">
        <v>1</v>
      </c>
      <c r="D7281" s="30">
        <v>1938.4706771798478</v>
      </c>
    </row>
    <row r="7282" spans="2:4">
      <c r="B7282" t="s">
        <v>9308</v>
      </c>
      <c r="C7282" s="46">
        <v>1</v>
      </c>
      <c r="D7282" s="30">
        <v>2158.0602046329427</v>
      </c>
    </row>
    <row r="7283" spans="2:4">
      <c r="B7283" t="s">
        <v>9309</v>
      </c>
      <c r="C7283" s="46">
        <v>1</v>
      </c>
      <c r="D7283" s="30">
        <v>2838.4714507940953</v>
      </c>
    </row>
    <row r="7284" spans="2:4">
      <c r="B7284" t="s">
        <v>9310</v>
      </c>
      <c r="C7284" s="46">
        <v>1</v>
      </c>
      <c r="D7284" s="30">
        <v>1088.9780862776424</v>
      </c>
    </row>
    <row r="7285" spans="2:4">
      <c r="B7285" t="s">
        <v>9311</v>
      </c>
      <c r="C7285" s="46">
        <v>1</v>
      </c>
      <c r="D7285" s="30">
        <v>2739.2291698766107</v>
      </c>
    </row>
    <row r="7286" spans="2:4">
      <c r="B7286" t="s">
        <v>9312</v>
      </c>
      <c r="C7286" s="46">
        <v>1</v>
      </c>
      <c r="D7286" s="30">
        <v>1303.1592844604224</v>
      </c>
    </row>
    <row r="7287" spans="2:4">
      <c r="B7287" t="s">
        <v>9313</v>
      </c>
      <c r="C7287" s="46">
        <v>1</v>
      </c>
      <c r="D7287" s="30">
        <v>2881.0532283602279</v>
      </c>
    </row>
    <row r="7288" spans="2:4">
      <c r="B7288" t="s">
        <v>9314</v>
      </c>
      <c r="C7288" s="46">
        <v>1</v>
      </c>
      <c r="D7288" s="30">
        <v>2858.7766681946946</v>
      </c>
    </row>
    <row r="7289" spans="2:4">
      <c r="B7289" t="s">
        <v>9315</v>
      </c>
      <c r="C7289" s="46">
        <v>1</v>
      </c>
      <c r="D7289" s="30">
        <v>1687.7535521892155</v>
      </c>
    </row>
    <row r="7290" spans="2:4">
      <c r="B7290" t="s">
        <v>9316</v>
      </c>
      <c r="C7290" s="46">
        <v>1</v>
      </c>
      <c r="D7290" s="30">
        <v>2858.7766681946946</v>
      </c>
    </row>
    <row r="7291" spans="2:4">
      <c r="B7291" t="s">
        <v>9317</v>
      </c>
      <c r="C7291" s="46">
        <v>1</v>
      </c>
      <c r="D7291" s="30">
        <v>2944.3271259632579</v>
      </c>
    </row>
    <row r="7292" spans="2:4">
      <c r="B7292" t="s">
        <v>9318</v>
      </c>
      <c r="C7292" s="46">
        <v>1</v>
      </c>
      <c r="D7292" s="30">
        <v>2452.831191982531</v>
      </c>
    </row>
    <row r="7293" spans="2:4">
      <c r="B7293" t="s">
        <v>9319</v>
      </c>
      <c r="C7293" s="46">
        <v>1</v>
      </c>
      <c r="D7293" s="30">
        <v>2625.923853688465</v>
      </c>
    </row>
    <row r="7294" spans="2:4">
      <c r="B7294" t="s">
        <v>9320</v>
      </c>
      <c r="C7294" s="46">
        <v>1</v>
      </c>
      <c r="D7294" s="30">
        <v>790.77001888956443</v>
      </c>
    </row>
    <row r="7295" spans="2:4">
      <c r="B7295" t="s">
        <v>9321</v>
      </c>
      <c r="C7295" s="46">
        <v>1</v>
      </c>
      <c r="D7295" s="30">
        <v>20116.31916202138</v>
      </c>
    </row>
    <row r="7296" spans="2:4">
      <c r="B7296" t="s">
        <v>9322</v>
      </c>
      <c r="C7296" s="46">
        <v>1</v>
      </c>
      <c r="D7296" s="30">
        <v>1278.3069695740767</v>
      </c>
    </row>
    <row r="7297" spans="2:4">
      <c r="B7297" t="s">
        <v>9323</v>
      </c>
      <c r="C7297" s="46">
        <v>1</v>
      </c>
      <c r="D7297" s="30">
        <v>2667.1783115278558</v>
      </c>
    </row>
    <row r="7298" spans="2:4">
      <c r="B7298" t="s">
        <v>9324</v>
      </c>
      <c r="C7298" s="46">
        <v>1</v>
      </c>
      <c r="D7298" s="30">
        <v>2851.7786982455405</v>
      </c>
    </row>
    <row r="7299" spans="2:4">
      <c r="B7299" t="s">
        <v>9325</v>
      </c>
      <c r="C7299" s="46">
        <v>1</v>
      </c>
      <c r="D7299" s="30">
        <v>2352.1522133564304</v>
      </c>
    </row>
    <row r="7300" spans="2:4">
      <c r="B7300" t="s">
        <v>9326</v>
      </c>
      <c r="C7300" s="46">
        <v>1</v>
      </c>
      <c r="D7300" s="30">
        <v>1514.3770134930119</v>
      </c>
    </row>
    <row r="7301" spans="2:4">
      <c r="B7301" t="s">
        <v>9327</v>
      </c>
      <c r="C7301" s="46">
        <v>1</v>
      </c>
      <c r="D7301" s="30">
        <v>1791.6244631756551</v>
      </c>
    </row>
    <row r="7302" spans="2:4">
      <c r="B7302" t="s">
        <v>9328</v>
      </c>
      <c r="C7302" s="46">
        <v>1</v>
      </c>
      <c r="D7302" s="30">
        <v>2239.4692235255575</v>
      </c>
    </row>
    <row r="7303" spans="2:4">
      <c r="B7303" t="s">
        <v>9329</v>
      </c>
      <c r="C7303" s="46">
        <v>1</v>
      </c>
      <c r="D7303" s="30">
        <v>4134.5728452939029</v>
      </c>
    </row>
    <row r="7304" spans="2:4">
      <c r="B7304" t="s">
        <v>9330</v>
      </c>
      <c r="C7304" s="46">
        <v>1</v>
      </c>
      <c r="D7304" s="30">
        <v>2695.2135571726089</v>
      </c>
    </row>
    <row r="7305" spans="2:4">
      <c r="B7305" t="s">
        <v>9331</v>
      </c>
      <c r="C7305" s="46">
        <v>2</v>
      </c>
      <c r="D7305" s="30">
        <v>29990.536261089048</v>
      </c>
    </row>
    <row r="7306" spans="2:4">
      <c r="B7306" t="s">
        <v>9332</v>
      </c>
      <c r="C7306" s="46">
        <v>1</v>
      </c>
      <c r="D7306" s="30">
        <v>2010.4160357738858</v>
      </c>
    </row>
    <row r="7307" spans="2:4">
      <c r="B7307" t="s">
        <v>9333</v>
      </c>
      <c r="C7307" s="46">
        <v>1</v>
      </c>
      <c r="D7307" s="30">
        <v>655.01662357830037</v>
      </c>
    </row>
    <row r="7308" spans="2:4">
      <c r="B7308" t="s">
        <v>9334</v>
      </c>
      <c r="C7308" s="46">
        <v>1</v>
      </c>
      <c r="D7308" s="30">
        <v>1748.0043344105748</v>
      </c>
    </row>
    <row r="7309" spans="2:4">
      <c r="B7309" t="s">
        <v>9335</v>
      </c>
      <c r="C7309" s="46">
        <v>1</v>
      </c>
      <c r="D7309" s="30">
        <v>1850.6047125124046</v>
      </c>
    </row>
    <row r="7310" spans="2:4">
      <c r="B7310" t="s">
        <v>9336</v>
      </c>
      <c r="C7310" s="46">
        <v>1</v>
      </c>
      <c r="D7310" s="30">
        <v>2013.1550874139716</v>
      </c>
    </row>
    <row r="7311" spans="2:4">
      <c r="B7311" t="s">
        <v>9337</v>
      </c>
      <c r="C7311" s="46">
        <v>1</v>
      </c>
      <c r="D7311" s="30">
        <v>2308.9812704146821</v>
      </c>
    </row>
    <row r="7312" spans="2:4">
      <c r="B7312" t="s">
        <v>9338</v>
      </c>
      <c r="C7312" s="46">
        <v>1</v>
      </c>
      <c r="D7312" s="30">
        <v>2847.3828757131405</v>
      </c>
    </row>
    <row r="7313" spans="2:4">
      <c r="B7313" t="s">
        <v>9339</v>
      </c>
      <c r="C7313" s="46">
        <v>1</v>
      </c>
      <c r="D7313" s="30">
        <v>2556.7855668019406</v>
      </c>
    </row>
    <row r="7314" spans="2:4">
      <c r="B7314" t="s">
        <v>9340</v>
      </c>
      <c r="C7314" s="46">
        <v>1</v>
      </c>
      <c r="D7314" s="30">
        <v>27569.183443526439</v>
      </c>
    </row>
    <row r="7315" spans="2:4">
      <c r="B7315" t="s">
        <v>9341</v>
      </c>
      <c r="C7315" s="46">
        <v>1</v>
      </c>
      <c r="D7315" s="30">
        <v>2155.6521751118971</v>
      </c>
    </row>
    <row r="7316" spans="2:4">
      <c r="B7316" t="s">
        <v>9342</v>
      </c>
      <c r="C7316" s="46">
        <v>1</v>
      </c>
      <c r="D7316" s="30">
        <v>5037.1370545730788</v>
      </c>
    </row>
    <row r="7317" spans="2:4">
      <c r="B7317" t="s">
        <v>9343</v>
      </c>
      <c r="C7317" s="46">
        <v>1</v>
      </c>
      <c r="D7317" s="30">
        <v>2272.7459331791329</v>
      </c>
    </row>
    <row r="7318" spans="2:4">
      <c r="B7318" t="s">
        <v>9344</v>
      </c>
      <c r="C7318" s="46">
        <v>1</v>
      </c>
      <c r="D7318" s="30">
        <v>1840.3804469124582</v>
      </c>
    </row>
    <row r="7319" spans="2:4">
      <c r="B7319" t="s">
        <v>9345</v>
      </c>
      <c r="C7319" s="46">
        <v>1</v>
      </c>
      <c r="D7319" s="30">
        <v>1331.2189044025627</v>
      </c>
    </row>
    <row r="7320" spans="2:4">
      <c r="B7320" t="s">
        <v>9346</v>
      </c>
      <c r="C7320" s="46">
        <v>1</v>
      </c>
      <c r="D7320" s="30">
        <v>2966.5034776787143</v>
      </c>
    </row>
    <row r="7321" spans="2:4">
      <c r="B7321" t="s">
        <v>9347</v>
      </c>
      <c r="C7321" s="46">
        <v>1</v>
      </c>
      <c r="D7321" s="30">
        <v>20808.846547923462</v>
      </c>
    </row>
    <row r="7322" spans="2:4">
      <c r="B7322" t="s">
        <v>9348</v>
      </c>
      <c r="C7322" s="46">
        <v>1</v>
      </c>
      <c r="D7322" s="30">
        <v>1442.271542649466</v>
      </c>
    </row>
    <row r="7323" spans="2:4">
      <c r="B7323" t="s">
        <v>9349</v>
      </c>
      <c r="C7323" s="46">
        <v>1</v>
      </c>
      <c r="D7323" s="30">
        <v>2841.0014862901617</v>
      </c>
    </row>
    <row r="7324" spans="2:4">
      <c r="B7324" t="s">
        <v>9350</v>
      </c>
      <c r="C7324" s="46">
        <v>1</v>
      </c>
      <c r="D7324" s="30">
        <v>7051.451653877587</v>
      </c>
    </row>
    <row r="7325" spans="2:4">
      <c r="B7325" t="s">
        <v>9351</v>
      </c>
      <c r="C7325" s="46">
        <v>1</v>
      </c>
      <c r="D7325" s="30">
        <v>2836.4912101024397</v>
      </c>
    </row>
    <row r="7326" spans="2:4">
      <c r="B7326" t="s">
        <v>9352</v>
      </c>
      <c r="C7326" s="46">
        <v>1</v>
      </c>
      <c r="D7326" s="30">
        <v>1958.2517086072457</v>
      </c>
    </row>
    <row r="7327" spans="2:4">
      <c r="B7327" t="s">
        <v>9353</v>
      </c>
      <c r="C7327" s="46">
        <v>1</v>
      </c>
      <c r="D7327" s="30">
        <v>2811.4582509135048</v>
      </c>
    </row>
    <row r="7328" spans="2:4">
      <c r="B7328" t="s">
        <v>9354</v>
      </c>
      <c r="C7328" s="46">
        <v>1</v>
      </c>
      <c r="D7328" s="30">
        <v>2854.9881848707819</v>
      </c>
    </row>
    <row r="7329" spans="2:4">
      <c r="B7329" t="s">
        <v>9355</v>
      </c>
      <c r="C7329" s="46">
        <v>1</v>
      </c>
      <c r="D7329" s="30">
        <v>2695.711983106924</v>
      </c>
    </row>
    <row r="7330" spans="2:4">
      <c r="B7330" t="s">
        <v>9356</v>
      </c>
      <c r="C7330" s="46">
        <v>1</v>
      </c>
      <c r="D7330" s="30">
        <v>2883.0340782983517</v>
      </c>
    </row>
    <row r="7331" spans="2:4">
      <c r="B7331" t="s">
        <v>9357</v>
      </c>
      <c r="C7331" s="46">
        <v>1</v>
      </c>
      <c r="D7331" s="30">
        <v>2787.1707905533153</v>
      </c>
    </row>
    <row r="7332" spans="2:4">
      <c r="B7332" t="s">
        <v>9358</v>
      </c>
      <c r="C7332" s="46">
        <v>1</v>
      </c>
      <c r="D7332" s="30">
        <v>2869.7446952480695</v>
      </c>
    </row>
    <row r="7333" spans="2:4">
      <c r="B7333" t="s">
        <v>9359</v>
      </c>
      <c r="C7333" s="46">
        <v>1</v>
      </c>
      <c r="D7333" s="30">
        <v>2508.0474818567409</v>
      </c>
    </row>
    <row r="7334" spans="2:4">
      <c r="B7334" t="s">
        <v>9360</v>
      </c>
      <c r="C7334" s="46">
        <v>1</v>
      </c>
      <c r="D7334" s="30">
        <v>9989.5502151221135</v>
      </c>
    </row>
    <row r="7335" spans="2:4">
      <c r="B7335" t="s">
        <v>9361</v>
      </c>
      <c r="C7335" s="46">
        <v>1</v>
      </c>
      <c r="D7335" s="30">
        <v>2651.9660977570061</v>
      </c>
    </row>
    <row r="7336" spans="2:4">
      <c r="B7336" t="s">
        <v>9362</v>
      </c>
      <c r="C7336" s="46">
        <v>1</v>
      </c>
      <c r="D7336" s="30">
        <v>2340.513746342981</v>
      </c>
    </row>
    <row r="7337" spans="2:4">
      <c r="B7337" t="s">
        <v>9363</v>
      </c>
      <c r="C7337" s="46">
        <v>1</v>
      </c>
      <c r="D7337" s="30">
        <v>1129.1008652043135</v>
      </c>
    </row>
    <row r="7338" spans="2:4">
      <c r="B7338" t="s">
        <v>9364</v>
      </c>
      <c r="C7338" s="46">
        <v>1</v>
      </c>
      <c r="D7338" s="30">
        <v>2739.3495274356073</v>
      </c>
    </row>
    <row r="7339" spans="2:4">
      <c r="B7339" t="s">
        <v>9365</v>
      </c>
      <c r="C7339" s="46">
        <v>1</v>
      </c>
      <c r="D7339" s="30">
        <v>32658.814375591453</v>
      </c>
    </row>
    <row r="7340" spans="2:4">
      <c r="B7340" t="s">
        <v>9366</v>
      </c>
      <c r="C7340" s="46">
        <v>2</v>
      </c>
      <c r="D7340" s="30">
        <v>13147.041254057496</v>
      </c>
    </row>
    <row r="7341" spans="2:4">
      <c r="B7341" t="s">
        <v>9367</v>
      </c>
      <c r="C7341" s="46">
        <v>1</v>
      </c>
      <c r="D7341" s="30">
        <v>2449.0037899977847</v>
      </c>
    </row>
    <row r="7342" spans="2:4">
      <c r="B7342" t="s">
        <v>9368</v>
      </c>
      <c r="C7342" s="46">
        <v>1</v>
      </c>
      <c r="D7342" s="30">
        <v>2746.9306657626953</v>
      </c>
    </row>
    <row r="7343" spans="2:4">
      <c r="B7343" t="s">
        <v>9369</v>
      </c>
      <c r="C7343" s="46">
        <v>1</v>
      </c>
      <c r="D7343" s="30">
        <v>2660.3681884933103</v>
      </c>
    </row>
    <row r="7344" spans="2:4">
      <c r="B7344" t="s">
        <v>9370</v>
      </c>
      <c r="C7344" s="46">
        <v>1</v>
      </c>
      <c r="D7344" s="30">
        <v>2041.3011467271583</v>
      </c>
    </row>
    <row r="7345" spans="2:4">
      <c r="B7345" t="s">
        <v>9371</v>
      </c>
      <c r="C7345" s="46">
        <v>1</v>
      </c>
      <c r="D7345" s="30">
        <v>784.98409722052975</v>
      </c>
    </row>
    <row r="7346" spans="2:4">
      <c r="B7346" t="s">
        <v>9372</v>
      </c>
      <c r="C7346" s="46">
        <v>1</v>
      </c>
      <c r="D7346" s="30">
        <v>2520.7272908575205</v>
      </c>
    </row>
    <row r="7347" spans="2:4">
      <c r="B7347" t="s">
        <v>9373</v>
      </c>
      <c r="C7347" s="46">
        <v>1</v>
      </c>
      <c r="D7347" s="30">
        <v>1424.001387563324</v>
      </c>
    </row>
    <row r="7348" spans="2:4">
      <c r="B7348" t="s">
        <v>9374</v>
      </c>
      <c r="C7348" s="46">
        <v>1</v>
      </c>
      <c r="D7348" s="30">
        <v>1912.6575763223266</v>
      </c>
    </row>
    <row r="7349" spans="2:4">
      <c r="B7349" t="s">
        <v>9375</v>
      </c>
      <c r="C7349" s="46">
        <v>1</v>
      </c>
      <c r="D7349" s="30">
        <v>2688.0565444449712</v>
      </c>
    </row>
    <row r="7350" spans="2:4">
      <c r="B7350" t="s">
        <v>9376</v>
      </c>
      <c r="C7350" s="46">
        <v>1</v>
      </c>
      <c r="D7350" s="30">
        <v>2847.2433153191569</v>
      </c>
    </row>
    <row r="7351" spans="2:4">
      <c r="B7351" t="s">
        <v>9377</v>
      </c>
      <c r="C7351" s="46">
        <v>1</v>
      </c>
      <c r="D7351" s="30">
        <v>2552.3789592439934</v>
      </c>
    </row>
    <row r="7352" spans="2:4">
      <c r="B7352" t="s">
        <v>9378</v>
      </c>
      <c r="C7352" s="46">
        <v>1</v>
      </c>
      <c r="D7352" s="30">
        <v>2048.3850195760156</v>
      </c>
    </row>
    <row r="7353" spans="2:4">
      <c r="B7353" t="s">
        <v>9379</v>
      </c>
      <c r="C7353" s="46">
        <v>1</v>
      </c>
      <c r="D7353" s="30">
        <v>2612.7104602155396</v>
      </c>
    </row>
    <row r="7354" spans="2:4">
      <c r="B7354" t="s">
        <v>9380</v>
      </c>
      <c r="C7354" s="46">
        <v>1</v>
      </c>
      <c r="D7354" s="30">
        <v>2555.2121478803715</v>
      </c>
    </row>
    <row r="7355" spans="2:4">
      <c r="B7355" t="s">
        <v>9381</v>
      </c>
      <c r="C7355" s="46">
        <v>1</v>
      </c>
      <c r="D7355" s="30">
        <v>2443.7482721861566</v>
      </c>
    </row>
    <row r="7356" spans="2:4">
      <c r="B7356" t="s">
        <v>9382</v>
      </c>
      <c r="C7356" s="46">
        <v>1</v>
      </c>
      <c r="D7356" s="30">
        <v>2048.3850195760156</v>
      </c>
    </row>
    <row r="7357" spans="2:4">
      <c r="B7357" t="s">
        <v>9383</v>
      </c>
      <c r="C7357" s="46">
        <v>1</v>
      </c>
      <c r="D7357" s="30">
        <v>2198.745909358262</v>
      </c>
    </row>
    <row r="7358" spans="2:4">
      <c r="B7358" t="s">
        <v>9384</v>
      </c>
      <c r="C7358" s="46">
        <v>1</v>
      </c>
      <c r="D7358" s="30">
        <v>2050.0425185191671</v>
      </c>
    </row>
    <row r="7359" spans="2:4">
      <c r="B7359" t="s">
        <v>9385</v>
      </c>
      <c r="C7359" s="46">
        <v>1</v>
      </c>
      <c r="D7359" s="30">
        <v>32658.814375591453</v>
      </c>
    </row>
    <row r="7360" spans="2:4">
      <c r="B7360" t="s">
        <v>9386</v>
      </c>
      <c r="C7360" s="46">
        <v>1</v>
      </c>
      <c r="D7360" s="30">
        <v>1229.7074636095681</v>
      </c>
    </row>
    <row r="7361" spans="2:4">
      <c r="B7361" t="s">
        <v>9387</v>
      </c>
      <c r="C7361" s="46">
        <v>1</v>
      </c>
      <c r="D7361" s="30">
        <v>2048.3850195760156</v>
      </c>
    </row>
    <row r="7362" spans="2:4">
      <c r="B7362" t="s">
        <v>9388</v>
      </c>
      <c r="C7362" s="46">
        <v>1</v>
      </c>
      <c r="D7362" s="30">
        <v>2048.3850195760156</v>
      </c>
    </row>
    <row r="7363" spans="2:4">
      <c r="B7363" t="s">
        <v>9389</v>
      </c>
      <c r="C7363" s="46">
        <v>1</v>
      </c>
      <c r="D7363" s="30">
        <v>2876.8157104906477</v>
      </c>
    </row>
    <row r="7364" spans="2:4">
      <c r="B7364" t="s">
        <v>9390</v>
      </c>
      <c r="C7364" s="46">
        <v>1</v>
      </c>
      <c r="D7364" s="30">
        <v>2883.749278989485</v>
      </c>
    </row>
    <row r="7365" spans="2:4">
      <c r="B7365" t="s">
        <v>9391</v>
      </c>
      <c r="C7365" s="46">
        <v>2</v>
      </c>
      <c r="D7365" s="30">
        <v>21618.067181649585</v>
      </c>
    </row>
    <row r="7366" spans="2:4">
      <c r="B7366" t="s">
        <v>9392</v>
      </c>
      <c r="C7366" s="46">
        <v>1</v>
      </c>
      <c r="D7366" s="30">
        <v>2562.8165755794416</v>
      </c>
    </row>
    <row r="7367" spans="2:4">
      <c r="B7367" t="s">
        <v>9393</v>
      </c>
      <c r="C7367" s="46">
        <v>1</v>
      </c>
      <c r="D7367" s="30">
        <v>2048.3850195760156</v>
      </c>
    </row>
    <row r="7368" spans="2:4">
      <c r="B7368" t="s">
        <v>9394</v>
      </c>
      <c r="C7368" s="46">
        <v>1</v>
      </c>
      <c r="D7368" s="30">
        <v>2509.1233107630151</v>
      </c>
    </row>
    <row r="7369" spans="2:4">
      <c r="B7369" t="s">
        <v>9395</v>
      </c>
      <c r="C7369" s="46">
        <v>1</v>
      </c>
      <c r="D7369" s="30">
        <v>2178.8138652085354</v>
      </c>
    </row>
    <row r="7370" spans="2:4">
      <c r="B7370" t="s">
        <v>9396</v>
      </c>
      <c r="C7370" s="46">
        <v>1</v>
      </c>
      <c r="D7370" s="30">
        <v>2048.3850195760156</v>
      </c>
    </row>
    <row r="7371" spans="2:4">
      <c r="B7371" t="s">
        <v>9397</v>
      </c>
      <c r="C7371" s="46">
        <v>1</v>
      </c>
      <c r="D7371" s="30">
        <v>1252.5942840089472</v>
      </c>
    </row>
    <row r="7372" spans="2:4">
      <c r="B7372" t="s">
        <v>9398</v>
      </c>
      <c r="C7372" s="46">
        <v>1</v>
      </c>
      <c r="D7372" s="30">
        <v>2201.5172876479578</v>
      </c>
    </row>
    <row r="7373" spans="2:4">
      <c r="B7373" t="s">
        <v>9399</v>
      </c>
      <c r="C7373" s="46">
        <v>1</v>
      </c>
      <c r="D7373" s="30">
        <v>1827.0931399492076</v>
      </c>
    </row>
    <row r="7374" spans="2:4">
      <c r="B7374" t="s">
        <v>9400</v>
      </c>
      <c r="C7374" s="46">
        <v>1</v>
      </c>
      <c r="D7374" s="30">
        <v>2647.426226088995</v>
      </c>
    </row>
    <row r="7375" spans="2:4">
      <c r="B7375" t="s">
        <v>9401</v>
      </c>
      <c r="C7375" s="46">
        <v>1</v>
      </c>
      <c r="D7375" s="30">
        <v>2443.0640147213835</v>
      </c>
    </row>
    <row r="7376" spans="2:4">
      <c r="B7376" t="s">
        <v>9402</v>
      </c>
      <c r="C7376" s="46">
        <v>1</v>
      </c>
      <c r="D7376" s="30">
        <v>2620.4365426605045</v>
      </c>
    </row>
    <row r="7377" spans="2:4">
      <c r="B7377" t="s">
        <v>9403</v>
      </c>
      <c r="C7377" s="46">
        <v>1</v>
      </c>
      <c r="D7377" s="30">
        <v>2883.0340782983517</v>
      </c>
    </row>
    <row r="7378" spans="2:4">
      <c r="B7378" t="s">
        <v>9404</v>
      </c>
      <c r="C7378" s="46">
        <v>1</v>
      </c>
      <c r="D7378" s="30">
        <v>1705.0445877594718</v>
      </c>
    </row>
    <row r="7379" spans="2:4">
      <c r="B7379" t="s">
        <v>9405</v>
      </c>
      <c r="C7379" s="46">
        <v>1</v>
      </c>
      <c r="D7379" s="30">
        <v>2048.3850195760156</v>
      </c>
    </row>
    <row r="7380" spans="2:4">
      <c r="B7380" t="s">
        <v>9406</v>
      </c>
      <c r="C7380" s="46">
        <v>1</v>
      </c>
      <c r="D7380" s="30">
        <v>2165.1324130187563</v>
      </c>
    </row>
    <row r="7381" spans="2:4">
      <c r="B7381" t="s">
        <v>9407</v>
      </c>
      <c r="C7381" s="46">
        <v>1</v>
      </c>
      <c r="D7381" s="30">
        <v>2882.0436500228893</v>
      </c>
    </row>
    <row r="7382" spans="2:4">
      <c r="B7382" t="s">
        <v>9408</v>
      </c>
      <c r="C7382" s="46">
        <v>1</v>
      </c>
      <c r="D7382" s="30">
        <v>8995.936835862929</v>
      </c>
    </row>
    <row r="7383" spans="2:4">
      <c r="B7383" t="s">
        <v>9409</v>
      </c>
      <c r="C7383" s="46">
        <v>1</v>
      </c>
      <c r="D7383" s="30">
        <v>2048.3850195760156</v>
      </c>
    </row>
    <row r="7384" spans="2:4">
      <c r="B7384" t="s">
        <v>9410</v>
      </c>
      <c r="C7384" s="46">
        <v>1</v>
      </c>
      <c r="D7384" s="30">
        <v>2872.9917842609912</v>
      </c>
    </row>
    <row r="7385" spans="2:4">
      <c r="B7385" t="s">
        <v>9411</v>
      </c>
      <c r="C7385" s="46">
        <v>1</v>
      </c>
      <c r="D7385" s="30">
        <v>334.97475760515334</v>
      </c>
    </row>
    <row r="7386" spans="2:4">
      <c r="B7386" t="s">
        <v>9412</v>
      </c>
      <c r="C7386" s="46">
        <v>1</v>
      </c>
      <c r="D7386" s="30">
        <v>895.36134570219872</v>
      </c>
    </row>
    <row r="7387" spans="2:4">
      <c r="B7387" t="s">
        <v>9413</v>
      </c>
      <c r="C7387" s="46">
        <v>1</v>
      </c>
      <c r="D7387" s="30">
        <v>2806.6493833292752</v>
      </c>
    </row>
    <row r="7388" spans="2:4">
      <c r="B7388" t="s">
        <v>9414</v>
      </c>
      <c r="C7388" s="46">
        <v>1</v>
      </c>
      <c r="D7388" s="30">
        <v>2437.7576734948561</v>
      </c>
    </row>
    <row r="7389" spans="2:4">
      <c r="B7389" t="s">
        <v>9415</v>
      </c>
      <c r="C7389" s="46">
        <v>1</v>
      </c>
      <c r="D7389" s="30">
        <v>513.94912651432492</v>
      </c>
    </row>
    <row r="7390" spans="2:4">
      <c r="B7390" t="s">
        <v>9416</v>
      </c>
      <c r="C7390" s="46">
        <v>1</v>
      </c>
      <c r="D7390" s="30">
        <v>2567.3275469388086</v>
      </c>
    </row>
    <row r="7391" spans="2:4">
      <c r="B7391" t="s">
        <v>9417</v>
      </c>
      <c r="C7391" s="46">
        <v>1</v>
      </c>
      <c r="D7391" s="30">
        <v>1949.3937982844604</v>
      </c>
    </row>
    <row r="7392" spans="2:4">
      <c r="B7392" t="s">
        <v>9418</v>
      </c>
      <c r="C7392" s="46">
        <v>1</v>
      </c>
      <c r="D7392" s="30">
        <v>2170.541112017429</v>
      </c>
    </row>
    <row r="7393" spans="2:4">
      <c r="B7393" t="s">
        <v>9419</v>
      </c>
      <c r="C7393" s="46">
        <v>1</v>
      </c>
      <c r="D7393" s="30">
        <v>1569.5051067220359</v>
      </c>
    </row>
    <row r="7394" spans="2:4">
      <c r="B7394" t="s">
        <v>9420</v>
      </c>
      <c r="C7394" s="46">
        <v>1</v>
      </c>
      <c r="D7394" s="30">
        <v>2014.7231906139239</v>
      </c>
    </row>
    <row r="7395" spans="2:4">
      <c r="B7395" t="s">
        <v>9421</v>
      </c>
      <c r="C7395" s="46">
        <v>1</v>
      </c>
      <c r="D7395" s="30">
        <v>2136.1714829231387</v>
      </c>
    </row>
    <row r="7396" spans="2:4">
      <c r="B7396" t="s">
        <v>9422</v>
      </c>
      <c r="C7396" s="46">
        <v>1</v>
      </c>
      <c r="D7396" s="30">
        <v>2181.2057564505749</v>
      </c>
    </row>
    <row r="7397" spans="2:4">
      <c r="B7397" t="s">
        <v>9423</v>
      </c>
      <c r="C7397" s="46">
        <v>1</v>
      </c>
      <c r="D7397" s="30">
        <v>2862.574809760778</v>
      </c>
    </row>
    <row r="7398" spans="2:4">
      <c r="B7398" t="s">
        <v>9424</v>
      </c>
      <c r="C7398" s="46">
        <v>1</v>
      </c>
      <c r="D7398" s="30">
        <v>2186.9368344796012</v>
      </c>
    </row>
    <row r="7399" spans="2:4">
      <c r="B7399" t="s">
        <v>9425</v>
      </c>
      <c r="C7399" s="46">
        <v>1</v>
      </c>
      <c r="D7399" s="30">
        <v>2651.9660977570061</v>
      </c>
    </row>
    <row r="7400" spans="2:4">
      <c r="B7400" t="s">
        <v>9426</v>
      </c>
      <c r="C7400" s="46">
        <v>1</v>
      </c>
      <c r="D7400" s="30">
        <v>7655.3811415371056</v>
      </c>
    </row>
    <row r="7401" spans="2:4">
      <c r="B7401" t="s">
        <v>9427</v>
      </c>
      <c r="C7401" s="46">
        <v>1</v>
      </c>
      <c r="D7401" s="30">
        <v>2883.4754057426526</v>
      </c>
    </row>
    <row r="7402" spans="2:4">
      <c r="B7402" t="s">
        <v>9428</v>
      </c>
      <c r="C7402" s="46">
        <v>1</v>
      </c>
      <c r="D7402" s="30">
        <v>2414.4610633827688</v>
      </c>
    </row>
    <row r="7403" spans="2:4">
      <c r="B7403" t="s">
        <v>9429</v>
      </c>
      <c r="C7403" s="46">
        <v>1</v>
      </c>
      <c r="D7403" s="30">
        <v>2253.951624172651</v>
      </c>
    </row>
    <row r="7404" spans="2:4">
      <c r="B7404" t="s">
        <v>9430</v>
      </c>
      <c r="C7404" s="46">
        <v>1</v>
      </c>
      <c r="D7404" s="30">
        <v>2867.1880232645649</v>
      </c>
    </row>
    <row r="7405" spans="2:4">
      <c r="B7405" t="s">
        <v>9431</v>
      </c>
      <c r="C7405" s="46">
        <v>1</v>
      </c>
      <c r="D7405" s="30">
        <v>1822.5221473402114</v>
      </c>
    </row>
    <row r="7406" spans="2:4">
      <c r="B7406" t="s">
        <v>9432</v>
      </c>
      <c r="C7406" s="46">
        <v>1</v>
      </c>
      <c r="D7406" s="30">
        <v>2048.3850195760156</v>
      </c>
    </row>
    <row r="7407" spans="2:4">
      <c r="B7407" t="s">
        <v>9433</v>
      </c>
      <c r="C7407" s="46">
        <v>1</v>
      </c>
      <c r="D7407" s="30">
        <v>2558.126191401323</v>
      </c>
    </row>
    <row r="7408" spans="2:4">
      <c r="B7408" t="s">
        <v>9434</v>
      </c>
      <c r="C7408" s="46">
        <v>1</v>
      </c>
      <c r="D7408" s="30">
        <v>2149.3591334643538</v>
      </c>
    </row>
    <row r="7409" spans="2:4">
      <c r="B7409" t="s">
        <v>9435</v>
      </c>
      <c r="C7409" s="46">
        <v>1</v>
      </c>
      <c r="D7409" s="30">
        <v>2209.6807700227118</v>
      </c>
    </row>
    <row r="7410" spans="2:4">
      <c r="B7410" t="s">
        <v>9436</v>
      </c>
      <c r="C7410" s="46">
        <v>1</v>
      </c>
      <c r="D7410" s="30">
        <v>1427.3090153346284</v>
      </c>
    </row>
    <row r="7411" spans="2:4">
      <c r="B7411" t="s">
        <v>9437</v>
      </c>
      <c r="C7411" s="46">
        <v>1</v>
      </c>
      <c r="D7411" s="30">
        <v>1931.7179983281007</v>
      </c>
    </row>
    <row r="7412" spans="2:4">
      <c r="B7412" t="s">
        <v>9438</v>
      </c>
      <c r="C7412" s="46">
        <v>1</v>
      </c>
      <c r="D7412" s="30">
        <v>2048.3850195760156</v>
      </c>
    </row>
    <row r="7413" spans="2:4">
      <c r="B7413" t="s">
        <v>9439</v>
      </c>
      <c r="C7413" s="46">
        <v>1</v>
      </c>
      <c r="D7413" s="30">
        <v>937.20346275451675</v>
      </c>
    </row>
    <row r="7414" spans="2:4">
      <c r="B7414" t="s">
        <v>9440</v>
      </c>
      <c r="C7414" s="46">
        <v>1</v>
      </c>
      <c r="D7414" s="30">
        <v>2546.7196271331163</v>
      </c>
    </row>
    <row r="7415" spans="2:4">
      <c r="B7415" t="s">
        <v>9441</v>
      </c>
      <c r="C7415" s="46">
        <v>1</v>
      </c>
      <c r="D7415" s="30">
        <v>11011.34803063558</v>
      </c>
    </row>
    <row r="7416" spans="2:4">
      <c r="B7416" t="s">
        <v>9442</v>
      </c>
      <c r="C7416" s="46">
        <v>1</v>
      </c>
      <c r="D7416" s="30">
        <v>2995.4455508582218</v>
      </c>
    </row>
    <row r="7417" spans="2:4">
      <c r="B7417" t="s">
        <v>9443</v>
      </c>
      <c r="C7417" s="46">
        <v>1</v>
      </c>
      <c r="D7417" s="30">
        <v>2995.4455508582218</v>
      </c>
    </row>
    <row r="7418" spans="2:4">
      <c r="B7418" t="s">
        <v>9444</v>
      </c>
      <c r="C7418" s="46">
        <v>1</v>
      </c>
      <c r="D7418" s="30">
        <v>2995.4455508582218</v>
      </c>
    </row>
    <row r="7419" spans="2:4">
      <c r="B7419" t="s">
        <v>9445</v>
      </c>
      <c r="C7419" s="46">
        <v>1</v>
      </c>
      <c r="D7419" s="30">
        <v>2995.4455508582218</v>
      </c>
    </row>
    <row r="7420" spans="2:4">
      <c r="B7420" t="s">
        <v>9446</v>
      </c>
      <c r="C7420" s="46">
        <v>1</v>
      </c>
      <c r="D7420" s="30">
        <v>2617.1044398918011</v>
      </c>
    </row>
    <row r="7421" spans="2:4">
      <c r="B7421" t="s">
        <v>9447</v>
      </c>
      <c r="C7421" s="46">
        <v>1</v>
      </c>
      <c r="D7421" s="30">
        <v>2048.3850195760156</v>
      </c>
    </row>
    <row r="7422" spans="2:4">
      <c r="B7422" t="s">
        <v>9448</v>
      </c>
      <c r="C7422" s="46">
        <v>1</v>
      </c>
      <c r="D7422" s="30">
        <v>2693.9906017073699</v>
      </c>
    </row>
    <row r="7423" spans="2:4">
      <c r="B7423" t="s">
        <v>9449</v>
      </c>
      <c r="C7423" s="46">
        <v>1</v>
      </c>
      <c r="D7423" s="30">
        <v>2718.7189560336683</v>
      </c>
    </row>
    <row r="7424" spans="2:4">
      <c r="B7424" t="s">
        <v>9450</v>
      </c>
      <c r="C7424" s="46">
        <v>1</v>
      </c>
      <c r="D7424" s="30">
        <v>1427.3090153346284</v>
      </c>
    </row>
    <row r="7425" spans="2:4">
      <c r="B7425" t="s">
        <v>9451</v>
      </c>
      <c r="C7425" s="46">
        <v>1</v>
      </c>
      <c r="D7425" s="30">
        <v>2831.9065025840309</v>
      </c>
    </row>
    <row r="7426" spans="2:4">
      <c r="B7426" t="s">
        <v>9452</v>
      </c>
      <c r="C7426" s="46">
        <v>1</v>
      </c>
      <c r="D7426" s="30">
        <v>2695.2135571726089</v>
      </c>
    </row>
    <row r="7427" spans="2:4">
      <c r="B7427" t="s">
        <v>9453</v>
      </c>
      <c r="C7427" s="46">
        <v>1</v>
      </c>
      <c r="D7427" s="30">
        <v>1638.9393160069317</v>
      </c>
    </row>
    <row r="7428" spans="2:4">
      <c r="B7428" t="s">
        <v>9454</v>
      </c>
      <c r="C7428" s="46">
        <v>1</v>
      </c>
      <c r="D7428" s="30">
        <v>2538.564876673433</v>
      </c>
    </row>
    <row r="7429" spans="2:4">
      <c r="B7429" t="s">
        <v>9455</v>
      </c>
      <c r="C7429" s="46">
        <v>1</v>
      </c>
      <c r="D7429" s="30">
        <v>1492.140258494125</v>
      </c>
    </row>
    <row r="7430" spans="2:4">
      <c r="B7430" t="s">
        <v>9456</v>
      </c>
      <c r="C7430" s="46">
        <v>1</v>
      </c>
      <c r="D7430" s="30">
        <v>2586.4662526348443</v>
      </c>
    </row>
    <row r="7431" spans="2:4">
      <c r="B7431" t="s">
        <v>9457</v>
      </c>
      <c r="C7431" s="46">
        <v>1</v>
      </c>
      <c r="D7431" s="30">
        <v>2799.8618239603979</v>
      </c>
    </row>
    <row r="7432" spans="2:4">
      <c r="B7432" t="s">
        <v>9458</v>
      </c>
      <c r="C7432" s="46">
        <v>1</v>
      </c>
      <c r="D7432" s="30">
        <v>32658.814375591453</v>
      </c>
    </row>
    <row r="7433" spans="2:4">
      <c r="B7433" t="s">
        <v>9459</v>
      </c>
      <c r="C7433" s="46">
        <v>1</v>
      </c>
      <c r="D7433" s="30">
        <v>2048.3850195760156</v>
      </c>
    </row>
    <row r="7434" spans="2:4">
      <c r="B7434" t="s">
        <v>9460</v>
      </c>
      <c r="C7434" s="46">
        <v>1</v>
      </c>
      <c r="D7434" s="30">
        <v>864.95842598974605</v>
      </c>
    </row>
    <row r="7435" spans="2:4">
      <c r="B7435" t="s">
        <v>9461</v>
      </c>
      <c r="C7435" s="46">
        <v>1</v>
      </c>
      <c r="D7435" s="30">
        <v>2261.656107319292</v>
      </c>
    </row>
    <row r="7436" spans="2:4">
      <c r="B7436" t="s">
        <v>9462</v>
      </c>
      <c r="C7436" s="46">
        <v>1</v>
      </c>
      <c r="D7436" s="30">
        <v>16220.635765055065</v>
      </c>
    </row>
    <row r="7437" spans="2:4">
      <c r="B7437" t="s">
        <v>9463</v>
      </c>
      <c r="C7437" s="46">
        <v>1</v>
      </c>
      <c r="D7437" s="30">
        <v>2294.1325911695376</v>
      </c>
    </row>
    <row r="7438" spans="2:4">
      <c r="B7438" t="s">
        <v>9464</v>
      </c>
      <c r="C7438" s="46">
        <v>1</v>
      </c>
      <c r="D7438" s="30">
        <v>2048.3850195760156</v>
      </c>
    </row>
    <row r="7439" spans="2:4">
      <c r="B7439" t="s">
        <v>9465</v>
      </c>
      <c r="C7439" s="46">
        <v>1</v>
      </c>
      <c r="D7439" s="30">
        <v>2779.0765404053109</v>
      </c>
    </row>
    <row r="7440" spans="2:4">
      <c r="B7440" t="s">
        <v>9466</v>
      </c>
      <c r="C7440" s="46">
        <v>1</v>
      </c>
      <c r="D7440" s="30">
        <v>1427.3090153346284</v>
      </c>
    </row>
    <row r="7441" spans="2:4">
      <c r="B7441" t="s">
        <v>9467</v>
      </c>
      <c r="C7441" s="46">
        <v>1</v>
      </c>
      <c r="D7441" s="30">
        <v>1367.6101622135986</v>
      </c>
    </row>
    <row r="7442" spans="2:4">
      <c r="B7442" t="s">
        <v>9468</v>
      </c>
      <c r="C7442" s="46">
        <v>1</v>
      </c>
      <c r="D7442" s="30">
        <v>2854.1751467939366</v>
      </c>
    </row>
    <row r="7443" spans="2:4">
      <c r="B7443" t="s">
        <v>9469</v>
      </c>
      <c r="C7443" s="46">
        <v>2</v>
      </c>
      <c r="D7443" s="30">
        <v>94575.881465008948</v>
      </c>
    </row>
    <row r="7444" spans="2:4">
      <c r="B7444" t="s">
        <v>9470</v>
      </c>
      <c r="C7444" s="46">
        <v>1</v>
      </c>
      <c r="D7444" s="30">
        <v>2843.4221735322681</v>
      </c>
    </row>
    <row r="7445" spans="2:4">
      <c r="B7445" t="s">
        <v>9471</v>
      </c>
      <c r="C7445" s="46">
        <v>1</v>
      </c>
      <c r="D7445" s="30">
        <v>2861.2461943701323</v>
      </c>
    </row>
    <row r="7446" spans="2:4">
      <c r="B7446" t="s">
        <v>9472</v>
      </c>
      <c r="C7446" s="46">
        <v>1</v>
      </c>
      <c r="D7446" s="30">
        <v>2883.749278989485</v>
      </c>
    </row>
    <row r="7447" spans="2:4">
      <c r="B7447" t="s">
        <v>9473</v>
      </c>
      <c r="C7447" s="46">
        <v>1</v>
      </c>
      <c r="D7447" s="30">
        <v>2872.9917842609912</v>
      </c>
    </row>
    <row r="7448" spans="2:4">
      <c r="B7448" t="s">
        <v>9474</v>
      </c>
      <c r="C7448" s="46">
        <v>1</v>
      </c>
      <c r="D7448" s="30">
        <v>2944.3271259632579</v>
      </c>
    </row>
    <row r="7449" spans="2:4">
      <c r="B7449" t="s">
        <v>9475</v>
      </c>
      <c r="C7449" s="46">
        <v>1</v>
      </c>
      <c r="D7449" s="30">
        <v>2048.3850195760156</v>
      </c>
    </row>
    <row r="7450" spans="2:4">
      <c r="B7450" t="s">
        <v>9476</v>
      </c>
      <c r="C7450" s="46">
        <v>1</v>
      </c>
      <c r="D7450" s="30">
        <v>2274.081559106733</v>
      </c>
    </row>
    <row r="7451" spans="2:4">
      <c r="B7451" t="s">
        <v>9477</v>
      </c>
      <c r="C7451" s="46">
        <v>1</v>
      </c>
      <c r="D7451" s="30">
        <v>2432.8897964965026</v>
      </c>
    </row>
    <row r="7452" spans="2:4">
      <c r="B7452" t="s">
        <v>9478</v>
      </c>
      <c r="C7452" s="46">
        <v>1</v>
      </c>
      <c r="D7452" s="30">
        <v>1500.2106536141305</v>
      </c>
    </row>
    <row r="7453" spans="2:4">
      <c r="B7453" t="s">
        <v>9479</v>
      </c>
      <c r="C7453" s="46">
        <v>1</v>
      </c>
      <c r="D7453" s="30">
        <v>2806.7909621518684</v>
      </c>
    </row>
    <row r="7454" spans="2:4">
      <c r="B7454" t="s">
        <v>9480</v>
      </c>
      <c r="C7454" s="46">
        <v>1</v>
      </c>
      <c r="D7454" s="30">
        <v>4134.5728452939029</v>
      </c>
    </row>
    <row r="7455" spans="2:4">
      <c r="B7455" t="s">
        <v>9481</v>
      </c>
      <c r="C7455" s="46">
        <v>1</v>
      </c>
      <c r="D7455" s="30">
        <v>1427.3090153346284</v>
      </c>
    </row>
    <row r="7456" spans="2:4">
      <c r="B7456" t="s">
        <v>9482</v>
      </c>
      <c r="C7456" s="46">
        <v>1</v>
      </c>
      <c r="D7456" s="30">
        <v>2048.3850195760156</v>
      </c>
    </row>
    <row r="7457" spans="2:4">
      <c r="B7457" t="s">
        <v>9483</v>
      </c>
      <c r="C7457" s="46">
        <v>1</v>
      </c>
      <c r="D7457" s="30">
        <v>975.70433820857124</v>
      </c>
    </row>
    <row r="7458" spans="2:4">
      <c r="B7458" t="s">
        <v>9484</v>
      </c>
      <c r="C7458" s="46">
        <v>1</v>
      </c>
      <c r="D7458" s="30">
        <v>2862.7951310351186</v>
      </c>
    </row>
    <row r="7459" spans="2:4">
      <c r="B7459" t="s">
        <v>9485</v>
      </c>
      <c r="C7459" s="46">
        <v>1</v>
      </c>
      <c r="D7459" s="30">
        <v>899.85654256781913</v>
      </c>
    </row>
    <row r="7460" spans="2:4">
      <c r="B7460" t="s">
        <v>9486</v>
      </c>
      <c r="C7460" s="46">
        <v>1</v>
      </c>
      <c r="D7460" s="30">
        <v>825.73741475007671</v>
      </c>
    </row>
    <row r="7461" spans="2:4">
      <c r="B7461" t="s">
        <v>9487</v>
      </c>
      <c r="C7461" s="46">
        <v>1</v>
      </c>
      <c r="D7461" s="30">
        <v>1417.3694917733178</v>
      </c>
    </row>
    <row r="7462" spans="2:4">
      <c r="B7462" t="s">
        <v>9488</v>
      </c>
      <c r="C7462" s="46">
        <v>1</v>
      </c>
      <c r="D7462" s="30">
        <v>2110.6690318230349</v>
      </c>
    </row>
    <row r="7463" spans="2:4">
      <c r="B7463" t="s">
        <v>9489</v>
      </c>
      <c r="C7463" s="46">
        <v>1</v>
      </c>
      <c r="D7463" s="30">
        <v>1283.1131621555337</v>
      </c>
    </row>
    <row r="7464" spans="2:4">
      <c r="B7464" t="s">
        <v>9490</v>
      </c>
      <c r="C7464" s="46">
        <v>1</v>
      </c>
      <c r="D7464" s="30">
        <v>2883.0340782983517</v>
      </c>
    </row>
    <row r="7465" spans="2:4">
      <c r="B7465" t="s">
        <v>9491</v>
      </c>
      <c r="C7465" s="46">
        <v>1</v>
      </c>
      <c r="D7465" s="30">
        <v>2879.0724049006062</v>
      </c>
    </row>
    <row r="7466" spans="2:4">
      <c r="B7466" t="s">
        <v>9492</v>
      </c>
      <c r="C7466" s="46">
        <v>1</v>
      </c>
      <c r="D7466" s="30">
        <v>2753.3468945321119</v>
      </c>
    </row>
    <row r="7467" spans="2:4">
      <c r="B7467" t="s">
        <v>9493</v>
      </c>
      <c r="C7467" s="46">
        <v>1</v>
      </c>
      <c r="D7467" s="30">
        <v>989.41176306771695</v>
      </c>
    </row>
    <row r="7468" spans="2:4">
      <c r="B7468" t="s">
        <v>9494</v>
      </c>
      <c r="C7468" s="46">
        <v>1</v>
      </c>
      <c r="D7468" s="30">
        <v>2461.8123007007516</v>
      </c>
    </row>
    <row r="7469" spans="2:4">
      <c r="B7469" t="s">
        <v>9495</v>
      </c>
      <c r="C7469" s="46">
        <v>1</v>
      </c>
      <c r="D7469" s="30">
        <v>584.92611628741827</v>
      </c>
    </row>
    <row r="7470" spans="2:4">
      <c r="B7470" t="s">
        <v>9496</v>
      </c>
      <c r="C7470" s="46">
        <v>1</v>
      </c>
      <c r="D7470" s="30">
        <v>2138.5629840845731</v>
      </c>
    </row>
    <row r="7471" spans="2:4">
      <c r="B7471" t="s">
        <v>9497</v>
      </c>
      <c r="C7471" s="46">
        <v>1</v>
      </c>
      <c r="D7471" s="30">
        <v>2065.0352185109778</v>
      </c>
    </row>
    <row r="7472" spans="2:4">
      <c r="B7472" t="s">
        <v>9498</v>
      </c>
      <c r="C7472" s="46">
        <v>1</v>
      </c>
      <c r="D7472" s="30">
        <v>1347.0074240502138</v>
      </c>
    </row>
    <row r="7473" spans="2:4">
      <c r="B7473" t="s">
        <v>9499</v>
      </c>
      <c r="C7473" s="46">
        <v>1</v>
      </c>
      <c r="D7473" s="30">
        <v>792.43406573541563</v>
      </c>
    </row>
    <row r="7474" spans="2:4">
      <c r="B7474" t="s">
        <v>9500</v>
      </c>
      <c r="C7474" s="46">
        <v>1</v>
      </c>
      <c r="D7474" s="30">
        <v>2748.2548821739556</v>
      </c>
    </row>
    <row r="7475" spans="2:4">
      <c r="B7475" t="s">
        <v>9501</v>
      </c>
      <c r="C7475" s="46">
        <v>1</v>
      </c>
      <c r="D7475" s="30">
        <v>538.72974313043676</v>
      </c>
    </row>
    <row r="7476" spans="2:4">
      <c r="B7476" t="s">
        <v>9502</v>
      </c>
      <c r="C7476" s="46">
        <v>1</v>
      </c>
      <c r="D7476" s="30">
        <v>4973.8202072140239</v>
      </c>
    </row>
    <row r="7477" spans="2:4">
      <c r="B7477" t="s">
        <v>9503</v>
      </c>
      <c r="C7477" s="46">
        <v>1</v>
      </c>
      <c r="D7477" s="30">
        <v>918.08716805993379</v>
      </c>
    </row>
    <row r="7478" spans="2:4">
      <c r="B7478" t="s">
        <v>9504</v>
      </c>
      <c r="C7478" s="46">
        <v>1</v>
      </c>
      <c r="D7478" s="30">
        <v>2861.7958381651806</v>
      </c>
    </row>
    <row r="7479" spans="2:4">
      <c r="B7479" t="s">
        <v>9505</v>
      </c>
      <c r="C7479" s="46">
        <v>1</v>
      </c>
      <c r="D7479" s="30">
        <v>3652.4733306062367</v>
      </c>
    </row>
    <row r="7480" spans="2:4">
      <c r="B7480" t="s">
        <v>9506</v>
      </c>
      <c r="C7480" s="46">
        <v>1</v>
      </c>
      <c r="D7480" s="30">
        <v>6324.0649448731137</v>
      </c>
    </row>
    <row r="7481" spans="2:4">
      <c r="B7481" t="s">
        <v>9507</v>
      </c>
      <c r="C7481" s="46">
        <v>1</v>
      </c>
      <c r="D7481" s="30">
        <v>1918.0928133233472</v>
      </c>
    </row>
    <row r="7482" spans="2:4">
      <c r="B7482" t="s">
        <v>9508</v>
      </c>
      <c r="C7482" s="46">
        <v>1</v>
      </c>
      <c r="D7482" s="30">
        <v>1667.2990844739345</v>
      </c>
    </row>
    <row r="7483" spans="2:4">
      <c r="B7483" t="s">
        <v>9509</v>
      </c>
      <c r="C7483" s="46">
        <v>1</v>
      </c>
      <c r="D7483" s="30">
        <v>1958.2517086072457</v>
      </c>
    </row>
    <row r="7484" spans="2:4">
      <c r="B7484" t="s">
        <v>9510</v>
      </c>
      <c r="C7484" s="46">
        <v>2</v>
      </c>
      <c r="D7484" s="30">
        <v>21618.067181649585</v>
      </c>
    </row>
    <row r="7485" spans="2:4">
      <c r="B7485" t="s">
        <v>9511</v>
      </c>
      <c r="C7485" s="46">
        <v>1</v>
      </c>
      <c r="D7485" s="30">
        <v>2850.3534743749824</v>
      </c>
    </row>
    <row r="7486" spans="2:4">
      <c r="B7486" t="s">
        <v>9512</v>
      </c>
      <c r="C7486" s="46">
        <v>1</v>
      </c>
      <c r="D7486" s="30">
        <v>1908.0022495835433</v>
      </c>
    </row>
    <row r="7487" spans="2:4">
      <c r="B7487" t="s">
        <v>9513</v>
      </c>
      <c r="C7487" s="46">
        <v>1</v>
      </c>
      <c r="D7487" s="30">
        <v>2127.5634893487349</v>
      </c>
    </row>
    <row r="7488" spans="2:4">
      <c r="B7488" t="s">
        <v>9514</v>
      </c>
      <c r="C7488" s="46">
        <v>1</v>
      </c>
      <c r="D7488" s="30">
        <v>2805.6594349546835</v>
      </c>
    </row>
    <row r="7489" spans="2:4">
      <c r="B7489" t="s">
        <v>9515</v>
      </c>
      <c r="C7489" s="46">
        <v>1</v>
      </c>
      <c r="D7489" s="30">
        <v>2674.4613694833265</v>
      </c>
    </row>
    <row r="7490" spans="2:4">
      <c r="B7490" t="s">
        <v>9516</v>
      </c>
      <c r="C7490" s="46">
        <v>1</v>
      </c>
      <c r="D7490" s="30">
        <v>2869.7446952480695</v>
      </c>
    </row>
    <row r="7491" spans="2:4">
      <c r="B7491" t="s">
        <v>9517</v>
      </c>
      <c r="C7491" s="46">
        <v>1</v>
      </c>
      <c r="D7491" s="30">
        <v>2869.7446952480695</v>
      </c>
    </row>
    <row r="7492" spans="2:4">
      <c r="B7492" t="s">
        <v>9518</v>
      </c>
      <c r="C7492" s="46">
        <v>1</v>
      </c>
      <c r="D7492" s="30">
        <v>2246.2496522974488</v>
      </c>
    </row>
    <row r="7493" spans="2:4">
      <c r="B7493" t="s">
        <v>9519</v>
      </c>
      <c r="C7493" s="46">
        <v>1</v>
      </c>
      <c r="D7493" s="30">
        <v>937.20346275451675</v>
      </c>
    </row>
    <row r="7494" spans="2:4">
      <c r="B7494" t="s">
        <v>9520</v>
      </c>
      <c r="C7494" s="46">
        <v>1</v>
      </c>
      <c r="D7494" s="30">
        <v>3393.4602572627668</v>
      </c>
    </row>
    <row r="7495" spans="2:4">
      <c r="B7495" t="s">
        <v>9521</v>
      </c>
      <c r="C7495" s="46">
        <v>1</v>
      </c>
      <c r="D7495" s="30">
        <v>2799.8618239603979</v>
      </c>
    </row>
    <row r="7496" spans="2:4">
      <c r="B7496" t="s">
        <v>9522</v>
      </c>
      <c r="C7496" s="46">
        <v>1</v>
      </c>
      <c r="D7496" s="30">
        <v>2662.7113157492186</v>
      </c>
    </row>
    <row r="7497" spans="2:4">
      <c r="B7497" t="s">
        <v>9523</v>
      </c>
      <c r="C7497" s="46">
        <v>1</v>
      </c>
      <c r="D7497" s="30">
        <v>4511.9996622098906</v>
      </c>
    </row>
    <row r="7498" spans="2:4">
      <c r="B7498" t="s">
        <v>9524</v>
      </c>
      <c r="C7498" s="46">
        <v>1</v>
      </c>
      <c r="D7498" s="30">
        <v>2261.4830539935169</v>
      </c>
    </row>
    <row r="7499" spans="2:4">
      <c r="B7499" t="s">
        <v>9525</v>
      </c>
      <c r="C7499" s="46">
        <v>1</v>
      </c>
      <c r="D7499" s="30">
        <v>1576.1954198006651</v>
      </c>
    </row>
    <row r="7500" spans="2:4">
      <c r="B7500" t="s">
        <v>9526</v>
      </c>
      <c r="C7500" s="46">
        <v>1</v>
      </c>
      <c r="D7500" s="30">
        <v>612.97565458843235</v>
      </c>
    </row>
    <row r="7501" spans="2:4">
      <c r="B7501" t="s">
        <v>9527</v>
      </c>
      <c r="C7501" s="46">
        <v>1</v>
      </c>
      <c r="D7501" s="30">
        <v>2625.2095249836225</v>
      </c>
    </row>
    <row r="7502" spans="2:4">
      <c r="B7502" t="s">
        <v>9528</v>
      </c>
      <c r="C7502" s="46">
        <v>2</v>
      </c>
      <c r="D7502" s="30">
        <v>29990.536261089048</v>
      </c>
    </row>
    <row r="7503" spans="2:4">
      <c r="B7503" t="s">
        <v>9529</v>
      </c>
      <c r="C7503" s="46">
        <v>2</v>
      </c>
      <c r="D7503" s="30">
        <v>13147.041254057496</v>
      </c>
    </row>
    <row r="7504" spans="2:4">
      <c r="B7504" t="s">
        <v>9530</v>
      </c>
      <c r="C7504" s="46">
        <v>2</v>
      </c>
      <c r="D7504" s="30">
        <v>13147.041254057496</v>
      </c>
    </row>
    <row r="7505" spans="2:4">
      <c r="B7505" t="s">
        <v>9531</v>
      </c>
      <c r="C7505" s="46">
        <v>2</v>
      </c>
      <c r="D7505" s="30">
        <v>13147.041254057496</v>
      </c>
    </row>
    <row r="7506" spans="2:4">
      <c r="B7506" t="s">
        <v>9532</v>
      </c>
      <c r="C7506" s="46">
        <v>1</v>
      </c>
      <c r="D7506" s="30">
        <v>16220.635765055065</v>
      </c>
    </row>
    <row r="7507" spans="2:4">
      <c r="B7507" t="s">
        <v>9533</v>
      </c>
      <c r="C7507" s="46">
        <v>1</v>
      </c>
      <c r="D7507" s="30">
        <v>1442.271542649466</v>
      </c>
    </row>
    <row r="7508" spans="2:4">
      <c r="B7508" t="s">
        <v>9534</v>
      </c>
      <c r="C7508" s="46">
        <v>1</v>
      </c>
      <c r="D7508" s="30">
        <v>1420.6249211093434</v>
      </c>
    </row>
    <row r="7509" spans="2:4">
      <c r="B7509" t="s">
        <v>9535</v>
      </c>
      <c r="C7509" s="46">
        <v>1</v>
      </c>
      <c r="D7509" s="30">
        <v>1831.1826264780648</v>
      </c>
    </row>
    <row r="7510" spans="2:4">
      <c r="B7510" t="s">
        <v>9536</v>
      </c>
      <c r="C7510" s="46">
        <v>1</v>
      </c>
      <c r="D7510" s="30">
        <v>992.86442415838621</v>
      </c>
    </row>
    <row r="7511" spans="2:4">
      <c r="B7511" t="s">
        <v>9537</v>
      </c>
      <c r="C7511" s="46">
        <v>1</v>
      </c>
      <c r="D7511" s="30">
        <v>2873.7067003913085</v>
      </c>
    </row>
    <row r="7512" spans="2:4">
      <c r="B7512" t="s">
        <v>9538</v>
      </c>
      <c r="C7512" s="46">
        <v>1</v>
      </c>
      <c r="D7512" s="30">
        <v>695.99006890822659</v>
      </c>
    </row>
    <row r="7513" spans="2:4">
      <c r="B7513" t="s">
        <v>9539</v>
      </c>
      <c r="C7513" s="46">
        <v>1</v>
      </c>
      <c r="D7513" s="30">
        <v>2847.9555656773109</v>
      </c>
    </row>
    <row r="7514" spans="2:4">
      <c r="B7514" t="s">
        <v>9540</v>
      </c>
      <c r="C7514" s="46">
        <v>1</v>
      </c>
      <c r="D7514" s="30">
        <v>1101.3643419024834</v>
      </c>
    </row>
    <row r="7515" spans="2:4">
      <c r="B7515" t="s">
        <v>9541</v>
      </c>
      <c r="C7515" s="46">
        <v>1</v>
      </c>
      <c r="D7515" s="30">
        <v>2843.4221735322681</v>
      </c>
    </row>
    <row r="7516" spans="2:4">
      <c r="B7516" t="s">
        <v>9542</v>
      </c>
      <c r="C7516" s="46">
        <v>1</v>
      </c>
      <c r="D7516" s="30">
        <v>1326.6710776779264</v>
      </c>
    </row>
    <row r="7517" spans="2:4">
      <c r="B7517" t="s">
        <v>9543</v>
      </c>
      <c r="C7517" s="46">
        <v>1</v>
      </c>
      <c r="D7517" s="30">
        <v>2837.267134485428</v>
      </c>
    </row>
    <row r="7518" spans="2:4">
      <c r="B7518" t="s">
        <v>9544</v>
      </c>
      <c r="C7518" s="46">
        <v>1</v>
      </c>
      <c r="D7518" s="30">
        <v>918.08716805993379</v>
      </c>
    </row>
    <row r="7519" spans="2:4">
      <c r="B7519" t="s">
        <v>9545</v>
      </c>
      <c r="C7519" s="46">
        <v>1</v>
      </c>
      <c r="D7519" s="30">
        <v>1689.5791185305841</v>
      </c>
    </row>
    <row r="7520" spans="2:4">
      <c r="B7520" t="s">
        <v>9546</v>
      </c>
      <c r="C7520" s="46">
        <v>1</v>
      </c>
      <c r="D7520" s="30">
        <v>6676.8743817738723</v>
      </c>
    </row>
    <row r="7521" spans="2:4">
      <c r="B7521" t="s">
        <v>9547</v>
      </c>
      <c r="C7521" s="46">
        <v>1</v>
      </c>
      <c r="D7521" s="30">
        <v>2210.6511834811217</v>
      </c>
    </row>
    <row r="7522" spans="2:4">
      <c r="B7522" t="s">
        <v>9548</v>
      </c>
      <c r="C7522" s="46">
        <v>1</v>
      </c>
      <c r="D7522" s="30">
        <v>840.08366283417718</v>
      </c>
    </row>
    <row r="7523" spans="2:4">
      <c r="B7523" t="s">
        <v>9549</v>
      </c>
      <c r="C7523" s="46">
        <v>1</v>
      </c>
      <c r="D7523" s="30">
        <v>2340.8069006342871</v>
      </c>
    </row>
    <row r="7524" spans="2:4">
      <c r="B7524" t="s">
        <v>9550</v>
      </c>
      <c r="C7524" s="46">
        <v>1</v>
      </c>
      <c r="D7524" s="30">
        <v>6446.3859864075466</v>
      </c>
    </row>
    <row r="7525" spans="2:4">
      <c r="B7525" t="s">
        <v>9551</v>
      </c>
      <c r="C7525" s="46">
        <v>1</v>
      </c>
      <c r="D7525" s="30">
        <v>2453.1120876487789</v>
      </c>
    </row>
    <row r="7526" spans="2:4">
      <c r="B7526" t="s">
        <v>9552</v>
      </c>
      <c r="C7526" s="46">
        <v>1</v>
      </c>
      <c r="D7526" s="30">
        <v>2732.5482597492455</v>
      </c>
    </row>
    <row r="7527" spans="2:4">
      <c r="B7527" t="s">
        <v>9553</v>
      </c>
      <c r="C7527" s="46">
        <v>1</v>
      </c>
      <c r="D7527" s="30">
        <v>2799.8618239603979</v>
      </c>
    </row>
    <row r="7528" spans="2:4">
      <c r="B7528" t="s">
        <v>9554</v>
      </c>
      <c r="C7528" s="46">
        <v>1</v>
      </c>
      <c r="D7528" s="30">
        <v>738.58211817895335</v>
      </c>
    </row>
    <row r="7529" spans="2:4">
      <c r="B7529" t="s">
        <v>9555</v>
      </c>
      <c r="C7529" s="46">
        <v>1</v>
      </c>
      <c r="D7529" s="30">
        <v>1381.7574384699276</v>
      </c>
    </row>
    <row r="7530" spans="2:4">
      <c r="B7530" t="s">
        <v>9556</v>
      </c>
      <c r="C7530" s="46">
        <v>1</v>
      </c>
      <c r="D7530" s="30">
        <v>2774.8317687586155</v>
      </c>
    </row>
    <row r="7531" spans="2:4">
      <c r="B7531" t="s">
        <v>9557</v>
      </c>
      <c r="C7531" s="46">
        <v>1</v>
      </c>
      <c r="D7531" s="30">
        <v>14068.114902766145</v>
      </c>
    </row>
    <row r="7532" spans="2:4">
      <c r="B7532" t="s">
        <v>9558</v>
      </c>
      <c r="C7532" s="46">
        <v>1</v>
      </c>
      <c r="D7532" s="30">
        <v>2757.1611003823632</v>
      </c>
    </row>
    <row r="7533" spans="2:4">
      <c r="B7533" t="s">
        <v>9559</v>
      </c>
      <c r="C7533" s="46">
        <v>1</v>
      </c>
      <c r="D7533" s="30">
        <v>2045.3687697020212</v>
      </c>
    </row>
    <row r="7534" spans="2:4">
      <c r="B7534" t="s">
        <v>9560</v>
      </c>
      <c r="C7534" s="46">
        <v>2</v>
      </c>
      <c r="D7534" s="30">
        <v>4967.6207054882698</v>
      </c>
    </row>
    <row r="7535" spans="2:4">
      <c r="B7535" t="s">
        <v>9561</v>
      </c>
      <c r="C7535" s="46">
        <v>2</v>
      </c>
      <c r="D7535" s="30">
        <v>15912.777038598722</v>
      </c>
    </row>
    <row r="7536" spans="2:4">
      <c r="B7536" t="s">
        <v>9562</v>
      </c>
      <c r="C7536" s="46">
        <v>1</v>
      </c>
      <c r="D7536" s="30">
        <v>2693.9906017073699</v>
      </c>
    </row>
    <row r="7537" spans="2:4">
      <c r="B7537" t="s">
        <v>9563</v>
      </c>
      <c r="C7537" s="46">
        <v>1</v>
      </c>
      <c r="D7537" s="30">
        <v>4137.4939404567749</v>
      </c>
    </row>
    <row r="7538" spans="2:4">
      <c r="B7538" t="s">
        <v>9564</v>
      </c>
      <c r="C7538" s="46">
        <v>1</v>
      </c>
      <c r="D7538" s="30">
        <v>1466.8756222308862</v>
      </c>
    </row>
    <row r="7539" spans="2:4">
      <c r="B7539" t="s">
        <v>9565</v>
      </c>
      <c r="C7539" s="46">
        <v>1</v>
      </c>
      <c r="D7539" s="30">
        <v>12042.388187564298</v>
      </c>
    </row>
    <row r="7540" spans="2:4">
      <c r="B7540" t="s">
        <v>9566</v>
      </c>
      <c r="C7540" s="46">
        <v>1</v>
      </c>
      <c r="D7540" s="30">
        <v>2665.1629657554154</v>
      </c>
    </row>
    <row r="7541" spans="2:4">
      <c r="B7541" t="s">
        <v>9567</v>
      </c>
      <c r="C7541" s="46">
        <v>1</v>
      </c>
      <c r="D7541" s="30">
        <v>14068.114902766145</v>
      </c>
    </row>
    <row r="7542" spans="2:4">
      <c r="B7542" t="s">
        <v>9568</v>
      </c>
      <c r="C7542" s="46">
        <v>1</v>
      </c>
      <c r="D7542" s="30">
        <v>2772.8522414523522</v>
      </c>
    </row>
    <row r="7543" spans="2:4">
      <c r="B7543" t="s">
        <v>9569</v>
      </c>
      <c r="C7543" s="46">
        <v>1</v>
      </c>
      <c r="D7543" s="30">
        <v>463.55579148621359</v>
      </c>
    </row>
    <row r="7544" spans="2:4">
      <c r="B7544" t="s">
        <v>9570</v>
      </c>
      <c r="C7544" s="46">
        <v>1</v>
      </c>
      <c r="D7544" s="30">
        <v>2045.3687697020212</v>
      </c>
    </row>
    <row r="7545" spans="2:4">
      <c r="B7545" t="s">
        <v>9571</v>
      </c>
      <c r="C7545" s="46">
        <v>1</v>
      </c>
      <c r="D7545" s="30">
        <v>2868.1783516274104</v>
      </c>
    </row>
    <row r="7546" spans="2:4">
      <c r="B7546" t="s">
        <v>9572</v>
      </c>
      <c r="C7546" s="46">
        <v>1</v>
      </c>
      <c r="D7546" s="30">
        <v>2856.4557996193894</v>
      </c>
    </row>
    <row r="7547" spans="2:4">
      <c r="B7547" t="s">
        <v>9573</v>
      </c>
      <c r="C7547" s="46">
        <v>1</v>
      </c>
      <c r="D7547" s="30">
        <v>16220.635765055065</v>
      </c>
    </row>
    <row r="7548" spans="2:4">
      <c r="B7548" t="s">
        <v>9574</v>
      </c>
      <c r="C7548" s="46">
        <v>1</v>
      </c>
      <c r="D7548" s="30">
        <v>3618.5863170100579</v>
      </c>
    </row>
    <row r="7549" spans="2:4">
      <c r="B7549" t="s">
        <v>9575</v>
      </c>
      <c r="C7549" s="46">
        <v>1</v>
      </c>
      <c r="D7549" s="30">
        <v>2735.2738115076531</v>
      </c>
    </row>
    <row r="7550" spans="2:4">
      <c r="B7550" t="s">
        <v>9576</v>
      </c>
      <c r="C7550" s="46">
        <v>1</v>
      </c>
      <c r="D7550" s="30">
        <v>32658.814375591453</v>
      </c>
    </row>
    <row r="7551" spans="2:4">
      <c r="B7551" t="s">
        <v>9577</v>
      </c>
      <c r="C7551" s="46">
        <v>1</v>
      </c>
      <c r="D7551" s="30">
        <v>1514.3770134930119</v>
      </c>
    </row>
    <row r="7552" spans="2:4">
      <c r="B7552" t="s">
        <v>9578</v>
      </c>
      <c r="C7552" s="46">
        <v>1</v>
      </c>
      <c r="D7552" s="30">
        <v>2594.6036722581098</v>
      </c>
    </row>
    <row r="7553" spans="2:4">
      <c r="B7553" t="s">
        <v>9579</v>
      </c>
      <c r="C7553" s="46">
        <v>2</v>
      </c>
      <c r="D7553" s="30">
        <v>21618.067181649585</v>
      </c>
    </row>
    <row r="7554" spans="2:4">
      <c r="B7554" t="s">
        <v>9580</v>
      </c>
      <c r="C7554" s="46">
        <v>1</v>
      </c>
      <c r="D7554" s="30">
        <v>2643.0044331503727</v>
      </c>
    </row>
    <row r="7555" spans="2:4">
      <c r="B7555" t="s">
        <v>9581</v>
      </c>
      <c r="C7555" s="46">
        <v>1</v>
      </c>
      <c r="D7555" s="30">
        <v>2413.6368978936935</v>
      </c>
    </row>
    <row r="7556" spans="2:4">
      <c r="B7556" t="s">
        <v>9582</v>
      </c>
      <c r="C7556" s="46">
        <v>1</v>
      </c>
      <c r="D7556" s="30">
        <v>1467.5628413102065</v>
      </c>
    </row>
    <row r="7557" spans="2:4">
      <c r="B7557" t="s">
        <v>9583</v>
      </c>
      <c r="C7557" s="46">
        <v>1</v>
      </c>
      <c r="D7557" s="30">
        <v>2004.1426527053829</v>
      </c>
    </row>
    <row r="7558" spans="2:4">
      <c r="B7558" t="s">
        <v>9584</v>
      </c>
      <c r="C7558" s="46">
        <v>1</v>
      </c>
      <c r="D7558" s="30">
        <v>2559.3177702113694</v>
      </c>
    </row>
    <row r="7559" spans="2:4">
      <c r="B7559" t="s">
        <v>9585</v>
      </c>
      <c r="C7559" s="46">
        <v>1</v>
      </c>
      <c r="D7559" s="30">
        <v>2876.9534887447553</v>
      </c>
    </row>
    <row r="7560" spans="2:4">
      <c r="B7560" t="s">
        <v>9586</v>
      </c>
      <c r="C7560" s="46">
        <v>1</v>
      </c>
      <c r="D7560" s="30">
        <v>1369.4992619566524</v>
      </c>
    </row>
    <row r="7561" spans="2:4">
      <c r="B7561" t="s">
        <v>9587</v>
      </c>
      <c r="C7561" s="46">
        <v>1</v>
      </c>
      <c r="D7561" s="30">
        <v>1786.3211808444257</v>
      </c>
    </row>
    <row r="7562" spans="2:4">
      <c r="B7562" t="s">
        <v>9588</v>
      </c>
      <c r="C7562" s="46">
        <v>1</v>
      </c>
      <c r="D7562" s="30">
        <v>2864.3803698388551</v>
      </c>
    </row>
    <row r="7563" spans="2:4">
      <c r="B7563" t="s">
        <v>9589</v>
      </c>
      <c r="C7563" s="46">
        <v>1</v>
      </c>
      <c r="D7563" s="30">
        <v>2828.5705253801739</v>
      </c>
    </row>
    <row r="7564" spans="2:4">
      <c r="B7564" t="s">
        <v>9590</v>
      </c>
      <c r="C7564" s="46">
        <v>1</v>
      </c>
      <c r="D7564" s="30">
        <v>2883.8867259910162</v>
      </c>
    </row>
    <row r="7565" spans="2:4">
      <c r="B7565" t="s">
        <v>9591</v>
      </c>
      <c r="C7565" s="46">
        <v>1</v>
      </c>
      <c r="D7565" s="30">
        <v>243.65786665059838</v>
      </c>
    </row>
    <row r="7566" spans="2:4">
      <c r="B7566" t="s">
        <v>9592</v>
      </c>
      <c r="C7566" s="46">
        <v>1</v>
      </c>
      <c r="D7566" s="30">
        <v>2618.4847649331232</v>
      </c>
    </row>
    <row r="7567" spans="2:4">
      <c r="B7567" t="s">
        <v>9593</v>
      </c>
      <c r="C7567" s="46">
        <v>1</v>
      </c>
      <c r="D7567" s="30">
        <v>1684.7081665268829</v>
      </c>
    </row>
    <row r="7568" spans="2:4">
      <c r="B7568" t="s">
        <v>9594</v>
      </c>
      <c r="C7568" s="46">
        <v>1</v>
      </c>
      <c r="D7568" s="30">
        <v>2815.7003692063381</v>
      </c>
    </row>
    <row r="7569" spans="2:4">
      <c r="B7569" t="s">
        <v>9595</v>
      </c>
      <c r="C7569" s="46">
        <v>1</v>
      </c>
      <c r="D7569" s="30">
        <v>2290.6084430928977</v>
      </c>
    </row>
    <row r="7570" spans="2:4">
      <c r="B7570" t="s">
        <v>9596</v>
      </c>
      <c r="C7570" s="46">
        <v>1</v>
      </c>
      <c r="D7570" s="30">
        <v>2878.082003117318</v>
      </c>
    </row>
    <row r="7571" spans="2:4">
      <c r="B7571" t="s">
        <v>9597</v>
      </c>
      <c r="C7571" s="46">
        <v>1</v>
      </c>
      <c r="D7571" s="30">
        <v>2860.6927146581697</v>
      </c>
    </row>
    <row r="7572" spans="2:4">
      <c r="B7572" t="s">
        <v>9598</v>
      </c>
      <c r="C7572" s="46">
        <v>1</v>
      </c>
      <c r="D7572" s="30">
        <v>1367.3111057098652</v>
      </c>
    </row>
    <row r="7573" spans="2:4">
      <c r="B7573" t="s">
        <v>9599</v>
      </c>
      <c r="C7573" s="46">
        <v>1</v>
      </c>
      <c r="D7573" s="30">
        <v>2290.1896781482515</v>
      </c>
    </row>
    <row r="7574" spans="2:4">
      <c r="B7574" t="s">
        <v>9600</v>
      </c>
      <c r="C7574" s="46">
        <v>1</v>
      </c>
      <c r="D7574" s="30">
        <v>2607.487902138294</v>
      </c>
    </row>
    <row r="7575" spans="2:4">
      <c r="B7575" t="s">
        <v>9601</v>
      </c>
      <c r="C7575" s="46">
        <v>1</v>
      </c>
      <c r="D7575" s="30">
        <v>1839.2190083187118</v>
      </c>
    </row>
    <row r="7576" spans="2:4">
      <c r="B7576" t="s">
        <v>9602</v>
      </c>
      <c r="C7576" s="46">
        <v>1</v>
      </c>
      <c r="D7576" s="30">
        <v>9989.5502151221135</v>
      </c>
    </row>
    <row r="7577" spans="2:4">
      <c r="B7577" t="s">
        <v>9603</v>
      </c>
      <c r="C7577" s="46">
        <v>1</v>
      </c>
      <c r="D7577" s="30">
        <v>1807.9172302194213</v>
      </c>
    </row>
    <row r="7578" spans="2:4">
      <c r="B7578" t="s">
        <v>9604</v>
      </c>
      <c r="C7578" s="46">
        <v>1</v>
      </c>
      <c r="D7578" s="30">
        <v>1735.0961399732744</v>
      </c>
    </row>
    <row r="7579" spans="2:4">
      <c r="B7579" t="s">
        <v>9605</v>
      </c>
      <c r="C7579" s="46">
        <v>1</v>
      </c>
      <c r="D7579" s="30">
        <v>1456.8317417357562</v>
      </c>
    </row>
    <row r="7580" spans="2:4">
      <c r="B7580" t="s">
        <v>9606</v>
      </c>
      <c r="C7580" s="46">
        <v>1</v>
      </c>
      <c r="D7580" s="30">
        <v>32658.814375591453</v>
      </c>
    </row>
    <row r="7581" spans="2:4">
      <c r="B7581" t="s">
        <v>9607</v>
      </c>
      <c r="C7581" s="46">
        <v>1</v>
      </c>
      <c r="D7581" s="30">
        <v>1470.816697647937</v>
      </c>
    </row>
    <row r="7582" spans="2:4">
      <c r="B7582" t="s">
        <v>9608</v>
      </c>
      <c r="C7582" s="46">
        <v>1</v>
      </c>
      <c r="D7582" s="30">
        <v>2884.0245131798015</v>
      </c>
    </row>
    <row r="7583" spans="2:4">
      <c r="B7583" t="s">
        <v>9609</v>
      </c>
      <c r="C7583" s="46">
        <v>1</v>
      </c>
      <c r="D7583" s="30">
        <v>1461.2944194163567</v>
      </c>
    </row>
    <row r="7584" spans="2:4">
      <c r="B7584" t="s">
        <v>9610</v>
      </c>
      <c r="C7584" s="46">
        <v>1</v>
      </c>
      <c r="D7584" s="30">
        <v>2468.398992723517</v>
      </c>
    </row>
    <row r="7585" spans="2:4">
      <c r="B7585" t="s">
        <v>9611</v>
      </c>
      <c r="C7585" s="46">
        <v>1</v>
      </c>
      <c r="D7585" s="30">
        <v>2234.6449940633097</v>
      </c>
    </row>
    <row r="7586" spans="2:4">
      <c r="B7586" t="s">
        <v>9612</v>
      </c>
      <c r="C7586" s="46">
        <v>1</v>
      </c>
      <c r="D7586" s="30">
        <v>1839.2190083187118</v>
      </c>
    </row>
    <row r="7587" spans="2:4">
      <c r="B7587" t="s">
        <v>9613</v>
      </c>
      <c r="C7587" s="46">
        <v>1</v>
      </c>
      <c r="D7587" s="30">
        <v>2234.3291523279627</v>
      </c>
    </row>
    <row r="7588" spans="2:4">
      <c r="B7588" t="s">
        <v>9614</v>
      </c>
      <c r="C7588" s="46">
        <v>2</v>
      </c>
      <c r="D7588" s="30">
        <v>94575.881465008948</v>
      </c>
    </row>
    <row r="7589" spans="2:4">
      <c r="B7589" t="s">
        <v>9615</v>
      </c>
      <c r="C7589" s="46">
        <v>1</v>
      </c>
      <c r="D7589" s="30">
        <v>1917.5787496065238</v>
      </c>
    </row>
    <row r="7590" spans="2:4">
      <c r="B7590" t="s">
        <v>9616</v>
      </c>
      <c r="C7590" s="46">
        <v>1</v>
      </c>
      <c r="D7590" s="30">
        <v>2177.4537780625974</v>
      </c>
    </row>
    <row r="7591" spans="2:4">
      <c r="B7591" t="s">
        <v>9617</v>
      </c>
      <c r="C7591" s="46">
        <v>1</v>
      </c>
      <c r="D7591" s="30">
        <v>6854.8559162192205</v>
      </c>
    </row>
    <row r="7592" spans="2:4">
      <c r="B7592" t="s">
        <v>9618</v>
      </c>
      <c r="C7592" s="46">
        <v>1</v>
      </c>
      <c r="D7592" s="30">
        <v>2060.0860975828264</v>
      </c>
    </row>
    <row r="7593" spans="2:4">
      <c r="B7593" t="s">
        <v>9619</v>
      </c>
      <c r="C7593" s="46">
        <v>1</v>
      </c>
      <c r="D7593" s="30">
        <v>2113.1635591088643</v>
      </c>
    </row>
    <row r="7594" spans="2:4">
      <c r="B7594" t="s">
        <v>9620</v>
      </c>
      <c r="C7594" s="46">
        <v>1</v>
      </c>
      <c r="D7594" s="30">
        <v>16220.635765055065</v>
      </c>
    </row>
    <row r="7595" spans="2:4">
      <c r="B7595" t="s">
        <v>9621</v>
      </c>
      <c r="C7595" s="46">
        <v>1</v>
      </c>
      <c r="D7595" s="30">
        <v>2870.1590284736594</v>
      </c>
    </row>
    <row r="7596" spans="2:4">
      <c r="B7596" t="s">
        <v>9622</v>
      </c>
      <c r="C7596" s="46">
        <v>1</v>
      </c>
      <c r="D7596" s="30">
        <v>2884.0245131798015</v>
      </c>
    </row>
    <row r="7597" spans="2:4">
      <c r="B7597" t="s">
        <v>9623</v>
      </c>
      <c r="C7597" s="46">
        <v>1</v>
      </c>
      <c r="D7597" s="30">
        <v>2880.5035545101582</v>
      </c>
    </row>
    <row r="7598" spans="2:4">
      <c r="B7598" t="s">
        <v>9624</v>
      </c>
      <c r="C7598" s="46">
        <v>1</v>
      </c>
      <c r="D7598" s="30">
        <v>1735.0961399732744</v>
      </c>
    </row>
    <row r="7599" spans="2:4">
      <c r="B7599" t="s">
        <v>9625</v>
      </c>
      <c r="C7599" s="46">
        <v>1</v>
      </c>
      <c r="D7599" s="30">
        <v>2944.3271259632579</v>
      </c>
    </row>
    <row r="7600" spans="2:4">
      <c r="B7600" t="s">
        <v>9626</v>
      </c>
      <c r="C7600" s="46">
        <v>1</v>
      </c>
      <c r="D7600" s="30">
        <v>32658.814375591453</v>
      </c>
    </row>
    <row r="7601" spans="2:4">
      <c r="B7601" t="s">
        <v>9627</v>
      </c>
      <c r="C7601" s="46">
        <v>1</v>
      </c>
      <c r="D7601" s="30">
        <v>4134.5728452939029</v>
      </c>
    </row>
    <row r="7602" spans="2:4">
      <c r="B7602" t="s">
        <v>9628</v>
      </c>
      <c r="C7602" s="46">
        <v>1</v>
      </c>
      <c r="D7602" s="30">
        <v>2705.8595887436645</v>
      </c>
    </row>
    <row r="7603" spans="2:4">
      <c r="B7603" t="s">
        <v>9629</v>
      </c>
      <c r="C7603" s="46">
        <v>1</v>
      </c>
      <c r="D7603" s="30">
        <v>2880.9152990621023</v>
      </c>
    </row>
    <row r="7604" spans="2:4">
      <c r="B7604" t="s">
        <v>9630</v>
      </c>
      <c r="C7604" s="46">
        <v>1</v>
      </c>
      <c r="D7604" s="30">
        <v>14362.813469445313</v>
      </c>
    </row>
    <row r="7605" spans="2:4">
      <c r="B7605" t="s">
        <v>9631</v>
      </c>
      <c r="C7605" s="46">
        <v>1</v>
      </c>
      <c r="D7605" s="30">
        <v>2875.1108376357761</v>
      </c>
    </row>
    <row r="7606" spans="2:4">
      <c r="B7606" t="s">
        <v>9632</v>
      </c>
      <c r="C7606" s="46">
        <v>1</v>
      </c>
      <c r="D7606" s="30">
        <v>2747.4100068383359</v>
      </c>
    </row>
    <row r="7607" spans="2:4">
      <c r="B7607" t="s">
        <v>9633</v>
      </c>
      <c r="C7607" s="46">
        <v>1</v>
      </c>
      <c r="D7607" s="30">
        <v>2038.6681946996491</v>
      </c>
    </row>
    <row r="7608" spans="2:4">
      <c r="B7608" t="s">
        <v>9634</v>
      </c>
      <c r="C7608" s="46">
        <v>1</v>
      </c>
      <c r="D7608" s="30">
        <v>2840.9338979744248</v>
      </c>
    </row>
    <row r="7609" spans="2:4">
      <c r="B7609" t="s">
        <v>9635</v>
      </c>
      <c r="C7609" s="46">
        <v>1</v>
      </c>
      <c r="D7609" s="30">
        <v>1466.3371380912479</v>
      </c>
    </row>
    <row r="7610" spans="2:4">
      <c r="B7610" t="s">
        <v>9636</v>
      </c>
      <c r="C7610" s="46">
        <v>1</v>
      </c>
      <c r="D7610" s="30">
        <v>2410.3457154532134</v>
      </c>
    </row>
    <row r="7611" spans="2:4">
      <c r="B7611" t="s">
        <v>9637</v>
      </c>
      <c r="C7611" s="46">
        <v>1</v>
      </c>
      <c r="D7611" s="30">
        <v>825.73741475007671</v>
      </c>
    </row>
    <row r="7612" spans="2:4">
      <c r="B7612" t="s">
        <v>9638</v>
      </c>
      <c r="C7612" s="46">
        <v>1</v>
      </c>
      <c r="D7612" s="30">
        <v>2858.7766681946946</v>
      </c>
    </row>
    <row r="7613" spans="2:4">
      <c r="B7613" t="s">
        <v>9639</v>
      </c>
      <c r="C7613" s="46">
        <v>2</v>
      </c>
      <c r="D7613" s="30">
        <v>25405.358285305603</v>
      </c>
    </row>
    <row r="7614" spans="2:4">
      <c r="B7614" t="s">
        <v>9640</v>
      </c>
      <c r="C7614" s="46">
        <v>1</v>
      </c>
      <c r="D7614" s="30">
        <v>23575.667016428823</v>
      </c>
    </row>
    <row r="7615" spans="2:4">
      <c r="B7615" t="s">
        <v>9641</v>
      </c>
      <c r="C7615" s="46">
        <v>1</v>
      </c>
      <c r="D7615" s="30">
        <v>25111.447624084984</v>
      </c>
    </row>
    <row r="7616" spans="2:4">
      <c r="B7616" t="s">
        <v>9642</v>
      </c>
      <c r="C7616" s="46">
        <v>1</v>
      </c>
      <c r="D7616" s="30">
        <v>2382.8991007787577</v>
      </c>
    </row>
    <row r="7617" spans="2:4">
      <c r="B7617" t="s">
        <v>9643</v>
      </c>
      <c r="C7617" s="46">
        <v>1</v>
      </c>
      <c r="D7617" s="30">
        <v>2291.5478207029737</v>
      </c>
    </row>
    <row r="7618" spans="2:4">
      <c r="B7618" t="s">
        <v>9644</v>
      </c>
      <c r="C7618" s="46">
        <v>1</v>
      </c>
      <c r="D7618" s="30">
        <v>423.78799731439648</v>
      </c>
    </row>
    <row r="7619" spans="2:4">
      <c r="B7619" t="s">
        <v>9645</v>
      </c>
      <c r="C7619" s="46">
        <v>1</v>
      </c>
      <c r="D7619" s="30">
        <v>23575.667016428823</v>
      </c>
    </row>
    <row r="7620" spans="2:4">
      <c r="B7620" t="s">
        <v>9646</v>
      </c>
      <c r="C7620" s="46">
        <v>1</v>
      </c>
      <c r="D7620" s="30">
        <v>1526.6662263467319</v>
      </c>
    </row>
    <row r="7621" spans="2:4">
      <c r="B7621" t="s">
        <v>9647</v>
      </c>
      <c r="C7621" s="46">
        <v>1</v>
      </c>
      <c r="D7621" s="30">
        <v>2883.0340782983517</v>
      </c>
    </row>
    <row r="7622" spans="2:4">
      <c r="B7622" t="s">
        <v>9648</v>
      </c>
      <c r="C7622" s="46">
        <v>1</v>
      </c>
      <c r="D7622" s="30">
        <v>6375.0405485514575</v>
      </c>
    </row>
    <row r="7623" spans="2:4">
      <c r="B7623" t="s">
        <v>9649</v>
      </c>
      <c r="C7623" s="46">
        <v>1</v>
      </c>
      <c r="D7623" s="30">
        <v>2679.0076853057612</v>
      </c>
    </row>
    <row r="7624" spans="2:4">
      <c r="B7624" t="s">
        <v>9650</v>
      </c>
      <c r="C7624" s="46">
        <v>1</v>
      </c>
      <c r="D7624" s="30">
        <v>2141.9327674808651</v>
      </c>
    </row>
    <row r="7625" spans="2:4">
      <c r="B7625" t="s">
        <v>9651</v>
      </c>
      <c r="C7625" s="46">
        <v>1</v>
      </c>
      <c r="D7625" s="30">
        <v>2829.5605865649595</v>
      </c>
    </row>
    <row r="7626" spans="2:4">
      <c r="B7626" t="s">
        <v>9652</v>
      </c>
      <c r="C7626" s="46">
        <v>1</v>
      </c>
      <c r="D7626" s="30">
        <v>2258.5899329402923</v>
      </c>
    </row>
    <row r="7627" spans="2:4">
      <c r="B7627" t="s">
        <v>9653</v>
      </c>
      <c r="C7627" s="46">
        <v>1</v>
      </c>
      <c r="D7627" s="30">
        <v>2345.4411262665044</v>
      </c>
    </row>
    <row r="7628" spans="2:4">
      <c r="B7628" t="s">
        <v>9654</v>
      </c>
      <c r="C7628" s="46">
        <v>1</v>
      </c>
      <c r="D7628" s="30">
        <v>2518.4011676629498</v>
      </c>
    </row>
    <row r="7629" spans="2:4">
      <c r="B7629" t="s">
        <v>9655</v>
      </c>
      <c r="C7629" s="46">
        <v>1</v>
      </c>
      <c r="D7629" s="30">
        <v>390.29176240027675</v>
      </c>
    </row>
    <row r="7630" spans="2:4">
      <c r="B7630" t="s">
        <v>9656</v>
      </c>
      <c r="C7630" s="46">
        <v>1</v>
      </c>
      <c r="D7630" s="30">
        <v>2783.3680284061052</v>
      </c>
    </row>
    <row r="7631" spans="2:4">
      <c r="B7631" t="s">
        <v>9657</v>
      </c>
      <c r="C7631" s="46">
        <v>1</v>
      </c>
      <c r="D7631" s="30">
        <v>2832.4875961452417</v>
      </c>
    </row>
    <row r="7632" spans="2:4">
      <c r="B7632" t="s">
        <v>9658</v>
      </c>
      <c r="C7632" s="46">
        <v>1</v>
      </c>
      <c r="D7632" s="30">
        <v>1367.6101622135986</v>
      </c>
    </row>
    <row r="7633" spans="2:4">
      <c r="B7633" t="s">
        <v>9659</v>
      </c>
      <c r="C7633" s="46">
        <v>1</v>
      </c>
      <c r="D7633" s="30">
        <v>1202.4589300678115</v>
      </c>
    </row>
    <row r="7634" spans="2:4">
      <c r="B7634" t="s">
        <v>9660</v>
      </c>
      <c r="C7634" s="46">
        <v>1</v>
      </c>
      <c r="D7634" s="30">
        <v>7051.451653877587</v>
      </c>
    </row>
    <row r="7635" spans="2:4">
      <c r="B7635" t="s">
        <v>9661</v>
      </c>
      <c r="C7635" s="46">
        <v>1</v>
      </c>
      <c r="D7635" s="30">
        <v>2510.2172837256767</v>
      </c>
    </row>
    <row r="7636" spans="2:4">
      <c r="B7636" t="s">
        <v>9662</v>
      </c>
      <c r="C7636" s="46">
        <v>1</v>
      </c>
      <c r="D7636" s="30">
        <v>1304.3894521973273</v>
      </c>
    </row>
    <row r="7637" spans="2:4">
      <c r="B7637" t="s">
        <v>9663</v>
      </c>
      <c r="C7637" s="46">
        <v>2</v>
      </c>
      <c r="D7637" s="30">
        <v>21618.067181649585</v>
      </c>
    </row>
    <row r="7638" spans="2:4">
      <c r="B7638" t="s">
        <v>9664</v>
      </c>
      <c r="C7638" s="46">
        <v>2</v>
      </c>
      <c r="D7638" s="30">
        <v>39710.535908981612</v>
      </c>
    </row>
    <row r="7639" spans="2:4">
      <c r="B7639" t="s">
        <v>9665</v>
      </c>
      <c r="C7639" s="46">
        <v>1</v>
      </c>
      <c r="D7639" s="30">
        <v>2851.3436876100891</v>
      </c>
    </row>
    <row r="7640" spans="2:4">
      <c r="B7640" t="s">
        <v>9666</v>
      </c>
      <c r="C7640" s="46">
        <v>1</v>
      </c>
      <c r="D7640" s="30">
        <v>2794.9126557567079</v>
      </c>
    </row>
    <row r="7641" spans="2:4">
      <c r="B7641" t="s">
        <v>9667</v>
      </c>
      <c r="C7641" s="46">
        <v>1</v>
      </c>
      <c r="D7641" s="30">
        <v>7655.3811415371056</v>
      </c>
    </row>
    <row r="7642" spans="2:4">
      <c r="B7642" t="s">
        <v>9668</v>
      </c>
      <c r="C7642" s="46">
        <v>1</v>
      </c>
      <c r="D7642" s="30">
        <v>2787.1707905533153</v>
      </c>
    </row>
    <row r="7643" spans="2:4">
      <c r="B7643" t="s">
        <v>9669</v>
      </c>
      <c r="C7643" s="46">
        <v>1</v>
      </c>
      <c r="D7643" s="30">
        <v>2643.5606038971282</v>
      </c>
    </row>
    <row r="7644" spans="2:4">
      <c r="B7644" t="s">
        <v>9670</v>
      </c>
      <c r="C7644" s="46">
        <v>1</v>
      </c>
      <c r="D7644" s="30">
        <v>2720.979380058945</v>
      </c>
    </row>
    <row r="7645" spans="2:4">
      <c r="B7645" t="s">
        <v>9671</v>
      </c>
      <c r="C7645" s="46">
        <v>1</v>
      </c>
      <c r="D7645" s="30">
        <v>2518.0239860532593</v>
      </c>
    </row>
    <row r="7646" spans="2:4">
      <c r="B7646" t="s">
        <v>9672</v>
      </c>
      <c r="C7646" s="46">
        <v>1</v>
      </c>
      <c r="D7646" s="30">
        <v>2191.3642402099281</v>
      </c>
    </row>
    <row r="7647" spans="2:4">
      <c r="B7647" t="s">
        <v>9673</v>
      </c>
      <c r="C7647" s="46">
        <v>1</v>
      </c>
      <c r="D7647" s="30">
        <v>2044.3574377935165</v>
      </c>
    </row>
    <row r="7648" spans="2:4">
      <c r="B7648" t="s">
        <v>9674</v>
      </c>
      <c r="C7648" s="46">
        <v>1</v>
      </c>
      <c r="D7648" s="30">
        <v>2748.3994690851964</v>
      </c>
    </row>
    <row r="7649" spans="2:4">
      <c r="B7649" t="s">
        <v>9675</v>
      </c>
      <c r="C7649" s="46">
        <v>1</v>
      </c>
      <c r="D7649" s="30">
        <v>2168.1288562001</v>
      </c>
    </row>
    <row r="7650" spans="2:4">
      <c r="B7650" t="s">
        <v>9676</v>
      </c>
      <c r="C7650" s="46">
        <v>1</v>
      </c>
      <c r="D7650" s="30">
        <v>1932.1676626008939</v>
      </c>
    </row>
    <row r="7651" spans="2:4">
      <c r="B7651" t="s">
        <v>9677</v>
      </c>
      <c r="C7651" s="46">
        <v>1</v>
      </c>
      <c r="D7651" s="30">
        <v>894.43737404874571</v>
      </c>
    </row>
    <row r="7652" spans="2:4">
      <c r="B7652" t="s">
        <v>9678</v>
      </c>
      <c r="C7652" s="46">
        <v>1</v>
      </c>
      <c r="D7652" s="30">
        <v>2168.1288562001</v>
      </c>
    </row>
    <row r="7653" spans="2:4">
      <c r="B7653" t="s">
        <v>9679</v>
      </c>
      <c r="C7653" s="46">
        <v>1</v>
      </c>
      <c r="D7653" s="30">
        <v>2855.3046087665261</v>
      </c>
    </row>
    <row r="7654" spans="2:4">
      <c r="B7654" t="s">
        <v>9680</v>
      </c>
      <c r="C7654" s="46">
        <v>1</v>
      </c>
      <c r="D7654" s="30">
        <v>2168.1288562001</v>
      </c>
    </row>
    <row r="7655" spans="2:4">
      <c r="B7655" t="s">
        <v>9681</v>
      </c>
      <c r="C7655" s="46">
        <v>1</v>
      </c>
      <c r="D7655" s="30">
        <v>461.24096266183653</v>
      </c>
    </row>
    <row r="7656" spans="2:4">
      <c r="B7656" t="s">
        <v>9682</v>
      </c>
      <c r="C7656" s="46">
        <v>1</v>
      </c>
      <c r="D7656" s="30">
        <v>2168.1288562001</v>
      </c>
    </row>
    <row r="7657" spans="2:4">
      <c r="B7657" t="s">
        <v>9683</v>
      </c>
      <c r="C7657" s="46">
        <v>1</v>
      </c>
      <c r="D7657" s="30">
        <v>368.22410289141317</v>
      </c>
    </row>
    <row r="7658" spans="2:4">
      <c r="B7658" t="s">
        <v>9684</v>
      </c>
      <c r="C7658" s="46">
        <v>1</v>
      </c>
      <c r="D7658" s="30">
        <v>561.9241500828914</v>
      </c>
    </row>
    <row r="7659" spans="2:4">
      <c r="B7659" t="s">
        <v>9685</v>
      </c>
      <c r="C7659" s="46">
        <v>2</v>
      </c>
      <c r="D7659" s="30">
        <v>13147.041254057496</v>
      </c>
    </row>
    <row r="7660" spans="2:4">
      <c r="B7660" t="s">
        <v>9686</v>
      </c>
      <c r="C7660" s="46">
        <v>2</v>
      </c>
      <c r="D7660" s="30">
        <v>13147.041254057496</v>
      </c>
    </row>
    <row r="7661" spans="2:4">
      <c r="B7661" t="s">
        <v>9687</v>
      </c>
      <c r="C7661" s="46">
        <v>1</v>
      </c>
      <c r="D7661" s="30">
        <v>2229.8395661805857</v>
      </c>
    </row>
    <row r="7662" spans="2:4">
      <c r="B7662" t="s">
        <v>9688</v>
      </c>
      <c r="C7662" s="46">
        <v>1</v>
      </c>
      <c r="D7662" s="30">
        <v>2324.7367384540912</v>
      </c>
    </row>
    <row r="7663" spans="2:4">
      <c r="B7663" t="s">
        <v>9689</v>
      </c>
      <c r="C7663" s="46">
        <v>1</v>
      </c>
      <c r="D7663" s="30">
        <v>2647.3655608283789</v>
      </c>
    </row>
    <row r="7664" spans="2:4">
      <c r="B7664" t="s">
        <v>9690</v>
      </c>
      <c r="C7664" s="46">
        <v>1</v>
      </c>
      <c r="D7664" s="30">
        <v>1000.02305291549</v>
      </c>
    </row>
    <row r="7665" spans="2:4">
      <c r="B7665" t="s">
        <v>9691</v>
      </c>
      <c r="C7665" s="46">
        <v>1</v>
      </c>
      <c r="D7665" s="30">
        <v>992.25078949990245</v>
      </c>
    </row>
    <row r="7666" spans="2:4">
      <c r="B7666" t="s">
        <v>9692</v>
      </c>
      <c r="C7666" s="46">
        <v>1</v>
      </c>
      <c r="D7666" s="30">
        <v>2862.5930433339859</v>
      </c>
    </row>
    <row r="7667" spans="2:4">
      <c r="B7667" t="s">
        <v>9693</v>
      </c>
      <c r="C7667" s="46">
        <v>1</v>
      </c>
      <c r="D7667" s="30">
        <v>1786.832074395247</v>
      </c>
    </row>
    <row r="7668" spans="2:4">
      <c r="B7668" t="s">
        <v>9694</v>
      </c>
      <c r="C7668" s="46">
        <v>1</v>
      </c>
      <c r="D7668" s="30">
        <v>1424.001387563324</v>
      </c>
    </row>
    <row r="7669" spans="2:4">
      <c r="B7669" t="s">
        <v>9695</v>
      </c>
      <c r="C7669" s="46">
        <v>1</v>
      </c>
      <c r="D7669" s="30">
        <v>1424.001387563324</v>
      </c>
    </row>
    <row r="7670" spans="2:4">
      <c r="B7670" t="s">
        <v>9696</v>
      </c>
      <c r="C7670" s="46">
        <v>1</v>
      </c>
      <c r="D7670" s="30">
        <v>576.89758694941406</v>
      </c>
    </row>
    <row r="7671" spans="2:4">
      <c r="B7671" t="s">
        <v>9697</v>
      </c>
      <c r="C7671" s="46">
        <v>1</v>
      </c>
      <c r="D7671" s="30">
        <v>2596.2121055880893</v>
      </c>
    </row>
    <row r="7672" spans="2:4">
      <c r="B7672" t="s">
        <v>9698</v>
      </c>
      <c r="C7672" s="46">
        <v>1</v>
      </c>
      <c r="D7672" s="30">
        <v>2474.7372685108085</v>
      </c>
    </row>
    <row r="7673" spans="2:4">
      <c r="B7673" t="s">
        <v>9699</v>
      </c>
      <c r="C7673" s="46">
        <v>2</v>
      </c>
      <c r="D7673" s="30">
        <v>22237.183162401398</v>
      </c>
    </row>
    <row r="7674" spans="2:4">
      <c r="B7674" t="s">
        <v>9700</v>
      </c>
      <c r="C7674" s="46">
        <v>1</v>
      </c>
      <c r="D7674" s="30">
        <v>2497.5927739662748</v>
      </c>
    </row>
    <row r="7675" spans="2:4">
      <c r="B7675" t="s">
        <v>9701</v>
      </c>
      <c r="C7675" s="46">
        <v>1</v>
      </c>
      <c r="D7675" s="30">
        <v>23575.667016428823</v>
      </c>
    </row>
    <row r="7676" spans="2:4">
      <c r="B7676" t="s">
        <v>9702</v>
      </c>
      <c r="C7676" s="46">
        <v>1</v>
      </c>
      <c r="D7676" s="30">
        <v>2466.5658804931231</v>
      </c>
    </row>
    <row r="7677" spans="2:4">
      <c r="B7677" t="s">
        <v>9703</v>
      </c>
      <c r="C7677" s="46">
        <v>1</v>
      </c>
      <c r="D7677" s="30">
        <v>8224.1818353641265</v>
      </c>
    </row>
    <row r="7678" spans="2:4">
      <c r="B7678" t="s">
        <v>9704</v>
      </c>
      <c r="C7678" s="46">
        <v>1</v>
      </c>
      <c r="D7678" s="30">
        <v>2474.1007359811142</v>
      </c>
    </row>
    <row r="7679" spans="2:4">
      <c r="B7679" t="s">
        <v>9705</v>
      </c>
      <c r="C7679" s="46">
        <v>1</v>
      </c>
      <c r="D7679" s="30">
        <v>2643.9058741639769</v>
      </c>
    </row>
    <row r="7680" spans="2:4">
      <c r="B7680" t="s">
        <v>9706</v>
      </c>
      <c r="C7680" s="46">
        <v>1</v>
      </c>
      <c r="D7680" s="30">
        <v>2338.3729515543309</v>
      </c>
    </row>
    <row r="7681" spans="2:4">
      <c r="B7681" t="s">
        <v>9707</v>
      </c>
      <c r="C7681" s="46">
        <v>1</v>
      </c>
      <c r="D7681" s="30">
        <v>2880.7777102885384</v>
      </c>
    </row>
    <row r="7682" spans="2:4">
      <c r="B7682" t="s">
        <v>9708</v>
      </c>
      <c r="C7682" s="46">
        <v>1</v>
      </c>
      <c r="D7682" s="30">
        <v>2775.1178053303765</v>
      </c>
    </row>
    <row r="7683" spans="2:4">
      <c r="B7683" t="s">
        <v>9709</v>
      </c>
      <c r="C7683" s="46">
        <v>1</v>
      </c>
      <c r="D7683" s="30">
        <v>2810.0472180753177</v>
      </c>
    </row>
    <row r="7684" spans="2:4">
      <c r="B7684" t="s">
        <v>9710</v>
      </c>
      <c r="C7684" s="46">
        <v>1</v>
      </c>
      <c r="D7684" s="30">
        <v>1808.8509855294828</v>
      </c>
    </row>
    <row r="7685" spans="2:4">
      <c r="B7685" t="s">
        <v>9711</v>
      </c>
      <c r="C7685" s="46">
        <v>1</v>
      </c>
      <c r="D7685" s="30">
        <v>2820.6502883396483</v>
      </c>
    </row>
    <row r="7686" spans="2:4">
      <c r="B7686" t="s">
        <v>9712</v>
      </c>
      <c r="C7686" s="46">
        <v>1</v>
      </c>
      <c r="D7686" s="30">
        <v>2114.0349510595534</v>
      </c>
    </row>
    <row r="7687" spans="2:4">
      <c r="B7687" t="s">
        <v>9713</v>
      </c>
      <c r="C7687" s="46">
        <v>1</v>
      </c>
      <c r="D7687" s="30">
        <v>784.98409722052975</v>
      </c>
    </row>
    <row r="7688" spans="2:4">
      <c r="B7688" t="s">
        <v>9714</v>
      </c>
      <c r="C7688" s="46">
        <v>1</v>
      </c>
      <c r="D7688" s="30">
        <v>2738.7152411673146</v>
      </c>
    </row>
    <row r="7689" spans="2:4">
      <c r="B7689" t="s">
        <v>9715</v>
      </c>
      <c r="C7689" s="46">
        <v>1</v>
      </c>
      <c r="D7689" s="30">
        <v>2474.9301984273484</v>
      </c>
    </row>
    <row r="7690" spans="2:4">
      <c r="B7690" t="s">
        <v>9716</v>
      </c>
      <c r="C7690" s="46">
        <v>1</v>
      </c>
      <c r="D7690" s="30">
        <v>2586.4662526348443</v>
      </c>
    </row>
    <row r="7691" spans="2:4">
      <c r="B7691" t="s">
        <v>9717</v>
      </c>
      <c r="C7691" s="46">
        <v>1</v>
      </c>
      <c r="D7691" s="30">
        <v>2643.9058741639769</v>
      </c>
    </row>
    <row r="7692" spans="2:4">
      <c r="B7692" t="s">
        <v>9718</v>
      </c>
      <c r="C7692" s="46">
        <v>1</v>
      </c>
      <c r="D7692" s="30">
        <v>2863.2267770440917</v>
      </c>
    </row>
    <row r="7693" spans="2:4">
      <c r="B7693" t="s">
        <v>9719</v>
      </c>
      <c r="C7693" s="46">
        <v>1</v>
      </c>
      <c r="D7693" s="30">
        <v>1938.4812197639937</v>
      </c>
    </row>
    <row r="7694" spans="2:4">
      <c r="B7694" t="s">
        <v>9720</v>
      </c>
      <c r="C7694" s="46">
        <v>1</v>
      </c>
      <c r="D7694" s="30">
        <v>3864.9428693164268</v>
      </c>
    </row>
    <row r="7695" spans="2:4">
      <c r="B7695" t="s">
        <v>9721</v>
      </c>
      <c r="C7695" s="46">
        <v>1</v>
      </c>
      <c r="D7695" s="30">
        <v>463.55579148621359</v>
      </c>
    </row>
    <row r="7696" spans="2:4">
      <c r="B7696" t="s">
        <v>9722</v>
      </c>
      <c r="C7696" s="46">
        <v>1</v>
      </c>
      <c r="D7696" s="30">
        <v>2677.8707096609719</v>
      </c>
    </row>
    <row r="7697" spans="2:4">
      <c r="B7697" t="s">
        <v>9723</v>
      </c>
      <c r="C7697" s="46">
        <v>1</v>
      </c>
      <c r="D7697" s="30">
        <v>23575.667016428823</v>
      </c>
    </row>
    <row r="7698" spans="2:4">
      <c r="B7698" t="s">
        <v>9724</v>
      </c>
      <c r="C7698" s="46">
        <v>1</v>
      </c>
      <c r="D7698" s="30">
        <v>1702.8368921779827</v>
      </c>
    </row>
    <row r="7699" spans="2:4">
      <c r="B7699" t="s">
        <v>9725</v>
      </c>
      <c r="C7699" s="46">
        <v>1</v>
      </c>
      <c r="D7699" s="30">
        <v>2457.5420100910669</v>
      </c>
    </row>
    <row r="7700" spans="2:4">
      <c r="B7700" t="s">
        <v>9726</v>
      </c>
      <c r="C7700" s="46">
        <v>1</v>
      </c>
      <c r="D7700" s="30">
        <v>2839.3216317794454</v>
      </c>
    </row>
    <row r="7701" spans="2:4">
      <c r="B7701" t="s">
        <v>9727</v>
      </c>
      <c r="C7701" s="46">
        <v>1</v>
      </c>
      <c r="D7701" s="30">
        <v>1786.832074395247</v>
      </c>
    </row>
    <row r="7702" spans="2:4">
      <c r="B7702" t="s">
        <v>9728</v>
      </c>
      <c r="C7702" s="46">
        <v>1</v>
      </c>
      <c r="D7702" s="30">
        <v>2452.831191982531</v>
      </c>
    </row>
    <row r="7703" spans="2:4">
      <c r="B7703" t="s">
        <v>9729</v>
      </c>
      <c r="C7703" s="46">
        <v>1</v>
      </c>
      <c r="D7703" s="30">
        <v>2290.6084430928977</v>
      </c>
    </row>
    <row r="7704" spans="2:4">
      <c r="B7704" t="s">
        <v>9730</v>
      </c>
      <c r="C7704" s="46">
        <v>1</v>
      </c>
      <c r="D7704" s="30">
        <v>2686.0399997426339</v>
      </c>
    </row>
    <row r="7705" spans="2:4">
      <c r="B7705" t="s">
        <v>9731</v>
      </c>
      <c r="C7705" s="46">
        <v>1</v>
      </c>
      <c r="D7705" s="30">
        <v>2879.0724049006062</v>
      </c>
    </row>
    <row r="7706" spans="2:4">
      <c r="B7706" t="s">
        <v>9732</v>
      </c>
      <c r="C7706" s="46">
        <v>1</v>
      </c>
      <c r="D7706" s="30">
        <v>2452.4462292017333</v>
      </c>
    </row>
    <row r="7707" spans="2:4">
      <c r="B7707" t="s">
        <v>9733</v>
      </c>
      <c r="C7707" s="46">
        <v>1</v>
      </c>
      <c r="D7707" s="30">
        <v>2717.7297264269</v>
      </c>
    </row>
    <row r="7708" spans="2:4">
      <c r="B7708" t="s">
        <v>9734</v>
      </c>
      <c r="C7708" s="46">
        <v>1</v>
      </c>
      <c r="D7708" s="30">
        <v>2425.4391190656056</v>
      </c>
    </row>
    <row r="7709" spans="2:4">
      <c r="B7709" t="s">
        <v>9735</v>
      </c>
      <c r="C7709" s="46">
        <v>1</v>
      </c>
      <c r="D7709" s="30">
        <v>2869.1686866994237</v>
      </c>
    </row>
    <row r="7710" spans="2:4">
      <c r="B7710" t="s">
        <v>9736</v>
      </c>
      <c r="C7710" s="46">
        <v>1</v>
      </c>
      <c r="D7710" s="30">
        <v>2798.4582881513088</v>
      </c>
    </row>
    <row r="7711" spans="2:4">
      <c r="B7711" t="s">
        <v>9737</v>
      </c>
      <c r="C7711" s="46">
        <v>1</v>
      </c>
      <c r="D7711" s="30">
        <v>2717.7297264269</v>
      </c>
    </row>
    <row r="7712" spans="2:4">
      <c r="B7712" t="s">
        <v>9738</v>
      </c>
      <c r="C7712" s="46">
        <v>1</v>
      </c>
      <c r="D7712" s="30">
        <v>2794.7704751972396</v>
      </c>
    </row>
    <row r="7713" spans="2:4">
      <c r="B7713" t="s">
        <v>9739</v>
      </c>
      <c r="C7713" s="46">
        <v>1</v>
      </c>
      <c r="D7713" s="30">
        <v>2338.3729515543309</v>
      </c>
    </row>
    <row r="7714" spans="2:4">
      <c r="B7714" t="s">
        <v>9740</v>
      </c>
      <c r="C7714" s="46">
        <v>1</v>
      </c>
      <c r="D7714" s="30">
        <v>2743.3073866103941</v>
      </c>
    </row>
    <row r="7715" spans="2:4">
      <c r="B7715" t="s">
        <v>9741</v>
      </c>
      <c r="C7715" s="46">
        <v>2</v>
      </c>
      <c r="D7715" s="30">
        <v>21618.067181649585</v>
      </c>
    </row>
    <row r="7716" spans="2:4">
      <c r="B7716" t="s">
        <v>9742</v>
      </c>
      <c r="C7716" s="46">
        <v>1</v>
      </c>
      <c r="D7716" s="30">
        <v>1949.3937982844604</v>
      </c>
    </row>
    <row r="7717" spans="2:4">
      <c r="B7717" t="s">
        <v>9743</v>
      </c>
      <c r="C7717" s="46">
        <v>1</v>
      </c>
      <c r="D7717" s="30">
        <v>1522.5788412218333</v>
      </c>
    </row>
    <row r="7718" spans="2:4">
      <c r="B7718" t="s">
        <v>9744</v>
      </c>
      <c r="C7718" s="46">
        <v>1</v>
      </c>
      <c r="D7718" s="30">
        <v>291.64084440585088</v>
      </c>
    </row>
    <row r="7719" spans="2:4">
      <c r="B7719" t="s">
        <v>9745</v>
      </c>
      <c r="C7719" s="46">
        <v>1</v>
      </c>
      <c r="D7719" s="30">
        <v>2750.378416446094</v>
      </c>
    </row>
    <row r="7720" spans="2:4">
      <c r="B7720" t="s">
        <v>9746</v>
      </c>
      <c r="C7720" s="46">
        <v>1</v>
      </c>
      <c r="D7720" s="30">
        <v>23575.667016428823</v>
      </c>
    </row>
    <row r="7721" spans="2:4">
      <c r="B7721" t="s">
        <v>9747</v>
      </c>
      <c r="C7721" s="46">
        <v>1</v>
      </c>
      <c r="D7721" s="30">
        <v>2694.8550877827747</v>
      </c>
    </row>
    <row r="7722" spans="2:4">
      <c r="B7722" t="s">
        <v>9748</v>
      </c>
      <c r="C7722" s="46">
        <v>1</v>
      </c>
      <c r="D7722" s="30">
        <v>2253.951624172651</v>
      </c>
    </row>
    <row r="7723" spans="2:4">
      <c r="B7723" t="s">
        <v>9749</v>
      </c>
      <c r="C7723" s="46">
        <v>1</v>
      </c>
      <c r="D7723" s="30">
        <v>2718.7189560336683</v>
      </c>
    </row>
    <row r="7724" spans="2:4">
      <c r="B7724" t="s">
        <v>9750</v>
      </c>
      <c r="C7724" s="46">
        <v>1</v>
      </c>
      <c r="D7724" s="30">
        <v>1684.7081665268829</v>
      </c>
    </row>
    <row r="7725" spans="2:4">
      <c r="B7725" t="s">
        <v>9751</v>
      </c>
      <c r="C7725" s="46">
        <v>1</v>
      </c>
      <c r="D7725" s="30">
        <v>1898.1973292145478</v>
      </c>
    </row>
    <row r="7726" spans="2:4">
      <c r="B7726" t="s">
        <v>9752</v>
      </c>
      <c r="C7726" s="46">
        <v>1</v>
      </c>
      <c r="D7726" s="30">
        <v>318.13904473083289</v>
      </c>
    </row>
    <row r="7727" spans="2:4">
      <c r="B7727" t="s">
        <v>9753</v>
      </c>
      <c r="C7727" s="46">
        <v>1</v>
      </c>
      <c r="D7727" s="30">
        <v>2743.3073866103941</v>
      </c>
    </row>
    <row r="7728" spans="2:4">
      <c r="B7728" t="s">
        <v>9754</v>
      </c>
      <c r="C7728" s="46">
        <v>1</v>
      </c>
      <c r="D7728" s="30">
        <v>32658.814375591453</v>
      </c>
    </row>
    <row r="7729" spans="2:4">
      <c r="B7729" t="s">
        <v>9755</v>
      </c>
      <c r="C7729" s="46">
        <v>1</v>
      </c>
      <c r="D7729" s="30">
        <v>2860.6927146581697</v>
      </c>
    </row>
    <row r="7730" spans="2:4">
      <c r="B7730" t="s">
        <v>9756</v>
      </c>
      <c r="C7730" s="46">
        <v>1</v>
      </c>
      <c r="D7730" s="30">
        <v>423.53353471303774</v>
      </c>
    </row>
    <row r="7731" spans="2:4">
      <c r="B7731" t="s">
        <v>9757</v>
      </c>
      <c r="C7731" s="46">
        <v>1</v>
      </c>
      <c r="D7731" s="30">
        <v>2025.7731964327438</v>
      </c>
    </row>
    <row r="7732" spans="2:4">
      <c r="B7732" t="s">
        <v>9758</v>
      </c>
      <c r="C7732" s="46">
        <v>1</v>
      </c>
      <c r="D7732" s="30">
        <v>2458.0833641017739</v>
      </c>
    </row>
    <row r="7733" spans="2:4">
      <c r="B7733" t="s">
        <v>9759</v>
      </c>
      <c r="C7733" s="46">
        <v>1</v>
      </c>
      <c r="D7733" s="30">
        <v>2760.2709587490849</v>
      </c>
    </row>
    <row r="7734" spans="2:4">
      <c r="B7734" t="s">
        <v>9760</v>
      </c>
      <c r="C7734" s="46">
        <v>2</v>
      </c>
      <c r="D7734" s="30">
        <v>63806.322752618289</v>
      </c>
    </row>
    <row r="7735" spans="2:4">
      <c r="B7735" t="s">
        <v>9761</v>
      </c>
      <c r="C7735" s="46">
        <v>1</v>
      </c>
      <c r="D7735" s="30">
        <v>2854.9881848707819</v>
      </c>
    </row>
    <row r="7736" spans="2:4">
      <c r="B7736" t="s">
        <v>9762</v>
      </c>
      <c r="C7736" s="46">
        <v>1</v>
      </c>
      <c r="D7736" s="30">
        <v>2743.3073866103941</v>
      </c>
    </row>
    <row r="7737" spans="2:4">
      <c r="B7737" t="s">
        <v>9763</v>
      </c>
      <c r="C7737" s="46">
        <v>1</v>
      </c>
      <c r="D7737" s="30">
        <v>2698.7886352537244</v>
      </c>
    </row>
    <row r="7738" spans="2:4">
      <c r="B7738" t="s">
        <v>9764</v>
      </c>
      <c r="C7738" s="46">
        <v>1</v>
      </c>
      <c r="D7738" s="30">
        <v>2447.8350670977788</v>
      </c>
    </row>
    <row r="7739" spans="2:4">
      <c r="B7739" t="s">
        <v>9765</v>
      </c>
      <c r="C7739" s="46">
        <v>1</v>
      </c>
      <c r="D7739" s="30">
        <v>918.08716805993379</v>
      </c>
    </row>
    <row r="7740" spans="2:4">
      <c r="B7740" t="s">
        <v>9766</v>
      </c>
      <c r="C7740" s="46">
        <v>1</v>
      </c>
      <c r="D7740" s="30">
        <v>2815.2830597567431</v>
      </c>
    </row>
    <row r="7741" spans="2:4">
      <c r="B7741" t="s">
        <v>9767</v>
      </c>
      <c r="C7741" s="46">
        <v>1</v>
      </c>
      <c r="D7741" s="30">
        <v>2783.3149616992573</v>
      </c>
    </row>
    <row r="7742" spans="2:4">
      <c r="B7742" t="s">
        <v>9768</v>
      </c>
      <c r="C7742" s="46">
        <v>1</v>
      </c>
      <c r="D7742" s="30">
        <v>2783.3149616992573</v>
      </c>
    </row>
    <row r="7743" spans="2:4">
      <c r="B7743" t="s">
        <v>9769</v>
      </c>
      <c r="C7743" s="46">
        <v>1</v>
      </c>
      <c r="D7743" s="30">
        <v>2328.9736353485628</v>
      </c>
    </row>
    <row r="7744" spans="2:4">
      <c r="B7744" t="s">
        <v>9770</v>
      </c>
      <c r="C7744" s="46">
        <v>1</v>
      </c>
      <c r="D7744" s="30">
        <v>23575.667016428823</v>
      </c>
    </row>
    <row r="7745" spans="2:4">
      <c r="B7745" t="s">
        <v>9771</v>
      </c>
      <c r="C7745" s="46">
        <v>1</v>
      </c>
      <c r="D7745" s="30">
        <v>2783.3149616992573</v>
      </c>
    </row>
    <row r="7746" spans="2:4">
      <c r="B7746" t="s">
        <v>9772</v>
      </c>
      <c r="C7746" s="46">
        <v>1</v>
      </c>
      <c r="D7746" s="30">
        <v>2783.3149616992573</v>
      </c>
    </row>
    <row r="7747" spans="2:4">
      <c r="B7747" t="s">
        <v>9773</v>
      </c>
      <c r="C7747" s="46">
        <v>1</v>
      </c>
      <c r="D7747" s="30">
        <v>2783.3149616992573</v>
      </c>
    </row>
    <row r="7748" spans="2:4">
      <c r="B7748" t="s">
        <v>9774</v>
      </c>
      <c r="C7748" s="46">
        <v>1</v>
      </c>
      <c r="D7748" s="30">
        <v>2604.6408428598638</v>
      </c>
    </row>
    <row r="7749" spans="2:4">
      <c r="B7749" t="s">
        <v>9775</v>
      </c>
      <c r="C7749" s="46">
        <v>1</v>
      </c>
      <c r="D7749" s="30">
        <v>2783.3149616992573</v>
      </c>
    </row>
    <row r="7750" spans="2:4">
      <c r="B7750" t="s">
        <v>9776</v>
      </c>
      <c r="C7750" s="46">
        <v>1</v>
      </c>
      <c r="D7750" s="30">
        <v>8224.1818353641265</v>
      </c>
    </row>
    <row r="7751" spans="2:4">
      <c r="B7751" t="s">
        <v>9777</v>
      </c>
      <c r="C7751" s="46">
        <v>1</v>
      </c>
      <c r="D7751" s="30">
        <v>2078.0803757690242</v>
      </c>
    </row>
    <row r="7752" spans="2:4">
      <c r="B7752" t="s">
        <v>9778</v>
      </c>
      <c r="C7752" s="46">
        <v>1</v>
      </c>
      <c r="D7752" s="30">
        <v>1792.9062949068559</v>
      </c>
    </row>
    <row r="7753" spans="2:4">
      <c r="B7753" t="s">
        <v>9779</v>
      </c>
      <c r="C7753" s="46">
        <v>1</v>
      </c>
      <c r="D7753" s="30">
        <v>6854.8559162192205</v>
      </c>
    </row>
    <row r="7754" spans="2:4">
      <c r="B7754" t="s">
        <v>9780</v>
      </c>
      <c r="C7754" s="46">
        <v>1</v>
      </c>
      <c r="D7754" s="30">
        <v>2839.4615815265934</v>
      </c>
    </row>
    <row r="7755" spans="2:4">
      <c r="B7755" t="s">
        <v>9781</v>
      </c>
      <c r="C7755" s="46">
        <v>1</v>
      </c>
      <c r="D7755" s="30">
        <v>2040.028942521225</v>
      </c>
    </row>
    <row r="7756" spans="2:4">
      <c r="B7756" t="s">
        <v>9782</v>
      </c>
      <c r="C7756" s="46">
        <v>1</v>
      </c>
      <c r="D7756" s="30">
        <v>2967.5756615028417</v>
      </c>
    </row>
    <row r="7757" spans="2:4">
      <c r="B7757" t="s">
        <v>9783</v>
      </c>
      <c r="C7757" s="46">
        <v>1</v>
      </c>
      <c r="D7757" s="30">
        <v>2328.9736353485628</v>
      </c>
    </row>
    <row r="7758" spans="2:4">
      <c r="B7758" t="s">
        <v>9784</v>
      </c>
      <c r="C7758" s="46">
        <v>1</v>
      </c>
      <c r="D7758" s="30">
        <v>2209.6807700227118</v>
      </c>
    </row>
    <row r="7759" spans="2:4">
      <c r="B7759" t="s">
        <v>9785</v>
      </c>
      <c r="C7759" s="46">
        <v>1</v>
      </c>
      <c r="D7759" s="30">
        <v>2866.1977016178412</v>
      </c>
    </row>
    <row r="7760" spans="2:4">
      <c r="B7760" t="s">
        <v>9786</v>
      </c>
      <c r="C7760" s="46">
        <v>1</v>
      </c>
      <c r="D7760" s="30">
        <v>2944.3271259632579</v>
      </c>
    </row>
    <row r="7761" spans="2:4">
      <c r="B7761" t="s">
        <v>9787</v>
      </c>
      <c r="C7761" s="46">
        <v>1</v>
      </c>
      <c r="D7761" s="30">
        <v>1708.4426632057812</v>
      </c>
    </row>
    <row r="7762" spans="2:4">
      <c r="B7762" t="s">
        <v>9788</v>
      </c>
      <c r="C7762" s="46">
        <v>1</v>
      </c>
      <c r="D7762" s="30">
        <v>2815.7003692063381</v>
      </c>
    </row>
    <row r="7763" spans="2:4">
      <c r="B7763" t="s">
        <v>9789</v>
      </c>
      <c r="C7763" s="46">
        <v>1</v>
      </c>
      <c r="D7763" s="30">
        <v>2698.7886352537244</v>
      </c>
    </row>
    <row r="7764" spans="2:4">
      <c r="B7764" t="s">
        <v>9790</v>
      </c>
      <c r="C7764" s="46">
        <v>1</v>
      </c>
      <c r="D7764" s="30">
        <v>2755.4557416075236</v>
      </c>
    </row>
    <row r="7765" spans="2:4">
      <c r="B7765" t="s">
        <v>9791</v>
      </c>
      <c r="C7765" s="46">
        <v>1</v>
      </c>
      <c r="D7765" s="30">
        <v>2710.8053404768602</v>
      </c>
    </row>
    <row r="7766" spans="2:4">
      <c r="B7766" t="s">
        <v>9792</v>
      </c>
      <c r="C7766" s="46">
        <v>1</v>
      </c>
      <c r="D7766" s="30">
        <v>2873.3406782207667</v>
      </c>
    </row>
    <row r="7767" spans="2:4">
      <c r="B7767" t="s">
        <v>9793</v>
      </c>
      <c r="C7767" s="46">
        <v>1</v>
      </c>
      <c r="D7767" s="30">
        <v>2686.9196761098506</v>
      </c>
    </row>
    <row r="7768" spans="2:4">
      <c r="B7768" t="s">
        <v>9794</v>
      </c>
      <c r="C7768" s="46">
        <v>1</v>
      </c>
      <c r="D7768" s="30">
        <v>526.40080065220218</v>
      </c>
    </row>
    <row r="7769" spans="2:4">
      <c r="B7769" t="s">
        <v>9795</v>
      </c>
      <c r="C7769" s="46">
        <v>1</v>
      </c>
      <c r="D7769" s="30">
        <v>2710.8053404768602</v>
      </c>
    </row>
    <row r="7770" spans="2:4">
      <c r="B7770" t="s">
        <v>9796</v>
      </c>
      <c r="C7770" s="46">
        <v>1</v>
      </c>
      <c r="D7770" s="30">
        <v>1532.0479232670414</v>
      </c>
    </row>
    <row r="7771" spans="2:4">
      <c r="B7771" t="s">
        <v>9797</v>
      </c>
      <c r="C7771" s="46">
        <v>1</v>
      </c>
      <c r="D7771" s="30">
        <v>5409.0121547238305</v>
      </c>
    </row>
    <row r="7772" spans="2:4">
      <c r="B7772" t="s">
        <v>9798</v>
      </c>
      <c r="C7772" s="46">
        <v>1</v>
      </c>
      <c r="D7772" s="30">
        <v>4134.5728452939029</v>
      </c>
    </row>
    <row r="7773" spans="2:4">
      <c r="B7773" t="s">
        <v>9799</v>
      </c>
      <c r="C7773" s="46">
        <v>1</v>
      </c>
      <c r="D7773" s="30">
        <v>2135.6477907495491</v>
      </c>
    </row>
    <row r="7774" spans="2:4">
      <c r="B7774" t="s">
        <v>9800</v>
      </c>
      <c r="C7774" s="46">
        <v>1</v>
      </c>
      <c r="D7774" s="30">
        <v>23575.667016428823</v>
      </c>
    </row>
    <row r="7775" spans="2:4">
      <c r="B7775" t="s">
        <v>9801</v>
      </c>
      <c r="C7775" s="46">
        <v>1</v>
      </c>
      <c r="D7775" s="30">
        <v>1159.0584057117094</v>
      </c>
    </row>
    <row r="7776" spans="2:4">
      <c r="B7776" t="s">
        <v>9802</v>
      </c>
      <c r="C7776" s="46">
        <v>1</v>
      </c>
      <c r="D7776" s="30">
        <v>2883.0340782983517</v>
      </c>
    </row>
    <row r="7777" spans="2:4">
      <c r="B7777" t="s">
        <v>9803</v>
      </c>
      <c r="C7777" s="46">
        <v>1</v>
      </c>
      <c r="D7777" s="30">
        <v>2290.6084430928977</v>
      </c>
    </row>
    <row r="7778" spans="2:4">
      <c r="B7778" t="s">
        <v>9804</v>
      </c>
      <c r="C7778" s="46">
        <v>1</v>
      </c>
      <c r="D7778" s="30">
        <v>1050.8642873589279</v>
      </c>
    </row>
    <row r="7779" spans="2:4">
      <c r="B7779" t="s">
        <v>9805</v>
      </c>
      <c r="C7779" s="46">
        <v>1</v>
      </c>
      <c r="D7779" s="30">
        <v>32658.814375591453</v>
      </c>
    </row>
    <row r="7780" spans="2:4">
      <c r="B7780" t="s">
        <v>9806</v>
      </c>
      <c r="C7780" s="46">
        <v>1</v>
      </c>
      <c r="D7780" s="30">
        <v>2752.3573942417538</v>
      </c>
    </row>
    <row r="7781" spans="2:4">
      <c r="B7781" t="s">
        <v>9807</v>
      </c>
      <c r="C7781" s="46">
        <v>1</v>
      </c>
      <c r="D7781" s="30">
        <v>2168.1288562001</v>
      </c>
    </row>
    <row r="7782" spans="2:4">
      <c r="B7782" t="s">
        <v>9808</v>
      </c>
      <c r="C7782" s="46">
        <v>1</v>
      </c>
      <c r="D7782" s="30">
        <v>1159.0584057117094</v>
      </c>
    </row>
    <row r="7783" spans="2:4">
      <c r="B7783" t="s">
        <v>9809</v>
      </c>
      <c r="C7783" s="46">
        <v>1</v>
      </c>
      <c r="D7783" s="30">
        <v>2792.5072477076678</v>
      </c>
    </row>
    <row r="7784" spans="2:4">
      <c r="B7784" t="s">
        <v>9810</v>
      </c>
      <c r="C7784" s="46">
        <v>1</v>
      </c>
      <c r="D7784" s="30">
        <v>2857.792007791586</v>
      </c>
    </row>
    <row r="7785" spans="2:4">
      <c r="B7785" t="s">
        <v>9811</v>
      </c>
      <c r="C7785" s="46">
        <v>1</v>
      </c>
      <c r="D7785" s="30">
        <v>1895.2265573515683</v>
      </c>
    </row>
    <row r="7786" spans="2:4">
      <c r="B7786" t="s">
        <v>9812</v>
      </c>
      <c r="C7786" s="46">
        <v>1</v>
      </c>
      <c r="D7786" s="30">
        <v>1152.9167191624263</v>
      </c>
    </row>
    <row r="7787" spans="2:4">
      <c r="B7787" t="s">
        <v>9813</v>
      </c>
      <c r="C7787" s="46">
        <v>1</v>
      </c>
      <c r="D7787" s="30">
        <v>2792.5072477076678</v>
      </c>
    </row>
    <row r="7788" spans="2:4">
      <c r="B7788" t="s">
        <v>9814</v>
      </c>
      <c r="C7788" s="46">
        <v>1</v>
      </c>
      <c r="D7788" s="30">
        <v>1577.6475622264527</v>
      </c>
    </row>
    <row r="7789" spans="2:4">
      <c r="B7789" t="s">
        <v>9815</v>
      </c>
      <c r="C7789" s="46">
        <v>1</v>
      </c>
      <c r="D7789" s="30">
        <v>2547.6987102096014</v>
      </c>
    </row>
    <row r="7790" spans="2:4">
      <c r="B7790" t="s">
        <v>9816</v>
      </c>
      <c r="C7790" s="46">
        <v>1</v>
      </c>
      <c r="D7790" s="30">
        <v>2794.6142511032394</v>
      </c>
    </row>
    <row r="7791" spans="2:4">
      <c r="B7791" t="s">
        <v>9817</v>
      </c>
      <c r="C7791" s="46">
        <v>1</v>
      </c>
      <c r="D7791" s="30">
        <v>2815.022145870993</v>
      </c>
    </row>
    <row r="7792" spans="2:4">
      <c r="B7792" t="s">
        <v>9818</v>
      </c>
      <c r="C7792" s="46">
        <v>1</v>
      </c>
      <c r="D7792" s="30">
        <v>2792.5072477076678</v>
      </c>
    </row>
    <row r="7793" spans="2:4">
      <c r="B7793" t="s">
        <v>9819</v>
      </c>
      <c r="C7793" s="46">
        <v>1</v>
      </c>
      <c r="D7793" s="30">
        <v>6324.0649448731137</v>
      </c>
    </row>
    <row r="7794" spans="2:4">
      <c r="B7794" t="s">
        <v>9820</v>
      </c>
      <c r="C7794" s="46">
        <v>1</v>
      </c>
      <c r="D7794" s="30">
        <v>2829.3368475014822</v>
      </c>
    </row>
    <row r="7795" spans="2:4">
      <c r="B7795" t="s">
        <v>9821</v>
      </c>
      <c r="C7795" s="46">
        <v>1</v>
      </c>
      <c r="D7795" s="30">
        <v>2340.997952093498</v>
      </c>
    </row>
    <row r="7796" spans="2:4">
      <c r="B7796" t="s">
        <v>9822</v>
      </c>
      <c r="C7796" s="46">
        <v>1</v>
      </c>
      <c r="D7796" s="30">
        <v>2871.1493769431831</v>
      </c>
    </row>
    <row r="7797" spans="2:4">
      <c r="B7797" t="s">
        <v>9823</v>
      </c>
      <c r="C7797" s="46">
        <v>2</v>
      </c>
      <c r="D7797" s="30">
        <v>21618.067181649585</v>
      </c>
    </row>
    <row r="7798" spans="2:4">
      <c r="B7798" t="s">
        <v>9824</v>
      </c>
      <c r="C7798" s="46">
        <v>2</v>
      </c>
      <c r="D7798" s="30">
        <v>39710.535908981612</v>
      </c>
    </row>
    <row r="7799" spans="2:4">
      <c r="B7799" t="s">
        <v>9825</v>
      </c>
      <c r="C7799" s="46">
        <v>1</v>
      </c>
      <c r="D7799" s="30">
        <v>2633.6749432215975</v>
      </c>
    </row>
    <row r="7800" spans="2:4">
      <c r="B7800" t="s">
        <v>9826</v>
      </c>
      <c r="C7800" s="46">
        <v>1</v>
      </c>
      <c r="D7800" s="30">
        <v>2787.1707905533153</v>
      </c>
    </row>
    <row r="7801" spans="2:4">
      <c r="B7801" t="s">
        <v>9827</v>
      </c>
      <c r="C7801" s="46">
        <v>1</v>
      </c>
      <c r="D7801" s="30">
        <v>2883.0340782983517</v>
      </c>
    </row>
    <row r="7802" spans="2:4">
      <c r="B7802" t="s">
        <v>9828</v>
      </c>
      <c r="C7802" s="46">
        <v>1</v>
      </c>
      <c r="D7802" s="30">
        <v>2851.2273568293213</v>
      </c>
    </row>
    <row r="7803" spans="2:4">
      <c r="B7803" t="s">
        <v>9829</v>
      </c>
      <c r="C7803" s="46">
        <v>1</v>
      </c>
      <c r="D7803" s="30">
        <v>2869.7446952480695</v>
      </c>
    </row>
    <row r="7804" spans="2:4">
      <c r="B7804" t="s">
        <v>9830</v>
      </c>
      <c r="C7804" s="46">
        <v>1</v>
      </c>
      <c r="D7804" s="30">
        <v>1406.9381223839896</v>
      </c>
    </row>
    <row r="7805" spans="2:4">
      <c r="B7805" t="s">
        <v>9831</v>
      </c>
      <c r="C7805" s="46">
        <v>1</v>
      </c>
      <c r="D7805" s="30">
        <v>2883.0340782983517</v>
      </c>
    </row>
    <row r="7806" spans="2:4">
      <c r="B7806" t="s">
        <v>9832</v>
      </c>
      <c r="C7806" s="46">
        <v>1</v>
      </c>
      <c r="D7806" s="30">
        <v>2317.1922843189941</v>
      </c>
    </row>
    <row r="7807" spans="2:4">
      <c r="B7807" t="s">
        <v>9833</v>
      </c>
      <c r="C7807" s="46">
        <v>1</v>
      </c>
      <c r="D7807" s="30">
        <v>2873.1300939403982</v>
      </c>
    </row>
    <row r="7808" spans="2:4">
      <c r="B7808" t="s">
        <v>9834</v>
      </c>
      <c r="C7808" s="46">
        <v>1</v>
      </c>
      <c r="D7808" s="30">
        <v>2135.6477907495491</v>
      </c>
    </row>
    <row r="7809" spans="2:4">
      <c r="B7809" t="s">
        <v>9835</v>
      </c>
      <c r="C7809" s="46">
        <v>1</v>
      </c>
      <c r="D7809" s="30">
        <v>2543.325354200017</v>
      </c>
    </row>
    <row r="7810" spans="2:4">
      <c r="B7810" t="s">
        <v>9836</v>
      </c>
      <c r="C7810" s="46">
        <v>2</v>
      </c>
      <c r="D7810" s="30">
        <v>13147.041254057496</v>
      </c>
    </row>
    <row r="7811" spans="2:4">
      <c r="B7811" t="s">
        <v>9837</v>
      </c>
      <c r="C7811" s="46">
        <v>1</v>
      </c>
      <c r="D7811" s="30">
        <v>1895.2265573515683</v>
      </c>
    </row>
    <row r="7812" spans="2:4">
      <c r="B7812" t="s">
        <v>9838</v>
      </c>
      <c r="C7812" s="46">
        <v>1</v>
      </c>
      <c r="D7812" s="30">
        <v>2831.8328127989639</v>
      </c>
    </row>
    <row r="7813" spans="2:4">
      <c r="B7813" t="s">
        <v>9839</v>
      </c>
      <c r="C7813" s="46">
        <v>1</v>
      </c>
      <c r="D7813" s="30">
        <v>2757.1608515507905</v>
      </c>
    </row>
    <row r="7814" spans="2:4">
      <c r="B7814" t="s">
        <v>9840</v>
      </c>
      <c r="C7814" s="46">
        <v>1</v>
      </c>
      <c r="D7814" s="30">
        <v>8999.214070299684</v>
      </c>
    </row>
    <row r="7815" spans="2:4">
      <c r="B7815" t="s">
        <v>9841</v>
      </c>
      <c r="C7815" s="46">
        <v>1</v>
      </c>
      <c r="D7815" s="30">
        <v>1442.271542649466</v>
      </c>
    </row>
    <row r="7816" spans="2:4">
      <c r="B7816" t="s">
        <v>9842</v>
      </c>
      <c r="C7816" s="46">
        <v>1</v>
      </c>
      <c r="D7816" s="30">
        <v>32658.814375591453</v>
      </c>
    </row>
    <row r="7817" spans="2:4">
      <c r="B7817" t="s">
        <v>9843</v>
      </c>
      <c r="C7817" s="46">
        <v>1</v>
      </c>
      <c r="D7817" s="30">
        <v>2884.0245131798015</v>
      </c>
    </row>
    <row r="7818" spans="2:4">
      <c r="B7818" t="s">
        <v>9844</v>
      </c>
      <c r="C7818" s="46">
        <v>1</v>
      </c>
      <c r="D7818" s="30">
        <v>2768.0418174783799</v>
      </c>
    </row>
    <row r="7819" spans="2:4">
      <c r="B7819" t="s">
        <v>9845</v>
      </c>
      <c r="C7819" s="46">
        <v>1</v>
      </c>
      <c r="D7819" s="30">
        <v>520.48112235586598</v>
      </c>
    </row>
    <row r="7820" spans="2:4">
      <c r="B7820" t="s">
        <v>9846</v>
      </c>
      <c r="C7820" s="46">
        <v>1</v>
      </c>
      <c r="D7820" s="30">
        <v>1759.2870800487772</v>
      </c>
    </row>
    <row r="7821" spans="2:4">
      <c r="B7821" t="s">
        <v>9847</v>
      </c>
      <c r="C7821" s="46">
        <v>1</v>
      </c>
      <c r="D7821" s="30">
        <v>3804.4389299883878</v>
      </c>
    </row>
    <row r="7822" spans="2:4">
      <c r="B7822" t="s">
        <v>9848</v>
      </c>
      <c r="C7822" s="46">
        <v>1</v>
      </c>
      <c r="D7822" s="30">
        <v>2825.8909575018447</v>
      </c>
    </row>
    <row r="7823" spans="2:4">
      <c r="B7823" t="s">
        <v>9849</v>
      </c>
      <c r="C7823" s="46">
        <v>1</v>
      </c>
      <c r="D7823" s="30">
        <v>2825.8909575018447</v>
      </c>
    </row>
    <row r="7824" spans="2:4">
      <c r="B7824" t="s">
        <v>9850</v>
      </c>
      <c r="C7824" s="46">
        <v>1</v>
      </c>
      <c r="D7824" s="30">
        <v>2825.8909575018447</v>
      </c>
    </row>
    <row r="7825" spans="2:4">
      <c r="B7825" t="s">
        <v>9851</v>
      </c>
      <c r="C7825" s="46">
        <v>1</v>
      </c>
      <c r="D7825" s="30">
        <v>2825.8909575018447</v>
      </c>
    </row>
    <row r="7826" spans="2:4">
      <c r="B7826" t="s">
        <v>9852</v>
      </c>
      <c r="C7826" s="46">
        <v>1</v>
      </c>
      <c r="D7826" s="30">
        <v>2825.8909575018447</v>
      </c>
    </row>
    <row r="7827" spans="2:4">
      <c r="B7827" t="s">
        <v>9853</v>
      </c>
      <c r="C7827" s="46">
        <v>1</v>
      </c>
      <c r="D7827" s="30">
        <v>3618.5863170100579</v>
      </c>
    </row>
    <row r="7828" spans="2:4">
      <c r="B7828" t="s">
        <v>9854</v>
      </c>
      <c r="C7828" s="46">
        <v>1</v>
      </c>
      <c r="D7828" s="30">
        <v>2843.9942545833155</v>
      </c>
    </row>
    <row r="7829" spans="2:4">
      <c r="B7829" t="s">
        <v>9855</v>
      </c>
      <c r="C7829" s="46">
        <v>1</v>
      </c>
      <c r="D7829" s="30">
        <v>4137.4939404567749</v>
      </c>
    </row>
    <row r="7830" spans="2:4">
      <c r="B7830" t="s">
        <v>9856</v>
      </c>
      <c r="C7830" s="46">
        <v>1</v>
      </c>
      <c r="D7830" s="30">
        <v>2876.8157104906477</v>
      </c>
    </row>
    <row r="7831" spans="2:4">
      <c r="B7831" t="s">
        <v>9857</v>
      </c>
      <c r="C7831" s="46">
        <v>1</v>
      </c>
      <c r="D7831" s="30">
        <v>2815.2830597567431</v>
      </c>
    </row>
    <row r="7832" spans="2:4">
      <c r="B7832" t="s">
        <v>9858</v>
      </c>
      <c r="C7832" s="46">
        <v>1</v>
      </c>
      <c r="D7832" s="30">
        <v>2741.3284417315663</v>
      </c>
    </row>
    <row r="7833" spans="2:4">
      <c r="B7833" t="s">
        <v>9859</v>
      </c>
      <c r="C7833" s="46">
        <v>1</v>
      </c>
      <c r="D7833" s="30">
        <v>1929.4141876011568</v>
      </c>
    </row>
    <row r="7834" spans="2:4">
      <c r="B7834" t="s">
        <v>9860</v>
      </c>
      <c r="C7834" s="46">
        <v>1</v>
      </c>
      <c r="D7834" s="30">
        <v>784.98409722052975</v>
      </c>
    </row>
    <row r="7835" spans="2:4">
      <c r="B7835" t="s">
        <v>9861</v>
      </c>
      <c r="C7835" s="46">
        <v>1</v>
      </c>
      <c r="D7835" s="30">
        <v>2452.831191982531</v>
      </c>
    </row>
    <row r="7836" spans="2:4">
      <c r="B7836" t="s">
        <v>9862</v>
      </c>
      <c r="C7836" s="46">
        <v>1</v>
      </c>
      <c r="D7836" s="30">
        <v>2995.4455508582218</v>
      </c>
    </row>
    <row r="7837" spans="2:4">
      <c r="B7837" t="s">
        <v>9863</v>
      </c>
      <c r="C7837" s="46">
        <v>1</v>
      </c>
      <c r="D7837" s="30">
        <v>2995.4455508582218</v>
      </c>
    </row>
    <row r="7838" spans="2:4">
      <c r="B7838" t="s">
        <v>9864</v>
      </c>
      <c r="C7838" s="46">
        <v>1</v>
      </c>
      <c r="D7838" s="30">
        <v>2995.4455508582218</v>
      </c>
    </row>
    <row r="7839" spans="2:4">
      <c r="B7839" t="s">
        <v>9865</v>
      </c>
      <c r="C7839" s="46">
        <v>1</v>
      </c>
      <c r="D7839" s="30">
        <v>2345.8406057089592</v>
      </c>
    </row>
    <row r="7840" spans="2:4">
      <c r="B7840" t="s">
        <v>9866</v>
      </c>
      <c r="C7840" s="46">
        <v>1</v>
      </c>
      <c r="D7840" s="30">
        <v>2487.351560546228</v>
      </c>
    </row>
    <row r="7841" spans="2:4">
      <c r="B7841" t="s">
        <v>9867</v>
      </c>
      <c r="C7841" s="46">
        <v>1</v>
      </c>
      <c r="D7841" s="30">
        <v>2876.1012194780387</v>
      </c>
    </row>
    <row r="7842" spans="2:4">
      <c r="B7842" t="s">
        <v>9868</v>
      </c>
      <c r="C7842" s="46">
        <v>1</v>
      </c>
      <c r="D7842" s="30">
        <v>2873.4747949813277</v>
      </c>
    </row>
    <row r="7843" spans="2:4">
      <c r="B7843" t="s">
        <v>9869</v>
      </c>
      <c r="C7843" s="46">
        <v>1</v>
      </c>
      <c r="D7843" s="30">
        <v>901.14903139393823</v>
      </c>
    </row>
    <row r="7844" spans="2:4">
      <c r="B7844" t="s">
        <v>9870</v>
      </c>
      <c r="C7844" s="46">
        <v>1</v>
      </c>
      <c r="D7844" s="30">
        <v>2747.265367852297</v>
      </c>
    </row>
    <row r="7845" spans="2:4">
      <c r="B7845" t="s">
        <v>9871</v>
      </c>
      <c r="C7845" s="46">
        <v>1</v>
      </c>
      <c r="D7845" s="30">
        <v>2811.7405614990944</v>
      </c>
    </row>
    <row r="7846" spans="2:4">
      <c r="B7846" t="s">
        <v>9872</v>
      </c>
      <c r="C7846" s="46">
        <v>1</v>
      </c>
      <c r="D7846" s="30">
        <v>6854.8559162192205</v>
      </c>
    </row>
    <row r="7847" spans="2:4">
      <c r="B7847" t="s">
        <v>9873</v>
      </c>
      <c r="C7847" s="46">
        <v>1</v>
      </c>
      <c r="D7847" s="30">
        <v>2173.3259448734671</v>
      </c>
    </row>
    <row r="7848" spans="2:4">
      <c r="B7848" t="s">
        <v>9874</v>
      </c>
      <c r="C7848" s="46">
        <v>1</v>
      </c>
      <c r="D7848" s="30">
        <v>390.29176240027675</v>
      </c>
    </row>
    <row r="7849" spans="2:4">
      <c r="B7849" t="s">
        <v>9875</v>
      </c>
      <c r="C7849" s="46">
        <v>1</v>
      </c>
      <c r="D7849" s="30">
        <v>2771.0157894204444</v>
      </c>
    </row>
    <row r="7850" spans="2:4">
      <c r="B7850" t="s">
        <v>9876</v>
      </c>
      <c r="C7850" s="46">
        <v>1</v>
      </c>
      <c r="D7850" s="30">
        <v>437.29600966014442</v>
      </c>
    </row>
    <row r="7851" spans="2:4">
      <c r="B7851" t="s">
        <v>9877</v>
      </c>
      <c r="C7851" s="46">
        <v>1</v>
      </c>
      <c r="D7851" s="30">
        <v>1980.4525476227234</v>
      </c>
    </row>
    <row r="7852" spans="2:4">
      <c r="B7852" t="s">
        <v>9878</v>
      </c>
      <c r="C7852" s="46">
        <v>1</v>
      </c>
      <c r="D7852" s="30">
        <v>2142.5125798992544</v>
      </c>
    </row>
    <row r="7853" spans="2:4">
      <c r="B7853" t="s">
        <v>9879</v>
      </c>
      <c r="C7853" s="46">
        <v>1</v>
      </c>
      <c r="D7853" s="30">
        <v>1980.4525476227234</v>
      </c>
    </row>
    <row r="7854" spans="2:4">
      <c r="B7854" t="s">
        <v>9880</v>
      </c>
      <c r="C7854" s="46">
        <v>1</v>
      </c>
      <c r="D7854" s="30">
        <v>466.68171075012845</v>
      </c>
    </row>
    <row r="7855" spans="2:4">
      <c r="B7855" t="s">
        <v>9881</v>
      </c>
      <c r="C7855" s="46">
        <v>1</v>
      </c>
      <c r="D7855" s="30">
        <v>1980.4525476227234</v>
      </c>
    </row>
    <row r="7856" spans="2:4">
      <c r="B7856" t="s">
        <v>9882</v>
      </c>
      <c r="C7856" s="46">
        <v>1</v>
      </c>
      <c r="D7856" s="30">
        <v>2162.6628993641211</v>
      </c>
    </row>
    <row r="7857" spans="2:4">
      <c r="B7857" t="s">
        <v>9883</v>
      </c>
      <c r="C7857" s="46">
        <v>1</v>
      </c>
      <c r="D7857" s="30">
        <v>1980.4525476227234</v>
      </c>
    </row>
    <row r="7858" spans="2:4">
      <c r="B7858" t="s">
        <v>9884</v>
      </c>
      <c r="C7858" s="46">
        <v>1</v>
      </c>
      <c r="D7858" s="30">
        <v>2827.5804711903611</v>
      </c>
    </row>
    <row r="7859" spans="2:4">
      <c r="B7859" t="s">
        <v>9885</v>
      </c>
      <c r="C7859" s="46">
        <v>1</v>
      </c>
      <c r="D7859" s="30">
        <v>2535.8552804347901</v>
      </c>
    </row>
    <row r="7860" spans="2:4">
      <c r="B7860" t="s">
        <v>9886</v>
      </c>
      <c r="C7860" s="46">
        <v>1</v>
      </c>
      <c r="D7860" s="30">
        <v>2815.2830597567431</v>
      </c>
    </row>
    <row r="7861" spans="2:4">
      <c r="B7861" t="s">
        <v>9887</v>
      </c>
      <c r="C7861" s="46">
        <v>1</v>
      </c>
      <c r="D7861" s="30">
        <v>2800.784076503312</v>
      </c>
    </row>
    <row r="7862" spans="2:4">
      <c r="B7862" t="s">
        <v>9888</v>
      </c>
      <c r="C7862" s="46">
        <v>2</v>
      </c>
      <c r="D7862" s="30">
        <v>25405.358285305603</v>
      </c>
    </row>
    <row r="7863" spans="2:4">
      <c r="B7863" t="s">
        <v>9889</v>
      </c>
      <c r="C7863" s="46">
        <v>1</v>
      </c>
      <c r="D7863" s="30">
        <v>15490.024492310935</v>
      </c>
    </row>
    <row r="7864" spans="2:4">
      <c r="B7864" t="s">
        <v>9890</v>
      </c>
      <c r="C7864" s="46">
        <v>1</v>
      </c>
      <c r="D7864" s="30">
        <v>2815.2830597567431</v>
      </c>
    </row>
    <row r="7865" spans="2:4">
      <c r="B7865" t="s">
        <v>9891</v>
      </c>
      <c r="C7865" s="46">
        <v>1</v>
      </c>
      <c r="D7865" s="30">
        <v>2306.8082184990931</v>
      </c>
    </row>
    <row r="7866" spans="2:4">
      <c r="B7866" t="s">
        <v>9892</v>
      </c>
      <c r="C7866" s="46">
        <v>1</v>
      </c>
      <c r="D7866" s="30">
        <v>490.64680832825184</v>
      </c>
    </row>
    <row r="7867" spans="2:4">
      <c r="B7867" t="s">
        <v>9893</v>
      </c>
      <c r="C7867" s="46">
        <v>1</v>
      </c>
      <c r="D7867" s="30">
        <v>2725.8978143962745</v>
      </c>
    </row>
    <row r="7868" spans="2:4">
      <c r="B7868" t="s">
        <v>9894</v>
      </c>
      <c r="C7868" s="46">
        <v>1</v>
      </c>
      <c r="D7868" s="30">
        <v>1743.0690618168846</v>
      </c>
    </row>
    <row r="7869" spans="2:4">
      <c r="B7869" t="s">
        <v>9895</v>
      </c>
      <c r="C7869" s="46">
        <v>1</v>
      </c>
      <c r="D7869" s="30">
        <v>1321.8532793201543</v>
      </c>
    </row>
    <row r="7870" spans="2:4">
      <c r="B7870" t="s">
        <v>9896</v>
      </c>
      <c r="C7870" s="46">
        <v>1</v>
      </c>
      <c r="D7870" s="30">
        <v>2724.6544988036553</v>
      </c>
    </row>
    <row r="7871" spans="2:4">
      <c r="B7871" t="s">
        <v>9897</v>
      </c>
      <c r="C7871" s="46">
        <v>1</v>
      </c>
      <c r="D7871" s="30">
        <v>3193.3221281585061</v>
      </c>
    </row>
    <row r="7872" spans="2:4">
      <c r="B7872" t="s">
        <v>9898</v>
      </c>
      <c r="C7872" s="46">
        <v>1</v>
      </c>
      <c r="D7872" s="30">
        <v>2728.7132095598777</v>
      </c>
    </row>
    <row r="7873" spans="2:4">
      <c r="B7873" t="s">
        <v>9899</v>
      </c>
      <c r="C7873" s="46">
        <v>1</v>
      </c>
      <c r="D7873" s="30">
        <v>529.65480032512335</v>
      </c>
    </row>
    <row r="7874" spans="2:4">
      <c r="B7874" t="s">
        <v>9900</v>
      </c>
      <c r="C7874" s="46">
        <v>1</v>
      </c>
      <c r="D7874" s="30">
        <v>666.74321572368228</v>
      </c>
    </row>
    <row r="7875" spans="2:4">
      <c r="B7875" t="s">
        <v>9901</v>
      </c>
      <c r="C7875" s="46">
        <v>1</v>
      </c>
      <c r="D7875" s="30">
        <v>2319.890427556064</v>
      </c>
    </row>
    <row r="7876" spans="2:4">
      <c r="B7876" t="s">
        <v>9902</v>
      </c>
      <c r="C7876" s="46">
        <v>1</v>
      </c>
      <c r="D7876" s="30">
        <v>2608.8122896194191</v>
      </c>
    </row>
    <row r="7877" spans="2:4">
      <c r="B7877" t="s">
        <v>9903</v>
      </c>
      <c r="C7877" s="46">
        <v>1</v>
      </c>
      <c r="D7877" s="30">
        <v>1684.7081665268829</v>
      </c>
    </row>
    <row r="7878" spans="2:4">
      <c r="B7878" t="s">
        <v>9904</v>
      </c>
      <c r="C7878" s="46">
        <v>1</v>
      </c>
      <c r="D7878" s="30">
        <v>2535.8552804347901</v>
      </c>
    </row>
    <row r="7879" spans="2:4">
      <c r="B7879" t="s">
        <v>9905</v>
      </c>
      <c r="C7879" s="46">
        <v>1</v>
      </c>
      <c r="D7879" s="30">
        <v>2967.5756615028417</v>
      </c>
    </row>
    <row r="7880" spans="2:4">
      <c r="B7880" t="s">
        <v>9906</v>
      </c>
      <c r="C7880" s="46">
        <v>1</v>
      </c>
      <c r="D7880" s="30">
        <v>1828.4278339485679</v>
      </c>
    </row>
    <row r="7881" spans="2:4">
      <c r="B7881" t="s">
        <v>9907</v>
      </c>
      <c r="C7881" s="46">
        <v>1</v>
      </c>
      <c r="D7881" s="30">
        <v>2645.5378391664863</v>
      </c>
    </row>
    <row r="7882" spans="2:4">
      <c r="B7882" t="s">
        <v>9908</v>
      </c>
      <c r="C7882" s="46">
        <v>1</v>
      </c>
      <c r="D7882" s="30">
        <v>2884.0245131798015</v>
      </c>
    </row>
    <row r="7883" spans="2:4">
      <c r="B7883" t="s">
        <v>9909</v>
      </c>
      <c r="C7883" s="46">
        <v>1</v>
      </c>
      <c r="D7883" s="30">
        <v>911.48948672808126</v>
      </c>
    </row>
    <row r="7884" spans="2:4">
      <c r="B7884" t="s">
        <v>9910</v>
      </c>
      <c r="C7884" s="46">
        <v>1</v>
      </c>
      <c r="D7884" s="30">
        <v>2091.34927648347</v>
      </c>
    </row>
    <row r="7885" spans="2:4">
      <c r="B7885" t="s">
        <v>9911</v>
      </c>
      <c r="C7885" s="46">
        <v>1</v>
      </c>
      <c r="D7885" s="30">
        <v>2871.1493769431831</v>
      </c>
    </row>
    <row r="7886" spans="2:4">
      <c r="B7886" t="s">
        <v>9912</v>
      </c>
      <c r="C7886" s="46">
        <v>1</v>
      </c>
      <c r="D7886" s="30">
        <v>1534.9350231379688</v>
      </c>
    </row>
    <row r="7887" spans="2:4">
      <c r="B7887" t="s">
        <v>9913</v>
      </c>
      <c r="C7887" s="46">
        <v>1</v>
      </c>
      <c r="D7887" s="30">
        <v>1896.0797990733331</v>
      </c>
    </row>
    <row r="7888" spans="2:4">
      <c r="B7888" t="s">
        <v>9914</v>
      </c>
      <c r="C7888" s="46">
        <v>1</v>
      </c>
      <c r="D7888" s="30">
        <v>2336.4019920758888</v>
      </c>
    </row>
    <row r="7889" spans="2:4">
      <c r="B7889" t="s">
        <v>9915</v>
      </c>
      <c r="C7889" s="46">
        <v>1</v>
      </c>
      <c r="D7889" s="30">
        <v>918.08716805993379</v>
      </c>
    </row>
    <row r="7890" spans="2:4">
      <c r="B7890" t="s">
        <v>9916</v>
      </c>
      <c r="C7890" s="46">
        <v>1</v>
      </c>
      <c r="D7890" s="30">
        <v>2447.8350670977788</v>
      </c>
    </row>
    <row r="7891" spans="2:4">
      <c r="B7891" t="s">
        <v>9917</v>
      </c>
      <c r="C7891" s="46">
        <v>1</v>
      </c>
      <c r="D7891" s="30">
        <v>1907.1978712005873</v>
      </c>
    </row>
    <row r="7892" spans="2:4">
      <c r="B7892" t="s">
        <v>9918</v>
      </c>
      <c r="C7892" s="46">
        <v>1</v>
      </c>
      <c r="D7892" s="30">
        <v>2863.9399407503374</v>
      </c>
    </row>
    <row r="7893" spans="2:4">
      <c r="B7893" t="s">
        <v>9919</v>
      </c>
      <c r="C7893" s="46">
        <v>1</v>
      </c>
      <c r="D7893" s="30">
        <v>4134.5728452939029</v>
      </c>
    </row>
    <row r="7894" spans="2:4">
      <c r="B7894" t="s">
        <v>9920</v>
      </c>
      <c r="C7894" s="46">
        <v>1</v>
      </c>
      <c r="D7894" s="30">
        <v>1140.8451431783212</v>
      </c>
    </row>
    <row r="7895" spans="2:4">
      <c r="B7895" t="s">
        <v>9921</v>
      </c>
      <c r="C7895" s="46">
        <v>1</v>
      </c>
      <c r="D7895" s="30">
        <v>2691.8196232352202</v>
      </c>
    </row>
    <row r="7896" spans="2:4">
      <c r="B7896" t="s">
        <v>9922</v>
      </c>
      <c r="C7896" s="46">
        <v>1</v>
      </c>
      <c r="D7896" s="30">
        <v>2229.6776624659997</v>
      </c>
    </row>
    <row r="7897" spans="2:4">
      <c r="B7897" t="s">
        <v>9923</v>
      </c>
      <c r="C7897" s="46">
        <v>1</v>
      </c>
      <c r="D7897" s="30">
        <v>2877.0916079741755</v>
      </c>
    </row>
    <row r="7898" spans="2:4">
      <c r="B7898" t="s">
        <v>9924</v>
      </c>
      <c r="C7898" s="46">
        <v>1</v>
      </c>
      <c r="D7898" s="30">
        <v>1341.6954355097589</v>
      </c>
    </row>
    <row r="7899" spans="2:4">
      <c r="B7899" t="s">
        <v>9925</v>
      </c>
      <c r="C7899" s="46">
        <v>1</v>
      </c>
      <c r="D7899" s="30">
        <v>2522.0296309551718</v>
      </c>
    </row>
    <row r="7900" spans="2:4">
      <c r="B7900" t="s">
        <v>9926</v>
      </c>
      <c r="C7900" s="46">
        <v>1</v>
      </c>
      <c r="D7900" s="30">
        <v>1702.8368921779827</v>
      </c>
    </row>
    <row r="7901" spans="2:4">
      <c r="B7901" t="s">
        <v>9927</v>
      </c>
      <c r="C7901" s="46">
        <v>1</v>
      </c>
      <c r="D7901" s="30">
        <v>2877.0916079741755</v>
      </c>
    </row>
    <row r="7902" spans="2:4">
      <c r="B7902" t="s">
        <v>9928</v>
      </c>
      <c r="C7902" s="46">
        <v>1</v>
      </c>
      <c r="D7902" s="30">
        <v>2290.6084430928977</v>
      </c>
    </row>
    <row r="7903" spans="2:4">
      <c r="B7903" t="s">
        <v>9929</v>
      </c>
      <c r="C7903" s="46">
        <v>1</v>
      </c>
      <c r="D7903" s="30">
        <v>2658.7789407167884</v>
      </c>
    </row>
    <row r="7904" spans="2:4">
      <c r="B7904" t="s">
        <v>9930</v>
      </c>
      <c r="C7904" s="46">
        <v>2</v>
      </c>
      <c r="D7904" s="30">
        <v>21618.067181649585</v>
      </c>
    </row>
    <row r="7905" spans="2:4">
      <c r="B7905" t="s">
        <v>9931</v>
      </c>
      <c r="C7905" s="46">
        <v>1</v>
      </c>
      <c r="D7905" s="30">
        <v>2877.0916079741755</v>
      </c>
    </row>
    <row r="7906" spans="2:4">
      <c r="B7906" t="s">
        <v>9932</v>
      </c>
      <c r="C7906" s="46">
        <v>1</v>
      </c>
      <c r="D7906" s="30">
        <v>382.3656894708767</v>
      </c>
    </row>
    <row r="7907" spans="2:4">
      <c r="B7907" t="s">
        <v>9933</v>
      </c>
      <c r="C7907" s="46">
        <v>1</v>
      </c>
      <c r="D7907" s="30">
        <v>2659.6250068333193</v>
      </c>
    </row>
    <row r="7908" spans="2:4">
      <c r="B7908" t="s">
        <v>9934</v>
      </c>
      <c r="C7908" s="46">
        <v>1</v>
      </c>
      <c r="D7908" s="30">
        <v>2012.3783016325531</v>
      </c>
    </row>
    <row r="7909" spans="2:4">
      <c r="B7909" t="s">
        <v>9935</v>
      </c>
      <c r="C7909" s="46">
        <v>1</v>
      </c>
      <c r="D7909" s="30">
        <v>2877.0916079741755</v>
      </c>
    </row>
    <row r="7910" spans="2:4">
      <c r="B7910" t="s">
        <v>9936</v>
      </c>
      <c r="C7910" s="46">
        <v>1</v>
      </c>
      <c r="D7910" s="30">
        <v>2518.4974417291019</v>
      </c>
    </row>
    <row r="7911" spans="2:4">
      <c r="B7911" t="s">
        <v>9937</v>
      </c>
      <c r="C7911" s="46">
        <v>2</v>
      </c>
      <c r="D7911" s="30">
        <v>94575.881465008948</v>
      </c>
    </row>
    <row r="7912" spans="2:4">
      <c r="B7912" t="s">
        <v>9938</v>
      </c>
      <c r="C7912" s="46">
        <v>1</v>
      </c>
      <c r="D7912" s="30">
        <v>2831.2603936192363</v>
      </c>
    </row>
    <row r="7913" spans="2:4">
      <c r="B7913" t="s">
        <v>9939</v>
      </c>
      <c r="C7913" s="46">
        <v>1</v>
      </c>
      <c r="D7913" s="30">
        <v>2317.1922843189941</v>
      </c>
    </row>
    <row r="7914" spans="2:4">
      <c r="B7914" t="s">
        <v>9940</v>
      </c>
      <c r="C7914" s="46">
        <v>1</v>
      </c>
      <c r="D7914" s="30">
        <v>2821.6402933582635</v>
      </c>
    </row>
    <row r="7915" spans="2:4">
      <c r="B7915" t="s">
        <v>9941</v>
      </c>
      <c r="C7915" s="46">
        <v>1</v>
      </c>
      <c r="D7915" s="30">
        <v>2821.6402933582635</v>
      </c>
    </row>
    <row r="7916" spans="2:4">
      <c r="B7916" t="s">
        <v>9942</v>
      </c>
      <c r="C7916" s="46">
        <v>1</v>
      </c>
      <c r="D7916" s="30">
        <v>2758.2945095822265</v>
      </c>
    </row>
    <row r="7917" spans="2:4">
      <c r="B7917" t="s">
        <v>9943</v>
      </c>
      <c r="C7917" s="46">
        <v>1</v>
      </c>
      <c r="D7917" s="30">
        <v>2883.0340782983517</v>
      </c>
    </row>
    <row r="7918" spans="2:4">
      <c r="B7918" t="s">
        <v>9944</v>
      </c>
      <c r="C7918" s="46">
        <v>1</v>
      </c>
      <c r="D7918" s="30">
        <v>2758.2945095822265</v>
      </c>
    </row>
    <row r="7919" spans="2:4">
      <c r="B7919" t="s">
        <v>9945</v>
      </c>
      <c r="C7919" s="46">
        <v>1</v>
      </c>
      <c r="D7919" s="30">
        <v>2883.6121722238527</v>
      </c>
    </row>
    <row r="7920" spans="2:4">
      <c r="B7920" t="s">
        <v>9946</v>
      </c>
      <c r="C7920" s="46">
        <v>1</v>
      </c>
      <c r="D7920" s="30">
        <v>1071.9550976428159</v>
      </c>
    </row>
    <row r="7921" spans="2:4">
      <c r="B7921" t="s">
        <v>9947</v>
      </c>
      <c r="C7921" s="46">
        <v>1</v>
      </c>
      <c r="D7921" s="30">
        <v>2722.3844066032711</v>
      </c>
    </row>
    <row r="7922" spans="2:4">
      <c r="B7922" t="s">
        <v>9948</v>
      </c>
      <c r="C7922" s="46">
        <v>1</v>
      </c>
      <c r="D7922" s="30">
        <v>2013.1550874139716</v>
      </c>
    </row>
    <row r="7923" spans="2:4">
      <c r="B7923" t="s">
        <v>9949</v>
      </c>
      <c r="C7923" s="46">
        <v>1</v>
      </c>
      <c r="D7923" s="30">
        <v>1985.6590305870109</v>
      </c>
    </row>
    <row r="7924" spans="2:4">
      <c r="B7924" t="s">
        <v>9950</v>
      </c>
      <c r="C7924" s="46">
        <v>1</v>
      </c>
      <c r="D7924" s="30">
        <v>2758.2945095822265</v>
      </c>
    </row>
    <row r="7925" spans="2:4">
      <c r="B7925" t="s">
        <v>9951</v>
      </c>
      <c r="C7925" s="46">
        <v>1</v>
      </c>
      <c r="D7925" s="30">
        <v>1901.1537679265623</v>
      </c>
    </row>
    <row r="7926" spans="2:4">
      <c r="B7926" t="s">
        <v>9952</v>
      </c>
      <c r="C7926" s="46">
        <v>1</v>
      </c>
      <c r="D7926" s="30">
        <v>2579.952714495791</v>
      </c>
    </row>
    <row r="7927" spans="2:4">
      <c r="B7927" t="s">
        <v>9953</v>
      </c>
      <c r="C7927" s="46">
        <v>1</v>
      </c>
      <c r="D7927" s="30">
        <v>2773.9973982201054</v>
      </c>
    </row>
    <row r="7928" spans="2:4">
      <c r="B7928" t="s">
        <v>9954</v>
      </c>
      <c r="C7928" s="46">
        <v>1</v>
      </c>
      <c r="D7928" s="30">
        <v>2884.0245131798015</v>
      </c>
    </row>
    <row r="7929" spans="2:4">
      <c r="B7929" t="s">
        <v>9955</v>
      </c>
      <c r="C7929" s="46">
        <v>1</v>
      </c>
      <c r="D7929" s="30">
        <v>784.98409722052975</v>
      </c>
    </row>
    <row r="7930" spans="2:4">
      <c r="B7930" t="s">
        <v>9956</v>
      </c>
      <c r="C7930" s="46">
        <v>1</v>
      </c>
      <c r="D7930" s="30">
        <v>2065.0352185109778</v>
      </c>
    </row>
    <row r="7931" spans="2:4">
      <c r="B7931" t="s">
        <v>9957</v>
      </c>
      <c r="C7931" s="46">
        <v>1</v>
      </c>
      <c r="D7931" s="30">
        <v>4066.6507481831127</v>
      </c>
    </row>
    <row r="7932" spans="2:4">
      <c r="B7932" t="s">
        <v>9958</v>
      </c>
      <c r="C7932" s="46">
        <v>1</v>
      </c>
      <c r="D7932" s="30">
        <v>2821.6402933582635</v>
      </c>
    </row>
    <row r="7933" spans="2:4">
      <c r="B7933" t="s">
        <v>9959</v>
      </c>
      <c r="C7933" s="46">
        <v>1</v>
      </c>
      <c r="D7933" s="30">
        <v>2740.0500435036643</v>
      </c>
    </row>
    <row r="7934" spans="2:4">
      <c r="B7934" t="s">
        <v>9960</v>
      </c>
      <c r="C7934" s="46">
        <v>1</v>
      </c>
      <c r="D7934" s="30">
        <v>2229.2412049132436</v>
      </c>
    </row>
    <row r="7935" spans="2:4">
      <c r="B7935" t="s">
        <v>9961</v>
      </c>
      <c r="C7935" s="46">
        <v>1</v>
      </c>
      <c r="D7935" s="30">
        <v>1862.0336043090558</v>
      </c>
    </row>
    <row r="7936" spans="2:4">
      <c r="B7936" t="s">
        <v>9962</v>
      </c>
      <c r="C7936" s="46">
        <v>1</v>
      </c>
      <c r="D7936" s="30">
        <v>1493.2182917640037</v>
      </c>
    </row>
    <row r="7937" spans="2:4">
      <c r="B7937" t="s">
        <v>9963</v>
      </c>
      <c r="C7937" s="46">
        <v>1</v>
      </c>
      <c r="D7937" s="30">
        <v>2814.7104066238044</v>
      </c>
    </row>
    <row r="7938" spans="2:4">
      <c r="B7938" t="s">
        <v>9964</v>
      </c>
      <c r="C7938" s="46">
        <v>1</v>
      </c>
      <c r="D7938" s="30">
        <v>1367.6101622135986</v>
      </c>
    </row>
    <row r="7939" spans="2:4">
      <c r="B7939" t="s">
        <v>9965</v>
      </c>
      <c r="C7939" s="46">
        <v>1</v>
      </c>
      <c r="D7939" s="30">
        <v>2639.6566441337968</v>
      </c>
    </row>
    <row r="7940" spans="2:4">
      <c r="B7940" t="s">
        <v>9966</v>
      </c>
      <c r="C7940" s="46">
        <v>1</v>
      </c>
      <c r="D7940" s="30">
        <v>2695.2135571726089</v>
      </c>
    </row>
    <row r="7941" spans="2:4">
      <c r="B7941" t="s">
        <v>9967</v>
      </c>
      <c r="C7941" s="46">
        <v>1</v>
      </c>
      <c r="D7941" s="30">
        <v>2324.8833165475021</v>
      </c>
    </row>
    <row r="7942" spans="2:4">
      <c r="B7942" t="s">
        <v>9968</v>
      </c>
      <c r="C7942" s="46">
        <v>1</v>
      </c>
      <c r="D7942" s="30">
        <v>1466.3371380912479</v>
      </c>
    </row>
    <row r="7943" spans="2:4">
      <c r="B7943" t="s">
        <v>9969</v>
      </c>
      <c r="C7943" s="46">
        <v>1</v>
      </c>
      <c r="D7943" s="30">
        <v>2120.963748126369</v>
      </c>
    </row>
    <row r="7944" spans="2:4">
      <c r="B7944" t="s">
        <v>9970</v>
      </c>
      <c r="C7944" s="46">
        <v>1</v>
      </c>
      <c r="D7944" s="30">
        <v>2629.7209210453912</v>
      </c>
    </row>
    <row r="7945" spans="2:4">
      <c r="B7945" t="s">
        <v>9971</v>
      </c>
      <c r="C7945" s="46">
        <v>1</v>
      </c>
      <c r="D7945" s="30">
        <v>2731.1442980870006</v>
      </c>
    </row>
    <row r="7946" spans="2:4">
      <c r="B7946" t="s">
        <v>9972</v>
      </c>
      <c r="C7946" s="46">
        <v>1</v>
      </c>
      <c r="D7946" s="30">
        <v>2743.3073866103941</v>
      </c>
    </row>
    <row r="7947" spans="2:4">
      <c r="B7947" t="s">
        <v>9973</v>
      </c>
      <c r="C7947" s="46">
        <v>1</v>
      </c>
      <c r="D7947" s="30">
        <v>2168.1288562001</v>
      </c>
    </row>
    <row r="7948" spans="2:4">
      <c r="B7948" t="s">
        <v>9974</v>
      </c>
      <c r="C7948" s="46">
        <v>1</v>
      </c>
      <c r="D7948" s="30">
        <v>2852.3339076739012</v>
      </c>
    </row>
    <row r="7949" spans="2:4">
      <c r="B7949" t="s">
        <v>9975</v>
      </c>
      <c r="C7949" s="46">
        <v>1</v>
      </c>
      <c r="D7949" s="30">
        <v>1428.4863794675316</v>
      </c>
    </row>
    <row r="7950" spans="2:4">
      <c r="B7950" t="s">
        <v>9976</v>
      </c>
      <c r="C7950" s="46">
        <v>1</v>
      </c>
      <c r="D7950" s="30">
        <v>2331.1351955784826</v>
      </c>
    </row>
    <row r="7951" spans="2:4">
      <c r="B7951" t="s">
        <v>9977</v>
      </c>
      <c r="C7951" s="46">
        <v>1</v>
      </c>
      <c r="D7951" s="30">
        <v>1831.7680196292536</v>
      </c>
    </row>
    <row r="7952" spans="2:4">
      <c r="B7952" t="s">
        <v>9978</v>
      </c>
      <c r="C7952" s="46">
        <v>1</v>
      </c>
      <c r="D7952" s="30">
        <v>2677.2562908002706</v>
      </c>
    </row>
    <row r="7953" spans="2:4">
      <c r="B7953" t="s">
        <v>9979</v>
      </c>
      <c r="C7953" s="46">
        <v>1</v>
      </c>
      <c r="D7953" s="30">
        <v>2168.1288562001</v>
      </c>
    </row>
    <row r="7954" spans="2:4">
      <c r="B7954" t="s">
        <v>9980</v>
      </c>
      <c r="C7954" s="46">
        <v>1</v>
      </c>
      <c r="D7954" s="30">
        <v>1428.4863794675316</v>
      </c>
    </row>
    <row r="7955" spans="2:4">
      <c r="B7955" t="s">
        <v>9981</v>
      </c>
      <c r="C7955" s="46">
        <v>1</v>
      </c>
      <c r="D7955" s="30">
        <v>2726.6330757613373</v>
      </c>
    </row>
    <row r="7956" spans="2:4">
      <c r="B7956" t="s">
        <v>9982</v>
      </c>
      <c r="C7956" s="46">
        <v>1</v>
      </c>
      <c r="D7956" s="30">
        <v>1144.8194141018071</v>
      </c>
    </row>
    <row r="7957" spans="2:4">
      <c r="B7957" t="s">
        <v>9983</v>
      </c>
      <c r="C7957" s="46">
        <v>1</v>
      </c>
      <c r="D7957" s="30">
        <v>2881.0532283602279</v>
      </c>
    </row>
    <row r="7958" spans="2:4">
      <c r="B7958" t="s">
        <v>9984</v>
      </c>
      <c r="C7958" s="46">
        <v>1</v>
      </c>
      <c r="D7958" s="30">
        <v>2505.2857437604121</v>
      </c>
    </row>
    <row r="7959" spans="2:4">
      <c r="B7959" t="s">
        <v>9985</v>
      </c>
      <c r="C7959" s="46">
        <v>1</v>
      </c>
      <c r="D7959" s="30">
        <v>2743.3073866103941</v>
      </c>
    </row>
    <row r="7960" spans="2:4">
      <c r="B7960" t="s">
        <v>9986</v>
      </c>
      <c r="C7960" s="46">
        <v>2</v>
      </c>
      <c r="D7960" s="30">
        <v>13147.041254057496</v>
      </c>
    </row>
    <row r="7961" spans="2:4">
      <c r="B7961" t="s">
        <v>9987</v>
      </c>
      <c r="C7961" s="46">
        <v>2</v>
      </c>
      <c r="D7961" s="30">
        <v>13147.041254057496</v>
      </c>
    </row>
    <row r="7962" spans="2:4">
      <c r="B7962" t="s">
        <v>9988</v>
      </c>
      <c r="C7962" s="46">
        <v>1</v>
      </c>
      <c r="D7962" s="30">
        <v>2852.3339076739012</v>
      </c>
    </row>
    <row r="7963" spans="2:4">
      <c r="B7963" t="s">
        <v>9989</v>
      </c>
      <c r="C7963" s="46">
        <v>1</v>
      </c>
      <c r="D7963" s="30">
        <v>2342.1388491729499</v>
      </c>
    </row>
    <row r="7964" spans="2:4">
      <c r="B7964" t="s">
        <v>9990</v>
      </c>
      <c r="C7964" s="46">
        <v>1</v>
      </c>
      <c r="D7964" s="30">
        <v>2640.9838881358178</v>
      </c>
    </row>
    <row r="7965" spans="2:4">
      <c r="B7965" t="s">
        <v>9991</v>
      </c>
      <c r="C7965" s="46">
        <v>1</v>
      </c>
      <c r="D7965" s="30">
        <v>1424.001387563324</v>
      </c>
    </row>
    <row r="7966" spans="2:4">
      <c r="B7966" t="s">
        <v>9992</v>
      </c>
      <c r="C7966" s="46">
        <v>1</v>
      </c>
      <c r="D7966" s="30">
        <v>1424.001387563324</v>
      </c>
    </row>
    <row r="7967" spans="2:4">
      <c r="B7967" t="s">
        <v>9993</v>
      </c>
      <c r="C7967" s="46">
        <v>1</v>
      </c>
      <c r="D7967" s="30">
        <v>2743.3073866103941</v>
      </c>
    </row>
    <row r="7968" spans="2:4">
      <c r="B7968" t="s">
        <v>9994</v>
      </c>
      <c r="C7968" s="46">
        <v>1</v>
      </c>
      <c r="D7968" s="30">
        <v>2095.9016586784282</v>
      </c>
    </row>
    <row r="7969" spans="2:4">
      <c r="B7969" t="s">
        <v>9995</v>
      </c>
      <c r="C7969" s="46">
        <v>1</v>
      </c>
      <c r="D7969" s="30">
        <v>2704.6846111637979</v>
      </c>
    </row>
    <row r="7970" spans="2:4">
      <c r="B7970" t="s">
        <v>9996</v>
      </c>
      <c r="C7970" s="46">
        <v>1</v>
      </c>
      <c r="D7970" s="30">
        <v>2687.7947384035724</v>
      </c>
    </row>
    <row r="7971" spans="2:4">
      <c r="B7971" t="s">
        <v>9997</v>
      </c>
      <c r="C7971" s="46">
        <v>1</v>
      </c>
      <c r="D7971" s="30">
        <v>2657.1032576511702</v>
      </c>
    </row>
    <row r="7972" spans="2:4">
      <c r="B7972" t="s">
        <v>9998</v>
      </c>
      <c r="C7972" s="46">
        <v>1</v>
      </c>
      <c r="D7972" s="30">
        <v>3221.0518649749438</v>
      </c>
    </row>
    <row r="7973" spans="2:4">
      <c r="B7973" t="s">
        <v>9999</v>
      </c>
      <c r="C7973" s="46">
        <v>1</v>
      </c>
      <c r="D7973" s="30">
        <v>32658.814375591453</v>
      </c>
    </row>
    <row r="7974" spans="2:4">
      <c r="B7974" t="s">
        <v>10000</v>
      </c>
      <c r="C7974" s="46">
        <v>1</v>
      </c>
      <c r="D7974" s="30">
        <v>2738.7152411673146</v>
      </c>
    </row>
    <row r="7975" spans="2:4">
      <c r="B7975" t="s">
        <v>10001</v>
      </c>
      <c r="C7975" s="46">
        <v>1</v>
      </c>
      <c r="D7975" s="30">
        <v>4213.9814658277064</v>
      </c>
    </row>
    <row r="7976" spans="2:4">
      <c r="B7976" t="s">
        <v>10002</v>
      </c>
      <c r="C7976" s="46">
        <v>1</v>
      </c>
      <c r="D7976" s="30">
        <v>2583.2717648251019</v>
      </c>
    </row>
    <row r="7977" spans="2:4">
      <c r="B7977" t="s">
        <v>10003</v>
      </c>
      <c r="C7977" s="46">
        <v>1</v>
      </c>
      <c r="D7977" s="30">
        <v>2743.3073866103941</v>
      </c>
    </row>
    <row r="7978" spans="2:4">
      <c r="B7978" t="s">
        <v>10004</v>
      </c>
      <c r="C7978" s="46">
        <v>1</v>
      </c>
      <c r="D7978" s="30">
        <v>2845.4025108795595</v>
      </c>
    </row>
    <row r="7979" spans="2:4">
      <c r="B7979" t="s">
        <v>10005</v>
      </c>
      <c r="C7979" s="46">
        <v>1</v>
      </c>
      <c r="D7979" s="30">
        <v>1330.4131641972331</v>
      </c>
    </row>
    <row r="7980" spans="2:4">
      <c r="B7980" t="s">
        <v>10006</v>
      </c>
      <c r="C7980" s="46">
        <v>1</v>
      </c>
      <c r="D7980" s="30">
        <v>1948.7882177450622</v>
      </c>
    </row>
    <row r="7981" spans="2:4">
      <c r="B7981" t="s">
        <v>10007</v>
      </c>
      <c r="C7981" s="46">
        <v>1</v>
      </c>
      <c r="D7981" s="30">
        <v>2820.6502883396483</v>
      </c>
    </row>
    <row r="7982" spans="2:4">
      <c r="B7982" t="s">
        <v>10008</v>
      </c>
      <c r="C7982" s="46">
        <v>1</v>
      </c>
      <c r="D7982" s="30">
        <v>1492.140258494125</v>
      </c>
    </row>
    <row r="7983" spans="2:4">
      <c r="B7983" t="s">
        <v>10009</v>
      </c>
      <c r="C7983" s="46">
        <v>1</v>
      </c>
      <c r="D7983" s="30">
        <v>2713.772886948163</v>
      </c>
    </row>
    <row r="7984" spans="2:4">
      <c r="B7984" t="s">
        <v>10010</v>
      </c>
      <c r="C7984" s="46">
        <v>1</v>
      </c>
      <c r="D7984" s="30">
        <v>2883.6121722238527</v>
      </c>
    </row>
    <row r="7985" spans="2:4">
      <c r="B7985" t="s">
        <v>10011</v>
      </c>
      <c r="C7985" s="46">
        <v>1</v>
      </c>
      <c r="D7985" s="30">
        <v>2713.772886948163</v>
      </c>
    </row>
    <row r="7986" spans="2:4">
      <c r="B7986" t="s">
        <v>10012</v>
      </c>
      <c r="C7986" s="46">
        <v>1</v>
      </c>
      <c r="D7986" s="30">
        <v>2800.4270917913191</v>
      </c>
    </row>
    <row r="7987" spans="2:4">
      <c r="B7987" t="s">
        <v>10013</v>
      </c>
      <c r="C7987" s="46">
        <v>1</v>
      </c>
      <c r="D7987" s="30">
        <v>2725.8117798602757</v>
      </c>
    </row>
    <row r="7988" spans="2:4">
      <c r="B7988" t="s">
        <v>10014</v>
      </c>
      <c r="C7988" s="46">
        <v>1</v>
      </c>
      <c r="D7988" s="30">
        <v>2695.2135571726089</v>
      </c>
    </row>
    <row r="7989" spans="2:4">
      <c r="B7989" t="s">
        <v>10015</v>
      </c>
      <c r="C7989" s="46">
        <v>1</v>
      </c>
      <c r="D7989" s="30">
        <v>2828.5705253801739</v>
      </c>
    </row>
    <row r="7990" spans="2:4">
      <c r="B7990" t="s">
        <v>10016</v>
      </c>
      <c r="C7990" s="46">
        <v>1</v>
      </c>
      <c r="D7990" s="30">
        <v>2713.772886948163</v>
      </c>
    </row>
    <row r="7991" spans="2:4">
      <c r="B7991" t="s">
        <v>10017</v>
      </c>
      <c r="C7991" s="46">
        <v>1</v>
      </c>
      <c r="D7991" s="30">
        <v>1949.3937982844604</v>
      </c>
    </row>
    <row r="7992" spans="2:4">
      <c r="B7992" t="s">
        <v>10018</v>
      </c>
      <c r="C7992" s="46">
        <v>1</v>
      </c>
      <c r="D7992" s="30">
        <v>750.86096350460286</v>
      </c>
    </row>
    <row r="7993" spans="2:4">
      <c r="B7993" t="s">
        <v>10019</v>
      </c>
      <c r="C7993" s="46">
        <v>1</v>
      </c>
      <c r="D7993" s="30">
        <v>1819.1976640028913</v>
      </c>
    </row>
    <row r="7994" spans="2:4">
      <c r="B7994" t="s">
        <v>10020</v>
      </c>
      <c r="C7994" s="46">
        <v>1</v>
      </c>
      <c r="D7994" s="30">
        <v>2742.4628102699212</v>
      </c>
    </row>
    <row r="7995" spans="2:4">
      <c r="B7995" t="s">
        <v>10021</v>
      </c>
      <c r="C7995" s="46">
        <v>2</v>
      </c>
      <c r="D7995" s="30">
        <v>7034.0066257646795</v>
      </c>
    </row>
    <row r="7996" spans="2:4">
      <c r="B7996" t="s">
        <v>10022</v>
      </c>
      <c r="C7996" s="46">
        <v>1</v>
      </c>
      <c r="D7996" s="30">
        <v>3067.9019235103292</v>
      </c>
    </row>
    <row r="7997" spans="2:4">
      <c r="B7997" t="s">
        <v>10023</v>
      </c>
      <c r="C7997" s="46">
        <v>1</v>
      </c>
      <c r="D7997" s="30">
        <v>2759.284055254881</v>
      </c>
    </row>
    <row r="7998" spans="2:4">
      <c r="B7998" t="s">
        <v>10024</v>
      </c>
      <c r="C7998" s="46">
        <v>2</v>
      </c>
      <c r="D7998" s="30">
        <v>21618.067181649585</v>
      </c>
    </row>
    <row r="7999" spans="2:4">
      <c r="B7999" t="s">
        <v>10025</v>
      </c>
      <c r="C7999" s="46">
        <v>1</v>
      </c>
      <c r="D7999" s="30">
        <v>918.08716805993379</v>
      </c>
    </row>
    <row r="8000" spans="2:4">
      <c r="B8000" t="s">
        <v>10026</v>
      </c>
      <c r="C8000" s="46">
        <v>1</v>
      </c>
      <c r="D8000" s="30">
        <v>2857.0073000044085</v>
      </c>
    </row>
    <row r="8001" spans="2:4">
      <c r="B8001" t="s">
        <v>10027</v>
      </c>
      <c r="C8001" s="46">
        <v>1</v>
      </c>
      <c r="D8001" s="30">
        <v>2873.1300939403982</v>
      </c>
    </row>
    <row r="8002" spans="2:4">
      <c r="B8002" t="s">
        <v>10028</v>
      </c>
      <c r="C8002" s="46">
        <v>1</v>
      </c>
      <c r="D8002" s="30">
        <v>2881.0532283602279</v>
      </c>
    </row>
    <row r="8003" spans="2:4">
      <c r="B8003" t="s">
        <v>10029</v>
      </c>
      <c r="C8003" s="46">
        <v>1</v>
      </c>
      <c r="D8003" s="30">
        <v>2167.8128020915592</v>
      </c>
    </row>
    <row r="8004" spans="2:4">
      <c r="B8004" t="s">
        <v>10030</v>
      </c>
      <c r="C8004" s="46">
        <v>1</v>
      </c>
      <c r="D8004" s="30">
        <v>720.95285593756114</v>
      </c>
    </row>
    <row r="8005" spans="2:4">
      <c r="B8005" t="s">
        <v>10031</v>
      </c>
      <c r="C8005" s="46">
        <v>2</v>
      </c>
      <c r="D8005" s="30">
        <v>36096.207010421102</v>
      </c>
    </row>
    <row r="8006" spans="2:4">
      <c r="B8006" t="s">
        <v>10032</v>
      </c>
      <c r="C8006" s="46">
        <v>1</v>
      </c>
      <c r="D8006" s="30">
        <v>2147.8305945420802</v>
      </c>
    </row>
    <row r="8007" spans="2:4">
      <c r="B8007" t="s">
        <v>10033</v>
      </c>
      <c r="C8007" s="46">
        <v>1</v>
      </c>
      <c r="D8007" s="30">
        <v>263.27201717335231</v>
      </c>
    </row>
    <row r="8008" spans="2:4">
      <c r="B8008" t="s">
        <v>10034</v>
      </c>
      <c r="C8008" s="46">
        <v>1</v>
      </c>
      <c r="D8008" s="30">
        <v>2086.2016615331822</v>
      </c>
    </row>
    <row r="8009" spans="2:4">
      <c r="B8009" t="s">
        <v>10035</v>
      </c>
      <c r="C8009" s="46">
        <v>1</v>
      </c>
      <c r="D8009" s="30">
        <v>2450.9575573570214</v>
      </c>
    </row>
    <row r="8010" spans="2:4">
      <c r="B8010" t="s">
        <v>10036</v>
      </c>
      <c r="C8010" s="46">
        <v>1</v>
      </c>
      <c r="D8010" s="30">
        <v>1442.271542649466</v>
      </c>
    </row>
    <row r="8011" spans="2:4">
      <c r="B8011" t="s">
        <v>10037</v>
      </c>
      <c r="C8011" s="46">
        <v>1</v>
      </c>
      <c r="D8011" s="30">
        <v>1684.7081665268829</v>
      </c>
    </row>
    <row r="8012" spans="2:4">
      <c r="B8012" t="s">
        <v>10038</v>
      </c>
      <c r="C8012" s="46">
        <v>1</v>
      </c>
      <c r="D8012" s="30">
        <v>1684.7081665268829</v>
      </c>
    </row>
    <row r="8013" spans="2:4">
      <c r="B8013" t="s">
        <v>10039</v>
      </c>
      <c r="C8013" s="46">
        <v>1</v>
      </c>
      <c r="D8013" s="30">
        <v>2201.6964508979863</v>
      </c>
    </row>
    <row r="8014" spans="2:4">
      <c r="B8014" t="s">
        <v>10040</v>
      </c>
      <c r="C8014" s="46">
        <v>1</v>
      </c>
      <c r="D8014" s="30">
        <v>2707.8378655268057</v>
      </c>
    </row>
    <row r="8015" spans="2:4">
      <c r="B8015" t="s">
        <v>10041</v>
      </c>
      <c r="C8015" s="46">
        <v>1</v>
      </c>
      <c r="D8015" s="30">
        <v>4134.5728452939029</v>
      </c>
    </row>
    <row r="8016" spans="2:4">
      <c r="B8016" t="s">
        <v>10042</v>
      </c>
      <c r="C8016" s="46">
        <v>1</v>
      </c>
      <c r="D8016" s="30">
        <v>2773.1054411363557</v>
      </c>
    </row>
    <row r="8017" spans="2:4">
      <c r="B8017" t="s">
        <v>10043</v>
      </c>
      <c r="C8017" s="46">
        <v>1</v>
      </c>
      <c r="D8017" s="30">
        <v>2731.7018212354501</v>
      </c>
    </row>
    <row r="8018" spans="2:4">
      <c r="B8018" t="s">
        <v>10044</v>
      </c>
      <c r="C8018" s="46">
        <v>1</v>
      </c>
      <c r="D8018" s="30">
        <v>924.44886070408006</v>
      </c>
    </row>
    <row r="8019" spans="2:4">
      <c r="B8019" t="s">
        <v>10045</v>
      </c>
      <c r="C8019" s="46">
        <v>1</v>
      </c>
      <c r="D8019" s="30">
        <v>2614.1768807418512</v>
      </c>
    </row>
    <row r="8020" spans="2:4">
      <c r="B8020" t="s">
        <v>10046</v>
      </c>
      <c r="C8020" s="46">
        <v>1</v>
      </c>
      <c r="D8020" s="30">
        <v>2995.4455508582218</v>
      </c>
    </row>
    <row r="8021" spans="2:4">
      <c r="B8021" t="s">
        <v>10047</v>
      </c>
      <c r="C8021" s="46">
        <v>1</v>
      </c>
      <c r="D8021" s="30">
        <v>2995.4455508582218</v>
      </c>
    </row>
    <row r="8022" spans="2:4">
      <c r="B8022" t="s">
        <v>10048</v>
      </c>
      <c r="C8022" s="46">
        <v>1</v>
      </c>
      <c r="D8022" s="30">
        <v>2995.4455508582218</v>
      </c>
    </row>
    <row r="8023" spans="2:4">
      <c r="B8023" t="s">
        <v>10049</v>
      </c>
      <c r="C8023" s="46">
        <v>1</v>
      </c>
      <c r="D8023" s="30">
        <v>2995.4455508582218</v>
      </c>
    </row>
    <row r="8024" spans="2:4">
      <c r="B8024" t="s">
        <v>10050</v>
      </c>
      <c r="C8024" s="46">
        <v>1</v>
      </c>
      <c r="D8024" s="30">
        <v>2995.4455508582218</v>
      </c>
    </row>
    <row r="8025" spans="2:4">
      <c r="B8025" t="s">
        <v>10051</v>
      </c>
      <c r="C8025" s="46">
        <v>1</v>
      </c>
      <c r="D8025" s="30">
        <v>2995.4455508582218</v>
      </c>
    </row>
    <row r="8026" spans="2:4">
      <c r="B8026" t="s">
        <v>10052</v>
      </c>
      <c r="C8026" s="46">
        <v>1</v>
      </c>
      <c r="D8026" s="30">
        <v>1548.0354909276427</v>
      </c>
    </row>
    <row r="8027" spans="2:4">
      <c r="B8027" t="s">
        <v>10053</v>
      </c>
      <c r="C8027" s="46">
        <v>1</v>
      </c>
      <c r="D8027" s="30">
        <v>2048.3850195760156</v>
      </c>
    </row>
    <row r="8028" spans="2:4">
      <c r="B8028" t="s">
        <v>10054</v>
      </c>
      <c r="C8028" s="46">
        <v>1</v>
      </c>
      <c r="D8028" s="30">
        <v>2573.00393480811</v>
      </c>
    </row>
    <row r="8029" spans="2:4">
      <c r="B8029" t="s">
        <v>10055</v>
      </c>
      <c r="C8029" s="46">
        <v>2</v>
      </c>
      <c r="D8029" s="30">
        <v>35572.650492300541</v>
      </c>
    </row>
    <row r="8030" spans="2:4">
      <c r="B8030" t="s">
        <v>10056</v>
      </c>
      <c r="C8030" s="46">
        <v>1</v>
      </c>
      <c r="D8030" s="30">
        <v>2761.2631691978499</v>
      </c>
    </row>
    <row r="8031" spans="2:4">
      <c r="B8031" t="s">
        <v>10057</v>
      </c>
      <c r="C8031" s="46">
        <v>1</v>
      </c>
      <c r="D8031" s="30">
        <v>2048.3850195760156</v>
      </c>
    </row>
    <row r="8032" spans="2:4">
      <c r="B8032" t="s">
        <v>10058</v>
      </c>
      <c r="C8032" s="46">
        <v>1</v>
      </c>
      <c r="D8032" s="30">
        <v>2527.0820722850958</v>
      </c>
    </row>
    <row r="8033" spans="2:4">
      <c r="B8033" t="s">
        <v>10059</v>
      </c>
      <c r="C8033" s="46">
        <v>1</v>
      </c>
      <c r="D8033" s="30">
        <v>2868.1783516274104</v>
      </c>
    </row>
    <row r="8034" spans="2:4">
      <c r="B8034" t="s">
        <v>10060</v>
      </c>
      <c r="C8034" s="46">
        <v>1</v>
      </c>
      <c r="D8034" s="30">
        <v>2800.4270917913191</v>
      </c>
    </row>
    <row r="8035" spans="2:4">
      <c r="B8035" t="s">
        <v>10061</v>
      </c>
      <c r="C8035" s="46">
        <v>1</v>
      </c>
      <c r="D8035" s="30">
        <v>784.98409722052975</v>
      </c>
    </row>
    <row r="8036" spans="2:4">
      <c r="B8036" t="s">
        <v>10062</v>
      </c>
      <c r="C8036" s="46">
        <v>1</v>
      </c>
      <c r="D8036" s="30">
        <v>2048.3850195760156</v>
      </c>
    </row>
    <row r="8037" spans="2:4">
      <c r="B8037" t="s">
        <v>10063</v>
      </c>
      <c r="C8037" s="46">
        <v>1</v>
      </c>
      <c r="D8037" s="30">
        <v>3170.3195206543037</v>
      </c>
    </row>
    <row r="8038" spans="2:4">
      <c r="B8038" t="s">
        <v>10064</v>
      </c>
      <c r="C8038" s="46">
        <v>1</v>
      </c>
      <c r="D8038" s="30">
        <v>2665.1629657554154</v>
      </c>
    </row>
    <row r="8039" spans="2:4">
      <c r="B8039" t="s">
        <v>10065</v>
      </c>
      <c r="C8039" s="46">
        <v>1</v>
      </c>
      <c r="D8039" s="30">
        <v>6791.8816731933721</v>
      </c>
    </row>
    <row r="8040" spans="2:4">
      <c r="B8040" t="s">
        <v>10066</v>
      </c>
      <c r="C8040" s="46">
        <v>1</v>
      </c>
      <c r="D8040" s="30">
        <v>2048.3850195760156</v>
      </c>
    </row>
    <row r="8041" spans="2:4">
      <c r="B8041" t="s">
        <v>10067</v>
      </c>
      <c r="C8041" s="46">
        <v>1</v>
      </c>
      <c r="D8041" s="30">
        <v>2157.8287944974777</v>
      </c>
    </row>
    <row r="8042" spans="2:4">
      <c r="B8042" t="s">
        <v>10068</v>
      </c>
      <c r="C8042" s="46">
        <v>1</v>
      </c>
      <c r="D8042" s="30">
        <v>2594.6036722581098</v>
      </c>
    </row>
    <row r="8043" spans="2:4">
      <c r="B8043" t="s">
        <v>10069</v>
      </c>
      <c r="C8043" s="46">
        <v>1</v>
      </c>
      <c r="D8043" s="30">
        <v>2048.3850195760156</v>
      </c>
    </row>
    <row r="8044" spans="2:4">
      <c r="B8044" t="s">
        <v>10070</v>
      </c>
      <c r="C8044" s="46">
        <v>1</v>
      </c>
      <c r="D8044" s="30">
        <v>1721.3593558391258</v>
      </c>
    </row>
    <row r="8045" spans="2:4">
      <c r="B8045" t="s">
        <v>10071</v>
      </c>
      <c r="C8045" s="46">
        <v>1</v>
      </c>
      <c r="D8045" s="30">
        <v>2835.3609549264143</v>
      </c>
    </row>
    <row r="8046" spans="2:4">
      <c r="B8046" t="s">
        <v>10072</v>
      </c>
      <c r="C8046" s="46">
        <v>1</v>
      </c>
      <c r="D8046" s="30">
        <v>2162.8582305914661</v>
      </c>
    </row>
    <row r="8047" spans="2:4">
      <c r="B8047" t="s">
        <v>10073</v>
      </c>
      <c r="C8047" s="46">
        <v>1</v>
      </c>
      <c r="D8047" s="30">
        <v>2446.8483033733864</v>
      </c>
    </row>
    <row r="8048" spans="2:4">
      <c r="B8048" t="s">
        <v>10074</v>
      </c>
      <c r="C8048" s="46">
        <v>1</v>
      </c>
      <c r="D8048" s="30">
        <v>2737.0813931864236</v>
      </c>
    </row>
    <row r="8049" spans="2:4">
      <c r="B8049" t="s">
        <v>10075</v>
      </c>
      <c r="C8049" s="46">
        <v>1</v>
      </c>
      <c r="D8049" s="30">
        <v>1426.0750513115049</v>
      </c>
    </row>
    <row r="8050" spans="2:4">
      <c r="B8050" t="s">
        <v>10076</v>
      </c>
      <c r="C8050" s="46">
        <v>1</v>
      </c>
      <c r="D8050" s="30">
        <v>2180.60250893487</v>
      </c>
    </row>
    <row r="8051" spans="2:4">
      <c r="B8051" t="s">
        <v>10077</v>
      </c>
      <c r="C8051" s="46">
        <v>1</v>
      </c>
      <c r="D8051" s="30">
        <v>2601.8939814148366</v>
      </c>
    </row>
    <row r="8052" spans="2:4">
      <c r="B8052" t="s">
        <v>10078</v>
      </c>
      <c r="C8052" s="46">
        <v>1</v>
      </c>
      <c r="D8052" s="30">
        <v>2816.2681392787599</v>
      </c>
    </row>
    <row r="8053" spans="2:4">
      <c r="B8053" t="s">
        <v>10079</v>
      </c>
      <c r="C8053" s="46">
        <v>1</v>
      </c>
      <c r="D8053" s="30">
        <v>1575.0743047018109</v>
      </c>
    </row>
    <row r="8054" spans="2:4">
      <c r="B8054" t="s">
        <v>10080</v>
      </c>
      <c r="C8054" s="46">
        <v>1</v>
      </c>
      <c r="D8054" s="30">
        <v>2048.3850195760156</v>
      </c>
    </row>
    <row r="8055" spans="2:4">
      <c r="B8055" t="s">
        <v>10081</v>
      </c>
      <c r="C8055" s="46">
        <v>1</v>
      </c>
      <c r="D8055" s="30">
        <v>2539.3375818220875</v>
      </c>
    </row>
    <row r="8056" spans="2:4">
      <c r="B8056" t="s">
        <v>10082</v>
      </c>
      <c r="C8056" s="46">
        <v>2</v>
      </c>
      <c r="D8056" s="30">
        <v>21618.067181649585</v>
      </c>
    </row>
    <row r="8057" spans="2:4">
      <c r="B8057" t="s">
        <v>10083</v>
      </c>
      <c r="C8057" s="46">
        <v>1</v>
      </c>
      <c r="D8057" s="30">
        <v>964.38104802505211</v>
      </c>
    </row>
    <row r="8058" spans="2:4">
      <c r="B8058" t="s">
        <v>10084</v>
      </c>
      <c r="C8058" s="46">
        <v>1</v>
      </c>
      <c r="D8058" s="30">
        <v>2883.0340782983517</v>
      </c>
    </row>
    <row r="8059" spans="2:4">
      <c r="B8059" t="s">
        <v>10085</v>
      </c>
      <c r="C8059" s="46">
        <v>1</v>
      </c>
      <c r="D8059" s="30">
        <v>2579.952714495791</v>
      </c>
    </row>
    <row r="8060" spans="2:4">
      <c r="B8060" t="s">
        <v>10086</v>
      </c>
      <c r="C8060" s="46">
        <v>1</v>
      </c>
      <c r="D8060" s="30">
        <v>2452.831191982531</v>
      </c>
    </row>
    <row r="8061" spans="2:4">
      <c r="B8061" t="s">
        <v>10087</v>
      </c>
      <c r="C8061" s="46">
        <v>1</v>
      </c>
      <c r="D8061" s="30">
        <v>2487.4740400018354</v>
      </c>
    </row>
    <row r="8062" spans="2:4">
      <c r="B8062" t="s">
        <v>10088</v>
      </c>
      <c r="C8062" s="46">
        <v>1</v>
      </c>
      <c r="D8062" s="30">
        <v>2869.1686866994237</v>
      </c>
    </row>
    <row r="8063" spans="2:4">
      <c r="B8063" t="s">
        <v>10089</v>
      </c>
      <c r="C8063" s="46">
        <v>1</v>
      </c>
      <c r="D8063" s="30">
        <v>1575.0743047018109</v>
      </c>
    </row>
    <row r="8064" spans="2:4">
      <c r="B8064" t="s">
        <v>10090</v>
      </c>
      <c r="C8064" s="46">
        <v>1</v>
      </c>
      <c r="D8064" s="30">
        <v>2029.6376261727551</v>
      </c>
    </row>
    <row r="8065" spans="2:4">
      <c r="B8065" t="s">
        <v>10091</v>
      </c>
      <c r="C8065" s="46">
        <v>1</v>
      </c>
      <c r="D8065" s="30">
        <v>2048.3850195760156</v>
      </c>
    </row>
    <row r="8066" spans="2:4">
      <c r="B8066" t="s">
        <v>10092</v>
      </c>
      <c r="C8066" s="46">
        <v>1</v>
      </c>
      <c r="D8066" s="30">
        <v>1393.2461232633589</v>
      </c>
    </row>
    <row r="8067" spans="2:4">
      <c r="B8067" t="s">
        <v>10093</v>
      </c>
      <c r="C8067" s="46">
        <v>1</v>
      </c>
      <c r="D8067" s="30">
        <v>1575.0743047018109</v>
      </c>
    </row>
    <row r="8068" spans="2:4">
      <c r="B8068" t="s">
        <v>10094</v>
      </c>
      <c r="C8068" s="46">
        <v>1</v>
      </c>
      <c r="D8068" s="30">
        <v>2868.1783516274104</v>
      </c>
    </row>
    <row r="8069" spans="2:4">
      <c r="B8069" t="s">
        <v>10095</v>
      </c>
      <c r="C8069" s="46">
        <v>1</v>
      </c>
      <c r="D8069" s="30">
        <v>2789.2840572399823</v>
      </c>
    </row>
    <row r="8070" spans="2:4">
      <c r="B8070" t="s">
        <v>10096</v>
      </c>
      <c r="C8070" s="46">
        <v>1</v>
      </c>
      <c r="D8070" s="30">
        <v>2357.9565215473081</v>
      </c>
    </row>
    <row r="8071" spans="2:4">
      <c r="B8071" t="s">
        <v>10097</v>
      </c>
      <c r="C8071" s="46">
        <v>1</v>
      </c>
      <c r="D8071" s="30">
        <v>2048.3850195760156</v>
      </c>
    </row>
    <row r="8072" spans="2:4">
      <c r="B8072" t="s">
        <v>10098</v>
      </c>
      <c r="C8072" s="46">
        <v>1</v>
      </c>
      <c r="D8072" s="30">
        <v>6324.0649448731137</v>
      </c>
    </row>
    <row r="8073" spans="2:4">
      <c r="B8073" t="s">
        <v>10099</v>
      </c>
      <c r="C8073" s="46">
        <v>1</v>
      </c>
      <c r="D8073" s="30">
        <v>918.08716805993379</v>
      </c>
    </row>
    <row r="8074" spans="2:4">
      <c r="B8074" t="s">
        <v>10100</v>
      </c>
      <c r="C8074" s="46">
        <v>2</v>
      </c>
      <c r="D8074" s="30">
        <v>39710.535908981612</v>
      </c>
    </row>
    <row r="8075" spans="2:4">
      <c r="B8075" t="s">
        <v>10101</v>
      </c>
      <c r="C8075" s="46">
        <v>1</v>
      </c>
      <c r="D8075" s="30">
        <v>2851.3436876100891</v>
      </c>
    </row>
    <row r="8076" spans="2:4">
      <c r="B8076" t="s">
        <v>10102</v>
      </c>
      <c r="C8076" s="46">
        <v>1</v>
      </c>
      <c r="D8076" s="30">
        <v>1575.0743047018109</v>
      </c>
    </row>
    <row r="8077" spans="2:4">
      <c r="B8077" t="s">
        <v>10103</v>
      </c>
      <c r="C8077" s="46">
        <v>1</v>
      </c>
      <c r="D8077" s="30">
        <v>8999.214070299684</v>
      </c>
    </row>
    <row r="8078" spans="2:4">
      <c r="B8078" t="s">
        <v>10104</v>
      </c>
      <c r="C8078" s="46">
        <v>1</v>
      </c>
      <c r="D8078" s="30">
        <v>2869.7446952480695</v>
      </c>
    </row>
    <row r="8079" spans="2:4">
      <c r="B8079" t="s">
        <v>10105</v>
      </c>
      <c r="C8079" s="46">
        <v>1</v>
      </c>
      <c r="D8079" s="30">
        <v>1406.9381223839896</v>
      </c>
    </row>
    <row r="8080" spans="2:4">
      <c r="B8080" t="s">
        <v>10106</v>
      </c>
      <c r="C8080" s="46">
        <v>1</v>
      </c>
      <c r="D8080" s="30">
        <v>8224.1818353641265</v>
      </c>
    </row>
    <row r="8081" spans="2:4">
      <c r="B8081" t="s">
        <v>10107</v>
      </c>
      <c r="C8081" s="46">
        <v>1</v>
      </c>
      <c r="D8081" s="30">
        <v>1575.0743047018109</v>
      </c>
    </row>
    <row r="8082" spans="2:4">
      <c r="B8082" t="s">
        <v>10108</v>
      </c>
      <c r="C8082" s="46">
        <v>1</v>
      </c>
      <c r="D8082" s="30">
        <v>2048.3850195760156</v>
      </c>
    </row>
    <row r="8083" spans="2:4">
      <c r="B8083" t="s">
        <v>10109</v>
      </c>
      <c r="C8083" s="46">
        <v>2</v>
      </c>
      <c r="D8083" s="30">
        <v>25405.358285305603</v>
      </c>
    </row>
    <row r="8084" spans="2:4">
      <c r="B8084" t="s">
        <v>10110</v>
      </c>
      <c r="C8084" s="46">
        <v>1</v>
      </c>
      <c r="D8084" s="30">
        <v>1575.0743047018109</v>
      </c>
    </row>
    <row r="8085" spans="2:4">
      <c r="B8085" t="s">
        <v>10111</v>
      </c>
      <c r="C8085" s="46">
        <v>1</v>
      </c>
      <c r="D8085" s="30">
        <v>894.43737404874571</v>
      </c>
    </row>
    <row r="8086" spans="2:4">
      <c r="B8086" t="s">
        <v>10112</v>
      </c>
      <c r="C8086" s="46">
        <v>1</v>
      </c>
      <c r="D8086" s="30">
        <v>2048.3850195760156</v>
      </c>
    </row>
    <row r="8087" spans="2:4">
      <c r="B8087" t="s">
        <v>10113</v>
      </c>
      <c r="C8087" s="46">
        <v>1</v>
      </c>
      <c r="D8087" s="30">
        <v>2549.8434427445704</v>
      </c>
    </row>
    <row r="8088" spans="2:4">
      <c r="B8088" t="s">
        <v>10114</v>
      </c>
      <c r="C8088" s="46">
        <v>2</v>
      </c>
      <c r="D8088" s="30">
        <v>36096.207010421102</v>
      </c>
    </row>
    <row r="8089" spans="2:4">
      <c r="B8089" t="s">
        <v>10115</v>
      </c>
      <c r="C8089" s="46">
        <v>1</v>
      </c>
      <c r="D8089" s="30">
        <v>2883.0340782983517</v>
      </c>
    </row>
    <row r="8090" spans="2:4">
      <c r="B8090" t="s">
        <v>10116</v>
      </c>
      <c r="C8090" s="46">
        <v>1</v>
      </c>
      <c r="D8090" s="30">
        <v>2672.2338315079346</v>
      </c>
    </row>
    <row r="8091" spans="2:4">
      <c r="B8091" t="s">
        <v>10117</v>
      </c>
      <c r="C8091" s="46">
        <v>2</v>
      </c>
      <c r="D8091" s="30">
        <v>17761.272186144743</v>
      </c>
    </row>
    <row r="8092" spans="2:4">
      <c r="B8092" t="s">
        <v>10118</v>
      </c>
      <c r="C8092" s="46">
        <v>1</v>
      </c>
      <c r="D8092" s="30">
        <v>2048.3850195760156</v>
      </c>
    </row>
    <row r="8093" spans="2:4">
      <c r="B8093" t="s">
        <v>10119</v>
      </c>
      <c r="C8093" s="46">
        <v>1</v>
      </c>
      <c r="D8093" s="30">
        <v>2827.0204003434196</v>
      </c>
    </row>
    <row r="8094" spans="2:4">
      <c r="B8094" t="s">
        <v>10120</v>
      </c>
      <c r="C8094" s="46">
        <v>2</v>
      </c>
      <c r="D8094" s="30">
        <v>13147.041254057496</v>
      </c>
    </row>
    <row r="8095" spans="2:4">
      <c r="B8095" t="s">
        <v>10121</v>
      </c>
      <c r="C8095" s="46">
        <v>1</v>
      </c>
      <c r="D8095" s="30">
        <v>2048.3850195760156</v>
      </c>
    </row>
    <row r="8096" spans="2:4">
      <c r="B8096" t="s">
        <v>10122</v>
      </c>
      <c r="C8096" s="46">
        <v>1</v>
      </c>
      <c r="D8096" s="30">
        <v>240.72658873233982</v>
      </c>
    </row>
    <row r="8097" spans="2:4">
      <c r="B8097" t="s">
        <v>10123</v>
      </c>
      <c r="C8097" s="46">
        <v>1</v>
      </c>
      <c r="D8097" s="30">
        <v>1173.7423793815549</v>
      </c>
    </row>
    <row r="8098" spans="2:4">
      <c r="B8098" t="s">
        <v>10124</v>
      </c>
      <c r="C8098" s="46">
        <v>1</v>
      </c>
      <c r="D8098" s="30">
        <v>2260.0693931173773</v>
      </c>
    </row>
    <row r="8099" spans="2:4">
      <c r="B8099" t="s">
        <v>10125</v>
      </c>
      <c r="C8099" s="46">
        <v>1</v>
      </c>
      <c r="D8099" s="30">
        <v>2862.5930433339859</v>
      </c>
    </row>
    <row r="8100" spans="2:4">
      <c r="B8100" t="s">
        <v>10126</v>
      </c>
      <c r="C8100" s="46">
        <v>1</v>
      </c>
      <c r="D8100" s="30">
        <v>6854.8559162192205</v>
      </c>
    </row>
    <row r="8101" spans="2:4">
      <c r="B8101" t="s">
        <v>10127</v>
      </c>
      <c r="C8101" s="46">
        <v>1</v>
      </c>
      <c r="D8101" s="30">
        <v>2048.3850195760156</v>
      </c>
    </row>
    <row r="8102" spans="2:4">
      <c r="B8102" t="s">
        <v>10128</v>
      </c>
      <c r="C8102" s="46">
        <v>1</v>
      </c>
      <c r="D8102" s="30">
        <v>4134.5728452939029</v>
      </c>
    </row>
    <row r="8103" spans="2:4">
      <c r="B8103" t="s">
        <v>10129</v>
      </c>
      <c r="C8103" s="46">
        <v>1</v>
      </c>
      <c r="D8103" s="30">
        <v>2186.6663001198867</v>
      </c>
    </row>
    <row r="8104" spans="2:4">
      <c r="B8104" t="s">
        <v>10130</v>
      </c>
      <c r="C8104" s="46">
        <v>1</v>
      </c>
      <c r="D8104" s="30">
        <v>2851.7279624167563</v>
      </c>
    </row>
    <row r="8105" spans="2:4">
      <c r="B8105" t="s">
        <v>10131</v>
      </c>
      <c r="C8105" s="46">
        <v>1</v>
      </c>
      <c r="D8105" s="30">
        <v>2048.3850195760156</v>
      </c>
    </row>
    <row r="8106" spans="2:4">
      <c r="B8106" t="s">
        <v>10132</v>
      </c>
      <c r="C8106" s="46">
        <v>1</v>
      </c>
      <c r="D8106" s="30">
        <v>35631.82749200907</v>
      </c>
    </row>
    <row r="8107" spans="2:4">
      <c r="B8107" t="s">
        <v>10133</v>
      </c>
      <c r="C8107" s="46">
        <v>1</v>
      </c>
      <c r="D8107" s="30">
        <v>1146.8897496161665</v>
      </c>
    </row>
    <row r="8108" spans="2:4">
      <c r="B8108" t="s">
        <v>10134</v>
      </c>
      <c r="C8108" s="46">
        <v>1</v>
      </c>
      <c r="D8108" s="30">
        <v>2578.6948738373085</v>
      </c>
    </row>
    <row r="8109" spans="2:4">
      <c r="B8109" t="s">
        <v>10135</v>
      </c>
      <c r="C8109" s="46">
        <v>1</v>
      </c>
      <c r="D8109" s="30">
        <v>2211.9038547505065</v>
      </c>
    </row>
    <row r="8110" spans="2:4">
      <c r="B8110" t="s">
        <v>10136</v>
      </c>
      <c r="C8110" s="46">
        <v>1</v>
      </c>
      <c r="D8110" s="30">
        <v>1831.7680196292536</v>
      </c>
    </row>
    <row r="8111" spans="2:4">
      <c r="B8111" t="s">
        <v>10137</v>
      </c>
      <c r="C8111" s="46">
        <v>1</v>
      </c>
      <c r="D8111" s="30">
        <v>2147.5730862421597</v>
      </c>
    </row>
    <row r="8112" spans="2:4">
      <c r="B8112" t="s">
        <v>10138</v>
      </c>
      <c r="C8112" s="46">
        <v>1</v>
      </c>
      <c r="D8112" s="30">
        <v>6854.8559162192205</v>
      </c>
    </row>
    <row r="8113" spans="2:4">
      <c r="B8113" t="s">
        <v>10139</v>
      </c>
      <c r="C8113" s="46">
        <v>1</v>
      </c>
      <c r="D8113" s="30">
        <v>439.99048444321591</v>
      </c>
    </row>
    <row r="8114" spans="2:4">
      <c r="B8114" t="s">
        <v>10140</v>
      </c>
      <c r="C8114" s="46">
        <v>1</v>
      </c>
      <c r="D8114" s="30">
        <v>32658.814375591453</v>
      </c>
    </row>
    <row r="8115" spans="2:4">
      <c r="B8115" t="s">
        <v>10141</v>
      </c>
      <c r="C8115" s="46">
        <v>1</v>
      </c>
      <c r="D8115" s="30">
        <v>2733.5583406582518</v>
      </c>
    </row>
    <row r="8116" spans="2:4">
      <c r="B8116" t="s">
        <v>10142</v>
      </c>
      <c r="C8116" s="46">
        <v>1</v>
      </c>
      <c r="D8116" s="30">
        <v>1665.0170759009704</v>
      </c>
    </row>
    <row r="8117" spans="2:4">
      <c r="B8117" t="s">
        <v>10143</v>
      </c>
      <c r="C8117" s="46">
        <v>1</v>
      </c>
      <c r="D8117" s="30">
        <v>1831.1826264780648</v>
      </c>
    </row>
    <row r="8118" spans="2:4">
      <c r="B8118" t="s">
        <v>10144</v>
      </c>
      <c r="C8118" s="46">
        <v>1</v>
      </c>
      <c r="D8118" s="30">
        <v>2821.0717783317486</v>
      </c>
    </row>
    <row r="8119" spans="2:4">
      <c r="B8119" t="s">
        <v>10145</v>
      </c>
      <c r="C8119" s="46">
        <v>1</v>
      </c>
      <c r="D8119" s="30">
        <v>623.83931114783229</v>
      </c>
    </row>
    <row r="8120" spans="2:4">
      <c r="B8120" t="s">
        <v>10146</v>
      </c>
      <c r="C8120" s="46">
        <v>1</v>
      </c>
      <c r="D8120" s="30">
        <v>2612.6001941172281</v>
      </c>
    </row>
    <row r="8121" spans="2:4">
      <c r="B8121" t="s">
        <v>10147</v>
      </c>
      <c r="C8121" s="46">
        <v>1</v>
      </c>
      <c r="D8121" s="30">
        <v>75.502454763926295</v>
      </c>
    </row>
    <row r="8122" spans="2:4">
      <c r="B8122" t="s">
        <v>10148</v>
      </c>
      <c r="C8122" s="46">
        <v>1</v>
      </c>
      <c r="D8122" s="30">
        <v>4635.2159856117505</v>
      </c>
    </row>
    <row r="8123" spans="2:4">
      <c r="B8123" t="s">
        <v>10149</v>
      </c>
      <c r="C8123" s="46">
        <v>1</v>
      </c>
      <c r="D8123" s="30">
        <v>1269.0314612660302</v>
      </c>
    </row>
    <row r="8124" spans="2:4">
      <c r="B8124" t="s">
        <v>10150</v>
      </c>
      <c r="C8124" s="46">
        <v>1</v>
      </c>
      <c r="D8124" s="30">
        <v>2647.3655608283789</v>
      </c>
    </row>
    <row r="8125" spans="2:4">
      <c r="B8125" t="s">
        <v>10151</v>
      </c>
      <c r="C8125" s="46">
        <v>1</v>
      </c>
      <c r="D8125" s="30">
        <v>2324.7367384540912</v>
      </c>
    </row>
    <row r="8126" spans="2:4">
      <c r="B8126" t="s">
        <v>10152</v>
      </c>
      <c r="C8126" s="46">
        <v>2</v>
      </c>
      <c r="D8126" s="30">
        <v>25405.358285305603</v>
      </c>
    </row>
    <row r="8127" spans="2:4">
      <c r="B8127" t="s">
        <v>10153</v>
      </c>
      <c r="C8127" s="46">
        <v>1</v>
      </c>
      <c r="D8127" s="30">
        <v>1347.0074240502138</v>
      </c>
    </row>
    <row r="8128" spans="2:4">
      <c r="B8128" t="s">
        <v>10154</v>
      </c>
      <c r="C8128" s="46">
        <v>1</v>
      </c>
      <c r="D8128" s="30">
        <v>2452.831191982531</v>
      </c>
    </row>
    <row r="8129" spans="2:4">
      <c r="B8129" t="s">
        <v>10155</v>
      </c>
      <c r="C8129" s="46">
        <v>1</v>
      </c>
      <c r="D8129" s="30">
        <v>8224.1818353641265</v>
      </c>
    </row>
    <row r="8130" spans="2:4">
      <c r="B8130" t="s">
        <v>10156</v>
      </c>
      <c r="C8130" s="46">
        <v>1</v>
      </c>
      <c r="D8130" s="30">
        <v>2876.8157104906477</v>
      </c>
    </row>
    <row r="8131" spans="2:4">
      <c r="B8131" t="s">
        <v>10157</v>
      </c>
      <c r="C8131" s="46">
        <v>1</v>
      </c>
      <c r="D8131" s="30">
        <v>1101.3643419024834</v>
      </c>
    </row>
    <row r="8132" spans="2:4">
      <c r="B8132" t="s">
        <v>10158</v>
      </c>
      <c r="C8132" s="46">
        <v>1</v>
      </c>
      <c r="D8132" s="30">
        <v>2179.270458297493</v>
      </c>
    </row>
    <row r="8133" spans="2:4">
      <c r="B8133" t="s">
        <v>10159</v>
      </c>
      <c r="C8133" s="46">
        <v>1</v>
      </c>
      <c r="D8133" s="30">
        <v>2506.0364588869893</v>
      </c>
    </row>
    <row r="8134" spans="2:4">
      <c r="B8134" t="s">
        <v>10160</v>
      </c>
      <c r="C8134" s="46">
        <v>1</v>
      </c>
      <c r="D8134" s="30">
        <v>2810.5314455048551</v>
      </c>
    </row>
    <row r="8135" spans="2:4">
      <c r="B8135" t="s">
        <v>10161</v>
      </c>
      <c r="C8135" s="46">
        <v>1</v>
      </c>
      <c r="D8135" s="30">
        <v>2645.3876302324529</v>
      </c>
    </row>
    <row r="8136" spans="2:4">
      <c r="B8136" t="s">
        <v>10162</v>
      </c>
      <c r="C8136" s="46">
        <v>1</v>
      </c>
      <c r="D8136" s="30">
        <v>1868.7213225014564</v>
      </c>
    </row>
    <row r="8137" spans="2:4">
      <c r="B8137" t="s">
        <v>10163</v>
      </c>
      <c r="C8137" s="46">
        <v>2</v>
      </c>
      <c r="D8137" s="30">
        <v>21618.067181649585</v>
      </c>
    </row>
    <row r="8138" spans="2:4">
      <c r="B8138" t="s">
        <v>10164</v>
      </c>
      <c r="C8138" s="46">
        <v>1</v>
      </c>
      <c r="D8138" s="30">
        <v>3067.9019235103292</v>
      </c>
    </row>
    <row r="8139" spans="2:4">
      <c r="B8139" t="s">
        <v>10165</v>
      </c>
      <c r="C8139" s="46">
        <v>1</v>
      </c>
      <c r="D8139" s="30">
        <v>1399.9644142382392</v>
      </c>
    </row>
    <row r="8140" spans="2:4">
      <c r="B8140" t="s">
        <v>10166</v>
      </c>
      <c r="C8140" s="46">
        <v>1</v>
      </c>
      <c r="D8140" s="30">
        <v>2868.1783516274104</v>
      </c>
    </row>
    <row r="8141" spans="2:4">
      <c r="B8141" t="s">
        <v>10167</v>
      </c>
      <c r="C8141" s="46">
        <v>1</v>
      </c>
      <c r="D8141" s="30">
        <v>2325.5684389795342</v>
      </c>
    </row>
    <row r="8142" spans="2:4">
      <c r="B8142" t="s">
        <v>10168</v>
      </c>
      <c r="C8142" s="46">
        <v>1</v>
      </c>
      <c r="D8142" s="30">
        <v>2179.270458297493</v>
      </c>
    </row>
    <row r="8143" spans="2:4">
      <c r="B8143" t="s">
        <v>10169</v>
      </c>
      <c r="C8143" s="46">
        <v>1</v>
      </c>
      <c r="D8143" s="30">
        <v>2179.270458297493</v>
      </c>
    </row>
    <row r="8144" spans="2:4">
      <c r="B8144" t="s">
        <v>10170</v>
      </c>
      <c r="C8144" s="46">
        <v>1</v>
      </c>
      <c r="D8144" s="30">
        <v>1945.9278928048752</v>
      </c>
    </row>
    <row r="8145" spans="2:4">
      <c r="B8145" t="s">
        <v>10171</v>
      </c>
      <c r="C8145" s="46">
        <v>1</v>
      </c>
      <c r="D8145" s="30">
        <v>2179.270458297493</v>
      </c>
    </row>
    <row r="8146" spans="2:4">
      <c r="B8146" t="s">
        <v>10172</v>
      </c>
      <c r="C8146" s="46">
        <v>1</v>
      </c>
      <c r="D8146" s="30">
        <v>2316.8650783929875</v>
      </c>
    </row>
    <row r="8147" spans="2:4">
      <c r="B8147" t="s">
        <v>10173</v>
      </c>
      <c r="C8147" s="46">
        <v>1</v>
      </c>
      <c r="D8147" s="30">
        <v>1684.7081665268829</v>
      </c>
    </row>
    <row r="8148" spans="2:4">
      <c r="B8148" t="s">
        <v>10174</v>
      </c>
      <c r="C8148" s="46">
        <v>2</v>
      </c>
      <c r="D8148" s="30">
        <v>7034.0066257646795</v>
      </c>
    </row>
    <row r="8149" spans="2:4">
      <c r="B8149" t="s">
        <v>10175</v>
      </c>
      <c r="C8149" s="46">
        <v>1</v>
      </c>
      <c r="D8149" s="30">
        <v>2209.6807700227118</v>
      </c>
    </row>
    <row r="8150" spans="2:4">
      <c r="B8150" t="s">
        <v>10176</v>
      </c>
      <c r="C8150" s="46">
        <v>1</v>
      </c>
      <c r="D8150" s="30">
        <v>2789.7226303799544</v>
      </c>
    </row>
    <row r="8151" spans="2:4">
      <c r="B8151" t="s">
        <v>10177</v>
      </c>
      <c r="C8151" s="46">
        <v>1</v>
      </c>
      <c r="D8151" s="30">
        <v>1692.9000021947763</v>
      </c>
    </row>
    <row r="8152" spans="2:4">
      <c r="B8152" t="s">
        <v>10178</v>
      </c>
      <c r="C8152" s="46">
        <v>1</v>
      </c>
      <c r="D8152" s="30">
        <v>2480.5644171713197</v>
      </c>
    </row>
    <row r="8153" spans="2:4">
      <c r="B8153" t="s">
        <v>10179</v>
      </c>
      <c r="C8153" s="46">
        <v>1</v>
      </c>
      <c r="D8153" s="30">
        <v>2075.7412725576078</v>
      </c>
    </row>
    <row r="8154" spans="2:4">
      <c r="B8154" t="s">
        <v>10180</v>
      </c>
      <c r="C8154" s="46">
        <v>1</v>
      </c>
      <c r="D8154" s="30">
        <v>2739.3495274356073</v>
      </c>
    </row>
    <row r="8155" spans="2:4">
      <c r="B8155" t="s">
        <v>10181</v>
      </c>
      <c r="C8155" s="46">
        <v>1</v>
      </c>
      <c r="D8155" s="30">
        <v>2611.7774121173525</v>
      </c>
    </row>
    <row r="8156" spans="2:4">
      <c r="B8156" t="s">
        <v>10182</v>
      </c>
      <c r="C8156" s="46">
        <v>1</v>
      </c>
      <c r="D8156" s="30">
        <v>1107.3488538961037</v>
      </c>
    </row>
    <row r="8157" spans="2:4">
      <c r="B8157" t="s">
        <v>10183</v>
      </c>
      <c r="C8157" s="46">
        <v>1</v>
      </c>
      <c r="D8157" s="30">
        <v>1793.9977478635615</v>
      </c>
    </row>
    <row r="8158" spans="2:4">
      <c r="B8158" t="s">
        <v>10184</v>
      </c>
      <c r="C8158" s="46">
        <v>1</v>
      </c>
      <c r="D8158" s="30">
        <v>1663.9174665138908</v>
      </c>
    </row>
    <row r="8159" spans="2:4">
      <c r="B8159" t="s">
        <v>10185</v>
      </c>
      <c r="C8159" s="46">
        <v>1</v>
      </c>
      <c r="D8159" s="30">
        <v>1271.2569572673301</v>
      </c>
    </row>
    <row r="8160" spans="2:4">
      <c r="B8160" t="s">
        <v>10186</v>
      </c>
      <c r="C8160" s="46">
        <v>1</v>
      </c>
      <c r="D8160" s="30">
        <v>2634.541012552369</v>
      </c>
    </row>
    <row r="8161" spans="2:4">
      <c r="B8161" t="s">
        <v>10187</v>
      </c>
      <c r="C8161" s="46">
        <v>1</v>
      </c>
      <c r="D8161" s="30">
        <v>2318.1179367271588</v>
      </c>
    </row>
    <row r="8162" spans="2:4">
      <c r="B8162" t="s">
        <v>10188</v>
      </c>
      <c r="C8162" s="46">
        <v>1</v>
      </c>
      <c r="D8162" s="30">
        <v>2743.3073866103941</v>
      </c>
    </row>
    <row r="8163" spans="2:4">
      <c r="B8163" t="s">
        <v>10189</v>
      </c>
      <c r="C8163" s="46">
        <v>1</v>
      </c>
      <c r="D8163" s="30">
        <v>2878.082003117318</v>
      </c>
    </row>
    <row r="8164" spans="2:4">
      <c r="B8164" t="s">
        <v>10190</v>
      </c>
      <c r="C8164" s="46">
        <v>1</v>
      </c>
      <c r="D8164" s="30">
        <v>2057.5851462416304</v>
      </c>
    </row>
    <row r="8165" spans="2:4">
      <c r="B8165" t="s">
        <v>10191</v>
      </c>
      <c r="C8165" s="46">
        <v>1</v>
      </c>
      <c r="D8165" s="30">
        <v>2596.4958266356775</v>
      </c>
    </row>
    <row r="8166" spans="2:4">
      <c r="B8166" t="s">
        <v>10192</v>
      </c>
      <c r="C8166" s="46">
        <v>1</v>
      </c>
      <c r="D8166" s="30">
        <v>1661.3544171826195</v>
      </c>
    </row>
    <row r="8167" spans="2:4">
      <c r="B8167" t="s">
        <v>10193</v>
      </c>
      <c r="C8167" s="46">
        <v>1</v>
      </c>
      <c r="D8167" s="30">
        <v>2743.3073866103941</v>
      </c>
    </row>
    <row r="8168" spans="2:4">
      <c r="B8168" t="s">
        <v>10194</v>
      </c>
      <c r="C8168" s="46">
        <v>1</v>
      </c>
      <c r="D8168" s="30">
        <v>2730.4447933496817</v>
      </c>
    </row>
    <row r="8169" spans="2:4">
      <c r="B8169" t="s">
        <v>10195</v>
      </c>
      <c r="C8169" s="46">
        <v>1</v>
      </c>
      <c r="D8169" s="30">
        <v>1190.0345508919556</v>
      </c>
    </row>
    <row r="8170" spans="2:4">
      <c r="B8170" t="s">
        <v>10196</v>
      </c>
      <c r="C8170" s="46">
        <v>2</v>
      </c>
      <c r="D8170" s="30">
        <v>36488.296802612844</v>
      </c>
    </row>
    <row r="8171" spans="2:4">
      <c r="B8171" t="s">
        <v>10197</v>
      </c>
      <c r="C8171" s="46">
        <v>1</v>
      </c>
      <c r="D8171" s="30">
        <v>2743.3073866103941</v>
      </c>
    </row>
    <row r="8172" spans="2:4">
      <c r="B8172" t="s">
        <v>10198</v>
      </c>
      <c r="C8172" s="46">
        <v>1</v>
      </c>
      <c r="D8172" s="30">
        <v>612.97565458843235</v>
      </c>
    </row>
    <row r="8173" spans="2:4">
      <c r="B8173" t="s">
        <v>10199</v>
      </c>
      <c r="C8173" s="46">
        <v>1</v>
      </c>
      <c r="D8173" s="30">
        <v>390.29176240027675</v>
      </c>
    </row>
    <row r="8174" spans="2:4">
      <c r="B8174" t="s">
        <v>10200</v>
      </c>
      <c r="C8174" s="46">
        <v>1</v>
      </c>
      <c r="D8174" s="30">
        <v>32658.814375591453</v>
      </c>
    </row>
    <row r="8175" spans="2:4">
      <c r="B8175" t="s">
        <v>10201</v>
      </c>
      <c r="C8175" s="46">
        <v>1</v>
      </c>
      <c r="D8175" s="30">
        <v>2665.4494872268483</v>
      </c>
    </row>
    <row r="8176" spans="2:4">
      <c r="B8176" t="s">
        <v>10202</v>
      </c>
      <c r="C8176" s="46">
        <v>1</v>
      </c>
      <c r="D8176" s="30">
        <v>2842.4320151839343</v>
      </c>
    </row>
    <row r="8177" spans="2:4">
      <c r="B8177" t="s">
        <v>10203</v>
      </c>
      <c r="C8177" s="46">
        <v>1</v>
      </c>
      <c r="D8177" s="30">
        <v>2050.0425185191671</v>
      </c>
    </row>
    <row r="8178" spans="2:4">
      <c r="B8178" t="s">
        <v>10204</v>
      </c>
      <c r="C8178" s="46">
        <v>1</v>
      </c>
      <c r="D8178" s="30">
        <v>2514.9595311246076</v>
      </c>
    </row>
    <row r="8179" spans="2:4">
      <c r="B8179" t="s">
        <v>10205</v>
      </c>
      <c r="C8179" s="46">
        <v>1</v>
      </c>
      <c r="D8179" s="30">
        <v>2743.3073866103941</v>
      </c>
    </row>
    <row r="8180" spans="2:4">
      <c r="B8180" t="s">
        <v>10206</v>
      </c>
      <c r="C8180" s="46">
        <v>1</v>
      </c>
      <c r="D8180" s="30">
        <v>1108.5109271618348</v>
      </c>
    </row>
    <row r="8181" spans="2:4">
      <c r="B8181" t="s">
        <v>10207</v>
      </c>
      <c r="C8181" s="46">
        <v>1</v>
      </c>
      <c r="D8181" s="30">
        <v>2865.9938850108706</v>
      </c>
    </row>
    <row r="8182" spans="2:4">
      <c r="B8182" t="s">
        <v>10208</v>
      </c>
      <c r="C8182" s="46">
        <v>1</v>
      </c>
      <c r="D8182" s="30">
        <v>2759.284055254881</v>
      </c>
    </row>
    <row r="8183" spans="2:4">
      <c r="B8183" t="s">
        <v>10209</v>
      </c>
      <c r="C8183" s="46">
        <v>1</v>
      </c>
      <c r="D8183" s="30">
        <v>2631.5469158450783</v>
      </c>
    </row>
    <row r="8184" spans="2:4">
      <c r="B8184" t="s">
        <v>10210</v>
      </c>
      <c r="C8184" s="46">
        <v>2</v>
      </c>
      <c r="D8184" s="30">
        <v>36488.296802612844</v>
      </c>
    </row>
    <row r="8185" spans="2:4">
      <c r="B8185" t="s">
        <v>10211</v>
      </c>
      <c r="C8185" s="46">
        <v>1</v>
      </c>
      <c r="D8185" s="30">
        <v>1207.6675063070386</v>
      </c>
    </row>
    <row r="8186" spans="2:4">
      <c r="B8186" t="s">
        <v>10212</v>
      </c>
      <c r="C8186" s="46">
        <v>1</v>
      </c>
      <c r="D8186" s="30">
        <v>2884.0245131798015</v>
      </c>
    </row>
    <row r="8187" spans="2:4">
      <c r="B8187" t="s">
        <v>10213</v>
      </c>
      <c r="C8187" s="46">
        <v>1</v>
      </c>
      <c r="D8187" s="30">
        <v>2743.3073866103941</v>
      </c>
    </row>
    <row r="8188" spans="2:4">
      <c r="B8188" t="s">
        <v>10214</v>
      </c>
      <c r="C8188" s="46">
        <v>1</v>
      </c>
      <c r="D8188" s="30">
        <v>2133.1266866560618</v>
      </c>
    </row>
    <row r="8189" spans="2:4">
      <c r="B8189" t="s">
        <v>10215</v>
      </c>
      <c r="C8189" s="46">
        <v>1</v>
      </c>
      <c r="D8189" s="30">
        <v>1689.5791185305841</v>
      </c>
    </row>
    <row r="8190" spans="2:4">
      <c r="B8190" t="s">
        <v>10216</v>
      </c>
      <c r="C8190" s="46">
        <v>1</v>
      </c>
      <c r="D8190" s="30">
        <v>2012.5657749594193</v>
      </c>
    </row>
    <row r="8191" spans="2:4">
      <c r="B8191" t="s">
        <v>10217</v>
      </c>
      <c r="C8191" s="46">
        <v>1</v>
      </c>
      <c r="D8191" s="30">
        <v>2743.3073866103941</v>
      </c>
    </row>
    <row r="8192" spans="2:4">
      <c r="B8192" t="s">
        <v>10218</v>
      </c>
      <c r="C8192" s="46">
        <v>1</v>
      </c>
      <c r="D8192" s="30">
        <v>2133.1266866560618</v>
      </c>
    </row>
    <row r="8193" spans="2:4">
      <c r="B8193" t="s">
        <v>10219</v>
      </c>
      <c r="C8193" s="46">
        <v>1</v>
      </c>
      <c r="D8193" s="30">
        <v>2172.8684787669331</v>
      </c>
    </row>
    <row r="8194" spans="2:4">
      <c r="B8194" t="s">
        <v>10220</v>
      </c>
      <c r="C8194" s="46">
        <v>2</v>
      </c>
      <c r="D8194" s="30">
        <v>36488.296802612844</v>
      </c>
    </row>
    <row r="8195" spans="2:4">
      <c r="B8195" t="s">
        <v>10221</v>
      </c>
      <c r="C8195" s="46">
        <v>1</v>
      </c>
      <c r="D8195" s="30">
        <v>2743.3073866103941</v>
      </c>
    </row>
    <row r="8196" spans="2:4">
      <c r="B8196" t="s">
        <v>10222</v>
      </c>
      <c r="C8196" s="46">
        <v>1</v>
      </c>
      <c r="D8196" s="30">
        <v>2487.9668514434688</v>
      </c>
    </row>
    <row r="8197" spans="2:4">
      <c r="B8197" t="s">
        <v>10223</v>
      </c>
      <c r="C8197" s="46">
        <v>1</v>
      </c>
      <c r="D8197" s="30">
        <v>1864.3639109441951</v>
      </c>
    </row>
    <row r="8198" spans="2:4">
      <c r="B8198" t="s">
        <v>10224</v>
      </c>
      <c r="C8198" s="46">
        <v>1</v>
      </c>
      <c r="D8198" s="30">
        <v>2755.4557416075236</v>
      </c>
    </row>
    <row r="8199" spans="2:4">
      <c r="B8199" t="s">
        <v>10225</v>
      </c>
      <c r="C8199" s="46">
        <v>1</v>
      </c>
      <c r="D8199" s="30">
        <v>4213.9814658277064</v>
      </c>
    </row>
    <row r="8200" spans="2:4">
      <c r="B8200" t="s">
        <v>10226</v>
      </c>
      <c r="C8200" s="46">
        <v>1</v>
      </c>
      <c r="D8200" s="30">
        <v>10142.862617983064</v>
      </c>
    </row>
    <row r="8201" spans="2:4">
      <c r="B8201" t="s">
        <v>10227</v>
      </c>
      <c r="C8201" s="46">
        <v>1</v>
      </c>
      <c r="D8201" s="30">
        <v>2743.3073866103941</v>
      </c>
    </row>
    <row r="8202" spans="2:4">
      <c r="B8202" t="s">
        <v>10228</v>
      </c>
      <c r="C8202" s="46">
        <v>1</v>
      </c>
      <c r="D8202" s="30">
        <v>2470.0534185951501</v>
      </c>
    </row>
    <row r="8203" spans="2:4">
      <c r="B8203" t="s">
        <v>10229</v>
      </c>
      <c r="C8203" s="46">
        <v>1</v>
      </c>
      <c r="D8203" s="30">
        <v>2743.3073866103941</v>
      </c>
    </row>
    <row r="8204" spans="2:4">
      <c r="B8204" t="s">
        <v>10230</v>
      </c>
      <c r="C8204" s="46">
        <v>1</v>
      </c>
      <c r="D8204" s="30">
        <v>10078.608334269116</v>
      </c>
    </row>
    <row r="8205" spans="2:4">
      <c r="B8205" t="s">
        <v>10231</v>
      </c>
      <c r="C8205" s="46">
        <v>1</v>
      </c>
      <c r="D8205" s="30">
        <v>2747.6800978814376</v>
      </c>
    </row>
    <row r="8206" spans="2:4">
      <c r="B8206" t="s">
        <v>10232</v>
      </c>
      <c r="C8206" s="46">
        <v>1</v>
      </c>
      <c r="D8206" s="30">
        <v>1572.6654527904343</v>
      </c>
    </row>
    <row r="8207" spans="2:4">
      <c r="B8207" t="s">
        <v>10233</v>
      </c>
      <c r="C8207" s="46">
        <v>1</v>
      </c>
      <c r="D8207" s="30">
        <v>2721.0784383793184</v>
      </c>
    </row>
    <row r="8208" spans="2:4">
      <c r="B8208" t="s">
        <v>10234</v>
      </c>
      <c r="C8208" s="46">
        <v>1</v>
      </c>
      <c r="D8208" s="30">
        <v>2004.8646590278668</v>
      </c>
    </row>
    <row r="8209" spans="2:4">
      <c r="B8209" t="s">
        <v>10235</v>
      </c>
      <c r="C8209" s="46">
        <v>1</v>
      </c>
      <c r="D8209" s="30">
        <v>2840.1722624531512</v>
      </c>
    </row>
    <row r="8210" spans="2:4">
      <c r="B8210" t="s">
        <v>10236</v>
      </c>
      <c r="C8210" s="46">
        <v>1</v>
      </c>
      <c r="D8210" s="30">
        <v>2882.0436500228893</v>
      </c>
    </row>
    <row r="8211" spans="2:4">
      <c r="B8211" t="s">
        <v>10237</v>
      </c>
      <c r="C8211" s="46">
        <v>2</v>
      </c>
      <c r="D8211" s="30">
        <v>36488.296802612844</v>
      </c>
    </row>
    <row r="8212" spans="2:4">
      <c r="B8212" t="s">
        <v>10238</v>
      </c>
      <c r="C8212" s="46">
        <v>2</v>
      </c>
      <c r="D8212" s="30">
        <v>21618.067181649585</v>
      </c>
    </row>
    <row r="8213" spans="2:4">
      <c r="B8213" t="s">
        <v>10239</v>
      </c>
      <c r="C8213" s="46">
        <v>1</v>
      </c>
      <c r="D8213" s="30">
        <v>1401.6343413252514</v>
      </c>
    </row>
    <row r="8214" spans="2:4">
      <c r="B8214" t="s">
        <v>10240</v>
      </c>
      <c r="C8214" s="46">
        <v>1</v>
      </c>
      <c r="D8214" s="30">
        <v>2787.1707905533153</v>
      </c>
    </row>
    <row r="8215" spans="2:4">
      <c r="B8215" t="s">
        <v>10241</v>
      </c>
      <c r="C8215" s="46">
        <v>1</v>
      </c>
      <c r="D8215" s="30">
        <v>2127.5634893487349</v>
      </c>
    </row>
    <row r="8216" spans="2:4">
      <c r="B8216" t="s">
        <v>10242</v>
      </c>
      <c r="C8216" s="46">
        <v>1</v>
      </c>
      <c r="D8216" s="30">
        <v>2883.0340782983517</v>
      </c>
    </row>
    <row r="8217" spans="2:4">
      <c r="B8217" t="s">
        <v>10243</v>
      </c>
      <c r="C8217" s="46">
        <v>1</v>
      </c>
      <c r="D8217" s="30">
        <v>2743.3073866103941</v>
      </c>
    </row>
    <row r="8218" spans="2:4">
      <c r="B8218" t="s">
        <v>10244</v>
      </c>
      <c r="C8218" s="46">
        <v>1</v>
      </c>
      <c r="D8218" s="30">
        <v>2818.3503513112942</v>
      </c>
    </row>
    <row r="8219" spans="2:4">
      <c r="B8219" t="s">
        <v>10245</v>
      </c>
      <c r="C8219" s="46">
        <v>1</v>
      </c>
      <c r="D8219" s="30">
        <v>2743.3073866103941</v>
      </c>
    </row>
    <row r="8220" spans="2:4">
      <c r="B8220" t="s">
        <v>10246</v>
      </c>
      <c r="C8220" s="46">
        <v>1</v>
      </c>
      <c r="D8220" s="30">
        <v>2743.3073866103941</v>
      </c>
    </row>
    <row r="8221" spans="2:4">
      <c r="B8221" t="s">
        <v>10247</v>
      </c>
      <c r="C8221" s="46">
        <v>1</v>
      </c>
      <c r="D8221" s="30">
        <v>20030.342560217101</v>
      </c>
    </row>
    <row r="8222" spans="2:4">
      <c r="B8222" t="s">
        <v>10248</v>
      </c>
      <c r="C8222" s="46">
        <v>1</v>
      </c>
      <c r="D8222" s="30">
        <v>6854.8559162192205</v>
      </c>
    </row>
    <row r="8223" spans="2:4">
      <c r="B8223" t="s">
        <v>10249</v>
      </c>
      <c r="C8223" s="46">
        <v>1</v>
      </c>
      <c r="D8223" s="30">
        <v>2743.3073866103941</v>
      </c>
    </row>
    <row r="8224" spans="2:4">
      <c r="B8224" t="s">
        <v>10250</v>
      </c>
      <c r="C8224" s="46">
        <v>1</v>
      </c>
      <c r="D8224" s="30">
        <v>2535.5422526077909</v>
      </c>
    </row>
    <row r="8225" spans="2:4">
      <c r="B8225" t="s">
        <v>10251</v>
      </c>
      <c r="C8225" s="46">
        <v>1</v>
      </c>
      <c r="D8225" s="30">
        <v>2743.3073866103941</v>
      </c>
    </row>
    <row r="8226" spans="2:4">
      <c r="B8226" t="s">
        <v>10252</v>
      </c>
      <c r="C8226" s="46">
        <v>1</v>
      </c>
      <c r="D8226" s="30">
        <v>6948.2205741752914</v>
      </c>
    </row>
    <row r="8227" spans="2:4">
      <c r="B8227" t="s">
        <v>10253</v>
      </c>
      <c r="C8227" s="46">
        <v>2</v>
      </c>
      <c r="D8227" s="30">
        <v>36488.296802612844</v>
      </c>
    </row>
    <row r="8228" spans="2:4">
      <c r="B8228" t="s">
        <v>10254</v>
      </c>
      <c r="C8228" s="46">
        <v>1</v>
      </c>
      <c r="D8228" s="30">
        <v>2743.3073866103941</v>
      </c>
    </row>
    <row r="8229" spans="2:4">
      <c r="B8229" t="s">
        <v>10255</v>
      </c>
      <c r="C8229" s="46">
        <v>1</v>
      </c>
      <c r="D8229" s="30">
        <v>2743.3073866103941</v>
      </c>
    </row>
    <row r="8230" spans="2:4">
      <c r="B8230" t="s">
        <v>10256</v>
      </c>
      <c r="C8230" s="46">
        <v>2</v>
      </c>
      <c r="D8230" s="30">
        <v>13147.041254057496</v>
      </c>
    </row>
    <row r="8231" spans="2:4">
      <c r="B8231" t="s">
        <v>10257</v>
      </c>
      <c r="C8231" s="46">
        <v>2</v>
      </c>
      <c r="D8231" s="30">
        <v>13147.041254057496</v>
      </c>
    </row>
    <row r="8232" spans="2:4">
      <c r="B8232" t="s">
        <v>10258</v>
      </c>
      <c r="C8232" s="46">
        <v>2</v>
      </c>
      <c r="D8232" s="30">
        <v>13147.041254057496</v>
      </c>
    </row>
    <row r="8233" spans="2:4">
      <c r="B8233" t="s">
        <v>10259</v>
      </c>
      <c r="C8233" s="46">
        <v>2</v>
      </c>
      <c r="D8233" s="30">
        <v>13147.041254057496</v>
      </c>
    </row>
    <row r="8234" spans="2:4">
      <c r="B8234" t="s">
        <v>10260</v>
      </c>
      <c r="C8234" s="46">
        <v>2</v>
      </c>
      <c r="D8234" s="30">
        <v>13147.041254057496</v>
      </c>
    </row>
    <row r="8235" spans="2:4">
      <c r="B8235" t="s">
        <v>10261</v>
      </c>
      <c r="C8235" s="46">
        <v>2</v>
      </c>
      <c r="D8235" s="30">
        <v>13147.041254057496</v>
      </c>
    </row>
    <row r="8236" spans="2:4">
      <c r="B8236" t="s">
        <v>10262</v>
      </c>
      <c r="C8236" s="46">
        <v>2</v>
      </c>
      <c r="D8236" s="30">
        <v>13147.041254057496</v>
      </c>
    </row>
    <row r="8237" spans="2:4">
      <c r="B8237" t="s">
        <v>10263</v>
      </c>
      <c r="C8237" s="46">
        <v>2</v>
      </c>
      <c r="D8237" s="30">
        <v>13147.041254057496</v>
      </c>
    </row>
    <row r="8238" spans="2:4">
      <c r="B8238" t="s">
        <v>10264</v>
      </c>
      <c r="C8238" s="46">
        <v>1</v>
      </c>
      <c r="D8238" s="30">
        <v>2743.3073866103941</v>
      </c>
    </row>
    <row r="8239" spans="2:4">
      <c r="B8239" t="s">
        <v>10265</v>
      </c>
      <c r="C8239" s="46">
        <v>1</v>
      </c>
      <c r="D8239" s="30">
        <v>2995.4455508582218</v>
      </c>
    </row>
    <row r="8240" spans="2:4">
      <c r="B8240" t="s">
        <v>10266</v>
      </c>
      <c r="C8240" s="46">
        <v>1</v>
      </c>
      <c r="D8240" s="30">
        <v>14835.04247995689</v>
      </c>
    </row>
    <row r="8241" spans="2:4">
      <c r="B8241" t="s">
        <v>10267</v>
      </c>
      <c r="C8241" s="46">
        <v>1</v>
      </c>
      <c r="D8241" s="30">
        <v>2995.4455508582218</v>
      </c>
    </row>
    <row r="8242" spans="2:4">
      <c r="B8242" t="s">
        <v>10268</v>
      </c>
      <c r="C8242" s="46">
        <v>1</v>
      </c>
      <c r="D8242" s="30">
        <v>2452.831191982531</v>
      </c>
    </row>
    <row r="8243" spans="2:4">
      <c r="B8243" t="s">
        <v>10269</v>
      </c>
      <c r="C8243" s="46">
        <v>1</v>
      </c>
      <c r="D8243" s="30">
        <v>1424.001387563324</v>
      </c>
    </row>
    <row r="8244" spans="2:4">
      <c r="B8244" t="s">
        <v>10270</v>
      </c>
      <c r="C8244" s="46">
        <v>1</v>
      </c>
      <c r="D8244" s="30">
        <v>1424.001387563324</v>
      </c>
    </row>
    <row r="8245" spans="2:4">
      <c r="B8245" t="s">
        <v>10271</v>
      </c>
      <c r="C8245" s="46">
        <v>1</v>
      </c>
      <c r="D8245" s="30">
        <v>2823.6203245280058</v>
      </c>
    </row>
    <row r="8246" spans="2:4">
      <c r="B8246" t="s">
        <v>10272</v>
      </c>
      <c r="C8246" s="46">
        <v>1</v>
      </c>
      <c r="D8246" s="30">
        <v>2382.4910520381459</v>
      </c>
    </row>
    <row r="8247" spans="2:4">
      <c r="B8247" t="s">
        <v>10273</v>
      </c>
      <c r="C8247" s="46">
        <v>1</v>
      </c>
      <c r="D8247" s="30">
        <v>2515.0917319838936</v>
      </c>
    </row>
    <row r="8248" spans="2:4">
      <c r="B8248" t="s">
        <v>10274</v>
      </c>
      <c r="C8248" s="46">
        <v>1</v>
      </c>
      <c r="D8248" s="30">
        <v>2844.4123387665395</v>
      </c>
    </row>
    <row r="8249" spans="2:4">
      <c r="B8249" t="s">
        <v>10275</v>
      </c>
      <c r="C8249" s="46">
        <v>1</v>
      </c>
      <c r="D8249" s="30">
        <v>672.34698908288578</v>
      </c>
    </row>
    <row r="8250" spans="2:4">
      <c r="B8250" t="s">
        <v>10276</v>
      </c>
      <c r="C8250" s="46">
        <v>1</v>
      </c>
      <c r="D8250" s="30">
        <v>2743.3073866103941</v>
      </c>
    </row>
    <row r="8251" spans="2:4">
      <c r="B8251" t="s">
        <v>10277</v>
      </c>
      <c r="C8251" s="46">
        <v>2</v>
      </c>
      <c r="D8251" s="30">
        <v>36488.296802612844</v>
      </c>
    </row>
    <row r="8252" spans="2:4">
      <c r="B8252" t="s">
        <v>10278</v>
      </c>
      <c r="C8252" s="46">
        <v>1</v>
      </c>
      <c r="D8252" s="30">
        <v>2770.7312577614766</v>
      </c>
    </row>
    <row r="8253" spans="2:4">
      <c r="B8253" t="s">
        <v>10279</v>
      </c>
      <c r="C8253" s="46">
        <v>1</v>
      </c>
      <c r="D8253" s="30">
        <v>2743.3073866103941</v>
      </c>
    </row>
    <row r="8254" spans="2:4">
      <c r="B8254" t="s">
        <v>10280</v>
      </c>
      <c r="C8254" s="46">
        <v>1</v>
      </c>
      <c r="D8254" s="30">
        <v>2743.3073866103941</v>
      </c>
    </row>
    <row r="8255" spans="2:4">
      <c r="B8255" t="s">
        <v>10281</v>
      </c>
      <c r="C8255" s="46">
        <v>1</v>
      </c>
      <c r="D8255" s="30">
        <v>2653.1017364435347</v>
      </c>
    </row>
    <row r="8256" spans="2:4">
      <c r="B8256" t="s">
        <v>10282</v>
      </c>
      <c r="C8256" s="46">
        <v>1</v>
      </c>
      <c r="D8256" s="30">
        <v>1949.3937982844604</v>
      </c>
    </row>
    <row r="8257" spans="2:4">
      <c r="B8257" t="s">
        <v>10283</v>
      </c>
      <c r="C8257" s="46">
        <v>1</v>
      </c>
      <c r="D8257" s="30">
        <v>2510.1806125272105</v>
      </c>
    </row>
    <row r="8258" spans="2:4">
      <c r="B8258" t="s">
        <v>10284</v>
      </c>
      <c r="C8258" s="46">
        <v>1</v>
      </c>
      <c r="D8258" s="30">
        <v>2734.099156222595</v>
      </c>
    </row>
    <row r="8259" spans="2:4">
      <c r="B8259" t="s">
        <v>10285</v>
      </c>
      <c r="C8259" s="46">
        <v>1</v>
      </c>
      <c r="D8259" s="30">
        <v>2734.099156222595</v>
      </c>
    </row>
    <row r="8260" spans="2:4">
      <c r="B8260" t="s">
        <v>10286</v>
      </c>
      <c r="C8260" s="46">
        <v>1</v>
      </c>
      <c r="D8260" s="30">
        <v>2734.099156222595</v>
      </c>
    </row>
    <row r="8261" spans="2:4">
      <c r="B8261" t="s">
        <v>10287</v>
      </c>
      <c r="C8261" s="46">
        <v>1</v>
      </c>
      <c r="D8261" s="30">
        <v>2870.1590284736594</v>
      </c>
    </row>
    <row r="8262" spans="2:4">
      <c r="B8262" t="s">
        <v>10288</v>
      </c>
      <c r="C8262" s="46">
        <v>1</v>
      </c>
      <c r="D8262" s="30">
        <v>2331.9046165556424</v>
      </c>
    </row>
    <row r="8263" spans="2:4">
      <c r="B8263" t="s">
        <v>10289</v>
      </c>
      <c r="C8263" s="46">
        <v>2</v>
      </c>
      <c r="D8263" s="30">
        <v>36488.296802612844</v>
      </c>
    </row>
    <row r="8264" spans="2:4">
      <c r="B8264" t="s">
        <v>10290</v>
      </c>
      <c r="C8264" s="46">
        <v>1</v>
      </c>
      <c r="D8264" s="30">
        <v>2667.6358723395856</v>
      </c>
    </row>
    <row r="8265" spans="2:4">
      <c r="B8265" t="s">
        <v>10291</v>
      </c>
      <c r="C8265" s="46">
        <v>1</v>
      </c>
      <c r="D8265" s="30">
        <v>2704.4633999991511</v>
      </c>
    </row>
    <row r="8266" spans="2:4">
      <c r="B8266" t="s">
        <v>10292</v>
      </c>
      <c r="C8266" s="46">
        <v>1</v>
      </c>
      <c r="D8266" s="30">
        <v>2704.4633999991511</v>
      </c>
    </row>
    <row r="8267" spans="2:4">
      <c r="B8267" t="s">
        <v>10293</v>
      </c>
      <c r="C8267" s="46">
        <v>1</v>
      </c>
      <c r="D8267" s="30">
        <v>784.98409722052975</v>
      </c>
    </row>
    <row r="8268" spans="2:4">
      <c r="B8268" t="s">
        <v>10294</v>
      </c>
      <c r="C8268" s="46">
        <v>1</v>
      </c>
      <c r="D8268" s="30">
        <v>2653.447121463063</v>
      </c>
    </row>
    <row r="8269" spans="2:4">
      <c r="B8269" t="s">
        <v>10295</v>
      </c>
      <c r="C8269" s="46">
        <v>1</v>
      </c>
      <c r="D8269" s="30">
        <v>2576.8821087050087</v>
      </c>
    </row>
    <row r="8270" spans="2:4">
      <c r="B8270" t="s">
        <v>10296</v>
      </c>
      <c r="C8270" s="46">
        <v>1</v>
      </c>
      <c r="D8270" s="30">
        <v>2882.0436500228893</v>
      </c>
    </row>
    <row r="8271" spans="2:4">
      <c r="B8271" t="s">
        <v>10297</v>
      </c>
      <c r="C8271" s="46">
        <v>1</v>
      </c>
      <c r="D8271" s="30">
        <v>8995.936835862929</v>
      </c>
    </row>
    <row r="8272" spans="2:4">
      <c r="B8272" t="s">
        <v>10298</v>
      </c>
      <c r="C8272" s="46">
        <v>1</v>
      </c>
      <c r="D8272" s="30">
        <v>1665.0170759009704</v>
      </c>
    </row>
    <row r="8273" spans="2:4">
      <c r="B8273" t="s">
        <v>10299</v>
      </c>
      <c r="C8273" s="46">
        <v>1</v>
      </c>
      <c r="D8273" s="30">
        <v>2839.1820273479975</v>
      </c>
    </row>
    <row r="8274" spans="2:4">
      <c r="B8274" t="s">
        <v>10300</v>
      </c>
      <c r="C8274" s="46">
        <v>2</v>
      </c>
      <c r="D8274" s="30">
        <v>36488.296802612844</v>
      </c>
    </row>
    <row r="8275" spans="2:4">
      <c r="B8275" t="s">
        <v>10301</v>
      </c>
      <c r="C8275" s="46">
        <v>1</v>
      </c>
      <c r="D8275" s="30">
        <v>2834.1355431884299</v>
      </c>
    </row>
    <row r="8276" spans="2:4">
      <c r="B8276" t="s">
        <v>10302</v>
      </c>
      <c r="C8276" s="46">
        <v>1</v>
      </c>
      <c r="D8276" s="30">
        <v>2610.6394041937042</v>
      </c>
    </row>
    <row r="8277" spans="2:4">
      <c r="B8277" t="s">
        <v>10303</v>
      </c>
      <c r="C8277" s="46">
        <v>1</v>
      </c>
      <c r="D8277" s="30">
        <v>2506.0364588869893</v>
      </c>
    </row>
    <row r="8278" spans="2:4">
      <c r="B8278" t="s">
        <v>10304</v>
      </c>
      <c r="C8278" s="46">
        <v>1</v>
      </c>
      <c r="D8278" s="30">
        <v>8224.1818353641265</v>
      </c>
    </row>
    <row r="8279" spans="2:4">
      <c r="B8279" t="s">
        <v>10305</v>
      </c>
      <c r="C8279" s="46">
        <v>1</v>
      </c>
      <c r="D8279" s="30">
        <v>2739.3495274356073</v>
      </c>
    </row>
    <row r="8280" spans="2:4">
      <c r="B8280" t="s">
        <v>10306</v>
      </c>
      <c r="C8280" s="46">
        <v>1</v>
      </c>
      <c r="D8280" s="30">
        <v>201.72019646061193</v>
      </c>
    </row>
    <row r="8281" spans="2:4">
      <c r="B8281" t="s">
        <v>10307</v>
      </c>
      <c r="C8281" s="46">
        <v>1</v>
      </c>
      <c r="D8281" s="30">
        <v>2739.3495274356073</v>
      </c>
    </row>
    <row r="8282" spans="2:4">
      <c r="B8282" t="s">
        <v>10308</v>
      </c>
      <c r="C8282" s="46">
        <v>1</v>
      </c>
      <c r="D8282" s="30">
        <v>201.72019646061193</v>
      </c>
    </row>
    <row r="8283" spans="2:4">
      <c r="B8283" t="s">
        <v>10309</v>
      </c>
      <c r="C8283" s="46">
        <v>1</v>
      </c>
      <c r="D8283" s="30">
        <v>937.20346275451675</v>
      </c>
    </row>
    <row r="8284" spans="2:4">
      <c r="B8284" t="s">
        <v>10310</v>
      </c>
      <c r="C8284" s="46">
        <v>1</v>
      </c>
      <c r="D8284" s="30">
        <v>2834.0013342391567</v>
      </c>
    </row>
    <row r="8285" spans="2:4">
      <c r="B8285" t="s">
        <v>10311</v>
      </c>
      <c r="C8285" s="46">
        <v>1</v>
      </c>
      <c r="D8285" s="30">
        <v>2778.0783195045778</v>
      </c>
    </row>
    <row r="8286" spans="2:4">
      <c r="B8286" t="s">
        <v>10312</v>
      </c>
      <c r="C8286" s="46">
        <v>1</v>
      </c>
      <c r="D8286" s="30">
        <v>2723.5193220507581</v>
      </c>
    </row>
    <row r="8287" spans="2:4">
      <c r="B8287" t="s">
        <v>10313</v>
      </c>
      <c r="C8287" s="46">
        <v>1</v>
      </c>
      <c r="D8287" s="30">
        <v>32658.814375591453</v>
      </c>
    </row>
    <row r="8288" spans="2:4">
      <c r="B8288" t="s">
        <v>10314</v>
      </c>
      <c r="C8288" s="46">
        <v>1</v>
      </c>
      <c r="D8288" s="30">
        <v>2717.5835077564079</v>
      </c>
    </row>
    <row r="8289" spans="2:4">
      <c r="B8289" t="s">
        <v>10315</v>
      </c>
      <c r="C8289" s="46">
        <v>1</v>
      </c>
      <c r="D8289" s="30">
        <v>389.14412407402136</v>
      </c>
    </row>
    <row r="8290" spans="2:4">
      <c r="B8290" t="s">
        <v>10316</v>
      </c>
      <c r="C8290" s="46">
        <v>1</v>
      </c>
      <c r="D8290" s="30">
        <v>2698.6393048672994</v>
      </c>
    </row>
    <row r="8291" spans="2:4">
      <c r="B8291" t="s">
        <v>10317</v>
      </c>
      <c r="C8291" s="46">
        <v>2</v>
      </c>
      <c r="D8291" s="30">
        <v>36488.296802612844</v>
      </c>
    </row>
    <row r="8292" spans="2:4">
      <c r="B8292" t="s">
        <v>10318</v>
      </c>
      <c r="C8292" s="46">
        <v>1</v>
      </c>
      <c r="D8292" s="30">
        <v>2168.1288562001</v>
      </c>
    </row>
    <row r="8293" spans="2:4">
      <c r="B8293" t="s">
        <v>10319</v>
      </c>
      <c r="C8293" s="46">
        <v>1</v>
      </c>
      <c r="D8293" s="30">
        <v>2168.1288562001</v>
      </c>
    </row>
    <row r="8294" spans="2:4">
      <c r="B8294" t="s">
        <v>10320</v>
      </c>
      <c r="C8294" s="46">
        <v>1</v>
      </c>
      <c r="D8294" s="30">
        <v>2423.7267264939792</v>
      </c>
    </row>
    <row r="8295" spans="2:4">
      <c r="B8295" t="s">
        <v>10321</v>
      </c>
      <c r="C8295" s="46">
        <v>1</v>
      </c>
      <c r="D8295" s="30">
        <v>1428.6028989235454</v>
      </c>
    </row>
    <row r="8296" spans="2:4">
      <c r="B8296" t="s">
        <v>10322</v>
      </c>
      <c r="C8296" s="46">
        <v>1</v>
      </c>
      <c r="D8296" s="30">
        <v>2854.3143682592145</v>
      </c>
    </row>
    <row r="8297" spans="2:4">
      <c r="B8297" t="s">
        <v>10323</v>
      </c>
      <c r="C8297" s="46">
        <v>1</v>
      </c>
      <c r="D8297" s="30">
        <v>1223.8776153811798</v>
      </c>
    </row>
    <row r="8298" spans="2:4">
      <c r="B8298" t="s">
        <v>10324</v>
      </c>
      <c r="C8298" s="46">
        <v>1</v>
      </c>
      <c r="D8298" s="30">
        <v>2677.4718121458777</v>
      </c>
    </row>
    <row r="8299" spans="2:4">
      <c r="B8299" t="s">
        <v>10325</v>
      </c>
      <c r="C8299" s="46">
        <v>1</v>
      </c>
      <c r="D8299" s="30">
        <v>2690.7438054544427</v>
      </c>
    </row>
    <row r="8300" spans="2:4">
      <c r="B8300" t="s">
        <v>10326</v>
      </c>
      <c r="C8300" s="46">
        <v>1</v>
      </c>
      <c r="D8300" s="30">
        <v>2690.7438054544427</v>
      </c>
    </row>
    <row r="8301" spans="2:4">
      <c r="B8301" t="s">
        <v>10327</v>
      </c>
      <c r="C8301" s="46">
        <v>1</v>
      </c>
      <c r="D8301" s="30">
        <v>2690.7438054544427</v>
      </c>
    </row>
    <row r="8302" spans="2:4">
      <c r="B8302" t="s">
        <v>10328</v>
      </c>
      <c r="C8302" s="46">
        <v>1</v>
      </c>
      <c r="D8302" s="30">
        <v>2690.7438054544427</v>
      </c>
    </row>
    <row r="8303" spans="2:4">
      <c r="B8303" t="s">
        <v>10329</v>
      </c>
      <c r="C8303" s="46">
        <v>1</v>
      </c>
      <c r="D8303" s="30">
        <v>2690.7438054544427</v>
      </c>
    </row>
    <row r="8304" spans="2:4">
      <c r="B8304" t="s">
        <v>10330</v>
      </c>
      <c r="C8304" s="46">
        <v>1</v>
      </c>
      <c r="D8304" s="30">
        <v>2690.7438054544427</v>
      </c>
    </row>
    <row r="8305" spans="2:4">
      <c r="B8305" t="s">
        <v>10331</v>
      </c>
      <c r="C8305" s="46">
        <v>1</v>
      </c>
      <c r="D8305" s="30">
        <v>2820.5094052024947</v>
      </c>
    </row>
    <row r="8306" spans="2:4">
      <c r="B8306" t="s">
        <v>10332</v>
      </c>
      <c r="C8306" s="46">
        <v>1</v>
      </c>
      <c r="D8306" s="30">
        <v>2569.4397185085832</v>
      </c>
    </row>
    <row r="8307" spans="2:4">
      <c r="B8307" t="s">
        <v>10333</v>
      </c>
      <c r="C8307" s="46">
        <v>2</v>
      </c>
      <c r="D8307" s="30">
        <v>36488.296802612844</v>
      </c>
    </row>
    <row r="8308" spans="2:4">
      <c r="B8308" t="s">
        <v>10334</v>
      </c>
      <c r="C8308" s="46">
        <v>1</v>
      </c>
      <c r="D8308" s="30">
        <v>2724.6544988036553</v>
      </c>
    </row>
    <row r="8309" spans="2:4">
      <c r="B8309" t="s">
        <v>10335</v>
      </c>
      <c r="C8309" s="46">
        <v>1</v>
      </c>
      <c r="D8309" s="30">
        <v>2684.3017293704852</v>
      </c>
    </row>
    <row r="8310" spans="2:4">
      <c r="B8310" t="s">
        <v>10336</v>
      </c>
      <c r="C8310" s="46">
        <v>1</v>
      </c>
      <c r="D8310" s="30">
        <v>2657.7949750240723</v>
      </c>
    </row>
    <row r="8311" spans="2:4">
      <c r="B8311" t="s">
        <v>10337</v>
      </c>
      <c r="C8311" s="46">
        <v>1</v>
      </c>
      <c r="D8311" s="30">
        <v>2704.4633999991511</v>
      </c>
    </row>
    <row r="8312" spans="2:4">
      <c r="B8312" t="s">
        <v>10338</v>
      </c>
      <c r="C8312" s="46">
        <v>1</v>
      </c>
      <c r="D8312" s="30">
        <v>2704.4633999991511</v>
      </c>
    </row>
    <row r="8313" spans="2:4">
      <c r="B8313" t="s">
        <v>10339</v>
      </c>
      <c r="C8313" s="46">
        <v>1</v>
      </c>
      <c r="D8313" s="30">
        <v>2686.0785904639324</v>
      </c>
    </row>
    <row r="8314" spans="2:4">
      <c r="B8314" t="s">
        <v>10340</v>
      </c>
      <c r="C8314" s="46">
        <v>1</v>
      </c>
      <c r="D8314" s="30">
        <v>2704.4633999991511</v>
      </c>
    </row>
    <row r="8315" spans="2:4">
      <c r="B8315" t="s">
        <v>10341</v>
      </c>
      <c r="C8315" s="46">
        <v>1</v>
      </c>
      <c r="D8315" s="30">
        <v>1684.7081665268829</v>
      </c>
    </row>
    <row r="8316" spans="2:4">
      <c r="B8316" t="s">
        <v>10342</v>
      </c>
      <c r="C8316" s="46">
        <v>1</v>
      </c>
      <c r="D8316" s="30">
        <v>1684.7081665268829</v>
      </c>
    </row>
    <row r="8317" spans="2:4">
      <c r="B8317" t="s">
        <v>10343</v>
      </c>
      <c r="C8317" s="46">
        <v>1</v>
      </c>
      <c r="D8317" s="30">
        <v>1684.7081665268829</v>
      </c>
    </row>
    <row r="8318" spans="2:4">
      <c r="B8318" t="s">
        <v>10344</v>
      </c>
      <c r="C8318" s="46">
        <v>1</v>
      </c>
      <c r="D8318" s="30">
        <v>1684.7081665268829</v>
      </c>
    </row>
    <row r="8319" spans="2:4">
      <c r="B8319" t="s">
        <v>10345</v>
      </c>
      <c r="C8319" s="46">
        <v>1</v>
      </c>
      <c r="D8319" s="30">
        <v>1684.7081665268829</v>
      </c>
    </row>
    <row r="8320" spans="2:4">
      <c r="B8320" t="s">
        <v>10346</v>
      </c>
      <c r="C8320" s="46">
        <v>1</v>
      </c>
      <c r="D8320" s="30">
        <v>1684.7081665268829</v>
      </c>
    </row>
    <row r="8321" spans="2:4">
      <c r="B8321" t="s">
        <v>10347</v>
      </c>
      <c r="C8321" s="46">
        <v>1</v>
      </c>
      <c r="D8321" s="30">
        <v>1684.7081665268829</v>
      </c>
    </row>
    <row r="8322" spans="2:4">
      <c r="B8322" t="s">
        <v>10348</v>
      </c>
      <c r="C8322" s="46">
        <v>1</v>
      </c>
      <c r="D8322" s="30">
        <v>1684.7081665268829</v>
      </c>
    </row>
    <row r="8323" spans="2:4">
      <c r="B8323" t="s">
        <v>10349</v>
      </c>
      <c r="C8323" s="46">
        <v>1</v>
      </c>
      <c r="D8323" s="30">
        <v>2850.8250579336859</v>
      </c>
    </row>
    <row r="8324" spans="2:4">
      <c r="B8324" t="s">
        <v>10350</v>
      </c>
      <c r="C8324" s="46">
        <v>1</v>
      </c>
      <c r="D8324" s="30">
        <v>4134.5728452939029</v>
      </c>
    </row>
    <row r="8325" spans="2:4">
      <c r="B8325" t="s">
        <v>10351</v>
      </c>
      <c r="C8325" s="46">
        <v>1</v>
      </c>
      <c r="D8325" s="30">
        <v>2819.4802220931897</v>
      </c>
    </row>
    <row r="8326" spans="2:4">
      <c r="B8326" t="s">
        <v>10352</v>
      </c>
      <c r="C8326" s="46">
        <v>1</v>
      </c>
      <c r="D8326" s="30">
        <v>1786.832074395247</v>
      </c>
    </row>
    <row r="8327" spans="2:4">
      <c r="B8327" t="s">
        <v>10353</v>
      </c>
      <c r="C8327" s="46">
        <v>1</v>
      </c>
      <c r="D8327" s="30">
        <v>2506.4314961538571</v>
      </c>
    </row>
    <row r="8328" spans="2:4">
      <c r="B8328" t="s">
        <v>10354</v>
      </c>
      <c r="C8328" s="46">
        <v>1</v>
      </c>
      <c r="D8328" s="30">
        <v>496.22107994239815</v>
      </c>
    </row>
    <row r="8329" spans="2:4">
      <c r="B8329" t="s">
        <v>10355</v>
      </c>
      <c r="C8329" s="46">
        <v>2</v>
      </c>
      <c r="D8329" s="30">
        <v>36488.296802612844</v>
      </c>
    </row>
    <row r="8330" spans="2:4">
      <c r="B8330" t="s">
        <v>10356</v>
      </c>
      <c r="C8330" s="46">
        <v>1</v>
      </c>
      <c r="D8330" s="30">
        <v>2882.0436500228893</v>
      </c>
    </row>
    <row r="8331" spans="2:4">
      <c r="B8331" t="s">
        <v>10357</v>
      </c>
      <c r="C8331" s="46">
        <v>1</v>
      </c>
      <c r="D8331" s="30">
        <v>2707.8378655268057</v>
      </c>
    </row>
    <row r="8332" spans="2:4">
      <c r="B8332" t="s">
        <v>10358</v>
      </c>
      <c r="C8332" s="46">
        <v>1</v>
      </c>
      <c r="D8332" s="30">
        <v>2690.7438054544427</v>
      </c>
    </row>
    <row r="8333" spans="2:4">
      <c r="B8333" t="s">
        <v>10359</v>
      </c>
      <c r="C8333" s="46">
        <v>1</v>
      </c>
      <c r="D8333" s="30">
        <v>2690.7438054544427</v>
      </c>
    </row>
    <row r="8334" spans="2:4">
      <c r="B8334" t="s">
        <v>10360</v>
      </c>
      <c r="C8334" s="46">
        <v>1</v>
      </c>
      <c r="D8334" s="30">
        <v>2690.7438054544427</v>
      </c>
    </row>
    <row r="8335" spans="2:4">
      <c r="B8335" t="s">
        <v>10361</v>
      </c>
      <c r="C8335" s="46">
        <v>1</v>
      </c>
      <c r="D8335" s="30">
        <v>2690.7438054544427</v>
      </c>
    </row>
    <row r="8336" spans="2:4">
      <c r="B8336" t="s">
        <v>10362</v>
      </c>
      <c r="C8336" s="46">
        <v>1</v>
      </c>
      <c r="D8336" s="30">
        <v>2690.7438054544427</v>
      </c>
    </row>
    <row r="8337" spans="2:4">
      <c r="B8337" t="s">
        <v>10363</v>
      </c>
      <c r="C8337" s="46">
        <v>1</v>
      </c>
      <c r="D8337" s="30">
        <v>2690.7438054544427</v>
      </c>
    </row>
    <row r="8338" spans="2:4">
      <c r="B8338" t="s">
        <v>10364</v>
      </c>
      <c r="C8338" s="46">
        <v>1</v>
      </c>
      <c r="D8338" s="30">
        <v>813.6316801492967</v>
      </c>
    </row>
    <row r="8339" spans="2:4">
      <c r="B8339" t="s">
        <v>10365</v>
      </c>
      <c r="C8339" s="46">
        <v>1</v>
      </c>
      <c r="D8339" s="30">
        <v>2618.4305234206172</v>
      </c>
    </row>
    <row r="8340" spans="2:4">
      <c r="B8340" t="s">
        <v>10366</v>
      </c>
      <c r="C8340" s="46">
        <v>1</v>
      </c>
      <c r="D8340" s="30">
        <v>2849.3632679757011</v>
      </c>
    </row>
    <row r="8341" spans="2:4">
      <c r="B8341" t="s">
        <v>10367</v>
      </c>
      <c r="C8341" s="46">
        <v>1</v>
      </c>
      <c r="D8341" s="30">
        <v>2823.4795895867269</v>
      </c>
    </row>
    <row r="8342" spans="2:4">
      <c r="B8342" t="s">
        <v>10368</v>
      </c>
      <c r="C8342" s="46">
        <v>1</v>
      </c>
      <c r="D8342" s="30">
        <v>2877.9439314192668</v>
      </c>
    </row>
    <row r="8343" spans="2:4">
      <c r="B8343" t="s">
        <v>10369</v>
      </c>
      <c r="C8343" s="46">
        <v>2</v>
      </c>
      <c r="D8343" s="30">
        <v>36488.296802612844</v>
      </c>
    </row>
    <row r="8344" spans="2:4">
      <c r="B8344" t="s">
        <v>10370</v>
      </c>
      <c r="C8344" s="46">
        <v>1</v>
      </c>
      <c r="D8344" s="30">
        <v>6097.8459403372499</v>
      </c>
    </row>
    <row r="8345" spans="2:4">
      <c r="B8345" t="s">
        <v>10371</v>
      </c>
      <c r="C8345" s="46">
        <v>1</v>
      </c>
      <c r="D8345" s="30">
        <v>2518.302737545137</v>
      </c>
    </row>
    <row r="8346" spans="2:4">
      <c r="B8346" t="s">
        <v>10372</v>
      </c>
      <c r="C8346" s="46">
        <v>1</v>
      </c>
      <c r="D8346" s="30">
        <v>2881.3576451498025</v>
      </c>
    </row>
    <row r="8347" spans="2:4">
      <c r="B8347" t="s">
        <v>10373</v>
      </c>
      <c r="C8347" s="46">
        <v>1</v>
      </c>
      <c r="D8347" s="30">
        <v>2881.3576451498025</v>
      </c>
    </row>
    <row r="8348" spans="2:4">
      <c r="B8348" t="s">
        <v>10374</v>
      </c>
      <c r="C8348" s="46">
        <v>1</v>
      </c>
      <c r="D8348" s="30">
        <v>2881.3576451498025</v>
      </c>
    </row>
    <row r="8349" spans="2:4">
      <c r="B8349" t="s">
        <v>10375</v>
      </c>
      <c r="C8349" s="46">
        <v>1</v>
      </c>
      <c r="D8349" s="30">
        <v>2881.3576451498025</v>
      </c>
    </row>
    <row r="8350" spans="2:4">
      <c r="B8350" t="s">
        <v>10376</v>
      </c>
      <c r="C8350" s="46">
        <v>1</v>
      </c>
      <c r="D8350" s="30">
        <v>4352.9551186245044</v>
      </c>
    </row>
    <row r="8351" spans="2:4">
      <c r="B8351" t="s">
        <v>10377</v>
      </c>
      <c r="C8351" s="46">
        <v>1</v>
      </c>
      <c r="D8351" s="30">
        <v>2944.3271259632579</v>
      </c>
    </row>
    <row r="8352" spans="2:4">
      <c r="B8352" t="s">
        <v>10378</v>
      </c>
      <c r="C8352" s="46">
        <v>1</v>
      </c>
      <c r="D8352" s="30">
        <v>2100.6162825865604</v>
      </c>
    </row>
    <row r="8353" spans="2:4">
      <c r="B8353" t="s">
        <v>10379</v>
      </c>
      <c r="C8353" s="46">
        <v>1</v>
      </c>
      <c r="D8353" s="30">
        <v>5772.6665170482065</v>
      </c>
    </row>
    <row r="8354" spans="2:4">
      <c r="B8354" t="s">
        <v>10380</v>
      </c>
      <c r="C8354" s="46">
        <v>1</v>
      </c>
      <c r="D8354" s="30">
        <v>2672.3650560529391</v>
      </c>
    </row>
    <row r="8355" spans="2:4">
      <c r="B8355" t="s">
        <v>10381</v>
      </c>
      <c r="C8355" s="46">
        <v>1</v>
      </c>
      <c r="D8355" s="30">
        <v>2290.6084430928977</v>
      </c>
    </row>
    <row r="8356" spans="2:4">
      <c r="B8356" t="s">
        <v>10382</v>
      </c>
      <c r="C8356" s="46">
        <v>1</v>
      </c>
      <c r="D8356" s="30">
        <v>2594.7533525115791</v>
      </c>
    </row>
    <row r="8357" spans="2:4">
      <c r="B8357" t="s">
        <v>10383</v>
      </c>
      <c r="C8357" s="46">
        <v>1</v>
      </c>
      <c r="D8357" s="30">
        <v>2817.680315637926</v>
      </c>
    </row>
    <row r="8358" spans="2:4">
      <c r="B8358" t="s">
        <v>10384</v>
      </c>
      <c r="C8358" s="46">
        <v>2</v>
      </c>
      <c r="D8358" s="30">
        <v>36488.296802612844</v>
      </c>
    </row>
    <row r="8359" spans="2:4">
      <c r="B8359" t="s">
        <v>10385</v>
      </c>
      <c r="C8359" s="46">
        <v>1</v>
      </c>
      <c r="D8359" s="30">
        <v>2650.2810945666515</v>
      </c>
    </row>
    <row r="8360" spans="2:4">
      <c r="B8360" t="s">
        <v>10386</v>
      </c>
      <c r="C8360" s="46">
        <v>1</v>
      </c>
      <c r="D8360" s="30">
        <v>653.30811987314291</v>
      </c>
    </row>
    <row r="8361" spans="2:4">
      <c r="B8361" t="s">
        <v>10387</v>
      </c>
      <c r="C8361" s="46">
        <v>1</v>
      </c>
      <c r="D8361" s="30">
        <v>2672.3650560529391</v>
      </c>
    </row>
    <row r="8362" spans="2:4">
      <c r="B8362" t="s">
        <v>10388</v>
      </c>
      <c r="C8362" s="46">
        <v>1</v>
      </c>
      <c r="D8362" s="30">
        <v>2672.3650560529391</v>
      </c>
    </row>
    <row r="8363" spans="2:4">
      <c r="B8363" t="s">
        <v>10389</v>
      </c>
      <c r="C8363" s="46">
        <v>1</v>
      </c>
      <c r="D8363" s="30">
        <v>2672.3650560529391</v>
      </c>
    </row>
    <row r="8364" spans="2:4">
      <c r="B8364" t="s">
        <v>10390</v>
      </c>
      <c r="C8364" s="46">
        <v>1</v>
      </c>
      <c r="D8364" s="30">
        <v>2672.3650560529391</v>
      </c>
    </row>
    <row r="8365" spans="2:4">
      <c r="B8365" t="s">
        <v>10391</v>
      </c>
      <c r="C8365" s="46">
        <v>1</v>
      </c>
      <c r="D8365" s="30">
        <v>2672.3650560529391</v>
      </c>
    </row>
    <row r="8366" spans="2:4">
      <c r="B8366" t="s">
        <v>10392</v>
      </c>
      <c r="C8366" s="46">
        <v>1</v>
      </c>
      <c r="D8366" s="30">
        <v>2672.3650560529391</v>
      </c>
    </row>
    <row r="8367" spans="2:4">
      <c r="B8367" t="s">
        <v>10393</v>
      </c>
      <c r="C8367" s="46">
        <v>1</v>
      </c>
      <c r="D8367" s="30">
        <v>2768.0861394556377</v>
      </c>
    </row>
    <row r="8368" spans="2:4">
      <c r="B8368" t="s">
        <v>10394</v>
      </c>
      <c r="C8368" s="46">
        <v>1</v>
      </c>
      <c r="D8368" s="30">
        <v>584.92611628741827</v>
      </c>
    </row>
    <row r="8369" spans="2:4">
      <c r="B8369" t="s">
        <v>10395</v>
      </c>
      <c r="C8369" s="46">
        <v>1</v>
      </c>
      <c r="D8369" s="30">
        <v>901.14903139393823</v>
      </c>
    </row>
    <row r="8370" spans="2:4">
      <c r="B8370" t="s">
        <v>10396</v>
      </c>
      <c r="C8370" s="46">
        <v>1</v>
      </c>
      <c r="D8370" s="30">
        <v>937.20346275451675</v>
      </c>
    </row>
    <row r="8371" spans="2:4">
      <c r="B8371" t="s">
        <v>10397</v>
      </c>
      <c r="C8371" s="46">
        <v>1</v>
      </c>
      <c r="D8371" s="30">
        <v>14301.591043363998</v>
      </c>
    </row>
    <row r="8372" spans="2:4">
      <c r="B8372" t="s">
        <v>10398</v>
      </c>
      <c r="C8372" s="46">
        <v>2</v>
      </c>
      <c r="D8372" s="30">
        <v>36488.296802612844</v>
      </c>
    </row>
    <row r="8373" spans="2:4">
      <c r="B8373" t="s">
        <v>10399</v>
      </c>
      <c r="C8373" s="46">
        <v>2</v>
      </c>
      <c r="D8373" s="30">
        <v>120944.29691823982</v>
      </c>
    </row>
    <row r="8374" spans="2:4">
      <c r="B8374" t="s">
        <v>10400</v>
      </c>
      <c r="C8374" s="46">
        <v>1</v>
      </c>
      <c r="D8374" s="30">
        <v>423.44696427444484</v>
      </c>
    </row>
    <row r="8375" spans="2:4">
      <c r="B8375" t="s">
        <v>10401</v>
      </c>
      <c r="C8375" s="46">
        <v>1</v>
      </c>
      <c r="D8375" s="30">
        <v>2734.099156222595</v>
      </c>
    </row>
    <row r="8376" spans="2:4">
      <c r="B8376" t="s">
        <v>10402</v>
      </c>
      <c r="C8376" s="46">
        <v>1</v>
      </c>
      <c r="D8376" s="30">
        <v>2734.099156222595</v>
      </c>
    </row>
    <row r="8377" spans="2:4">
      <c r="B8377" t="s">
        <v>10403</v>
      </c>
      <c r="C8377" s="46">
        <v>1</v>
      </c>
      <c r="D8377" s="30">
        <v>2734.099156222595</v>
      </c>
    </row>
    <row r="8378" spans="2:4">
      <c r="B8378" t="s">
        <v>10404</v>
      </c>
      <c r="C8378" s="46">
        <v>1</v>
      </c>
      <c r="D8378" s="30">
        <v>2734.099156222595</v>
      </c>
    </row>
    <row r="8379" spans="2:4">
      <c r="B8379" t="s">
        <v>10405</v>
      </c>
      <c r="C8379" s="46">
        <v>1</v>
      </c>
      <c r="D8379" s="30">
        <v>2734.099156222595</v>
      </c>
    </row>
    <row r="8380" spans="2:4">
      <c r="B8380" t="s">
        <v>10406</v>
      </c>
      <c r="C8380" s="46">
        <v>1</v>
      </c>
      <c r="D8380" s="30">
        <v>2734.099156222595</v>
      </c>
    </row>
    <row r="8381" spans="2:4">
      <c r="B8381" t="s">
        <v>10407</v>
      </c>
      <c r="C8381" s="46">
        <v>1</v>
      </c>
      <c r="D8381" s="30">
        <v>2734.099156222595</v>
      </c>
    </row>
    <row r="8382" spans="2:4">
      <c r="B8382" t="s">
        <v>10408</v>
      </c>
      <c r="C8382" s="46">
        <v>1</v>
      </c>
      <c r="D8382" s="30">
        <v>2734.099156222595</v>
      </c>
    </row>
    <row r="8383" spans="2:4">
      <c r="B8383" t="s">
        <v>10409</v>
      </c>
      <c r="C8383" s="46">
        <v>1</v>
      </c>
      <c r="D8383" s="30">
        <v>2560.3934578192002</v>
      </c>
    </row>
    <row r="8384" spans="2:4">
      <c r="B8384" t="s">
        <v>10410</v>
      </c>
      <c r="C8384" s="46">
        <v>1</v>
      </c>
      <c r="D8384" s="30">
        <v>653.30811987314291</v>
      </c>
    </row>
    <row r="8385" spans="2:4">
      <c r="B8385" t="s">
        <v>10411</v>
      </c>
      <c r="C8385" s="46">
        <v>1</v>
      </c>
      <c r="D8385" s="30">
        <v>2854.8881197025812</v>
      </c>
    </row>
    <row r="8386" spans="2:4">
      <c r="B8386" t="s">
        <v>10412</v>
      </c>
      <c r="C8386" s="46">
        <v>1</v>
      </c>
      <c r="D8386" s="30">
        <v>1442.271542649466</v>
      </c>
    </row>
    <row r="8387" spans="2:4">
      <c r="B8387" t="s">
        <v>10413</v>
      </c>
      <c r="C8387" s="46">
        <v>1</v>
      </c>
      <c r="D8387" s="30">
        <v>2834.0013342391567</v>
      </c>
    </row>
    <row r="8388" spans="2:4">
      <c r="B8388" t="s">
        <v>10414</v>
      </c>
      <c r="C8388" s="46">
        <v>1</v>
      </c>
      <c r="D8388" s="30">
        <v>651.89069740441118</v>
      </c>
    </row>
    <row r="8389" spans="2:4">
      <c r="B8389" t="s">
        <v>10415</v>
      </c>
      <c r="C8389" s="46">
        <v>1</v>
      </c>
      <c r="D8389" s="30">
        <v>2506.0364588869893</v>
      </c>
    </row>
    <row r="8390" spans="2:4">
      <c r="B8390" t="s">
        <v>10416</v>
      </c>
      <c r="C8390" s="46">
        <v>1</v>
      </c>
      <c r="D8390" s="30">
        <v>2065.0352185109778</v>
      </c>
    </row>
    <row r="8391" spans="2:4">
      <c r="B8391" t="s">
        <v>10417</v>
      </c>
      <c r="C8391" s="46">
        <v>1</v>
      </c>
      <c r="D8391" s="30">
        <v>2458.0475872704556</v>
      </c>
    </row>
    <row r="8392" spans="2:4">
      <c r="B8392" t="s">
        <v>10418</v>
      </c>
      <c r="C8392" s="46">
        <v>2</v>
      </c>
      <c r="D8392" s="30">
        <v>36488.296802612844</v>
      </c>
    </row>
    <row r="8393" spans="2:4">
      <c r="B8393" t="s">
        <v>10419</v>
      </c>
      <c r="C8393" s="46">
        <v>1</v>
      </c>
      <c r="D8393" s="30">
        <v>784.98409722052975</v>
      </c>
    </row>
    <row r="8394" spans="2:4">
      <c r="B8394" t="s">
        <v>10420</v>
      </c>
      <c r="C8394" s="46">
        <v>1</v>
      </c>
      <c r="D8394" s="30">
        <v>1528.9420132352006</v>
      </c>
    </row>
    <row r="8395" spans="2:4">
      <c r="B8395" t="s">
        <v>10421</v>
      </c>
      <c r="C8395" s="46">
        <v>1</v>
      </c>
      <c r="D8395" s="30">
        <v>2602.0467011177107</v>
      </c>
    </row>
    <row r="8396" spans="2:4">
      <c r="B8396" t="s">
        <v>10422</v>
      </c>
      <c r="C8396" s="46">
        <v>1</v>
      </c>
      <c r="D8396" s="30">
        <v>2091.6383317274881</v>
      </c>
    </row>
    <row r="8397" spans="2:4">
      <c r="B8397" t="s">
        <v>10423</v>
      </c>
      <c r="C8397" s="46">
        <v>1</v>
      </c>
      <c r="D8397" s="30">
        <v>232.96292350675827</v>
      </c>
    </row>
    <row r="8398" spans="2:4">
      <c r="B8398" t="s">
        <v>10424</v>
      </c>
      <c r="C8398" s="46">
        <v>1</v>
      </c>
      <c r="D8398" s="30">
        <v>2771.862488821364</v>
      </c>
    </row>
    <row r="8399" spans="2:4">
      <c r="B8399" t="s">
        <v>10425</v>
      </c>
      <c r="C8399" s="46">
        <v>1</v>
      </c>
      <c r="D8399" s="30">
        <v>6854.8559162192205</v>
      </c>
    </row>
    <row r="8400" spans="2:4">
      <c r="B8400" t="s">
        <v>10426</v>
      </c>
      <c r="C8400" s="46">
        <v>1</v>
      </c>
      <c r="D8400" s="30">
        <v>2059.6739367281525</v>
      </c>
    </row>
    <row r="8401" spans="2:4">
      <c r="B8401" t="s">
        <v>10427</v>
      </c>
      <c r="C8401" s="46">
        <v>2</v>
      </c>
      <c r="D8401" s="30">
        <v>39472.480536483992</v>
      </c>
    </row>
    <row r="8402" spans="2:4">
      <c r="B8402" t="s">
        <v>10428</v>
      </c>
      <c r="C8402" s="46">
        <v>1</v>
      </c>
      <c r="D8402" s="30">
        <v>521.75133502373319</v>
      </c>
    </row>
    <row r="8403" spans="2:4">
      <c r="B8403" t="s">
        <v>10429</v>
      </c>
      <c r="C8403" s="46">
        <v>1</v>
      </c>
      <c r="D8403" s="30">
        <v>2851.3436876100891</v>
      </c>
    </row>
    <row r="8404" spans="2:4">
      <c r="B8404" t="s">
        <v>10430</v>
      </c>
      <c r="C8404" s="46">
        <v>1</v>
      </c>
      <c r="D8404" s="30">
        <v>927.56509589664074</v>
      </c>
    </row>
    <row r="8405" spans="2:4">
      <c r="B8405" t="s">
        <v>10431</v>
      </c>
      <c r="C8405" s="46">
        <v>1</v>
      </c>
      <c r="D8405" s="30">
        <v>6324.0649448731137</v>
      </c>
    </row>
    <row r="8406" spans="2:4">
      <c r="B8406" t="s">
        <v>10432</v>
      </c>
      <c r="C8406" s="46">
        <v>1</v>
      </c>
      <c r="D8406" s="30">
        <v>2842.1527531772431</v>
      </c>
    </row>
    <row r="8407" spans="2:4">
      <c r="B8407" t="s">
        <v>10433</v>
      </c>
      <c r="C8407" s="46">
        <v>1</v>
      </c>
      <c r="D8407" s="30">
        <v>2324.8833165475021</v>
      </c>
    </row>
    <row r="8408" spans="2:4">
      <c r="B8408" t="s">
        <v>10434</v>
      </c>
      <c r="C8408" s="46">
        <v>1</v>
      </c>
      <c r="D8408" s="30">
        <v>1975.6960263700341</v>
      </c>
    </row>
    <row r="8409" spans="2:4">
      <c r="B8409" t="s">
        <v>10435</v>
      </c>
      <c r="C8409" s="46">
        <v>1</v>
      </c>
      <c r="D8409" s="30">
        <v>8145.7108604005671</v>
      </c>
    </row>
    <row r="8410" spans="2:4">
      <c r="B8410" t="s">
        <v>10436</v>
      </c>
      <c r="C8410" s="46">
        <v>1</v>
      </c>
      <c r="D8410" s="30">
        <v>2883.3389795943085</v>
      </c>
    </row>
    <row r="8411" spans="2:4">
      <c r="B8411" t="s">
        <v>10437</v>
      </c>
      <c r="C8411" s="46">
        <v>1</v>
      </c>
      <c r="D8411" s="30">
        <v>1466.8756222308862</v>
      </c>
    </row>
    <row r="8412" spans="2:4">
      <c r="B8412" t="s">
        <v>10438</v>
      </c>
      <c r="C8412" s="46">
        <v>1</v>
      </c>
      <c r="D8412" s="30">
        <v>1658.4034178808135</v>
      </c>
    </row>
    <row r="8413" spans="2:4">
      <c r="B8413" t="s">
        <v>10439</v>
      </c>
      <c r="C8413" s="46">
        <v>1</v>
      </c>
      <c r="D8413" s="30">
        <v>653.30811987314291</v>
      </c>
    </row>
    <row r="8414" spans="2:4">
      <c r="B8414" t="s">
        <v>10440</v>
      </c>
      <c r="C8414" s="46">
        <v>1</v>
      </c>
      <c r="D8414" s="30">
        <v>11911.404667026787</v>
      </c>
    </row>
    <row r="8415" spans="2:4">
      <c r="B8415" t="s">
        <v>10441</v>
      </c>
      <c r="C8415" s="46">
        <v>1</v>
      </c>
      <c r="D8415" s="30">
        <v>2834.0013342391567</v>
      </c>
    </row>
    <row r="8416" spans="2:4">
      <c r="B8416" t="s">
        <v>10442</v>
      </c>
      <c r="C8416" s="46">
        <v>1</v>
      </c>
      <c r="D8416" s="30">
        <v>2231.0521249885387</v>
      </c>
    </row>
    <row r="8417" spans="2:4">
      <c r="B8417" t="s">
        <v>10443</v>
      </c>
      <c r="C8417" s="46">
        <v>1</v>
      </c>
      <c r="D8417" s="30">
        <v>653.30811987314291</v>
      </c>
    </row>
    <row r="8418" spans="2:4">
      <c r="B8418" t="s">
        <v>10444</v>
      </c>
      <c r="C8418" s="46">
        <v>1</v>
      </c>
      <c r="D8418" s="30">
        <v>2883.6121722238527</v>
      </c>
    </row>
    <row r="8419" spans="2:4">
      <c r="B8419" t="s">
        <v>10445</v>
      </c>
      <c r="C8419" s="46">
        <v>1</v>
      </c>
      <c r="D8419" s="30">
        <v>2862.5930433339859</v>
      </c>
    </row>
    <row r="8420" spans="2:4">
      <c r="B8420" t="s">
        <v>10446</v>
      </c>
      <c r="C8420" s="46">
        <v>1</v>
      </c>
      <c r="D8420" s="30">
        <v>2995.4455508582218</v>
      </c>
    </row>
    <row r="8421" spans="2:4">
      <c r="B8421" t="s">
        <v>10447</v>
      </c>
      <c r="C8421" s="46">
        <v>1</v>
      </c>
      <c r="D8421" s="30">
        <v>2995.4455508582218</v>
      </c>
    </row>
    <row r="8422" spans="2:4">
      <c r="B8422" t="s">
        <v>10448</v>
      </c>
      <c r="C8422" s="46">
        <v>1</v>
      </c>
      <c r="D8422" s="30">
        <v>2091.6383317274881</v>
      </c>
    </row>
    <row r="8423" spans="2:4">
      <c r="B8423" t="s">
        <v>10449</v>
      </c>
      <c r="C8423" s="46">
        <v>1</v>
      </c>
      <c r="D8423" s="30">
        <v>2995.4455508582218</v>
      </c>
    </row>
    <row r="8424" spans="2:4">
      <c r="B8424" t="s">
        <v>10450</v>
      </c>
      <c r="C8424" s="46">
        <v>1</v>
      </c>
      <c r="D8424" s="30">
        <v>1406.9381223839896</v>
      </c>
    </row>
    <row r="8425" spans="2:4">
      <c r="B8425" t="s">
        <v>10451</v>
      </c>
      <c r="C8425" s="46">
        <v>1</v>
      </c>
      <c r="D8425" s="30">
        <v>2602.7689057216458</v>
      </c>
    </row>
    <row r="8426" spans="2:4">
      <c r="B8426" t="s">
        <v>10452</v>
      </c>
      <c r="C8426" s="46">
        <v>1</v>
      </c>
      <c r="D8426" s="30">
        <v>1839.2190083187118</v>
      </c>
    </row>
    <row r="8427" spans="2:4">
      <c r="B8427" t="s">
        <v>10453</v>
      </c>
      <c r="C8427" s="46">
        <v>1</v>
      </c>
      <c r="D8427" s="30">
        <v>2881.0532283602279</v>
      </c>
    </row>
    <row r="8428" spans="2:4">
      <c r="B8428" t="s">
        <v>10454</v>
      </c>
      <c r="C8428" s="46">
        <v>1</v>
      </c>
      <c r="D8428" s="30">
        <v>5409.0121547238305</v>
      </c>
    </row>
    <row r="8429" spans="2:4">
      <c r="B8429" t="s">
        <v>10455</v>
      </c>
      <c r="C8429" s="46">
        <v>1</v>
      </c>
      <c r="D8429" s="30">
        <v>2682.9636154627215</v>
      </c>
    </row>
    <row r="8430" spans="2:4">
      <c r="B8430" t="s">
        <v>10456</v>
      </c>
      <c r="C8430" s="46">
        <v>1</v>
      </c>
      <c r="D8430" s="30">
        <v>2876.8157104906477</v>
      </c>
    </row>
    <row r="8431" spans="2:4">
      <c r="B8431" t="s">
        <v>10457</v>
      </c>
      <c r="C8431" s="46">
        <v>1</v>
      </c>
      <c r="D8431" s="30">
        <v>2737.1461958036043</v>
      </c>
    </row>
    <row r="8432" spans="2:4">
      <c r="B8432" t="s">
        <v>10458</v>
      </c>
      <c r="C8432" s="46">
        <v>1</v>
      </c>
      <c r="D8432" s="30">
        <v>32658.87039802608</v>
      </c>
    </row>
    <row r="8433" spans="2:4">
      <c r="B8433" t="s">
        <v>10459</v>
      </c>
      <c r="C8433" s="46">
        <v>1</v>
      </c>
      <c r="D8433" s="30">
        <v>2667.1783115278558</v>
      </c>
    </row>
    <row r="8434" spans="2:4">
      <c r="B8434" t="s">
        <v>10460</v>
      </c>
      <c r="C8434" s="46">
        <v>1</v>
      </c>
      <c r="D8434" s="30">
        <v>2768.0861394556377</v>
      </c>
    </row>
    <row r="8435" spans="2:4">
      <c r="B8435" t="s">
        <v>10461</v>
      </c>
      <c r="C8435" s="46">
        <v>1</v>
      </c>
      <c r="D8435" s="30">
        <v>1689.5791185305841</v>
      </c>
    </row>
    <row r="8436" spans="2:4">
      <c r="B8436" t="s">
        <v>10462</v>
      </c>
      <c r="C8436" s="46">
        <v>1</v>
      </c>
      <c r="D8436" s="30">
        <v>1839.2190083187118</v>
      </c>
    </row>
    <row r="8437" spans="2:4">
      <c r="B8437" t="s">
        <v>10463</v>
      </c>
      <c r="C8437" s="46">
        <v>1</v>
      </c>
      <c r="D8437" s="30">
        <v>2821.0136872636513</v>
      </c>
    </row>
    <row r="8438" spans="2:4">
      <c r="B8438" t="s">
        <v>10464</v>
      </c>
      <c r="C8438" s="46">
        <v>1</v>
      </c>
      <c r="D8438" s="30">
        <v>2884.0245131798015</v>
      </c>
    </row>
    <row r="8439" spans="2:4">
      <c r="B8439" t="s">
        <v>10465</v>
      </c>
      <c r="C8439" s="46">
        <v>1</v>
      </c>
      <c r="D8439" s="30">
        <v>2873.1300939403982</v>
      </c>
    </row>
    <row r="8440" spans="2:4">
      <c r="B8440" t="s">
        <v>10466</v>
      </c>
      <c r="C8440" s="46">
        <v>1</v>
      </c>
      <c r="D8440" s="30">
        <v>25111.447624084984</v>
      </c>
    </row>
    <row r="8441" spans="2:4">
      <c r="B8441" t="s">
        <v>10467</v>
      </c>
      <c r="C8441" s="46">
        <v>1</v>
      </c>
      <c r="D8441" s="30">
        <v>2640.9838881358178</v>
      </c>
    </row>
    <row r="8442" spans="2:4">
      <c r="B8442" t="s">
        <v>10468</v>
      </c>
      <c r="C8442" s="46">
        <v>1</v>
      </c>
      <c r="D8442" s="30">
        <v>2073.2731042846776</v>
      </c>
    </row>
    <row r="8443" spans="2:4">
      <c r="B8443" t="s">
        <v>10469</v>
      </c>
      <c r="C8443" s="46">
        <v>1</v>
      </c>
      <c r="D8443" s="30">
        <v>2250.9432837095083</v>
      </c>
    </row>
    <row r="8444" spans="2:4">
      <c r="B8444" t="s">
        <v>10470</v>
      </c>
      <c r="C8444" s="46">
        <v>1</v>
      </c>
      <c r="D8444" s="30">
        <v>2525.4225474928635</v>
      </c>
    </row>
    <row r="8445" spans="2:4">
      <c r="B8445" t="s">
        <v>10471</v>
      </c>
      <c r="C8445" s="46">
        <v>1</v>
      </c>
      <c r="D8445" s="30">
        <v>2460.825452544158</v>
      </c>
    </row>
    <row r="8446" spans="2:4">
      <c r="B8446" t="s">
        <v>10472</v>
      </c>
      <c r="C8446" s="46">
        <v>1</v>
      </c>
      <c r="D8446" s="30">
        <v>2695.8212866949398</v>
      </c>
    </row>
    <row r="8447" spans="2:4">
      <c r="B8447" t="s">
        <v>10473</v>
      </c>
      <c r="C8447" s="46">
        <v>1</v>
      </c>
      <c r="D8447" s="30">
        <v>1932.5640710737591</v>
      </c>
    </row>
    <row r="8448" spans="2:4">
      <c r="B8448" t="s">
        <v>10474</v>
      </c>
      <c r="C8448" s="46">
        <v>1</v>
      </c>
      <c r="D8448" s="30">
        <v>2426.4874104594419</v>
      </c>
    </row>
    <row r="8449" spans="2:4">
      <c r="B8449" t="s">
        <v>10475</v>
      </c>
      <c r="C8449" s="46">
        <v>1</v>
      </c>
      <c r="D8449" s="30">
        <v>1914.9723398705537</v>
      </c>
    </row>
    <row r="8450" spans="2:4">
      <c r="B8450" t="s">
        <v>10476</v>
      </c>
      <c r="C8450" s="46">
        <v>1</v>
      </c>
      <c r="D8450" s="30">
        <v>1914.9723398705537</v>
      </c>
    </row>
    <row r="8451" spans="2:4">
      <c r="B8451" t="s">
        <v>10477</v>
      </c>
      <c r="C8451" s="46">
        <v>2</v>
      </c>
      <c r="D8451" s="30">
        <v>21618.067181649585</v>
      </c>
    </row>
    <row r="8452" spans="2:4">
      <c r="B8452" t="s">
        <v>10478</v>
      </c>
      <c r="C8452" s="46">
        <v>1</v>
      </c>
      <c r="D8452" s="30">
        <v>2643.3085291748007</v>
      </c>
    </row>
    <row r="8453" spans="2:4">
      <c r="B8453" t="s">
        <v>10479</v>
      </c>
      <c r="C8453" s="46">
        <v>1</v>
      </c>
      <c r="D8453" s="30">
        <v>1914.9723398705537</v>
      </c>
    </row>
    <row r="8454" spans="2:4">
      <c r="B8454" t="s">
        <v>10480</v>
      </c>
      <c r="C8454" s="46">
        <v>1</v>
      </c>
      <c r="D8454" s="30">
        <v>2250.9432837095083</v>
      </c>
    </row>
    <row r="8455" spans="2:4">
      <c r="B8455" t="s">
        <v>10481</v>
      </c>
      <c r="C8455" s="46">
        <v>1</v>
      </c>
      <c r="D8455" s="30">
        <v>2091.6383317274881</v>
      </c>
    </row>
    <row r="8456" spans="2:4">
      <c r="B8456" t="s">
        <v>10482</v>
      </c>
      <c r="C8456" s="46">
        <v>1</v>
      </c>
      <c r="D8456" s="30">
        <v>489.38256927530347</v>
      </c>
    </row>
    <row r="8457" spans="2:4">
      <c r="B8457" t="s">
        <v>10483</v>
      </c>
      <c r="C8457" s="46">
        <v>1</v>
      </c>
      <c r="D8457" s="30">
        <v>2250.9432837095083</v>
      </c>
    </row>
    <row r="8458" spans="2:4">
      <c r="B8458" t="s">
        <v>10484</v>
      </c>
      <c r="C8458" s="46">
        <v>1</v>
      </c>
      <c r="D8458" s="30">
        <v>2617.6446115676808</v>
      </c>
    </row>
    <row r="8459" spans="2:4">
      <c r="B8459" t="s">
        <v>10485</v>
      </c>
      <c r="C8459" s="46">
        <v>1</v>
      </c>
      <c r="D8459" s="30">
        <v>2250.9432837095083</v>
      </c>
    </row>
    <row r="8460" spans="2:4">
      <c r="B8460" t="s">
        <v>10486</v>
      </c>
      <c r="C8460" s="46">
        <v>1</v>
      </c>
      <c r="D8460" s="30">
        <v>2474.9301984273484</v>
      </c>
    </row>
    <row r="8461" spans="2:4">
      <c r="B8461" t="s">
        <v>10487</v>
      </c>
      <c r="C8461" s="46">
        <v>1</v>
      </c>
      <c r="D8461" s="30">
        <v>2250.9432837095083</v>
      </c>
    </row>
    <row r="8462" spans="2:4">
      <c r="B8462" t="s">
        <v>10488</v>
      </c>
      <c r="C8462" s="46">
        <v>1</v>
      </c>
      <c r="D8462" s="30">
        <v>2500.1485962456327</v>
      </c>
    </row>
    <row r="8463" spans="2:4">
      <c r="B8463" t="s">
        <v>10489</v>
      </c>
      <c r="C8463" s="46">
        <v>1</v>
      </c>
      <c r="D8463" s="30">
        <v>2250.9432837095083</v>
      </c>
    </row>
    <row r="8464" spans="2:4">
      <c r="B8464" t="s">
        <v>10490</v>
      </c>
      <c r="C8464" s="46">
        <v>1</v>
      </c>
      <c r="D8464" s="30">
        <v>2722.5300001269875</v>
      </c>
    </row>
    <row r="8465" spans="2:4">
      <c r="B8465" t="s">
        <v>10491</v>
      </c>
      <c r="C8465" s="46">
        <v>1</v>
      </c>
      <c r="D8465" s="30">
        <v>2384.8710481862422</v>
      </c>
    </row>
    <row r="8466" spans="2:4">
      <c r="B8466" t="s">
        <v>10492</v>
      </c>
      <c r="C8466" s="46">
        <v>1</v>
      </c>
      <c r="D8466" s="30">
        <v>2250.9432837095083</v>
      </c>
    </row>
    <row r="8467" spans="2:4">
      <c r="B8467" t="s">
        <v>10493</v>
      </c>
      <c r="C8467" s="46">
        <v>1</v>
      </c>
      <c r="D8467" s="30">
        <v>4213.9814658277064</v>
      </c>
    </row>
    <row r="8468" spans="2:4">
      <c r="B8468" t="s">
        <v>10494</v>
      </c>
      <c r="C8468" s="46">
        <v>1</v>
      </c>
      <c r="D8468" s="30">
        <v>5409.0121547238305</v>
      </c>
    </row>
    <row r="8469" spans="2:4">
      <c r="B8469" t="s">
        <v>10495</v>
      </c>
      <c r="C8469" s="46">
        <v>1</v>
      </c>
      <c r="D8469" s="30">
        <v>2250.9432837095083</v>
      </c>
    </row>
    <row r="8470" spans="2:4">
      <c r="B8470" t="s">
        <v>10496</v>
      </c>
      <c r="C8470" s="46">
        <v>1</v>
      </c>
      <c r="D8470" s="30">
        <v>2111.3556746312429</v>
      </c>
    </row>
    <row r="8471" spans="2:4">
      <c r="B8471" t="s">
        <v>10497</v>
      </c>
      <c r="C8471" s="46">
        <v>1</v>
      </c>
      <c r="D8471" s="30">
        <v>2829.5605865649595</v>
      </c>
    </row>
    <row r="8472" spans="2:4">
      <c r="B8472" t="s">
        <v>10498</v>
      </c>
      <c r="C8472" s="46">
        <v>1</v>
      </c>
      <c r="D8472" s="30">
        <v>1702.8368921779827</v>
      </c>
    </row>
    <row r="8473" spans="2:4">
      <c r="B8473" t="s">
        <v>10499</v>
      </c>
      <c r="C8473" s="46">
        <v>1</v>
      </c>
      <c r="D8473" s="30">
        <v>4213.9814658277064</v>
      </c>
    </row>
    <row r="8474" spans="2:4">
      <c r="B8474" t="s">
        <v>10500</v>
      </c>
      <c r="C8474" s="46">
        <v>1</v>
      </c>
      <c r="D8474" s="30">
        <v>14651.262515274124</v>
      </c>
    </row>
    <row r="8475" spans="2:4">
      <c r="B8475" t="s">
        <v>10501</v>
      </c>
      <c r="C8475" s="46">
        <v>1</v>
      </c>
      <c r="D8475" s="30">
        <v>1729.3448320552682</v>
      </c>
    </row>
    <row r="8476" spans="2:4">
      <c r="B8476" t="s">
        <v>10502</v>
      </c>
      <c r="C8476" s="46">
        <v>1</v>
      </c>
      <c r="D8476" s="30">
        <v>2944.3271259632579</v>
      </c>
    </row>
    <row r="8477" spans="2:4">
      <c r="B8477" t="s">
        <v>10503</v>
      </c>
      <c r="C8477" s="46">
        <v>1</v>
      </c>
      <c r="D8477" s="30">
        <v>2883.3389795943085</v>
      </c>
    </row>
    <row r="8478" spans="2:4">
      <c r="B8478" t="s">
        <v>10504</v>
      </c>
      <c r="C8478" s="46">
        <v>1</v>
      </c>
      <c r="D8478" s="30">
        <v>32658.87039802608</v>
      </c>
    </row>
    <row r="8479" spans="2:4">
      <c r="B8479" t="s">
        <v>10505</v>
      </c>
      <c r="C8479" s="46">
        <v>1</v>
      </c>
      <c r="D8479" s="30">
        <v>1702.8368921779827</v>
      </c>
    </row>
    <row r="8480" spans="2:4">
      <c r="B8480" t="s">
        <v>10506</v>
      </c>
      <c r="C8480" s="46">
        <v>1</v>
      </c>
      <c r="D8480" s="30">
        <v>896.15567336506854</v>
      </c>
    </row>
    <row r="8481" spans="2:4">
      <c r="B8481" t="s">
        <v>10507</v>
      </c>
      <c r="C8481" s="46">
        <v>1</v>
      </c>
      <c r="D8481" s="30">
        <v>1492.140258494125</v>
      </c>
    </row>
    <row r="8482" spans="2:4">
      <c r="B8482" t="s">
        <v>10508</v>
      </c>
      <c r="C8482" s="46">
        <v>1</v>
      </c>
      <c r="D8482" s="30">
        <v>1932.02422608497</v>
      </c>
    </row>
    <row r="8483" spans="2:4">
      <c r="B8483" t="s">
        <v>10509</v>
      </c>
      <c r="C8483" s="46">
        <v>1</v>
      </c>
      <c r="D8483" s="30">
        <v>2883.8867259910162</v>
      </c>
    </row>
    <row r="8484" spans="2:4">
      <c r="B8484" t="s">
        <v>10510</v>
      </c>
      <c r="C8484" s="46">
        <v>1</v>
      </c>
      <c r="D8484" s="30">
        <v>3248.68770165571</v>
      </c>
    </row>
    <row r="8485" spans="2:4">
      <c r="B8485" t="s">
        <v>10511</v>
      </c>
      <c r="C8485" s="46">
        <v>1</v>
      </c>
      <c r="D8485" s="30">
        <v>1214.6013959397826</v>
      </c>
    </row>
    <row r="8486" spans="2:4">
      <c r="B8486" t="s">
        <v>10512</v>
      </c>
      <c r="C8486" s="46">
        <v>1</v>
      </c>
      <c r="D8486" s="30">
        <v>1274.9468591933389</v>
      </c>
    </row>
    <row r="8487" spans="2:4">
      <c r="B8487" t="s">
        <v>10513</v>
      </c>
      <c r="C8487" s="46">
        <v>1</v>
      </c>
      <c r="D8487" s="30">
        <v>457.37102681690885</v>
      </c>
    </row>
    <row r="8488" spans="2:4">
      <c r="B8488" t="s">
        <v>10514</v>
      </c>
      <c r="C8488" s="46">
        <v>1</v>
      </c>
      <c r="D8488" s="30">
        <v>896.15567336506854</v>
      </c>
    </row>
    <row r="8489" spans="2:4">
      <c r="B8489" t="s">
        <v>10515</v>
      </c>
      <c r="C8489" s="46">
        <v>1</v>
      </c>
      <c r="D8489" s="30">
        <v>3248.68770165571</v>
      </c>
    </row>
    <row r="8490" spans="2:4">
      <c r="B8490" t="s">
        <v>10516</v>
      </c>
      <c r="C8490" s="46">
        <v>1</v>
      </c>
      <c r="D8490" s="30">
        <v>2457.6836938070755</v>
      </c>
    </row>
    <row r="8491" spans="2:4">
      <c r="B8491" t="s">
        <v>10517</v>
      </c>
      <c r="C8491" s="46">
        <v>1</v>
      </c>
      <c r="D8491" s="30">
        <v>5409.0121547238305</v>
      </c>
    </row>
    <row r="8492" spans="2:4">
      <c r="B8492" t="s">
        <v>10518</v>
      </c>
      <c r="C8492" s="46">
        <v>1</v>
      </c>
      <c r="D8492" s="30">
        <v>584.92611628741827</v>
      </c>
    </row>
    <row r="8493" spans="2:4">
      <c r="B8493" t="s">
        <v>10519</v>
      </c>
      <c r="C8493" s="46">
        <v>1</v>
      </c>
      <c r="D8493" s="30">
        <v>2135.6477907495491</v>
      </c>
    </row>
    <row r="8494" spans="2:4">
      <c r="B8494" t="s">
        <v>10520</v>
      </c>
      <c r="C8494" s="46">
        <v>1</v>
      </c>
      <c r="D8494" s="30">
        <v>2662.1964514395067</v>
      </c>
    </row>
    <row r="8495" spans="2:4">
      <c r="B8495" t="s">
        <v>10521</v>
      </c>
      <c r="C8495" s="46">
        <v>1</v>
      </c>
      <c r="D8495" s="30">
        <v>1406.9381223839896</v>
      </c>
    </row>
    <row r="8496" spans="2:4">
      <c r="B8496" t="s">
        <v>10522</v>
      </c>
      <c r="C8496" s="46">
        <v>1</v>
      </c>
      <c r="D8496" s="30">
        <v>2771.862488821364</v>
      </c>
    </row>
    <row r="8497" spans="2:4">
      <c r="B8497" t="s">
        <v>10523</v>
      </c>
      <c r="C8497" s="46">
        <v>1</v>
      </c>
      <c r="D8497" s="30">
        <v>7351.7942256515935</v>
      </c>
    </row>
    <row r="8498" spans="2:4">
      <c r="B8498" t="s">
        <v>10524</v>
      </c>
      <c r="C8498" s="46">
        <v>1</v>
      </c>
      <c r="D8498" s="30">
        <v>2873.1300939403982</v>
      </c>
    </row>
    <row r="8499" spans="2:4">
      <c r="B8499" t="s">
        <v>10525</v>
      </c>
      <c r="C8499" s="46">
        <v>1</v>
      </c>
      <c r="D8499" s="30">
        <v>2423.7267264939792</v>
      </c>
    </row>
    <row r="8500" spans="2:4">
      <c r="B8500" t="s">
        <v>10526</v>
      </c>
      <c r="C8500" s="46">
        <v>1</v>
      </c>
      <c r="D8500" s="30">
        <v>2013.1550874139716</v>
      </c>
    </row>
    <row r="8501" spans="2:4">
      <c r="B8501" t="s">
        <v>10527</v>
      </c>
      <c r="C8501" s="46">
        <v>2</v>
      </c>
      <c r="D8501" s="30">
        <v>21618.067181649585</v>
      </c>
    </row>
    <row r="8502" spans="2:4">
      <c r="B8502" t="s">
        <v>10528</v>
      </c>
      <c r="C8502" s="46">
        <v>1</v>
      </c>
      <c r="D8502" s="30">
        <v>1828.808162779226</v>
      </c>
    </row>
    <row r="8503" spans="2:4">
      <c r="B8503" t="s">
        <v>10529</v>
      </c>
      <c r="C8503" s="46">
        <v>1</v>
      </c>
      <c r="D8503" s="30">
        <v>2841.7678873611862</v>
      </c>
    </row>
    <row r="8504" spans="2:4">
      <c r="B8504" t="s">
        <v>10530</v>
      </c>
      <c r="C8504" s="46">
        <v>1</v>
      </c>
      <c r="D8504" s="30">
        <v>2883.0340782983517</v>
      </c>
    </row>
    <row r="8505" spans="2:4">
      <c r="B8505" t="s">
        <v>10531</v>
      </c>
      <c r="C8505" s="46">
        <v>1</v>
      </c>
      <c r="D8505" s="30">
        <v>1214.4751943056704</v>
      </c>
    </row>
    <row r="8506" spans="2:4">
      <c r="B8506" t="s">
        <v>10532</v>
      </c>
      <c r="C8506" s="46">
        <v>1</v>
      </c>
      <c r="D8506" s="30">
        <v>784.98409722052975</v>
      </c>
    </row>
    <row r="8507" spans="2:4">
      <c r="B8507" t="s">
        <v>10533</v>
      </c>
      <c r="C8507" s="46">
        <v>1</v>
      </c>
      <c r="D8507" s="30">
        <v>3477.6031628234864</v>
      </c>
    </row>
    <row r="8508" spans="2:4">
      <c r="B8508" t="s">
        <v>10534</v>
      </c>
      <c r="C8508" s="46">
        <v>1</v>
      </c>
      <c r="D8508" s="30">
        <v>2873.1300939403982</v>
      </c>
    </row>
    <row r="8509" spans="2:4">
      <c r="B8509" t="s">
        <v>10535</v>
      </c>
      <c r="C8509" s="46">
        <v>1</v>
      </c>
      <c r="D8509" s="30">
        <v>1815.495389427962</v>
      </c>
    </row>
    <row r="8510" spans="2:4">
      <c r="B8510" t="s">
        <v>10536</v>
      </c>
      <c r="C8510" s="46">
        <v>1</v>
      </c>
      <c r="D8510" s="30">
        <v>2787.1707905533153</v>
      </c>
    </row>
    <row r="8511" spans="2:4">
      <c r="B8511" t="s">
        <v>10537</v>
      </c>
      <c r="C8511" s="46">
        <v>1</v>
      </c>
      <c r="D8511" s="30">
        <v>1274.9468591933389</v>
      </c>
    </row>
    <row r="8512" spans="2:4">
      <c r="B8512" t="s">
        <v>10538</v>
      </c>
      <c r="C8512" s="46">
        <v>1</v>
      </c>
      <c r="D8512" s="30">
        <v>918.08716805993379</v>
      </c>
    </row>
    <row r="8513" spans="2:4">
      <c r="B8513" t="s">
        <v>10539</v>
      </c>
      <c r="C8513" s="46">
        <v>1</v>
      </c>
      <c r="D8513" s="30">
        <v>32658.87039802608</v>
      </c>
    </row>
    <row r="8514" spans="2:4">
      <c r="B8514" t="s">
        <v>10540</v>
      </c>
      <c r="C8514" s="46">
        <v>1</v>
      </c>
      <c r="D8514" s="30">
        <v>1274.9468591933389</v>
      </c>
    </row>
    <row r="8515" spans="2:4">
      <c r="B8515" t="s">
        <v>10541</v>
      </c>
      <c r="C8515" s="46">
        <v>1</v>
      </c>
      <c r="D8515" s="30">
        <v>1274.9468591933389</v>
      </c>
    </row>
    <row r="8516" spans="2:4">
      <c r="B8516" t="s">
        <v>10542</v>
      </c>
      <c r="C8516" s="46">
        <v>1</v>
      </c>
      <c r="D8516" s="30">
        <v>4267.9450767233675</v>
      </c>
    </row>
    <row r="8517" spans="2:4">
      <c r="B8517" t="s">
        <v>10543</v>
      </c>
      <c r="C8517" s="46">
        <v>1</v>
      </c>
      <c r="D8517" s="30">
        <v>2873.1300939403982</v>
      </c>
    </row>
    <row r="8518" spans="2:4">
      <c r="B8518" t="s">
        <v>10544</v>
      </c>
      <c r="C8518" s="46">
        <v>1</v>
      </c>
      <c r="D8518" s="30">
        <v>2882.8962437720188</v>
      </c>
    </row>
    <row r="8519" spans="2:4">
      <c r="B8519" t="s">
        <v>10545</v>
      </c>
      <c r="C8519" s="46">
        <v>1</v>
      </c>
      <c r="D8519" s="30">
        <v>2133.1266866560618</v>
      </c>
    </row>
    <row r="8520" spans="2:4">
      <c r="B8520" t="s">
        <v>10546</v>
      </c>
      <c r="C8520" s="46">
        <v>1</v>
      </c>
      <c r="D8520" s="30">
        <v>2834.5109971569473</v>
      </c>
    </row>
    <row r="8521" spans="2:4">
      <c r="B8521" t="s">
        <v>10547</v>
      </c>
      <c r="C8521" s="46">
        <v>1</v>
      </c>
      <c r="D8521" s="30">
        <v>32658.87039802608</v>
      </c>
    </row>
    <row r="8522" spans="2:4">
      <c r="B8522" t="s">
        <v>10548</v>
      </c>
      <c r="C8522" s="46">
        <v>1</v>
      </c>
      <c r="D8522" s="30">
        <v>2791.9432417819517</v>
      </c>
    </row>
    <row r="8523" spans="2:4">
      <c r="B8523" t="s">
        <v>10549</v>
      </c>
      <c r="C8523" s="46">
        <v>2</v>
      </c>
      <c r="D8523" s="30">
        <v>36096.207010421102</v>
      </c>
    </row>
    <row r="8524" spans="2:4">
      <c r="B8524" t="s">
        <v>10550</v>
      </c>
      <c r="C8524" s="46">
        <v>1</v>
      </c>
      <c r="D8524" s="30">
        <v>2327.8114101714236</v>
      </c>
    </row>
    <row r="8525" spans="2:4">
      <c r="B8525" t="s">
        <v>10551</v>
      </c>
      <c r="C8525" s="46">
        <v>1</v>
      </c>
      <c r="D8525" s="30">
        <v>2840.3118182134617</v>
      </c>
    </row>
    <row r="8526" spans="2:4">
      <c r="B8526" t="s">
        <v>10552</v>
      </c>
      <c r="C8526" s="46">
        <v>1</v>
      </c>
      <c r="D8526" s="30">
        <v>1986.8551362662233</v>
      </c>
    </row>
    <row r="8527" spans="2:4">
      <c r="B8527" t="s">
        <v>10553</v>
      </c>
      <c r="C8527" s="46">
        <v>1</v>
      </c>
      <c r="D8527" s="30">
        <v>2498.1739753916809</v>
      </c>
    </row>
    <row r="8528" spans="2:4">
      <c r="B8528" t="s">
        <v>10554</v>
      </c>
      <c r="C8528" s="46">
        <v>1</v>
      </c>
      <c r="D8528" s="30">
        <v>5409.0121547238305</v>
      </c>
    </row>
    <row r="8529" spans="2:4">
      <c r="B8529" t="s">
        <v>10555</v>
      </c>
      <c r="C8529" s="46">
        <v>1</v>
      </c>
      <c r="D8529" s="30">
        <v>2132.7001191345048</v>
      </c>
    </row>
    <row r="8530" spans="2:4">
      <c r="B8530" t="s">
        <v>10556</v>
      </c>
      <c r="C8530" s="46">
        <v>1</v>
      </c>
      <c r="D8530" s="30">
        <v>4213.9814658277064</v>
      </c>
    </row>
    <row r="8531" spans="2:4">
      <c r="B8531" t="s">
        <v>10557</v>
      </c>
      <c r="C8531" s="46">
        <v>1</v>
      </c>
      <c r="D8531" s="30">
        <v>32658.87039802608</v>
      </c>
    </row>
    <row r="8532" spans="2:4">
      <c r="B8532" t="s">
        <v>10558</v>
      </c>
      <c r="C8532" s="46">
        <v>1</v>
      </c>
      <c r="D8532" s="30">
        <v>2879.0724049006062</v>
      </c>
    </row>
    <row r="8533" spans="2:4">
      <c r="B8533" t="s">
        <v>10559</v>
      </c>
      <c r="C8533" s="46">
        <v>1</v>
      </c>
      <c r="D8533" s="30">
        <v>20116.31916202138</v>
      </c>
    </row>
    <row r="8534" spans="2:4">
      <c r="B8534" t="s">
        <v>10560</v>
      </c>
      <c r="C8534" s="46">
        <v>1</v>
      </c>
      <c r="D8534" s="30">
        <v>2995.4455508582218</v>
      </c>
    </row>
    <row r="8535" spans="2:4">
      <c r="B8535" t="s">
        <v>10561</v>
      </c>
      <c r="C8535" s="46">
        <v>1</v>
      </c>
      <c r="D8535" s="30">
        <v>2995.4455508582218</v>
      </c>
    </row>
    <row r="8536" spans="2:4">
      <c r="B8536" t="s">
        <v>10562</v>
      </c>
      <c r="C8536" s="46">
        <v>1</v>
      </c>
      <c r="D8536" s="30">
        <v>2995.4455508582218</v>
      </c>
    </row>
    <row r="8537" spans="2:4">
      <c r="B8537" t="s">
        <v>10563</v>
      </c>
      <c r="C8537" s="46">
        <v>1</v>
      </c>
      <c r="D8537" s="30">
        <v>2995.4455508582218</v>
      </c>
    </row>
    <row r="8538" spans="2:4">
      <c r="B8538" t="s">
        <v>10564</v>
      </c>
      <c r="C8538" s="46">
        <v>1</v>
      </c>
      <c r="D8538" s="30">
        <v>1901.6335561154026</v>
      </c>
    </row>
    <row r="8539" spans="2:4">
      <c r="B8539" t="s">
        <v>10565</v>
      </c>
      <c r="C8539" s="46">
        <v>1</v>
      </c>
      <c r="D8539" s="30">
        <v>2174.5991212710142</v>
      </c>
    </row>
    <row r="8540" spans="2:4">
      <c r="B8540" t="s">
        <v>10566</v>
      </c>
      <c r="C8540" s="46">
        <v>2</v>
      </c>
      <c r="D8540" s="30">
        <v>21618.067181649585</v>
      </c>
    </row>
    <row r="8541" spans="2:4">
      <c r="B8541" t="s">
        <v>10567</v>
      </c>
      <c r="C8541" s="46">
        <v>1</v>
      </c>
      <c r="D8541" s="30">
        <v>1763.0752402910421</v>
      </c>
    </row>
    <row r="8542" spans="2:4">
      <c r="B8542" t="s">
        <v>10568</v>
      </c>
      <c r="C8542" s="46">
        <v>1</v>
      </c>
      <c r="D8542" s="30">
        <v>2352.6418550143781</v>
      </c>
    </row>
    <row r="8543" spans="2:4">
      <c r="B8543" t="s">
        <v>10569</v>
      </c>
      <c r="C8543" s="46">
        <v>1</v>
      </c>
      <c r="D8543" s="30">
        <v>2799.8618239603979</v>
      </c>
    </row>
    <row r="8544" spans="2:4">
      <c r="B8544" t="s">
        <v>10570</v>
      </c>
      <c r="C8544" s="46">
        <v>1</v>
      </c>
      <c r="D8544" s="30">
        <v>1929.4141876011568</v>
      </c>
    </row>
    <row r="8545" spans="2:4">
      <c r="B8545" t="s">
        <v>10571</v>
      </c>
      <c r="C8545" s="46">
        <v>1</v>
      </c>
      <c r="D8545" s="30">
        <v>32658.87039802608</v>
      </c>
    </row>
    <row r="8546" spans="2:4">
      <c r="B8546" t="s">
        <v>10572</v>
      </c>
      <c r="C8546" s="46">
        <v>1</v>
      </c>
      <c r="D8546" s="30">
        <v>2689.0455336653945</v>
      </c>
    </row>
    <row r="8547" spans="2:4">
      <c r="B8547" t="s">
        <v>10573</v>
      </c>
      <c r="C8547" s="46">
        <v>2</v>
      </c>
      <c r="D8547" s="30">
        <v>36096.207010421102</v>
      </c>
    </row>
    <row r="8548" spans="2:4">
      <c r="B8548" t="s">
        <v>10574</v>
      </c>
      <c r="C8548" s="46">
        <v>1</v>
      </c>
      <c r="D8548" s="30">
        <v>2725.6604297157364</v>
      </c>
    </row>
    <row r="8549" spans="2:4">
      <c r="B8549" t="s">
        <v>10575</v>
      </c>
      <c r="C8549" s="46">
        <v>1</v>
      </c>
      <c r="D8549" s="30">
        <v>2735.3954572782204</v>
      </c>
    </row>
    <row r="8550" spans="2:4">
      <c r="B8550" t="s">
        <v>10576</v>
      </c>
      <c r="C8550" s="46">
        <v>1</v>
      </c>
      <c r="D8550" s="30">
        <v>2944.3271259632579</v>
      </c>
    </row>
    <row r="8551" spans="2:4">
      <c r="B8551" t="s">
        <v>10577</v>
      </c>
      <c r="C8551" s="46">
        <v>1</v>
      </c>
      <c r="D8551" s="30">
        <v>2538.4114892596103</v>
      </c>
    </row>
    <row r="8552" spans="2:4">
      <c r="B8552" t="s">
        <v>10578</v>
      </c>
      <c r="C8552" s="46">
        <v>1</v>
      </c>
      <c r="D8552" s="30">
        <v>2324.5772769834484</v>
      </c>
    </row>
    <row r="8553" spans="2:4">
      <c r="B8553" t="s">
        <v>10579</v>
      </c>
      <c r="C8553" s="46">
        <v>1</v>
      </c>
      <c r="D8553" s="30">
        <v>2813.7204511400873</v>
      </c>
    </row>
    <row r="8554" spans="2:4">
      <c r="B8554" t="s">
        <v>10580</v>
      </c>
      <c r="C8554" s="46">
        <v>1</v>
      </c>
      <c r="D8554" s="30">
        <v>2796.750221421094</v>
      </c>
    </row>
    <row r="8555" spans="2:4">
      <c r="B8555" t="s">
        <v>10581</v>
      </c>
      <c r="C8555" s="46">
        <v>1</v>
      </c>
      <c r="D8555" s="30">
        <v>2790.9534516611966</v>
      </c>
    </row>
    <row r="8556" spans="2:4">
      <c r="B8556" t="s">
        <v>10582</v>
      </c>
      <c r="C8556" s="46">
        <v>1</v>
      </c>
      <c r="D8556" s="30">
        <v>1528.9420132352006</v>
      </c>
    </row>
    <row r="8557" spans="2:4">
      <c r="B8557" t="s">
        <v>10583</v>
      </c>
      <c r="C8557" s="46">
        <v>1</v>
      </c>
      <c r="D8557" s="30">
        <v>1831.1826264780648</v>
      </c>
    </row>
    <row r="8558" spans="2:4">
      <c r="B8558" t="s">
        <v>10584</v>
      </c>
      <c r="C8558" s="46">
        <v>1</v>
      </c>
      <c r="D8558" s="30">
        <v>2790.9534516611966</v>
      </c>
    </row>
    <row r="8559" spans="2:4">
      <c r="B8559" t="s">
        <v>10585</v>
      </c>
      <c r="C8559" s="46">
        <v>1</v>
      </c>
      <c r="D8559" s="30">
        <v>2797.8821349881973</v>
      </c>
    </row>
    <row r="8560" spans="2:4">
      <c r="B8560" t="s">
        <v>10586</v>
      </c>
      <c r="C8560" s="46">
        <v>1</v>
      </c>
      <c r="D8560" s="30">
        <v>2834.0013342391567</v>
      </c>
    </row>
    <row r="8561" spans="2:4">
      <c r="B8561" t="s">
        <v>10587</v>
      </c>
      <c r="C8561" s="46">
        <v>1</v>
      </c>
      <c r="D8561" s="30">
        <v>2790.9534516611966</v>
      </c>
    </row>
    <row r="8562" spans="2:4">
      <c r="B8562" t="s">
        <v>10588</v>
      </c>
      <c r="C8562" s="46">
        <v>1</v>
      </c>
      <c r="D8562" s="30">
        <v>2792.9330391766071</v>
      </c>
    </row>
    <row r="8563" spans="2:4">
      <c r="B8563" t="s">
        <v>10589</v>
      </c>
      <c r="C8563" s="46">
        <v>1</v>
      </c>
      <c r="D8563" s="30">
        <v>2863.2267770440917</v>
      </c>
    </row>
    <row r="8564" spans="2:4">
      <c r="B8564" t="s">
        <v>10590</v>
      </c>
      <c r="C8564" s="46">
        <v>1</v>
      </c>
      <c r="D8564" s="30">
        <v>14068.114902766145</v>
      </c>
    </row>
    <row r="8565" spans="2:4">
      <c r="B8565" t="s">
        <v>10591</v>
      </c>
      <c r="C8565" s="46">
        <v>1</v>
      </c>
      <c r="D8565" s="30">
        <v>2498.0592261579745</v>
      </c>
    </row>
    <row r="8566" spans="2:4">
      <c r="B8566" t="s">
        <v>10592</v>
      </c>
      <c r="C8566" s="46">
        <v>1</v>
      </c>
      <c r="D8566" s="30">
        <v>1274.9468591933389</v>
      </c>
    </row>
    <row r="8567" spans="2:4">
      <c r="B8567" t="s">
        <v>10593</v>
      </c>
      <c r="C8567" s="46">
        <v>1</v>
      </c>
      <c r="D8567" s="30">
        <v>32658.87039802608</v>
      </c>
    </row>
    <row r="8568" spans="2:4">
      <c r="B8568" t="s">
        <v>10594</v>
      </c>
      <c r="C8568" s="46">
        <v>1</v>
      </c>
      <c r="D8568" s="30">
        <v>2737.0813931864236</v>
      </c>
    </row>
    <row r="8569" spans="2:4">
      <c r="B8569" t="s">
        <v>10595</v>
      </c>
      <c r="C8569" s="46">
        <v>2</v>
      </c>
      <c r="D8569" s="30">
        <v>21618.067181649585</v>
      </c>
    </row>
    <row r="8570" spans="2:4">
      <c r="B8570" t="s">
        <v>10596</v>
      </c>
      <c r="C8570" s="46">
        <v>1</v>
      </c>
      <c r="D8570" s="30">
        <v>6324.0649448731137</v>
      </c>
    </row>
    <row r="8571" spans="2:4">
      <c r="B8571" t="s">
        <v>10597</v>
      </c>
      <c r="C8571" s="46">
        <v>1</v>
      </c>
      <c r="D8571" s="30">
        <v>2851.3436876100891</v>
      </c>
    </row>
    <row r="8572" spans="2:4">
      <c r="B8572" t="s">
        <v>10598</v>
      </c>
      <c r="C8572" s="46">
        <v>1</v>
      </c>
      <c r="D8572" s="30">
        <v>2118.5241109893655</v>
      </c>
    </row>
    <row r="8573" spans="2:4">
      <c r="B8573" t="s">
        <v>10599</v>
      </c>
      <c r="C8573" s="46">
        <v>1</v>
      </c>
      <c r="D8573" s="30">
        <v>2740.4839853078615</v>
      </c>
    </row>
    <row r="8574" spans="2:4">
      <c r="B8574" t="s">
        <v>10600</v>
      </c>
      <c r="C8574" s="46">
        <v>1</v>
      </c>
      <c r="D8574" s="30">
        <v>2883.0340782983517</v>
      </c>
    </row>
    <row r="8575" spans="2:4">
      <c r="B8575" t="s">
        <v>10601</v>
      </c>
      <c r="C8575" s="46">
        <v>1</v>
      </c>
      <c r="D8575" s="30">
        <v>2869.7446952480695</v>
      </c>
    </row>
    <row r="8576" spans="2:4">
      <c r="B8576" t="s">
        <v>10602</v>
      </c>
      <c r="C8576" s="46">
        <v>1</v>
      </c>
      <c r="D8576" s="30">
        <v>1702.8368921779827</v>
      </c>
    </row>
    <row r="8577" spans="2:4">
      <c r="B8577" t="s">
        <v>10603</v>
      </c>
      <c r="C8577" s="46">
        <v>1</v>
      </c>
      <c r="D8577" s="30">
        <v>2866.1977016178412</v>
      </c>
    </row>
    <row r="8578" spans="2:4">
      <c r="B8578" t="s">
        <v>10604</v>
      </c>
      <c r="C8578" s="46">
        <v>1</v>
      </c>
      <c r="D8578" s="30">
        <v>1323.0576709415323</v>
      </c>
    </row>
    <row r="8579" spans="2:4">
      <c r="B8579" t="s">
        <v>10605</v>
      </c>
      <c r="C8579" s="46">
        <v>1</v>
      </c>
      <c r="D8579" s="30">
        <v>14068.114902766145</v>
      </c>
    </row>
    <row r="8580" spans="2:4">
      <c r="B8580" t="s">
        <v>10606</v>
      </c>
      <c r="C8580" s="46">
        <v>1</v>
      </c>
      <c r="D8580" s="30">
        <v>2849.3632679757011</v>
      </c>
    </row>
    <row r="8581" spans="2:4">
      <c r="B8581" t="s">
        <v>10607</v>
      </c>
      <c r="C8581" s="46">
        <v>1</v>
      </c>
      <c r="D8581" s="30">
        <v>2127.0952009176781</v>
      </c>
    </row>
    <row r="8582" spans="2:4">
      <c r="B8582" t="s">
        <v>10608</v>
      </c>
      <c r="C8582" s="46">
        <v>1</v>
      </c>
      <c r="D8582" s="30">
        <v>32658.87039802608</v>
      </c>
    </row>
    <row r="8583" spans="2:4">
      <c r="B8583" t="s">
        <v>10609</v>
      </c>
      <c r="C8583" s="46">
        <v>1</v>
      </c>
      <c r="D8583" s="30">
        <v>2819.6602903750968</v>
      </c>
    </row>
    <row r="8584" spans="2:4">
      <c r="B8584" t="s">
        <v>10610</v>
      </c>
      <c r="C8584" s="46">
        <v>1</v>
      </c>
      <c r="D8584" s="30">
        <v>2127.0952009176781</v>
      </c>
    </row>
    <row r="8585" spans="2:4">
      <c r="B8585" t="s">
        <v>10611</v>
      </c>
      <c r="C8585" s="46">
        <v>1</v>
      </c>
      <c r="D8585" s="30">
        <v>322.66122437247577</v>
      </c>
    </row>
    <row r="8586" spans="2:4">
      <c r="B8586" t="s">
        <v>10612</v>
      </c>
      <c r="C8586" s="46">
        <v>1</v>
      </c>
      <c r="D8586" s="30">
        <v>2469.9898799642483</v>
      </c>
    </row>
    <row r="8587" spans="2:4">
      <c r="B8587" t="s">
        <v>10613</v>
      </c>
      <c r="C8587" s="46">
        <v>1</v>
      </c>
      <c r="D8587" s="30">
        <v>14068.114902766145</v>
      </c>
    </row>
    <row r="8588" spans="2:4">
      <c r="B8588" t="s">
        <v>10614</v>
      </c>
      <c r="C8588" s="46">
        <v>1</v>
      </c>
      <c r="D8588" s="30">
        <v>1214.4751943056704</v>
      </c>
    </row>
    <row r="8589" spans="2:4">
      <c r="B8589" t="s">
        <v>10615</v>
      </c>
      <c r="C8589" s="46">
        <v>1</v>
      </c>
      <c r="D8589" s="30">
        <v>2876.8157104906477</v>
      </c>
    </row>
    <row r="8590" spans="2:4">
      <c r="B8590" t="s">
        <v>10616</v>
      </c>
      <c r="C8590" s="46">
        <v>1</v>
      </c>
      <c r="D8590" s="30">
        <v>1855.6380714363172</v>
      </c>
    </row>
    <row r="8591" spans="2:4">
      <c r="B8591" t="s">
        <v>10617</v>
      </c>
      <c r="C8591" s="46">
        <v>1</v>
      </c>
      <c r="D8591" s="30">
        <v>784.98409722052975</v>
      </c>
    </row>
    <row r="8592" spans="2:4">
      <c r="B8592" t="s">
        <v>10618</v>
      </c>
      <c r="C8592" s="46">
        <v>1</v>
      </c>
      <c r="D8592" s="30">
        <v>2452.831191982531</v>
      </c>
    </row>
    <row r="8593" spans="2:4">
      <c r="B8593" t="s">
        <v>10619</v>
      </c>
      <c r="C8593" s="46">
        <v>1</v>
      </c>
      <c r="D8593" s="30">
        <v>2223.7528039081044</v>
      </c>
    </row>
    <row r="8594" spans="2:4">
      <c r="B8594" t="s">
        <v>10620</v>
      </c>
      <c r="C8594" s="46">
        <v>1</v>
      </c>
      <c r="D8594" s="30">
        <v>2474.9301984273484</v>
      </c>
    </row>
    <row r="8595" spans="2:4">
      <c r="B8595" t="s">
        <v>10621</v>
      </c>
      <c r="C8595" s="46">
        <v>1</v>
      </c>
      <c r="D8595" s="30">
        <v>2800.5682710324336</v>
      </c>
    </row>
    <row r="8596" spans="2:4">
      <c r="B8596" t="s">
        <v>10622</v>
      </c>
      <c r="C8596" s="46">
        <v>1</v>
      </c>
      <c r="D8596" s="30">
        <v>2492.6040107211588</v>
      </c>
    </row>
    <row r="8597" spans="2:4">
      <c r="B8597" t="s">
        <v>10623</v>
      </c>
      <c r="C8597" s="46">
        <v>1</v>
      </c>
      <c r="D8597" s="30">
        <v>958.53721026450194</v>
      </c>
    </row>
    <row r="8598" spans="2:4">
      <c r="B8598" t="s">
        <v>10624</v>
      </c>
      <c r="C8598" s="46">
        <v>1</v>
      </c>
      <c r="D8598" s="30">
        <v>2325.7002359028284</v>
      </c>
    </row>
    <row r="8599" spans="2:4">
      <c r="B8599" t="s">
        <v>10625</v>
      </c>
      <c r="C8599" s="46">
        <v>1</v>
      </c>
      <c r="D8599" s="30">
        <v>354.51612742817383</v>
      </c>
    </row>
    <row r="8600" spans="2:4">
      <c r="B8600" t="s">
        <v>10626</v>
      </c>
      <c r="C8600" s="46">
        <v>1</v>
      </c>
      <c r="D8600" s="30">
        <v>749.79482083243329</v>
      </c>
    </row>
    <row r="8601" spans="2:4">
      <c r="B8601" t="s">
        <v>10627</v>
      </c>
      <c r="C8601" s="46">
        <v>1</v>
      </c>
      <c r="D8601" s="30">
        <v>2797.8821349881973</v>
      </c>
    </row>
    <row r="8602" spans="2:4">
      <c r="B8602" t="s">
        <v>10628</v>
      </c>
      <c r="C8602" s="46">
        <v>1</v>
      </c>
      <c r="D8602" s="30">
        <v>2860.2559131667217</v>
      </c>
    </row>
    <row r="8603" spans="2:4">
      <c r="B8603" t="s">
        <v>10629</v>
      </c>
      <c r="C8603" s="46">
        <v>1</v>
      </c>
      <c r="D8603" s="30">
        <v>651.75204818750535</v>
      </c>
    </row>
    <row r="8604" spans="2:4">
      <c r="B8604" t="s">
        <v>10630</v>
      </c>
      <c r="C8604" s="46">
        <v>1</v>
      </c>
      <c r="D8604" s="30">
        <v>1776.5314115890073</v>
      </c>
    </row>
    <row r="8605" spans="2:4">
      <c r="B8605" t="s">
        <v>10631</v>
      </c>
      <c r="C8605" s="46">
        <v>1</v>
      </c>
      <c r="D8605" s="30">
        <v>2967.5756615028417</v>
      </c>
    </row>
    <row r="8606" spans="2:4">
      <c r="B8606" t="s">
        <v>10632</v>
      </c>
      <c r="C8606" s="46">
        <v>1</v>
      </c>
      <c r="D8606" s="30">
        <v>6282.0390613698064</v>
      </c>
    </row>
    <row r="8607" spans="2:4">
      <c r="B8607" t="s">
        <v>10633</v>
      </c>
      <c r="C8607" s="46">
        <v>2</v>
      </c>
      <c r="D8607" s="30">
        <v>36096.207010421102</v>
      </c>
    </row>
    <row r="8608" spans="2:4">
      <c r="B8608" t="s">
        <v>10634</v>
      </c>
      <c r="C8608" s="46">
        <v>1</v>
      </c>
      <c r="D8608" s="30">
        <v>2707.8378655268057</v>
      </c>
    </row>
    <row r="8609" spans="2:4">
      <c r="B8609" t="s">
        <v>10635</v>
      </c>
      <c r="C8609" s="46">
        <v>1</v>
      </c>
      <c r="D8609" s="30">
        <v>2118.015470408362</v>
      </c>
    </row>
    <row r="8610" spans="2:4">
      <c r="B8610" t="s">
        <v>10636</v>
      </c>
      <c r="C8610" s="46">
        <v>1</v>
      </c>
      <c r="D8610" s="30">
        <v>2460.6906741721646</v>
      </c>
    </row>
    <row r="8611" spans="2:4">
      <c r="B8611" t="s">
        <v>10637</v>
      </c>
      <c r="C8611" s="46">
        <v>1</v>
      </c>
      <c r="D8611" s="30">
        <v>2000.4146028915284</v>
      </c>
    </row>
    <row r="8612" spans="2:4">
      <c r="B8612" t="s">
        <v>10638</v>
      </c>
      <c r="C8612" s="46">
        <v>1</v>
      </c>
      <c r="D8612" s="30">
        <v>1090.0530269631045</v>
      </c>
    </row>
    <row r="8613" spans="2:4">
      <c r="B8613" t="s">
        <v>10639</v>
      </c>
      <c r="C8613" s="46">
        <v>1</v>
      </c>
      <c r="D8613" s="30">
        <v>2000.4146028915284</v>
      </c>
    </row>
    <row r="8614" spans="2:4">
      <c r="B8614" t="s">
        <v>10640</v>
      </c>
      <c r="C8614" s="46">
        <v>1</v>
      </c>
      <c r="D8614" s="30">
        <v>2363.6634126922231</v>
      </c>
    </row>
    <row r="8615" spans="2:4">
      <c r="B8615" t="s">
        <v>10641</v>
      </c>
      <c r="C8615" s="46">
        <v>1</v>
      </c>
      <c r="D8615" s="30">
        <v>2747.4100068383359</v>
      </c>
    </row>
    <row r="8616" spans="2:4">
      <c r="B8616" t="s">
        <v>10642</v>
      </c>
      <c r="C8616" s="46">
        <v>1</v>
      </c>
      <c r="D8616" s="30">
        <v>20116.31916202138</v>
      </c>
    </row>
    <row r="8617" spans="2:4">
      <c r="B8617" t="s">
        <v>10643</v>
      </c>
      <c r="C8617" s="46">
        <v>1</v>
      </c>
      <c r="D8617" s="30">
        <v>2810.4150566282301</v>
      </c>
    </row>
    <row r="8618" spans="2:4">
      <c r="B8618" t="s">
        <v>10644</v>
      </c>
      <c r="C8618" s="46">
        <v>1</v>
      </c>
      <c r="D8618" s="30">
        <v>2809.4781908113991</v>
      </c>
    </row>
    <row r="8619" spans="2:4">
      <c r="B8619" t="s">
        <v>10645</v>
      </c>
      <c r="C8619" s="46">
        <v>1</v>
      </c>
      <c r="D8619" s="30">
        <v>623.04420743300864</v>
      </c>
    </row>
    <row r="8620" spans="2:4">
      <c r="B8620" t="s">
        <v>10646</v>
      </c>
      <c r="C8620" s="46">
        <v>1</v>
      </c>
      <c r="D8620" s="30">
        <v>1922.88433815642</v>
      </c>
    </row>
    <row r="8621" spans="2:4">
      <c r="B8621" t="s">
        <v>10647</v>
      </c>
      <c r="C8621" s="46">
        <v>1</v>
      </c>
      <c r="D8621" s="30">
        <v>2768.9934476687872</v>
      </c>
    </row>
    <row r="8622" spans="2:4">
      <c r="B8622" t="s">
        <v>10648</v>
      </c>
      <c r="C8622" s="46">
        <v>1</v>
      </c>
      <c r="D8622" s="30">
        <v>2834.0013342391567</v>
      </c>
    </row>
    <row r="8623" spans="2:4">
      <c r="B8623" t="s">
        <v>10649</v>
      </c>
      <c r="C8623" s="46">
        <v>1</v>
      </c>
      <c r="D8623" s="30">
        <v>2179.5239930599973</v>
      </c>
    </row>
    <row r="8624" spans="2:4">
      <c r="B8624" t="s">
        <v>10650</v>
      </c>
      <c r="C8624" s="46">
        <v>1</v>
      </c>
      <c r="D8624" s="30">
        <v>32658.87039802608</v>
      </c>
    </row>
    <row r="8625" spans="2:4">
      <c r="B8625" t="s">
        <v>10651</v>
      </c>
      <c r="C8625" s="46">
        <v>1</v>
      </c>
      <c r="D8625" s="30">
        <v>2319.890427556064</v>
      </c>
    </row>
    <row r="8626" spans="2:4">
      <c r="B8626" t="s">
        <v>10652</v>
      </c>
      <c r="C8626" s="46">
        <v>1</v>
      </c>
      <c r="D8626" s="30">
        <v>2882.0436500228893</v>
      </c>
    </row>
    <row r="8627" spans="2:4">
      <c r="B8627" t="s">
        <v>10653</v>
      </c>
      <c r="C8627" s="46">
        <v>1</v>
      </c>
      <c r="D8627" s="30">
        <v>847.16076519606213</v>
      </c>
    </row>
    <row r="8628" spans="2:4">
      <c r="B8628" t="s">
        <v>10654</v>
      </c>
      <c r="C8628" s="46">
        <v>1</v>
      </c>
      <c r="D8628" s="30">
        <v>2840.3118182134617</v>
      </c>
    </row>
    <row r="8629" spans="2:4">
      <c r="B8629" t="s">
        <v>10655</v>
      </c>
      <c r="C8629" s="46">
        <v>1</v>
      </c>
      <c r="D8629" s="30">
        <v>1692.9000021947763</v>
      </c>
    </row>
    <row r="8630" spans="2:4">
      <c r="B8630" t="s">
        <v>10656</v>
      </c>
      <c r="C8630" s="46">
        <v>1</v>
      </c>
      <c r="D8630" s="30">
        <v>2635.7903448223324</v>
      </c>
    </row>
    <row r="8631" spans="2:4">
      <c r="B8631" t="s">
        <v>10657</v>
      </c>
      <c r="C8631" s="46">
        <v>1</v>
      </c>
      <c r="D8631" s="30">
        <v>2810.4150566282301</v>
      </c>
    </row>
    <row r="8632" spans="2:4">
      <c r="B8632" t="s">
        <v>10658</v>
      </c>
      <c r="C8632" s="46">
        <v>1</v>
      </c>
      <c r="D8632" s="30">
        <v>2606.9880158449887</v>
      </c>
    </row>
    <row r="8633" spans="2:4">
      <c r="B8633" t="s">
        <v>10659</v>
      </c>
      <c r="C8633" s="46">
        <v>1</v>
      </c>
      <c r="D8633" s="30">
        <v>2878.082003117318</v>
      </c>
    </row>
    <row r="8634" spans="2:4">
      <c r="B8634" t="s">
        <v>10660</v>
      </c>
      <c r="C8634" s="46">
        <v>1</v>
      </c>
      <c r="D8634" s="30">
        <v>2874.1204624542665</v>
      </c>
    </row>
    <row r="8635" spans="2:4">
      <c r="B8635" t="s">
        <v>10661</v>
      </c>
      <c r="C8635" s="46">
        <v>1</v>
      </c>
      <c r="D8635" s="30">
        <v>2727.4549407260042</v>
      </c>
    </row>
    <row r="8636" spans="2:4">
      <c r="B8636" t="s">
        <v>10662</v>
      </c>
      <c r="C8636" s="46">
        <v>1</v>
      </c>
      <c r="D8636" s="30">
        <v>1132.2797560925812</v>
      </c>
    </row>
    <row r="8637" spans="2:4">
      <c r="B8637" t="s">
        <v>10663</v>
      </c>
      <c r="C8637" s="46">
        <v>1</v>
      </c>
      <c r="D8637" s="30">
        <v>14383.310649663423</v>
      </c>
    </row>
    <row r="8638" spans="2:4">
      <c r="B8638" t="s">
        <v>10664</v>
      </c>
      <c r="C8638" s="46">
        <v>1</v>
      </c>
      <c r="D8638" s="30">
        <v>2701.7560559295061</v>
      </c>
    </row>
    <row r="8639" spans="2:4">
      <c r="B8639" t="s">
        <v>10665</v>
      </c>
      <c r="C8639" s="46">
        <v>1</v>
      </c>
      <c r="D8639" s="30">
        <v>672.71990180614853</v>
      </c>
    </row>
    <row r="8640" spans="2:4">
      <c r="B8640" t="s">
        <v>10666</v>
      </c>
      <c r="C8640" s="46">
        <v>2</v>
      </c>
      <c r="D8640" s="30">
        <v>21618.067181649585</v>
      </c>
    </row>
    <row r="8641" spans="2:4">
      <c r="B8641" t="s">
        <v>10667</v>
      </c>
      <c r="C8641" s="46">
        <v>1</v>
      </c>
      <c r="D8641" s="30">
        <v>750.86096350460286</v>
      </c>
    </row>
    <row r="8642" spans="2:4">
      <c r="B8642" t="s">
        <v>10668</v>
      </c>
      <c r="C8642" s="46">
        <v>1</v>
      </c>
      <c r="D8642" s="30">
        <v>2742.3179103522598</v>
      </c>
    </row>
    <row r="8643" spans="2:4">
      <c r="B8643" t="s">
        <v>10669</v>
      </c>
      <c r="C8643" s="46">
        <v>1</v>
      </c>
      <c r="D8643" s="30">
        <v>2456.8781662751808</v>
      </c>
    </row>
    <row r="8644" spans="2:4">
      <c r="B8644" t="s">
        <v>10670</v>
      </c>
      <c r="C8644" s="46">
        <v>1</v>
      </c>
      <c r="D8644" s="30">
        <v>2506.0364588869893</v>
      </c>
    </row>
    <row r="8645" spans="2:4">
      <c r="B8645" t="s">
        <v>10671</v>
      </c>
      <c r="C8645" s="46">
        <v>1</v>
      </c>
      <c r="D8645" s="30">
        <v>2435.1711668972334</v>
      </c>
    </row>
    <row r="8646" spans="2:4">
      <c r="B8646" t="s">
        <v>10672</v>
      </c>
      <c r="C8646" s="46">
        <v>1</v>
      </c>
      <c r="D8646" s="30">
        <v>2815.022145870993</v>
      </c>
    </row>
    <row r="8647" spans="2:4">
      <c r="B8647" t="s">
        <v>10673</v>
      </c>
      <c r="C8647" s="46">
        <v>1</v>
      </c>
      <c r="D8647" s="30">
        <v>2688.2928075189034</v>
      </c>
    </row>
    <row r="8648" spans="2:4">
      <c r="B8648" t="s">
        <v>10674</v>
      </c>
      <c r="C8648" s="46">
        <v>1</v>
      </c>
      <c r="D8648" s="30">
        <v>6399.1654939945292</v>
      </c>
    </row>
    <row r="8649" spans="2:4">
      <c r="B8649" t="s">
        <v>10675</v>
      </c>
      <c r="C8649" s="46">
        <v>1</v>
      </c>
      <c r="D8649" s="30">
        <v>2065.0352185109778</v>
      </c>
    </row>
    <row r="8650" spans="2:4">
      <c r="B8650" t="s">
        <v>10676</v>
      </c>
      <c r="C8650" s="46">
        <v>1</v>
      </c>
      <c r="D8650" s="30">
        <v>32658.87039802608</v>
      </c>
    </row>
    <row r="8651" spans="2:4">
      <c r="B8651" t="s">
        <v>10677</v>
      </c>
      <c r="C8651" s="46">
        <v>1</v>
      </c>
      <c r="D8651" s="30">
        <v>14068.114902766145</v>
      </c>
    </row>
    <row r="8652" spans="2:4">
      <c r="B8652" t="s">
        <v>10678</v>
      </c>
      <c r="C8652" s="46">
        <v>1</v>
      </c>
      <c r="D8652" s="30">
        <v>368.97388981119235</v>
      </c>
    </row>
    <row r="8653" spans="2:4">
      <c r="B8653" t="s">
        <v>10679</v>
      </c>
      <c r="C8653" s="46">
        <v>1</v>
      </c>
      <c r="D8653" s="30">
        <v>6324.0649448731137</v>
      </c>
    </row>
    <row r="8654" spans="2:4">
      <c r="B8654" t="s">
        <v>10680</v>
      </c>
      <c r="C8654" s="46">
        <v>1</v>
      </c>
      <c r="D8654" s="30">
        <v>2995.4455508582218</v>
      </c>
    </row>
    <row r="8655" spans="2:4">
      <c r="B8655" t="s">
        <v>10681</v>
      </c>
      <c r="C8655" s="46">
        <v>1</v>
      </c>
      <c r="D8655" s="30">
        <v>2995.4455508582218</v>
      </c>
    </row>
    <row r="8656" spans="2:4">
      <c r="B8656" t="s">
        <v>10682</v>
      </c>
      <c r="C8656" s="46">
        <v>1</v>
      </c>
      <c r="D8656" s="30">
        <v>2424.4486955895045</v>
      </c>
    </row>
    <row r="8657" spans="2:4">
      <c r="B8657" t="s">
        <v>10683</v>
      </c>
      <c r="C8657" s="46">
        <v>1</v>
      </c>
      <c r="D8657" s="30">
        <v>521.75133502373319</v>
      </c>
    </row>
    <row r="8658" spans="2:4">
      <c r="B8658" t="s">
        <v>10684</v>
      </c>
      <c r="C8658" s="46">
        <v>1</v>
      </c>
      <c r="D8658" s="30">
        <v>840.08366283417718</v>
      </c>
    </row>
    <row r="8659" spans="2:4">
      <c r="B8659" t="s">
        <v>10685</v>
      </c>
      <c r="C8659" s="46">
        <v>1</v>
      </c>
      <c r="D8659" s="30">
        <v>2854.9881848707819</v>
      </c>
    </row>
    <row r="8660" spans="2:4">
      <c r="B8660" t="s">
        <v>10686</v>
      </c>
      <c r="C8660" s="46">
        <v>1</v>
      </c>
      <c r="D8660" s="30">
        <v>2093.1735380445643</v>
      </c>
    </row>
    <row r="8661" spans="2:4">
      <c r="B8661" t="s">
        <v>10687</v>
      </c>
      <c r="C8661" s="46">
        <v>1</v>
      </c>
      <c r="D8661" s="30">
        <v>2324.8833165475021</v>
      </c>
    </row>
    <row r="8662" spans="2:4">
      <c r="B8662" t="s">
        <v>10688</v>
      </c>
      <c r="C8662" s="46">
        <v>1</v>
      </c>
      <c r="D8662" s="30">
        <v>2869.7446952480695</v>
      </c>
    </row>
    <row r="8663" spans="2:4">
      <c r="B8663" t="s">
        <v>10689</v>
      </c>
      <c r="C8663" s="46">
        <v>1</v>
      </c>
      <c r="D8663" s="30">
        <v>2708.8270158821761</v>
      </c>
    </row>
    <row r="8664" spans="2:4">
      <c r="B8664" t="s">
        <v>10690</v>
      </c>
      <c r="C8664" s="46">
        <v>1</v>
      </c>
      <c r="D8664" s="30">
        <v>2423.0056482867758</v>
      </c>
    </row>
    <row r="8665" spans="2:4">
      <c r="B8665" t="s">
        <v>10691</v>
      </c>
      <c r="C8665" s="46">
        <v>1</v>
      </c>
      <c r="D8665" s="30">
        <v>4973.8202072140239</v>
      </c>
    </row>
    <row r="8666" spans="2:4">
      <c r="B8666" t="s">
        <v>10692</v>
      </c>
      <c r="C8666" s="46">
        <v>1</v>
      </c>
      <c r="D8666" s="30">
        <v>2713.3346732591872</v>
      </c>
    </row>
    <row r="8667" spans="2:4">
      <c r="B8667" t="s">
        <v>10693</v>
      </c>
      <c r="C8667" s="46">
        <v>1</v>
      </c>
      <c r="D8667" s="30">
        <v>2805.0047094958231</v>
      </c>
    </row>
    <row r="8668" spans="2:4">
      <c r="B8668" t="s">
        <v>10694</v>
      </c>
      <c r="C8668" s="46">
        <v>1</v>
      </c>
      <c r="D8668" s="30">
        <v>2637.1782377568497</v>
      </c>
    </row>
    <row r="8669" spans="2:4">
      <c r="B8669" t="s">
        <v>10695</v>
      </c>
      <c r="C8669" s="46">
        <v>1</v>
      </c>
      <c r="D8669" s="30">
        <v>8224.1818353641265</v>
      </c>
    </row>
    <row r="8670" spans="2:4">
      <c r="B8670" t="s">
        <v>10696</v>
      </c>
      <c r="C8670" s="46">
        <v>1</v>
      </c>
      <c r="D8670" s="30">
        <v>2839.4615815265934</v>
      </c>
    </row>
    <row r="8671" spans="2:4">
      <c r="B8671" t="s">
        <v>10697</v>
      </c>
      <c r="C8671" s="46">
        <v>1</v>
      </c>
      <c r="D8671" s="30">
        <v>2566.4759455471949</v>
      </c>
    </row>
    <row r="8672" spans="2:4">
      <c r="B8672" t="s">
        <v>10698</v>
      </c>
      <c r="C8672" s="46">
        <v>1</v>
      </c>
      <c r="D8672" s="30">
        <v>2816.6903388802034</v>
      </c>
    </row>
    <row r="8673" spans="2:4">
      <c r="B8673" t="s">
        <v>10699</v>
      </c>
      <c r="C8673" s="46">
        <v>1</v>
      </c>
      <c r="D8673" s="30">
        <v>2876.8157104906477</v>
      </c>
    </row>
    <row r="8674" spans="2:4">
      <c r="B8674" t="s">
        <v>10700</v>
      </c>
      <c r="C8674" s="46">
        <v>1</v>
      </c>
      <c r="D8674" s="30">
        <v>532.5600685288133</v>
      </c>
    </row>
    <row r="8675" spans="2:4">
      <c r="B8675" t="s">
        <v>10701</v>
      </c>
      <c r="C8675" s="46">
        <v>1</v>
      </c>
      <c r="D8675" s="30">
        <v>390.26236827962953</v>
      </c>
    </row>
    <row r="8676" spans="2:4">
      <c r="B8676" t="s">
        <v>10702</v>
      </c>
      <c r="C8676" s="46">
        <v>1</v>
      </c>
      <c r="D8676" s="30">
        <v>2154.6719261235476</v>
      </c>
    </row>
    <row r="8677" spans="2:4">
      <c r="B8677" t="s">
        <v>10703</v>
      </c>
      <c r="C8677" s="46">
        <v>1</v>
      </c>
      <c r="D8677" s="30">
        <v>2814.7197656649664</v>
      </c>
    </row>
    <row r="8678" spans="2:4">
      <c r="B8678" t="s">
        <v>10704</v>
      </c>
      <c r="C8678" s="46">
        <v>1</v>
      </c>
      <c r="D8678" s="30">
        <v>2852.9073563707261</v>
      </c>
    </row>
    <row r="8679" spans="2:4">
      <c r="B8679" t="s">
        <v>10705</v>
      </c>
      <c r="C8679" s="46">
        <v>1</v>
      </c>
      <c r="D8679" s="30">
        <v>2852.9073563707261</v>
      </c>
    </row>
    <row r="8680" spans="2:4">
      <c r="B8680" t="s">
        <v>10706</v>
      </c>
      <c r="C8680" s="46">
        <v>1</v>
      </c>
      <c r="D8680" s="30">
        <v>342.80651920096034</v>
      </c>
    </row>
    <row r="8681" spans="2:4">
      <c r="B8681" t="s">
        <v>10707</v>
      </c>
      <c r="C8681" s="46">
        <v>1</v>
      </c>
      <c r="D8681" s="30">
        <v>2685.2078319260982</v>
      </c>
    </row>
    <row r="8682" spans="2:4">
      <c r="B8682" t="s">
        <v>10708</v>
      </c>
      <c r="C8682" s="46">
        <v>1</v>
      </c>
      <c r="D8682" s="30">
        <v>2883.6121722238527</v>
      </c>
    </row>
    <row r="8683" spans="2:4">
      <c r="B8683" t="s">
        <v>10709</v>
      </c>
      <c r="C8683" s="46">
        <v>1</v>
      </c>
      <c r="D8683" s="30">
        <v>2043.1330041812375</v>
      </c>
    </row>
    <row r="8684" spans="2:4">
      <c r="B8684" t="s">
        <v>10710</v>
      </c>
      <c r="C8684" s="46">
        <v>1</v>
      </c>
      <c r="D8684" s="30">
        <v>35631.82749200907</v>
      </c>
    </row>
    <row r="8685" spans="2:4">
      <c r="B8685" t="s">
        <v>10711</v>
      </c>
      <c r="C8685" s="46">
        <v>1</v>
      </c>
      <c r="D8685" s="30">
        <v>3618.5863170100579</v>
      </c>
    </row>
    <row r="8686" spans="2:4">
      <c r="B8686" t="s">
        <v>10712</v>
      </c>
      <c r="C8686" s="46">
        <v>1</v>
      </c>
      <c r="D8686" s="30">
        <v>1539.9400399957856</v>
      </c>
    </row>
    <row r="8687" spans="2:4">
      <c r="B8687" t="s">
        <v>10713</v>
      </c>
      <c r="C8687" s="46">
        <v>1</v>
      </c>
      <c r="D8687" s="30">
        <v>2493.1774601449165</v>
      </c>
    </row>
    <row r="8688" spans="2:4">
      <c r="B8688" t="s">
        <v>10714</v>
      </c>
      <c r="C8688" s="46">
        <v>1</v>
      </c>
      <c r="D8688" s="30">
        <v>1729.3448320552682</v>
      </c>
    </row>
    <row r="8689" spans="2:4">
      <c r="B8689" t="s">
        <v>10715</v>
      </c>
      <c r="C8689" s="46">
        <v>1</v>
      </c>
      <c r="D8689" s="30">
        <v>1665.0170759009704</v>
      </c>
    </row>
    <row r="8690" spans="2:4">
      <c r="B8690" t="s">
        <v>10716</v>
      </c>
      <c r="C8690" s="46">
        <v>1</v>
      </c>
      <c r="D8690" s="30">
        <v>1729.3448320552682</v>
      </c>
    </row>
    <row r="8691" spans="2:4">
      <c r="B8691" t="s">
        <v>10717</v>
      </c>
      <c r="C8691" s="46">
        <v>1</v>
      </c>
      <c r="D8691" s="30">
        <v>2645.3876302324529</v>
      </c>
    </row>
    <row r="8692" spans="2:4">
      <c r="B8692" t="s">
        <v>10718</v>
      </c>
      <c r="C8692" s="46">
        <v>1</v>
      </c>
      <c r="D8692" s="30">
        <v>2881.0532283602279</v>
      </c>
    </row>
    <row r="8693" spans="2:4">
      <c r="B8693" t="s">
        <v>10719</v>
      </c>
      <c r="C8693" s="46">
        <v>1</v>
      </c>
      <c r="D8693" s="30">
        <v>2093.1735380445643</v>
      </c>
    </row>
    <row r="8694" spans="2:4">
      <c r="B8694" t="s">
        <v>10720</v>
      </c>
      <c r="C8694" s="46">
        <v>2</v>
      </c>
      <c r="D8694" s="30">
        <v>21618.067181649585</v>
      </c>
    </row>
    <row r="8695" spans="2:4">
      <c r="B8695" t="s">
        <v>10721</v>
      </c>
      <c r="C8695" s="46">
        <v>1</v>
      </c>
      <c r="D8695" s="30">
        <v>2167.8128020915592</v>
      </c>
    </row>
    <row r="8696" spans="2:4">
      <c r="B8696" t="s">
        <v>10722</v>
      </c>
      <c r="C8696" s="46">
        <v>1</v>
      </c>
      <c r="D8696" s="30">
        <v>1406.9381223839896</v>
      </c>
    </row>
    <row r="8697" spans="2:4">
      <c r="B8697" t="s">
        <v>10723</v>
      </c>
      <c r="C8697" s="46">
        <v>1</v>
      </c>
      <c r="D8697" s="30">
        <v>2846.1636984116608</v>
      </c>
    </row>
    <row r="8698" spans="2:4">
      <c r="B8698" t="s">
        <v>10724</v>
      </c>
      <c r="C8698" s="46">
        <v>1</v>
      </c>
      <c r="D8698" s="30">
        <v>2690.7285603644455</v>
      </c>
    </row>
    <row r="8699" spans="2:4">
      <c r="B8699" t="s">
        <v>10725</v>
      </c>
      <c r="C8699" s="46">
        <v>1</v>
      </c>
      <c r="D8699" s="30">
        <v>1729.3448320552682</v>
      </c>
    </row>
    <row r="8700" spans="2:4">
      <c r="B8700" t="s">
        <v>10726</v>
      </c>
      <c r="C8700" s="46">
        <v>1</v>
      </c>
      <c r="D8700" s="30">
        <v>2879.9248365847534</v>
      </c>
    </row>
    <row r="8701" spans="2:4">
      <c r="B8701" t="s">
        <v>10727</v>
      </c>
      <c r="C8701" s="46">
        <v>1</v>
      </c>
      <c r="D8701" s="30">
        <v>2707.8378655268057</v>
      </c>
    </row>
    <row r="8702" spans="2:4">
      <c r="B8702" t="s">
        <v>10728</v>
      </c>
      <c r="C8702" s="46">
        <v>1</v>
      </c>
      <c r="D8702" s="30">
        <v>2506.0364588869893</v>
      </c>
    </row>
    <row r="8703" spans="2:4">
      <c r="B8703" t="s">
        <v>10729</v>
      </c>
      <c r="C8703" s="46">
        <v>1</v>
      </c>
      <c r="D8703" s="30">
        <v>240.72658873233982</v>
      </c>
    </row>
    <row r="8704" spans="2:4">
      <c r="B8704" t="s">
        <v>10730</v>
      </c>
      <c r="C8704" s="46">
        <v>1</v>
      </c>
      <c r="D8704" s="30">
        <v>894.43737404874571</v>
      </c>
    </row>
    <row r="8705" spans="2:4">
      <c r="B8705" t="s">
        <v>10731</v>
      </c>
      <c r="C8705" s="46">
        <v>1</v>
      </c>
      <c r="D8705" s="30">
        <v>910.18468287205565</v>
      </c>
    </row>
    <row r="8706" spans="2:4">
      <c r="B8706" t="s">
        <v>10732</v>
      </c>
      <c r="C8706" s="46">
        <v>1</v>
      </c>
      <c r="D8706" s="30">
        <v>3378.467691036517</v>
      </c>
    </row>
    <row r="8707" spans="2:4">
      <c r="B8707" t="s">
        <v>10733</v>
      </c>
      <c r="C8707" s="46">
        <v>1</v>
      </c>
      <c r="D8707" s="30">
        <v>1349.3036401875941</v>
      </c>
    </row>
    <row r="8708" spans="2:4">
      <c r="B8708" t="s">
        <v>10734</v>
      </c>
      <c r="C8708" s="46">
        <v>1</v>
      </c>
      <c r="D8708" s="30">
        <v>2493.39697513999</v>
      </c>
    </row>
    <row r="8709" spans="2:4">
      <c r="B8709" t="s">
        <v>10735</v>
      </c>
      <c r="C8709" s="46">
        <v>1</v>
      </c>
      <c r="D8709" s="30">
        <v>1146.8897496161665</v>
      </c>
    </row>
    <row r="8710" spans="2:4">
      <c r="B8710" t="s">
        <v>10736</v>
      </c>
      <c r="C8710" s="46">
        <v>1</v>
      </c>
      <c r="D8710" s="30">
        <v>2881.3576451498025</v>
      </c>
    </row>
    <row r="8711" spans="2:4">
      <c r="B8711" t="s">
        <v>10737</v>
      </c>
      <c r="C8711" s="46">
        <v>1</v>
      </c>
      <c r="D8711" s="30">
        <v>2627.7439621468234</v>
      </c>
    </row>
    <row r="8712" spans="2:4">
      <c r="B8712" t="s">
        <v>10738</v>
      </c>
      <c r="C8712" s="46">
        <v>1</v>
      </c>
      <c r="D8712" s="30">
        <v>2290.6084430928977</v>
      </c>
    </row>
    <row r="8713" spans="2:4">
      <c r="B8713" t="s">
        <v>10739</v>
      </c>
      <c r="C8713" s="46">
        <v>1</v>
      </c>
      <c r="D8713" s="30">
        <v>2871.1493769431831</v>
      </c>
    </row>
    <row r="8714" spans="2:4">
      <c r="B8714" t="s">
        <v>10740</v>
      </c>
      <c r="C8714" s="46">
        <v>1</v>
      </c>
      <c r="D8714" s="30">
        <v>2870.020575615104</v>
      </c>
    </row>
    <row r="8715" spans="2:4">
      <c r="B8715" t="s">
        <v>10741</v>
      </c>
      <c r="C8715" s="46">
        <v>1</v>
      </c>
      <c r="D8715" s="30">
        <v>20116.31916202138</v>
      </c>
    </row>
    <row r="8716" spans="2:4">
      <c r="B8716" t="s">
        <v>10742</v>
      </c>
      <c r="C8716" s="46">
        <v>1</v>
      </c>
      <c r="D8716" s="30">
        <v>2872.8076294835578</v>
      </c>
    </row>
    <row r="8717" spans="2:4">
      <c r="B8717" t="s">
        <v>10743</v>
      </c>
      <c r="C8717" s="46">
        <v>1</v>
      </c>
      <c r="D8717" s="30">
        <v>2874.1204624542665</v>
      </c>
    </row>
    <row r="8718" spans="2:4">
      <c r="B8718" t="s">
        <v>10744</v>
      </c>
      <c r="C8718" s="46">
        <v>1</v>
      </c>
      <c r="D8718" s="30">
        <v>2840.9338979744248</v>
      </c>
    </row>
    <row r="8719" spans="2:4">
      <c r="B8719" t="s">
        <v>10745</v>
      </c>
      <c r="C8719" s="46">
        <v>1</v>
      </c>
      <c r="D8719" s="30">
        <v>2627.7439621468234</v>
      </c>
    </row>
    <row r="8720" spans="2:4">
      <c r="B8720" t="s">
        <v>10746</v>
      </c>
      <c r="C8720" s="46">
        <v>1</v>
      </c>
      <c r="D8720" s="30">
        <v>2850.3534743749824</v>
      </c>
    </row>
    <row r="8721" spans="2:4">
      <c r="B8721" t="s">
        <v>10747</v>
      </c>
      <c r="C8721" s="46">
        <v>1</v>
      </c>
      <c r="D8721" s="30">
        <v>2724.6544988036553</v>
      </c>
    </row>
    <row r="8722" spans="2:4">
      <c r="B8722" t="s">
        <v>10748</v>
      </c>
      <c r="C8722" s="46">
        <v>1</v>
      </c>
      <c r="D8722" s="30">
        <v>2583.6508114901267</v>
      </c>
    </row>
    <row r="8723" spans="2:4">
      <c r="B8723" t="s">
        <v>10749</v>
      </c>
      <c r="C8723" s="46">
        <v>1</v>
      </c>
      <c r="D8723" s="30">
        <v>2866.0590573965128</v>
      </c>
    </row>
    <row r="8724" spans="2:4">
      <c r="B8724" t="s">
        <v>10750</v>
      </c>
      <c r="C8724" s="46">
        <v>1</v>
      </c>
      <c r="D8724" s="30">
        <v>1614.725137159917</v>
      </c>
    </row>
    <row r="8725" spans="2:4">
      <c r="B8725" t="s">
        <v>10751</v>
      </c>
      <c r="C8725" s="46">
        <v>1</v>
      </c>
      <c r="D8725" s="30">
        <v>2583.6508114901267</v>
      </c>
    </row>
    <row r="8726" spans="2:4">
      <c r="B8726" t="s">
        <v>10752</v>
      </c>
      <c r="C8726" s="46">
        <v>1</v>
      </c>
      <c r="D8726" s="30">
        <v>25111.447624084984</v>
      </c>
    </row>
    <row r="8727" spans="2:4">
      <c r="B8727" t="s">
        <v>10753</v>
      </c>
      <c r="C8727" s="46">
        <v>1</v>
      </c>
      <c r="D8727" s="30">
        <v>2186.6663001198867</v>
      </c>
    </row>
    <row r="8728" spans="2:4">
      <c r="B8728" t="s">
        <v>10754</v>
      </c>
      <c r="C8728" s="46">
        <v>1</v>
      </c>
      <c r="D8728" s="30">
        <v>2432.8897964965026</v>
      </c>
    </row>
    <row r="8729" spans="2:4">
      <c r="B8729" t="s">
        <v>10755</v>
      </c>
      <c r="C8729" s="46">
        <v>2</v>
      </c>
      <c r="D8729" s="30">
        <v>21618.067181649585</v>
      </c>
    </row>
    <row r="8730" spans="2:4">
      <c r="B8730" t="s">
        <v>10756</v>
      </c>
      <c r="C8730" s="46">
        <v>1</v>
      </c>
      <c r="D8730" s="30">
        <v>2752.2130152592563</v>
      </c>
    </row>
    <row r="8731" spans="2:4">
      <c r="B8731" t="s">
        <v>10757</v>
      </c>
      <c r="C8731" s="46">
        <v>1</v>
      </c>
      <c r="D8731" s="30">
        <v>7051.451653877587</v>
      </c>
    </row>
    <row r="8732" spans="2:4">
      <c r="B8732" t="s">
        <v>10758</v>
      </c>
      <c r="C8732" s="46">
        <v>1</v>
      </c>
      <c r="D8732" s="30">
        <v>17183.881650008971</v>
      </c>
    </row>
    <row r="8733" spans="2:4">
      <c r="B8733" t="s">
        <v>10759</v>
      </c>
      <c r="C8733" s="46">
        <v>1</v>
      </c>
      <c r="D8733" s="30">
        <v>2118.5241109893655</v>
      </c>
    </row>
    <row r="8734" spans="2:4">
      <c r="B8734" t="s">
        <v>10760</v>
      </c>
      <c r="C8734" s="46">
        <v>1</v>
      </c>
      <c r="D8734" s="30">
        <v>6324.0649448731137</v>
      </c>
    </row>
    <row r="8735" spans="2:4">
      <c r="B8735" t="s">
        <v>10761</v>
      </c>
      <c r="C8735" s="46">
        <v>1</v>
      </c>
      <c r="D8735" s="30">
        <v>2127.5634893487349</v>
      </c>
    </row>
    <row r="8736" spans="2:4">
      <c r="B8736" t="s">
        <v>10762</v>
      </c>
      <c r="C8736" s="46">
        <v>1</v>
      </c>
      <c r="D8736" s="30">
        <v>2876.9534887447553</v>
      </c>
    </row>
    <row r="8737" spans="2:4">
      <c r="B8737" t="s">
        <v>10763</v>
      </c>
      <c r="C8737" s="46">
        <v>1</v>
      </c>
      <c r="D8737" s="30">
        <v>999.8308800063603</v>
      </c>
    </row>
    <row r="8738" spans="2:4">
      <c r="B8738" t="s">
        <v>10764</v>
      </c>
      <c r="C8738" s="46">
        <v>1</v>
      </c>
      <c r="D8738" s="30">
        <v>5037.1370545730788</v>
      </c>
    </row>
    <row r="8739" spans="2:4">
      <c r="B8739" t="s">
        <v>10765</v>
      </c>
      <c r="C8739" s="46">
        <v>1</v>
      </c>
      <c r="D8739" s="30">
        <v>387.84461217665773</v>
      </c>
    </row>
    <row r="8740" spans="2:4">
      <c r="B8740" t="s">
        <v>10766</v>
      </c>
      <c r="C8740" s="46">
        <v>1</v>
      </c>
      <c r="D8740" s="30">
        <v>642.68534653036261</v>
      </c>
    </row>
    <row r="8741" spans="2:4">
      <c r="B8741" t="s">
        <v>10767</v>
      </c>
      <c r="C8741" s="46">
        <v>1</v>
      </c>
      <c r="D8741" s="30">
        <v>2392.6354990201921</v>
      </c>
    </row>
    <row r="8742" spans="2:4">
      <c r="B8742" t="s">
        <v>10768</v>
      </c>
      <c r="C8742" s="46">
        <v>1</v>
      </c>
      <c r="D8742" s="30">
        <v>2657.7949750240723</v>
      </c>
    </row>
    <row r="8743" spans="2:4">
      <c r="B8743" t="s">
        <v>10769</v>
      </c>
      <c r="C8743" s="46">
        <v>1</v>
      </c>
      <c r="D8743" s="30">
        <v>999.8308800063603</v>
      </c>
    </row>
    <row r="8744" spans="2:4">
      <c r="B8744" t="s">
        <v>10770</v>
      </c>
      <c r="C8744" s="46">
        <v>1</v>
      </c>
      <c r="D8744" s="30">
        <v>32658.87039802608</v>
      </c>
    </row>
    <row r="8745" spans="2:4">
      <c r="B8745" t="s">
        <v>10771</v>
      </c>
      <c r="C8745" s="46">
        <v>1</v>
      </c>
      <c r="D8745" s="30">
        <v>32658.87039802608</v>
      </c>
    </row>
    <row r="8746" spans="2:4">
      <c r="B8746" t="s">
        <v>10772</v>
      </c>
      <c r="C8746" s="46">
        <v>1</v>
      </c>
      <c r="D8746" s="30">
        <v>4949.8632053219899</v>
      </c>
    </row>
    <row r="8747" spans="2:4">
      <c r="B8747" t="s">
        <v>10773</v>
      </c>
      <c r="C8747" s="46">
        <v>1</v>
      </c>
      <c r="D8747" s="30">
        <v>3104.824850849714</v>
      </c>
    </row>
    <row r="8748" spans="2:4">
      <c r="B8748" t="s">
        <v>10774</v>
      </c>
      <c r="C8748" s="46">
        <v>1</v>
      </c>
      <c r="D8748" s="30">
        <v>2469.7074668511773</v>
      </c>
    </row>
    <row r="8749" spans="2:4">
      <c r="B8749" t="s">
        <v>10775</v>
      </c>
      <c r="C8749" s="46">
        <v>1</v>
      </c>
      <c r="D8749" s="30">
        <v>2600.9056873578447</v>
      </c>
    </row>
    <row r="8750" spans="2:4">
      <c r="B8750" t="s">
        <v>10776</v>
      </c>
      <c r="C8750" s="46">
        <v>1</v>
      </c>
      <c r="D8750" s="30">
        <v>6347.813230523293</v>
      </c>
    </row>
    <row r="8751" spans="2:4">
      <c r="B8751" t="s">
        <v>10777</v>
      </c>
      <c r="C8751" s="46">
        <v>1</v>
      </c>
      <c r="D8751" s="30">
        <v>1403.8411402331928</v>
      </c>
    </row>
    <row r="8752" spans="2:4">
      <c r="B8752" t="s">
        <v>10778</v>
      </c>
      <c r="C8752" s="46">
        <v>1</v>
      </c>
      <c r="D8752" s="30">
        <v>6347.813230523293</v>
      </c>
    </row>
    <row r="8753" spans="2:4">
      <c r="B8753" t="s">
        <v>10779</v>
      </c>
      <c r="C8753" s="46">
        <v>1</v>
      </c>
      <c r="D8753" s="30">
        <v>1403.8411402331928</v>
      </c>
    </row>
    <row r="8754" spans="2:4">
      <c r="B8754" t="s">
        <v>10780</v>
      </c>
      <c r="C8754" s="46">
        <v>1</v>
      </c>
      <c r="D8754" s="30">
        <v>6347.813230523293</v>
      </c>
    </row>
    <row r="8755" spans="2:4">
      <c r="B8755" t="s">
        <v>10781</v>
      </c>
      <c r="C8755" s="46">
        <v>1</v>
      </c>
      <c r="D8755" s="30">
        <v>1403.8411402331928</v>
      </c>
    </row>
    <row r="8756" spans="2:4">
      <c r="B8756" t="s">
        <v>10782</v>
      </c>
      <c r="C8756" s="46">
        <v>1</v>
      </c>
      <c r="D8756" s="30">
        <v>2013.1590932654949</v>
      </c>
    </row>
    <row r="8757" spans="2:4">
      <c r="B8757" t="s">
        <v>10783</v>
      </c>
      <c r="C8757" s="46">
        <v>1</v>
      </c>
      <c r="D8757" s="30">
        <v>2865.7827956659535</v>
      </c>
    </row>
    <row r="8758" spans="2:4">
      <c r="B8758" t="s">
        <v>10784</v>
      </c>
      <c r="C8758" s="46">
        <v>1</v>
      </c>
      <c r="D8758" s="30">
        <v>2770.1695532042536</v>
      </c>
    </row>
    <row r="8759" spans="2:4">
      <c r="B8759" t="s">
        <v>10785</v>
      </c>
      <c r="C8759" s="46">
        <v>2</v>
      </c>
      <c r="D8759" s="30">
        <v>21618.067181649585</v>
      </c>
    </row>
    <row r="8760" spans="2:4">
      <c r="B8760" t="s">
        <v>10786</v>
      </c>
      <c r="C8760" s="46">
        <v>1</v>
      </c>
      <c r="D8760" s="30">
        <v>862.36458803588005</v>
      </c>
    </row>
    <row r="8761" spans="2:4">
      <c r="B8761" t="s">
        <v>10787</v>
      </c>
      <c r="C8761" s="46">
        <v>1</v>
      </c>
      <c r="D8761" s="30">
        <v>2995.4455508582218</v>
      </c>
    </row>
    <row r="8762" spans="2:4">
      <c r="B8762" t="s">
        <v>10788</v>
      </c>
      <c r="C8762" s="46">
        <v>1</v>
      </c>
      <c r="D8762" s="30">
        <v>2643.3085291748007</v>
      </c>
    </row>
    <row r="8763" spans="2:4">
      <c r="B8763" t="s">
        <v>10789</v>
      </c>
      <c r="C8763" s="46">
        <v>1</v>
      </c>
      <c r="D8763" s="30">
        <v>2808.4521879925805</v>
      </c>
    </row>
    <row r="8764" spans="2:4">
      <c r="B8764" t="s">
        <v>10790</v>
      </c>
      <c r="C8764" s="46">
        <v>1</v>
      </c>
      <c r="D8764" s="30">
        <v>1786.832074395247</v>
      </c>
    </row>
    <row r="8765" spans="2:4">
      <c r="B8765" t="s">
        <v>10791</v>
      </c>
      <c r="C8765" s="46">
        <v>1</v>
      </c>
      <c r="D8765" s="30">
        <v>2845.1486158791049</v>
      </c>
    </row>
    <row r="8766" spans="2:4">
      <c r="B8766" t="s">
        <v>10792</v>
      </c>
      <c r="C8766" s="46">
        <v>1</v>
      </c>
      <c r="D8766" s="30">
        <v>2865.0686945503107</v>
      </c>
    </row>
    <row r="8767" spans="2:4">
      <c r="B8767" t="s">
        <v>10793</v>
      </c>
      <c r="C8767" s="46">
        <v>1</v>
      </c>
      <c r="D8767" s="30">
        <v>32658.87039802608</v>
      </c>
    </row>
    <row r="8768" spans="2:4">
      <c r="B8768" t="s">
        <v>10794</v>
      </c>
      <c r="C8768" s="46">
        <v>1</v>
      </c>
      <c r="D8768" s="30">
        <v>2864.2170785006265</v>
      </c>
    </row>
    <row r="8769" spans="2:4">
      <c r="B8769" t="s">
        <v>10795</v>
      </c>
      <c r="C8769" s="46">
        <v>1</v>
      </c>
      <c r="D8769" s="30">
        <v>2825.6003838250681</v>
      </c>
    </row>
    <row r="8770" spans="2:4">
      <c r="B8770" t="s">
        <v>10796</v>
      </c>
      <c r="C8770" s="46">
        <v>1</v>
      </c>
      <c r="D8770" s="30">
        <v>14068.114902766145</v>
      </c>
    </row>
    <row r="8771" spans="2:4">
      <c r="B8771" t="s">
        <v>10797</v>
      </c>
      <c r="C8771" s="46">
        <v>1</v>
      </c>
      <c r="D8771" s="30">
        <v>1846.8231107893464</v>
      </c>
    </row>
    <row r="8772" spans="2:4">
      <c r="B8772" t="s">
        <v>10798</v>
      </c>
      <c r="C8772" s="46">
        <v>1</v>
      </c>
      <c r="D8772" s="30">
        <v>1644.5869569694953</v>
      </c>
    </row>
    <row r="8773" spans="2:4">
      <c r="B8773" t="s">
        <v>10799</v>
      </c>
      <c r="C8773" s="46">
        <v>1</v>
      </c>
      <c r="D8773" s="30">
        <v>2583.6508114901267</v>
      </c>
    </row>
    <row r="8774" spans="2:4">
      <c r="B8774" t="s">
        <v>10800</v>
      </c>
      <c r="C8774" s="46">
        <v>1</v>
      </c>
      <c r="D8774" s="30">
        <v>2617.8596927023082</v>
      </c>
    </row>
    <row r="8775" spans="2:4">
      <c r="B8775" t="s">
        <v>10801</v>
      </c>
      <c r="C8775" s="46">
        <v>1</v>
      </c>
      <c r="D8775" s="30">
        <v>1933.7275802072113</v>
      </c>
    </row>
    <row r="8776" spans="2:4">
      <c r="B8776" t="s">
        <v>10802</v>
      </c>
      <c r="C8776" s="46">
        <v>1</v>
      </c>
      <c r="D8776" s="30">
        <v>2825.6003838250681</v>
      </c>
    </row>
    <row r="8777" spans="2:4">
      <c r="B8777" t="s">
        <v>10803</v>
      </c>
      <c r="C8777" s="46">
        <v>1</v>
      </c>
      <c r="D8777" s="30">
        <v>2319.890427556064</v>
      </c>
    </row>
    <row r="8778" spans="2:4">
      <c r="B8778" t="s">
        <v>10804</v>
      </c>
      <c r="C8778" s="46">
        <v>1</v>
      </c>
      <c r="D8778" s="30">
        <v>2815.7003692063381</v>
      </c>
    </row>
    <row r="8779" spans="2:4">
      <c r="B8779" t="s">
        <v>10805</v>
      </c>
      <c r="C8779" s="46">
        <v>1</v>
      </c>
      <c r="D8779" s="30">
        <v>2013.1550874139716</v>
      </c>
    </row>
    <row r="8780" spans="2:4">
      <c r="B8780" t="s">
        <v>10806</v>
      </c>
      <c r="C8780" s="46">
        <v>1</v>
      </c>
      <c r="D8780" s="30">
        <v>1918.9998265804686</v>
      </c>
    </row>
    <row r="8781" spans="2:4">
      <c r="B8781" t="s">
        <v>10807</v>
      </c>
      <c r="C8781" s="46">
        <v>1</v>
      </c>
      <c r="D8781" s="30">
        <v>2319.890427556064</v>
      </c>
    </row>
    <row r="8782" spans="2:4">
      <c r="B8782" t="s">
        <v>10808</v>
      </c>
      <c r="C8782" s="46">
        <v>1</v>
      </c>
      <c r="D8782" s="30">
        <v>2732.5482597492455</v>
      </c>
    </row>
    <row r="8783" spans="2:4">
      <c r="B8783" t="s">
        <v>10809</v>
      </c>
      <c r="C8783" s="46">
        <v>1</v>
      </c>
      <c r="D8783" s="30">
        <v>2500.3075306017495</v>
      </c>
    </row>
    <row r="8784" spans="2:4">
      <c r="B8784" t="s">
        <v>10810</v>
      </c>
      <c r="C8784" s="46">
        <v>1</v>
      </c>
      <c r="D8784" s="30">
        <v>14068.114902766145</v>
      </c>
    </row>
    <row r="8785" spans="2:4">
      <c r="B8785" t="s">
        <v>10811</v>
      </c>
      <c r="C8785" s="46">
        <v>1</v>
      </c>
      <c r="D8785" s="30">
        <v>2500.3075306017495</v>
      </c>
    </row>
    <row r="8786" spans="2:4">
      <c r="B8786" t="s">
        <v>10812</v>
      </c>
      <c r="C8786" s="46">
        <v>1</v>
      </c>
      <c r="D8786" s="30">
        <v>2424.4486955895045</v>
      </c>
    </row>
    <row r="8787" spans="2:4">
      <c r="B8787" t="s">
        <v>10813</v>
      </c>
      <c r="C8787" s="46">
        <v>2</v>
      </c>
      <c r="D8787" s="30">
        <v>21618.067181649585</v>
      </c>
    </row>
    <row r="8788" spans="2:4">
      <c r="B8788" t="s">
        <v>10814</v>
      </c>
      <c r="C8788" s="46">
        <v>1</v>
      </c>
      <c r="D8788" s="30">
        <v>2787.1707905533153</v>
      </c>
    </row>
    <row r="8789" spans="2:4">
      <c r="B8789" t="s">
        <v>10815</v>
      </c>
      <c r="C8789" s="46">
        <v>1</v>
      </c>
      <c r="D8789" s="30">
        <v>2787.1707905533153</v>
      </c>
    </row>
    <row r="8790" spans="2:4">
      <c r="B8790" t="s">
        <v>10816</v>
      </c>
      <c r="C8790" s="46">
        <v>1</v>
      </c>
      <c r="D8790" s="30">
        <v>2869.7446952480695</v>
      </c>
    </row>
    <row r="8791" spans="2:4">
      <c r="B8791" t="s">
        <v>10817</v>
      </c>
      <c r="C8791" s="46">
        <v>1</v>
      </c>
      <c r="D8791" s="30">
        <v>2419.0594841095067</v>
      </c>
    </row>
    <row r="8792" spans="2:4">
      <c r="B8792" t="s">
        <v>10818</v>
      </c>
      <c r="C8792" s="46">
        <v>1</v>
      </c>
      <c r="D8792" s="30">
        <v>2294.1325911695376</v>
      </c>
    </row>
    <row r="8793" spans="2:4">
      <c r="B8793" t="s">
        <v>10819</v>
      </c>
      <c r="C8793" s="46">
        <v>1</v>
      </c>
      <c r="D8793" s="30">
        <v>2613.6916211966536</v>
      </c>
    </row>
    <row r="8794" spans="2:4">
      <c r="B8794" t="s">
        <v>10820</v>
      </c>
      <c r="C8794" s="46">
        <v>1</v>
      </c>
      <c r="D8794" s="30">
        <v>1719.2977064777861</v>
      </c>
    </row>
    <row r="8795" spans="2:4">
      <c r="B8795" t="s">
        <v>10821</v>
      </c>
      <c r="C8795" s="46">
        <v>1</v>
      </c>
      <c r="D8795" s="30">
        <v>584.92611628741827</v>
      </c>
    </row>
    <row r="8796" spans="2:4">
      <c r="B8796" t="s">
        <v>10822</v>
      </c>
      <c r="C8796" s="46">
        <v>1</v>
      </c>
      <c r="D8796" s="30">
        <v>903.51966697705211</v>
      </c>
    </row>
    <row r="8797" spans="2:4">
      <c r="B8797" t="s">
        <v>10823</v>
      </c>
      <c r="C8797" s="46">
        <v>1</v>
      </c>
      <c r="D8797" s="30">
        <v>1381.7574384699276</v>
      </c>
    </row>
    <row r="8798" spans="2:4">
      <c r="B8798" t="s">
        <v>10824</v>
      </c>
      <c r="C8798" s="46">
        <v>1</v>
      </c>
      <c r="D8798" s="30">
        <v>2794.7704751972396</v>
      </c>
    </row>
    <row r="8799" spans="2:4">
      <c r="B8799" t="s">
        <v>10825</v>
      </c>
      <c r="C8799" s="46">
        <v>1</v>
      </c>
      <c r="D8799" s="30">
        <v>2004.1426527053829</v>
      </c>
    </row>
    <row r="8800" spans="2:4">
      <c r="B8800" t="s">
        <v>10826</v>
      </c>
      <c r="C8800" s="46">
        <v>1</v>
      </c>
      <c r="D8800" s="30">
        <v>32658.87039802608</v>
      </c>
    </row>
    <row r="8801" spans="2:4">
      <c r="B8801" t="s">
        <v>10827</v>
      </c>
      <c r="C8801" s="46">
        <v>1</v>
      </c>
      <c r="D8801" s="30">
        <v>2827.5804711903611</v>
      </c>
    </row>
    <row r="8802" spans="2:4">
      <c r="B8802" t="s">
        <v>10828</v>
      </c>
      <c r="C8802" s="46">
        <v>1</v>
      </c>
      <c r="D8802" s="30">
        <v>2123.9121706990036</v>
      </c>
    </row>
    <row r="8803" spans="2:4">
      <c r="B8803" t="s">
        <v>10829</v>
      </c>
      <c r="C8803" s="46">
        <v>1</v>
      </c>
      <c r="D8803" s="30">
        <v>2586.4662526348443</v>
      </c>
    </row>
    <row r="8804" spans="2:4">
      <c r="B8804" t="s">
        <v>10830</v>
      </c>
      <c r="C8804" s="46">
        <v>1</v>
      </c>
      <c r="D8804" s="30">
        <v>8995.936835862929</v>
      </c>
    </row>
    <row r="8805" spans="2:4">
      <c r="B8805" t="s">
        <v>10831</v>
      </c>
      <c r="C8805" s="46">
        <v>1</v>
      </c>
      <c r="D8805" s="30">
        <v>2681.1338486145883</v>
      </c>
    </row>
    <row r="8806" spans="2:4">
      <c r="B8806" t="s">
        <v>10832</v>
      </c>
      <c r="C8806" s="46">
        <v>1</v>
      </c>
      <c r="D8806" s="30">
        <v>2554.6216994232182</v>
      </c>
    </row>
    <row r="8807" spans="2:4">
      <c r="B8807" t="s">
        <v>10833</v>
      </c>
      <c r="C8807" s="46">
        <v>1</v>
      </c>
      <c r="D8807" s="30">
        <v>2883.6121722238527</v>
      </c>
    </row>
    <row r="8808" spans="2:4">
      <c r="B8808" t="s">
        <v>10834</v>
      </c>
      <c r="C8808" s="46">
        <v>1</v>
      </c>
      <c r="D8808" s="30">
        <v>385.5943692819481</v>
      </c>
    </row>
    <row r="8809" spans="2:4">
      <c r="B8809" t="s">
        <v>10835</v>
      </c>
      <c r="C8809" s="46">
        <v>1</v>
      </c>
      <c r="D8809" s="30">
        <v>2452.831191982531</v>
      </c>
    </row>
    <row r="8810" spans="2:4">
      <c r="B8810" t="s">
        <v>10836</v>
      </c>
      <c r="C8810" s="46">
        <v>1</v>
      </c>
      <c r="D8810" s="30">
        <v>8224.1818353641265</v>
      </c>
    </row>
    <row r="8811" spans="2:4">
      <c r="B8811" t="s">
        <v>10837</v>
      </c>
      <c r="C8811" s="46">
        <v>1</v>
      </c>
      <c r="D8811" s="30">
        <v>25111.447624084984</v>
      </c>
    </row>
    <row r="8812" spans="2:4">
      <c r="B8812" t="s">
        <v>10838</v>
      </c>
      <c r="C8812" s="46">
        <v>2</v>
      </c>
      <c r="D8812" s="30">
        <v>21618.067181649585</v>
      </c>
    </row>
    <row r="8813" spans="2:4">
      <c r="B8813" t="s">
        <v>10839</v>
      </c>
      <c r="C8813" s="46">
        <v>1</v>
      </c>
      <c r="D8813" s="30">
        <v>2519.5283956177745</v>
      </c>
    </row>
    <row r="8814" spans="2:4">
      <c r="B8814" t="s">
        <v>10840</v>
      </c>
      <c r="C8814" s="46">
        <v>1</v>
      </c>
      <c r="D8814" s="30">
        <v>2552.3789592439934</v>
      </c>
    </row>
    <row r="8815" spans="2:4">
      <c r="B8815" t="s">
        <v>10841</v>
      </c>
      <c r="C8815" s="46">
        <v>1</v>
      </c>
      <c r="D8815" s="30">
        <v>2611.7774121173525</v>
      </c>
    </row>
    <row r="8816" spans="2:4">
      <c r="B8816" t="s">
        <v>10842</v>
      </c>
      <c r="C8816" s="46">
        <v>1</v>
      </c>
      <c r="D8816" s="30">
        <v>3067.9019235103292</v>
      </c>
    </row>
    <row r="8817" spans="2:4">
      <c r="B8817" t="s">
        <v>10843</v>
      </c>
      <c r="C8817" s="46">
        <v>1</v>
      </c>
      <c r="D8817" s="30">
        <v>2123.9121706990036</v>
      </c>
    </row>
    <row r="8818" spans="2:4">
      <c r="B8818" t="s">
        <v>10844</v>
      </c>
      <c r="C8818" s="46">
        <v>1</v>
      </c>
      <c r="D8818" s="30">
        <v>2452.831191982531</v>
      </c>
    </row>
    <row r="8819" spans="2:4">
      <c r="B8819" t="s">
        <v>10845</v>
      </c>
      <c r="C8819" s="46">
        <v>1</v>
      </c>
      <c r="D8819" s="30">
        <v>13225.31075355577</v>
      </c>
    </row>
    <row r="8820" spans="2:4">
      <c r="B8820" t="s">
        <v>10846</v>
      </c>
      <c r="C8820" s="46">
        <v>1</v>
      </c>
      <c r="D8820" s="30">
        <v>2807.7808677334092</v>
      </c>
    </row>
    <row r="8821" spans="2:4">
      <c r="B8821" t="s">
        <v>10847</v>
      </c>
      <c r="C8821" s="46">
        <v>1</v>
      </c>
      <c r="D8821" s="30">
        <v>2944.3271259632579</v>
      </c>
    </row>
    <row r="8822" spans="2:4">
      <c r="B8822" t="s">
        <v>10848</v>
      </c>
      <c r="C8822" s="46">
        <v>1</v>
      </c>
      <c r="D8822" s="30">
        <v>2862.5930433339859</v>
      </c>
    </row>
    <row r="8823" spans="2:4">
      <c r="B8823" t="s">
        <v>10849</v>
      </c>
      <c r="C8823" s="46">
        <v>1</v>
      </c>
      <c r="D8823" s="30">
        <v>651.75204818750535</v>
      </c>
    </row>
    <row r="8824" spans="2:4">
      <c r="B8824" t="s">
        <v>10850</v>
      </c>
      <c r="C8824" s="46">
        <v>1</v>
      </c>
      <c r="D8824" s="30">
        <v>2995.4455508582218</v>
      </c>
    </row>
    <row r="8825" spans="2:4">
      <c r="B8825" t="s">
        <v>10851</v>
      </c>
      <c r="C8825" s="46">
        <v>1</v>
      </c>
      <c r="D8825" s="30">
        <v>2995.4455508582218</v>
      </c>
    </row>
    <row r="8826" spans="2:4">
      <c r="B8826" t="s">
        <v>10852</v>
      </c>
      <c r="C8826" s="46">
        <v>1</v>
      </c>
      <c r="D8826" s="30">
        <v>2995.4455508582218</v>
      </c>
    </row>
    <row r="8827" spans="2:4">
      <c r="B8827" t="s">
        <v>10853</v>
      </c>
      <c r="C8827" s="46">
        <v>1</v>
      </c>
      <c r="D8827" s="30">
        <v>2995.4455508582218</v>
      </c>
    </row>
    <row r="8828" spans="2:4">
      <c r="B8828" t="s">
        <v>10854</v>
      </c>
      <c r="C8828" s="46">
        <v>1</v>
      </c>
      <c r="D8828" s="30">
        <v>2995.4455508582218</v>
      </c>
    </row>
    <row r="8829" spans="2:4">
      <c r="B8829" t="s">
        <v>10855</v>
      </c>
      <c r="C8829" s="46">
        <v>1</v>
      </c>
      <c r="D8829" s="30">
        <v>2813.0177844780737</v>
      </c>
    </row>
    <row r="8830" spans="2:4">
      <c r="B8830" t="s">
        <v>10856</v>
      </c>
      <c r="C8830" s="46">
        <v>1</v>
      </c>
      <c r="D8830" s="30">
        <v>1427.3090153346284</v>
      </c>
    </row>
    <row r="8831" spans="2:4">
      <c r="B8831" t="s">
        <v>10857</v>
      </c>
      <c r="C8831" s="46">
        <v>1</v>
      </c>
      <c r="D8831" s="30">
        <v>3395.6379857986899</v>
      </c>
    </row>
    <row r="8832" spans="2:4">
      <c r="B8832" t="s">
        <v>10858</v>
      </c>
      <c r="C8832" s="46">
        <v>1</v>
      </c>
      <c r="D8832" s="30">
        <v>32658.87039802608</v>
      </c>
    </row>
    <row r="8833" spans="2:4">
      <c r="B8833" t="s">
        <v>10859</v>
      </c>
      <c r="C8833" s="46">
        <v>1</v>
      </c>
      <c r="D8833" s="30">
        <v>14068.114902766145</v>
      </c>
    </row>
    <row r="8834" spans="2:4">
      <c r="B8834" t="s">
        <v>10860</v>
      </c>
      <c r="C8834" s="46">
        <v>1</v>
      </c>
      <c r="D8834" s="30">
        <v>643.47026825907278</v>
      </c>
    </row>
    <row r="8835" spans="2:4">
      <c r="B8835" t="s">
        <v>10861</v>
      </c>
      <c r="C8835" s="46">
        <v>1</v>
      </c>
      <c r="D8835" s="30">
        <v>1528.9420132352006</v>
      </c>
    </row>
    <row r="8836" spans="2:4">
      <c r="B8836" t="s">
        <v>10862</v>
      </c>
      <c r="C8836" s="46">
        <v>1</v>
      </c>
      <c r="D8836" s="30">
        <v>2856.4557996193894</v>
      </c>
    </row>
    <row r="8837" spans="2:4">
      <c r="B8837" t="s">
        <v>10863</v>
      </c>
      <c r="C8837" s="46">
        <v>1</v>
      </c>
      <c r="D8837" s="30">
        <v>1427.3090153346284</v>
      </c>
    </row>
    <row r="8838" spans="2:4">
      <c r="B8838" t="s">
        <v>10864</v>
      </c>
      <c r="C8838" s="46">
        <v>1</v>
      </c>
      <c r="D8838" s="30">
        <v>2123.9121706990036</v>
      </c>
    </row>
    <row r="8839" spans="2:4">
      <c r="B8839" t="s">
        <v>10865</v>
      </c>
      <c r="C8839" s="46">
        <v>1</v>
      </c>
      <c r="D8839" s="30">
        <v>2829.8521671034619</v>
      </c>
    </row>
    <row r="8840" spans="2:4">
      <c r="B8840" t="s">
        <v>10866</v>
      </c>
      <c r="C8840" s="46">
        <v>1</v>
      </c>
      <c r="D8840" s="30">
        <v>2778.6527078200015</v>
      </c>
    </row>
    <row r="8841" spans="2:4">
      <c r="B8841" t="s">
        <v>10867</v>
      </c>
      <c r="C8841" s="46">
        <v>1</v>
      </c>
      <c r="D8841" s="30">
        <v>4973.8202072140239</v>
      </c>
    </row>
    <row r="8842" spans="2:4">
      <c r="B8842" t="s">
        <v>10868</v>
      </c>
      <c r="C8842" s="46">
        <v>1</v>
      </c>
      <c r="D8842" s="30">
        <v>2016.00851404221</v>
      </c>
    </row>
    <row r="8843" spans="2:4">
      <c r="B8843" t="s">
        <v>10869</v>
      </c>
      <c r="C8843" s="46">
        <v>1</v>
      </c>
      <c r="D8843" s="30">
        <v>13225.31075355577</v>
      </c>
    </row>
    <row r="8844" spans="2:4">
      <c r="B8844" t="s">
        <v>10870</v>
      </c>
      <c r="C8844" s="46">
        <v>1</v>
      </c>
      <c r="D8844" s="30">
        <v>2065.0352185109778</v>
      </c>
    </row>
    <row r="8845" spans="2:4">
      <c r="B8845" t="s">
        <v>10871</v>
      </c>
      <c r="C8845" s="46">
        <v>1</v>
      </c>
      <c r="D8845" s="30">
        <v>3104.824850849714</v>
      </c>
    </row>
    <row r="8846" spans="2:4">
      <c r="B8846" t="s">
        <v>10872</v>
      </c>
      <c r="C8846" s="46">
        <v>1</v>
      </c>
      <c r="D8846" s="30">
        <v>246.84107186477547</v>
      </c>
    </row>
    <row r="8847" spans="2:4">
      <c r="B8847" t="s">
        <v>10873</v>
      </c>
      <c r="C8847" s="46">
        <v>1</v>
      </c>
      <c r="D8847" s="30">
        <v>32658.87039802608</v>
      </c>
    </row>
    <row r="8848" spans="2:4">
      <c r="B8848" t="s">
        <v>10874</v>
      </c>
      <c r="C8848" s="46">
        <v>1</v>
      </c>
      <c r="D8848" s="30">
        <v>5332.9535252922642</v>
      </c>
    </row>
    <row r="8849" spans="2:4">
      <c r="B8849" t="s">
        <v>10875</v>
      </c>
      <c r="C8849" s="46">
        <v>2</v>
      </c>
      <c r="D8849" s="30">
        <v>21618.067181649585</v>
      </c>
    </row>
    <row r="8850" spans="2:4">
      <c r="B8850" t="s">
        <v>10876</v>
      </c>
      <c r="C8850" s="46">
        <v>1</v>
      </c>
      <c r="D8850" s="30">
        <v>2554.6216994232182</v>
      </c>
    </row>
    <row r="8851" spans="2:4">
      <c r="B8851" t="s">
        <v>10877</v>
      </c>
      <c r="C8851" s="46">
        <v>1</v>
      </c>
      <c r="D8851" s="30">
        <v>2492.4097936825888</v>
      </c>
    </row>
    <row r="8852" spans="2:4">
      <c r="B8852" t="s">
        <v>10878</v>
      </c>
      <c r="C8852" s="46">
        <v>1</v>
      </c>
      <c r="D8852" s="30">
        <v>2783.8823885211409</v>
      </c>
    </row>
    <row r="8853" spans="2:4">
      <c r="B8853" t="s">
        <v>10879</v>
      </c>
      <c r="C8853" s="46">
        <v>1</v>
      </c>
      <c r="D8853" s="30">
        <v>2883.1685104755088</v>
      </c>
    </row>
    <row r="8854" spans="2:4">
      <c r="B8854" t="s">
        <v>10880</v>
      </c>
      <c r="C8854" s="46">
        <v>1</v>
      </c>
      <c r="D8854" s="30">
        <v>2650.248351186262</v>
      </c>
    </row>
    <row r="8855" spans="2:4">
      <c r="B8855" t="s">
        <v>10881</v>
      </c>
      <c r="C8855" s="46">
        <v>1</v>
      </c>
      <c r="D8855" s="30">
        <v>2740.0500435036643</v>
      </c>
    </row>
    <row r="8856" spans="2:4">
      <c r="B8856" t="s">
        <v>10882</v>
      </c>
      <c r="C8856" s="46">
        <v>1</v>
      </c>
      <c r="D8856" s="30">
        <v>1386.8297399268699</v>
      </c>
    </row>
    <row r="8857" spans="2:4">
      <c r="B8857" t="s">
        <v>10883</v>
      </c>
      <c r="C8857" s="46">
        <v>1</v>
      </c>
      <c r="D8857" s="30">
        <v>6324.0649448731137</v>
      </c>
    </row>
    <row r="8858" spans="2:4">
      <c r="B8858" t="s">
        <v>10884</v>
      </c>
      <c r="C8858" s="46">
        <v>1</v>
      </c>
      <c r="D8858" s="30">
        <v>2884.0245131798015</v>
      </c>
    </row>
    <row r="8859" spans="2:4">
      <c r="B8859" t="s">
        <v>10885</v>
      </c>
      <c r="C8859" s="46">
        <v>1</v>
      </c>
      <c r="D8859" s="30">
        <v>8224.1818353641265</v>
      </c>
    </row>
    <row r="8860" spans="2:4">
      <c r="B8860" t="s">
        <v>10886</v>
      </c>
      <c r="C8860" s="46">
        <v>1</v>
      </c>
      <c r="D8860" s="30">
        <v>2123.9121706990036</v>
      </c>
    </row>
    <row r="8861" spans="2:4">
      <c r="B8861" t="s">
        <v>10887</v>
      </c>
      <c r="C8861" s="46">
        <v>1</v>
      </c>
      <c r="D8861" s="30">
        <v>2792.5072477076678</v>
      </c>
    </row>
    <row r="8862" spans="2:4">
      <c r="B8862" t="s">
        <v>10888</v>
      </c>
      <c r="C8862" s="46">
        <v>1</v>
      </c>
      <c r="D8862" s="30">
        <v>14068.114902766145</v>
      </c>
    </row>
    <row r="8863" spans="2:4">
      <c r="B8863" t="s">
        <v>10889</v>
      </c>
      <c r="C8863" s="46">
        <v>1</v>
      </c>
      <c r="D8863" s="30">
        <v>32658.87039802608</v>
      </c>
    </row>
    <row r="8864" spans="2:4">
      <c r="B8864" t="s">
        <v>10890</v>
      </c>
      <c r="C8864" s="46">
        <v>1</v>
      </c>
      <c r="D8864" s="30">
        <v>2792.5072477076678</v>
      </c>
    </row>
    <row r="8865" spans="2:4">
      <c r="B8865" t="s">
        <v>10891</v>
      </c>
      <c r="C8865" s="46">
        <v>1</v>
      </c>
      <c r="D8865" s="30">
        <v>2743.3073866103941</v>
      </c>
    </row>
    <row r="8866" spans="2:4">
      <c r="B8866" t="s">
        <v>10892</v>
      </c>
      <c r="C8866" s="46">
        <v>1</v>
      </c>
      <c r="D8866" s="30">
        <v>1856.0736858120583</v>
      </c>
    </row>
    <row r="8867" spans="2:4">
      <c r="B8867" t="s">
        <v>10893</v>
      </c>
      <c r="C8867" s="46">
        <v>1</v>
      </c>
      <c r="D8867" s="30">
        <v>1761.6623028119466</v>
      </c>
    </row>
    <row r="8868" spans="2:4">
      <c r="B8868" t="s">
        <v>10894</v>
      </c>
      <c r="C8868" s="46">
        <v>1</v>
      </c>
      <c r="D8868" s="30">
        <v>2842.4320151839343</v>
      </c>
    </row>
    <row r="8869" spans="2:4">
      <c r="B8869" t="s">
        <v>10895</v>
      </c>
      <c r="C8869" s="46">
        <v>1</v>
      </c>
      <c r="D8869" s="30">
        <v>1786.832074395247</v>
      </c>
    </row>
    <row r="8870" spans="2:4">
      <c r="B8870" t="s">
        <v>10896</v>
      </c>
      <c r="C8870" s="46">
        <v>1</v>
      </c>
      <c r="D8870" s="30">
        <v>1856.0736858120583</v>
      </c>
    </row>
    <row r="8871" spans="2:4">
      <c r="B8871" t="s">
        <v>10897</v>
      </c>
      <c r="C8871" s="46">
        <v>1</v>
      </c>
      <c r="D8871" s="30">
        <v>2792.5072477076678</v>
      </c>
    </row>
    <row r="8872" spans="2:4">
      <c r="B8872" t="s">
        <v>10898</v>
      </c>
      <c r="C8872" s="46">
        <v>1</v>
      </c>
      <c r="D8872" s="30">
        <v>1420.6249211093434</v>
      </c>
    </row>
    <row r="8873" spans="2:4">
      <c r="B8873" t="s">
        <v>10899</v>
      </c>
      <c r="C8873" s="46">
        <v>1</v>
      </c>
      <c r="D8873" s="30">
        <v>1605.9903336515681</v>
      </c>
    </row>
    <row r="8874" spans="2:4">
      <c r="B8874" t="s">
        <v>10900</v>
      </c>
      <c r="C8874" s="46">
        <v>1</v>
      </c>
      <c r="D8874" s="30">
        <v>2712.7836968587449</v>
      </c>
    </row>
    <row r="8875" spans="2:4">
      <c r="B8875" t="s">
        <v>10901</v>
      </c>
      <c r="C8875" s="46">
        <v>1</v>
      </c>
      <c r="D8875" s="30">
        <v>14068.114902766145</v>
      </c>
    </row>
    <row r="8876" spans="2:4">
      <c r="B8876" t="s">
        <v>10902</v>
      </c>
      <c r="C8876" s="46">
        <v>1</v>
      </c>
      <c r="D8876" s="30">
        <v>2186.6663001198867</v>
      </c>
    </row>
    <row r="8877" spans="2:4">
      <c r="B8877" t="s">
        <v>10903</v>
      </c>
      <c r="C8877" s="46">
        <v>1</v>
      </c>
      <c r="D8877" s="30">
        <v>784.98409722052975</v>
      </c>
    </row>
    <row r="8878" spans="2:4">
      <c r="B8878" t="s">
        <v>10904</v>
      </c>
      <c r="C8878" s="46">
        <v>1</v>
      </c>
      <c r="D8878" s="30">
        <v>2123.9121706990036</v>
      </c>
    </row>
    <row r="8879" spans="2:4">
      <c r="B8879" t="s">
        <v>10905</v>
      </c>
      <c r="C8879" s="46">
        <v>1</v>
      </c>
      <c r="D8879" s="30">
        <v>738.58211817895335</v>
      </c>
    </row>
    <row r="8880" spans="2:4">
      <c r="B8880" t="s">
        <v>10906</v>
      </c>
      <c r="C8880" s="46">
        <v>1</v>
      </c>
      <c r="D8880" s="30">
        <v>2487.249177670074</v>
      </c>
    </row>
    <row r="8881" spans="2:4">
      <c r="B8881" t="s">
        <v>10907</v>
      </c>
      <c r="C8881" s="46">
        <v>1</v>
      </c>
      <c r="D8881" s="30">
        <v>1146.8897496161665</v>
      </c>
    </row>
    <row r="8882" spans="2:4">
      <c r="B8882" t="s">
        <v>10908</v>
      </c>
      <c r="C8882" s="46">
        <v>1</v>
      </c>
      <c r="D8882" s="30">
        <v>1702.8368921779827</v>
      </c>
    </row>
    <row r="8883" spans="2:4">
      <c r="B8883" t="s">
        <v>10909</v>
      </c>
      <c r="C8883" s="46">
        <v>1</v>
      </c>
      <c r="D8883" s="30">
        <v>1665.0170759009704</v>
      </c>
    </row>
    <row r="8884" spans="2:4">
      <c r="B8884" t="s">
        <v>10910</v>
      </c>
      <c r="C8884" s="46">
        <v>1</v>
      </c>
      <c r="D8884" s="30">
        <v>2319.3838675940583</v>
      </c>
    </row>
    <row r="8885" spans="2:4">
      <c r="B8885" t="s">
        <v>10911</v>
      </c>
      <c r="C8885" s="46">
        <v>1</v>
      </c>
      <c r="D8885" s="30">
        <v>2123.9121706990036</v>
      </c>
    </row>
    <row r="8886" spans="2:4">
      <c r="B8886" t="s">
        <v>10912</v>
      </c>
      <c r="C8886" s="46">
        <v>1</v>
      </c>
      <c r="D8886" s="30">
        <v>919.13393077303704</v>
      </c>
    </row>
    <row r="8887" spans="2:4">
      <c r="B8887" t="s">
        <v>10913</v>
      </c>
      <c r="C8887" s="46">
        <v>1</v>
      </c>
      <c r="D8887" s="30">
        <v>3618.5863170100579</v>
      </c>
    </row>
    <row r="8888" spans="2:4">
      <c r="B8888" t="s">
        <v>10914</v>
      </c>
      <c r="C8888" s="46">
        <v>1</v>
      </c>
      <c r="D8888" s="30">
        <v>1708.4426632057812</v>
      </c>
    </row>
    <row r="8889" spans="2:4">
      <c r="B8889" t="s">
        <v>10915</v>
      </c>
      <c r="C8889" s="46">
        <v>1</v>
      </c>
      <c r="D8889" s="30">
        <v>383.03905346178726</v>
      </c>
    </row>
    <row r="8890" spans="2:4">
      <c r="B8890" t="s">
        <v>10916</v>
      </c>
      <c r="C8890" s="46">
        <v>1</v>
      </c>
      <c r="D8890" s="30">
        <v>781.77988928705918</v>
      </c>
    </row>
    <row r="8891" spans="2:4">
      <c r="B8891" t="s">
        <v>10917</v>
      </c>
      <c r="C8891" s="46">
        <v>1</v>
      </c>
      <c r="D8891" s="30">
        <v>14651.262515274124</v>
      </c>
    </row>
    <row r="8892" spans="2:4">
      <c r="B8892" t="s">
        <v>10918</v>
      </c>
      <c r="C8892" s="46">
        <v>1</v>
      </c>
      <c r="D8892" s="30">
        <v>20116.31916202138</v>
      </c>
    </row>
    <row r="8893" spans="2:4">
      <c r="B8893" t="s">
        <v>10919</v>
      </c>
      <c r="C8893" s="46">
        <v>1</v>
      </c>
      <c r="D8893" s="30">
        <v>2296.2094996506798</v>
      </c>
    </row>
    <row r="8894" spans="2:4">
      <c r="B8894" t="s">
        <v>10920</v>
      </c>
      <c r="C8894" s="46">
        <v>1</v>
      </c>
      <c r="D8894" s="30">
        <v>2829.420147091455</v>
      </c>
    </row>
    <row r="8895" spans="2:4">
      <c r="B8895" t="s">
        <v>10921</v>
      </c>
      <c r="C8895" s="46">
        <v>1</v>
      </c>
      <c r="D8895" s="30">
        <v>2051.9289162063978</v>
      </c>
    </row>
    <row r="8896" spans="2:4">
      <c r="B8896" t="s">
        <v>10922</v>
      </c>
      <c r="C8896" s="46">
        <v>1</v>
      </c>
      <c r="D8896" s="30">
        <v>2759.284055254881</v>
      </c>
    </row>
    <row r="8897" spans="2:4">
      <c r="B8897" t="s">
        <v>10923</v>
      </c>
      <c r="C8897" s="46">
        <v>1</v>
      </c>
      <c r="D8897" s="30">
        <v>2884.0245131798015</v>
      </c>
    </row>
    <row r="8898" spans="2:4">
      <c r="B8898" t="s">
        <v>10924</v>
      </c>
      <c r="C8898" s="46">
        <v>2</v>
      </c>
      <c r="D8898" s="30">
        <v>21618.067181649585</v>
      </c>
    </row>
    <row r="8899" spans="2:4">
      <c r="B8899" t="s">
        <v>10925</v>
      </c>
      <c r="C8899" s="46">
        <v>1</v>
      </c>
      <c r="D8899" s="30">
        <v>584.92611628741827</v>
      </c>
    </row>
    <row r="8900" spans="2:4">
      <c r="B8900" t="s">
        <v>10926</v>
      </c>
      <c r="C8900" s="46">
        <v>2</v>
      </c>
      <c r="D8900" s="30">
        <v>36096.207010421102</v>
      </c>
    </row>
    <row r="8901" spans="2:4">
      <c r="B8901" t="s">
        <v>10927</v>
      </c>
      <c r="C8901" s="46">
        <v>1</v>
      </c>
      <c r="D8901" s="30">
        <v>2472.953546239522</v>
      </c>
    </row>
    <row r="8902" spans="2:4">
      <c r="B8902" t="s">
        <v>10928</v>
      </c>
      <c r="C8902" s="46">
        <v>1</v>
      </c>
      <c r="D8902" s="30">
        <v>32658.87039802608</v>
      </c>
    </row>
    <row r="8903" spans="2:4">
      <c r="B8903" t="s">
        <v>10929</v>
      </c>
      <c r="C8903" s="46">
        <v>1</v>
      </c>
      <c r="D8903" s="30">
        <v>568.94506508764232</v>
      </c>
    </row>
    <row r="8904" spans="2:4">
      <c r="B8904" t="s">
        <v>10930</v>
      </c>
      <c r="C8904" s="46">
        <v>1</v>
      </c>
      <c r="D8904" s="30">
        <v>1041.3973562913734</v>
      </c>
    </row>
    <row r="8905" spans="2:4">
      <c r="B8905" t="s">
        <v>10931</v>
      </c>
      <c r="C8905" s="46">
        <v>1</v>
      </c>
      <c r="D8905" s="30">
        <v>2709.8161742017669</v>
      </c>
    </row>
    <row r="8906" spans="2:4">
      <c r="B8906" t="s">
        <v>10932</v>
      </c>
      <c r="C8906" s="46">
        <v>1</v>
      </c>
      <c r="D8906" s="30">
        <v>2858.7766681946946</v>
      </c>
    </row>
    <row r="8907" spans="2:4">
      <c r="B8907" t="s">
        <v>10933</v>
      </c>
      <c r="C8907" s="46">
        <v>2</v>
      </c>
      <c r="D8907" s="30">
        <v>94575.881465008948</v>
      </c>
    </row>
    <row r="8908" spans="2:4">
      <c r="B8908" t="s">
        <v>10934</v>
      </c>
      <c r="C8908" s="46">
        <v>1</v>
      </c>
      <c r="D8908" s="30">
        <v>840.08366283417718</v>
      </c>
    </row>
    <row r="8909" spans="2:4">
      <c r="B8909" t="s">
        <v>10935</v>
      </c>
      <c r="C8909" s="46">
        <v>2</v>
      </c>
      <c r="D8909" s="30">
        <v>14951.261680896479</v>
      </c>
    </row>
    <row r="8910" spans="2:4">
      <c r="B8910" t="s">
        <v>10936</v>
      </c>
      <c r="C8910" s="46">
        <v>1</v>
      </c>
      <c r="D8910" s="30">
        <v>2670.2561409480631</v>
      </c>
    </row>
    <row r="8911" spans="2:4">
      <c r="B8911" t="s">
        <v>10937</v>
      </c>
      <c r="C8911" s="46">
        <v>1</v>
      </c>
      <c r="D8911" s="30">
        <v>14068.114902766145</v>
      </c>
    </row>
    <row r="8912" spans="2:4">
      <c r="B8912" t="s">
        <v>10938</v>
      </c>
      <c r="C8912" s="46">
        <v>1</v>
      </c>
      <c r="D8912" s="30">
        <v>2492.4097936825888</v>
      </c>
    </row>
    <row r="8913" spans="2:4">
      <c r="B8913" t="s">
        <v>10939</v>
      </c>
      <c r="C8913" s="46">
        <v>1</v>
      </c>
      <c r="D8913" s="30">
        <v>2710.3666469932514</v>
      </c>
    </row>
    <row r="8914" spans="2:4">
      <c r="B8914" t="s">
        <v>10940</v>
      </c>
      <c r="C8914" s="46">
        <v>1</v>
      </c>
      <c r="D8914" s="30">
        <v>584.92611628741827</v>
      </c>
    </row>
    <row r="8915" spans="2:4">
      <c r="B8915" t="s">
        <v>10941</v>
      </c>
      <c r="C8915" s="46">
        <v>1</v>
      </c>
      <c r="D8915" s="30">
        <v>2840.9338979744248</v>
      </c>
    </row>
    <row r="8916" spans="2:4">
      <c r="B8916" t="s">
        <v>10942</v>
      </c>
      <c r="C8916" s="46">
        <v>1</v>
      </c>
      <c r="D8916" s="30">
        <v>2707.057550116896</v>
      </c>
    </row>
    <row r="8917" spans="2:4">
      <c r="B8917" t="s">
        <v>10943</v>
      </c>
      <c r="C8917" s="46">
        <v>1</v>
      </c>
      <c r="D8917" s="30">
        <v>2361.8604573731486</v>
      </c>
    </row>
    <row r="8918" spans="2:4">
      <c r="B8918" t="s">
        <v>10944</v>
      </c>
      <c r="C8918" s="46">
        <v>1</v>
      </c>
      <c r="D8918" s="30">
        <v>2815.7003692063381</v>
      </c>
    </row>
    <row r="8919" spans="2:4">
      <c r="B8919" t="s">
        <v>10945</v>
      </c>
      <c r="C8919" s="46">
        <v>1</v>
      </c>
      <c r="D8919" s="30">
        <v>2882.0436500228893</v>
      </c>
    </row>
    <row r="8920" spans="2:4">
      <c r="B8920" t="s">
        <v>10946</v>
      </c>
      <c r="C8920" s="46">
        <v>1</v>
      </c>
      <c r="D8920" s="30">
        <v>2879.0724049006062</v>
      </c>
    </row>
    <row r="8921" spans="2:4">
      <c r="B8921" t="s">
        <v>10947</v>
      </c>
      <c r="C8921" s="46">
        <v>1</v>
      </c>
      <c r="D8921" s="30">
        <v>2791.9432417819517</v>
      </c>
    </row>
    <row r="8922" spans="2:4">
      <c r="B8922" t="s">
        <v>10948</v>
      </c>
      <c r="C8922" s="46">
        <v>1</v>
      </c>
      <c r="D8922" s="30">
        <v>2797.4679434321292</v>
      </c>
    </row>
    <row r="8923" spans="2:4">
      <c r="B8923" t="s">
        <v>10949</v>
      </c>
      <c r="C8923" s="46">
        <v>1</v>
      </c>
      <c r="D8923" s="30">
        <v>14068.114902766145</v>
      </c>
    </row>
    <row r="8924" spans="2:4">
      <c r="B8924" t="s">
        <v>10950</v>
      </c>
      <c r="C8924" s="46">
        <v>1</v>
      </c>
      <c r="D8924" s="30">
        <v>2065.0352185109778</v>
      </c>
    </row>
    <row r="8925" spans="2:4">
      <c r="B8925" t="s">
        <v>10951</v>
      </c>
      <c r="C8925" s="46">
        <v>1</v>
      </c>
      <c r="D8925" s="30">
        <v>2424.4486955895045</v>
      </c>
    </row>
    <row r="8926" spans="2:4">
      <c r="B8926" t="s">
        <v>10952</v>
      </c>
      <c r="C8926" s="46">
        <v>1</v>
      </c>
      <c r="D8926" s="30">
        <v>2879.8241276459244</v>
      </c>
    </row>
    <row r="8927" spans="2:4">
      <c r="B8927" t="s">
        <v>10953</v>
      </c>
      <c r="C8927" s="46">
        <v>1</v>
      </c>
      <c r="D8927" s="30">
        <v>7051.451653877587</v>
      </c>
    </row>
    <row r="8928" spans="2:4">
      <c r="B8928" t="s">
        <v>10954</v>
      </c>
      <c r="C8928" s="46">
        <v>1</v>
      </c>
      <c r="D8928" s="30">
        <v>1218.3409099941746</v>
      </c>
    </row>
    <row r="8929" spans="2:4">
      <c r="B8929" t="s">
        <v>10955</v>
      </c>
      <c r="C8929" s="46">
        <v>1</v>
      </c>
      <c r="D8929" s="30">
        <v>2854.9881848707819</v>
      </c>
    </row>
    <row r="8930" spans="2:4">
      <c r="B8930" t="s">
        <v>10956</v>
      </c>
      <c r="C8930" s="46">
        <v>1</v>
      </c>
      <c r="D8930" s="30">
        <v>2787.1707905533153</v>
      </c>
    </row>
    <row r="8931" spans="2:4">
      <c r="B8931" t="s">
        <v>10957</v>
      </c>
      <c r="C8931" s="46">
        <v>1</v>
      </c>
      <c r="D8931" s="30">
        <v>7655.3811415371056</v>
      </c>
    </row>
    <row r="8932" spans="2:4">
      <c r="B8932" t="s">
        <v>10958</v>
      </c>
      <c r="C8932" s="46">
        <v>1</v>
      </c>
      <c r="D8932" s="30">
        <v>2743.3073866103941</v>
      </c>
    </row>
    <row r="8933" spans="2:4">
      <c r="B8933" t="s">
        <v>10959</v>
      </c>
      <c r="C8933" s="46">
        <v>1</v>
      </c>
      <c r="D8933" s="30">
        <v>595.54124740002248</v>
      </c>
    </row>
    <row r="8934" spans="2:4">
      <c r="B8934" t="s">
        <v>10960</v>
      </c>
      <c r="C8934" s="46">
        <v>1</v>
      </c>
      <c r="D8934" s="30">
        <v>2743.3073866103941</v>
      </c>
    </row>
    <row r="8935" spans="2:4">
      <c r="B8935" t="s">
        <v>10961</v>
      </c>
      <c r="C8935" s="46">
        <v>1</v>
      </c>
      <c r="D8935" s="30">
        <v>2860.2559131667217</v>
      </c>
    </row>
    <row r="8936" spans="2:4">
      <c r="B8936" t="s">
        <v>10962</v>
      </c>
      <c r="C8936" s="46">
        <v>1</v>
      </c>
      <c r="D8936" s="30">
        <v>1539.9400399957856</v>
      </c>
    </row>
    <row r="8937" spans="2:4">
      <c r="B8937" t="s">
        <v>10963</v>
      </c>
      <c r="C8937" s="46">
        <v>1</v>
      </c>
      <c r="D8937" s="30">
        <v>2195.9315163918591</v>
      </c>
    </row>
    <row r="8938" spans="2:4">
      <c r="B8938" t="s">
        <v>10964</v>
      </c>
      <c r="C8938" s="46">
        <v>2</v>
      </c>
      <c r="D8938" s="30">
        <v>33771.685896520932</v>
      </c>
    </row>
    <row r="8939" spans="2:4">
      <c r="B8939" t="s">
        <v>10965</v>
      </c>
      <c r="C8939" s="46">
        <v>1</v>
      </c>
      <c r="D8939" s="30">
        <v>2995.4455508582218</v>
      </c>
    </row>
    <row r="8940" spans="2:4">
      <c r="B8940" t="s">
        <v>10966</v>
      </c>
      <c r="C8940" s="46">
        <v>2</v>
      </c>
      <c r="D8940" s="30">
        <v>36096.207010421102</v>
      </c>
    </row>
    <row r="8941" spans="2:4">
      <c r="B8941" t="s">
        <v>10967</v>
      </c>
      <c r="C8941" s="46">
        <v>1</v>
      </c>
      <c r="D8941" s="30">
        <v>2790.6690382039087</v>
      </c>
    </row>
    <row r="8942" spans="2:4">
      <c r="B8942" t="s">
        <v>10968</v>
      </c>
      <c r="C8942" s="46">
        <v>1</v>
      </c>
      <c r="D8942" s="30">
        <v>2876.8157104906477</v>
      </c>
    </row>
    <row r="8943" spans="2:4">
      <c r="B8943" t="s">
        <v>10969</v>
      </c>
      <c r="C8943" s="46">
        <v>2</v>
      </c>
      <c r="D8943" s="30">
        <v>21618.067181649585</v>
      </c>
    </row>
    <row r="8944" spans="2:4">
      <c r="B8944" t="s">
        <v>10970</v>
      </c>
      <c r="C8944" s="46">
        <v>1</v>
      </c>
      <c r="D8944" s="30">
        <v>2620.4365426605045</v>
      </c>
    </row>
    <row r="8945" spans="2:4">
      <c r="B8945" t="s">
        <v>10971</v>
      </c>
      <c r="C8945" s="46">
        <v>1</v>
      </c>
      <c r="D8945" s="30">
        <v>2743.3073866103941</v>
      </c>
    </row>
    <row r="8946" spans="2:4">
      <c r="B8946" t="s">
        <v>10972</v>
      </c>
      <c r="C8946" s="46">
        <v>1</v>
      </c>
      <c r="D8946" s="30">
        <v>2743.3073866103941</v>
      </c>
    </row>
    <row r="8947" spans="2:4">
      <c r="B8947" t="s">
        <v>10973</v>
      </c>
      <c r="C8947" s="46">
        <v>1</v>
      </c>
      <c r="D8947" s="30">
        <v>32658.87039802608</v>
      </c>
    </row>
    <row r="8948" spans="2:4">
      <c r="B8948" t="s">
        <v>10974</v>
      </c>
      <c r="C8948" s="46">
        <v>1</v>
      </c>
      <c r="D8948" s="30">
        <v>2743.3073866103941</v>
      </c>
    </row>
    <row r="8949" spans="2:4">
      <c r="B8949" t="s">
        <v>10975</v>
      </c>
      <c r="C8949" s="46">
        <v>1</v>
      </c>
      <c r="D8949" s="30">
        <v>2743.3073866103941</v>
      </c>
    </row>
    <row r="8950" spans="2:4">
      <c r="B8950" t="s">
        <v>10976</v>
      </c>
      <c r="C8950" s="46">
        <v>1</v>
      </c>
      <c r="D8950" s="30">
        <v>1836.5251533276585</v>
      </c>
    </row>
    <row r="8951" spans="2:4">
      <c r="B8951" t="s">
        <v>10977</v>
      </c>
      <c r="C8951" s="46">
        <v>1</v>
      </c>
      <c r="D8951" s="30">
        <v>2879.0724049006062</v>
      </c>
    </row>
    <row r="8952" spans="2:4">
      <c r="B8952" t="s">
        <v>10978</v>
      </c>
      <c r="C8952" s="46">
        <v>1</v>
      </c>
      <c r="D8952" s="30">
        <v>2433.6153612663302</v>
      </c>
    </row>
    <row r="8953" spans="2:4">
      <c r="B8953" t="s">
        <v>10979</v>
      </c>
      <c r="C8953" s="46">
        <v>1</v>
      </c>
      <c r="D8953" s="30">
        <v>1867.036196447018</v>
      </c>
    </row>
    <row r="8954" spans="2:4">
      <c r="B8954" t="s">
        <v>10980</v>
      </c>
      <c r="C8954" s="46">
        <v>1</v>
      </c>
      <c r="D8954" s="30">
        <v>2884.0245131798015</v>
      </c>
    </row>
    <row r="8955" spans="2:4">
      <c r="B8955" t="s">
        <v>10981</v>
      </c>
      <c r="C8955" s="46">
        <v>1</v>
      </c>
      <c r="D8955" s="30">
        <v>20030.342560217101</v>
      </c>
    </row>
    <row r="8956" spans="2:4">
      <c r="B8956" t="s">
        <v>10982</v>
      </c>
      <c r="C8956" s="46">
        <v>1</v>
      </c>
      <c r="D8956" s="30">
        <v>2727.4549407260042</v>
      </c>
    </row>
    <row r="8957" spans="2:4">
      <c r="B8957" t="s">
        <v>10983</v>
      </c>
      <c r="C8957" s="46">
        <v>1</v>
      </c>
      <c r="D8957" s="30">
        <v>3285.043233107494</v>
      </c>
    </row>
    <row r="8958" spans="2:4">
      <c r="B8958" t="s">
        <v>10984</v>
      </c>
      <c r="C8958" s="46">
        <v>1</v>
      </c>
      <c r="D8958" s="30">
        <v>7655.3811415371056</v>
      </c>
    </row>
    <row r="8959" spans="2:4">
      <c r="B8959" t="s">
        <v>10985</v>
      </c>
      <c r="C8959" s="46">
        <v>1</v>
      </c>
      <c r="D8959" s="30">
        <v>1466.3371380912479</v>
      </c>
    </row>
    <row r="8960" spans="2:4">
      <c r="B8960" t="s">
        <v>10986</v>
      </c>
      <c r="C8960" s="46">
        <v>1</v>
      </c>
      <c r="D8960" s="30">
        <v>2432.8897964965026</v>
      </c>
    </row>
    <row r="8961" spans="2:4">
      <c r="B8961" t="s">
        <v>10987</v>
      </c>
      <c r="C8961" s="46">
        <v>1</v>
      </c>
      <c r="D8961" s="30">
        <v>2654.8281378059314</v>
      </c>
    </row>
    <row r="8962" spans="2:4">
      <c r="B8962" t="s">
        <v>10988</v>
      </c>
      <c r="C8962" s="46">
        <v>1</v>
      </c>
      <c r="D8962" s="30">
        <v>1658.5839516536485</v>
      </c>
    </row>
    <row r="8963" spans="2:4">
      <c r="B8963" t="s">
        <v>10989</v>
      </c>
      <c r="C8963" s="46">
        <v>1</v>
      </c>
      <c r="D8963" s="30">
        <v>5071.6311460281013</v>
      </c>
    </row>
    <row r="8964" spans="2:4">
      <c r="B8964" t="s">
        <v>10990</v>
      </c>
      <c r="C8964" s="46">
        <v>1</v>
      </c>
      <c r="D8964" s="30">
        <v>2944.3271259632579</v>
      </c>
    </row>
    <row r="8965" spans="2:4">
      <c r="B8965" t="s">
        <v>10991</v>
      </c>
      <c r="C8965" s="46">
        <v>1</v>
      </c>
      <c r="D8965" s="30">
        <v>923.84956335626441</v>
      </c>
    </row>
    <row r="8966" spans="2:4">
      <c r="B8966" t="s">
        <v>10992</v>
      </c>
      <c r="C8966" s="46">
        <v>1</v>
      </c>
      <c r="D8966" s="30">
        <v>32658.87039802608</v>
      </c>
    </row>
    <row r="8967" spans="2:4">
      <c r="B8967" t="s">
        <v>10993</v>
      </c>
      <c r="C8967" s="46">
        <v>1</v>
      </c>
      <c r="D8967" s="30">
        <v>584.92611628741827</v>
      </c>
    </row>
    <row r="8968" spans="2:4">
      <c r="B8968" t="s">
        <v>10994</v>
      </c>
      <c r="C8968" s="46">
        <v>1</v>
      </c>
      <c r="D8968" s="30">
        <v>2095.9016586784282</v>
      </c>
    </row>
    <row r="8969" spans="2:4">
      <c r="B8969" t="s">
        <v>10995</v>
      </c>
      <c r="C8969" s="46">
        <v>1</v>
      </c>
      <c r="D8969" s="30">
        <v>2881.3576451498025</v>
      </c>
    </row>
    <row r="8970" spans="2:4">
      <c r="B8970" t="s">
        <v>10996</v>
      </c>
      <c r="C8970" s="46">
        <v>1</v>
      </c>
      <c r="D8970" s="30">
        <v>2858.2753710621491</v>
      </c>
    </row>
    <row r="8971" spans="2:4">
      <c r="B8971" t="s">
        <v>10997</v>
      </c>
      <c r="C8971" s="46">
        <v>1</v>
      </c>
      <c r="D8971" s="30">
        <v>2237.5907196133621</v>
      </c>
    </row>
    <row r="8972" spans="2:4">
      <c r="B8972" t="s">
        <v>10998</v>
      </c>
      <c r="C8972" s="46">
        <v>1</v>
      </c>
      <c r="D8972" s="30">
        <v>2743.3073866103941</v>
      </c>
    </row>
    <row r="8973" spans="2:4">
      <c r="B8973" t="s">
        <v>10999</v>
      </c>
      <c r="C8973" s="46">
        <v>1</v>
      </c>
      <c r="D8973" s="30">
        <v>2743.3073866103941</v>
      </c>
    </row>
    <row r="8974" spans="2:4">
      <c r="B8974" t="s">
        <v>11000</v>
      </c>
      <c r="C8974" s="46">
        <v>1</v>
      </c>
      <c r="D8974" s="30">
        <v>2743.3073866103941</v>
      </c>
    </row>
    <row r="8975" spans="2:4">
      <c r="B8975" t="s">
        <v>11001</v>
      </c>
      <c r="C8975" s="46">
        <v>1</v>
      </c>
      <c r="D8975" s="30">
        <v>2743.3073866103941</v>
      </c>
    </row>
    <row r="8976" spans="2:4">
      <c r="B8976" t="s">
        <v>11002</v>
      </c>
      <c r="C8976" s="46">
        <v>1</v>
      </c>
      <c r="D8976" s="30">
        <v>2436.6563506674343</v>
      </c>
    </row>
    <row r="8977" spans="2:4">
      <c r="B8977" t="s">
        <v>11003</v>
      </c>
      <c r="C8977" s="46">
        <v>1</v>
      </c>
      <c r="D8977" s="30">
        <v>2065.0352185109778</v>
      </c>
    </row>
    <row r="8978" spans="2:4">
      <c r="B8978" t="s">
        <v>11004</v>
      </c>
      <c r="C8978" s="46">
        <v>1</v>
      </c>
      <c r="D8978" s="30">
        <v>2743.3073866103941</v>
      </c>
    </row>
    <row r="8979" spans="2:4">
      <c r="B8979" t="s">
        <v>11005</v>
      </c>
      <c r="C8979" s="46">
        <v>1</v>
      </c>
      <c r="D8979" s="30">
        <v>2363.6634126922231</v>
      </c>
    </row>
    <row r="8980" spans="2:4">
      <c r="B8980" t="s">
        <v>11006</v>
      </c>
      <c r="C8980" s="46">
        <v>1</v>
      </c>
      <c r="D8980" s="30">
        <v>2743.3073866103941</v>
      </c>
    </row>
    <row r="8981" spans="2:4">
      <c r="B8981" t="s">
        <v>11007</v>
      </c>
      <c r="C8981" s="46">
        <v>2</v>
      </c>
      <c r="D8981" s="30">
        <v>120944.29691823982</v>
      </c>
    </row>
    <row r="8982" spans="2:4">
      <c r="B8982" t="s">
        <v>11008</v>
      </c>
      <c r="C8982" s="46">
        <v>1</v>
      </c>
      <c r="D8982" s="30">
        <v>8224.1818353641265</v>
      </c>
    </row>
    <row r="8983" spans="2:4">
      <c r="B8983" t="s">
        <v>11009</v>
      </c>
      <c r="C8983" s="46">
        <v>1</v>
      </c>
      <c r="D8983" s="30">
        <v>864.95842598974605</v>
      </c>
    </row>
    <row r="8984" spans="2:4">
      <c r="B8984" t="s">
        <v>11010</v>
      </c>
      <c r="C8984" s="46">
        <v>1</v>
      </c>
      <c r="D8984" s="30">
        <v>2743.3073866103941</v>
      </c>
    </row>
    <row r="8985" spans="2:4">
      <c r="B8985" t="s">
        <v>11011</v>
      </c>
      <c r="C8985" s="46">
        <v>1</v>
      </c>
      <c r="D8985" s="30">
        <v>2723.0699496759344</v>
      </c>
    </row>
    <row r="8986" spans="2:4">
      <c r="B8986" t="s">
        <v>11012</v>
      </c>
      <c r="C8986" s="46">
        <v>1</v>
      </c>
      <c r="D8986" s="30">
        <v>2743.3073866103941</v>
      </c>
    </row>
    <row r="8987" spans="2:4" ht="13.8" thickBot="1">
      <c r="B8987" s="25" t="s">
        <v>11013</v>
      </c>
      <c r="C8987" s="47">
        <v>2</v>
      </c>
      <c r="D8987" s="29">
        <v>63806.322752618289</v>
      </c>
    </row>
  </sheetData>
  <sortState xmlns:xlrd2="http://schemas.microsoft.com/office/spreadsheetml/2017/richdata2" ref="B4573:G4582">
    <sortCondition ref="B4585"/>
  </sortState>
  <mergeCells count="1">
    <mergeCell ref="B1:K2"/>
  </mergeCells>
  <pageMargins left="0.7" right="0.7" top="0.75" bottom="0.75" header="0.3" footer="0.3"/>
  <pageSetup paperSize="9" orientation="portrait" r:id="rId1"/>
  <ignoredErrors>
    <ignoredError sqref="A1"/>
  </ignoredErrors>
  <drawing r:id="rId2"/>
  <legacyDrawing r:id="rId3"/>
  <mc:AlternateContent xmlns:mc="http://schemas.openxmlformats.org/markup-compatibility/2006">
    <mc:Choice Requires="x14">
      <controls>
        <mc:AlternateContent xmlns:mc="http://schemas.openxmlformats.org/markup-compatibility/2006">
          <mc:Choice Requires="x14">
            <control shapeId="6145" r:id="rId4" name="BT705548">
              <controlPr defaultSize="0" print="0" autoFill="0" autoPict="0" macro="[0]!OrderXLSTAT">
                <anchor moveWithCells="1" sizeWithCells="1">
                  <from>
                    <xdr:col>11</xdr:col>
                    <xdr:colOff>68580</xdr:colOff>
                    <xdr:row>0</xdr:row>
                    <xdr:rowOff>83820</xdr:rowOff>
                  </from>
                  <to>
                    <xdr:col>12</xdr:col>
                    <xdr:colOff>701040</xdr:colOff>
                    <xdr:row>1</xdr:row>
                    <xdr:rowOff>83820</xdr:rowOff>
                  </to>
                </anchor>
              </controlPr>
            </control>
          </mc:Choice>
        </mc:AlternateContent>
        <mc:AlternateContent xmlns:mc="http://schemas.openxmlformats.org/markup-compatibility/2006">
          <mc:Choice Requires="x14">
            <control shapeId="6146" r:id="rId5" name="DD682180">
              <controlPr defaultSize="0" autoFill="0" autoPict="0" macro="[0]!GoToResultsNew2302202119414010">
                <anchor moveWithCells="1">
                  <from>
                    <xdr:col>1</xdr:col>
                    <xdr:colOff>0</xdr:colOff>
                    <xdr:row>14</xdr:row>
                    <xdr:rowOff>0</xdr:rowOff>
                  </from>
                  <to>
                    <xdr:col>5</xdr:col>
                    <xdr:colOff>7620</xdr:colOff>
                    <xdr:row>15</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outlinePr summaryBelow="0" summaryRight="0"/>
  </sheetPr>
  <dimension ref="A1"/>
  <sheetViews>
    <sheetView workbookViewId="0"/>
  </sheetViews>
  <sheetFormatPr baseColWidth="10" defaultColWidth="14.44140625" defaultRowHeight="15.7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#"machinelearning" -filterrOrig</vt:lpstr>
      <vt:lpstr>#"machinelearning" -filterr (2)</vt:lpstr>
      <vt:lpstr>k-means</vt:lpstr>
      <vt:lpstr>Hoja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López Cuerva</dc:creator>
  <cp:lastModifiedBy>luloc</cp:lastModifiedBy>
  <dcterms:created xsi:type="dcterms:W3CDTF">2021-02-23T18:25:30Z</dcterms:created>
  <dcterms:modified xsi:type="dcterms:W3CDTF">2021-02-23T19:06:07Z</dcterms:modified>
</cp:coreProperties>
</file>